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comments1.xml" ContentType="application/vnd.openxmlformats-officedocument.spreadsheetml.comments+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comments2.xml" ContentType="application/vnd.openxmlformats-officedocument.spreadsheetml.comments+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comments3.xml" ContentType="application/vnd.openxmlformats-officedocument.spreadsheetml.comments+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comments4.xml" ContentType="application/vnd.openxmlformats-officedocument.spreadsheetml.comments+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comments5.xml" ContentType="application/vnd.openxmlformats-officedocument.spreadsheetml.comments+xml"/>
  <Override PartName="/xl/tables/table165.xml" ContentType="application/vnd.openxmlformats-officedocument.spreadsheetml.table+xml"/>
  <Override PartName="/xl/tables/table166.xml" ContentType="application/vnd.openxmlformats-officedocument.spreadsheetml.table+xml"/>
  <Override PartName="/xl/comments6.xml" ContentType="application/vnd.openxmlformats-officedocument.spreadsheetml.comments+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comments7.xml" ContentType="application/vnd.openxmlformats-officedocument.spreadsheetml.comments+xml"/>
  <Override PartName="/xl/tables/table188.xml" ContentType="application/vnd.openxmlformats-officedocument.spreadsheetml.table+xml"/>
  <Override PartName="/xl/tables/table189.xml" ContentType="application/vnd.openxmlformats-officedocument.spreadsheetml.table+xml"/>
  <Override PartName="/xl/comments8.xml" ContentType="application/vnd.openxmlformats-officedocument.spreadsheetml.comments+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comments9.xml" ContentType="application/vnd.openxmlformats-officedocument.spreadsheetml.comments+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comments10.xml" ContentType="application/vnd.openxmlformats-officedocument.spreadsheetml.comments+xml"/>
  <Override PartName="/xl/tables/table210.xml" ContentType="application/vnd.openxmlformats-officedocument.spreadsheetml.table+xml"/>
  <Override PartName="/xl/comments11.xml" ContentType="application/vnd.openxmlformats-officedocument.spreadsheetml.comments+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comments12.xml" ContentType="application/vnd.openxmlformats-officedocument.spreadsheetml.comments+xml"/>
  <Override PartName="/xl/tables/table215.xml" ContentType="application/vnd.openxmlformats-officedocument.spreadsheetml.table+xml"/>
  <Override PartName="/xl/tables/table216.xml" ContentType="application/vnd.openxmlformats-officedocument.spreadsheetml.table+xml"/>
  <Override PartName="/xl/comments13.xml" ContentType="application/vnd.openxmlformats-officedocument.spreadsheetml.comments+xml"/>
  <Override PartName="/xl/tables/table217.xml" ContentType="application/vnd.openxmlformats-officedocument.spreadsheetml.table+xml"/>
  <Override PartName="/xl/tables/table218.xml" ContentType="application/vnd.openxmlformats-officedocument.spreadsheetml.table+xml"/>
  <Override PartName="/xl/comments14.xml" ContentType="application/vnd.openxmlformats-officedocument.spreadsheetml.comments+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comments15.xml" ContentType="application/vnd.openxmlformats-officedocument.spreadsheetml.comments+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tables/table231.xml" ContentType="application/vnd.openxmlformats-officedocument.spreadsheetml.table+xml"/>
  <Override PartName="/xl/tables/table232.xml" ContentType="application/vnd.openxmlformats-officedocument.spreadsheetml.table+xml"/>
  <Override PartName="/xl/tables/table233.xml" ContentType="application/vnd.openxmlformats-officedocument.spreadsheetml.table+xml"/>
  <Override PartName="/xl/tables/table234.xml" ContentType="application/vnd.openxmlformats-officedocument.spreadsheetml.table+xml"/>
  <Override PartName="/xl/tables/table235.xml" ContentType="application/vnd.openxmlformats-officedocument.spreadsheetml.table+xml"/>
  <Override PartName="/xl/tables/table236.xml" ContentType="application/vnd.openxmlformats-officedocument.spreadsheetml.table+xml"/>
  <Override PartName="/xl/tables/table237.xml" ContentType="application/vnd.openxmlformats-officedocument.spreadsheetml.table+xml"/>
  <Override PartName="/xl/tables/table238.xml" ContentType="application/vnd.openxmlformats-officedocument.spreadsheetml.table+xml"/>
  <Override PartName="/xl/tables/table239.xml" ContentType="application/vnd.openxmlformats-officedocument.spreadsheetml.table+xml"/>
  <Override PartName="/xl/tables/table240.xml" ContentType="application/vnd.openxmlformats-officedocument.spreadsheetml.table+xml"/>
  <Override PartName="/xl/tables/table241.xml" ContentType="application/vnd.openxmlformats-officedocument.spreadsheetml.table+xml"/>
  <Override PartName="/xl/tables/table242.xml" ContentType="application/vnd.openxmlformats-officedocument.spreadsheetml.table+xml"/>
  <Override PartName="/xl/tables/table243.xml" ContentType="application/vnd.openxmlformats-officedocument.spreadsheetml.table+xml"/>
  <Override PartName="/xl/tables/table244.xml" ContentType="application/vnd.openxmlformats-officedocument.spreadsheetml.table+xml"/>
  <Override PartName="/xl/tables/table245.xml" ContentType="application/vnd.openxmlformats-officedocument.spreadsheetml.table+xml"/>
  <Override PartName="/xl/tables/table246.xml" ContentType="application/vnd.openxmlformats-officedocument.spreadsheetml.table+xml"/>
  <Override PartName="/xl/tables/table247.xml" ContentType="application/vnd.openxmlformats-officedocument.spreadsheetml.table+xml"/>
  <Override PartName="/xl/tables/table248.xml" ContentType="application/vnd.openxmlformats-officedocument.spreadsheetml.table+xml"/>
  <Override PartName="/xl/tables/table249.xml" ContentType="application/vnd.openxmlformats-officedocument.spreadsheetml.table+xml"/>
  <Override PartName="/xl/tables/table250.xml" ContentType="application/vnd.openxmlformats-officedocument.spreadsheetml.table+xml"/>
  <Override PartName="/xl/tables/table251.xml" ContentType="application/vnd.openxmlformats-officedocument.spreadsheetml.table+xml"/>
  <Override PartName="/xl/comments16.xml" ContentType="application/vnd.openxmlformats-officedocument.spreadsheetml.comments+xml"/>
  <Override PartName="/xl/tables/table252.xml" ContentType="application/vnd.openxmlformats-officedocument.spreadsheetml.table+xml"/>
  <Override PartName="/xl/tables/table253.xml" ContentType="application/vnd.openxmlformats-officedocument.spreadsheetml.table+xml"/>
  <Override PartName="/xl/tables/table254.xml" ContentType="application/vnd.openxmlformats-officedocument.spreadsheetml.table+xml"/>
  <Override PartName="/xl/tables/table255.xml" ContentType="application/vnd.openxmlformats-officedocument.spreadsheetml.table+xml"/>
  <Override PartName="/xl/tables/table256.xml" ContentType="application/vnd.openxmlformats-officedocument.spreadsheetml.table+xml"/>
  <Override PartName="/xl/tables/table257.xml" ContentType="application/vnd.openxmlformats-officedocument.spreadsheetml.table+xml"/>
  <Override PartName="/xl/tables/table258.xml" ContentType="application/vnd.openxmlformats-officedocument.spreadsheetml.table+xml"/>
  <Override PartName="/xl/tables/table259.xml" ContentType="application/vnd.openxmlformats-officedocument.spreadsheetml.table+xml"/>
  <Override PartName="/xl/tables/table260.xml" ContentType="application/vnd.openxmlformats-officedocument.spreadsheetml.table+xml"/>
  <Override PartName="/xl/tables/table261.xml" ContentType="application/vnd.openxmlformats-officedocument.spreadsheetml.table+xml"/>
  <Override PartName="/xl/comments17.xml" ContentType="application/vnd.openxmlformats-officedocument.spreadsheetml.comments+xml"/>
  <Override PartName="/xl/tables/table262.xml" ContentType="application/vnd.openxmlformats-officedocument.spreadsheetml.table+xml"/>
  <Override PartName="/xl/tables/table263.xml" ContentType="application/vnd.openxmlformats-officedocument.spreadsheetml.table+xml"/>
  <Override PartName="/xl/tables/table264.xml" ContentType="application/vnd.openxmlformats-officedocument.spreadsheetml.table+xml"/>
  <Override PartName="/xl/tables/table265.xml" ContentType="application/vnd.openxmlformats-officedocument.spreadsheetml.table+xml"/>
  <Override PartName="/xl/tables/table266.xml" ContentType="application/vnd.openxmlformats-officedocument.spreadsheetml.table+xml"/>
  <Override PartName="/xl/tables/table267.xml" ContentType="application/vnd.openxmlformats-officedocument.spreadsheetml.table+xml"/>
  <Override PartName="/xl/tables/table268.xml" ContentType="application/vnd.openxmlformats-officedocument.spreadsheetml.table+xml"/>
  <Override PartName="/xl/tables/table269.xml" ContentType="application/vnd.openxmlformats-officedocument.spreadsheetml.table+xml"/>
  <Override PartName="/xl/tables/table270.xml" ContentType="application/vnd.openxmlformats-officedocument.spreadsheetml.table+xml"/>
  <Override PartName="/xl/tables/table271.xml" ContentType="application/vnd.openxmlformats-officedocument.spreadsheetml.table+xml"/>
  <Override PartName="/xl/tables/table272.xml" ContentType="application/vnd.openxmlformats-officedocument.spreadsheetml.table+xml"/>
  <Override PartName="/xl/tables/table273.xml" ContentType="application/vnd.openxmlformats-officedocument.spreadsheetml.table+xml"/>
  <Override PartName="/xl/comments18.xml" ContentType="application/vnd.openxmlformats-officedocument.spreadsheetml.comments+xml"/>
  <Override PartName="/xl/tables/table274.xml" ContentType="application/vnd.openxmlformats-officedocument.spreadsheetml.table+xml"/>
  <Override PartName="/xl/tables/table275.xml" ContentType="application/vnd.openxmlformats-officedocument.spreadsheetml.table+xml"/>
  <Override PartName="/xl/tables/table276.xml" ContentType="application/vnd.openxmlformats-officedocument.spreadsheetml.table+xml"/>
  <Override PartName="/xl/tables/table277.xml" ContentType="application/vnd.openxmlformats-officedocument.spreadsheetml.table+xml"/>
  <Override PartName="/xl/tables/table278.xml" ContentType="application/vnd.openxmlformats-officedocument.spreadsheetml.table+xml"/>
  <Override PartName="/xl/tables/table279.xml" ContentType="application/vnd.openxmlformats-officedocument.spreadsheetml.table+xml"/>
  <Override PartName="/xl/tables/table280.xml" ContentType="application/vnd.openxmlformats-officedocument.spreadsheetml.table+xml"/>
  <Override PartName="/xl/tables/table281.xml" ContentType="application/vnd.openxmlformats-officedocument.spreadsheetml.table+xml"/>
  <Override PartName="/xl/tables/table282.xml" ContentType="application/vnd.openxmlformats-officedocument.spreadsheetml.table+xml"/>
  <Override PartName="/xl/tables/table283.xml" ContentType="application/vnd.openxmlformats-officedocument.spreadsheetml.table+xml"/>
  <Override PartName="/xl/tables/table284.xml" ContentType="application/vnd.openxmlformats-officedocument.spreadsheetml.table+xml"/>
  <Override PartName="/xl/tables/table285.xml" ContentType="application/vnd.openxmlformats-officedocument.spreadsheetml.table+xml"/>
  <Override PartName="/xl/tables/table286.xml" ContentType="application/vnd.openxmlformats-officedocument.spreadsheetml.table+xml"/>
  <Override PartName="/xl/tables/table287.xml" ContentType="application/vnd.openxmlformats-officedocument.spreadsheetml.table+xml"/>
  <Override PartName="/xl/tables/table288.xml" ContentType="application/vnd.openxmlformats-officedocument.spreadsheetml.table+xml"/>
  <Override PartName="/xl/tables/table289.xml" ContentType="application/vnd.openxmlformats-officedocument.spreadsheetml.table+xml"/>
  <Override PartName="/xl/tables/table290.xml" ContentType="application/vnd.openxmlformats-officedocument.spreadsheetml.table+xml"/>
  <Override PartName="/xl/tables/table291.xml" ContentType="application/vnd.openxmlformats-officedocument.spreadsheetml.table+xml"/>
  <Override PartName="/xl/tables/table292.xml" ContentType="application/vnd.openxmlformats-officedocument.spreadsheetml.table+xml"/>
  <Override PartName="/xl/tables/table293.xml" ContentType="application/vnd.openxmlformats-officedocument.spreadsheetml.table+xml"/>
  <Override PartName="/xl/tables/table294.xml" ContentType="application/vnd.openxmlformats-officedocument.spreadsheetml.table+xml"/>
  <Override PartName="/xl/tables/table295.xml" ContentType="application/vnd.openxmlformats-officedocument.spreadsheetml.table+xml"/>
  <Override PartName="/xl/comments19.xml" ContentType="application/vnd.openxmlformats-officedocument.spreadsheetml.comments+xml"/>
  <Override PartName="/xl/tables/table296.xml" ContentType="application/vnd.openxmlformats-officedocument.spreadsheetml.table+xml"/>
  <Override PartName="/xl/tables/table297.xml" ContentType="application/vnd.openxmlformats-officedocument.spreadsheetml.table+xml"/>
  <Override PartName="/xl/tables/table298.xml" ContentType="application/vnd.openxmlformats-officedocument.spreadsheetml.table+xml"/>
  <Override PartName="/xl/tables/table299.xml" ContentType="application/vnd.openxmlformats-officedocument.spreadsheetml.table+xml"/>
  <Override PartName="/xl/tables/table300.xml" ContentType="application/vnd.openxmlformats-officedocument.spreadsheetml.table+xml"/>
  <Override PartName="/xl/tables/table301.xml" ContentType="application/vnd.openxmlformats-officedocument.spreadsheetml.table+xml"/>
  <Override PartName="/xl/tables/table302.xml" ContentType="application/vnd.openxmlformats-officedocument.spreadsheetml.table+xml"/>
  <Override PartName="/xl/tables/table303.xml" ContentType="application/vnd.openxmlformats-officedocument.spreadsheetml.table+xml"/>
  <Override PartName="/xl/tables/table304.xml" ContentType="application/vnd.openxmlformats-officedocument.spreadsheetml.table+xml"/>
  <Override PartName="/xl/tables/table305.xml" ContentType="application/vnd.openxmlformats-officedocument.spreadsheetml.table+xml"/>
  <Override PartName="/xl/tables/table306.xml" ContentType="application/vnd.openxmlformats-officedocument.spreadsheetml.table+xml"/>
  <Override PartName="/xl/tables/table307.xml" ContentType="application/vnd.openxmlformats-officedocument.spreadsheetml.table+xml"/>
  <Override PartName="/xl/tables/table308.xml" ContentType="application/vnd.openxmlformats-officedocument.spreadsheetml.table+xml"/>
  <Override PartName="/xl/tables/table309.xml" ContentType="application/vnd.openxmlformats-officedocument.spreadsheetml.table+xml"/>
  <Override PartName="/xl/tables/table310.xml" ContentType="application/vnd.openxmlformats-officedocument.spreadsheetml.table+xml"/>
  <Override PartName="/xl/tables/table311.xml" ContentType="application/vnd.openxmlformats-officedocument.spreadsheetml.table+xml"/>
  <Override PartName="/xl/tables/table312.xml" ContentType="application/vnd.openxmlformats-officedocument.spreadsheetml.table+xml"/>
  <Override PartName="/xl/tables/table313.xml" ContentType="application/vnd.openxmlformats-officedocument.spreadsheetml.table+xml"/>
  <Override PartName="/xl/tables/table314.xml" ContentType="application/vnd.openxmlformats-officedocument.spreadsheetml.table+xml"/>
  <Override PartName="/xl/tables/table315.xml" ContentType="application/vnd.openxmlformats-officedocument.spreadsheetml.table+xml"/>
  <Override PartName="/xl/tables/table316.xml" ContentType="application/vnd.openxmlformats-officedocument.spreadsheetml.table+xml"/>
  <Override PartName="/xl/tables/table317.xml" ContentType="application/vnd.openxmlformats-officedocument.spreadsheetml.table+xml"/>
  <Override PartName="/xl/tables/table318.xml" ContentType="application/vnd.openxmlformats-officedocument.spreadsheetml.table+xml"/>
  <Override PartName="/xl/tables/table319.xml" ContentType="application/vnd.openxmlformats-officedocument.spreadsheetml.table+xml"/>
  <Override PartName="/xl/tables/table320.xml" ContentType="application/vnd.openxmlformats-officedocument.spreadsheetml.table+xml"/>
  <Override PartName="/xl/tables/table321.xml" ContentType="application/vnd.openxmlformats-officedocument.spreadsheetml.table+xml"/>
  <Override PartName="/xl/tables/table322.xml" ContentType="application/vnd.openxmlformats-officedocument.spreadsheetml.table+xml"/>
  <Override PartName="/xl/tables/table323.xml" ContentType="application/vnd.openxmlformats-officedocument.spreadsheetml.table+xml"/>
  <Override PartName="/xl/tables/table324.xml" ContentType="application/vnd.openxmlformats-officedocument.spreadsheetml.table+xml"/>
  <Override PartName="/xl/tables/table325.xml" ContentType="application/vnd.openxmlformats-officedocument.spreadsheetml.table+xml"/>
  <Override PartName="/xl/tables/table326.xml" ContentType="application/vnd.openxmlformats-officedocument.spreadsheetml.table+xml"/>
  <Override PartName="/xl/tables/table327.xml" ContentType="application/vnd.openxmlformats-officedocument.spreadsheetml.table+xml"/>
  <Override PartName="/xl/tables/table328.xml" ContentType="application/vnd.openxmlformats-officedocument.spreadsheetml.table+xml"/>
  <Override PartName="/xl/tables/table329.xml" ContentType="application/vnd.openxmlformats-officedocument.spreadsheetml.table+xml"/>
  <Override PartName="/xl/tables/table330.xml" ContentType="application/vnd.openxmlformats-officedocument.spreadsheetml.table+xml"/>
  <Override PartName="/xl/tables/table331.xml" ContentType="application/vnd.openxmlformats-officedocument.spreadsheetml.table+xml"/>
  <Override PartName="/xl/tables/table332.xml" ContentType="application/vnd.openxmlformats-officedocument.spreadsheetml.table+xml"/>
  <Override PartName="/xl/tables/table333.xml" ContentType="application/vnd.openxmlformats-officedocument.spreadsheetml.table+xml"/>
  <Override PartName="/xl/tables/table334.xml" ContentType="application/vnd.openxmlformats-officedocument.spreadsheetml.table+xml"/>
  <Override PartName="/xl/tables/table335.xml" ContentType="application/vnd.openxmlformats-officedocument.spreadsheetml.table+xml"/>
  <Override PartName="/xl/tables/table336.xml" ContentType="application/vnd.openxmlformats-officedocument.spreadsheetml.table+xml"/>
  <Override PartName="/xl/tables/table337.xml" ContentType="application/vnd.openxmlformats-officedocument.spreadsheetml.table+xml"/>
  <Override PartName="/xl/tables/table338.xml" ContentType="application/vnd.openxmlformats-officedocument.spreadsheetml.table+xml"/>
  <Override PartName="/xl/tables/table339.xml" ContentType="application/vnd.openxmlformats-officedocument.spreadsheetml.table+xml"/>
  <Override PartName="/xl/tables/table340.xml" ContentType="application/vnd.openxmlformats-officedocument.spreadsheetml.table+xml"/>
  <Override PartName="/xl/comments20.xml" ContentType="application/vnd.openxmlformats-officedocument.spreadsheetml.comments+xml"/>
  <Override PartName="/xl/tables/table341.xml" ContentType="application/vnd.openxmlformats-officedocument.spreadsheetml.table+xml"/>
  <Override PartName="/xl/tables/table342.xml" ContentType="application/vnd.openxmlformats-officedocument.spreadsheetml.table+xml"/>
  <Override PartName="/xl/tables/table343.xml" ContentType="application/vnd.openxmlformats-officedocument.spreadsheetml.table+xml"/>
  <Override PartName="/xl/tables/table344.xml" ContentType="application/vnd.openxmlformats-officedocument.spreadsheetml.table+xml"/>
  <Override PartName="/xl/tables/table345.xml" ContentType="application/vnd.openxmlformats-officedocument.spreadsheetml.table+xml"/>
  <Override PartName="/xl/tables/table346.xml" ContentType="application/vnd.openxmlformats-officedocument.spreadsheetml.table+xml"/>
  <Override PartName="/xl/comments21.xml" ContentType="application/vnd.openxmlformats-officedocument.spreadsheetml.comments+xml"/>
  <Override PartName="/xl/tables/table347.xml" ContentType="application/vnd.openxmlformats-officedocument.spreadsheetml.table+xml"/>
  <Override PartName="/xl/tables/table348.xml" ContentType="application/vnd.openxmlformats-officedocument.spreadsheetml.table+xml"/>
  <Override PartName="/xl/tables/table349.xml" ContentType="application/vnd.openxmlformats-officedocument.spreadsheetml.table+xml"/>
  <Override PartName="/xl/tables/table350.xml" ContentType="application/vnd.openxmlformats-officedocument.spreadsheetml.table+xml"/>
  <Override PartName="/xl/tables/table351.xml" ContentType="application/vnd.openxmlformats-officedocument.spreadsheetml.table+xml"/>
  <Override PartName="/xl/tables/table352.xml" ContentType="application/vnd.openxmlformats-officedocument.spreadsheetml.table+xml"/>
  <Override PartName="/xl/tables/table353.xml" ContentType="application/vnd.openxmlformats-officedocument.spreadsheetml.table+xml"/>
  <Override PartName="/xl/tables/table354.xml" ContentType="application/vnd.openxmlformats-officedocument.spreadsheetml.table+xml"/>
  <Override PartName="/xl/comments22.xml" ContentType="application/vnd.openxmlformats-officedocument.spreadsheetml.comments+xml"/>
  <Override PartName="/xl/tables/table355.xml" ContentType="application/vnd.openxmlformats-officedocument.spreadsheetml.table+xml"/>
  <Override PartName="/xl/tables/table356.xml" ContentType="application/vnd.openxmlformats-officedocument.spreadsheetml.table+xml"/>
  <Override PartName="/xl/tables/table357.xml" ContentType="application/vnd.openxmlformats-officedocument.spreadsheetml.table+xml"/>
  <Override PartName="/xl/tables/table358.xml" ContentType="application/vnd.openxmlformats-officedocument.spreadsheetml.table+xml"/>
  <Override PartName="/xl/tables/table359.xml" ContentType="application/vnd.openxmlformats-officedocument.spreadsheetml.table+xml"/>
  <Override PartName="/xl/tables/table360.xml" ContentType="application/vnd.openxmlformats-officedocument.spreadsheetml.table+xml"/>
  <Override PartName="/xl/tables/table361.xml" ContentType="application/vnd.openxmlformats-officedocument.spreadsheetml.table+xml"/>
  <Override PartName="/xl/tables/table362.xml" ContentType="application/vnd.openxmlformats-officedocument.spreadsheetml.table+xml"/>
  <Override PartName="/xl/comments23.xml" ContentType="application/vnd.openxmlformats-officedocument.spreadsheetml.comments+xml"/>
  <Override PartName="/xl/tables/table363.xml" ContentType="application/vnd.openxmlformats-officedocument.spreadsheetml.table+xml"/>
  <Override PartName="/xl/tables/table364.xml" ContentType="application/vnd.openxmlformats-officedocument.spreadsheetml.table+xml"/>
  <Override PartName="/xl/tables/table365.xml" ContentType="application/vnd.openxmlformats-officedocument.spreadsheetml.table+xml"/>
  <Override PartName="/xl/tables/table366.xml" ContentType="application/vnd.openxmlformats-officedocument.spreadsheetml.table+xml"/>
  <Override PartName="/xl/tables/table367.xml" ContentType="application/vnd.openxmlformats-officedocument.spreadsheetml.table+xml"/>
  <Override PartName="/xl/tables/table368.xml" ContentType="application/vnd.openxmlformats-officedocument.spreadsheetml.table+xml"/>
  <Override PartName="/xl/tables/table369.xml" ContentType="application/vnd.openxmlformats-officedocument.spreadsheetml.table+xml"/>
  <Override PartName="/xl/tables/table370.xml" ContentType="application/vnd.openxmlformats-officedocument.spreadsheetml.table+xml"/>
  <Override PartName="/xl/tables/table371.xml" ContentType="application/vnd.openxmlformats-officedocument.spreadsheetml.table+xml"/>
  <Override PartName="/xl/tables/table372.xml" ContentType="application/vnd.openxmlformats-officedocument.spreadsheetml.table+xml"/>
  <Override PartName="/xl/comments24.xml" ContentType="application/vnd.openxmlformats-officedocument.spreadsheetml.comments+xml"/>
  <Override PartName="/xl/tables/table373.xml" ContentType="application/vnd.openxmlformats-officedocument.spreadsheetml.table+xml"/>
  <Override PartName="/xl/comments25.xml" ContentType="application/vnd.openxmlformats-officedocument.spreadsheetml.comments+xml"/>
  <Override PartName="/xl/tables/table374.xml" ContentType="application/vnd.openxmlformats-officedocument.spreadsheetml.table+xml"/>
  <Override PartName="/xl/tables/table375.xml" ContentType="application/vnd.openxmlformats-officedocument.spreadsheetml.table+xml"/>
  <Override PartName="/xl/tables/table376.xml" ContentType="application/vnd.openxmlformats-officedocument.spreadsheetml.table+xml"/>
  <Override PartName="/xl/tables/table377.xml" ContentType="application/vnd.openxmlformats-officedocument.spreadsheetml.table+xml"/>
  <Override PartName="/xl/tables/table378.xml" ContentType="application/vnd.openxmlformats-officedocument.spreadsheetml.table+xml"/>
  <Override PartName="/xl/tables/table379.xml" ContentType="application/vnd.openxmlformats-officedocument.spreadsheetml.table+xml"/>
  <Override PartName="/xl/tables/table380.xml" ContentType="application/vnd.openxmlformats-officedocument.spreadsheetml.table+xml"/>
  <Override PartName="/xl/tables/table381.xml" ContentType="application/vnd.openxmlformats-officedocument.spreadsheetml.table+xml"/>
  <Override PartName="/xl/tables/table382.xml" ContentType="application/vnd.openxmlformats-officedocument.spreadsheetml.table+xml"/>
  <Override PartName="/xl/tables/table383.xml" ContentType="application/vnd.openxmlformats-officedocument.spreadsheetml.table+xml"/>
  <Override PartName="/xl/tables/table384.xml" ContentType="application/vnd.openxmlformats-officedocument.spreadsheetml.table+xml"/>
  <Override PartName="/xl/comments26.xml" ContentType="application/vnd.openxmlformats-officedocument.spreadsheetml.comments+xml"/>
  <Override PartName="/xl/tables/table385.xml" ContentType="application/vnd.openxmlformats-officedocument.spreadsheetml.table+xml"/>
  <Override PartName="/xl/tables/table386.xml" ContentType="application/vnd.openxmlformats-officedocument.spreadsheetml.table+xml"/>
  <Override PartName="/xl/tables/table387.xml" ContentType="application/vnd.openxmlformats-officedocument.spreadsheetml.table+xml"/>
  <Override PartName="/xl/tables/table388.xml" ContentType="application/vnd.openxmlformats-officedocument.spreadsheetml.table+xml"/>
  <Override PartName="/xl/tables/table389.xml" ContentType="application/vnd.openxmlformats-officedocument.spreadsheetml.table+xml"/>
  <Override PartName="/xl/tables/table390.xml" ContentType="application/vnd.openxmlformats-officedocument.spreadsheetml.table+xml"/>
  <Override PartName="/xl/tables/table391.xml" ContentType="application/vnd.openxmlformats-officedocument.spreadsheetml.table+xml"/>
  <Override PartName="/xl/tables/table392.xml" ContentType="application/vnd.openxmlformats-officedocument.spreadsheetml.table+xml"/>
  <Override PartName="/xl/tables/table393.xml" ContentType="application/vnd.openxmlformats-officedocument.spreadsheetml.table+xml"/>
  <Override PartName="/xl/tables/table394.xml" ContentType="application/vnd.openxmlformats-officedocument.spreadsheetml.table+xml"/>
  <Override PartName="/xl/tables/table395.xml" ContentType="application/vnd.openxmlformats-officedocument.spreadsheetml.table+xml"/>
  <Override PartName="/xl/tables/table396.xml" ContentType="application/vnd.openxmlformats-officedocument.spreadsheetml.table+xml"/>
  <Override PartName="/xl/tables/table397.xml" ContentType="application/vnd.openxmlformats-officedocument.spreadsheetml.table+xml"/>
  <Override PartName="/xl/comments27.xml" ContentType="application/vnd.openxmlformats-officedocument.spreadsheetml.comments+xml"/>
  <Override PartName="/xl/tables/table398.xml" ContentType="application/vnd.openxmlformats-officedocument.spreadsheetml.table+xml"/>
  <Override PartName="/xl/tables/table399.xml" ContentType="application/vnd.openxmlformats-officedocument.spreadsheetml.table+xml"/>
  <Override PartName="/xl/tables/table400.xml" ContentType="application/vnd.openxmlformats-officedocument.spreadsheetml.table+xml"/>
  <Override PartName="/xl/tables/table401.xml" ContentType="application/vnd.openxmlformats-officedocument.spreadsheetml.table+xml"/>
  <Override PartName="/xl/tables/table402.xml" ContentType="application/vnd.openxmlformats-officedocument.spreadsheetml.table+xml"/>
  <Override PartName="/xl/comments28.xml" ContentType="application/vnd.openxmlformats-officedocument.spreadsheetml.comments+xml"/>
  <Override PartName="/xl/tables/table403.xml" ContentType="application/vnd.openxmlformats-officedocument.spreadsheetml.table+xml"/>
  <Override PartName="/xl/tables/table404.xml" ContentType="application/vnd.openxmlformats-officedocument.spreadsheetml.table+xml"/>
  <Override PartName="/xl/tables/table405.xml" ContentType="application/vnd.openxmlformats-officedocument.spreadsheetml.table+xml"/>
  <Override PartName="/xl/tables/table406.xml" ContentType="application/vnd.openxmlformats-officedocument.spreadsheetml.table+xml"/>
  <Override PartName="/xl/tables/table407.xml" ContentType="application/vnd.openxmlformats-officedocument.spreadsheetml.table+xml"/>
  <Override PartName="/xl/tables/table408.xml" ContentType="application/vnd.openxmlformats-officedocument.spreadsheetml.table+xml"/>
  <Override PartName="/xl/tables/table409.xml" ContentType="application/vnd.openxmlformats-officedocument.spreadsheetml.table+xml"/>
  <Override PartName="/xl/comments29.xml" ContentType="application/vnd.openxmlformats-officedocument.spreadsheetml.comments+xml"/>
  <Override PartName="/xl/tables/table410.xml" ContentType="application/vnd.openxmlformats-officedocument.spreadsheetml.table+xml"/>
  <Override PartName="/xl/tables/table411.xml" ContentType="application/vnd.openxmlformats-officedocument.spreadsheetml.table+xml"/>
  <Override PartName="/xl/tables/table412.xml" ContentType="application/vnd.openxmlformats-officedocument.spreadsheetml.table+xml"/>
  <Override PartName="/xl/tables/table413.xml" ContentType="application/vnd.openxmlformats-officedocument.spreadsheetml.table+xml"/>
  <Override PartName="/xl/tables/table414.xml" ContentType="application/vnd.openxmlformats-officedocument.spreadsheetml.table+xml"/>
  <Override PartName="/xl/tables/table415.xml" ContentType="application/vnd.openxmlformats-officedocument.spreadsheetml.table+xml"/>
  <Override PartName="/xl/tables/table416.xml" ContentType="application/vnd.openxmlformats-officedocument.spreadsheetml.table+xml"/>
  <Override PartName="/xl/comments30.xml" ContentType="application/vnd.openxmlformats-officedocument.spreadsheetml.comments+xml"/>
  <Override PartName="/xl/tables/table417.xml" ContentType="application/vnd.openxmlformats-officedocument.spreadsheetml.table+xml"/>
  <Override PartName="/xl/comments31.xml" ContentType="application/vnd.openxmlformats-officedocument.spreadsheetml.comments+xml"/>
  <Override PartName="/xl/tables/table418.xml" ContentType="application/vnd.openxmlformats-officedocument.spreadsheetml.table+xml"/>
  <Override PartName="/xl/comments32.xml" ContentType="application/vnd.openxmlformats-officedocument.spreadsheetml.comments+xml"/>
  <Override PartName="/xl/tables/table419.xml" ContentType="application/vnd.openxmlformats-officedocument.spreadsheetml.table+xml"/>
  <Override PartName="/xl/tables/table420.xml" ContentType="application/vnd.openxmlformats-officedocument.spreadsheetml.table+xml"/>
  <Override PartName="/xl/tables/table421.xml" ContentType="application/vnd.openxmlformats-officedocument.spreadsheetml.table+xml"/>
  <Override PartName="/xl/tables/table422.xml" ContentType="application/vnd.openxmlformats-officedocument.spreadsheetml.table+xml"/>
  <Override PartName="/xl/comments33.xml" ContentType="application/vnd.openxmlformats-officedocument.spreadsheetml.comments+xml"/>
  <Override PartName="/xl/tables/table423.xml" ContentType="application/vnd.openxmlformats-officedocument.spreadsheetml.table+xml"/>
  <Override PartName="/xl/comments34.xml" ContentType="application/vnd.openxmlformats-officedocument.spreadsheetml.comments+xml"/>
  <Override PartName="/xl/tables/table424.xml" ContentType="application/vnd.openxmlformats-officedocument.spreadsheetml.table+xml"/>
  <Override PartName="/xl/tables/table425.xml" ContentType="application/vnd.openxmlformats-officedocument.spreadsheetml.table+xml"/>
  <Override PartName="/xl/tables/table426.xml" ContentType="application/vnd.openxmlformats-officedocument.spreadsheetml.table+xml"/>
  <Override PartName="/xl/tables/table427.xml" ContentType="application/vnd.openxmlformats-officedocument.spreadsheetml.table+xml"/>
  <Override PartName="/xl/tables/table428.xml" ContentType="application/vnd.openxmlformats-officedocument.spreadsheetml.table+xml"/>
  <Override PartName="/xl/tables/table429.xml" ContentType="application/vnd.openxmlformats-officedocument.spreadsheetml.table+xml"/>
  <Override PartName="/xl/tables/table430.xml" ContentType="application/vnd.openxmlformats-officedocument.spreadsheetml.table+xml"/>
  <Override PartName="/xl/tables/table431.xml" ContentType="application/vnd.openxmlformats-officedocument.spreadsheetml.table+xml"/>
  <Override PartName="/xl/tables/table432.xml" ContentType="application/vnd.openxmlformats-officedocument.spreadsheetml.table+xml"/>
  <Override PartName="/xl/tables/table433.xml" ContentType="application/vnd.openxmlformats-officedocument.spreadsheetml.table+xml"/>
  <Override PartName="/xl/tables/table434.xml" ContentType="application/vnd.openxmlformats-officedocument.spreadsheetml.table+xml"/>
  <Override PartName="/xl/comments35.xml" ContentType="application/vnd.openxmlformats-officedocument.spreadsheetml.comments+xml"/>
  <Override PartName="/xl/tables/table435.xml" ContentType="application/vnd.openxmlformats-officedocument.spreadsheetml.table+xml"/>
  <Override PartName="/xl/tables/table436.xml" ContentType="application/vnd.openxmlformats-officedocument.spreadsheetml.table+xml"/>
  <Override PartName="/xl/tables/table437.xml" ContentType="application/vnd.openxmlformats-officedocument.spreadsheetml.table+xml"/>
  <Override PartName="/xl/tables/table438.xml" ContentType="application/vnd.openxmlformats-officedocument.spreadsheetml.table+xml"/>
  <Override PartName="/xl/tables/table439.xml" ContentType="application/vnd.openxmlformats-officedocument.spreadsheetml.table+xml"/>
  <Override PartName="/xl/tables/table440.xml" ContentType="application/vnd.openxmlformats-officedocument.spreadsheetml.table+xml"/>
  <Override PartName="/xl/tables/table441.xml" ContentType="application/vnd.openxmlformats-officedocument.spreadsheetml.table+xml"/>
  <Override PartName="/xl/tables/table442.xml" ContentType="application/vnd.openxmlformats-officedocument.spreadsheetml.table+xml"/>
  <Override PartName="/xl/tables/table443.xml" ContentType="application/vnd.openxmlformats-officedocument.spreadsheetml.table+xml"/>
  <Override PartName="/xl/tables/table444.xml" ContentType="application/vnd.openxmlformats-officedocument.spreadsheetml.table+xml"/>
  <Override PartName="/xl/tables/table445.xml" ContentType="application/vnd.openxmlformats-officedocument.spreadsheetml.table+xml"/>
  <Override PartName="/xl/tables/table446.xml" ContentType="application/vnd.openxmlformats-officedocument.spreadsheetml.table+xml"/>
  <Override PartName="/xl/comments36.xml" ContentType="application/vnd.openxmlformats-officedocument.spreadsheetml.comments+xml"/>
  <Override PartName="/xl/tables/table447.xml" ContentType="application/vnd.openxmlformats-officedocument.spreadsheetml.table+xml"/>
  <Override PartName="/xl/tables/table448.xml" ContentType="application/vnd.openxmlformats-officedocument.spreadsheetml.table+xml"/>
  <Override PartName="/xl/tables/table449.xml" ContentType="application/vnd.openxmlformats-officedocument.spreadsheetml.table+xml"/>
  <Override PartName="/xl/tables/table450.xml" ContentType="application/vnd.openxmlformats-officedocument.spreadsheetml.table+xml"/>
  <Override PartName="/xl/tables/table451.xml" ContentType="application/vnd.openxmlformats-officedocument.spreadsheetml.table+xml"/>
  <Override PartName="/xl/tables/table452.xml" ContentType="application/vnd.openxmlformats-officedocument.spreadsheetml.table+xml"/>
  <Override PartName="/xl/tables/table453.xml" ContentType="application/vnd.openxmlformats-officedocument.spreadsheetml.table+xml"/>
  <Override PartName="/xl/comments37.xml" ContentType="application/vnd.openxmlformats-officedocument.spreadsheetml.comments+xml"/>
  <Override PartName="/xl/tables/table454.xml" ContentType="application/vnd.openxmlformats-officedocument.spreadsheetml.table+xml"/>
  <Override PartName="/xl/tables/table455.xml" ContentType="application/vnd.openxmlformats-officedocument.spreadsheetml.table+xml"/>
  <Override PartName="/xl/comments38.xml" ContentType="application/vnd.openxmlformats-officedocument.spreadsheetml.comments+xml"/>
  <Override PartName="/xl/tables/table456.xml" ContentType="application/vnd.openxmlformats-officedocument.spreadsheetml.table+xml"/>
  <Override PartName="/xl/tables/table457.xml" ContentType="application/vnd.openxmlformats-officedocument.spreadsheetml.table+xml"/>
  <Override PartName="/xl/tables/table458.xml" ContentType="application/vnd.openxmlformats-officedocument.spreadsheetml.table+xml"/>
  <Override PartName="/xl/tables/table459.xml" ContentType="application/vnd.openxmlformats-officedocument.spreadsheetml.table+xml"/>
  <Override PartName="/xl/tables/table460.xml" ContentType="application/vnd.openxmlformats-officedocument.spreadsheetml.table+xml"/>
  <Override PartName="/xl/tables/table461.xml" ContentType="application/vnd.openxmlformats-officedocument.spreadsheetml.table+xml"/>
  <Override PartName="/xl/tables/table462.xml" ContentType="application/vnd.openxmlformats-officedocument.spreadsheetml.table+xml"/>
  <Override PartName="/xl/tables/table463.xml" ContentType="application/vnd.openxmlformats-officedocument.spreadsheetml.table+xml"/>
  <Override PartName="/xl/tables/table464.xml" ContentType="application/vnd.openxmlformats-officedocument.spreadsheetml.table+xml"/>
  <Override PartName="/xl/tables/table465.xml" ContentType="application/vnd.openxmlformats-officedocument.spreadsheetml.table+xml"/>
  <Override PartName="/xl/tables/table466.xml" ContentType="application/vnd.openxmlformats-officedocument.spreadsheetml.table+xml"/>
  <Override PartName="/xl/comments39.xml" ContentType="application/vnd.openxmlformats-officedocument.spreadsheetml.comments+xml"/>
  <Override PartName="/xl/tables/table467.xml" ContentType="application/vnd.openxmlformats-officedocument.spreadsheetml.table+xml"/>
  <Override PartName="/xl/comments40.xml" ContentType="application/vnd.openxmlformats-officedocument.spreadsheetml.comments+xml"/>
  <Override PartName="/xl/tables/table468.xml" ContentType="application/vnd.openxmlformats-officedocument.spreadsheetml.table+xml"/>
  <Override PartName="/xl/tables/table469.xml" ContentType="application/vnd.openxmlformats-officedocument.spreadsheetml.table+xml"/>
  <Override PartName="/xl/tables/table470.xml" ContentType="application/vnd.openxmlformats-officedocument.spreadsheetml.table+xml"/>
  <Override PartName="/xl/comments41.xml" ContentType="application/vnd.openxmlformats-officedocument.spreadsheetml.comments+xml"/>
  <Override PartName="/xl/tables/table471.xml" ContentType="application/vnd.openxmlformats-officedocument.spreadsheetml.table+xml"/>
  <Override PartName="/xl/comments42.xml" ContentType="application/vnd.openxmlformats-officedocument.spreadsheetml.comments+xml"/>
  <Override PartName="/xl/tables/table472.xml" ContentType="application/vnd.openxmlformats-officedocument.spreadsheetml.table+xml"/>
  <Override PartName="/xl/comments43.xml" ContentType="application/vnd.openxmlformats-officedocument.spreadsheetml.comments+xml"/>
  <Override PartName="/xl/tables/table473.xml" ContentType="application/vnd.openxmlformats-officedocument.spreadsheetml.table+xml"/>
  <Override PartName="/xl/comments44.xml" ContentType="application/vnd.openxmlformats-officedocument.spreadsheetml.comments+xml"/>
  <Override PartName="/xl/tables/table474.xml" ContentType="application/vnd.openxmlformats-officedocument.spreadsheetml.table+xml"/>
  <Override PartName="/xl/comments45.xml" ContentType="application/vnd.openxmlformats-officedocument.spreadsheetml.comments+xml"/>
  <Override PartName="/xl/tables/table475.xml" ContentType="application/vnd.openxmlformats-officedocument.spreadsheetml.table+xml"/>
  <Override PartName="/xl/comments46.xml" ContentType="application/vnd.openxmlformats-officedocument.spreadsheetml.comments+xml"/>
  <Override PartName="/xl/tables/table476.xml" ContentType="application/vnd.openxmlformats-officedocument.spreadsheetml.table+xml"/>
  <Override PartName="/xl/comments47.xml" ContentType="application/vnd.openxmlformats-officedocument.spreadsheetml.comments+xml"/>
  <Override PartName="/xl/tables/table477.xml" ContentType="application/vnd.openxmlformats-officedocument.spreadsheetml.table+xml"/>
  <Override PartName="/xl/tables/table478.xml" ContentType="application/vnd.openxmlformats-officedocument.spreadsheetml.table+xml"/>
  <Override PartName="/xl/tables/table479.xml" ContentType="application/vnd.openxmlformats-officedocument.spreadsheetml.table+xml"/>
  <Override PartName="/xl/tables/table480.xml" ContentType="application/vnd.openxmlformats-officedocument.spreadsheetml.table+xml"/>
  <Override PartName="/xl/tables/table481.xml" ContentType="application/vnd.openxmlformats-officedocument.spreadsheetml.table+xml"/>
  <Override PartName="/xl/tables/table482.xml" ContentType="application/vnd.openxmlformats-officedocument.spreadsheetml.table+xml"/>
  <Override PartName="/xl/comments48.xml" ContentType="application/vnd.openxmlformats-officedocument.spreadsheetml.comments+xml"/>
  <Override PartName="/xl/tables/table483.xml" ContentType="application/vnd.openxmlformats-officedocument.spreadsheetml.table+xml"/>
  <Override PartName="/xl/comments49.xml" ContentType="application/vnd.openxmlformats-officedocument.spreadsheetml.comments+xml"/>
  <Override PartName="/xl/tables/table484.xml" ContentType="application/vnd.openxmlformats-officedocument.spreadsheetml.table+xml"/>
  <Override PartName="/xl/tables/table485.xml" ContentType="application/vnd.openxmlformats-officedocument.spreadsheetml.table+xml"/>
  <Override PartName="/xl/tables/table486.xml" ContentType="application/vnd.openxmlformats-officedocument.spreadsheetml.table+xml"/>
  <Override PartName="/xl/comments50.xml" ContentType="application/vnd.openxmlformats-officedocument.spreadsheetml.comments+xml"/>
  <Override PartName="/xl/tables/table487.xml" ContentType="application/vnd.openxmlformats-officedocument.spreadsheetml.table+xml"/>
  <Override PartName="/xl/comments51.xml" ContentType="application/vnd.openxmlformats-officedocument.spreadsheetml.comments+xml"/>
  <Override PartName="/xl/tables/table488.xml" ContentType="application/vnd.openxmlformats-officedocument.spreadsheetml.table+xml"/>
  <Override PartName="/xl/comments52.xml" ContentType="application/vnd.openxmlformats-officedocument.spreadsheetml.comments+xml"/>
  <Override PartName="/xl/tables/table489.xml" ContentType="application/vnd.openxmlformats-officedocument.spreadsheetml.table+xml"/>
  <Override PartName="/xl/comments53.xml" ContentType="application/vnd.openxmlformats-officedocument.spreadsheetml.comments+xml"/>
  <Override PartName="/xl/tables/table490.xml" ContentType="application/vnd.openxmlformats-officedocument.spreadsheetml.table+xml"/>
  <Override PartName="/xl/comments54.xml" ContentType="application/vnd.openxmlformats-officedocument.spreadsheetml.comments+xml"/>
  <Override PartName="/xl/tables/table491.xml" ContentType="application/vnd.openxmlformats-officedocument.spreadsheetml.table+xml"/>
  <Override PartName="/xl/comments55.xml" ContentType="application/vnd.openxmlformats-officedocument.spreadsheetml.comments+xml"/>
  <Override PartName="/xl/tables/table492.xml" ContentType="application/vnd.openxmlformats-officedocument.spreadsheetml.table+xml"/>
  <Override PartName="/xl/comments56.xml" ContentType="application/vnd.openxmlformats-officedocument.spreadsheetml.comments+xml"/>
  <Override PartName="/xl/tables/table493.xml" ContentType="application/vnd.openxmlformats-officedocument.spreadsheetml.table+xml"/>
  <Override PartName="/xl/comments57.xml" ContentType="application/vnd.openxmlformats-officedocument.spreadsheetml.comments+xml"/>
  <Override PartName="/xl/tables/table494.xml" ContentType="application/vnd.openxmlformats-officedocument.spreadsheetml.table+xml"/>
  <Override PartName="/xl/comments58.xml" ContentType="application/vnd.openxmlformats-officedocument.spreadsheetml.comments+xml"/>
  <Override PartName="/xl/tables/table495.xml" ContentType="application/vnd.openxmlformats-officedocument.spreadsheetml.table+xml"/>
  <Override PartName="/xl/tables/table496.xml" ContentType="application/vnd.openxmlformats-officedocument.spreadsheetml.table+xml"/>
  <Override PartName="/xl/tables/table497.xml" ContentType="application/vnd.openxmlformats-officedocument.spreadsheetml.table+xml"/>
  <Override PartName="/xl/tables/table498.xml" ContentType="application/vnd.openxmlformats-officedocument.spreadsheetml.table+xml"/>
  <Override PartName="/xl/tables/table499.xml" ContentType="application/vnd.openxmlformats-officedocument.spreadsheetml.table+xml"/>
  <Override PartName="/xl/tables/table500.xml" ContentType="application/vnd.openxmlformats-officedocument.spreadsheetml.table+xml"/>
  <Override PartName="/xl/tables/table501.xml" ContentType="application/vnd.openxmlformats-officedocument.spreadsheetml.table+xml"/>
  <Override PartName="/xl/comments59.xml" ContentType="application/vnd.openxmlformats-officedocument.spreadsheetml.comments+xml"/>
  <Override PartName="/xl/tables/table502.xml" ContentType="application/vnd.openxmlformats-officedocument.spreadsheetml.table+xml"/>
  <Override PartName="/xl/tables/table503.xml" ContentType="application/vnd.openxmlformats-officedocument.spreadsheetml.table+xml"/>
  <Override PartName="/xl/tables/table504.xml" ContentType="application/vnd.openxmlformats-officedocument.spreadsheetml.table+xml"/>
  <Override PartName="/xl/tables/table505.xml" ContentType="application/vnd.openxmlformats-officedocument.spreadsheetml.table+xml"/>
  <Override PartName="/xl/tables/table506.xml" ContentType="application/vnd.openxmlformats-officedocument.spreadsheetml.table+xml"/>
  <Override PartName="/xl/tables/table507.xml" ContentType="application/vnd.openxmlformats-officedocument.spreadsheetml.table+xml"/>
  <Override PartName="/xl/comments60.xml" ContentType="application/vnd.openxmlformats-officedocument.spreadsheetml.comments+xml"/>
  <Override PartName="/xl/tables/table508.xml" ContentType="application/vnd.openxmlformats-officedocument.spreadsheetml.table+xml"/>
  <Override PartName="/xl/comments61.xml" ContentType="application/vnd.openxmlformats-officedocument.spreadsheetml.comments+xml"/>
  <Override PartName="/xl/tables/table509.xml" ContentType="application/vnd.openxmlformats-officedocument.spreadsheetml.table+xml"/>
  <Override PartName="/xl/comments62.xml" ContentType="application/vnd.openxmlformats-officedocument.spreadsheetml.comments+xml"/>
  <Override PartName="/xl/tables/table510.xml" ContentType="application/vnd.openxmlformats-officedocument.spreadsheetml.table+xml"/>
  <Override PartName="/xl/comments63.xml" ContentType="application/vnd.openxmlformats-officedocument.spreadsheetml.comments+xml"/>
  <Override PartName="/xl/tables/table511.xml" ContentType="application/vnd.openxmlformats-officedocument.spreadsheetml.table+xml"/>
  <Override PartName="/xl/comments64.xml" ContentType="application/vnd.openxmlformats-officedocument.spreadsheetml.comments+xml"/>
  <Override PartName="/xl/tables/table512.xml" ContentType="application/vnd.openxmlformats-officedocument.spreadsheetml.table+xml"/>
  <Override PartName="/xl/tables/table513.xml" ContentType="application/vnd.openxmlformats-officedocument.spreadsheetml.table+xml"/>
  <Override PartName="/xl/comments65.xml" ContentType="application/vnd.openxmlformats-officedocument.spreadsheetml.comments+xml"/>
  <Override PartName="/xl/tables/table514.xml" ContentType="application/vnd.openxmlformats-officedocument.spreadsheetml.table+xml"/>
  <Override PartName="/xl/comments66.xml" ContentType="application/vnd.openxmlformats-officedocument.spreadsheetml.comments+xml"/>
  <Override PartName="/xl/tables/table515.xml" ContentType="application/vnd.openxmlformats-officedocument.spreadsheetml.table+xml"/>
  <Override PartName="/xl/tables/table516.xml" ContentType="application/vnd.openxmlformats-officedocument.spreadsheetml.table+xml"/>
  <Override PartName="/xl/tables/table517.xml" ContentType="application/vnd.openxmlformats-officedocument.spreadsheetml.table+xml"/>
  <Override PartName="/xl/tables/table518.xml" ContentType="application/vnd.openxmlformats-officedocument.spreadsheetml.table+xml"/>
  <Override PartName="/xl/tables/table519.xml" ContentType="application/vnd.openxmlformats-officedocument.spreadsheetml.table+xml"/>
  <Override PartName="/xl/tables/table520.xml" ContentType="application/vnd.openxmlformats-officedocument.spreadsheetml.table+xml"/>
  <Override PartName="/xl/tables/table521.xml" ContentType="application/vnd.openxmlformats-officedocument.spreadsheetml.table+xml"/>
  <Override PartName="/xl/tables/table522.xml" ContentType="application/vnd.openxmlformats-officedocument.spreadsheetml.table+xml"/>
  <Override PartName="/xl/tables/table523.xml" ContentType="application/vnd.openxmlformats-officedocument.spreadsheetml.table+xml"/>
  <Override PartName="/xl/tables/table524.xml" ContentType="application/vnd.openxmlformats-officedocument.spreadsheetml.table+xml"/>
  <Override PartName="/xl/comments67.xml" ContentType="application/vnd.openxmlformats-officedocument.spreadsheetml.comments+xml"/>
  <Override PartName="/xl/tables/table525.xml" ContentType="application/vnd.openxmlformats-officedocument.spreadsheetml.table+xml"/>
  <Override PartName="/xl/tables/table526.xml" ContentType="application/vnd.openxmlformats-officedocument.spreadsheetml.table+xml"/>
  <Override PartName="/xl/comments68.xml" ContentType="application/vnd.openxmlformats-officedocument.spreadsheetml.comments+xml"/>
  <Override PartName="/xl/tables/table527.xml" ContentType="application/vnd.openxmlformats-officedocument.spreadsheetml.table+xml"/>
  <Override PartName="/xl/tables/table528.xml" ContentType="application/vnd.openxmlformats-officedocument.spreadsheetml.table+xml"/>
  <Override PartName="/xl/tables/table529.xml" ContentType="application/vnd.openxmlformats-officedocument.spreadsheetml.table+xml"/>
  <Override PartName="/xl/tables/table530.xml" ContentType="application/vnd.openxmlformats-officedocument.spreadsheetml.table+xml"/>
  <Override PartName="/xl/tables/table531.xml" ContentType="application/vnd.openxmlformats-officedocument.spreadsheetml.table+xml"/>
  <Override PartName="/xl/tables/table532.xml" ContentType="application/vnd.openxmlformats-officedocument.spreadsheetml.table+xml"/>
  <Override PartName="/xl/tables/table533.xml" ContentType="application/vnd.openxmlformats-officedocument.spreadsheetml.table+xml"/>
  <Override PartName="/xl/tables/table534.xml" ContentType="application/vnd.openxmlformats-officedocument.spreadsheetml.table+xml"/>
  <Override PartName="/xl/tables/table535.xml" ContentType="application/vnd.openxmlformats-officedocument.spreadsheetml.table+xml"/>
  <Override PartName="/xl/tables/table536.xml" ContentType="application/vnd.openxmlformats-officedocument.spreadsheetml.table+xml"/>
  <Override PartName="/xl/tables/table537.xml" ContentType="application/vnd.openxmlformats-officedocument.spreadsheetml.table+xml"/>
  <Override PartName="/xl/comments69.xml" ContentType="application/vnd.openxmlformats-officedocument.spreadsheetml.comments+xml"/>
  <Override PartName="/xl/tables/table538.xml" ContentType="application/vnd.openxmlformats-officedocument.spreadsheetml.table+xml"/>
  <Override PartName="/xl/comments70.xml" ContentType="application/vnd.openxmlformats-officedocument.spreadsheetml.comments+xml"/>
  <Override PartName="/xl/tables/table539.xml" ContentType="application/vnd.openxmlformats-officedocument.spreadsheetml.table+xml"/>
  <Override PartName="/xl/tables/table540.xml" ContentType="application/vnd.openxmlformats-officedocument.spreadsheetml.table+xml"/>
  <Override PartName="/xl/comments71.xml" ContentType="application/vnd.openxmlformats-officedocument.spreadsheetml.comments+xml"/>
  <Override PartName="/xl/tables/table541.xml" ContentType="application/vnd.openxmlformats-officedocument.spreadsheetml.table+xml"/>
  <Override PartName="/xl/comments72.xml" ContentType="application/vnd.openxmlformats-officedocument.spreadsheetml.comments+xml"/>
  <Override PartName="/xl/tables/table542.xml" ContentType="application/vnd.openxmlformats-officedocument.spreadsheetml.table+xml"/>
  <Override PartName="/xl/comments73.xml" ContentType="application/vnd.openxmlformats-officedocument.spreadsheetml.comments+xml"/>
  <Override PartName="/xl/tables/table543.xml" ContentType="application/vnd.openxmlformats-officedocument.spreadsheetml.table+xml"/>
  <Override PartName="/xl/comments74.xml" ContentType="application/vnd.openxmlformats-officedocument.spreadsheetml.comments+xml"/>
  <Override PartName="/xl/tables/table544.xml" ContentType="application/vnd.openxmlformats-officedocument.spreadsheetml.table+xml"/>
  <Override PartName="/xl/comments75.xml" ContentType="application/vnd.openxmlformats-officedocument.spreadsheetml.comments+xml"/>
  <Override PartName="/xl/tables/table545.xml" ContentType="application/vnd.openxmlformats-officedocument.spreadsheetml.table+xml"/>
  <Override PartName="/xl/comments76.xml" ContentType="application/vnd.openxmlformats-officedocument.spreadsheetml.comments+xml"/>
  <Override PartName="/xl/tables/table546.xml" ContentType="application/vnd.openxmlformats-officedocument.spreadsheetml.table+xml"/>
  <Override PartName="/xl/comments77.xml" ContentType="application/vnd.openxmlformats-officedocument.spreadsheetml.comments+xml"/>
  <Override PartName="/xl/tables/table547.xml" ContentType="application/vnd.openxmlformats-officedocument.spreadsheetml.table+xml"/>
  <Override PartName="/xl/comments78.xml" ContentType="application/vnd.openxmlformats-officedocument.spreadsheetml.comments+xml"/>
  <Override PartName="/xl/tables/table548.xml" ContentType="application/vnd.openxmlformats-officedocument.spreadsheetml.table+xml"/>
  <Override PartName="/xl/comments79.xml" ContentType="application/vnd.openxmlformats-officedocument.spreadsheetml.comments+xml"/>
  <Override PartName="/xl/tables/table549.xml" ContentType="application/vnd.openxmlformats-officedocument.spreadsheetml.table+xml"/>
  <Override PartName="/xl/comments80.xml" ContentType="application/vnd.openxmlformats-officedocument.spreadsheetml.comments+xml"/>
  <Override PartName="/xl/tables/table550.xml" ContentType="application/vnd.openxmlformats-officedocument.spreadsheetml.table+xml"/>
  <Override PartName="/xl/comments81.xml" ContentType="application/vnd.openxmlformats-officedocument.spreadsheetml.comments+xml"/>
  <Override PartName="/xl/tables/table551.xml" ContentType="application/vnd.openxmlformats-officedocument.spreadsheetml.table+xml"/>
  <Override PartName="/xl/comments82.xml" ContentType="application/vnd.openxmlformats-officedocument.spreadsheetml.comments+xml"/>
  <Override PartName="/xl/tables/table552.xml" ContentType="application/vnd.openxmlformats-officedocument.spreadsheetml.table+xml"/>
  <Override PartName="/xl/comments83.xml" ContentType="application/vnd.openxmlformats-officedocument.spreadsheetml.comments+xml"/>
  <Override PartName="/xl/tables/table553.xml" ContentType="application/vnd.openxmlformats-officedocument.spreadsheetml.table+xml"/>
  <Override PartName="/xl/comments84.xml" ContentType="application/vnd.openxmlformats-officedocument.spreadsheetml.comments+xml"/>
  <Override PartName="/xl/tables/table554.xml" ContentType="application/vnd.openxmlformats-officedocument.spreadsheetml.table+xml"/>
  <Override PartName="/xl/comments85.xml" ContentType="application/vnd.openxmlformats-officedocument.spreadsheetml.comments+xml"/>
  <Override PartName="/xl/tables/table555.xml" ContentType="application/vnd.openxmlformats-officedocument.spreadsheetml.table+xml"/>
  <Override PartName="/xl/comments86.xml" ContentType="application/vnd.openxmlformats-officedocument.spreadsheetml.comments+xml"/>
  <Override PartName="/xl/tables/table556.xml" ContentType="application/vnd.openxmlformats-officedocument.spreadsheetml.table+xml"/>
  <Override PartName="/xl/comments87.xml" ContentType="application/vnd.openxmlformats-officedocument.spreadsheetml.comments+xml"/>
  <Override PartName="/xl/tables/table557.xml" ContentType="application/vnd.openxmlformats-officedocument.spreadsheetml.table+xml"/>
  <Override PartName="/xl/comments88.xml" ContentType="application/vnd.openxmlformats-officedocument.spreadsheetml.comments+xml"/>
  <Override PartName="/xl/tables/table558.xml" ContentType="application/vnd.openxmlformats-officedocument.spreadsheetml.table+xml"/>
  <Override PartName="/xl/comments89.xml" ContentType="application/vnd.openxmlformats-officedocument.spreadsheetml.comments+xml"/>
  <Override PartName="/xl/tables/table559.xml" ContentType="application/vnd.openxmlformats-officedocument.spreadsheetml.table+xml"/>
  <Override PartName="/xl/comments90.xml" ContentType="application/vnd.openxmlformats-officedocument.spreadsheetml.comments+xml"/>
  <Override PartName="/xl/tables/table560.xml" ContentType="application/vnd.openxmlformats-officedocument.spreadsheetml.table+xml"/>
  <Override PartName="/xl/comments91.xml" ContentType="application/vnd.openxmlformats-officedocument.spreadsheetml.comments+xml"/>
  <Override PartName="/xl/tables/table561.xml" ContentType="application/vnd.openxmlformats-officedocument.spreadsheetml.table+xml"/>
  <Override PartName="/xl/comments92.xml" ContentType="application/vnd.openxmlformats-officedocument.spreadsheetml.comments+xml"/>
  <Override PartName="/xl/tables/table562.xml" ContentType="application/vnd.openxmlformats-officedocument.spreadsheetml.table+xml"/>
  <Override PartName="/xl/comments93.xml" ContentType="application/vnd.openxmlformats-officedocument.spreadsheetml.comments+xml"/>
  <Override PartName="/xl/tables/table563.xml" ContentType="application/vnd.openxmlformats-officedocument.spreadsheetml.table+xml"/>
  <Override PartName="/xl/comments94.xml" ContentType="application/vnd.openxmlformats-officedocument.spreadsheetml.comments+xml"/>
  <Override PartName="/xl/tables/table564.xml" ContentType="application/vnd.openxmlformats-officedocument.spreadsheetml.table+xml"/>
  <Override PartName="/xl/comments95.xml" ContentType="application/vnd.openxmlformats-officedocument.spreadsheetml.comments+xml"/>
  <Override PartName="/xl/tables/table565.xml" ContentType="application/vnd.openxmlformats-officedocument.spreadsheetml.table+xml"/>
  <Override PartName="/xl/comments96.xml" ContentType="application/vnd.openxmlformats-officedocument.spreadsheetml.comments+xml"/>
  <Override PartName="/xl/tables/table566.xml" ContentType="application/vnd.openxmlformats-officedocument.spreadsheetml.table+xml"/>
  <Override PartName="/xl/comments97.xml" ContentType="application/vnd.openxmlformats-officedocument.spreadsheetml.comments+xml"/>
  <Override PartName="/xl/tables/table567.xml" ContentType="application/vnd.openxmlformats-officedocument.spreadsheetml.table+xml"/>
  <Override PartName="/xl/comments98.xml" ContentType="application/vnd.openxmlformats-officedocument.spreadsheetml.comments+xml"/>
  <Override PartName="/xl/tables/table568.xml" ContentType="application/vnd.openxmlformats-officedocument.spreadsheetml.table+xml"/>
  <Override PartName="/xl/tables/table569.xml" ContentType="application/vnd.openxmlformats-officedocument.spreadsheetml.table+xml"/>
  <Override PartName="/xl/comments99.xml" ContentType="application/vnd.openxmlformats-officedocument.spreadsheetml.comments+xml"/>
  <Override PartName="/xl/tables/table570.xml" ContentType="application/vnd.openxmlformats-officedocument.spreadsheetml.table+xml"/>
  <Override PartName="/xl/comments100.xml" ContentType="application/vnd.openxmlformats-officedocument.spreadsheetml.comments+xml"/>
  <Override PartName="/xl/tables/table571.xml" ContentType="application/vnd.openxmlformats-officedocument.spreadsheetml.table+xml"/>
  <Override PartName="/xl/comments101.xml" ContentType="application/vnd.openxmlformats-officedocument.spreadsheetml.comments+xml"/>
  <Override PartName="/xl/tables/table572.xml" ContentType="application/vnd.openxmlformats-officedocument.spreadsheetml.table+xml"/>
  <Override PartName="/xl/comments102.xml" ContentType="application/vnd.openxmlformats-officedocument.spreadsheetml.comments+xml"/>
  <Override PartName="/xl/tables/table573.xml" ContentType="application/vnd.openxmlformats-officedocument.spreadsheetml.table+xml"/>
  <Override PartName="/xl/comments103.xml" ContentType="application/vnd.openxmlformats-officedocument.spreadsheetml.comments+xml"/>
  <Override PartName="/xl/tables/table574.xml" ContentType="application/vnd.openxmlformats-officedocument.spreadsheetml.table+xml"/>
  <Override PartName="/xl/comments104.xml" ContentType="application/vnd.openxmlformats-officedocument.spreadsheetml.comments+xml"/>
  <Override PartName="/xl/tables/table575.xml" ContentType="application/vnd.openxmlformats-officedocument.spreadsheetml.table+xml"/>
  <Override PartName="/xl/tables/table576.xml" ContentType="application/vnd.openxmlformats-officedocument.spreadsheetml.table+xml"/>
  <Override PartName="/xl/comments105.xml" ContentType="application/vnd.openxmlformats-officedocument.spreadsheetml.comments+xml"/>
  <Override PartName="/xl/tables/table577.xml" ContentType="application/vnd.openxmlformats-officedocument.spreadsheetml.table+xml"/>
  <Override PartName="/xl/comments106.xml" ContentType="application/vnd.openxmlformats-officedocument.spreadsheetml.comments+xml"/>
  <Override PartName="/xl/tables/table578.xml" ContentType="application/vnd.openxmlformats-officedocument.spreadsheetml.table+xml"/>
  <Override PartName="/xl/comments107.xml" ContentType="application/vnd.openxmlformats-officedocument.spreadsheetml.comments+xml"/>
  <Override PartName="/xl/tables/table579.xml" ContentType="application/vnd.openxmlformats-officedocument.spreadsheetml.table+xml"/>
  <Override PartName="/xl/comments108.xml" ContentType="application/vnd.openxmlformats-officedocument.spreadsheetml.comments+xml"/>
  <Override PartName="/xl/tables/table580.xml" ContentType="application/vnd.openxmlformats-officedocument.spreadsheetml.table+xml"/>
  <Override PartName="/xl/comments109.xml" ContentType="application/vnd.openxmlformats-officedocument.spreadsheetml.comments+xml"/>
  <Override PartName="/xl/tables/table581.xml" ContentType="application/vnd.openxmlformats-officedocument.spreadsheetml.table+xml"/>
  <Override PartName="/xl/comments110.xml" ContentType="application/vnd.openxmlformats-officedocument.spreadsheetml.comments+xml"/>
  <Override PartName="/xl/tables/table582.xml" ContentType="application/vnd.openxmlformats-officedocument.spreadsheetml.table+xml"/>
  <Override PartName="/xl/comments111.xml" ContentType="application/vnd.openxmlformats-officedocument.spreadsheetml.comments+xml"/>
  <Override PartName="/xl/tables/table583.xml" ContentType="application/vnd.openxmlformats-officedocument.spreadsheetml.table+xml"/>
  <Override PartName="/xl/comments112.xml" ContentType="application/vnd.openxmlformats-officedocument.spreadsheetml.comments+xml"/>
  <Override PartName="/xl/tables/table584.xml" ContentType="application/vnd.openxmlformats-officedocument.spreadsheetml.table+xml"/>
  <Override PartName="/xl/comments113.xml" ContentType="application/vnd.openxmlformats-officedocument.spreadsheetml.comments+xml"/>
  <Override PartName="/xl/tables/table585.xml" ContentType="application/vnd.openxmlformats-officedocument.spreadsheetml.table+xml"/>
  <Override PartName="/xl/comments114.xml" ContentType="application/vnd.openxmlformats-officedocument.spreadsheetml.comments+xml"/>
  <Override PartName="/xl/tables/table586.xml" ContentType="application/vnd.openxmlformats-officedocument.spreadsheetml.table+xml"/>
  <Override PartName="/xl/comments115.xml" ContentType="application/vnd.openxmlformats-officedocument.spreadsheetml.comments+xml"/>
  <Override PartName="/xl/tables/table587.xml" ContentType="application/vnd.openxmlformats-officedocument.spreadsheetml.table+xml"/>
  <Override PartName="/xl/comments116.xml" ContentType="application/vnd.openxmlformats-officedocument.spreadsheetml.comments+xml"/>
  <Override PartName="/xl/tables/table588.xml" ContentType="application/vnd.openxmlformats-officedocument.spreadsheetml.table+xml"/>
  <Override PartName="/xl/comments117.xml" ContentType="application/vnd.openxmlformats-officedocument.spreadsheetml.comments+xml"/>
  <Override PartName="/xl/tables/table589.xml" ContentType="application/vnd.openxmlformats-officedocument.spreadsheetml.table+xml"/>
  <Override PartName="/xl/comments118.xml" ContentType="application/vnd.openxmlformats-officedocument.spreadsheetml.comments+xml"/>
  <Override PartName="/xl/tables/table590.xml" ContentType="application/vnd.openxmlformats-officedocument.spreadsheetml.table+xml"/>
  <Override PartName="/xl/comments119.xml" ContentType="application/vnd.openxmlformats-officedocument.spreadsheetml.comments+xml"/>
  <Override PartName="/xl/tables/table591.xml" ContentType="application/vnd.openxmlformats-officedocument.spreadsheetml.table+xml"/>
  <Override PartName="/xl/comments120.xml" ContentType="application/vnd.openxmlformats-officedocument.spreadsheetml.comments+xml"/>
  <Override PartName="/xl/tables/table592.xml" ContentType="application/vnd.openxmlformats-officedocument.spreadsheetml.table+xml"/>
  <Override PartName="/xl/comments121.xml" ContentType="application/vnd.openxmlformats-officedocument.spreadsheetml.comments+xml"/>
  <Override PartName="/xl/tables/table593.xml" ContentType="application/vnd.openxmlformats-officedocument.spreadsheetml.table+xml"/>
  <Override PartName="/xl/comments122.xml" ContentType="application/vnd.openxmlformats-officedocument.spreadsheetml.comments+xml"/>
  <Override PartName="/xl/tables/table594.xml" ContentType="application/vnd.openxmlformats-officedocument.spreadsheetml.table+xml"/>
  <Override PartName="/xl/comments123.xml" ContentType="application/vnd.openxmlformats-officedocument.spreadsheetml.comments+xml"/>
  <Override PartName="/xl/tables/table595.xml" ContentType="application/vnd.openxmlformats-officedocument.spreadsheetml.table+xml"/>
  <Override PartName="/xl/comments124.xml" ContentType="application/vnd.openxmlformats-officedocument.spreadsheetml.comments+xml"/>
  <Override PartName="/xl/tables/table596.xml" ContentType="application/vnd.openxmlformats-officedocument.spreadsheetml.table+xml"/>
  <Override PartName="/xl/comments125.xml" ContentType="application/vnd.openxmlformats-officedocument.spreadsheetml.comments+xml"/>
  <Override PartName="/xl/tables/table597.xml" ContentType="application/vnd.openxmlformats-officedocument.spreadsheetml.table+xml"/>
  <Override PartName="/xl/comments126.xml" ContentType="application/vnd.openxmlformats-officedocument.spreadsheetml.comments+xml"/>
  <Override PartName="/xl/tables/table598.xml" ContentType="application/vnd.openxmlformats-officedocument.spreadsheetml.table+xml"/>
  <Override PartName="/xl/comments127.xml" ContentType="application/vnd.openxmlformats-officedocument.spreadsheetml.comments+xml"/>
  <Override PartName="/xl/tables/table599.xml" ContentType="application/vnd.openxmlformats-officedocument.spreadsheetml.table+xml"/>
  <Override PartName="/xl/comments128.xml" ContentType="application/vnd.openxmlformats-officedocument.spreadsheetml.comments+xml"/>
  <Override PartName="/xl/tables/table600.xml" ContentType="application/vnd.openxmlformats-officedocument.spreadsheetml.table+xml"/>
  <Override PartName="/xl/tables/table601.xml" ContentType="application/vnd.openxmlformats-officedocument.spreadsheetml.table+xml"/>
  <Override PartName="/xl/tables/table602.xml" ContentType="application/vnd.openxmlformats-officedocument.spreadsheetml.table+xml"/>
  <Override PartName="/xl/tables/table603.xml" ContentType="application/vnd.openxmlformats-officedocument.spreadsheetml.table+xml"/>
  <Override PartName="/xl/comments129.xml" ContentType="application/vnd.openxmlformats-officedocument.spreadsheetml.comments+xml"/>
  <Override PartName="/xl/tables/table604.xml" ContentType="application/vnd.openxmlformats-officedocument.spreadsheetml.table+xml"/>
  <Override PartName="/xl/comments130.xml" ContentType="application/vnd.openxmlformats-officedocument.spreadsheetml.comments+xml"/>
  <Override PartName="/xl/tables/table605.xml" ContentType="application/vnd.openxmlformats-officedocument.spreadsheetml.table+xml"/>
  <Override PartName="/xl/comments131.xml" ContentType="application/vnd.openxmlformats-officedocument.spreadsheetml.comments+xml"/>
  <Override PartName="/xl/tables/table606.xml" ContentType="application/vnd.openxmlformats-officedocument.spreadsheetml.table+xml"/>
  <Override PartName="/xl/comments132.xml" ContentType="application/vnd.openxmlformats-officedocument.spreadsheetml.comments+xml"/>
  <Override PartName="/xl/tables/table607.xml" ContentType="application/vnd.openxmlformats-officedocument.spreadsheetml.table+xml"/>
  <Override PartName="/xl/comments133.xml" ContentType="application/vnd.openxmlformats-officedocument.spreadsheetml.comments+xml"/>
  <Override PartName="/xl/tables/table608.xml" ContentType="application/vnd.openxmlformats-officedocument.spreadsheetml.table+xml"/>
  <Override PartName="/xl/comments134.xml" ContentType="application/vnd.openxmlformats-officedocument.spreadsheetml.comments+xml"/>
  <Override PartName="/xl/tables/table609.xml" ContentType="application/vnd.openxmlformats-officedocument.spreadsheetml.table+xml"/>
  <Override PartName="/xl/comments135.xml" ContentType="application/vnd.openxmlformats-officedocument.spreadsheetml.comments+xml"/>
  <Override PartName="/xl/tables/table610.xml" ContentType="application/vnd.openxmlformats-officedocument.spreadsheetml.table+xml"/>
  <Override PartName="/xl/comments136.xml" ContentType="application/vnd.openxmlformats-officedocument.spreadsheetml.comments+xml"/>
  <Override PartName="/xl/tables/table611.xml" ContentType="application/vnd.openxmlformats-officedocument.spreadsheetml.table+xml"/>
  <Override PartName="/xl/comments137.xml" ContentType="application/vnd.openxmlformats-officedocument.spreadsheetml.comments+xml"/>
  <Override PartName="/xl/tables/table612.xml" ContentType="application/vnd.openxmlformats-officedocument.spreadsheetml.table+xml"/>
  <Override PartName="/xl/comments138.xml" ContentType="application/vnd.openxmlformats-officedocument.spreadsheetml.comments+xml"/>
  <Override PartName="/xl/tables/table613.xml" ContentType="application/vnd.openxmlformats-officedocument.spreadsheetml.table+xml"/>
  <Override PartName="/xl/comments139.xml" ContentType="application/vnd.openxmlformats-officedocument.spreadsheetml.comments+xml"/>
  <Override PartName="/xl/tables/table614.xml" ContentType="application/vnd.openxmlformats-officedocument.spreadsheetml.table+xml"/>
  <Override PartName="/xl/comments140.xml" ContentType="application/vnd.openxmlformats-officedocument.spreadsheetml.comments+xml"/>
  <Override PartName="/xl/tables/table615.xml" ContentType="application/vnd.openxmlformats-officedocument.spreadsheetml.table+xml"/>
  <Override PartName="/xl/comments141.xml" ContentType="application/vnd.openxmlformats-officedocument.spreadsheetml.comments+xml"/>
  <Override PartName="/xl/tables/table616.xml" ContentType="application/vnd.openxmlformats-officedocument.spreadsheetml.table+xml"/>
  <Override PartName="/xl/comments142.xml" ContentType="application/vnd.openxmlformats-officedocument.spreadsheetml.comments+xml"/>
  <Override PartName="/xl/tables/table617.xml" ContentType="application/vnd.openxmlformats-officedocument.spreadsheetml.table+xml"/>
  <Override PartName="/xl/comments143.xml" ContentType="application/vnd.openxmlformats-officedocument.spreadsheetml.comments+xml"/>
  <Override PartName="/xl/tables/table618.xml" ContentType="application/vnd.openxmlformats-officedocument.spreadsheetml.table+xml"/>
  <Override PartName="/xl/comments144.xml" ContentType="application/vnd.openxmlformats-officedocument.spreadsheetml.comments+xml"/>
  <Override PartName="/xl/tables/table619.xml" ContentType="application/vnd.openxmlformats-officedocument.spreadsheetml.table+xml"/>
  <Override PartName="/xl/comments145.xml" ContentType="application/vnd.openxmlformats-officedocument.spreadsheetml.comments+xml"/>
  <Override PartName="/xl/tables/table620.xml" ContentType="application/vnd.openxmlformats-officedocument.spreadsheetml.table+xml"/>
  <Override PartName="/xl/comments146.xml" ContentType="application/vnd.openxmlformats-officedocument.spreadsheetml.comments+xml"/>
  <Override PartName="/xl/tables/table621.xml" ContentType="application/vnd.openxmlformats-officedocument.spreadsheetml.table+xml"/>
  <Override PartName="/xl/comments147.xml" ContentType="application/vnd.openxmlformats-officedocument.spreadsheetml.comments+xml"/>
  <Override PartName="/xl/tables/table622.xml" ContentType="application/vnd.openxmlformats-officedocument.spreadsheetml.table+xml"/>
  <Override PartName="/xl/comments148.xml" ContentType="application/vnd.openxmlformats-officedocument.spreadsheetml.comments+xml"/>
  <Override PartName="/xl/tables/table623.xml" ContentType="application/vnd.openxmlformats-officedocument.spreadsheetml.table+xml"/>
  <Override PartName="/xl/comments149.xml" ContentType="application/vnd.openxmlformats-officedocument.spreadsheetml.comments+xml"/>
  <Override PartName="/xl/tables/table624.xml" ContentType="application/vnd.openxmlformats-officedocument.spreadsheetml.table+xml"/>
  <Override PartName="/xl/comments150.xml" ContentType="application/vnd.openxmlformats-officedocument.spreadsheetml.comments+xml"/>
  <Override PartName="/xl/tables/table625.xml" ContentType="application/vnd.openxmlformats-officedocument.spreadsheetml.table+xml"/>
  <Override PartName="/xl/comments151.xml" ContentType="application/vnd.openxmlformats-officedocument.spreadsheetml.comments+xml"/>
  <Override PartName="/xl/tables/table626.xml" ContentType="application/vnd.openxmlformats-officedocument.spreadsheetml.table+xml"/>
  <Override PartName="/xl/comments152.xml" ContentType="application/vnd.openxmlformats-officedocument.spreadsheetml.comments+xml"/>
  <Override PartName="/xl/tables/table627.xml" ContentType="application/vnd.openxmlformats-officedocument.spreadsheetml.table+xml"/>
  <Override PartName="/xl/comments153.xml" ContentType="application/vnd.openxmlformats-officedocument.spreadsheetml.comments+xml"/>
  <Override PartName="/xl/tables/table628.xml" ContentType="application/vnd.openxmlformats-officedocument.spreadsheetml.table+xml"/>
  <Override PartName="/xl/comments154.xml" ContentType="application/vnd.openxmlformats-officedocument.spreadsheetml.comments+xml"/>
  <Override PartName="/xl/tables/table629.xml" ContentType="application/vnd.openxmlformats-officedocument.spreadsheetml.table+xml"/>
  <Override PartName="/xl/comments155.xml" ContentType="application/vnd.openxmlformats-officedocument.spreadsheetml.comments+xml"/>
  <Override PartName="/xl/tables/table630.xml" ContentType="application/vnd.openxmlformats-officedocument.spreadsheetml.table+xml"/>
  <Override PartName="/xl/tables/table631.xml" ContentType="application/vnd.openxmlformats-officedocument.spreadsheetml.table+xml"/>
  <Override PartName="/xl/comments156.xml" ContentType="application/vnd.openxmlformats-officedocument.spreadsheetml.comments+xml"/>
  <Override PartName="/xl/tables/table632.xml" ContentType="application/vnd.openxmlformats-officedocument.spreadsheetml.table+xml"/>
  <Override PartName="/xl/comments157.xml" ContentType="application/vnd.openxmlformats-officedocument.spreadsheetml.comments+xml"/>
  <Override PartName="/xl/tables/table633.xml" ContentType="application/vnd.openxmlformats-officedocument.spreadsheetml.table+xml"/>
  <Override PartName="/xl/comments158.xml" ContentType="application/vnd.openxmlformats-officedocument.spreadsheetml.comments+xml"/>
  <Override PartName="/xl/tables/table634.xml" ContentType="application/vnd.openxmlformats-officedocument.spreadsheetml.table+xml"/>
  <Override PartName="/xl/comments159.xml" ContentType="application/vnd.openxmlformats-officedocument.spreadsheetml.comments+xml"/>
  <Override PartName="/xl/drawings/drawing1.xml" ContentType="application/vnd.openxmlformats-officedocument.drawing+xml"/>
  <Override PartName="/xl/tables/table635.xml" ContentType="application/vnd.openxmlformats-officedocument.spreadsheetml.table+xml"/>
  <Override PartName="/xl/comments160.xml" ContentType="application/vnd.openxmlformats-officedocument.spreadsheetml.comments+xml"/>
  <Override PartName="/xl/ink/ink1.xml" ContentType="application/inkml+xml"/>
  <Override PartName="/xl/drawings/drawing2.xml" ContentType="application/vnd.openxmlformats-officedocument.drawing+xml"/>
  <Override PartName="/xl/tables/table636.xml" ContentType="application/vnd.openxmlformats-officedocument.spreadsheetml.table+xml"/>
  <Override PartName="/xl/comments161.xml" ContentType="application/vnd.openxmlformats-officedocument.spreadsheetml.comments+xml"/>
  <Override PartName="/xl/ink/ink2.xml" ContentType="application/inkml+xml"/>
  <Override PartName="/xl/drawings/drawing3.xml" ContentType="application/vnd.openxmlformats-officedocument.drawing+xml"/>
  <Override PartName="/xl/tables/table637.xml" ContentType="application/vnd.openxmlformats-officedocument.spreadsheetml.table+xml"/>
  <Override PartName="/xl/comments162.xml" ContentType="application/vnd.openxmlformats-officedocument.spreadsheetml.comments+xml"/>
  <Override PartName="/xl/ink/ink3.xml" ContentType="application/inkml+xml"/>
  <Override PartName="/xl/drawings/drawing4.xml" ContentType="application/vnd.openxmlformats-officedocument.drawing+xml"/>
  <Override PartName="/xl/tables/table638.xml" ContentType="application/vnd.openxmlformats-officedocument.spreadsheetml.table+xml"/>
  <Override PartName="/xl/comments163.xml" ContentType="application/vnd.openxmlformats-officedocument.spreadsheetml.comments+xml"/>
  <Override PartName="/xl/ink/ink4.xml" ContentType="application/inkml+xml"/>
  <Override PartName="/xl/drawings/drawing5.xml" ContentType="application/vnd.openxmlformats-officedocument.drawing+xml"/>
  <Override PartName="/xl/tables/table639.xml" ContentType="application/vnd.openxmlformats-officedocument.spreadsheetml.table+xml"/>
  <Override PartName="/xl/comments164.xml" ContentType="application/vnd.openxmlformats-officedocument.spreadsheetml.comments+xml"/>
  <Override PartName="/xl/ink/ink5.xml" ContentType="application/inkml+xml"/>
  <Override PartName="/xl/drawings/drawing6.xml" ContentType="application/vnd.openxmlformats-officedocument.drawing+xml"/>
  <Override PartName="/xl/tables/table640.xml" ContentType="application/vnd.openxmlformats-officedocument.spreadsheetml.table+xml"/>
  <Override PartName="/xl/comments165.xml" ContentType="application/vnd.openxmlformats-officedocument.spreadsheetml.comments+xml"/>
  <Override PartName="/xl/ink/ink6.xml" ContentType="application/inkml+xml"/>
  <Override PartName="/xl/drawings/drawing7.xml" ContentType="application/vnd.openxmlformats-officedocument.drawing+xml"/>
  <Override PartName="/xl/tables/table641.xml" ContentType="application/vnd.openxmlformats-officedocument.spreadsheetml.table+xml"/>
  <Override PartName="/xl/comments166.xml" ContentType="application/vnd.openxmlformats-officedocument.spreadsheetml.comments+xml"/>
  <Override PartName="/xl/ink/ink7.xml" ContentType="application/inkml+xml"/>
  <Override PartName="/xl/drawings/drawing8.xml" ContentType="application/vnd.openxmlformats-officedocument.drawing+xml"/>
  <Override PartName="/xl/tables/table642.xml" ContentType="application/vnd.openxmlformats-officedocument.spreadsheetml.table+xml"/>
  <Override PartName="/xl/comments167.xml" ContentType="application/vnd.openxmlformats-officedocument.spreadsheetml.comments+xml"/>
  <Override PartName="/xl/ink/ink8.xml" ContentType="application/inkml+xml"/>
  <Override PartName="/xl/drawings/drawing9.xml" ContentType="application/vnd.openxmlformats-officedocument.drawing+xml"/>
  <Override PartName="/xl/tables/table643.xml" ContentType="application/vnd.openxmlformats-officedocument.spreadsheetml.table+xml"/>
  <Override PartName="/xl/comments168.xml" ContentType="application/vnd.openxmlformats-officedocument.spreadsheetml.comments+xml"/>
  <Override PartName="/xl/ink/ink9.xml" ContentType="application/inkml+xml"/>
  <Override PartName="/xl/drawings/drawing10.xml" ContentType="application/vnd.openxmlformats-officedocument.drawing+xml"/>
  <Override PartName="/xl/tables/table644.xml" ContentType="application/vnd.openxmlformats-officedocument.spreadsheetml.table+xml"/>
  <Override PartName="/xl/comments169.xml" ContentType="application/vnd.openxmlformats-officedocument.spreadsheetml.comments+xml"/>
  <Override PartName="/xl/ink/ink10.xml" ContentType="application/inkml+xml"/>
  <Override PartName="/xl/drawings/drawing11.xml" ContentType="application/vnd.openxmlformats-officedocument.drawing+xml"/>
  <Override PartName="/xl/tables/table645.xml" ContentType="application/vnd.openxmlformats-officedocument.spreadsheetml.table+xml"/>
  <Override PartName="/xl/comments170.xml" ContentType="application/vnd.openxmlformats-officedocument.spreadsheetml.comments+xml"/>
  <Override PartName="/xl/ink/ink11.xml" ContentType="application/inkml+xml"/>
  <Override PartName="/xl/drawings/drawing12.xml" ContentType="application/vnd.openxmlformats-officedocument.drawing+xml"/>
  <Override PartName="/xl/tables/table646.xml" ContentType="application/vnd.openxmlformats-officedocument.spreadsheetml.table+xml"/>
  <Override PartName="/xl/comments171.xml" ContentType="application/vnd.openxmlformats-officedocument.spreadsheetml.comments+xml"/>
  <Override PartName="/xl/ink/ink12.xml" ContentType="application/inkml+xml"/>
  <Override PartName="/xl/drawings/drawing13.xml" ContentType="application/vnd.openxmlformats-officedocument.drawing+xml"/>
  <Override PartName="/xl/tables/table647.xml" ContentType="application/vnd.openxmlformats-officedocument.spreadsheetml.table+xml"/>
  <Override PartName="/xl/comments172.xml" ContentType="application/vnd.openxmlformats-officedocument.spreadsheetml.comments+xml"/>
  <Override PartName="/xl/ink/ink13.xml" ContentType="application/inkml+xml"/>
  <Override PartName="/xl/drawings/drawing14.xml" ContentType="application/vnd.openxmlformats-officedocument.drawing+xml"/>
  <Override PartName="/xl/tables/table648.xml" ContentType="application/vnd.openxmlformats-officedocument.spreadsheetml.table+xml"/>
  <Override PartName="/xl/comments173.xml" ContentType="application/vnd.openxmlformats-officedocument.spreadsheetml.comments+xml"/>
  <Override PartName="/xl/ink/ink14.xml" ContentType="application/inkml+xml"/>
  <Override PartName="/xl/drawings/drawing15.xml" ContentType="application/vnd.openxmlformats-officedocument.drawing+xml"/>
  <Override PartName="/xl/tables/table649.xml" ContentType="application/vnd.openxmlformats-officedocument.spreadsheetml.table+xml"/>
  <Override PartName="/xl/comments174.xml" ContentType="application/vnd.openxmlformats-officedocument.spreadsheetml.comments+xml"/>
  <Override PartName="/xl/ink/ink15.xml" ContentType="application/inkml+xml"/>
  <Override PartName="/xl/drawings/drawing16.xml" ContentType="application/vnd.openxmlformats-officedocument.drawing+xml"/>
  <Override PartName="/xl/tables/table650.xml" ContentType="application/vnd.openxmlformats-officedocument.spreadsheetml.table+xml"/>
  <Override PartName="/xl/comments175.xml" ContentType="application/vnd.openxmlformats-officedocument.spreadsheetml.comments+xml"/>
  <Override PartName="/xl/ink/ink16.xml" ContentType="application/inkml+xml"/>
  <Override PartName="/xl/drawings/drawing17.xml" ContentType="application/vnd.openxmlformats-officedocument.drawing+xml"/>
  <Override PartName="/xl/tables/table651.xml" ContentType="application/vnd.openxmlformats-officedocument.spreadsheetml.table+xml"/>
  <Override PartName="/xl/comments176.xml" ContentType="application/vnd.openxmlformats-officedocument.spreadsheetml.comments+xml"/>
  <Override PartName="/xl/ink/ink17.xml" ContentType="application/inkml+xml"/>
  <Override PartName="/xl/drawings/drawing18.xml" ContentType="application/vnd.openxmlformats-officedocument.drawing+xml"/>
  <Override PartName="/xl/tables/table652.xml" ContentType="application/vnd.openxmlformats-officedocument.spreadsheetml.table+xml"/>
  <Override PartName="/xl/comments177.xml" ContentType="application/vnd.openxmlformats-officedocument.spreadsheetml.comments+xml"/>
  <Override PartName="/xl/ink/ink18.xml" ContentType="application/inkml+xml"/>
  <Override PartName="/xl/drawings/drawing19.xml" ContentType="application/vnd.openxmlformats-officedocument.drawing+xml"/>
  <Override PartName="/xl/tables/table653.xml" ContentType="application/vnd.openxmlformats-officedocument.spreadsheetml.table+xml"/>
  <Override PartName="/xl/comments178.xml" ContentType="application/vnd.openxmlformats-officedocument.spreadsheetml.comments+xml"/>
  <Override PartName="/xl/ink/ink19.xml" ContentType="application/inkml+xml"/>
  <Override PartName="/xl/drawings/drawing20.xml" ContentType="application/vnd.openxmlformats-officedocument.drawing+xml"/>
  <Override PartName="/xl/tables/table654.xml" ContentType="application/vnd.openxmlformats-officedocument.spreadsheetml.table+xml"/>
  <Override PartName="/xl/comments179.xml" ContentType="application/vnd.openxmlformats-officedocument.spreadsheetml.comments+xml"/>
  <Override PartName="/xl/ink/ink20.xml" ContentType="application/inkml+xml"/>
  <Override PartName="/xl/drawings/drawing21.xml" ContentType="application/vnd.openxmlformats-officedocument.drawing+xml"/>
  <Override PartName="/xl/tables/table655.xml" ContentType="application/vnd.openxmlformats-officedocument.spreadsheetml.table+xml"/>
  <Override PartName="/xl/comments180.xml" ContentType="application/vnd.openxmlformats-officedocument.spreadsheetml.comments+xml"/>
  <Override PartName="/xl/ink/ink21.xml" ContentType="application/inkml+xml"/>
  <Override PartName="/xl/drawings/drawing22.xml" ContentType="application/vnd.openxmlformats-officedocument.drawing+xml"/>
  <Override PartName="/xl/tables/table656.xml" ContentType="application/vnd.openxmlformats-officedocument.spreadsheetml.table+xml"/>
  <Override PartName="/xl/comments181.xml" ContentType="application/vnd.openxmlformats-officedocument.spreadsheetml.comments+xml"/>
  <Override PartName="/xl/ink/ink22.xml" ContentType="application/inkml+xml"/>
  <Override PartName="/xl/drawings/drawing23.xml" ContentType="application/vnd.openxmlformats-officedocument.drawing+xml"/>
  <Override PartName="/xl/tables/table657.xml" ContentType="application/vnd.openxmlformats-officedocument.spreadsheetml.table+xml"/>
  <Override PartName="/xl/comments182.xml" ContentType="application/vnd.openxmlformats-officedocument.spreadsheetml.comments+xml"/>
  <Override PartName="/xl/ink/ink23.xml" ContentType="application/inkml+xml"/>
  <Override PartName="/xl/drawings/drawing24.xml" ContentType="application/vnd.openxmlformats-officedocument.drawing+xml"/>
  <Override PartName="/xl/tables/table658.xml" ContentType="application/vnd.openxmlformats-officedocument.spreadsheetml.table+xml"/>
  <Override PartName="/xl/comments183.xml" ContentType="application/vnd.openxmlformats-officedocument.spreadsheetml.comments+xml"/>
  <Override PartName="/xl/ink/ink24.xml" ContentType="application/inkml+xml"/>
  <Override PartName="/xl/drawings/drawing25.xml" ContentType="application/vnd.openxmlformats-officedocument.drawing+xml"/>
  <Override PartName="/xl/tables/table659.xml" ContentType="application/vnd.openxmlformats-officedocument.spreadsheetml.table+xml"/>
  <Override PartName="/xl/comments184.xml" ContentType="application/vnd.openxmlformats-officedocument.spreadsheetml.comments+xml"/>
  <Override PartName="/xl/ink/ink25.xml" ContentType="application/inkml+xml"/>
  <Override PartName="/xl/drawings/drawing26.xml" ContentType="application/vnd.openxmlformats-officedocument.drawing+xml"/>
  <Override PartName="/xl/tables/table660.xml" ContentType="application/vnd.openxmlformats-officedocument.spreadsheetml.table+xml"/>
  <Override PartName="/xl/comments185.xml" ContentType="application/vnd.openxmlformats-officedocument.spreadsheetml.comments+xml"/>
  <Override PartName="/xl/ink/ink26.xml" ContentType="application/inkml+xml"/>
  <Override PartName="/xl/drawings/drawing27.xml" ContentType="application/vnd.openxmlformats-officedocument.drawing+xml"/>
  <Override PartName="/xl/tables/table661.xml" ContentType="application/vnd.openxmlformats-officedocument.spreadsheetml.table+xml"/>
  <Override PartName="/xl/comments186.xml" ContentType="application/vnd.openxmlformats-officedocument.spreadsheetml.comments+xml"/>
  <Override PartName="/xl/ink/ink27.xml" ContentType="application/inkml+xml"/>
  <Override PartName="/xl/drawings/drawing28.xml" ContentType="application/vnd.openxmlformats-officedocument.drawing+xml"/>
  <Override PartName="/xl/tables/table662.xml" ContentType="application/vnd.openxmlformats-officedocument.spreadsheetml.table+xml"/>
  <Override PartName="/xl/comments187.xml" ContentType="application/vnd.openxmlformats-officedocument.spreadsheetml.comments+xml"/>
  <Override PartName="/xl/ink/ink28.xml" ContentType="application/inkml+xml"/>
  <Override PartName="/xl/drawings/drawing29.xml" ContentType="application/vnd.openxmlformats-officedocument.drawing+xml"/>
  <Override PartName="/xl/tables/table663.xml" ContentType="application/vnd.openxmlformats-officedocument.spreadsheetml.table+xml"/>
  <Override PartName="/xl/comments188.xml" ContentType="application/vnd.openxmlformats-officedocument.spreadsheetml.comments+xml"/>
  <Override PartName="/xl/ink/ink29.xml" ContentType="application/inkml+xml"/>
  <Override PartName="/xl/drawings/drawing30.xml" ContentType="application/vnd.openxmlformats-officedocument.drawing+xml"/>
  <Override PartName="/xl/tables/table664.xml" ContentType="application/vnd.openxmlformats-officedocument.spreadsheetml.table+xml"/>
  <Override PartName="/xl/ink/ink30.xml" ContentType="application/inkml+xml"/>
  <Override PartName="/xl/drawings/drawing31.xml" ContentType="application/vnd.openxmlformats-officedocument.drawing+xml"/>
  <Override PartName="/xl/tables/table665.xml" ContentType="application/vnd.openxmlformats-officedocument.spreadsheetml.table+xml"/>
  <Override PartName="/xl/ink/ink31.xml" ContentType="application/inkml+xml"/>
  <Override PartName="/xl/drawings/drawing32.xml" ContentType="application/vnd.openxmlformats-officedocument.drawing+xml"/>
  <Override PartName="/xl/tables/table666.xml" ContentType="application/vnd.openxmlformats-officedocument.spreadsheetml.table+xml"/>
  <Override PartName="/xl/ink/ink32.xml" ContentType="application/inkml+xml"/>
  <Override PartName="/xl/drawings/drawing33.xml" ContentType="application/vnd.openxmlformats-officedocument.drawing+xml"/>
  <Override PartName="/xl/tables/table667.xml" ContentType="application/vnd.openxmlformats-officedocument.spreadsheetml.table+xml"/>
  <Override PartName="/xl/ink/ink33.xml" ContentType="application/inkml+xml"/>
  <Override PartName="/xl/drawings/drawing34.xml" ContentType="application/vnd.openxmlformats-officedocument.drawing+xml"/>
  <Override PartName="/xl/tables/table668.xml" ContentType="application/vnd.openxmlformats-officedocument.spreadsheetml.table+xml"/>
  <Override PartName="/xl/ink/ink34.xml" ContentType="application/inkml+xml"/>
  <Override PartName="/xl/drawings/drawing35.xml" ContentType="application/vnd.openxmlformats-officedocument.drawing+xml"/>
  <Override PartName="/xl/tables/table669.xml" ContentType="application/vnd.openxmlformats-officedocument.spreadsheetml.table+xml"/>
  <Override PartName="/xl/ink/ink35.xml" ContentType="application/inkml+xml"/>
  <Override PartName="/xl/drawings/drawing36.xml" ContentType="application/vnd.openxmlformats-officedocument.drawing+xml"/>
  <Override PartName="/xl/tables/table670.xml" ContentType="application/vnd.openxmlformats-officedocument.spreadsheetml.table+xml"/>
  <Override PartName="/xl/ink/ink36.xml" ContentType="application/inkml+xml"/>
  <Override PartName="/xl/drawings/drawing37.xml" ContentType="application/vnd.openxmlformats-officedocument.drawing+xml"/>
  <Override PartName="/xl/tables/table671.xml" ContentType="application/vnd.openxmlformats-officedocument.spreadsheetml.table+xml"/>
  <Override PartName="/xl/ink/ink37.xml" ContentType="application/inkml+xml"/>
  <Override PartName="/xl/drawings/drawing38.xml" ContentType="application/vnd.openxmlformats-officedocument.drawing+xml"/>
  <Override PartName="/xl/tables/table672.xml" ContentType="application/vnd.openxmlformats-officedocument.spreadsheetml.table+xml"/>
  <Override PartName="/xl/ink/ink38.xml" ContentType="application/inkml+xml"/>
  <Override PartName="/xl/drawings/drawing39.xml" ContentType="application/vnd.openxmlformats-officedocument.drawing+xml"/>
  <Override PartName="/xl/tables/table673.xml" ContentType="application/vnd.openxmlformats-officedocument.spreadsheetml.table+xml"/>
  <Override PartName="/xl/comments189.xml" ContentType="application/vnd.openxmlformats-officedocument.spreadsheetml.comments+xml"/>
  <Override PartName="/xl/ink/ink39.xml" ContentType="application/inkml+xml"/>
  <Override PartName="/xl/drawings/drawing40.xml" ContentType="application/vnd.openxmlformats-officedocument.drawing+xml"/>
  <Override PartName="/xl/tables/table674.xml" ContentType="application/vnd.openxmlformats-officedocument.spreadsheetml.table+xml"/>
  <Override PartName="/xl/comments190.xml" ContentType="application/vnd.openxmlformats-officedocument.spreadsheetml.comments+xml"/>
  <Override PartName="/xl/ink/ink40.xml" ContentType="application/inkml+xml"/>
  <Override PartName="/xl/drawings/drawing41.xml" ContentType="application/vnd.openxmlformats-officedocument.drawing+xml"/>
  <Override PartName="/xl/tables/table675.xml" ContentType="application/vnd.openxmlformats-officedocument.spreadsheetml.table+xml"/>
  <Override PartName="/xl/comments191.xml" ContentType="application/vnd.openxmlformats-officedocument.spreadsheetml.comments+xml"/>
  <Override PartName="/xl/ink/ink41.xml" ContentType="application/inkml+xml"/>
  <Override PartName="/xl/drawings/drawing42.xml" ContentType="application/vnd.openxmlformats-officedocument.drawing+xml"/>
  <Override PartName="/xl/tables/table676.xml" ContentType="application/vnd.openxmlformats-officedocument.spreadsheetml.table+xml"/>
  <Override PartName="/xl/comments192.xml" ContentType="application/vnd.openxmlformats-officedocument.spreadsheetml.comments+xml"/>
  <Override PartName="/xl/ink/ink42.xml" ContentType="application/inkml+xml"/>
  <Override PartName="/xl/drawings/drawing43.xml" ContentType="application/vnd.openxmlformats-officedocument.drawing+xml"/>
  <Override PartName="/xl/tables/table677.xml" ContentType="application/vnd.openxmlformats-officedocument.spreadsheetml.table+xml"/>
  <Override PartName="/xl/comments193.xml" ContentType="application/vnd.openxmlformats-officedocument.spreadsheetml.comments+xml"/>
  <Override PartName="/xl/ink/ink43.xml" ContentType="application/inkml+xml"/>
  <Override PartName="/xl/drawings/drawing44.xml" ContentType="application/vnd.openxmlformats-officedocument.drawing+xml"/>
  <Override PartName="/xl/tables/table678.xml" ContentType="application/vnd.openxmlformats-officedocument.spreadsheetml.table+xml"/>
  <Override PartName="/xl/comments194.xml" ContentType="application/vnd.openxmlformats-officedocument.spreadsheetml.comments+xml"/>
  <Override PartName="/xl/ink/ink44.xml" ContentType="application/inkml+xml"/>
  <Override PartName="/xl/drawings/drawing45.xml" ContentType="application/vnd.openxmlformats-officedocument.drawing+xml"/>
  <Override PartName="/xl/tables/table679.xml" ContentType="application/vnd.openxmlformats-officedocument.spreadsheetml.table+xml"/>
  <Override PartName="/xl/comments195.xml" ContentType="application/vnd.openxmlformats-officedocument.spreadsheetml.comments+xml"/>
  <Override PartName="/xl/ink/ink45.xml" ContentType="application/inkml+xml"/>
  <Override PartName="/xl/drawings/drawing46.xml" ContentType="application/vnd.openxmlformats-officedocument.drawing+xml"/>
  <Override PartName="/xl/tables/table680.xml" ContentType="application/vnd.openxmlformats-officedocument.spreadsheetml.table+xml"/>
  <Override PartName="/xl/comments196.xml" ContentType="application/vnd.openxmlformats-officedocument.spreadsheetml.comments+xml"/>
  <Override PartName="/xl/ink/ink46.xml" ContentType="application/inkml+xml"/>
  <Override PartName="/xl/drawings/drawing47.xml" ContentType="application/vnd.openxmlformats-officedocument.drawing+xml"/>
  <Override PartName="/xl/tables/table681.xml" ContentType="application/vnd.openxmlformats-officedocument.spreadsheetml.table+xml"/>
  <Override PartName="/xl/comments197.xml" ContentType="application/vnd.openxmlformats-officedocument.spreadsheetml.comments+xml"/>
  <Override PartName="/xl/ink/ink47.xml" ContentType="application/inkml+xml"/>
  <Override PartName="/xl/drawings/drawing48.xml" ContentType="application/vnd.openxmlformats-officedocument.drawing+xml"/>
  <Override PartName="/xl/tables/table682.xml" ContentType="application/vnd.openxmlformats-officedocument.spreadsheetml.table+xml"/>
  <Override PartName="/xl/comments198.xml" ContentType="application/vnd.openxmlformats-officedocument.spreadsheetml.comments+xml"/>
  <Override PartName="/xl/ink/ink48.xml" ContentType="application/inkml+xml"/>
  <Override PartName="/xl/drawings/drawing49.xml" ContentType="application/vnd.openxmlformats-officedocument.drawing+xml"/>
  <Override PartName="/xl/tables/table683.xml" ContentType="application/vnd.openxmlformats-officedocument.spreadsheetml.table+xml"/>
  <Override PartName="/xl/comments199.xml" ContentType="application/vnd.openxmlformats-officedocument.spreadsheetml.comments+xml"/>
  <Override PartName="/xl/ink/ink49.xml" ContentType="application/inkml+xml"/>
  <Override PartName="/xl/drawings/drawing50.xml" ContentType="application/vnd.openxmlformats-officedocument.drawing+xml"/>
  <Override PartName="/xl/tables/table684.xml" ContentType="application/vnd.openxmlformats-officedocument.spreadsheetml.table+xml"/>
  <Override PartName="/xl/comments200.xml" ContentType="application/vnd.openxmlformats-officedocument.spreadsheetml.comments+xml"/>
  <Override PartName="/xl/ink/ink50.xml" ContentType="application/inkml+xml"/>
  <Override PartName="/xl/drawings/drawing51.xml" ContentType="application/vnd.openxmlformats-officedocument.drawing+xml"/>
  <Override PartName="/xl/tables/table685.xml" ContentType="application/vnd.openxmlformats-officedocument.spreadsheetml.table+xml"/>
  <Override PartName="/xl/comments201.xml" ContentType="application/vnd.openxmlformats-officedocument.spreadsheetml.comments+xml"/>
  <Override PartName="/xl/ink/ink51.xml" ContentType="application/inkml+xml"/>
  <Override PartName="/xl/drawings/drawing52.xml" ContentType="application/vnd.openxmlformats-officedocument.drawing+xml"/>
  <Override PartName="/xl/tables/table686.xml" ContentType="application/vnd.openxmlformats-officedocument.spreadsheetml.table+xml"/>
  <Override PartName="/xl/comments202.xml" ContentType="application/vnd.openxmlformats-officedocument.spreadsheetml.comments+xml"/>
  <Override PartName="/xl/ink/ink52.xml" ContentType="application/inkml+xml"/>
  <Override PartName="/xl/drawings/drawing53.xml" ContentType="application/vnd.openxmlformats-officedocument.drawing+xml"/>
  <Override PartName="/xl/tables/table687.xml" ContentType="application/vnd.openxmlformats-officedocument.spreadsheetml.table+xml"/>
  <Override PartName="/xl/comments203.xml" ContentType="application/vnd.openxmlformats-officedocument.spreadsheetml.comments+xml"/>
  <Override PartName="/xl/ink/ink53.xml" ContentType="application/inkml+xml"/>
  <Override PartName="/xl/drawings/drawing54.xml" ContentType="application/vnd.openxmlformats-officedocument.drawing+xml"/>
  <Override PartName="/xl/tables/table688.xml" ContentType="application/vnd.openxmlformats-officedocument.spreadsheetml.table+xml"/>
  <Override PartName="/xl/comments204.xml" ContentType="application/vnd.openxmlformats-officedocument.spreadsheetml.comments+xml"/>
  <Override PartName="/xl/ink/ink54.xml" ContentType="application/inkml+xml"/>
  <Override PartName="/xl/drawings/drawing55.xml" ContentType="application/vnd.openxmlformats-officedocument.drawing+xml"/>
  <Override PartName="/xl/tables/table689.xml" ContentType="application/vnd.openxmlformats-officedocument.spreadsheetml.table+xml"/>
  <Override PartName="/xl/comments205.xml" ContentType="application/vnd.openxmlformats-officedocument.spreadsheetml.comments+xml"/>
  <Override PartName="/xl/ink/ink55.xml" ContentType="application/inkml+xml"/>
  <Override PartName="/xl/drawings/drawing56.xml" ContentType="application/vnd.openxmlformats-officedocument.drawing+xml"/>
  <Override PartName="/xl/tables/table690.xml" ContentType="application/vnd.openxmlformats-officedocument.spreadsheetml.table+xml"/>
  <Override PartName="/xl/comments206.xml" ContentType="application/vnd.openxmlformats-officedocument.spreadsheetml.comments+xml"/>
  <Override PartName="/xl/ink/ink56.xml" ContentType="application/inkml+xml"/>
  <Override PartName="/xl/drawings/drawing57.xml" ContentType="application/vnd.openxmlformats-officedocument.drawing+xml"/>
  <Override PartName="/xl/tables/table691.xml" ContentType="application/vnd.openxmlformats-officedocument.spreadsheetml.table+xml"/>
  <Override PartName="/xl/comments207.xml" ContentType="application/vnd.openxmlformats-officedocument.spreadsheetml.comments+xml"/>
  <Override PartName="/xl/ink/ink57.xml" ContentType="application/inkml+xml"/>
  <Override PartName="/xl/drawings/drawing58.xml" ContentType="application/vnd.openxmlformats-officedocument.drawing+xml"/>
  <Override PartName="/xl/tables/table692.xml" ContentType="application/vnd.openxmlformats-officedocument.spreadsheetml.table+xml"/>
  <Override PartName="/xl/comments208.xml" ContentType="application/vnd.openxmlformats-officedocument.spreadsheetml.comments+xml"/>
  <Override PartName="/xl/ink/ink58.xml" ContentType="application/inkml+xml"/>
  <Override PartName="/xl/drawings/drawing59.xml" ContentType="application/vnd.openxmlformats-officedocument.drawing+xml"/>
  <Override PartName="/xl/tables/table693.xml" ContentType="application/vnd.openxmlformats-officedocument.spreadsheetml.table+xml"/>
  <Override PartName="/xl/comments209.xml" ContentType="application/vnd.openxmlformats-officedocument.spreadsheetml.comments+xml"/>
  <Override PartName="/xl/ink/ink59.xml" ContentType="application/inkml+xml"/>
  <Override PartName="/xl/drawings/drawing60.xml" ContentType="application/vnd.openxmlformats-officedocument.drawing+xml"/>
  <Override PartName="/xl/tables/table694.xml" ContentType="application/vnd.openxmlformats-officedocument.spreadsheetml.table+xml"/>
  <Override PartName="/xl/comments210.xml" ContentType="application/vnd.openxmlformats-officedocument.spreadsheetml.comments+xml"/>
  <Override PartName="/xl/ink/ink60.xml" ContentType="application/inkml+xml"/>
  <Override PartName="/xl/drawings/drawing61.xml" ContentType="application/vnd.openxmlformats-officedocument.drawing+xml"/>
  <Override PartName="/xl/tables/table695.xml" ContentType="application/vnd.openxmlformats-officedocument.spreadsheetml.table+xml"/>
  <Override PartName="/xl/comments211.xml" ContentType="application/vnd.openxmlformats-officedocument.spreadsheetml.comments+xml"/>
  <Override PartName="/xl/ink/ink61.xml" ContentType="application/inkml+xml"/>
  <Override PartName="/xl/drawings/drawing62.xml" ContentType="application/vnd.openxmlformats-officedocument.drawing+xml"/>
  <Override PartName="/xl/tables/table696.xml" ContentType="application/vnd.openxmlformats-officedocument.spreadsheetml.table+xml"/>
  <Override PartName="/xl/comments212.xml" ContentType="application/vnd.openxmlformats-officedocument.spreadsheetml.comments+xml"/>
  <Override PartName="/xl/ink/ink62.xml" ContentType="application/inkml+xml"/>
  <Override PartName="/xl/drawings/drawing63.xml" ContentType="application/vnd.openxmlformats-officedocument.drawing+xml"/>
  <Override PartName="/xl/tables/table697.xml" ContentType="application/vnd.openxmlformats-officedocument.spreadsheetml.table+xml"/>
  <Override PartName="/xl/comments213.xml" ContentType="application/vnd.openxmlformats-officedocument.spreadsheetml.comments+xml"/>
  <Override PartName="/xl/ink/ink63.xml" ContentType="application/inkml+xml"/>
  <Override PartName="/xl/drawings/drawing64.xml" ContentType="application/vnd.openxmlformats-officedocument.drawing+xml"/>
  <Override PartName="/xl/tables/table698.xml" ContentType="application/vnd.openxmlformats-officedocument.spreadsheetml.table+xml"/>
  <Override PartName="/xl/comments214.xml" ContentType="application/vnd.openxmlformats-officedocument.spreadsheetml.comments+xml"/>
  <Override PartName="/xl/ink/ink64.xml" ContentType="application/inkml+xml"/>
  <Override PartName="/xl/drawings/drawing65.xml" ContentType="application/vnd.openxmlformats-officedocument.drawing+xml"/>
  <Override PartName="/xl/tables/table699.xml" ContentType="application/vnd.openxmlformats-officedocument.spreadsheetml.table+xml"/>
  <Override PartName="/xl/comments215.xml" ContentType="application/vnd.openxmlformats-officedocument.spreadsheetml.comments+xml"/>
  <Override PartName="/xl/ink/ink65.xml" ContentType="application/inkml+xml"/>
  <Override PartName="/xl/drawings/drawing66.xml" ContentType="application/vnd.openxmlformats-officedocument.drawing+xml"/>
  <Override PartName="/xl/tables/table700.xml" ContentType="application/vnd.openxmlformats-officedocument.spreadsheetml.table+xml"/>
  <Override PartName="/xl/comments216.xml" ContentType="application/vnd.openxmlformats-officedocument.spreadsheetml.comments+xml"/>
  <Override PartName="/xl/ink/ink66.xml" ContentType="application/inkml+xml"/>
  <Override PartName="/xl/drawings/drawing67.xml" ContentType="application/vnd.openxmlformats-officedocument.drawing+xml"/>
  <Override PartName="/xl/tables/table701.xml" ContentType="application/vnd.openxmlformats-officedocument.spreadsheetml.table+xml"/>
  <Override PartName="/xl/comments217.xml" ContentType="application/vnd.openxmlformats-officedocument.spreadsheetml.comments+xml"/>
  <Override PartName="/xl/ink/ink67.xml" ContentType="application/inkml+xml"/>
  <Override PartName="/xl/drawings/drawing68.xml" ContentType="application/vnd.openxmlformats-officedocument.drawing+xml"/>
  <Override PartName="/xl/tables/table702.xml" ContentType="application/vnd.openxmlformats-officedocument.spreadsheetml.table+xml"/>
  <Override PartName="/xl/comments218.xml" ContentType="application/vnd.openxmlformats-officedocument.spreadsheetml.comments+xml"/>
  <Override PartName="/xl/ink/ink68.xml" ContentType="application/inkml+xml"/>
  <Override PartName="/xl/drawings/drawing69.xml" ContentType="application/vnd.openxmlformats-officedocument.drawing+xml"/>
  <Override PartName="/xl/tables/table703.xml" ContentType="application/vnd.openxmlformats-officedocument.spreadsheetml.table+xml"/>
  <Override PartName="/xl/comments219.xml" ContentType="application/vnd.openxmlformats-officedocument.spreadsheetml.comments+xml"/>
  <Override PartName="/xl/ink/ink69.xml" ContentType="application/inkml+xml"/>
  <Override PartName="/xl/drawings/drawing70.xml" ContentType="application/vnd.openxmlformats-officedocument.drawing+xml"/>
  <Override PartName="/xl/tables/table704.xml" ContentType="application/vnd.openxmlformats-officedocument.spreadsheetml.table+xml"/>
  <Override PartName="/xl/comments220.xml" ContentType="application/vnd.openxmlformats-officedocument.spreadsheetml.comments+xml"/>
  <Override PartName="/xl/ink/ink70.xml" ContentType="application/inkml+xml"/>
  <Override PartName="/xl/tables/table705.xml" ContentType="application/vnd.openxmlformats-officedocument.spreadsheetml.table+xml"/>
  <Override PartName="/xl/comments221.xml" ContentType="application/vnd.openxmlformats-officedocument.spreadsheetml.comments+xml"/>
  <Override PartName="/xl/tables/table706.xml" ContentType="application/vnd.openxmlformats-officedocument.spreadsheetml.table+xml"/>
  <Override PartName="/xl/comments222.xml" ContentType="application/vnd.openxmlformats-officedocument.spreadsheetml.comments+xml"/>
  <Override PartName="/xl/tables/table707.xml" ContentType="application/vnd.openxmlformats-officedocument.spreadsheetml.table+xml"/>
  <Override PartName="/xl/comments223.xml" ContentType="application/vnd.openxmlformats-officedocument.spreadsheetml.comments+xml"/>
  <Override PartName="/xl/tables/table708.xml" ContentType="application/vnd.openxmlformats-officedocument.spreadsheetml.table+xml"/>
  <Override PartName="/xl/comments224.xml" ContentType="application/vnd.openxmlformats-officedocument.spreadsheetml.comments+xml"/>
  <Override PartName="/xl/tables/table709.xml" ContentType="application/vnd.openxmlformats-officedocument.spreadsheetml.table+xml"/>
  <Override PartName="/xl/comments225.xml" ContentType="application/vnd.openxmlformats-officedocument.spreadsheetml.comments+xml"/>
  <Override PartName="/xl/tables/table710.xml" ContentType="application/vnd.openxmlformats-officedocument.spreadsheetml.table+xml"/>
  <Override PartName="/xl/comments226.xml" ContentType="application/vnd.openxmlformats-officedocument.spreadsheetml.comments+xml"/>
  <Override PartName="/xl/tables/table711.xml" ContentType="application/vnd.openxmlformats-officedocument.spreadsheetml.table+xml"/>
  <Override PartName="/xl/comments227.xml" ContentType="application/vnd.openxmlformats-officedocument.spreadsheetml.comments+xml"/>
  <Override PartName="/xl/tables/table712.xml" ContentType="application/vnd.openxmlformats-officedocument.spreadsheetml.table+xml"/>
  <Override PartName="/xl/comments228.xml" ContentType="application/vnd.openxmlformats-officedocument.spreadsheetml.comments+xml"/>
  <Override PartName="/xl/tables/table713.xml" ContentType="application/vnd.openxmlformats-officedocument.spreadsheetml.table+xml"/>
  <Override PartName="/xl/comments229.xml" ContentType="application/vnd.openxmlformats-officedocument.spreadsheetml.comments+xml"/>
  <Override PartName="/xl/tables/table714.xml" ContentType="application/vnd.openxmlformats-officedocument.spreadsheetml.table+xml"/>
  <Override PartName="/xl/comments230.xml" ContentType="application/vnd.openxmlformats-officedocument.spreadsheetml.comments+xml"/>
  <Override PartName="/xl/tables/table715.xml" ContentType="application/vnd.openxmlformats-officedocument.spreadsheetml.table+xml"/>
  <Override PartName="/xl/comments231.xml" ContentType="application/vnd.openxmlformats-officedocument.spreadsheetml.comments+xml"/>
  <Override PartName="/xl/tables/table716.xml" ContentType="application/vnd.openxmlformats-officedocument.spreadsheetml.table+xml"/>
  <Override PartName="/xl/comments232.xml" ContentType="application/vnd.openxmlformats-officedocument.spreadsheetml.comments+xml"/>
  <Override PartName="/xl/tables/table717.xml" ContentType="application/vnd.openxmlformats-officedocument.spreadsheetml.table+xml"/>
  <Override PartName="/xl/comments233.xml" ContentType="application/vnd.openxmlformats-officedocument.spreadsheetml.comments+xml"/>
  <Override PartName="/xl/tables/table718.xml" ContentType="application/vnd.openxmlformats-officedocument.spreadsheetml.table+xml"/>
  <Override PartName="/xl/comments234.xml" ContentType="application/vnd.openxmlformats-officedocument.spreadsheetml.comments+xml"/>
  <Override PartName="/xl/tables/table719.xml" ContentType="application/vnd.openxmlformats-officedocument.spreadsheetml.table+xml"/>
  <Override PartName="/xl/comments235.xml" ContentType="application/vnd.openxmlformats-officedocument.spreadsheetml.comments+xml"/>
  <Override PartName="/xl/tables/table720.xml" ContentType="application/vnd.openxmlformats-officedocument.spreadsheetml.table+xml"/>
  <Override PartName="/xl/comments236.xml" ContentType="application/vnd.openxmlformats-officedocument.spreadsheetml.comments+xml"/>
  <Override PartName="/xl/tables/table721.xml" ContentType="application/vnd.openxmlformats-officedocument.spreadsheetml.table+xml"/>
  <Override PartName="/xl/comments237.xml" ContentType="application/vnd.openxmlformats-officedocument.spreadsheetml.comments+xml"/>
  <Override PartName="/xl/tables/table722.xml" ContentType="application/vnd.openxmlformats-officedocument.spreadsheetml.table+xml"/>
  <Override PartName="/xl/comments238.xml" ContentType="application/vnd.openxmlformats-officedocument.spreadsheetml.comments+xml"/>
  <Override PartName="/xl/tables/table723.xml" ContentType="application/vnd.openxmlformats-officedocument.spreadsheetml.table+xml"/>
  <Override PartName="/xl/comments239.xml" ContentType="application/vnd.openxmlformats-officedocument.spreadsheetml.comments+xml"/>
  <Override PartName="/xl/tables/table724.xml" ContentType="application/vnd.openxmlformats-officedocument.spreadsheetml.table+xml"/>
  <Override PartName="/xl/comments240.xml" ContentType="application/vnd.openxmlformats-officedocument.spreadsheetml.comments+xml"/>
  <Override PartName="/xl/tables/table725.xml" ContentType="application/vnd.openxmlformats-officedocument.spreadsheetml.table+xml"/>
  <Override PartName="/xl/comments241.xml" ContentType="application/vnd.openxmlformats-officedocument.spreadsheetml.comments+xml"/>
  <Override PartName="/xl/tables/table726.xml" ContentType="application/vnd.openxmlformats-officedocument.spreadsheetml.table+xml"/>
  <Override PartName="/xl/comments242.xml" ContentType="application/vnd.openxmlformats-officedocument.spreadsheetml.comments+xml"/>
  <Override PartName="/xl/tables/table727.xml" ContentType="application/vnd.openxmlformats-officedocument.spreadsheetml.table+xml"/>
  <Override PartName="/xl/comments243.xml" ContentType="application/vnd.openxmlformats-officedocument.spreadsheetml.comments+xml"/>
  <Override PartName="/xl/tables/table728.xml" ContentType="application/vnd.openxmlformats-officedocument.spreadsheetml.table+xml"/>
  <Override PartName="/xl/comments244.xml" ContentType="application/vnd.openxmlformats-officedocument.spreadsheetml.comments+xml"/>
  <Override PartName="/xl/tables/table729.xml" ContentType="application/vnd.openxmlformats-officedocument.spreadsheetml.table+xml"/>
  <Override PartName="/xl/comments245.xml" ContentType="application/vnd.openxmlformats-officedocument.spreadsheetml.comments+xml"/>
  <Override PartName="/xl/tables/table730.xml" ContentType="application/vnd.openxmlformats-officedocument.spreadsheetml.table+xml"/>
  <Override PartName="/xl/comments246.xml" ContentType="application/vnd.openxmlformats-officedocument.spreadsheetml.comments+xml"/>
  <Override PartName="/xl/tables/table731.xml" ContentType="application/vnd.openxmlformats-officedocument.spreadsheetml.table+xml"/>
  <Override PartName="/xl/comments247.xml" ContentType="application/vnd.openxmlformats-officedocument.spreadsheetml.comments+xml"/>
  <Override PartName="/xl/tables/table732.xml" ContentType="application/vnd.openxmlformats-officedocument.spreadsheetml.table+xml"/>
  <Override PartName="/xl/comments248.xml" ContentType="application/vnd.openxmlformats-officedocument.spreadsheetml.comments+xml"/>
  <Override PartName="/xl/tables/table733.xml" ContentType="application/vnd.openxmlformats-officedocument.spreadsheetml.table+xml"/>
  <Override PartName="/xl/comments249.xml" ContentType="application/vnd.openxmlformats-officedocument.spreadsheetml.comments+xml"/>
  <Override PartName="/xl/tables/table734.xml" ContentType="application/vnd.openxmlformats-officedocument.spreadsheetml.table+xml"/>
  <Override PartName="/xl/comments250.xml" ContentType="application/vnd.openxmlformats-officedocument.spreadsheetml.comments+xml"/>
  <Override PartName="/xl/tables/table735.xml" ContentType="application/vnd.openxmlformats-officedocument.spreadsheetml.table+xml"/>
  <Override PartName="/xl/comments251.xml" ContentType="application/vnd.openxmlformats-officedocument.spreadsheetml.comments+xml"/>
  <Override PartName="/xl/tables/table736.xml" ContentType="application/vnd.openxmlformats-officedocument.spreadsheetml.table+xml"/>
  <Override PartName="/xl/comments252.xml" ContentType="application/vnd.openxmlformats-officedocument.spreadsheetml.comments+xml"/>
  <Override PartName="/xl/tables/table737.xml" ContentType="application/vnd.openxmlformats-officedocument.spreadsheetml.table+xml"/>
  <Override PartName="/xl/comments253.xml" ContentType="application/vnd.openxmlformats-officedocument.spreadsheetml.comments+xml"/>
  <Override PartName="/xl/tables/table738.xml" ContentType="application/vnd.openxmlformats-officedocument.spreadsheetml.table+xml"/>
  <Override PartName="/xl/comments254.xml" ContentType="application/vnd.openxmlformats-officedocument.spreadsheetml.comments+xml"/>
  <Override PartName="/xl/tables/table739.xml" ContentType="application/vnd.openxmlformats-officedocument.spreadsheetml.table+xml"/>
  <Override PartName="/xl/comments255.xml" ContentType="application/vnd.openxmlformats-officedocument.spreadsheetml.comments+xml"/>
  <Override PartName="/xl/tables/table740.xml" ContentType="application/vnd.openxmlformats-officedocument.spreadsheetml.table+xml"/>
  <Override PartName="/xl/comments256.xml" ContentType="application/vnd.openxmlformats-officedocument.spreadsheetml.comments+xml"/>
  <Override PartName="/xl/tables/table741.xml" ContentType="application/vnd.openxmlformats-officedocument.spreadsheetml.table+xml"/>
  <Override PartName="/xl/comments257.xml" ContentType="application/vnd.openxmlformats-officedocument.spreadsheetml.comments+xml"/>
  <Override PartName="/xl/tables/table742.xml" ContentType="application/vnd.openxmlformats-officedocument.spreadsheetml.table+xml"/>
  <Override PartName="/xl/comments258.xml" ContentType="application/vnd.openxmlformats-officedocument.spreadsheetml.comments+xml"/>
  <Override PartName="/xl/tables/table743.xml" ContentType="application/vnd.openxmlformats-officedocument.spreadsheetml.table+xml"/>
  <Override PartName="/xl/comments259.xml" ContentType="application/vnd.openxmlformats-officedocument.spreadsheetml.comments+xml"/>
  <Override PartName="/xl/pivotTables/pivotTable1.xml" ContentType="application/vnd.openxmlformats-officedocument.spreadsheetml.pivotTable+xml"/>
  <Override PartName="/xl/tables/table744.xml" ContentType="application/vnd.openxmlformats-officedocument.spreadsheetml.table+xml"/>
  <Override PartName="/xl/queryTables/queryTable1.xml" ContentType="application/vnd.openxmlformats-officedocument.spreadsheetml.queryTable+xml"/>
  <Override PartName="/xl/tables/table745.xml" ContentType="application/vnd.openxmlformats-officedocument.spreadsheetml.table+xml"/>
  <Override PartName="/xl/tables/table746.xml" ContentType="application/vnd.openxmlformats-officedocument.spreadsheetml.table+xml"/>
  <Override PartName="/xl/comments26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mc:AlternateContent xmlns:mc="http://schemas.openxmlformats.org/markup-compatibility/2006">
    <mc:Choice Requires="x15">
      <x15ac:absPath xmlns:x15ac="http://schemas.microsoft.com/office/spreadsheetml/2010/11/ac" url="D:\Env't\_BoST\REPORT ON BDCs 2022\Daily BCD Transfer Report MONTHLY ACCUMULATION\2022\"/>
    </mc:Choice>
  </mc:AlternateContent>
  <xr:revisionPtr revIDLastSave="0" documentId="13_ncr:1_{2ECF0D2D-894A-4395-AE96-54C9418E5558}" xr6:coauthVersionLast="47" xr6:coauthVersionMax="47" xr10:uidLastSave="{00000000-0000-0000-0000-000000000000}"/>
  <bookViews>
    <workbookView xWindow="-108" yWindow="-108" windowWidth="23256" windowHeight="12456" tabRatio="877" firstSheet="730" activeTab="741" xr2:uid="{00000000-000D-0000-FFFF-FFFF00000000}"/>
  </bookViews>
  <sheets>
    <sheet name="03-01-2020" sheetId="140" r:id="rId1"/>
    <sheet name="06-01-2020" sheetId="137" r:id="rId2"/>
    <sheet name="08-01-2020" sheetId="141" r:id="rId3"/>
    <sheet name="09-01-2020" sheetId="142" r:id="rId4"/>
    <sheet name="10-01-2020" sheetId="143" r:id="rId5"/>
    <sheet name="13-01-2020" sheetId="144" r:id="rId6"/>
    <sheet name="14-01-2020" sheetId="145" r:id="rId7"/>
    <sheet name="15-01-2020 " sheetId="146" r:id="rId8"/>
    <sheet name="16-01-2020" sheetId="150" r:id="rId9"/>
    <sheet name="17-01-2020" sheetId="148" r:id="rId10"/>
    <sheet name="20-01-2020" sheetId="149" r:id="rId11"/>
    <sheet name="21-01-2020" sheetId="151" r:id="rId12"/>
    <sheet name="22-01-2020" sheetId="152" r:id="rId13"/>
    <sheet name="23-01-2020" sheetId="153" r:id="rId14"/>
    <sheet name="24-01-2020" sheetId="154" r:id="rId15"/>
    <sheet name="27-01-2020" sheetId="155" r:id="rId16"/>
    <sheet name="28-01-2020" sheetId="156" r:id="rId17"/>
    <sheet name="29-01-2020" sheetId="157" r:id="rId18"/>
    <sheet name="30-01-2020" sheetId="158" r:id="rId19"/>
    <sheet name="31-01-2020" sheetId="159" r:id="rId20"/>
    <sheet name="03-02-2020" sheetId="160" r:id="rId21"/>
    <sheet name="04-02-2020" sheetId="161" r:id="rId22"/>
    <sheet name="05-02-2020" sheetId="162" r:id="rId23"/>
    <sheet name="06-02-2020" sheetId="163" r:id="rId24"/>
    <sheet name="07-02-2020" sheetId="164" r:id="rId25"/>
    <sheet name="10-02-2020" sheetId="165" r:id="rId26"/>
    <sheet name="11-02-2020" sheetId="166" r:id="rId27"/>
    <sheet name="12-02-2020" sheetId="167" r:id="rId28"/>
    <sheet name="13-02-2020" sheetId="168" r:id="rId29"/>
    <sheet name="14-02-2020" sheetId="169" r:id="rId30"/>
    <sheet name="17-02-2020" sheetId="170" r:id="rId31"/>
    <sheet name="18-02-2020" sheetId="171" r:id="rId32"/>
    <sheet name="19-02-2020" sheetId="172" r:id="rId33"/>
    <sheet name="20-02-2020" sheetId="173" r:id="rId34"/>
    <sheet name="21-02-2020" sheetId="174" r:id="rId35"/>
    <sheet name="24-02-2020" sheetId="175" r:id="rId36"/>
    <sheet name="25-02-2020" sheetId="176" r:id="rId37"/>
    <sheet name="26-02-2020" sheetId="177" r:id="rId38"/>
    <sheet name="27-02-2020" sheetId="178" r:id="rId39"/>
    <sheet name="28-02-2020" sheetId="179" r:id="rId40"/>
    <sheet name="02-03-2020" sheetId="180" r:id="rId41"/>
    <sheet name="03-03-2020" sheetId="181" r:id="rId42"/>
    <sheet name="04-03-2020" sheetId="1" r:id="rId43"/>
    <sheet name="05-03-2020" sheetId="183" r:id="rId44"/>
    <sheet name="09-03-2020" sheetId="184" r:id="rId45"/>
    <sheet name="10-03-2020" sheetId="185" r:id="rId46"/>
    <sheet name="11-03-2020" sheetId="186" r:id="rId47"/>
    <sheet name="12-03-2020" sheetId="187" r:id="rId48"/>
    <sheet name="13-03-2020" sheetId="188" r:id="rId49"/>
    <sheet name="16-03-2020" sheetId="189" r:id="rId50"/>
    <sheet name="17-03-2020" sheetId="190" r:id="rId51"/>
    <sheet name="18-03-2020" sheetId="191" r:id="rId52"/>
    <sheet name="19-03-2020" sheetId="192" r:id="rId53"/>
    <sheet name="20-03-2020" sheetId="193" r:id="rId54"/>
    <sheet name="23-03-2020" sheetId="194" r:id="rId55"/>
    <sheet name="24-03-2020" sheetId="195" r:id="rId56"/>
    <sheet name="25-03-2020" sheetId="196" r:id="rId57"/>
    <sheet name="26-03-2020" sheetId="197" r:id="rId58"/>
    <sheet name="27-03-2020" sheetId="198" r:id="rId59"/>
    <sheet name="30-03-2020" sheetId="199" r:id="rId60"/>
    <sheet name="31-03-2020" sheetId="200" r:id="rId61"/>
    <sheet name="01-04-2020" sheetId="201" r:id="rId62"/>
    <sheet name="02-04-2020" sheetId="202" r:id="rId63"/>
    <sheet name="03-04-2020" sheetId="203" r:id="rId64"/>
    <sheet name="06-04-2020" sheetId="204" r:id="rId65"/>
    <sheet name="07-04-2020" sheetId="205" r:id="rId66"/>
    <sheet name="08-04-2020" sheetId="206" r:id="rId67"/>
    <sheet name="09-04-2020" sheetId="207" r:id="rId68"/>
    <sheet name="14-04-2020" sheetId="208" r:id="rId69"/>
    <sheet name="15-04-2020" sheetId="209" r:id="rId70"/>
    <sheet name="16-04-2020" sheetId="210" r:id="rId71"/>
    <sheet name="17-04-2020" sheetId="211" r:id="rId72"/>
    <sheet name="20-04-2020" sheetId="212" r:id="rId73"/>
    <sheet name="21-04-2020" sheetId="213" r:id="rId74"/>
    <sheet name="22-04-2020" sheetId="214" r:id="rId75"/>
    <sheet name="23-04-2020" sheetId="215" r:id="rId76"/>
    <sheet name="24-04-2020" sheetId="216" r:id="rId77"/>
    <sheet name="27-04-2020" sheetId="217" r:id="rId78"/>
    <sheet name="28-04-2020" sheetId="218" r:id="rId79"/>
    <sheet name="29-04-2020" sheetId="219" r:id="rId80"/>
    <sheet name="30-04-2020" sheetId="220" r:id="rId81"/>
    <sheet name="04-05-2020" sheetId="221" r:id="rId82"/>
    <sheet name="05-05-2020" sheetId="222" r:id="rId83"/>
    <sheet name="06-05-2020" sheetId="223" r:id="rId84"/>
    <sheet name="07-05-2020" sheetId="224" r:id="rId85"/>
    <sheet name="08-05-2020" sheetId="225" r:id="rId86"/>
    <sheet name="11-05-2020" sheetId="226" r:id="rId87"/>
    <sheet name="12-05-2020" sheetId="227" r:id="rId88"/>
    <sheet name="13-05-2020" sheetId="228" r:id="rId89"/>
    <sheet name="14-05-2020" sheetId="229" r:id="rId90"/>
    <sheet name="15-05-2020" sheetId="230" r:id="rId91"/>
    <sheet name="18-05-2020" sheetId="231" r:id="rId92"/>
    <sheet name="19-05-2020" sheetId="232" r:id="rId93"/>
    <sheet name="20-05-2020" sheetId="233" r:id="rId94"/>
    <sheet name="21-05-2020" sheetId="234" r:id="rId95"/>
    <sheet name="22-05-2020" sheetId="235" r:id="rId96"/>
    <sheet name="26-05-2020" sheetId="236" r:id="rId97"/>
    <sheet name="27-05-2020" sheetId="237" r:id="rId98"/>
    <sheet name="28-05-2020" sheetId="238" r:id="rId99"/>
    <sheet name="29-05-2020" sheetId="239" r:id="rId100"/>
    <sheet name="02-06-2020" sheetId="240" r:id="rId101"/>
    <sheet name="03-06-2020" sheetId="241" r:id="rId102"/>
    <sheet name="04-06-2020" sheetId="242" r:id="rId103"/>
    <sheet name="05-06-2020" sheetId="243" r:id="rId104"/>
    <sheet name="06-06-2020" sheetId="244" r:id="rId105"/>
    <sheet name="08-06-2020" sheetId="245" r:id="rId106"/>
    <sheet name="09-06-2020" sheetId="246" r:id="rId107"/>
    <sheet name="10-06-2020" sheetId="247" r:id="rId108"/>
    <sheet name="11-06-2020" sheetId="248" r:id="rId109"/>
    <sheet name="12-06-2020" sheetId="249" r:id="rId110"/>
    <sheet name="13-06-2020" sheetId="250" r:id="rId111"/>
    <sheet name="15-06-2020" sheetId="251" r:id="rId112"/>
    <sheet name="16-06-2020" sheetId="252" r:id="rId113"/>
    <sheet name="17-06-2020" sheetId="253" r:id="rId114"/>
    <sheet name="18-06-2020" sheetId="254" r:id="rId115"/>
    <sheet name="19-06-2020" sheetId="255" r:id="rId116"/>
    <sheet name="20-06-2020" sheetId="256" r:id="rId117"/>
    <sheet name="22-06-2020" sheetId="257" r:id="rId118"/>
    <sheet name="23-06-2020" sheetId="258" r:id="rId119"/>
    <sheet name="24-06-2020" sheetId="259" r:id="rId120"/>
    <sheet name="25-06-2020" sheetId="260" r:id="rId121"/>
    <sheet name="26-06-2020" sheetId="261" r:id="rId122"/>
    <sheet name="29-06-2020" sheetId="262" r:id="rId123"/>
    <sheet name="30-06-2020" sheetId="263" r:id="rId124"/>
    <sheet name="02-07-2020 " sheetId="264" r:id="rId125"/>
    <sheet name="03-07-2020" sheetId="8" r:id="rId126"/>
    <sheet name="06-07-2020" sheetId="9" r:id="rId127"/>
    <sheet name="07-07-2020" sheetId="10" r:id="rId128"/>
    <sheet name="08-07-2020" sheetId="11" r:id="rId129"/>
    <sheet name="09-07-2020" sheetId="12" r:id="rId130"/>
    <sheet name="10-07-2020" sheetId="13" r:id="rId131"/>
    <sheet name="11-07-2020" sheetId="14" r:id="rId132"/>
    <sheet name="13-07-2020" sheetId="15" r:id="rId133"/>
    <sheet name="14-07-2020" sheetId="16" r:id="rId134"/>
    <sheet name="15-07-2020" sheetId="17" r:id="rId135"/>
    <sheet name="16-07-2020" sheetId="18" r:id="rId136"/>
    <sheet name="17-07-2020" sheetId="19" r:id="rId137"/>
    <sheet name="20-07-2020" sheetId="20" r:id="rId138"/>
    <sheet name="21-07-2020" sheetId="21" r:id="rId139"/>
    <sheet name="22-07-2020" sheetId="22" r:id="rId140"/>
    <sheet name="23-07-2020" sheetId="23" r:id="rId141"/>
    <sheet name="24-07-2020" sheetId="24" r:id="rId142"/>
    <sheet name="25-07-2020" sheetId="25" r:id="rId143"/>
    <sheet name="27-07-2020" sheetId="26" r:id="rId144"/>
    <sheet name="28-07-2020" sheetId="27" r:id="rId145"/>
    <sheet name="29-07-2020" sheetId="28" r:id="rId146"/>
    <sheet name="30-07-2020" sheetId="51" r:id="rId147"/>
    <sheet name="05-08-2020" sheetId="29" r:id="rId148"/>
    <sheet name="06-08-2020" sheetId="30" r:id="rId149"/>
    <sheet name="07-08-2020" sheetId="31" r:id="rId150"/>
    <sheet name="08-08-2020" sheetId="32" r:id="rId151"/>
    <sheet name="10-08-2020" sheetId="33" r:id="rId152"/>
    <sheet name="11-08-2020" sheetId="34" r:id="rId153"/>
    <sheet name="12-08-2020" sheetId="35" r:id="rId154"/>
    <sheet name="13-08-2020" sheetId="36" r:id="rId155"/>
    <sheet name="14-08-2020" sheetId="37" r:id="rId156"/>
    <sheet name="15-08-2020" sheetId="38" r:id="rId157"/>
    <sheet name="17-08-2020" sheetId="39" r:id="rId158"/>
    <sheet name="18-08-2020" sheetId="40" r:id="rId159"/>
    <sheet name="19-08-2020" sheetId="41" r:id="rId160"/>
    <sheet name="20-08-2020" sheetId="42" r:id="rId161"/>
    <sheet name="21-08-2020" sheetId="43" r:id="rId162"/>
    <sheet name="22-08-2020" sheetId="44" r:id="rId163"/>
    <sheet name="24-08-2020" sheetId="45" r:id="rId164"/>
    <sheet name="25-08-2020" sheetId="46" r:id="rId165"/>
    <sheet name="26-08-2020" sheetId="48" r:id="rId166"/>
    <sheet name="27-08-2020" sheetId="49" r:id="rId167"/>
    <sheet name="28-08-2020" sheetId="47" r:id="rId168"/>
    <sheet name="31-08-2020" sheetId="50" r:id="rId169"/>
    <sheet name="01-09-2020" sheetId="52" r:id="rId170"/>
    <sheet name="02-09-2020" sheetId="53" r:id="rId171"/>
    <sheet name="03-09-2020" sheetId="54" r:id="rId172"/>
    <sheet name="04-09-2020" sheetId="55" r:id="rId173"/>
    <sheet name="05-09-2020" sheetId="56" r:id="rId174"/>
    <sheet name="07-09-2020" sheetId="57" r:id="rId175"/>
    <sheet name="08-09-2020" sheetId="58" r:id="rId176"/>
    <sheet name="09-09-2020 " sheetId="59" r:id="rId177"/>
    <sheet name="10-09-2020 " sheetId="60" r:id="rId178"/>
    <sheet name="11-09-2020 " sheetId="62" r:id="rId179"/>
    <sheet name="14-09-2020" sheetId="64" r:id="rId180"/>
    <sheet name="15-09-2020" sheetId="65" r:id="rId181"/>
    <sheet name="16-09-2020" sheetId="66" r:id="rId182"/>
    <sheet name="17-09-2020" sheetId="63" r:id="rId183"/>
    <sheet name="18-09-2020" sheetId="61" r:id="rId184"/>
    <sheet name="22-09-2020" sheetId="67" r:id="rId185"/>
    <sheet name="23-09-2020" sheetId="68" r:id="rId186"/>
    <sheet name="24-09-2020" sheetId="69" r:id="rId187"/>
    <sheet name="25-09-2020" sheetId="70" r:id="rId188"/>
    <sheet name="28-09-2020" sheetId="71" r:id="rId189"/>
    <sheet name="29-09-2020" sheetId="72" r:id="rId190"/>
    <sheet name="30-09-2020" sheetId="73" r:id="rId191"/>
    <sheet name="01-10-2020" sheetId="74" r:id="rId192"/>
    <sheet name="02-10-2020" sheetId="75" r:id="rId193"/>
    <sheet name="05-10-2020" sheetId="76" r:id="rId194"/>
    <sheet name="06-10-2020" sheetId="77" r:id="rId195"/>
    <sheet name="07-10-2020" sheetId="78" r:id="rId196"/>
    <sheet name="08-10-2020" sheetId="79" r:id="rId197"/>
    <sheet name="09-10-2020" sheetId="80" r:id="rId198"/>
    <sheet name="12-10-2020" sheetId="81" r:id="rId199"/>
    <sheet name="13-10-2020" sheetId="82" r:id="rId200"/>
    <sheet name="14-10-2020" sheetId="83" r:id="rId201"/>
    <sheet name="15-10-2020 " sheetId="84" r:id="rId202"/>
    <sheet name="16-10-2020" sheetId="85" r:id="rId203"/>
    <sheet name="19-10-2020" sheetId="86" r:id="rId204"/>
    <sheet name="20-10-2020" sheetId="87" r:id="rId205"/>
    <sheet name="21-10-2020" sheetId="88" r:id="rId206"/>
    <sheet name="23-10-2020" sheetId="89" r:id="rId207"/>
    <sheet name="26-10-2020" sheetId="90" r:id="rId208"/>
    <sheet name="27-10-2020" sheetId="91" r:id="rId209"/>
    <sheet name="28-10-2020" sheetId="92" r:id="rId210"/>
    <sheet name="29-10-2020" sheetId="93" r:id="rId211"/>
    <sheet name="30-10-2020" sheetId="94" r:id="rId212"/>
    <sheet name="2-11-2020" sheetId="95" r:id="rId213"/>
    <sheet name="3-11-2020" sheetId="96" r:id="rId214"/>
    <sheet name="4-11-2020" sheetId="97" r:id="rId215"/>
    <sheet name="5-11-2020" sheetId="98" r:id="rId216"/>
    <sheet name="6-11-2020" sheetId="99" r:id="rId217"/>
    <sheet name="7-11-2020" sheetId="100" r:id="rId218"/>
    <sheet name="9-11-2020" sheetId="101" r:id="rId219"/>
    <sheet name="10-11-2020" sheetId="102" r:id="rId220"/>
    <sheet name="11-11-2020" sheetId="103" r:id="rId221"/>
    <sheet name="12-11-2020" sheetId="104" r:id="rId222"/>
    <sheet name="13-11-2020" sheetId="105" r:id="rId223"/>
    <sheet name="14-11-2020" sheetId="106" r:id="rId224"/>
    <sheet name="16-11-2020" sheetId="107" r:id="rId225"/>
    <sheet name="17-11-2020" sheetId="108" r:id="rId226"/>
    <sheet name="18-11-2020" sheetId="109" r:id="rId227"/>
    <sheet name="19-11-2020" sheetId="116" r:id="rId228"/>
    <sheet name="20-11-2020" sheetId="110" r:id="rId229"/>
    <sheet name="21-11-2020" sheetId="111" r:id="rId230"/>
    <sheet name="23-11-2020" sheetId="112" r:id="rId231"/>
    <sheet name="24-11-2020" sheetId="113" r:id="rId232"/>
    <sheet name="25-11-2020" sheetId="114" r:id="rId233"/>
    <sheet name="26-11-2020" sheetId="115" r:id="rId234"/>
    <sheet name="27-11-2020" sheetId="117" r:id="rId235"/>
    <sheet name="30-11-2020" sheetId="118" r:id="rId236"/>
    <sheet name="01-12-2020" sheetId="119" r:id="rId237"/>
    <sheet name="02-12-2020" sheetId="120" r:id="rId238"/>
    <sheet name="3-12-2020" sheetId="121" r:id="rId239"/>
    <sheet name="4-12-2020" sheetId="122" r:id="rId240"/>
    <sheet name="5-12-2020" sheetId="123" r:id="rId241"/>
    <sheet name="08-12-2020" sheetId="124" r:id="rId242"/>
    <sheet name="09-12-2020" sheetId="125" r:id="rId243"/>
    <sheet name="10-12-2020" sheetId="126" r:id="rId244"/>
    <sheet name="11-12-2020" sheetId="127" r:id="rId245"/>
    <sheet name="14-12-2020" sheetId="128" r:id="rId246"/>
    <sheet name="15-12-2020" sheetId="129" r:id="rId247"/>
    <sheet name="16-12-2020" sheetId="130" r:id="rId248"/>
    <sheet name="17-12-2020" sheetId="131" r:id="rId249"/>
    <sheet name="18-12-2020" sheetId="132" r:id="rId250"/>
    <sheet name="21-12-2020" sheetId="133" r:id="rId251"/>
    <sheet name="22-12-2020" sheetId="134" r:id="rId252"/>
    <sheet name="23-12-2020" sheetId="135" r:id="rId253"/>
    <sheet name="24-12-2020" sheetId="136" r:id="rId254"/>
    <sheet name="29-12-2020" sheetId="138" r:id="rId255"/>
    <sheet name="30-12-2020" sheetId="139" r:id="rId256"/>
    <sheet name="31-12-2020" sheetId="147" r:id="rId257"/>
    <sheet name="04-01-2021" sheetId="265" r:id="rId258"/>
    <sheet name="05-01-2021" sheetId="266" r:id="rId259"/>
    <sheet name="06-01-2021" sheetId="267" r:id="rId260"/>
    <sheet name="08-01-2021" sheetId="268" r:id="rId261"/>
    <sheet name="09-01-2021" sheetId="269" r:id="rId262"/>
    <sheet name="11-01-2021 " sheetId="270" r:id="rId263"/>
    <sheet name="12-01-2021" sheetId="271" r:id="rId264"/>
    <sheet name="13-01-2021" sheetId="272" r:id="rId265"/>
    <sheet name="14-01-2021" sheetId="273" r:id="rId266"/>
    <sheet name="15-01-2021" sheetId="274" r:id="rId267"/>
    <sheet name="16-01-2021" sheetId="275" r:id="rId268"/>
    <sheet name="18-01-2021" sheetId="276" r:id="rId269"/>
    <sheet name="19-01-2021" sheetId="277" r:id="rId270"/>
    <sheet name="20-01-2021" sheetId="278" r:id="rId271"/>
    <sheet name="21-01-2021" sheetId="279" r:id="rId272"/>
    <sheet name="22-01-2021" sheetId="280" r:id="rId273"/>
    <sheet name="25-01-2021" sheetId="281" r:id="rId274"/>
    <sheet name="26-01-2021" sheetId="282" r:id="rId275"/>
    <sheet name="27-01-2021 " sheetId="283" r:id="rId276"/>
    <sheet name="28-01-2021" sheetId="284" r:id="rId277"/>
    <sheet name="29-01-2021" sheetId="285" r:id="rId278"/>
    <sheet name="01-02-2021" sheetId="286" r:id="rId279"/>
    <sheet name="02-02-2021" sheetId="287" r:id="rId280"/>
    <sheet name="03-02-2021" sheetId="288" r:id="rId281"/>
    <sheet name="04-02-2021" sheetId="289" r:id="rId282"/>
    <sheet name="05-02-2021" sheetId="290" r:id="rId283"/>
    <sheet name="08-02-2021" sheetId="291" r:id="rId284"/>
    <sheet name="09-02-2021" sheetId="292" r:id="rId285"/>
    <sheet name="10-02-2021" sheetId="293" r:id="rId286"/>
    <sheet name="11-02-2021" sheetId="294" r:id="rId287"/>
    <sheet name="12-02-2021" sheetId="295" r:id="rId288"/>
    <sheet name="13-02-2021" sheetId="296" r:id="rId289"/>
    <sheet name="15-02-2021" sheetId="297" r:id="rId290"/>
    <sheet name="16-02-2021" sheetId="298" r:id="rId291"/>
    <sheet name="17-02-2021" sheetId="299" r:id="rId292"/>
    <sheet name="18-02-2021" sheetId="300" r:id="rId293"/>
    <sheet name="19-02-2021" sheetId="301" r:id="rId294"/>
    <sheet name="22-02-2021" sheetId="302" r:id="rId295"/>
    <sheet name="23-02-2021" sheetId="303" r:id="rId296"/>
    <sheet name="24-02-2021" sheetId="304" r:id="rId297"/>
    <sheet name="25-02-2021" sheetId="305" r:id="rId298"/>
    <sheet name="26-02-2021" sheetId="306" r:id="rId299"/>
    <sheet name="27-02-2021" sheetId="307" r:id="rId300"/>
    <sheet name="01-03-2021" sheetId="308" r:id="rId301"/>
    <sheet name="02-03-2021" sheetId="309" r:id="rId302"/>
    <sheet name="03-03-2021" sheetId="311" r:id="rId303"/>
    <sheet name="04-03-2021" sheetId="310" r:id="rId304"/>
    <sheet name="05-03-2021" sheetId="312" r:id="rId305"/>
    <sheet name="10-03-2021" sheetId="313" r:id="rId306"/>
    <sheet name="11-03-2021" sheetId="314" r:id="rId307"/>
    <sheet name="12-03-2021" sheetId="315" r:id="rId308"/>
    <sheet name="15-03-2021" sheetId="316" r:id="rId309"/>
    <sheet name="16-03-2021" sheetId="317" r:id="rId310"/>
    <sheet name="17-03-2021" sheetId="318" r:id="rId311"/>
    <sheet name="18-03-2021" sheetId="319" r:id="rId312"/>
    <sheet name="19-03-2021" sheetId="320" r:id="rId313"/>
    <sheet name="22-03-2021" sheetId="321" r:id="rId314"/>
    <sheet name="23-03-2021" sheetId="322" r:id="rId315"/>
    <sheet name="24-03-2021" sheetId="323" r:id="rId316"/>
    <sheet name="25-03-2021" sheetId="324" r:id="rId317"/>
    <sheet name="26-03-2021" sheetId="325" r:id="rId318"/>
    <sheet name="29-03-2021" sheetId="326" r:id="rId319"/>
    <sheet name="30-03-2021" sheetId="327" r:id="rId320"/>
    <sheet name="31-03-2021" sheetId="328" r:id="rId321"/>
    <sheet name="01-04-2021" sheetId="329" r:id="rId322"/>
    <sheet name="06-04-2021" sheetId="330" r:id="rId323"/>
    <sheet name="07-04-2021" sheetId="331" r:id="rId324"/>
    <sheet name="08-04-2021" sheetId="332" r:id="rId325"/>
    <sheet name="09-04-2021" sheetId="333" r:id="rId326"/>
    <sheet name="10-04-2021" sheetId="334" r:id="rId327"/>
    <sheet name="12-04-2021" sheetId="335" r:id="rId328"/>
    <sheet name="13-04-2021" sheetId="336" r:id="rId329"/>
    <sheet name="14-04-2021" sheetId="337" r:id="rId330"/>
    <sheet name="15-04-2021" sheetId="338" r:id="rId331"/>
    <sheet name="16-04-2021" sheetId="339" r:id="rId332"/>
    <sheet name="17-04-2021" sheetId="340" r:id="rId333"/>
    <sheet name="19-04-2021" sheetId="341" r:id="rId334"/>
    <sheet name="20-04-2021" sheetId="342" r:id="rId335"/>
    <sheet name="21-04-2021" sheetId="343" r:id="rId336"/>
    <sheet name="22-04-2021" sheetId="344" r:id="rId337"/>
    <sheet name="23-04-20" sheetId="345" r:id="rId338"/>
    <sheet name="26-04-2021" sheetId="346" r:id="rId339"/>
    <sheet name="27-04-2021" sheetId="347" r:id="rId340"/>
    <sheet name="28-04-2021 " sheetId="348" r:id="rId341"/>
    <sheet name="29-04-2021" sheetId="349" r:id="rId342"/>
    <sheet name="30-04-2021" sheetId="350" r:id="rId343"/>
    <sheet name="05-05-2021" sheetId="351" r:id="rId344"/>
    <sheet name="06-05-2021" sheetId="352" r:id="rId345"/>
    <sheet name="07-05-2021" sheetId="353" r:id="rId346"/>
    <sheet name="10-05-2021" sheetId="354" r:id="rId347"/>
    <sheet name="11-05-2021" sheetId="355" r:id="rId348"/>
    <sheet name="12-05-2021 " sheetId="356" r:id="rId349"/>
    <sheet name="14-05-2021" sheetId="357" r:id="rId350"/>
    <sheet name="17-05-2021 " sheetId="358" r:id="rId351"/>
    <sheet name="18-05-2021 " sheetId="359" r:id="rId352"/>
    <sheet name="19-05-2021  " sheetId="360" r:id="rId353"/>
    <sheet name="20-05-2021 " sheetId="361" r:id="rId354"/>
    <sheet name="21-05-2021" sheetId="362" r:id="rId355"/>
    <sheet name="24-05-2021" sheetId="363" r:id="rId356"/>
    <sheet name="25-05-2021" sheetId="364" r:id="rId357"/>
    <sheet name="26-05-2021" sheetId="365" r:id="rId358"/>
    <sheet name="27-05-2021" sheetId="366" r:id="rId359"/>
    <sheet name="28-05-2021" sheetId="369" r:id="rId360"/>
    <sheet name="31-05-2021" sheetId="370" r:id="rId361"/>
    <sheet name="01-06-2021" sheetId="371" r:id="rId362"/>
    <sheet name="02-06-2021" sheetId="372" r:id="rId363"/>
    <sheet name="03-06-2021" sheetId="373" r:id="rId364"/>
    <sheet name="04-06-2021" sheetId="374" r:id="rId365"/>
    <sheet name="07-06-2021 " sheetId="375" r:id="rId366"/>
    <sheet name="08-06-2021  " sheetId="376" r:id="rId367"/>
    <sheet name="09-06-2021" sheetId="377" r:id="rId368"/>
    <sheet name="10-06-2021 " sheetId="378" r:id="rId369"/>
    <sheet name="11-06-2021" sheetId="379" r:id="rId370"/>
    <sheet name="14-06-2021" sheetId="380" r:id="rId371"/>
    <sheet name="15-06-2021" sheetId="381" r:id="rId372"/>
    <sheet name="16-06-2021" sheetId="382" r:id="rId373"/>
    <sheet name="17-06-2021" sheetId="383" r:id="rId374"/>
    <sheet name="18-06-2021" sheetId="384" r:id="rId375"/>
    <sheet name="21-06-2021" sheetId="385" r:id="rId376"/>
    <sheet name="22-06-2021" sheetId="386" r:id="rId377"/>
    <sheet name="23-06-2021" sheetId="387" r:id="rId378"/>
    <sheet name="24-06-2021" sheetId="388" r:id="rId379"/>
    <sheet name="25-06-2021 " sheetId="389" r:id="rId380"/>
    <sheet name="28-06-2021  " sheetId="390" r:id="rId381"/>
    <sheet name="29-06-2021   " sheetId="391" r:id="rId382"/>
    <sheet name="30-06-2021    " sheetId="392" r:id="rId383"/>
    <sheet name="02-07-2021" sheetId="393" r:id="rId384"/>
    <sheet name="05-07-2021" sheetId="394" r:id="rId385"/>
    <sheet name="06-07-2021" sheetId="395" r:id="rId386"/>
    <sheet name="07-07-2021" sheetId="396" r:id="rId387"/>
    <sheet name="08-07-2021" sheetId="397" r:id="rId388"/>
    <sheet name="09-07-2021" sheetId="398" r:id="rId389"/>
    <sheet name="12-07-2021" sheetId="399" r:id="rId390"/>
    <sheet name="13-07-2021" sheetId="400" r:id="rId391"/>
    <sheet name="14-07-2021" sheetId="401" r:id="rId392"/>
    <sheet name="15-07-2021" sheetId="402" r:id="rId393"/>
    <sheet name="16-07-2021" sheetId="403" r:id="rId394"/>
    <sheet name="19-07-2021" sheetId="404" r:id="rId395"/>
    <sheet name="21-07-2021" sheetId="405" r:id="rId396"/>
    <sheet name="22-07-2021" sheetId="406" r:id="rId397"/>
    <sheet name="23-07-2021" sheetId="407" r:id="rId398"/>
    <sheet name="26-07-2021" sheetId="408" r:id="rId399"/>
    <sheet name="27-07-2021" sheetId="409" r:id="rId400"/>
    <sheet name="28-07-2021" sheetId="412" r:id="rId401"/>
    <sheet name="29-07-2021" sheetId="413" r:id="rId402"/>
    <sheet name="30-07-2021" sheetId="414" r:id="rId403"/>
    <sheet name="02-08-2021" sheetId="415" r:id="rId404"/>
    <sheet name="03-08-2021" sheetId="416" r:id="rId405"/>
    <sheet name="05-08-2021" sheetId="417" r:id="rId406"/>
    <sheet name="06-08-2021" sheetId="418" r:id="rId407"/>
    <sheet name="09-08-2021" sheetId="419" r:id="rId408"/>
    <sheet name="10-08-2021" sheetId="420" r:id="rId409"/>
    <sheet name="11-08-2021" sheetId="421" r:id="rId410"/>
    <sheet name="12-08-2021" sheetId="422" r:id="rId411"/>
    <sheet name="13-08-2021" sheetId="423" r:id="rId412"/>
    <sheet name="16-08-2021" sheetId="424" r:id="rId413"/>
    <sheet name="17-08-2021" sheetId="425" r:id="rId414"/>
    <sheet name="18-08-2021" sheetId="426" r:id="rId415"/>
    <sheet name="19-08-2021" sheetId="427" r:id="rId416"/>
    <sheet name="20-08-2021" sheetId="428" r:id="rId417"/>
    <sheet name="23-08-2021 " sheetId="429" r:id="rId418"/>
    <sheet name="24-08-2021" sheetId="430" r:id="rId419"/>
    <sheet name="25-08-2021" sheetId="431" r:id="rId420"/>
    <sheet name="26-08-2021" sheetId="432" r:id="rId421"/>
    <sheet name="27-08-2021" sheetId="433" r:id="rId422"/>
    <sheet name="30-08-2021" sheetId="434" r:id="rId423"/>
    <sheet name="31-08-2021" sheetId="435" r:id="rId424"/>
    <sheet name="02-09-2021" sheetId="436" r:id="rId425"/>
    <sheet name="03-09-2021" sheetId="437" r:id="rId426"/>
    <sheet name="06-09-2021" sheetId="438" r:id="rId427"/>
    <sheet name="07-09-2021" sheetId="439" r:id="rId428"/>
    <sheet name="08-09-2021" sheetId="440" r:id="rId429"/>
    <sheet name="09-09-2021" sheetId="441" r:id="rId430"/>
    <sheet name="10-09-2021" sheetId="442" r:id="rId431"/>
    <sheet name="13-09-2021 " sheetId="443" r:id="rId432"/>
    <sheet name="14-09-2021 " sheetId="444" r:id="rId433"/>
    <sheet name="15-09-2021  " sheetId="445" r:id="rId434"/>
    <sheet name="16-09-2021   " sheetId="446" r:id="rId435"/>
    <sheet name="17-09-2021" sheetId="448" r:id="rId436"/>
    <sheet name="20-09-2021 " sheetId="449" r:id="rId437"/>
    <sheet name="22-09-2021  " sheetId="450" r:id="rId438"/>
    <sheet name="23-09-2021" sheetId="451" r:id="rId439"/>
    <sheet name="24-09-2021 " sheetId="452" r:id="rId440"/>
    <sheet name="27-09-2021 " sheetId="453" r:id="rId441"/>
    <sheet name="28-09-2021  " sheetId="454" r:id="rId442"/>
    <sheet name="29-09-2021" sheetId="455" r:id="rId443"/>
    <sheet name="30-09-2021" sheetId="456" r:id="rId444"/>
    <sheet name="04-10-2021" sheetId="457" r:id="rId445"/>
    <sheet name="05-10-2021" sheetId="458" r:id="rId446"/>
    <sheet name="06-10-2021" sheetId="459" r:id="rId447"/>
    <sheet name="07-10-2021" sheetId="461" r:id="rId448"/>
    <sheet name="08-10-2021" sheetId="462" r:id="rId449"/>
    <sheet name="11-10-2021" sheetId="463" r:id="rId450"/>
    <sheet name="12-10-2021 " sheetId="464" r:id="rId451"/>
    <sheet name="13-10-2021" sheetId="466" r:id="rId452"/>
    <sheet name="14-10-2021" sheetId="467" r:id="rId453"/>
    <sheet name="15-10-2021" sheetId="468" r:id="rId454"/>
    <sheet name="20-10-2021 " sheetId="469" r:id="rId455"/>
    <sheet name="21-10-2021 " sheetId="470" r:id="rId456"/>
    <sheet name="22-10-2021" sheetId="471" r:id="rId457"/>
    <sheet name="25-10-2021" sheetId="472" r:id="rId458"/>
    <sheet name="26-10-2021 " sheetId="473" r:id="rId459"/>
    <sheet name="27-10-2021  " sheetId="474" r:id="rId460"/>
    <sheet name="28-10-2021" sheetId="475" r:id="rId461"/>
    <sheet name="29-10-2021" sheetId="476" r:id="rId462"/>
    <sheet name="02-11-2021" sheetId="477" r:id="rId463"/>
    <sheet name="03-11-2021" sheetId="478" r:id="rId464"/>
    <sheet name="04-11-2021" sheetId="479" r:id="rId465"/>
    <sheet name="05-11-2021" sheetId="480" r:id="rId466"/>
    <sheet name="08-11-2021" sheetId="481" r:id="rId467"/>
    <sheet name="09-11-2021" sheetId="482" r:id="rId468"/>
    <sheet name="10-11-2021" sheetId="483" r:id="rId469"/>
    <sheet name="11-11-2021" sheetId="484" r:id="rId470"/>
    <sheet name="12-11-2021" sheetId="485" r:id="rId471"/>
    <sheet name="15-11-2021" sheetId="486" r:id="rId472"/>
    <sheet name="16-11-2021" sheetId="488" r:id="rId473"/>
    <sheet name="17-11-2021" sheetId="489" r:id="rId474"/>
    <sheet name="18-11-2021 " sheetId="490" r:id="rId475"/>
    <sheet name="19-11-2021" sheetId="491" r:id="rId476"/>
    <sheet name="22-11-2021" sheetId="493" r:id="rId477"/>
    <sheet name="23-11-2021" sheetId="494" r:id="rId478"/>
    <sheet name="24-11-2021" sheetId="495" r:id="rId479"/>
    <sheet name="25-11-2021" sheetId="496" r:id="rId480"/>
    <sheet name="26-11-2021" sheetId="497" r:id="rId481"/>
    <sheet name="29-11-2021" sheetId="498" r:id="rId482"/>
    <sheet name="30-11-2021" sheetId="499" r:id="rId483"/>
    <sheet name="02-12-2021" sheetId="500" r:id="rId484"/>
    <sheet name="06-12-2021" sheetId="501" r:id="rId485"/>
    <sheet name="07-12-2021" sheetId="502" r:id="rId486"/>
    <sheet name="08-12-2021" sheetId="503" r:id="rId487"/>
    <sheet name="09-12-2021" sheetId="504" r:id="rId488"/>
    <sheet name="10-12-2021" sheetId="505" r:id="rId489"/>
    <sheet name="13-12-2021" sheetId="506" r:id="rId490"/>
    <sheet name="14-12-2021" sheetId="507" r:id="rId491"/>
    <sheet name="15-12-2021" sheetId="508" r:id="rId492"/>
    <sheet name="16-12-2021" sheetId="509" r:id="rId493"/>
    <sheet name="17-12-2021" sheetId="510" r:id="rId494"/>
    <sheet name="20-12-2021" sheetId="511" r:id="rId495"/>
    <sheet name="21-12-2021" sheetId="512" r:id="rId496"/>
    <sheet name="22-12-2021" sheetId="513" r:id="rId497"/>
    <sheet name="23-12-2021" sheetId="514" r:id="rId498"/>
    <sheet name="24-12-2021" sheetId="515" r:id="rId499"/>
    <sheet name="29-12-2021" sheetId="516" r:id="rId500"/>
    <sheet name="30-12-2021" sheetId="517" r:id="rId501"/>
    <sheet name="31-12-2021" sheetId="518" r:id="rId502"/>
    <sheet name="04-01-2022" sheetId="519" r:id="rId503"/>
    <sheet name="05-01-2022" sheetId="520" r:id="rId504"/>
    <sheet name="06-01-2022" sheetId="521" r:id="rId505"/>
    <sheet name="10-01-2022" sheetId="522" r:id="rId506"/>
    <sheet name="11-01-2022" sheetId="523" r:id="rId507"/>
    <sheet name="12-01-2022" sheetId="524" r:id="rId508"/>
    <sheet name="13-01-2022" sheetId="525" r:id="rId509"/>
    <sheet name="14-01-2022" sheetId="526" r:id="rId510"/>
    <sheet name="17-01-2022" sheetId="527" r:id="rId511"/>
    <sheet name="18-01-2022" sheetId="529" r:id="rId512"/>
    <sheet name="19-01-2022" sheetId="530" r:id="rId513"/>
    <sheet name="20-01-2022" sheetId="531" r:id="rId514"/>
    <sheet name="21-01-2022" sheetId="532" r:id="rId515"/>
    <sheet name="24-01-2022" sheetId="533" r:id="rId516"/>
    <sheet name="25-01-2022" sheetId="534" r:id="rId517"/>
    <sheet name="26-01-2022" sheetId="535" r:id="rId518"/>
    <sheet name="27-01-2022" sheetId="536" r:id="rId519"/>
    <sheet name="28-01-2022" sheetId="537" r:id="rId520"/>
    <sheet name="31-01-2022" sheetId="538" r:id="rId521"/>
    <sheet name="02-02-2022" sheetId="539" r:id="rId522"/>
    <sheet name="03-02-2022" sheetId="540" r:id="rId523"/>
    <sheet name="04-02-2022" sheetId="541" r:id="rId524"/>
    <sheet name="07-02-2022" sheetId="542" r:id="rId525"/>
    <sheet name="08-02-2022" sheetId="543" r:id="rId526"/>
    <sheet name="09-02-2022" sheetId="544" r:id="rId527"/>
    <sheet name="10-02-2022" sheetId="558" r:id="rId528"/>
    <sheet name="11-02-2022" sheetId="545" r:id="rId529"/>
    <sheet name="14-02-2022" sheetId="546" r:id="rId530"/>
    <sheet name="15-02-2022" sheetId="547" r:id="rId531"/>
    <sheet name="16-02-2022" sheetId="548" r:id="rId532"/>
    <sheet name="17-02-2022" sheetId="549" r:id="rId533"/>
    <sheet name="18-02-2022" sheetId="550" r:id="rId534"/>
    <sheet name="21-02-2022" sheetId="551" r:id="rId535"/>
    <sheet name="22-02-2022 " sheetId="552" r:id="rId536"/>
    <sheet name="23-02-2022" sheetId="553" r:id="rId537"/>
    <sheet name="24-02-2022" sheetId="554" r:id="rId538"/>
    <sheet name="25-02-2022" sheetId="555" r:id="rId539"/>
    <sheet name="28-02-2022" sheetId="556" r:id="rId540"/>
    <sheet name="01-03-2022" sheetId="557" r:id="rId541"/>
    <sheet name="02-03-2022" sheetId="559" r:id="rId542"/>
    <sheet name="03-03-2022" sheetId="560" r:id="rId543"/>
    <sheet name="04-03-2022" sheetId="561" r:id="rId544"/>
    <sheet name="08-03-2022" sheetId="562" r:id="rId545"/>
    <sheet name="09-03-2022" sheetId="563" r:id="rId546"/>
    <sheet name="10-03-2022" sheetId="565" r:id="rId547"/>
    <sheet name="11-03-2022" sheetId="566" r:id="rId548"/>
    <sheet name="14-03-2022" sheetId="567" r:id="rId549"/>
    <sheet name="15-03-2022" sheetId="568" r:id="rId550"/>
    <sheet name="16-03-2022" sheetId="569" r:id="rId551"/>
    <sheet name="17-03-2022" sheetId="570" r:id="rId552"/>
    <sheet name="18-03-2022" sheetId="571" r:id="rId553"/>
    <sheet name="21-03-2022" sheetId="572" r:id="rId554"/>
    <sheet name="22-03-2022" sheetId="573" r:id="rId555"/>
    <sheet name="23-03-2022" sheetId="574" r:id="rId556"/>
    <sheet name="24-03-2022" sheetId="575" r:id="rId557"/>
    <sheet name="25-03-2022" sheetId="576" r:id="rId558"/>
    <sheet name="28-03-2022" sheetId="577" r:id="rId559"/>
    <sheet name="29-03-2022" sheetId="578" r:id="rId560"/>
    <sheet name="30-03-2022" sheetId="579" r:id="rId561"/>
    <sheet name="31-03-2022" sheetId="580" r:id="rId562"/>
    <sheet name="04-04-2022" sheetId="581" r:id="rId563"/>
    <sheet name="05-04-2022" sheetId="582" r:id="rId564"/>
    <sheet name="06-04-2022 " sheetId="583" r:id="rId565"/>
    <sheet name="07-04-2022" sheetId="584" r:id="rId566"/>
    <sheet name="08-04-2022" sheetId="585" r:id="rId567"/>
    <sheet name="11-04-2022" sheetId="586" r:id="rId568"/>
    <sheet name="12-04-2022" sheetId="587" r:id="rId569"/>
    <sheet name="13-04-2022" sheetId="588" r:id="rId570"/>
    <sheet name="14-04-2022 " sheetId="589" r:id="rId571"/>
    <sheet name="19-04-2022" sheetId="590" r:id="rId572"/>
    <sheet name="20-04-2022" sheetId="591" r:id="rId573"/>
    <sheet name="21-04-2022" sheetId="592" r:id="rId574"/>
    <sheet name="22-04-2022" sheetId="593" r:id="rId575"/>
    <sheet name="25-04-2022" sheetId="594" r:id="rId576"/>
    <sheet name="26-04-2022" sheetId="595" r:id="rId577"/>
    <sheet name="27-04-2022" sheetId="596" r:id="rId578"/>
    <sheet name="28-04-2022" sheetId="597" r:id="rId579"/>
    <sheet name="29-04-2022" sheetId="598" r:id="rId580"/>
    <sheet name="04-05-2022" sheetId="599" r:id="rId581"/>
    <sheet name="05-05-2022" sheetId="600" r:id="rId582"/>
    <sheet name="06-05-2022" sheetId="601" r:id="rId583"/>
    <sheet name="09-05-2022" sheetId="602" r:id="rId584"/>
    <sheet name="10-05-2022" sheetId="603" r:id="rId585"/>
    <sheet name="11-05-2022" sheetId="604" r:id="rId586"/>
    <sheet name="12-05-2022" sheetId="605" r:id="rId587"/>
    <sheet name="13-05-2022" sheetId="606" r:id="rId588"/>
    <sheet name="16-05-2022" sheetId="607" r:id="rId589"/>
    <sheet name="17-05-2022" sheetId="608" r:id="rId590"/>
    <sheet name="18-05-2022" sheetId="609" r:id="rId591"/>
    <sheet name="19-05-2022" sheetId="610" r:id="rId592"/>
    <sheet name="20-05-2022" sheetId="611" r:id="rId593"/>
    <sheet name="23-05-2022 " sheetId="612" r:id="rId594"/>
    <sheet name="24-05-2022" sheetId="613" r:id="rId595"/>
    <sheet name="25-05-2022" sheetId="614" r:id="rId596"/>
    <sheet name="26-05-2022" sheetId="615" r:id="rId597"/>
    <sheet name="27-05-2022" sheetId="616" r:id="rId598"/>
    <sheet name="30-05-2022" sheetId="619" r:id="rId599"/>
    <sheet name="31-05-2022" sheetId="618" r:id="rId600"/>
    <sheet name="01-06-2022" sheetId="620" r:id="rId601"/>
    <sheet name="02-06-2022" sheetId="621" r:id="rId602"/>
    <sheet name="03-06-2022" sheetId="622" r:id="rId603"/>
    <sheet name="03-06-2022 " sheetId="623" r:id="rId604"/>
    <sheet name="06-06-2022" sheetId="624" r:id="rId605"/>
    <sheet name="07-06-2022" sheetId="625" r:id="rId606"/>
    <sheet name="08-06-2022" sheetId="626" r:id="rId607"/>
    <sheet name="09-06-2022" sheetId="627" r:id="rId608"/>
    <sheet name="10-06-2022" sheetId="628" r:id="rId609"/>
    <sheet name="13-06-2022" sheetId="629" r:id="rId610"/>
    <sheet name="14-06-2022" sheetId="630" r:id="rId611"/>
    <sheet name="15-06-2022" sheetId="631" r:id="rId612"/>
    <sheet name="16-06-2022" sheetId="632" r:id="rId613"/>
    <sheet name="17-06-2022" sheetId="633" r:id="rId614"/>
    <sheet name="20-06-2022" sheetId="634" r:id="rId615"/>
    <sheet name="21-06-2022" sheetId="635" r:id="rId616"/>
    <sheet name="22-06-2022" sheetId="636" r:id="rId617"/>
    <sheet name="23-06-2022 " sheetId="637" r:id="rId618"/>
    <sheet name="24-06-2022" sheetId="638" r:id="rId619"/>
    <sheet name="27-06-2022" sheetId="639" r:id="rId620"/>
    <sheet name="28-06-2022" sheetId="640" r:id="rId621"/>
    <sheet name="29-06-2022" sheetId="641" r:id="rId622"/>
    <sheet name="30-06-2022" sheetId="642" r:id="rId623"/>
    <sheet name="04-07-2022" sheetId="643" r:id="rId624"/>
    <sheet name="05-07-2022" sheetId="644" r:id="rId625"/>
    <sheet name="06-07-2022 " sheetId="645" r:id="rId626"/>
    <sheet name="07-07-2022" sheetId="646" r:id="rId627"/>
    <sheet name="08-07-2022" sheetId="647" r:id="rId628"/>
    <sheet name="12-07-2022" sheetId="648" r:id="rId629"/>
    <sheet name="13-07-2022" sheetId="649" r:id="rId630"/>
    <sheet name="14-07-2022" sheetId="650" r:id="rId631"/>
    <sheet name="15-07-2022" sheetId="651" r:id="rId632"/>
    <sheet name="18-07-2022" sheetId="652" r:id="rId633"/>
    <sheet name="19-07-2022" sheetId="653" r:id="rId634"/>
    <sheet name="20-07-2022" sheetId="654" r:id="rId635"/>
    <sheet name="21-07-2022" sheetId="655" r:id="rId636"/>
    <sheet name="22-07-2022" sheetId="656" r:id="rId637"/>
    <sheet name="25-07-2022" sheetId="657" r:id="rId638"/>
    <sheet name="26-07-2022" sheetId="658" r:id="rId639"/>
    <sheet name="27-07-2022" sheetId="659" r:id="rId640"/>
    <sheet name="28-07-2022" sheetId="660" r:id="rId641"/>
    <sheet name="29-07-2022" sheetId="661" r:id="rId642"/>
    <sheet name="05-08-2022" sheetId="662" r:id="rId643"/>
    <sheet name="08-08-2022" sheetId="663" r:id="rId644"/>
    <sheet name="09-08-2022" sheetId="664" r:id="rId645"/>
    <sheet name="10-08-2022" sheetId="665" r:id="rId646"/>
    <sheet name="11-08-2022" sheetId="667" r:id="rId647"/>
    <sheet name="12-08-2022" sheetId="666" r:id="rId648"/>
    <sheet name="15-08-2022" sheetId="668" r:id="rId649"/>
    <sheet name="16-08-2022" sheetId="669" r:id="rId650"/>
    <sheet name="17-08-2022" sheetId="670" r:id="rId651"/>
    <sheet name="18-08-2022" sheetId="671" r:id="rId652"/>
    <sheet name="19-08-2022" sheetId="672" r:id="rId653"/>
    <sheet name="19-08-2022 " sheetId="675" r:id="rId654"/>
    <sheet name="22-08-2022" sheetId="673" r:id="rId655"/>
    <sheet name="23-08-2022" sheetId="674" r:id="rId656"/>
    <sheet name="24-08-2022" sheetId="676" r:id="rId657"/>
    <sheet name="25-08-2022" sheetId="677" r:id="rId658"/>
    <sheet name="26-08-2022" sheetId="678" r:id="rId659"/>
    <sheet name="29-08-2022" sheetId="679" r:id="rId660"/>
    <sheet name="30-08-2022" sheetId="680" r:id="rId661"/>
    <sheet name="31-08-2022" sheetId="681" r:id="rId662"/>
    <sheet name="02-09-2022" sheetId="682" r:id="rId663"/>
    <sheet name="05-09-2022" sheetId="683" r:id="rId664"/>
    <sheet name="06-09-2022" sheetId="684" r:id="rId665"/>
    <sheet name="07-09-2022" sheetId="685" r:id="rId666"/>
    <sheet name="08-09-2022" sheetId="686" r:id="rId667"/>
    <sheet name="09-09-2022" sheetId="687" r:id="rId668"/>
    <sheet name="12-09-2022" sheetId="688" r:id="rId669"/>
    <sheet name="13-09-2022" sheetId="689" r:id="rId670"/>
    <sheet name="14-09-2022" sheetId="690" r:id="rId671"/>
    <sheet name="15-09-2022" sheetId="691" r:id="rId672"/>
    <sheet name="16-09-2022" sheetId="692" r:id="rId673"/>
    <sheet name="19-09-2022" sheetId="693" r:id="rId674"/>
    <sheet name="20-09-2022" sheetId="694" r:id="rId675"/>
    <sheet name="22-09-2022" sheetId="695" r:id="rId676"/>
    <sheet name="23-09-2022" sheetId="696" r:id="rId677"/>
    <sheet name="26-09-2022" sheetId="697" r:id="rId678"/>
    <sheet name="27-09-2022" sheetId="698" r:id="rId679"/>
    <sheet name="28-09-2022" sheetId="699" r:id="rId680"/>
    <sheet name="29-09-2022" sheetId="700" r:id="rId681"/>
    <sheet name="30-09-2022" sheetId="701" r:id="rId682"/>
    <sheet name="03-10-2022" sheetId="702" r:id="rId683"/>
    <sheet name="04-10-2022" sheetId="703" r:id="rId684"/>
    <sheet name="05-10-2022" sheetId="704" r:id="rId685"/>
    <sheet name="06-10-2022" sheetId="705" r:id="rId686"/>
    <sheet name="07-10-2022" sheetId="706" r:id="rId687"/>
    <sheet name="10-10-2022" sheetId="707" r:id="rId688"/>
    <sheet name="11-10-2022" sheetId="708" r:id="rId689"/>
    <sheet name="12-10-2022" sheetId="709" r:id="rId690"/>
    <sheet name="13-10-2022" sheetId="710" r:id="rId691"/>
    <sheet name="14-10-2022" sheetId="711" r:id="rId692"/>
    <sheet name="17-10-2022" sheetId="712" r:id="rId693"/>
    <sheet name="18-10-2022" sheetId="713" r:id="rId694"/>
    <sheet name="19-10-2022" sheetId="714" r:id="rId695"/>
    <sheet name="20-10-2022" sheetId="715" r:id="rId696"/>
    <sheet name="21-10-2022" sheetId="716" r:id="rId697"/>
    <sheet name="24-10-2022" sheetId="717" r:id="rId698"/>
    <sheet name="25-10-2022" sheetId="718" r:id="rId699"/>
    <sheet name="26-10-2022" sheetId="719" r:id="rId700"/>
    <sheet name="28-10-2022" sheetId="720" r:id="rId701"/>
    <sheet name="31-10-2022" sheetId="721" r:id="rId702"/>
    <sheet name="02-11-2022" sheetId="722" r:id="rId703"/>
    <sheet name="03-11-2022" sheetId="723" r:id="rId704"/>
    <sheet name="04-11-2022" sheetId="724" r:id="rId705"/>
    <sheet name="07-11-2022" sheetId="725" r:id="rId706"/>
    <sheet name="08-11-2022" sheetId="726" r:id="rId707"/>
    <sheet name="09-11-2022" sheetId="727" r:id="rId708"/>
    <sheet name="10-11-2022" sheetId="728" r:id="rId709"/>
    <sheet name="11-11-2022" sheetId="729" r:id="rId710"/>
    <sheet name="14-11-2022" sheetId="730" r:id="rId711"/>
    <sheet name="15-11-2022" sheetId="731" r:id="rId712"/>
    <sheet name="16-11-2022" sheetId="732" r:id="rId713"/>
    <sheet name="17-11-2022" sheetId="733" r:id="rId714"/>
    <sheet name="18-11-2022" sheetId="734" r:id="rId715"/>
    <sheet name="21-11-2022" sheetId="735" r:id="rId716"/>
    <sheet name="22-11-2022" sheetId="736" r:id="rId717"/>
    <sheet name="23-11-2022" sheetId="737" r:id="rId718"/>
    <sheet name="24-11-2022" sheetId="738" r:id="rId719"/>
    <sheet name="25-11-2022" sheetId="739" r:id="rId720"/>
    <sheet name="28-11-2022" sheetId="740" r:id="rId721"/>
    <sheet name="29-11-2022" sheetId="741" r:id="rId722"/>
    <sheet name="30-11-2022" sheetId="742" r:id="rId723"/>
    <sheet name="01-12-2022" sheetId="743" r:id="rId724"/>
    <sheet name="05-12-2022" sheetId="744" r:id="rId725"/>
    <sheet name="06-12-2022" sheetId="746" r:id="rId726"/>
    <sheet name="07-12-2022" sheetId="745" r:id="rId727"/>
    <sheet name="08-12-2022" sheetId="747" r:id="rId728"/>
    <sheet name="09-12-2022" sheetId="748" r:id="rId729"/>
    <sheet name="12-12-2022" sheetId="749" r:id="rId730"/>
    <sheet name="13-12-2022" sheetId="750" r:id="rId731"/>
    <sheet name="14-12-2022" sheetId="751" r:id="rId732"/>
    <sheet name="15-12-2022" sheetId="752" r:id="rId733"/>
    <sheet name="16-12-2022" sheetId="753" r:id="rId734"/>
    <sheet name="19-12-2022" sheetId="754" r:id="rId735"/>
    <sheet name="20-12-2022" sheetId="755" r:id="rId736"/>
    <sheet name="21-12-2022" sheetId="756" r:id="rId737"/>
    <sheet name="22-12-2022" sheetId="757" r:id="rId738"/>
    <sheet name="23-12-2022" sheetId="758" r:id="rId739"/>
    <sheet name="28-12-2022" sheetId="759" r:id="rId740"/>
    <sheet name="29-12-2022" sheetId="760" r:id="rId741"/>
    <sheet name="30-12-2022" sheetId="761" r:id="rId742"/>
    <sheet name="03-01-2023" sheetId="763" r:id="rId743"/>
    <sheet name="Summary" sheetId="7" r:id="rId744"/>
    <sheet name="Combined" sheetId="5" r:id="rId745"/>
    <sheet name="BDC List" sheetId="2" r:id="rId746"/>
    <sheet name="30-12-2022 (2)" sheetId="762" r:id="rId747"/>
  </sheets>
  <definedNames>
    <definedName name="ExternalData_1" localSheetId="744" hidden="1">Combined!$A$1:$I$11590</definedName>
    <definedName name="_xlnm.Print_Area" localSheetId="61">'01-04-2020'!$A$1:$I$32</definedName>
    <definedName name="_xlnm.Print_Area" localSheetId="40">'02-03-2020'!$A$1:$I$32</definedName>
    <definedName name="_xlnm.Print_Area" localSheetId="62">'02-04-2020'!$A$1:$I$32</definedName>
    <definedName name="_xlnm.Print_Area" localSheetId="100">'02-06-2020'!$A$1:$I$32</definedName>
    <definedName name="_xlnm.Print_Area" localSheetId="124">'02-07-2020 '!$A$1:$I$32</definedName>
    <definedName name="_xlnm.Print_Area" localSheetId="20">'03-02-2020'!$A$1:$I$32</definedName>
    <definedName name="_xlnm.Print_Area" localSheetId="41">'03-03-2020'!$A$1:$I$32</definedName>
    <definedName name="_xlnm.Print_Area" localSheetId="63">'03-04-2020'!$A$1:$I$32</definedName>
    <definedName name="_xlnm.Print_Area" localSheetId="101">'03-06-2020'!$A$1:$I$32</definedName>
    <definedName name="_xlnm.Print_Area" localSheetId="125">'03-07-2020'!$A$1:$I$32</definedName>
    <definedName name="_xlnm.Print_Area" localSheetId="21">'04-02-2020'!$A$1:$I$32</definedName>
    <definedName name="_xlnm.Print_Area" localSheetId="42">'04-03-2020'!$A$1:$I$32</definedName>
    <definedName name="_xlnm.Print_Area" localSheetId="81">'04-05-2020'!$A$1:$I$32</definedName>
    <definedName name="_xlnm.Print_Area" localSheetId="102">'04-06-2020'!$A$1:$I$32</definedName>
    <definedName name="_xlnm.Print_Area" localSheetId="22">'05-02-2020'!$A$1:$I$32</definedName>
    <definedName name="_xlnm.Print_Area" localSheetId="43">'05-03-2020'!$A$1:$I$32</definedName>
    <definedName name="_xlnm.Print_Area" localSheetId="82">'05-05-2020'!$A$1:$I$32</definedName>
    <definedName name="_xlnm.Print_Area" localSheetId="103">'05-06-2020'!$A$1:$I$32</definedName>
    <definedName name="_xlnm.Print_Area" localSheetId="1">'06-01-2020'!$A$1:$I$32</definedName>
    <definedName name="_xlnm.Print_Area" localSheetId="23">'06-02-2020'!$A$1:$I$32</definedName>
    <definedName name="_xlnm.Print_Area" localSheetId="64">'06-04-2020'!$A$1:$I$32</definedName>
    <definedName name="_xlnm.Print_Area" localSheetId="83">'06-05-2020'!$A$1:$I$32</definedName>
    <definedName name="_xlnm.Print_Area" localSheetId="104">'06-06-2020'!$A$1:$I$32</definedName>
    <definedName name="_xlnm.Print_Area" localSheetId="126">'06-07-2020'!$A$1:$I$32</definedName>
    <definedName name="_xlnm.Print_Area" localSheetId="24">'07-02-2020'!$A$1:$I$32</definedName>
    <definedName name="_xlnm.Print_Area" localSheetId="65">'07-04-2020'!$A$1:$I$32</definedName>
    <definedName name="_xlnm.Print_Area" localSheetId="84">'07-05-2020'!$A$1:$I$32</definedName>
    <definedName name="_xlnm.Print_Area" localSheetId="127">'07-07-2020'!$A$1:$I$32</definedName>
    <definedName name="_xlnm.Print_Area" localSheetId="2">'08-01-2020'!$A$1:$I$32</definedName>
    <definedName name="_xlnm.Print_Area" localSheetId="66">'08-04-2020'!$A$1:$I$32</definedName>
    <definedName name="_xlnm.Print_Area" localSheetId="85">'08-05-2020'!$A$1:$I$32</definedName>
    <definedName name="_xlnm.Print_Area" localSheetId="105">'08-06-2020'!$A$1:$I$32</definedName>
    <definedName name="_xlnm.Print_Area" localSheetId="128">'08-07-2020'!$A$1:$I$32</definedName>
    <definedName name="_xlnm.Print_Area" localSheetId="3">'09-01-2020'!$A$1:$I$32</definedName>
    <definedName name="_xlnm.Print_Area" localSheetId="44">'09-03-2020'!$A$1:$I$32</definedName>
    <definedName name="_xlnm.Print_Area" localSheetId="67">'09-04-2020'!$A$1:$I$32</definedName>
    <definedName name="_xlnm.Print_Area" localSheetId="106">'09-06-2020'!$A$1:$I$32</definedName>
    <definedName name="_xlnm.Print_Area" localSheetId="129">'09-07-2020'!$A$1:$I$32</definedName>
    <definedName name="_xlnm.Print_Area" localSheetId="4">'10-01-2020'!$A$1:$I$32</definedName>
    <definedName name="_xlnm.Print_Area" localSheetId="25">'10-02-2020'!$A$1:$I$32</definedName>
    <definedName name="_xlnm.Print_Area" localSheetId="45">'10-03-2020'!$A$1:$I$32</definedName>
    <definedName name="_xlnm.Print_Area" localSheetId="107">'10-06-2020'!$A$1:$I$32</definedName>
    <definedName name="_xlnm.Print_Area" localSheetId="130">'10-07-2020'!$A$1:$I$32</definedName>
    <definedName name="_xlnm.Print_Area" localSheetId="26">'11-02-2020'!$A$1:$I$32</definedName>
    <definedName name="_xlnm.Print_Area" localSheetId="46">'11-03-2020'!$A$1:$I$32</definedName>
    <definedName name="_xlnm.Print_Area" localSheetId="86">'11-05-2020'!$A$1:$I$32</definedName>
    <definedName name="_xlnm.Print_Area" localSheetId="108">'11-06-2020'!$A$1:$I$32</definedName>
    <definedName name="_xlnm.Print_Area" localSheetId="131">'11-07-2020'!$A$1:$I$32</definedName>
    <definedName name="_xlnm.Print_Area" localSheetId="27">'12-02-2020'!$A$1:$I$32</definedName>
    <definedName name="_xlnm.Print_Area" localSheetId="47">'12-03-2020'!$A$1:$I$32</definedName>
    <definedName name="_xlnm.Print_Area" localSheetId="87">'12-05-2020'!$A$1:$I$32</definedName>
    <definedName name="_xlnm.Print_Area" localSheetId="109">'12-06-2020'!$A$1:$I$32</definedName>
    <definedName name="_xlnm.Print_Area" localSheetId="5">'13-01-2020'!$A$1:$I$32</definedName>
    <definedName name="_xlnm.Print_Area" localSheetId="28">'13-02-2020'!$A$1:$I$32</definedName>
    <definedName name="_xlnm.Print_Area" localSheetId="48">'13-03-2020'!$A$1:$I$32</definedName>
    <definedName name="_xlnm.Print_Area" localSheetId="88">'13-05-2020'!$A$1:$I$32</definedName>
    <definedName name="_xlnm.Print_Area" localSheetId="110">'13-06-2020'!$A$1:$I$32</definedName>
    <definedName name="_xlnm.Print_Area" localSheetId="132">'13-07-2020'!$A$1:$I$32</definedName>
    <definedName name="_xlnm.Print_Area" localSheetId="6">'14-01-2020'!$A$1:$I$32</definedName>
    <definedName name="_xlnm.Print_Area" localSheetId="29">'14-02-2020'!$A$1:$I$32</definedName>
    <definedName name="_xlnm.Print_Area" localSheetId="68">'14-04-2020'!$A$1:$I$32</definedName>
    <definedName name="_xlnm.Print_Area" localSheetId="89">'14-05-2020'!$A$1:$I$32</definedName>
    <definedName name="_xlnm.Print_Area" localSheetId="133">'14-07-2020'!$A$1:$I$32</definedName>
    <definedName name="_xlnm.Print_Area" localSheetId="7">'15-01-2020 '!$A$1:$I$32</definedName>
    <definedName name="_xlnm.Print_Area" localSheetId="69">'15-04-2020'!$A$1:$I$32</definedName>
    <definedName name="_xlnm.Print_Area" localSheetId="90">'15-05-2020'!$A$1:$I$32</definedName>
    <definedName name="_xlnm.Print_Area" localSheetId="111">'15-06-2020'!$A$1:$I$32</definedName>
    <definedName name="_xlnm.Print_Area" localSheetId="134">'15-07-2020'!$A$1:$I$32</definedName>
    <definedName name="_xlnm.Print_Area" localSheetId="8">'16-01-2020'!$A$1:$I$32</definedName>
    <definedName name="_xlnm.Print_Area" localSheetId="49">'16-03-2020'!$A$1:$I$32</definedName>
    <definedName name="_xlnm.Print_Area" localSheetId="70">'16-04-2020'!$A$1:$I$32</definedName>
    <definedName name="_xlnm.Print_Area" localSheetId="112">'16-06-2020'!$A$1:$I$32</definedName>
    <definedName name="_xlnm.Print_Area" localSheetId="135">'16-07-2020'!$A$1:$I$32</definedName>
    <definedName name="_xlnm.Print_Area" localSheetId="9">'17-01-2020'!$A$1:$I$32</definedName>
    <definedName name="_xlnm.Print_Area" localSheetId="30">'17-02-2020'!$A$1:$I$32</definedName>
    <definedName name="_xlnm.Print_Area" localSheetId="50">'17-03-2020'!$A$1:$I$32</definedName>
    <definedName name="_xlnm.Print_Area" localSheetId="71">'17-04-2020'!$A$1:$I$32</definedName>
    <definedName name="_xlnm.Print_Area" localSheetId="113">'17-06-2020'!$A$1:$I$32</definedName>
    <definedName name="_xlnm.Print_Area" localSheetId="136">'17-07-2020'!$A$1:$I$32</definedName>
    <definedName name="_xlnm.Print_Area" localSheetId="31">'18-02-2020'!$A$1:$I$32</definedName>
    <definedName name="_xlnm.Print_Area" localSheetId="51">'18-03-2020'!$A$1:$I$32</definedName>
    <definedName name="_xlnm.Print_Area" localSheetId="91">'18-05-2020'!$A$1:$I$32</definedName>
    <definedName name="_xlnm.Print_Area" localSheetId="114">'18-06-2020'!$A$1:$I$32</definedName>
    <definedName name="_xlnm.Print_Area" localSheetId="32">'19-02-2020'!$A$1:$I$32</definedName>
    <definedName name="_xlnm.Print_Area" localSheetId="52">'19-03-2020'!$A$1:$I$32</definedName>
    <definedName name="_xlnm.Print_Area" localSheetId="92">'19-05-2020'!$A$1:$I$32</definedName>
    <definedName name="_xlnm.Print_Area" localSheetId="115">'19-06-2020'!$A$1:$I$32</definedName>
    <definedName name="_xlnm.Print_Area" localSheetId="10">'20-01-2020'!$A$1:$I$32</definedName>
    <definedName name="_xlnm.Print_Area" localSheetId="33">'20-02-2020'!$A$1:$I$32</definedName>
    <definedName name="_xlnm.Print_Area" localSheetId="53">'20-03-2020'!$A$1:$I$32</definedName>
    <definedName name="_xlnm.Print_Area" localSheetId="72">'20-04-2020'!$A$1:$I$32</definedName>
    <definedName name="_xlnm.Print_Area" localSheetId="93">'20-05-2020'!$A$1:$I$32</definedName>
    <definedName name="_xlnm.Print_Area" localSheetId="116">'20-06-2020'!$A$1:$I$32</definedName>
    <definedName name="_xlnm.Print_Area" localSheetId="137">'20-07-2020'!$A$1:$I$32</definedName>
    <definedName name="_xlnm.Print_Area" localSheetId="11">'21-01-2020'!$A$1:$I$32</definedName>
    <definedName name="_xlnm.Print_Area" localSheetId="34">'21-02-2020'!$A$1:$I$32</definedName>
    <definedName name="_xlnm.Print_Area" localSheetId="73">'21-04-2020'!$A$1:$I$32</definedName>
    <definedName name="_xlnm.Print_Area" localSheetId="94">'21-05-2020'!$A$1:$I$32</definedName>
    <definedName name="_xlnm.Print_Area" localSheetId="138">'21-07-2020'!$A$1:$I$32</definedName>
    <definedName name="_xlnm.Print_Area" localSheetId="12">'22-01-2020'!$A$1:$I$32</definedName>
    <definedName name="_xlnm.Print_Area" localSheetId="74">'22-04-2020'!$A$1:$I$32</definedName>
    <definedName name="_xlnm.Print_Area" localSheetId="95">'22-05-2020'!$A$1:$I$32</definedName>
    <definedName name="_xlnm.Print_Area" localSheetId="117">'22-06-2020'!$A$1:$I$32</definedName>
    <definedName name="_xlnm.Print_Area" localSheetId="139">'22-07-2020'!$A$1:$I$32</definedName>
    <definedName name="_xlnm.Print_Area" localSheetId="13">'23-01-2020'!$A$1:$I$32</definedName>
    <definedName name="_xlnm.Print_Area" localSheetId="54">'23-03-2020'!$A$1:$I$32</definedName>
    <definedName name="_xlnm.Print_Area" localSheetId="75">'23-04-2020'!$A$1:$I$32</definedName>
    <definedName name="_xlnm.Print_Area" localSheetId="118">'23-06-2020'!$A$1:$I$32</definedName>
    <definedName name="_xlnm.Print_Area" localSheetId="140">'23-07-2020'!$A$1:$I$32</definedName>
    <definedName name="_xlnm.Print_Area" localSheetId="14">'24-01-2020'!$A$1:$I$32</definedName>
    <definedName name="_xlnm.Print_Area" localSheetId="35">'24-02-2020'!$A$1:$I$32</definedName>
    <definedName name="_xlnm.Print_Area" localSheetId="55">'24-03-2020'!$A$1:$I$32</definedName>
    <definedName name="_xlnm.Print_Area" localSheetId="76">'24-04-2020'!$A$1:$I$32</definedName>
    <definedName name="_xlnm.Print_Area" localSheetId="119">'24-06-2020'!$A$1:$I$32</definedName>
    <definedName name="_xlnm.Print_Area" localSheetId="141">'24-07-2020'!$A$1:$I$32</definedName>
    <definedName name="_xlnm.Print_Area" localSheetId="36">'25-02-2020'!$A$1:$I$32</definedName>
    <definedName name="_xlnm.Print_Area" localSheetId="56">'25-03-2020'!$A$1:$I$32</definedName>
    <definedName name="_xlnm.Print_Area" localSheetId="120">'25-06-2020'!$A$1:$I$32</definedName>
    <definedName name="_xlnm.Print_Area" localSheetId="37">'26-02-2020'!$A$1:$I$32</definedName>
    <definedName name="_xlnm.Print_Area" localSheetId="57">'26-03-2020'!$A$1:$I$32</definedName>
    <definedName name="_xlnm.Print_Area" localSheetId="96">'26-05-2020'!$A$1:$I$32</definedName>
    <definedName name="_xlnm.Print_Area" localSheetId="121">'26-06-2020'!$A$1:$I$32</definedName>
    <definedName name="_xlnm.Print_Area" localSheetId="15">'27-01-2020'!$A$1:$I$32</definedName>
    <definedName name="_xlnm.Print_Area" localSheetId="38">'27-02-2020'!$A$1:$I$32</definedName>
    <definedName name="_xlnm.Print_Area" localSheetId="58">'27-03-2020'!$A$1:$I$32</definedName>
    <definedName name="_xlnm.Print_Area" localSheetId="77">'27-04-2020'!$A$1:$I$32</definedName>
    <definedName name="_xlnm.Print_Area" localSheetId="97">'27-05-2020'!$A$1:$I$32</definedName>
    <definedName name="_xlnm.Print_Area" localSheetId="16">'28-01-2020'!$A$1:$I$32</definedName>
    <definedName name="_xlnm.Print_Area" localSheetId="39">'28-02-2020'!$A$1:$I$32</definedName>
    <definedName name="_xlnm.Print_Area" localSheetId="78">'28-04-2020'!$A$1:$I$32</definedName>
    <definedName name="_xlnm.Print_Area" localSheetId="98">'28-05-2020'!$A$1:$I$32</definedName>
    <definedName name="_xlnm.Print_Area" localSheetId="17">'29-01-2020'!$A$1:$I$32</definedName>
    <definedName name="_xlnm.Print_Area" localSheetId="79">'29-04-2020'!$A$1:$I$32</definedName>
    <definedName name="_xlnm.Print_Area" localSheetId="99">'29-05-2020'!$A$1:$I$32</definedName>
    <definedName name="_xlnm.Print_Area" localSheetId="122">'29-06-2020'!$A$1:$I$32</definedName>
    <definedName name="_xlnm.Print_Area" localSheetId="18">'30-01-2020'!$A$1:$I$32</definedName>
    <definedName name="_xlnm.Print_Area" localSheetId="59">'30-03-2020'!$A$1:$I$32</definedName>
    <definedName name="_xlnm.Print_Area" localSheetId="80">'30-04-2020'!$A$1:$I$32</definedName>
    <definedName name="_xlnm.Print_Area" localSheetId="123">'30-06-2020'!$A$1:$I$32</definedName>
    <definedName name="_xlnm.Print_Area" localSheetId="19">'31-01-2020'!$A$1:$I$32</definedName>
    <definedName name="_xlnm.Print_Area" localSheetId="60">'31-03-2020'!$A$1:$I$32</definedName>
    <definedName name="_xlnm.Print_Area" localSheetId="743">Summary!$A$1:$G$34</definedName>
  </definedNames>
  <calcPr calcId="191029" concurrentCalc="0"/>
  <pivotCaches>
    <pivotCache cacheId="103" r:id="rId74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9" i="7" l="1" a="1"/>
  <c r="I29" i="7"/>
  <c r="B27" i="7"/>
  <c r="B26" i="7"/>
  <c r="D24" i="763"/>
  <c r="G24" i="763"/>
  <c r="F24" i="763"/>
  <c r="E24" i="763"/>
  <c r="C24" i="763"/>
  <c r="H23" i="763"/>
  <c r="H22" i="763"/>
  <c r="H21" i="763"/>
  <c r="H20" i="763"/>
  <c r="H19" i="763"/>
  <c r="H18" i="763"/>
  <c r="H17" i="763"/>
  <c r="H16" i="763"/>
  <c r="H15" i="763"/>
  <c r="H14" i="763"/>
  <c r="H13" i="763"/>
  <c r="H12" i="763"/>
  <c r="H11" i="763"/>
  <c r="H10" i="763"/>
  <c r="H9" i="763"/>
  <c r="H8" i="763"/>
  <c r="H7" i="763"/>
  <c r="H6" i="763"/>
  <c r="G24" i="762"/>
  <c r="F24" i="762"/>
  <c r="E24" i="762"/>
  <c r="D24" i="762"/>
  <c r="C24" i="762"/>
  <c r="H23" i="762"/>
  <c r="H22" i="762"/>
  <c r="H21" i="762"/>
  <c r="H20" i="762"/>
  <c r="H19" i="762"/>
  <c r="H18" i="762"/>
  <c r="H17" i="762"/>
  <c r="H16" i="762"/>
  <c r="H15" i="762"/>
  <c r="H14" i="762"/>
  <c r="H13" i="762"/>
  <c r="H12" i="762"/>
  <c r="H11" i="762"/>
  <c r="H10" i="762"/>
  <c r="H9" i="762"/>
  <c r="H8" i="762"/>
  <c r="H7" i="762"/>
  <c r="H6" i="762"/>
  <c r="G24" i="761"/>
  <c r="F24" i="761"/>
  <c r="E24" i="761"/>
  <c r="D24" i="761"/>
  <c r="C24" i="761"/>
  <c r="H23" i="761"/>
  <c r="H22" i="761"/>
  <c r="H21" i="761"/>
  <c r="H20" i="761"/>
  <c r="H19" i="761"/>
  <c r="H18" i="761"/>
  <c r="H17" i="761"/>
  <c r="H16" i="761"/>
  <c r="H15" i="761"/>
  <c r="H14" i="761"/>
  <c r="H13" i="761"/>
  <c r="H12" i="761"/>
  <c r="H11" i="761"/>
  <c r="H10" i="761"/>
  <c r="H9" i="761"/>
  <c r="H8" i="761"/>
  <c r="H7" i="761"/>
  <c r="H6" i="761"/>
  <c r="G24" i="760"/>
  <c r="F24" i="760"/>
  <c r="E24" i="760"/>
  <c r="D24" i="760"/>
  <c r="C24" i="760"/>
  <c r="H23" i="760"/>
  <c r="H22" i="760"/>
  <c r="H21" i="760"/>
  <c r="H20" i="760"/>
  <c r="H19" i="760"/>
  <c r="H18" i="760"/>
  <c r="H17" i="760"/>
  <c r="H16" i="760"/>
  <c r="H15" i="760"/>
  <c r="H14" i="760"/>
  <c r="H13" i="760"/>
  <c r="H12" i="760"/>
  <c r="H11" i="760"/>
  <c r="H10" i="760"/>
  <c r="H9" i="760"/>
  <c r="H8" i="760"/>
  <c r="H7" i="760"/>
  <c r="H6" i="760"/>
  <c r="G24" i="759"/>
  <c r="F24" i="759"/>
  <c r="E24" i="759"/>
  <c r="D24" i="759"/>
  <c r="C24" i="759"/>
  <c r="H23" i="759"/>
  <c r="H22" i="759"/>
  <c r="H21" i="759"/>
  <c r="H20" i="759"/>
  <c r="H19" i="759"/>
  <c r="H18" i="759"/>
  <c r="H17" i="759"/>
  <c r="H16" i="759"/>
  <c r="H15" i="759"/>
  <c r="H14" i="759"/>
  <c r="H13" i="759"/>
  <c r="H12" i="759"/>
  <c r="H11" i="759"/>
  <c r="H10" i="759"/>
  <c r="H9" i="759"/>
  <c r="H8" i="759"/>
  <c r="H7" i="759"/>
  <c r="H6" i="759"/>
  <c r="G24" i="758"/>
  <c r="F24" i="758"/>
  <c r="E24" i="758"/>
  <c r="D24" i="758"/>
  <c r="C24" i="758"/>
  <c r="H23" i="758"/>
  <c r="H22" i="758"/>
  <c r="H21" i="758"/>
  <c r="H20" i="758"/>
  <c r="H19" i="758"/>
  <c r="H18" i="758"/>
  <c r="H17" i="758"/>
  <c r="H16" i="758"/>
  <c r="H15" i="758"/>
  <c r="H14" i="758"/>
  <c r="H13" i="758"/>
  <c r="H12" i="758"/>
  <c r="H11" i="758"/>
  <c r="H10" i="758"/>
  <c r="H9" i="758"/>
  <c r="H8" i="758"/>
  <c r="H7" i="758"/>
  <c r="H6" i="758"/>
  <c r="G24" i="757"/>
  <c r="F24" i="757"/>
  <c r="E24" i="757"/>
  <c r="D24" i="757"/>
  <c r="C24" i="757"/>
  <c r="H23" i="757"/>
  <c r="H22" i="757"/>
  <c r="H21" i="757"/>
  <c r="H20" i="757"/>
  <c r="H19" i="757"/>
  <c r="H18" i="757"/>
  <c r="H17" i="757"/>
  <c r="H16" i="757"/>
  <c r="H15" i="757"/>
  <c r="H14" i="757"/>
  <c r="H13" i="757"/>
  <c r="H12" i="757"/>
  <c r="H11" i="757"/>
  <c r="H10" i="757"/>
  <c r="H9" i="757"/>
  <c r="H8" i="757"/>
  <c r="H7" i="757"/>
  <c r="H6" i="757"/>
  <c r="G24" i="756"/>
  <c r="F24" i="756"/>
  <c r="E24" i="756"/>
  <c r="D24" i="756"/>
  <c r="C24" i="756"/>
  <c r="H23" i="756"/>
  <c r="H22" i="756"/>
  <c r="H21" i="756"/>
  <c r="H20" i="756"/>
  <c r="H19" i="756"/>
  <c r="H18" i="756"/>
  <c r="H17" i="756"/>
  <c r="H16" i="756"/>
  <c r="H15" i="756"/>
  <c r="H14" i="756"/>
  <c r="H13" i="756"/>
  <c r="H12" i="756"/>
  <c r="H11" i="756"/>
  <c r="H10" i="756"/>
  <c r="H9" i="756"/>
  <c r="H8" i="756"/>
  <c r="H7" i="756"/>
  <c r="H6" i="756"/>
  <c r="G24" i="755"/>
  <c r="F24" i="755"/>
  <c r="E24" i="755"/>
  <c r="D24" i="755"/>
  <c r="C24" i="755"/>
  <c r="H23" i="755"/>
  <c r="H22" i="755"/>
  <c r="H21" i="755"/>
  <c r="H20" i="755"/>
  <c r="H19" i="755"/>
  <c r="H18" i="755"/>
  <c r="H17" i="755"/>
  <c r="H16" i="755"/>
  <c r="H15" i="755"/>
  <c r="H14" i="755"/>
  <c r="H13" i="755"/>
  <c r="H12" i="755"/>
  <c r="H11" i="755"/>
  <c r="H10" i="755"/>
  <c r="H9" i="755"/>
  <c r="H8" i="755"/>
  <c r="H7" i="755"/>
  <c r="H6" i="755"/>
  <c r="G24" i="754"/>
  <c r="F24" i="754"/>
  <c r="E24" i="754"/>
  <c r="D24" i="754"/>
  <c r="C24" i="754"/>
  <c r="H23" i="754"/>
  <c r="H22" i="754"/>
  <c r="H21" i="754"/>
  <c r="H20" i="754"/>
  <c r="H19" i="754"/>
  <c r="H18" i="754"/>
  <c r="H17" i="754"/>
  <c r="H16" i="754"/>
  <c r="H15" i="754"/>
  <c r="H14" i="754"/>
  <c r="H13" i="754"/>
  <c r="H12" i="754"/>
  <c r="H11" i="754"/>
  <c r="H10" i="754"/>
  <c r="H9" i="754"/>
  <c r="H8" i="754"/>
  <c r="H7" i="754"/>
  <c r="H6" i="754"/>
  <c r="G24" i="753"/>
  <c r="F24" i="753"/>
  <c r="E24" i="753"/>
  <c r="D24" i="753"/>
  <c r="C24" i="753"/>
  <c r="H23" i="753"/>
  <c r="H22" i="753"/>
  <c r="H21" i="753"/>
  <c r="H20" i="753"/>
  <c r="H19" i="753"/>
  <c r="H18" i="753"/>
  <c r="H17" i="753"/>
  <c r="H16" i="753"/>
  <c r="H15" i="753"/>
  <c r="H14" i="753"/>
  <c r="H13" i="753"/>
  <c r="H12" i="753"/>
  <c r="H11" i="753"/>
  <c r="H10" i="753"/>
  <c r="H9" i="753"/>
  <c r="H8" i="753"/>
  <c r="H7" i="753"/>
  <c r="H6" i="753"/>
  <c r="G24" i="752"/>
  <c r="F24" i="752"/>
  <c r="E24" i="752"/>
  <c r="D24" i="752"/>
  <c r="C24" i="752"/>
  <c r="H23" i="752"/>
  <c r="H22" i="752"/>
  <c r="H21" i="752"/>
  <c r="H20" i="752"/>
  <c r="H19" i="752"/>
  <c r="H18" i="752"/>
  <c r="H17" i="752"/>
  <c r="H16" i="752"/>
  <c r="H15" i="752"/>
  <c r="H14" i="752"/>
  <c r="H13" i="752"/>
  <c r="H12" i="752"/>
  <c r="H11" i="752"/>
  <c r="H10" i="752"/>
  <c r="H9" i="752"/>
  <c r="H8" i="752"/>
  <c r="H7" i="752"/>
  <c r="H6" i="752"/>
  <c r="G24" i="751"/>
  <c r="F24" i="751"/>
  <c r="E24" i="751"/>
  <c r="D24" i="751"/>
  <c r="C24" i="751"/>
  <c r="H23" i="751"/>
  <c r="H22" i="751"/>
  <c r="H21" i="751"/>
  <c r="H20" i="751"/>
  <c r="H19" i="751"/>
  <c r="H18" i="751"/>
  <c r="H17" i="751"/>
  <c r="H16" i="751"/>
  <c r="H15" i="751"/>
  <c r="H14" i="751"/>
  <c r="H13" i="751"/>
  <c r="H12" i="751"/>
  <c r="H11" i="751"/>
  <c r="H10" i="751"/>
  <c r="H9" i="751"/>
  <c r="H8" i="751"/>
  <c r="H7" i="751"/>
  <c r="H6" i="751"/>
  <c r="G24" i="750"/>
  <c r="F24" i="750"/>
  <c r="E24" i="750"/>
  <c r="D24" i="750"/>
  <c r="C24" i="750"/>
  <c r="H23" i="750"/>
  <c r="H22" i="750"/>
  <c r="H21" i="750"/>
  <c r="H20" i="750"/>
  <c r="H19" i="750"/>
  <c r="H18" i="750"/>
  <c r="H17" i="750"/>
  <c r="H16" i="750"/>
  <c r="H15" i="750"/>
  <c r="H14" i="750"/>
  <c r="H13" i="750"/>
  <c r="H12" i="750"/>
  <c r="H11" i="750"/>
  <c r="H10" i="750"/>
  <c r="H9" i="750"/>
  <c r="H8" i="750"/>
  <c r="H7" i="750"/>
  <c r="H6" i="750"/>
  <c r="G24" i="749"/>
  <c r="F24" i="749"/>
  <c r="E24" i="749"/>
  <c r="D24" i="749"/>
  <c r="C24" i="749"/>
  <c r="H23" i="749"/>
  <c r="H22" i="749"/>
  <c r="H21" i="749"/>
  <c r="H20" i="749"/>
  <c r="H19" i="749"/>
  <c r="H18" i="749"/>
  <c r="H17" i="749"/>
  <c r="H16" i="749"/>
  <c r="H15" i="749"/>
  <c r="H14" i="749"/>
  <c r="H13" i="749"/>
  <c r="H12" i="749"/>
  <c r="H11" i="749"/>
  <c r="H10" i="749"/>
  <c r="H9" i="749"/>
  <c r="H8" i="749"/>
  <c r="H7" i="749"/>
  <c r="H6" i="749"/>
  <c r="G24" i="748"/>
  <c r="F24" i="748"/>
  <c r="E24" i="748"/>
  <c r="D24" i="748"/>
  <c r="C24" i="748"/>
  <c r="H23" i="748"/>
  <c r="H22" i="748"/>
  <c r="H21" i="748"/>
  <c r="H20" i="748"/>
  <c r="H19" i="748"/>
  <c r="H18" i="748"/>
  <c r="H17" i="748"/>
  <c r="H16" i="748"/>
  <c r="H15" i="748"/>
  <c r="H14" i="748"/>
  <c r="H13" i="748"/>
  <c r="H12" i="748"/>
  <c r="H11" i="748"/>
  <c r="H10" i="748"/>
  <c r="H9" i="748"/>
  <c r="H8" i="748"/>
  <c r="H7" i="748"/>
  <c r="H6" i="748"/>
  <c r="G24" i="747"/>
  <c r="F24" i="747"/>
  <c r="E24" i="747"/>
  <c r="D24" i="747"/>
  <c r="C24" i="747"/>
  <c r="H23" i="747"/>
  <c r="H22" i="747"/>
  <c r="H21" i="747"/>
  <c r="H20" i="747"/>
  <c r="H19" i="747"/>
  <c r="H18" i="747"/>
  <c r="H17" i="747"/>
  <c r="H16" i="747"/>
  <c r="H15" i="747"/>
  <c r="H14" i="747"/>
  <c r="H13" i="747"/>
  <c r="H12" i="747"/>
  <c r="H11" i="747"/>
  <c r="H10" i="747"/>
  <c r="H9" i="747"/>
  <c r="H8" i="747"/>
  <c r="H7" i="747"/>
  <c r="H6" i="747"/>
  <c r="G24" i="746"/>
  <c r="F24" i="746"/>
  <c r="E24" i="746"/>
  <c r="D24" i="746"/>
  <c r="C24" i="746"/>
  <c r="H23" i="746"/>
  <c r="H22" i="746"/>
  <c r="H21" i="746"/>
  <c r="H20" i="746"/>
  <c r="H19" i="746"/>
  <c r="H18" i="746"/>
  <c r="H17" i="746"/>
  <c r="H16" i="746"/>
  <c r="H15" i="746"/>
  <c r="H14" i="746"/>
  <c r="H13" i="746"/>
  <c r="H12" i="746"/>
  <c r="H11" i="746"/>
  <c r="H10" i="746"/>
  <c r="H9" i="746"/>
  <c r="H8" i="746"/>
  <c r="H7" i="746"/>
  <c r="H6" i="746"/>
  <c r="G24" i="745"/>
  <c r="F24" i="745"/>
  <c r="E24" i="745"/>
  <c r="D24" i="745"/>
  <c r="C24" i="745"/>
  <c r="H23" i="745"/>
  <c r="H22" i="745"/>
  <c r="H21" i="745"/>
  <c r="H20" i="745"/>
  <c r="H19" i="745"/>
  <c r="H18" i="745"/>
  <c r="H17" i="745"/>
  <c r="H16" i="745"/>
  <c r="H15" i="745"/>
  <c r="H14" i="745"/>
  <c r="H13" i="745"/>
  <c r="H12" i="745"/>
  <c r="H11" i="745"/>
  <c r="H10" i="745"/>
  <c r="H9" i="745"/>
  <c r="H8" i="745"/>
  <c r="H7" i="745"/>
  <c r="H6" i="745"/>
  <c r="G24" i="744"/>
  <c r="F24" i="744"/>
  <c r="E24" i="744"/>
  <c r="D24" i="744"/>
  <c r="C24" i="744"/>
  <c r="H23" i="744"/>
  <c r="H22" i="744"/>
  <c r="H21" i="744"/>
  <c r="H20" i="744"/>
  <c r="H19" i="744"/>
  <c r="H18" i="744"/>
  <c r="H17" i="744"/>
  <c r="H16" i="744"/>
  <c r="H15" i="744"/>
  <c r="H14" i="744"/>
  <c r="H13" i="744"/>
  <c r="H12" i="744"/>
  <c r="H11" i="744"/>
  <c r="H10" i="744"/>
  <c r="H9" i="744"/>
  <c r="H8" i="744"/>
  <c r="H7" i="744"/>
  <c r="H6" i="744"/>
  <c r="G24" i="743"/>
  <c r="F24" i="743"/>
  <c r="E24" i="743"/>
  <c r="D24" i="743"/>
  <c r="C24" i="743"/>
  <c r="H23" i="743"/>
  <c r="H22" i="743"/>
  <c r="H21" i="743"/>
  <c r="H20" i="743"/>
  <c r="H19" i="743"/>
  <c r="H18" i="743"/>
  <c r="H17" i="743"/>
  <c r="H16" i="743"/>
  <c r="H15" i="743"/>
  <c r="H14" i="743"/>
  <c r="H13" i="743"/>
  <c r="H12" i="743"/>
  <c r="H11" i="743"/>
  <c r="H10" i="743"/>
  <c r="H9" i="743"/>
  <c r="H8" i="743"/>
  <c r="H7" i="743"/>
  <c r="H6" i="743"/>
  <c r="G24" i="742"/>
  <c r="F24" i="742"/>
  <c r="E24" i="742"/>
  <c r="D24" i="742"/>
  <c r="C24" i="742"/>
  <c r="H23" i="742"/>
  <c r="H22" i="742"/>
  <c r="H21" i="742"/>
  <c r="H20" i="742"/>
  <c r="H19" i="742"/>
  <c r="H18" i="742"/>
  <c r="H17" i="742"/>
  <c r="H16" i="742"/>
  <c r="H15" i="742"/>
  <c r="H14" i="742"/>
  <c r="H13" i="742"/>
  <c r="H12" i="742"/>
  <c r="H11" i="742"/>
  <c r="H10" i="742"/>
  <c r="H9" i="742"/>
  <c r="H8" i="742"/>
  <c r="H7" i="742"/>
  <c r="H6" i="742"/>
  <c r="G24" i="741"/>
  <c r="F24" i="741"/>
  <c r="E24" i="741"/>
  <c r="D24" i="741"/>
  <c r="C24" i="741"/>
  <c r="H23" i="741"/>
  <c r="H22" i="741"/>
  <c r="H21" i="741"/>
  <c r="H20" i="741"/>
  <c r="H19" i="741"/>
  <c r="H18" i="741"/>
  <c r="H17" i="741"/>
  <c r="H16" i="741"/>
  <c r="H15" i="741"/>
  <c r="H14" i="741"/>
  <c r="H13" i="741"/>
  <c r="H12" i="741"/>
  <c r="H11" i="741"/>
  <c r="H10" i="741"/>
  <c r="H9" i="741"/>
  <c r="H8" i="741"/>
  <c r="H7" i="741"/>
  <c r="H6" i="741"/>
  <c r="G24" i="740"/>
  <c r="F24" i="740"/>
  <c r="E24" i="740"/>
  <c r="D24" i="740"/>
  <c r="C24" i="740"/>
  <c r="H23" i="740"/>
  <c r="H22" i="740"/>
  <c r="H21" i="740"/>
  <c r="H20" i="740"/>
  <c r="H19" i="740"/>
  <c r="H18" i="740"/>
  <c r="H17" i="740"/>
  <c r="H16" i="740"/>
  <c r="H15" i="740"/>
  <c r="H14" i="740"/>
  <c r="H13" i="740"/>
  <c r="H12" i="740"/>
  <c r="H11" i="740"/>
  <c r="H10" i="740"/>
  <c r="H9" i="740"/>
  <c r="H8" i="740"/>
  <c r="H7" i="740"/>
  <c r="H6" i="740"/>
  <c r="G24" i="739"/>
  <c r="F24" i="739"/>
  <c r="E24" i="739"/>
  <c r="D24" i="739"/>
  <c r="C24" i="739"/>
  <c r="H23" i="739"/>
  <c r="H22" i="739"/>
  <c r="H21" i="739"/>
  <c r="H20" i="739"/>
  <c r="H19" i="739"/>
  <c r="H18" i="739"/>
  <c r="H17" i="739"/>
  <c r="H16" i="739"/>
  <c r="H15" i="739"/>
  <c r="H14" i="739"/>
  <c r="H13" i="739"/>
  <c r="H12" i="739"/>
  <c r="H11" i="739"/>
  <c r="H10" i="739"/>
  <c r="H9" i="739"/>
  <c r="H8" i="739"/>
  <c r="H7" i="739"/>
  <c r="H6" i="739"/>
  <c r="G24" i="738"/>
  <c r="F24" i="738"/>
  <c r="E24" i="738"/>
  <c r="D24" i="738"/>
  <c r="C24" i="738"/>
  <c r="H23" i="738"/>
  <c r="H22" i="738"/>
  <c r="H21" i="738"/>
  <c r="H20" i="738"/>
  <c r="H19" i="738"/>
  <c r="H18" i="738"/>
  <c r="H17" i="738"/>
  <c r="H16" i="738"/>
  <c r="H15" i="738"/>
  <c r="H14" i="738"/>
  <c r="H13" i="738"/>
  <c r="H12" i="738"/>
  <c r="H11" i="738"/>
  <c r="H10" i="738"/>
  <c r="H9" i="738"/>
  <c r="H8" i="738"/>
  <c r="H7" i="738"/>
  <c r="H6" i="738"/>
  <c r="G24" i="737"/>
  <c r="F24" i="737"/>
  <c r="E24" i="737"/>
  <c r="D24" i="737"/>
  <c r="C24" i="737"/>
  <c r="H23" i="737"/>
  <c r="H22" i="737"/>
  <c r="H21" i="737"/>
  <c r="H20" i="737"/>
  <c r="H19" i="737"/>
  <c r="H18" i="737"/>
  <c r="H17" i="737"/>
  <c r="H16" i="737"/>
  <c r="H15" i="737"/>
  <c r="H14" i="737"/>
  <c r="H13" i="737"/>
  <c r="H12" i="737"/>
  <c r="H11" i="737"/>
  <c r="H10" i="737"/>
  <c r="H9" i="737"/>
  <c r="H8" i="737"/>
  <c r="H7" i="737"/>
  <c r="H6" i="737"/>
  <c r="G24" i="736"/>
  <c r="F24" i="736"/>
  <c r="E24" i="736"/>
  <c r="D24" i="736"/>
  <c r="C24" i="736"/>
  <c r="H23" i="736"/>
  <c r="H22" i="736"/>
  <c r="H21" i="736"/>
  <c r="H20" i="736"/>
  <c r="H19" i="736"/>
  <c r="H18" i="736"/>
  <c r="H17" i="736"/>
  <c r="H16" i="736"/>
  <c r="H15" i="736"/>
  <c r="H14" i="736"/>
  <c r="H13" i="736"/>
  <c r="H12" i="736"/>
  <c r="H11" i="736"/>
  <c r="H10" i="736"/>
  <c r="H9" i="736"/>
  <c r="H8" i="736"/>
  <c r="H7" i="736"/>
  <c r="H6" i="736"/>
  <c r="G24" i="735"/>
  <c r="F24" i="735"/>
  <c r="E24" i="735"/>
  <c r="D24" i="735"/>
  <c r="C24" i="735"/>
  <c r="H23" i="735"/>
  <c r="H22" i="735"/>
  <c r="H21" i="735"/>
  <c r="H20" i="735"/>
  <c r="H19" i="735"/>
  <c r="H18" i="735"/>
  <c r="H17" i="735"/>
  <c r="H16" i="735"/>
  <c r="H15" i="735"/>
  <c r="H14" i="735"/>
  <c r="H13" i="735"/>
  <c r="H12" i="735"/>
  <c r="H11" i="735"/>
  <c r="H10" i="735"/>
  <c r="H9" i="735"/>
  <c r="H8" i="735"/>
  <c r="H7" i="735"/>
  <c r="H6" i="735"/>
  <c r="G24" i="734"/>
  <c r="F24" i="734"/>
  <c r="E24" i="734"/>
  <c r="D24" i="734"/>
  <c r="C24" i="734"/>
  <c r="H23" i="734"/>
  <c r="H22" i="734"/>
  <c r="H21" i="734"/>
  <c r="H20" i="734"/>
  <c r="H19" i="734"/>
  <c r="H18" i="734"/>
  <c r="H17" i="734"/>
  <c r="H16" i="734"/>
  <c r="H15" i="734"/>
  <c r="H14" i="734"/>
  <c r="H13" i="734"/>
  <c r="H12" i="734"/>
  <c r="H11" i="734"/>
  <c r="H10" i="734"/>
  <c r="H9" i="734"/>
  <c r="H8" i="734"/>
  <c r="H7" i="734"/>
  <c r="H6" i="734"/>
  <c r="G24" i="733"/>
  <c r="F24" i="733"/>
  <c r="E24" i="733"/>
  <c r="D24" i="733"/>
  <c r="C24" i="733"/>
  <c r="H23" i="733"/>
  <c r="H22" i="733"/>
  <c r="H21" i="733"/>
  <c r="H20" i="733"/>
  <c r="H19" i="733"/>
  <c r="H18" i="733"/>
  <c r="H17" i="733"/>
  <c r="H16" i="733"/>
  <c r="H15" i="733"/>
  <c r="H14" i="733"/>
  <c r="H13" i="733"/>
  <c r="H12" i="733"/>
  <c r="H11" i="733"/>
  <c r="H10" i="733"/>
  <c r="H9" i="733"/>
  <c r="H8" i="733"/>
  <c r="H7" i="733"/>
  <c r="H6" i="733"/>
  <c r="G24" i="732"/>
  <c r="F24" i="732"/>
  <c r="E24" i="732"/>
  <c r="D24" i="732"/>
  <c r="C24" i="732"/>
  <c r="H23" i="732"/>
  <c r="H22" i="732"/>
  <c r="H21" i="732"/>
  <c r="H20" i="732"/>
  <c r="H19" i="732"/>
  <c r="H18" i="732"/>
  <c r="H17" i="732"/>
  <c r="H16" i="732"/>
  <c r="H15" i="732"/>
  <c r="H14" i="732"/>
  <c r="H13" i="732"/>
  <c r="H12" i="732"/>
  <c r="H11" i="732"/>
  <c r="H10" i="732"/>
  <c r="H9" i="732"/>
  <c r="H8" i="732"/>
  <c r="H7" i="732"/>
  <c r="H6" i="732"/>
  <c r="G24" i="731"/>
  <c r="F24" i="731"/>
  <c r="E24" i="731"/>
  <c r="D24" i="731"/>
  <c r="C24" i="731"/>
  <c r="H23" i="731"/>
  <c r="H22" i="731"/>
  <c r="H21" i="731"/>
  <c r="H20" i="731"/>
  <c r="H19" i="731"/>
  <c r="H18" i="731"/>
  <c r="H17" i="731"/>
  <c r="H16" i="731"/>
  <c r="H15" i="731"/>
  <c r="H14" i="731"/>
  <c r="H13" i="731"/>
  <c r="H12" i="731"/>
  <c r="H11" i="731"/>
  <c r="H10" i="731"/>
  <c r="H9" i="731"/>
  <c r="H8" i="731"/>
  <c r="H7" i="731"/>
  <c r="H6" i="731"/>
  <c r="G24" i="730"/>
  <c r="F24" i="730"/>
  <c r="E24" i="730"/>
  <c r="D24" i="730"/>
  <c r="C24" i="730"/>
  <c r="H23" i="730"/>
  <c r="H22" i="730"/>
  <c r="H21" i="730"/>
  <c r="H20" i="730"/>
  <c r="H19" i="730"/>
  <c r="H18" i="730"/>
  <c r="H17" i="730"/>
  <c r="H16" i="730"/>
  <c r="H15" i="730"/>
  <c r="H14" i="730"/>
  <c r="H13" i="730"/>
  <c r="H12" i="730"/>
  <c r="H11" i="730"/>
  <c r="H10" i="730"/>
  <c r="H9" i="730"/>
  <c r="H8" i="730"/>
  <c r="H7" i="730"/>
  <c r="H6" i="730"/>
  <c r="G24" i="729"/>
  <c r="F24" i="729"/>
  <c r="E24" i="729"/>
  <c r="D24" i="729"/>
  <c r="C24" i="729"/>
  <c r="H23" i="729"/>
  <c r="H22" i="729"/>
  <c r="H21" i="729"/>
  <c r="H20" i="729"/>
  <c r="H19" i="729"/>
  <c r="H18" i="729"/>
  <c r="H17" i="729"/>
  <c r="H16" i="729"/>
  <c r="H15" i="729"/>
  <c r="H14" i="729"/>
  <c r="H13" i="729"/>
  <c r="H12" i="729"/>
  <c r="H11" i="729"/>
  <c r="H10" i="729"/>
  <c r="H9" i="729"/>
  <c r="H8" i="729"/>
  <c r="H7" i="729"/>
  <c r="H6" i="729"/>
  <c r="G24" i="728"/>
  <c r="F24" i="728"/>
  <c r="E24" i="728"/>
  <c r="D24" i="728"/>
  <c r="C24" i="728"/>
  <c r="H23" i="728"/>
  <c r="H22" i="728"/>
  <c r="H21" i="728"/>
  <c r="H20" i="728"/>
  <c r="H19" i="728"/>
  <c r="H18" i="728"/>
  <c r="H17" i="728"/>
  <c r="H16" i="728"/>
  <c r="H15" i="728"/>
  <c r="H14" i="728"/>
  <c r="H13" i="728"/>
  <c r="H12" i="728"/>
  <c r="H11" i="728"/>
  <c r="H10" i="728"/>
  <c r="H9" i="728"/>
  <c r="H8" i="728"/>
  <c r="H7" i="728"/>
  <c r="H6" i="728"/>
  <c r="G24" i="727"/>
  <c r="F24" i="727"/>
  <c r="E24" i="727"/>
  <c r="D24" i="727"/>
  <c r="C24" i="727"/>
  <c r="H23" i="727"/>
  <c r="H22" i="727"/>
  <c r="H21" i="727"/>
  <c r="H20" i="727"/>
  <c r="H19" i="727"/>
  <c r="H18" i="727"/>
  <c r="H17" i="727"/>
  <c r="H16" i="727"/>
  <c r="H15" i="727"/>
  <c r="H14" i="727"/>
  <c r="H13" i="727"/>
  <c r="H12" i="727"/>
  <c r="H11" i="727"/>
  <c r="H10" i="727"/>
  <c r="H9" i="727"/>
  <c r="H8" i="727"/>
  <c r="H7" i="727"/>
  <c r="H6" i="727"/>
  <c r="G24" i="726"/>
  <c r="F24" i="726"/>
  <c r="E24" i="726"/>
  <c r="D24" i="726"/>
  <c r="C24" i="726"/>
  <c r="H23" i="726"/>
  <c r="H22" i="726"/>
  <c r="H21" i="726"/>
  <c r="H20" i="726"/>
  <c r="H19" i="726"/>
  <c r="H18" i="726"/>
  <c r="H17" i="726"/>
  <c r="H16" i="726"/>
  <c r="H15" i="726"/>
  <c r="H14" i="726"/>
  <c r="H13" i="726"/>
  <c r="H12" i="726"/>
  <c r="H11" i="726"/>
  <c r="H10" i="726"/>
  <c r="H9" i="726"/>
  <c r="H8" i="726"/>
  <c r="H7" i="726"/>
  <c r="H6" i="726"/>
  <c r="G24" i="725"/>
  <c r="F24" i="725"/>
  <c r="E24" i="725"/>
  <c r="D24" i="725"/>
  <c r="C24" i="725"/>
  <c r="H23" i="725"/>
  <c r="H22" i="725"/>
  <c r="H21" i="725"/>
  <c r="H20" i="725"/>
  <c r="H19" i="725"/>
  <c r="H18" i="725"/>
  <c r="H17" i="725"/>
  <c r="H16" i="725"/>
  <c r="H15" i="725"/>
  <c r="H14" i="725"/>
  <c r="H13" i="725"/>
  <c r="H12" i="725"/>
  <c r="H11" i="725"/>
  <c r="H10" i="725"/>
  <c r="H9" i="725"/>
  <c r="H8" i="725"/>
  <c r="H7" i="725"/>
  <c r="H6" i="725"/>
  <c r="G24" i="724"/>
  <c r="F24" i="724"/>
  <c r="E24" i="724"/>
  <c r="D24" i="724"/>
  <c r="C24" i="724"/>
  <c r="H23" i="724"/>
  <c r="H22" i="724"/>
  <c r="H21" i="724"/>
  <c r="H20" i="724"/>
  <c r="H19" i="724"/>
  <c r="H18" i="724"/>
  <c r="H17" i="724"/>
  <c r="H16" i="724"/>
  <c r="H15" i="724"/>
  <c r="H14" i="724"/>
  <c r="H13" i="724"/>
  <c r="H12" i="724"/>
  <c r="H11" i="724"/>
  <c r="H10" i="724"/>
  <c r="H9" i="724"/>
  <c r="H8" i="724"/>
  <c r="H7" i="724"/>
  <c r="H6" i="724"/>
  <c r="G24" i="723"/>
  <c r="F24" i="723"/>
  <c r="E24" i="723"/>
  <c r="D24" i="723"/>
  <c r="C24" i="723"/>
  <c r="H23" i="723"/>
  <c r="H22" i="723"/>
  <c r="H21" i="723"/>
  <c r="H20" i="723"/>
  <c r="H19" i="723"/>
  <c r="H18" i="723"/>
  <c r="H17" i="723"/>
  <c r="H16" i="723"/>
  <c r="H15" i="723"/>
  <c r="H14" i="723"/>
  <c r="H13" i="723"/>
  <c r="H12" i="723"/>
  <c r="H11" i="723"/>
  <c r="H10" i="723"/>
  <c r="H9" i="723"/>
  <c r="H8" i="723"/>
  <c r="H7" i="723"/>
  <c r="H6" i="723"/>
  <c r="G24" i="722"/>
  <c r="F24" i="722"/>
  <c r="E24" i="722"/>
  <c r="D24" i="722"/>
  <c r="C24" i="722"/>
  <c r="H23" i="722"/>
  <c r="H22" i="722"/>
  <c r="H21" i="722"/>
  <c r="H20" i="722"/>
  <c r="H19" i="722"/>
  <c r="H18" i="722"/>
  <c r="H17" i="722"/>
  <c r="H16" i="722"/>
  <c r="H15" i="722"/>
  <c r="H14" i="722"/>
  <c r="H13" i="722"/>
  <c r="H12" i="722"/>
  <c r="H11" i="722"/>
  <c r="H10" i="722"/>
  <c r="H9" i="722"/>
  <c r="H8" i="722"/>
  <c r="H7" i="722"/>
  <c r="H6" i="722"/>
  <c r="G24" i="721"/>
  <c r="F24" i="721"/>
  <c r="E24" i="721"/>
  <c r="D24" i="721"/>
  <c r="C24" i="721"/>
  <c r="H23" i="721"/>
  <c r="H22" i="721"/>
  <c r="H21" i="721"/>
  <c r="H20" i="721"/>
  <c r="H19" i="721"/>
  <c r="H18" i="721"/>
  <c r="H17" i="721"/>
  <c r="H16" i="721"/>
  <c r="H15" i="721"/>
  <c r="H14" i="721"/>
  <c r="H13" i="721"/>
  <c r="H12" i="721"/>
  <c r="H11" i="721"/>
  <c r="H10" i="721"/>
  <c r="H9" i="721"/>
  <c r="H8" i="721"/>
  <c r="H7" i="721"/>
  <c r="H6" i="721"/>
  <c r="G24" i="720"/>
  <c r="F24" i="720"/>
  <c r="E24" i="720"/>
  <c r="D24" i="720"/>
  <c r="C24" i="720"/>
  <c r="H23" i="720"/>
  <c r="H22" i="720"/>
  <c r="H21" i="720"/>
  <c r="H20" i="720"/>
  <c r="H19" i="720"/>
  <c r="H18" i="720"/>
  <c r="H17" i="720"/>
  <c r="H16" i="720"/>
  <c r="H15" i="720"/>
  <c r="H14" i="720"/>
  <c r="H13" i="720"/>
  <c r="H12" i="720"/>
  <c r="H11" i="720"/>
  <c r="H10" i="720"/>
  <c r="H9" i="720"/>
  <c r="H8" i="720"/>
  <c r="H7" i="720"/>
  <c r="H6" i="720"/>
  <c r="G24" i="719"/>
  <c r="F24" i="719"/>
  <c r="E24" i="719"/>
  <c r="D24" i="719"/>
  <c r="C24" i="719"/>
  <c r="H23" i="719"/>
  <c r="H22" i="719"/>
  <c r="H21" i="719"/>
  <c r="H20" i="719"/>
  <c r="H19" i="719"/>
  <c r="H18" i="719"/>
  <c r="H17" i="719"/>
  <c r="H16" i="719"/>
  <c r="H15" i="719"/>
  <c r="H14" i="719"/>
  <c r="H13" i="719"/>
  <c r="H12" i="719"/>
  <c r="H11" i="719"/>
  <c r="H10" i="719"/>
  <c r="H9" i="719"/>
  <c r="H8" i="719"/>
  <c r="H7" i="719"/>
  <c r="H6" i="719"/>
  <c r="G24" i="718"/>
  <c r="F24" i="718"/>
  <c r="E24" i="718"/>
  <c r="D24" i="718"/>
  <c r="C24" i="718"/>
  <c r="H23" i="718"/>
  <c r="H22" i="718"/>
  <c r="H21" i="718"/>
  <c r="H20" i="718"/>
  <c r="H19" i="718"/>
  <c r="H18" i="718"/>
  <c r="H17" i="718"/>
  <c r="H16" i="718"/>
  <c r="H15" i="718"/>
  <c r="H14" i="718"/>
  <c r="H13" i="718"/>
  <c r="H12" i="718"/>
  <c r="H11" i="718"/>
  <c r="H10" i="718"/>
  <c r="H9" i="718"/>
  <c r="H8" i="718"/>
  <c r="H7" i="718"/>
  <c r="H6" i="718"/>
  <c r="G24" i="717"/>
  <c r="F24" i="717"/>
  <c r="E24" i="717"/>
  <c r="D24" i="717"/>
  <c r="C24" i="717"/>
  <c r="H23" i="717"/>
  <c r="H22" i="717"/>
  <c r="H21" i="717"/>
  <c r="H20" i="717"/>
  <c r="H19" i="717"/>
  <c r="H18" i="717"/>
  <c r="H17" i="717"/>
  <c r="H16" i="717"/>
  <c r="H15" i="717"/>
  <c r="H14" i="717"/>
  <c r="H13" i="717"/>
  <c r="H12" i="717"/>
  <c r="H11" i="717"/>
  <c r="H10" i="717"/>
  <c r="H9" i="717"/>
  <c r="H8" i="717"/>
  <c r="H7" i="717"/>
  <c r="H6" i="717"/>
  <c r="G24" i="716"/>
  <c r="F24" i="716"/>
  <c r="E24" i="716"/>
  <c r="D24" i="716"/>
  <c r="C24" i="716"/>
  <c r="H23" i="716"/>
  <c r="H22" i="716"/>
  <c r="H21" i="716"/>
  <c r="H20" i="716"/>
  <c r="H19" i="716"/>
  <c r="H18" i="716"/>
  <c r="H17" i="716"/>
  <c r="H16" i="716"/>
  <c r="H15" i="716"/>
  <c r="H14" i="716"/>
  <c r="H13" i="716"/>
  <c r="H12" i="716"/>
  <c r="H11" i="716"/>
  <c r="H10" i="716"/>
  <c r="H9" i="716"/>
  <c r="H8" i="716"/>
  <c r="H7" i="716"/>
  <c r="H6" i="716"/>
  <c r="G24" i="715"/>
  <c r="F24" i="715"/>
  <c r="E24" i="715"/>
  <c r="D24" i="715"/>
  <c r="C24" i="715"/>
  <c r="H23" i="715"/>
  <c r="H22" i="715"/>
  <c r="H21" i="715"/>
  <c r="H20" i="715"/>
  <c r="H19" i="715"/>
  <c r="H18" i="715"/>
  <c r="H17" i="715"/>
  <c r="H16" i="715"/>
  <c r="H15" i="715"/>
  <c r="H14" i="715"/>
  <c r="H13" i="715"/>
  <c r="H12" i="715"/>
  <c r="H11" i="715"/>
  <c r="H10" i="715"/>
  <c r="H9" i="715"/>
  <c r="H8" i="715"/>
  <c r="H7" i="715"/>
  <c r="H6" i="715"/>
  <c r="G24" i="714"/>
  <c r="F24" i="714"/>
  <c r="E24" i="714"/>
  <c r="D24" i="714"/>
  <c r="C24" i="714"/>
  <c r="H23" i="714"/>
  <c r="H22" i="714"/>
  <c r="H21" i="714"/>
  <c r="H20" i="714"/>
  <c r="H19" i="714"/>
  <c r="H18" i="714"/>
  <c r="H17" i="714"/>
  <c r="H16" i="714"/>
  <c r="H15" i="714"/>
  <c r="H14" i="714"/>
  <c r="H13" i="714"/>
  <c r="H12" i="714"/>
  <c r="H11" i="714"/>
  <c r="H10" i="714"/>
  <c r="H9" i="714"/>
  <c r="H8" i="714"/>
  <c r="H7" i="714"/>
  <c r="H6" i="714"/>
  <c r="G24" i="713"/>
  <c r="F24" i="713"/>
  <c r="E24" i="713"/>
  <c r="D24" i="713"/>
  <c r="C24" i="713"/>
  <c r="H23" i="713"/>
  <c r="H22" i="713"/>
  <c r="H21" i="713"/>
  <c r="H20" i="713"/>
  <c r="H19" i="713"/>
  <c r="H18" i="713"/>
  <c r="H17" i="713"/>
  <c r="H16" i="713"/>
  <c r="H15" i="713"/>
  <c r="H14" i="713"/>
  <c r="H13" i="713"/>
  <c r="H12" i="713"/>
  <c r="H11" i="713"/>
  <c r="H10" i="713"/>
  <c r="H9" i="713"/>
  <c r="H8" i="713"/>
  <c r="H7" i="713"/>
  <c r="H6" i="713"/>
  <c r="G24" i="712"/>
  <c r="F24" i="712"/>
  <c r="E24" i="712"/>
  <c r="D24" i="712"/>
  <c r="C24" i="712"/>
  <c r="H23" i="712"/>
  <c r="H22" i="712"/>
  <c r="H21" i="712"/>
  <c r="H20" i="712"/>
  <c r="H19" i="712"/>
  <c r="H18" i="712"/>
  <c r="H17" i="712"/>
  <c r="H16" i="712"/>
  <c r="H15" i="712"/>
  <c r="H14" i="712"/>
  <c r="H13" i="712"/>
  <c r="H12" i="712"/>
  <c r="H11" i="712"/>
  <c r="H10" i="712"/>
  <c r="H9" i="712"/>
  <c r="H8" i="712"/>
  <c r="H7" i="712"/>
  <c r="H6" i="712"/>
  <c r="G24" i="711"/>
  <c r="F24" i="711"/>
  <c r="E24" i="711"/>
  <c r="D24" i="711"/>
  <c r="C24" i="711"/>
  <c r="H23" i="711"/>
  <c r="H22" i="711"/>
  <c r="H21" i="711"/>
  <c r="H20" i="711"/>
  <c r="H19" i="711"/>
  <c r="H18" i="711"/>
  <c r="H17" i="711"/>
  <c r="H16" i="711"/>
  <c r="H15" i="711"/>
  <c r="H14" i="711"/>
  <c r="H13" i="711"/>
  <c r="H12" i="711"/>
  <c r="H11" i="711"/>
  <c r="H10" i="711"/>
  <c r="H9" i="711"/>
  <c r="H8" i="711"/>
  <c r="H7" i="711"/>
  <c r="H6" i="711"/>
  <c r="G24" i="710"/>
  <c r="F24" i="710"/>
  <c r="E24" i="710"/>
  <c r="D24" i="710"/>
  <c r="C24" i="710"/>
  <c r="H23" i="710"/>
  <c r="H22" i="710"/>
  <c r="H21" i="710"/>
  <c r="H20" i="710"/>
  <c r="H19" i="710"/>
  <c r="H18" i="710"/>
  <c r="H17" i="710"/>
  <c r="H16" i="710"/>
  <c r="H15" i="710"/>
  <c r="H14" i="710"/>
  <c r="H13" i="710"/>
  <c r="H12" i="710"/>
  <c r="H11" i="710"/>
  <c r="H10" i="710"/>
  <c r="H9" i="710"/>
  <c r="H8" i="710"/>
  <c r="H7" i="710"/>
  <c r="H6" i="710"/>
  <c r="G24" i="709"/>
  <c r="F24" i="709"/>
  <c r="E24" i="709"/>
  <c r="D24" i="709"/>
  <c r="C24" i="709"/>
  <c r="H23" i="709"/>
  <c r="H22" i="709"/>
  <c r="H21" i="709"/>
  <c r="H20" i="709"/>
  <c r="H19" i="709"/>
  <c r="H18" i="709"/>
  <c r="H17" i="709"/>
  <c r="H16" i="709"/>
  <c r="H15" i="709"/>
  <c r="H14" i="709"/>
  <c r="H13" i="709"/>
  <c r="H12" i="709"/>
  <c r="H11" i="709"/>
  <c r="H10" i="709"/>
  <c r="H9" i="709"/>
  <c r="H8" i="709"/>
  <c r="H7" i="709"/>
  <c r="H6" i="709"/>
  <c r="G24" i="708"/>
  <c r="F24" i="708"/>
  <c r="E24" i="708"/>
  <c r="D24" i="708"/>
  <c r="C24" i="708"/>
  <c r="H23" i="708"/>
  <c r="H22" i="708"/>
  <c r="H21" i="708"/>
  <c r="H20" i="708"/>
  <c r="H19" i="708"/>
  <c r="H18" i="708"/>
  <c r="H17" i="708"/>
  <c r="H16" i="708"/>
  <c r="H15" i="708"/>
  <c r="H14" i="708"/>
  <c r="H13" i="708"/>
  <c r="H12" i="708"/>
  <c r="H11" i="708"/>
  <c r="H10" i="708"/>
  <c r="H9" i="708"/>
  <c r="H8" i="708"/>
  <c r="H7" i="708"/>
  <c r="H6" i="708"/>
  <c r="G24" i="707"/>
  <c r="F24" i="707"/>
  <c r="E24" i="707"/>
  <c r="D24" i="707"/>
  <c r="C24" i="707"/>
  <c r="H23" i="707"/>
  <c r="H22" i="707"/>
  <c r="H21" i="707"/>
  <c r="H20" i="707"/>
  <c r="H19" i="707"/>
  <c r="H18" i="707"/>
  <c r="H17" i="707"/>
  <c r="H16" i="707"/>
  <c r="H15" i="707"/>
  <c r="H14" i="707"/>
  <c r="H13" i="707"/>
  <c r="H12" i="707"/>
  <c r="H11" i="707"/>
  <c r="H10" i="707"/>
  <c r="H9" i="707"/>
  <c r="H8" i="707"/>
  <c r="H7" i="707"/>
  <c r="H6" i="707"/>
  <c r="G24" i="706"/>
  <c r="F24" i="706"/>
  <c r="E24" i="706"/>
  <c r="D24" i="706"/>
  <c r="C24" i="706"/>
  <c r="H23" i="706"/>
  <c r="H22" i="706"/>
  <c r="H21" i="706"/>
  <c r="H20" i="706"/>
  <c r="H19" i="706"/>
  <c r="H18" i="706"/>
  <c r="H17" i="706"/>
  <c r="H16" i="706"/>
  <c r="H15" i="706"/>
  <c r="H14" i="706"/>
  <c r="H13" i="706"/>
  <c r="H12" i="706"/>
  <c r="H11" i="706"/>
  <c r="H10" i="706"/>
  <c r="H9" i="706"/>
  <c r="H8" i="706"/>
  <c r="H7" i="706"/>
  <c r="H6" i="706"/>
  <c r="G24" i="705"/>
  <c r="F24" i="705"/>
  <c r="E24" i="705"/>
  <c r="D24" i="705"/>
  <c r="C24" i="705"/>
  <c r="H23" i="705"/>
  <c r="H22" i="705"/>
  <c r="H21" i="705"/>
  <c r="H20" i="705"/>
  <c r="H19" i="705"/>
  <c r="H18" i="705"/>
  <c r="H17" i="705"/>
  <c r="H16" i="705"/>
  <c r="H15" i="705"/>
  <c r="H14" i="705"/>
  <c r="H13" i="705"/>
  <c r="H12" i="705"/>
  <c r="H11" i="705"/>
  <c r="H10" i="705"/>
  <c r="H9" i="705"/>
  <c r="H8" i="705"/>
  <c r="H7" i="705"/>
  <c r="H6" i="705"/>
  <c r="G24" i="704"/>
  <c r="F24" i="704"/>
  <c r="E24" i="704"/>
  <c r="D24" i="704"/>
  <c r="C24" i="704"/>
  <c r="H23" i="704"/>
  <c r="H22" i="704"/>
  <c r="H21" i="704"/>
  <c r="H20" i="704"/>
  <c r="H19" i="704"/>
  <c r="H18" i="704"/>
  <c r="H17" i="704"/>
  <c r="H16" i="704"/>
  <c r="H15" i="704"/>
  <c r="H14" i="704"/>
  <c r="H13" i="704"/>
  <c r="H12" i="704"/>
  <c r="H11" i="704"/>
  <c r="H10" i="704"/>
  <c r="H9" i="704"/>
  <c r="H8" i="704"/>
  <c r="H7" i="704"/>
  <c r="H6" i="704"/>
  <c r="G24" i="703"/>
  <c r="F24" i="703"/>
  <c r="E24" i="703"/>
  <c r="D24" i="703"/>
  <c r="C24" i="703"/>
  <c r="H23" i="703"/>
  <c r="H22" i="703"/>
  <c r="H21" i="703"/>
  <c r="H20" i="703"/>
  <c r="H19" i="703"/>
  <c r="H18" i="703"/>
  <c r="H17" i="703"/>
  <c r="H16" i="703"/>
  <c r="H15" i="703"/>
  <c r="H14" i="703"/>
  <c r="H13" i="703"/>
  <c r="H12" i="703"/>
  <c r="H11" i="703"/>
  <c r="H10" i="703"/>
  <c r="H9" i="703"/>
  <c r="H8" i="703"/>
  <c r="H7" i="703"/>
  <c r="H6" i="703"/>
  <c r="G24" i="702"/>
  <c r="F24" i="702"/>
  <c r="E24" i="702"/>
  <c r="D24" i="702"/>
  <c r="C24" i="702"/>
  <c r="H23" i="702"/>
  <c r="H22" i="702"/>
  <c r="H21" i="702"/>
  <c r="H20" i="702"/>
  <c r="H19" i="702"/>
  <c r="H18" i="702"/>
  <c r="H17" i="702"/>
  <c r="H16" i="702"/>
  <c r="H15" i="702"/>
  <c r="H14" i="702"/>
  <c r="H13" i="702"/>
  <c r="H12" i="702"/>
  <c r="H11" i="702"/>
  <c r="H10" i="702"/>
  <c r="H9" i="702"/>
  <c r="H8" i="702"/>
  <c r="H7" i="702"/>
  <c r="H6" i="702"/>
  <c r="G24" i="701"/>
  <c r="F24" i="701"/>
  <c r="E24" i="701"/>
  <c r="D24" i="701"/>
  <c r="C24" i="701"/>
  <c r="H23" i="701"/>
  <c r="H22" i="701"/>
  <c r="H21" i="701"/>
  <c r="H20" i="701"/>
  <c r="H19" i="701"/>
  <c r="H18" i="701"/>
  <c r="H17" i="701"/>
  <c r="H16" i="701"/>
  <c r="H15" i="701"/>
  <c r="H14" i="701"/>
  <c r="H13" i="701"/>
  <c r="H12" i="701"/>
  <c r="H11" i="701"/>
  <c r="H10" i="701"/>
  <c r="H9" i="701"/>
  <c r="H8" i="701"/>
  <c r="H7" i="701"/>
  <c r="H6" i="701"/>
  <c r="G24" i="700"/>
  <c r="F24" i="700"/>
  <c r="E24" i="700"/>
  <c r="D24" i="700"/>
  <c r="C24" i="700"/>
  <c r="H23" i="700"/>
  <c r="H22" i="700"/>
  <c r="H21" i="700"/>
  <c r="H20" i="700"/>
  <c r="H19" i="700"/>
  <c r="H18" i="700"/>
  <c r="H17" i="700"/>
  <c r="H16" i="700"/>
  <c r="H15" i="700"/>
  <c r="H14" i="700"/>
  <c r="H13" i="700"/>
  <c r="H12" i="700"/>
  <c r="H11" i="700"/>
  <c r="H10" i="700"/>
  <c r="H9" i="700"/>
  <c r="H8" i="700"/>
  <c r="H7" i="700"/>
  <c r="H6" i="700"/>
  <c r="G24" i="699"/>
  <c r="F24" i="699"/>
  <c r="E24" i="699"/>
  <c r="D24" i="699"/>
  <c r="C24" i="699"/>
  <c r="H23" i="699"/>
  <c r="H22" i="699"/>
  <c r="H21" i="699"/>
  <c r="H20" i="699"/>
  <c r="H19" i="699"/>
  <c r="H18" i="699"/>
  <c r="H17" i="699"/>
  <c r="H16" i="699"/>
  <c r="H15" i="699"/>
  <c r="H14" i="699"/>
  <c r="H13" i="699"/>
  <c r="H12" i="699"/>
  <c r="H11" i="699"/>
  <c r="H10" i="699"/>
  <c r="H9" i="699"/>
  <c r="H8" i="699"/>
  <c r="H7" i="699"/>
  <c r="H6" i="699"/>
  <c r="G24" i="698"/>
  <c r="F24" i="698"/>
  <c r="E24" i="698"/>
  <c r="D24" i="698"/>
  <c r="C24" i="698"/>
  <c r="H23" i="698"/>
  <c r="H22" i="698"/>
  <c r="H21" i="698"/>
  <c r="H20" i="698"/>
  <c r="H19" i="698"/>
  <c r="H18" i="698"/>
  <c r="H17" i="698"/>
  <c r="H16" i="698"/>
  <c r="H15" i="698"/>
  <c r="H14" i="698"/>
  <c r="H13" i="698"/>
  <c r="H12" i="698"/>
  <c r="H11" i="698"/>
  <c r="H10" i="698"/>
  <c r="H9" i="698"/>
  <c r="H8" i="698"/>
  <c r="H7" i="698"/>
  <c r="H6" i="698"/>
  <c r="G24" i="697"/>
  <c r="F24" i="697"/>
  <c r="E24" i="697"/>
  <c r="D24" i="697"/>
  <c r="C24" i="697"/>
  <c r="H23" i="697"/>
  <c r="H22" i="697"/>
  <c r="H21" i="697"/>
  <c r="H20" i="697"/>
  <c r="H19" i="697"/>
  <c r="H18" i="697"/>
  <c r="H17" i="697"/>
  <c r="H16" i="697"/>
  <c r="H15" i="697"/>
  <c r="H14" i="697"/>
  <c r="H13" i="697"/>
  <c r="H12" i="697"/>
  <c r="H11" i="697"/>
  <c r="H10" i="697"/>
  <c r="H9" i="697"/>
  <c r="H8" i="697"/>
  <c r="H7" i="697"/>
  <c r="H6" i="697"/>
  <c r="G24" i="696"/>
  <c r="F24" i="696"/>
  <c r="E24" i="696"/>
  <c r="D24" i="696"/>
  <c r="C24" i="696"/>
  <c r="H23" i="696"/>
  <c r="H22" i="696"/>
  <c r="H21" i="696"/>
  <c r="H20" i="696"/>
  <c r="H19" i="696"/>
  <c r="H18" i="696"/>
  <c r="H17" i="696"/>
  <c r="H16" i="696"/>
  <c r="H15" i="696"/>
  <c r="H14" i="696"/>
  <c r="H13" i="696"/>
  <c r="H12" i="696"/>
  <c r="H11" i="696"/>
  <c r="H10" i="696"/>
  <c r="H9" i="696"/>
  <c r="H8" i="696"/>
  <c r="H7" i="696"/>
  <c r="H6" i="696"/>
  <c r="G24" i="695"/>
  <c r="F24" i="695"/>
  <c r="E24" i="695"/>
  <c r="D24" i="695"/>
  <c r="C24" i="695"/>
  <c r="H23" i="695"/>
  <c r="H22" i="695"/>
  <c r="H21" i="695"/>
  <c r="H20" i="695"/>
  <c r="H19" i="695"/>
  <c r="H18" i="695"/>
  <c r="H17" i="695"/>
  <c r="H16" i="695"/>
  <c r="H15" i="695"/>
  <c r="H14" i="695"/>
  <c r="H13" i="695"/>
  <c r="H12" i="695"/>
  <c r="H11" i="695"/>
  <c r="H10" i="695"/>
  <c r="H9" i="695"/>
  <c r="H8" i="695"/>
  <c r="H7" i="695"/>
  <c r="H6" i="695"/>
  <c r="G24" i="694"/>
  <c r="F24" i="694"/>
  <c r="E24" i="694"/>
  <c r="D24" i="694"/>
  <c r="C24" i="694"/>
  <c r="H23" i="694"/>
  <c r="H22" i="694"/>
  <c r="H21" i="694"/>
  <c r="H20" i="694"/>
  <c r="H19" i="694"/>
  <c r="H18" i="694"/>
  <c r="H17" i="694"/>
  <c r="H16" i="694"/>
  <c r="H15" i="694"/>
  <c r="H14" i="694"/>
  <c r="H13" i="694"/>
  <c r="H12" i="694"/>
  <c r="H11" i="694"/>
  <c r="H10" i="694"/>
  <c r="H9" i="694"/>
  <c r="H8" i="694"/>
  <c r="H7" i="694"/>
  <c r="H6" i="694"/>
  <c r="G24" i="693"/>
  <c r="F24" i="693"/>
  <c r="E24" i="693"/>
  <c r="D24" i="693"/>
  <c r="C24" i="693"/>
  <c r="H23" i="693"/>
  <c r="H22" i="693"/>
  <c r="H21" i="693"/>
  <c r="H20" i="693"/>
  <c r="H19" i="693"/>
  <c r="H18" i="693"/>
  <c r="H17" i="693"/>
  <c r="H16" i="693"/>
  <c r="H15" i="693"/>
  <c r="H14" i="693"/>
  <c r="H13" i="693"/>
  <c r="H12" i="693"/>
  <c r="H11" i="693"/>
  <c r="H10" i="693"/>
  <c r="H9" i="693"/>
  <c r="H8" i="693"/>
  <c r="H7" i="693"/>
  <c r="H6" i="693"/>
  <c r="G24" i="692"/>
  <c r="F24" i="692"/>
  <c r="E24" i="692"/>
  <c r="D24" i="692"/>
  <c r="C24" i="692"/>
  <c r="H23" i="692"/>
  <c r="H22" i="692"/>
  <c r="H21" i="692"/>
  <c r="H20" i="692"/>
  <c r="H19" i="692"/>
  <c r="H18" i="692"/>
  <c r="H17" i="692"/>
  <c r="H16" i="692"/>
  <c r="H15" i="692"/>
  <c r="H14" i="692"/>
  <c r="H13" i="692"/>
  <c r="H12" i="692"/>
  <c r="H11" i="692"/>
  <c r="H10" i="692"/>
  <c r="H9" i="692"/>
  <c r="H8" i="692"/>
  <c r="H7" i="692"/>
  <c r="H6" i="692"/>
  <c r="G24" i="691"/>
  <c r="F24" i="691"/>
  <c r="E24" i="691"/>
  <c r="D24" i="691"/>
  <c r="C24" i="691"/>
  <c r="H23" i="691"/>
  <c r="H22" i="691"/>
  <c r="H21" i="691"/>
  <c r="H20" i="691"/>
  <c r="H19" i="691"/>
  <c r="H18" i="691"/>
  <c r="H17" i="691"/>
  <c r="H16" i="691"/>
  <c r="H15" i="691"/>
  <c r="H14" i="691"/>
  <c r="H13" i="691"/>
  <c r="H12" i="691"/>
  <c r="H11" i="691"/>
  <c r="H10" i="691"/>
  <c r="H9" i="691"/>
  <c r="H8" i="691"/>
  <c r="H7" i="691"/>
  <c r="H6" i="691"/>
  <c r="G24" i="690"/>
  <c r="F24" i="690"/>
  <c r="E24" i="690"/>
  <c r="D24" i="690"/>
  <c r="C24" i="690"/>
  <c r="H23" i="690"/>
  <c r="H22" i="690"/>
  <c r="H21" i="690"/>
  <c r="H20" i="690"/>
  <c r="H19" i="690"/>
  <c r="H18" i="690"/>
  <c r="H17" i="690"/>
  <c r="H16" i="690"/>
  <c r="H15" i="690"/>
  <c r="H14" i="690"/>
  <c r="H13" i="690"/>
  <c r="H12" i="690"/>
  <c r="H11" i="690"/>
  <c r="H10" i="690"/>
  <c r="H9" i="690"/>
  <c r="H8" i="690"/>
  <c r="H7" i="690"/>
  <c r="H6" i="690"/>
  <c r="G24" i="689"/>
  <c r="F24" i="689"/>
  <c r="E24" i="689"/>
  <c r="D24" i="689"/>
  <c r="C24" i="689"/>
  <c r="H23" i="689"/>
  <c r="H22" i="689"/>
  <c r="H21" i="689"/>
  <c r="H20" i="689"/>
  <c r="H19" i="689"/>
  <c r="H18" i="689"/>
  <c r="H17" i="689"/>
  <c r="H16" i="689"/>
  <c r="H15" i="689"/>
  <c r="H14" i="689"/>
  <c r="H13" i="689"/>
  <c r="H12" i="689"/>
  <c r="H11" i="689"/>
  <c r="H10" i="689"/>
  <c r="H9" i="689"/>
  <c r="H8" i="689"/>
  <c r="H7" i="689"/>
  <c r="H6" i="689"/>
  <c r="G24" i="688"/>
  <c r="F24" i="688"/>
  <c r="E24" i="688"/>
  <c r="D24" i="688"/>
  <c r="C24" i="688"/>
  <c r="H23" i="688"/>
  <c r="H22" i="688"/>
  <c r="H21" i="688"/>
  <c r="H20" i="688"/>
  <c r="H19" i="688"/>
  <c r="H18" i="688"/>
  <c r="H17" i="688"/>
  <c r="H16" i="688"/>
  <c r="H15" i="688"/>
  <c r="H14" i="688"/>
  <c r="H13" i="688"/>
  <c r="H12" i="688"/>
  <c r="H11" i="688"/>
  <c r="H10" i="688"/>
  <c r="H9" i="688"/>
  <c r="H8" i="688"/>
  <c r="H7" i="688"/>
  <c r="H6" i="688"/>
  <c r="G23" i="687"/>
  <c r="F23" i="687"/>
  <c r="E23" i="687"/>
  <c r="D23" i="687"/>
  <c r="C23" i="687"/>
  <c r="H22" i="687"/>
  <c r="H21" i="687"/>
  <c r="H20" i="687"/>
  <c r="H19" i="687"/>
  <c r="H18" i="687"/>
  <c r="H17" i="687"/>
  <c r="H16" i="687"/>
  <c r="H15" i="687"/>
  <c r="H14" i="687"/>
  <c r="H13" i="687"/>
  <c r="H12" i="687"/>
  <c r="H11" i="687"/>
  <c r="H10" i="687"/>
  <c r="H9" i="687"/>
  <c r="H8" i="687"/>
  <c r="H7" i="687"/>
  <c r="H6" i="687"/>
  <c r="G23" i="686"/>
  <c r="F23" i="686"/>
  <c r="E23" i="686"/>
  <c r="D23" i="686"/>
  <c r="C23" i="686"/>
  <c r="H22" i="686"/>
  <c r="H21" i="686"/>
  <c r="H20" i="686"/>
  <c r="H19" i="686"/>
  <c r="H18" i="686"/>
  <c r="H17" i="686"/>
  <c r="H16" i="686"/>
  <c r="H15" i="686"/>
  <c r="H14" i="686"/>
  <c r="H13" i="686"/>
  <c r="H12" i="686"/>
  <c r="H11" i="686"/>
  <c r="H10" i="686"/>
  <c r="H9" i="686"/>
  <c r="H8" i="686"/>
  <c r="H7" i="686"/>
  <c r="H6" i="686"/>
  <c r="G23" i="685"/>
  <c r="F23" i="685"/>
  <c r="E23" i="685"/>
  <c r="D23" i="685"/>
  <c r="C23" i="685"/>
  <c r="H22" i="685"/>
  <c r="H21" i="685"/>
  <c r="H20" i="685"/>
  <c r="H19" i="685"/>
  <c r="H18" i="685"/>
  <c r="H17" i="685"/>
  <c r="H16" i="685"/>
  <c r="H15" i="685"/>
  <c r="H14" i="685"/>
  <c r="H13" i="685"/>
  <c r="H12" i="685"/>
  <c r="H11" i="685"/>
  <c r="H10" i="685"/>
  <c r="H9" i="685"/>
  <c r="H8" i="685"/>
  <c r="H7" i="685"/>
  <c r="H6" i="685"/>
  <c r="G23" i="684"/>
  <c r="F23" i="684"/>
  <c r="E23" i="684"/>
  <c r="D23" i="684"/>
  <c r="C23" i="684"/>
  <c r="H22" i="684"/>
  <c r="H21" i="684"/>
  <c r="H20" i="684"/>
  <c r="H19" i="684"/>
  <c r="H18" i="684"/>
  <c r="H17" i="684"/>
  <c r="H16" i="684"/>
  <c r="H15" i="684"/>
  <c r="H14" i="684"/>
  <c r="H13" i="684"/>
  <c r="H12" i="684"/>
  <c r="H11" i="684"/>
  <c r="H10" i="684"/>
  <c r="H9" i="684"/>
  <c r="H8" i="684"/>
  <c r="H7" i="684"/>
  <c r="H6" i="684"/>
  <c r="G23" i="683"/>
  <c r="F23" i="683"/>
  <c r="E23" i="683"/>
  <c r="D23" i="683"/>
  <c r="C23" i="683"/>
  <c r="H22" i="683"/>
  <c r="H21" i="683"/>
  <c r="H20" i="683"/>
  <c r="H19" i="683"/>
  <c r="H18" i="683"/>
  <c r="H17" i="683"/>
  <c r="H16" i="683"/>
  <c r="H15" i="683"/>
  <c r="H14" i="683"/>
  <c r="H13" i="683"/>
  <c r="H12" i="683"/>
  <c r="H11" i="683"/>
  <c r="H10" i="683"/>
  <c r="H9" i="683"/>
  <c r="H8" i="683"/>
  <c r="H7" i="683"/>
  <c r="H6" i="683"/>
  <c r="G23" i="682"/>
  <c r="F23" i="682"/>
  <c r="E23" i="682"/>
  <c r="D23" i="682"/>
  <c r="C23" i="682"/>
  <c r="H22" i="682"/>
  <c r="H21" i="682"/>
  <c r="H20" i="682"/>
  <c r="H19" i="682"/>
  <c r="H18" i="682"/>
  <c r="H17" i="682"/>
  <c r="H16" i="682"/>
  <c r="H15" i="682"/>
  <c r="H14" i="682"/>
  <c r="H13" i="682"/>
  <c r="H12" i="682"/>
  <c r="H11" i="682"/>
  <c r="H10" i="682"/>
  <c r="H9" i="682"/>
  <c r="H8" i="682"/>
  <c r="H7" i="682"/>
  <c r="H6" i="682"/>
  <c r="G23" i="681"/>
  <c r="F23" i="681"/>
  <c r="E23" i="681"/>
  <c r="D23" i="681"/>
  <c r="C23" i="681"/>
  <c r="H22" i="681"/>
  <c r="H21" i="681"/>
  <c r="H20" i="681"/>
  <c r="H19" i="681"/>
  <c r="H18" i="681"/>
  <c r="H17" i="681"/>
  <c r="H16" i="681"/>
  <c r="H15" i="681"/>
  <c r="H14" i="681"/>
  <c r="H13" i="681"/>
  <c r="H12" i="681"/>
  <c r="H11" i="681"/>
  <c r="H10" i="681"/>
  <c r="H9" i="681"/>
  <c r="H8" i="681"/>
  <c r="H7" i="681"/>
  <c r="H6" i="681"/>
  <c r="G23" i="680"/>
  <c r="F23" i="680"/>
  <c r="E23" i="680"/>
  <c r="D23" i="680"/>
  <c r="C23" i="680"/>
  <c r="H22" i="680"/>
  <c r="H21" i="680"/>
  <c r="H20" i="680"/>
  <c r="H19" i="680"/>
  <c r="H18" i="680"/>
  <c r="H17" i="680"/>
  <c r="H16" i="680"/>
  <c r="H15" i="680"/>
  <c r="H14" i="680"/>
  <c r="H13" i="680"/>
  <c r="H12" i="680"/>
  <c r="H11" i="680"/>
  <c r="H10" i="680"/>
  <c r="H9" i="680"/>
  <c r="H8" i="680"/>
  <c r="H7" i="680"/>
  <c r="H6" i="680"/>
  <c r="G23" i="679"/>
  <c r="F23" i="679"/>
  <c r="E23" i="679"/>
  <c r="D23" i="679"/>
  <c r="C23" i="679"/>
  <c r="H22" i="679"/>
  <c r="H21" i="679"/>
  <c r="H20" i="679"/>
  <c r="H19" i="679"/>
  <c r="H18" i="679"/>
  <c r="H17" i="679"/>
  <c r="H16" i="679"/>
  <c r="H15" i="679"/>
  <c r="H14" i="679"/>
  <c r="H13" i="679"/>
  <c r="H12" i="679"/>
  <c r="H11" i="679"/>
  <c r="H10" i="679"/>
  <c r="H9" i="679"/>
  <c r="H8" i="679"/>
  <c r="H7" i="679"/>
  <c r="H6" i="679"/>
  <c r="G23" i="678"/>
  <c r="F23" i="678"/>
  <c r="E23" i="678"/>
  <c r="D23" i="678"/>
  <c r="C23" i="678"/>
  <c r="H22" i="678"/>
  <c r="H21" i="678"/>
  <c r="H20" i="678"/>
  <c r="H19" i="678"/>
  <c r="H18" i="678"/>
  <c r="H17" i="678"/>
  <c r="H16" i="678"/>
  <c r="H15" i="678"/>
  <c r="H14" i="678"/>
  <c r="H13" i="678"/>
  <c r="H12" i="678"/>
  <c r="H11" i="678"/>
  <c r="H10" i="678"/>
  <c r="H9" i="678"/>
  <c r="H8" i="678"/>
  <c r="H7" i="678"/>
  <c r="H6" i="678"/>
  <c r="G23" i="677"/>
  <c r="F23" i="677"/>
  <c r="E23" i="677"/>
  <c r="D23" i="677"/>
  <c r="C23" i="677"/>
  <c r="H22" i="677"/>
  <c r="H21" i="677"/>
  <c r="H20" i="677"/>
  <c r="H19" i="677"/>
  <c r="H18" i="677"/>
  <c r="H17" i="677"/>
  <c r="H16" i="677"/>
  <c r="H15" i="677"/>
  <c r="H14" i="677"/>
  <c r="H13" i="677"/>
  <c r="H12" i="677"/>
  <c r="H11" i="677"/>
  <c r="H10" i="677"/>
  <c r="H9" i="677"/>
  <c r="H8" i="677"/>
  <c r="H7" i="677"/>
  <c r="H6" i="677"/>
  <c r="G23" i="676"/>
  <c r="F23" i="676"/>
  <c r="E23" i="676"/>
  <c r="D23" i="676"/>
  <c r="C23" i="676"/>
  <c r="H22" i="676"/>
  <c r="H21" i="676"/>
  <c r="H20" i="676"/>
  <c r="H19" i="676"/>
  <c r="H18" i="676"/>
  <c r="H17" i="676"/>
  <c r="H16" i="676"/>
  <c r="H15" i="676"/>
  <c r="H14" i="676"/>
  <c r="H13" i="676"/>
  <c r="H12" i="676"/>
  <c r="H11" i="676"/>
  <c r="H10" i="676"/>
  <c r="H9" i="676"/>
  <c r="H8" i="676"/>
  <c r="H7" i="676"/>
  <c r="H6" i="676"/>
  <c r="G23" i="675"/>
  <c r="F23" i="675"/>
  <c r="E23" i="675"/>
  <c r="D23" i="675"/>
  <c r="C23" i="675"/>
  <c r="H22" i="675"/>
  <c r="H21" i="675"/>
  <c r="H20" i="675"/>
  <c r="H19" i="675"/>
  <c r="H18" i="675"/>
  <c r="H17" i="675"/>
  <c r="H16" i="675"/>
  <c r="H15" i="675"/>
  <c r="H14" i="675"/>
  <c r="H13" i="675"/>
  <c r="H12" i="675"/>
  <c r="H11" i="675"/>
  <c r="H10" i="675"/>
  <c r="H9" i="675"/>
  <c r="H8" i="675"/>
  <c r="H7" i="675"/>
  <c r="H6" i="675"/>
  <c r="G23" i="674"/>
  <c r="F23" i="674"/>
  <c r="E23" i="674"/>
  <c r="D23" i="674"/>
  <c r="C23" i="674"/>
  <c r="H22" i="674"/>
  <c r="H21" i="674"/>
  <c r="H20" i="674"/>
  <c r="H19" i="674"/>
  <c r="H18" i="674"/>
  <c r="H17" i="674"/>
  <c r="H16" i="674"/>
  <c r="H15" i="674"/>
  <c r="H14" i="674"/>
  <c r="H13" i="674"/>
  <c r="H12" i="674"/>
  <c r="H11" i="674"/>
  <c r="H10" i="674"/>
  <c r="H9" i="674"/>
  <c r="H8" i="674"/>
  <c r="H7" i="674"/>
  <c r="H6" i="674"/>
  <c r="G23" i="673"/>
  <c r="F23" i="673"/>
  <c r="E23" i="673"/>
  <c r="D23" i="673"/>
  <c r="C23" i="673"/>
  <c r="H22" i="673"/>
  <c r="H21" i="673"/>
  <c r="H20" i="673"/>
  <c r="H19" i="673"/>
  <c r="H18" i="673"/>
  <c r="H17" i="673"/>
  <c r="H16" i="673"/>
  <c r="H15" i="673"/>
  <c r="H14" i="673"/>
  <c r="H13" i="673"/>
  <c r="H12" i="673"/>
  <c r="H11" i="673"/>
  <c r="H10" i="673"/>
  <c r="H9" i="673"/>
  <c r="H8" i="673"/>
  <c r="H7" i="673"/>
  <c r="H6" i="673"/>
  <c r="G23" i="672"/>
  <c r="F23" i="672"/>
  <c r="E23" i="672"/>
  <c r="D23" i="672"/>
  <c r="C23" i="672"/>
  <c r="H22" i="672"/>
  <c r="H21" i="672"/>
  <c r="H20" i="672"/>
  <c r="H19" i="672"/>
  <c r="H18" i="672"/>
  <c r="H17" i="672"/>
  <c r="H16" i="672"/>
  <c r="H15" i="672"/>
  <c r="H14" i="672"/>
  <c r="H13" i="672"/>
  <c r="H12" i="672"/>
  <c r="H11" i="672"/>
  <c r="H10" i="672"/>
  <c r="H9" i="672"/>
  <c r="H8" i="672"/>
  <c r="H7" i="672"/>
  <c r="H6" i="672"/>
  <c r="G23" i="671"/>
  <c r="F23" i="671"/>
  <c r="E23" i="671"/>
  <c r="D23" i="671"/>
  <c r="C23" i="671"/>
  <c r="H22" i="671"/>
  <c r="H21" i="671"/>
  <c r="H20" i="671"/>
  <c r="H19" i="671"/>
  <c r="H18" i="671"/>
  <c r="H17" i="671"/>
  <c r="H16" i="671"/>
  <c r="H15" i="671"/>
  <c r="H14" i="671"/>
  <c r="H13" i="671"/>
  <c r="H12" i="671"/>
  <c r="H11" i="671"/>
  <c r="H10" i="671"/>
  <c r="H9" i="671"/>
  <c r="H8" i="671"/>
  <c r="H7" i="671"/>
  <c r="H6" i="671"/>
  <c r="G23" i="670"/>
  <c r="F23" i="670"/>
  <c r="E23" i="670"/>
  <c r="D23" i="670"/>
  <c r="C23" i="670"/>
  <c r="H22" i="670"/>
  <c r="H21" i="670"/>
  <c r="H20" i="670"/>
  <c r="H19" i="670"/>
  <c r="H18" i="670"/>
  <c r="H17" i="670"/>
  <c r="H16" i="670"/>
  <c r="H15" i="670"/>
  <c r="H14" i="670"/>
  <c r="H13" i="670"/>
  <c r="H12" i="670"/>
  <c r="H11" i="670"/>
  <c r="H10" i="670"/>
  <c r="H9" i="670"/>
  <c r="H8" i="670"/>
  <c r="H7" i="670"/>
  <c r="H6" i="670"/>
  <c r="G23" i="669"/>
  <c r="F23" i="669"/>
  <c r="E23" i="669"/>
  <c r="D23" i="669"/>
  <c r="C23" i="669"/>
  <c r="H22" i="669"/>
  <c r="H21" i="669"/>
  <c r="H20" i="669"/>
  <c r="H19" i="669"/>
  <c r="H18" i="669"/>
  <c r="H17" i="669"/>
  <c r="H16" i="669"/>
  <c r="H15" i="669"/>
  <c r="H14" i="669"/>
  <c r="H13" i="669"/>
  <c r="H12" i="669"/>
  <c r="H11" i="669"/>
  <c r="H10" i="669"/>
  <c r="H9" i="669"/>
  <c r="H8" i="669"/>
  <c r="H7" i="669"/>
  <c r="H6" i="669"/>
  <c r="G23" i="668"/>
  <c r="F23" i="668"/>
  <c r="E23" i="668"/>
  <c r="D23" i="668"/>
  <c r="C23" i="668"/>
  <c r="H22" i="668"/>
  <c r="H21" i="668"/>
  <c r="H20" i="668"/>
  <c r="H19" i="668"/>
  <c r="H18" i="668"/>
  <c r="H17" i="668"/>
  <c r="H16" i="668"/>
  <c r="H15" i="668"/>
  <c r="H14" i="668"/>
  <c r="H13" i="668"/>
  <c r="H12" i="668"/>
  <c r="H11" i="668"/>
  <c r="H10" i="668"/>
  <c r="H9" i="668"/>
  <c r="H8" i="668"/>
  <c r="H7" i="668"/>
  <c r="H6" i="668"/>
  <c r="G23" i="667"/>
  <c r="F23" i="667"/>
  <c r="E23" i="667"/>
  <c r="D23" i="667"/>
  <c r="C23" i="667"/>
  <c r="H22" i="667"/>
  <c r="H21" i="667"/>
  <c r="H20" i="667"/>
  <c r="H19" i="667"/>
  <c r="H18" i="667"/>
  <c r="H17" i="667"/>
  <c r="H16" i="667"/>
  <c r="H15" i="667"/>
  <c r="H14" i="667"/>
  <c r="H13" i="667"/>
  <c r="H12" i="667"/>
  <c r="H11" i="667"/>
  <c r="H10" i="667"/>
  <c r="H9" i="667"/>
  <c r="H8" i="667"/>
  <c r="H7" i="667"/>
  <c r="H6" i="667"/>
  <c r="G23" i="666"/>
  <c r="F23" i="666"/>
  <c r="E23" i="666"/>
  <c r="D23" i="666"/>
  <c r="C23" i="666"/>
  <c r="H22" i="666"/>
  <c r="H21" i="666"/>
  <c r="H20" i="666"/>
  <c r="H19" i="666"/>
  <c r="H18" i="666"/>
  <c r="H17" i="666"/>
  <c r="H16" i="666"/>
  <c r="H15" i="666"/>
  <c r="H14" i="666"/>
  <c r="H13" i="666"/>
  <c r="H12" i="666"/>
  <c r="H11" i="666"/>
  <c r="H10" i="666"/>
  <c r="H9" i="666"/>
  <c r="H8" i="666"/>
  <c r="H7" i="666"/>
  <c r="H6" i="666"/>
  <c r="G23" i="665"/>
  <c r="F23" i="665"/>
  <c r="E23" i="665"/>
  <c r="D23" i="665"/>
  <c r="C23" i="665"/>
  <c r="H22" i="665"/>
  <c r="H21" i="665"/>
  <c r="H20" i="665"/>
  <c r="H19" i="665"/>
  <c r="H18" i="665"/>
  <c r="H17" i="665"/>
  <c r="H16" i="665"/>
  <c r="H15" i="665"/>
  <c r="H14" i="665"/>
  <c r="H13" i="665"/>
  <c r="H12" i="665"/>
  <c r="H11" i="665"/>
  <c r="H10" i="665"/>
  <c r="H9" i="665"/>
  <c r="H8" i="665"/>
  <c r="H7" i="665"/>
  <c r="H6" i="665"/>
  <c r="G23" i="664"/>
  <c r="F23" i="664"/>
  <c r="E23" i="664"/>
  <c r="D23" i="664"/>
  <c r="C23" i="664"/>
  <c r="H22" i="664"/>
  <c r="H21" i="664"/>
  <c r="H20" i="664"/>
  <c r="H19" i="664"/>
  <c r="H18" i="664"/>
  <c r="H17" i="664"/>
  <c r="H16" i="664"/>
  <c r="H15" i="664"/>
  <c r="H14" i="664"/>
  <c r="H13" i="664"/>
  <c r="H12" i="664"/>
  <c r="H11" i="664"/>
  <c r="H10" i="664"/>
  <c r="H9" i="664"/>
  <c r="H8" i="664"/>
  <c r="H7" i="664"/>
  <c r="H6" i="664"/>
  <c r="G23" i="663"/>
  <c r="F23" i="663"/>
  <c r="E23" i="663"/>
  <c r="D23" i="663"/>
  <c r="C23" i="663"/>
  <c r="H22" i="663"/>
  <c r="H21" i="663"/>
  <c r="H20" i="663"/>
  <c r="H19" i="663"/>
  <c r="H18" i="663"/>
  <c r="H17" i="663"/>
  <c r="H16" i="663"/>
  <c r="H15" i="663"/>
  <c r="H14" i="663"/>
  <c r="H13" i="663"/>
  <c r="H12" i="663"/>
  <c r="H11" i="663"/>
  <c r="H10" i="663"/>
  <c r="H9" i="663"/>
  <c r="H8" i="663"/>
  <c r="H7" i="663"/>
  <c r="H6" i="663"/>
  <c r="G23" i="662"/>
  <c r="F23" i="662"/>
  <c r="E23" i="662"/>
  <c r="D23" i="662"/>
  <c r="C23" i="662"/>
  <c r="H22" i="662"/>
  <c r="H21" i="662"/>
  <c r="H20" i="662"/>
  <c r="H19" i="662"/>
  <c r="H18" i="662"/>
  <c r="H17" i="662"/>
  <c r="H16" i="662"/>
  <c r="H15" i="662"/>
  <c r="H14" i="662"/>
  <c r="H13" i="662"/>
  <c r="H12" i="662"/>
  <c r="H11" i="662"/>
  <c r="H10" i="662"/>
  <c r="H9" i="662"/>
  <c r="H8" i="662"/>
  <c r="H7" i="662"/>
  <c r="H6" i="662"/>
  <c r="G23" i="661"/>
  <c r="F23" i="661"/>
  <c r="E23" i="661"/>
  <c r="D23" i="661"/>
  <c r="C23" i="661"/>
  <c r="H22" i="661"/>
  <c r="H21" i="661"/>
  <c r="H20" i="661"/>
  <c r="H19" i="661"/>
  <c r="H18" i="661"/>
  <c r="H17" i="661"/>
  <c r="H16" i="661"/>
  <c r="H15" i="661"/>
  <c r="H14" i="661"/>
  <c r="H13" i="661"/>
  <c r="H12" i="661"/>
  <c r="H11" i="661"/>
  <c r="H10" i="661"/>
  <c r="H9" i="661"/>
  <c r="H8" i="661"/>
  <c r="H7" i="661"/>
  <c r="H6" i="661"/>
  <c r="G23" i="660"/>
  <c r="F23" i="660"/>
  <c r="E23" i="660"/>
  <c r="D23" i="660"/>
  <c r="C23" i="660"/>
  <c r="H22" i="660"/>
  <c r="H21" i="660"/>
  <c r="H20" i="660"/>
  <c r="H19" i="660"/>
  <c r="H18" i="660"/>
  <c r="H17" i="660"/>
  <c r="H16" i="660"/>
  <c r="H15" i="660"/>
  <c r="H14" i="660"/>
  <c r="H13" i="660"/>
  <c r="H12" i="660"/>
  <c r="H11" i="660"/>
  <c r="H10" i="660"/>
  <c r="H9" i="660"/>
  <c r="H8" i="660"/>
  <c r="H7" i="660"/>
  <c r="H6" i="660"/>
  <c r="G23" i="659"/>
  <c r="F23" i="659"/>
  <c r="E23" i="659"/>
  <c r="D23" i="659"/>
  <c r="C23" i="659"/>
  <c r="H22" i="659"/>
  <c r="H21" i="659"/>
  <c r="H20" i="659"/>
  <c r="H19" i="659"/>
  <c r="H18" i="659"/>
  <c r="H17" i="659"/>
  <c r="H16" i="659"/>
  <c r="H15" i="659"/>
  <c r="H14" i="659"/>
  <c r="H13" i="659"/>
  <c r="H12" i="659"/>
  <c r="H11" i="659"/>
  <c r="H10" i="659"/>
  <c r="H9" i="659"/>
  <c r="H8" i="659"/>
  <c r="H7" i="659"/>
  <c r="H6" i="659"/>
  <c r="G23" i="658"/>
  <c r="F23" i="658"/>
  <c r="E23" i="658"/>
  <c r="D23" i="658"/>
  <c r="C23" i="658"/>
  <c r="H22" i="658"/>
  <c r="H21" i="658"/>
  <c r="H20" i="658"/>
  <c r="H19" i="658"/>
  <c r="H18" i="658"/>
  <c r="H17" i="658"/>
  <c r="H16" i="658"/>
  <c r="H15" i="658"/>
  <c r="H14" i="658"/>
  <c r="H13" i="658"/>
  <c r="H12" i="658"/>
  <c r="H11" i="658"/>
  <c r="H10" i="658"/>
  <c r="H9" i="658"/>
  <c r="H8" i="658"/>
  <c r="H7" i="658"/>
  <c r="H6" i="658"/>
  <c r="G23" i="657"/>
  <c r="F23" i="657"/>
  <c r="E23" i="657"/>
  <c r="D23" i="657"/>
  <c r="C23" i="657"/>
  <c r="H22" i="657"/>
  <c r="H21" i="657"/>
  <c r="H20" i="657"/>
  <c r="H19" i="657"/>
  <c r="H18" i="657"/>
  <c r="H17" i="657"/>
  <c r="H16" i="657"/>
  <c r="H15" i="657"/>
  <c r="H14" i="657"/>
  <c r="H13" i="657"/>
  <c r="H12" i="657"/>
  <c r="H11" i="657"/>
  <c r="H10" i="657"/>
  <c r="H9" i="657"/>
  <c r="H8" i="657"/>
  <c r="H7" i="657"/>
  <c r="H6" i="657"/>
  <c r="G23" i="656"/>
  <c r="F23" i="656"/>
  <c r="E23" i="656"/>
  <c r="D23" i="656"/>
  <c r="C23" i="656"/>
  <c r="H22" i="656"/>
  <c r="H21" i="656"/>
  <c r="H20" i="656"/>
  <c r="H19" i="656"/>
  <c r="H18" i="656"/>
  <c r="H17" i="656"/>
  <c r="H16" i="656"/>
  <c r="H15" i="656"/>
  <c r="H14" i="656"/>
  <c r="H13" i="656"/>
  <c r="H12" i="656"/>
  <c r="H11" i="656"/>
  <c r="H10" i="656"/>
  <c r="H9" i="656"/>
  <c r="H8" i="656"/>
  <c r="H7" i="656"/>
  <c r="H6" i="656"/>
  <c r="G23" i="655"/>
  <c r="F23" i="655"/>
  <c r="E23" i="655"/>
  <c r="D23" i="655"/>
  <c r="C23" i="655"/>
  <c r="H22" i="655"/>
  <c r="H21" i="655"/>
  <c r="H20" i="655"/>
  <c r="H19" i="655"/>
  <c r="H18" i="655"/>
  <c r="H17" i="655"/>
  <c r="H16" i="655"/>
  <c r="H15" i="655"/>
  <c r="H14" i="655"/>
  <c r="H13" i="655"/>
  <c r="H12" i="655"/>
  <c r="H11" i="655"/>
  <c r="H10" i="655"/>
  <c r="H9" i="655"/>
  <c r="H8" i="655"/>
  <c r="H7" i="655"/>
  <c r="H6" i="655"/>
  <c r="G23" i="654"/>
  <c r="F23" i="654"/>
  <c r="E23" i="654"/>
  <c r="D23" i="654"/>
  <c r="C23" i="654"/>
  <c r="H22" i="654"/>
  <c r="H21" i="654"/>
  <c r="H20" i="654"/>
  <c r="H19" i="654"/>
  <c r="H18" i="654"/>
  <c r="H17" i="654"/>
  <c r="H16" i="654"/>
  <c r="H15" i="654"/>
  <c r="H14" i="654"/>
  <c r="H13" i="654"/>
  <c r="H12" i="654"/>
  <c r="H11" i="654"/>
  <c r="H10" i="654"/>
  <c r="H9" i="654"/>
  <c r="H8" i="654"/>
  <c r="H7" i="654"/>
  <c r="H6" i="654"/>
  <c r="G23" i="653"/>
  <c r="F23" i="653"/>
  <c r="E23" i="653"/>
  <c r="D23" i="653"/>
  <c r="C23" i="653"/>
  <c r="H22" i="653"/>
  <c r="H21" i="653"/>
  <c r="H20" i="653"/>
  <c r="H19" i="653"/>
  <c r="H18" i="653"/>
  <c r="H17" i="653"/>
  <c r="H16" i="653"/>
  <c r="H15" i="653"/>
  <c r="H14" i="653"/>
  <c r="H13" i="653"/>
  <c r="H12" i="653"/>
  <c r="H11" i="653"/>
  <c r="H10" i="653"/>
  <c r="H9" i="653"/>
  <c r="H8" i="653"/>
  <c r="H7" i="653"/>
  <c r="H6" i="653"/>
  <c r="G23" i="652"/>
  <c r="F23" i="652"/>
  <c r="E23" i="652"/>
  <c r="D23" i="652"/>
  <c r="C23" i="652"/>
  <c r="H22" i="652"/>
  <c r="H21" i="652"/>
  <c r="H20" i="652"/>
  <c r="H19" i="652"/>
  <c r="H18" i="652"/>
  <c r="H17" i="652"/>
  <c r="H16" i="652"/>
  <c r="H15" i="652"/>
  <c r="H14" i="652"/>
  <c r="H13" i="652"/>
  <c r="H12" i="652"/>
  <c r="H11" i="652"/>
  <c r="H10" i="652"/>
  <c r="H9" i="652"/>
  <c r="H8" i="652"/>
  <c r="H7" i="652"/>
  <c r="H6" i="652"/>
  <c r="G23" i="651"/>
  <c r="F23" i="651"/>
  <c r="E23" i="651"/>
  <c r="D23" i="651"/>
  <c r="C23" i="651"/>
  <c r="H22" i="651"/>
  <c r="H21" i="651"/>
  <c r="H20" i="651"/>
  <c r="H19" i="651"/>
  <c r="H18" i="651"/>
  <c r="H17" i="651"/>
  <c r="H16" i="651"/>
  <c r="H15" i="651"/>
  <c r="H14" i="651"/>
  <c r="H13" i="651"/>
  <c r="H12" i="651"/>
  <c r="H11" i="651"/>
  <c r="H10" i="651"/>
  <c r="H9" i="651"/>
  <c r="H8" i="651"/>
  <c r="H7" i="651"/>
  <c r="H6" i="651"/>
  <c r="G23" i="650"/>
  <c r="F23" i="650"/>
  <c r="E23" i="650"/>
  <c r="D23" i="650"/>
  <c r="C23" i="650"/>
  <c r="H22" i="650"/>
  <c r="H21" i="650"/>
  <c r="H20" i="650"/>
  <c r="H19" i="650"/>
  <c r="H18" i="650"/>
  <c r="H17" i="650"/>
  <c r="H16" i="650"/>
  <c r="H15" i="650"/>
  <c r="H14" i="650"/>
  <c r="H13" i="650"/>
  <c r="H12" i="650"/>
  <c r="H11" i="650"/>
  <c r="H10" i="650"/>
  <c r="H9" i="650"/>
  <c r="H8" i="650"/>
  <c r="H7" i="650"/>
  <c r="H6" i="650"/>
  <c r="G23" i="649"/>
  <c r="F23" i="649"/>
  <c r="E23" i="649"/>
  <c r="D23" i="649"/>
  <c r="C23" i="649"/>
  <c r="H22" i="649"/>
  <c r="H21" i="649"/>
  <c r="H20" i="649"/>
  <c r="H19" i="649"/>
  <c r="H18" i="649"/>
  <c r="H17" i="649"/>
  <c r="H16" i="649"/>
  <c r="H15" i="649"/>
  <c r="H14" i="649"/>
  <c r="H13" i="649"/>
  <c r="H12" i="649"/>
  <c r="H11" i="649"/>
  <c r="H10" i="649"/>
  <c r="H9" i="649"/>
  <c r="H8" i="649"/>
  <c r="H7" i="649"/>
  <c r="H6" i="649"/>
  <c r="G23" i="648"/>
  <c r="F23" i="648"/>
  <c r="E23" i="648"/>
  <c r="D23" i="648"/>
  <c r="C23" i="648"/>
  <c r="H22" i="648"/>
  <c r="H21" i="648"/>
  <c r="H20" i="648"/>
  <c r="H19" i="648"/>
  <c r="H18" i="648"/>
  <c r="H17" i="648"/>
  <c r="H16" i="648"/>
  <c r="H15" i="648"/>
  <c r="H14" i="648"/>
  <c r="H13" i="648"/>
  <c r="H12" i="648"/>
  <c r="H11" i="648"/>
  <c r="H10" i="648"/>
  <c r="H9" i="648"/>
  <c r="H8" i="648"/>
  <c r="H7" i="648"/>
  <c r="H6" i="648"/>
  <c r="G23" i="647"/>
  <c r="F23" i="647"/>
  <c r="E23" i="647"/>
  <c r="D23" i="647"/>
  <c r="C23" i="647"/>
  <c r="H22" i="647"/>
  <c r="H21" i="647"/>
  <c r="H20" i="647"/>
  <c r="H19" i="647"/>
  <c r="H18" i="647"/>
  <c r="H17" i="647"/>
  <c r="H16" i="647"/>
  <c r="H15" i="647"/>
  <c r="H14" i="647"/>
  <c r="H13" i="647"/>
  <c r="H12" i="647"/>
  <c r="H11" i="647"/>
  <c r="H10" i="647"/>
  <c r="H9" i="647"/>
  <c r="H8" i="647"/>
  <c r="H7" i="647"/>
  <c r="H6" i="647"/>
  <c r="G23" i="646"/>
  <c r="F23" i="646"/>
  <c r="E23" i="646"/>
  <c r="D23" i="646"/>
  <c r="C23" i="646"/>
  <c r="H22" i="646"/>
  <c r="H21" i="646"/>
  <c r="H20" i="646"/>
  <c r="H19" i="646"/>
  <c r="H18" i="646"/>
  <c r="H17" i="646"/>
  <c r="H16" i="646"/>
  <c r="H15" i="646"/>
  <c r="H14" i="646"/>
  <c r="H13" i="646"/>
  <c r="H12" i="646"/>
  <c r="H11" i="646"/>
  <c r="H10" i="646"/>
  <c r="H9" i="646"/>
  <c r="H8" i="646"/>
  <c r="H7" i="646"/>
  <c r="H6" i="646"/>
  <c r="G23" i="645"/>
  <c r="F23" i="645"/>
  <c r="E23" i="645"/>
  <c r="D23" i="645"/>
  <c r="C23" i="645"/>
  <c r="H22" i="645"/>
  <c r="H21" i="645"/>
  <c r="H20" i="645"/>
  <c r="H19" i="645"/>
  <c r="H18" i="645"/>
  <c r="H17" i="645"/>
  <c r="H16" i="645"/>
  <c r="H15" i="645"/>
  <c r="H14" i="645"/>
  <c r="H13" i="645"/>
  <c r="H12" i="645"/>
  <c r="H11" i="645"/>
  <c r="H10" i="645"/>
  <c r="H9" i="645"/>
  <c r="H8" i="645"/>
  <c r="H7" i="645"/>
  <c r="H6" i="645"/>
  <c r="G23" i="644"/>
  <c r="F23" i="644"/>
  <c r="E23" i="644"/>
  <c r="D23" i="644"/>
  <c r="C23" i="644"/>
  <c r="H22" i="644"/>
  <c r="H21" i="644"/>
  <c r="H20" i="644"/>
  <c r="H19" i="644"/>
  <c r="H18" i="644"/>
  <c r="H17" i="644"/>
  <c r="H16" i="644"/>
  <c r="H15" i="644"/>
  <c r="H14" i="644"/>
  <c r="H13" i="644"/>
  <c r="H12" i="644"/>
  <c r="H11" i="644"/>
  <c r="H10" i="644"/>
  <c r="H9" i="644"/>
  <c r="H8" i="644"/>
  <c r="H7" i="644"/>
  <c r="H6" i="644"/>
  <c r="G23" i="643"/>
  <c r="F23" i="643"/>
  <c r="E23" i="643"/>
  <c r="D23" i="643"/>
  <c r="C23" i="643"/>
  <c r="H22" i="643"/>
  <c r="H21" i="643"/>
  <c r="H20" i="643"/>
  <c r="H19" i="643"/>
  <c r="H18" i="643"/>
  <c r="H17" i="643"/>
  <c r="H16" i="643"/>
  <c r="H15" i="643"/>
  <c r="H14" i="643"/>
  <c r="H13" i="643"/>
  <c r="H12" i="643"/>
  <c r="H11" i="643"/>
  <c r="H10" i="643"/>
  <c r="H9" i="643"/>
  <c r="H8" i="643"/>
  <c r="H7" i="643"/>
  <c r="H6" i="643"/>
  <c r="G23" i="642"/>
  <c r="F23" i="642"/>
  <c r="E23" i="642"/>
  <c r="D23" i="642"/>
  <c r="C23" i="642"/>
  <c r="H22" i="642"/>
  <c r="H21" i="642"/>
  <c r="H20" i="642"/>
  <c r="H19" i="642"/>
  <c r="H18" i="642"/>
  <c r="H17" i="642"/>
  <c r="H16" i="642"/>
  <c r="H15" i="642"/>
  <c r="H14" i="642"/>
  <c r="H13" i="642"/>
  <c r="H12" i="642"/>
  <c r="H11" i="642"/>
  <c r="H10" i="642"/>
  <c r="H9" i="642"/>
  <c r="H8" i="642"/>
  <c r="H7" i="642"/>
  <c r="H6" i="642"/>
  <c r="G23" i="641"/>
  <c r="F23" i="641"/>
  <c r="E23" i="641"/>
  <c r="D23" i="641"/>
  <c r="C23" i="641"/>
  <c r="H22" i="641"/>
  <c r="H21" i="641"/>
  <c r="H20" i="641"/>
  <c r="H19" i="641"/>
  <c r="H18" i="641"/>
  <c r="H17" i="641"/>
  <c r="H16" i="641"/>
  <c r="H15" i="641"/>
  <c r="H14" i="641"/>
  <c r="H13" i="641"/>
  <c r="H12" i="641"/>
  <c r="H11" i="641"/>
  <c r="H10" i="641"/>
  <c r="H9" i="641"/>
  <c r="H8" i="641"/>
  <c r="H7" i="641"/>
  <c r="H6" i="641"/>
  <c r="G23" i="640"/>
  <c r="F23" i="640"/>
  <c r="E23" i="640"/>
  <c r="D23" i="640"/>
  <c r="C23" i="640"/>
  <c r="H22" i="640"/>
  <c r="H21" i="640"/>
  <c r="H20" i="640"/>
  <c r="H19" i="640"/>
  <c r="H18" i="640"/>
  <c r="H17" i="640"/>
  <c r="H16" i="640"/>
  <c r="H15" i="640"/>
  <c r="H14" i="640"/>
  <c r="H13" i="640"/>
  <c r="H12" i="640"/>
  <c r="H11" i="640"/>
  <c r="H10" i="640"/>
  <c r="H9" i="640"/>
  <c r="H8" i="640"/>
  <c r="H7" i="640"/>
  <c r="H6" i="640"/>
  <c r="G23" i="639"/>
  <c r="F23" i="639"/>
  <c r="E23" i="639"/>
  <c r="D23" i="639"/>
  <c r="C23" i="639"/>
  <c r="H22" i="639"/>
  <c r="H21" i="639"/>
  <c r="H20" i="639"/>
  <c r="H19" i="639"/>
  <c r="H18" i="639"/>
  <c r="H17" i="639"/>
  <c r="H16" i="639"/>
  <c r="H15" i="639"/>
  <c r="H14" i="639"/>
  <c r="H13" i="639"/>
  <c r="H12" i="639"/>
  <c r="H11" i="639"/>
  <c r="H10" i="639"/>
  <c r="H9" i="639"/>
  <c r="H8" i="639"/>
  <c r="H7" i="639"/>
  <c r="H6" i="639"/>
  <c r="G23" i="638"/>
  <c r="F23" i="638"/>
  <c r="E23" i="638"/>
  <c r="D23" i="638"/>
  <c r="C23" i="638"/>
  <c r="H22" i="638"/>
  <c r="H21" i="638"/>
  <c r="H20" i="638"/>
  <c r="H19" i="638"/>
  <c r="H18" i="638"/>
  <c r="H17" i="638"/>
  <c r="H16" i="638"/>
  <c r="H15" i="638"/>
  <c r="H14" i="638"/>
  <c r="H13" i="638"/>
  <c r="H12" i="638"/>
  <c r="H11" i="638"/>
  <c r="H10" i="638"/>
  <c r="H9" i="638"/>
  <c r="H8" i="638"/>
  <c r="H7" i="638"/>
  <c r="H6" i="638"/>
  <c r="G23" i="637"/>
  <c r="F23" i="637"/>
  <c r="E23" i="637"/>
  <c r="D23" i="637"/>
  <c r="C23" i="637"/>
  <c r="H22" i="637"/>
  <c r="H21" i="637"/>
  <c r="H20" i="637"/>
  <c r="H19" i="637"/>
  <c r="H18" i="637"/>
  <c r="H17" i="637"/>
  <c r="H16" i="637"/>
  <c r="H15" i="637"/>
  <c r="H14" i="637"/>
  <c r="H13" i="637"/>
  <c r="H12" i="637"/>
  <c r="H11" i="637"/>
  <c r="H10" i="637"/>
  <c r="H9" i="637"/>
  <c r="H8" i="637"/>
  <c r="H7" i="637"/>
  <c r="H6" i="637"/>
  <c r="G23" i="636"/>
  <c r="F23" i="636"/>
  <c r="E23" i="636"/>
  <c r="D23" i="636"/>
  <c r="C23" i="636"/>
  <c r="H22" i="636"/>
  <c r="H21" i="636"/>
  <c r="H20" i="636"/>
  <c r="H19" i="636"/>
  <c r="H18" i="636"/>
  <c r="H17" i="636"/>
  <c r="H16" i="636"/>
  <c r="H15" i="636"/>
  <c r="H14" i="636"/>
  <c r="H13" i="636"/>
  <c r="H12" i="636"/>
  <c r="H11" i="636"/>
  <c r="H10" i="636"/>
  <c r="H9" i="636"/>
  <c r="H8" i="636"/>
  <c r="H7" i="636"/>
  <c r="H6" i="636"/>
  <c r="G23" i="635"/>
  <c r="F23" i="635"/>
  <c r="E23" i="635"/>
  <c r="D23" i="635"/>
  <c r="C23" i="635"/>
  <c r="H22" i="635"/>
  <c r="H21" i="635"/>
  <c r="H20" i="635"/>
  <c r="H19" i="635"/>
  <c r="H18" i="635"/>
  <c r="H17" i="635"/>
  <c r="H16" i="635"/>
  <c r="H15" i="635"/>
  <c r="H14" i="635"/>
  <c r="H13" i="635"/>
  <c r="H12" i="635"/>
  <c r="H11" i="635"/>
  <c r="H10" i="635"/>
  <c r="H9" i="635"/>
  <c r="H8" i="635"/>
  <c r="H7" i="635"/>
  <c r="H6" i="635"/>
  <c r="G23" i="634"/>
  <c r="F23" i="634"/>
  <c r="E23" i="634"/>
  <c r="D23" i="634"/>
  <c r="C23" i="634"/>
  <c r="H22" i="634"/>
  <c r="H21" i="634"/>
  <c r="H20" i="634"/>
  <c r="H19" i="634"/>
  <c r="H18" i="634"/>
  <c r="H17" i="634"/>
  <c r="H16" i="634"/>
  <c r="H15" i="634"/>
  <c r="H14" i="634"/>
  <c r="H13" i="634"/>
  <c r="H12" i="634"/>
  <c r="H11" i="634"/>
  <c r="H10" i="634"/>
  <c r="H9" i="634"/>
  <c r="H8" i="634"/>
  <c r="H7" i="634"/>
  <c r="H6" i="634"/>
  <c r="G23" i="633"/>
  <c r="F23" i="633"/>
  <c r="E23" i="633"/>
  <c r="D23" i="633"/>
  <c r="C23" i="633"/>
  <c r="H22" i="633"/>
  <c r="H21" i="633"/>
  <c r="H20" i="633"/>
  <c r="H19" i="633"/>
  <c r="H18" i="633"/>
  <c r="H17" i="633"/>
  <c r="H16" i="633"/>
  <c r="H15" i="633"/>
  <c r="H14" i="633"/>
  <c r="H13" i="633"/>
  <c r="H12" i="633"/>
  <c r="H11" i="633"/>
  <c r="H10" i="633"/>
  <c r="H9" i="633"/>
  <c r="H8" i="633"/>
  <c r="H7" i="633"/>
  <c r="H6" i="633"/>
  <c r="G23" i="632"/>
  <c r="F23" i="632"/>
  <c r="E23" i="632"/>
  <c r="D23" i="632"/>
  <c r="C23" i="632"/>
  <c r="H22" i="632"/>
  <c r="H21" i="632"/>
  <c r="H20" i="632"/>
  <c r="H19" i="632"/>
  <c r="H18" i="632"/>
  <c r="H17" i="632"/>
  <c r="H16" i="632"/>
  <c r="H15" i="632"/>
  <c r="H14" i="632"/>
  <c r="H13" i="632"/>
  <c r="H12" i="632"/>
  <c r="H11" i="632"/>
  <c r="H10" i="632"/>
  <c r="H9" i="632"/>
  <c r="H8" i="632"/>
  <c r="H7" i="632"/>
  <c r="H6" i="632"/>
  <c r="G23" i="631"/>
  <c r="F23" i="631"/>
  <c r="E23" i="631"/>
  <c r="D23" i="631"/>
  <c r="C23" i="631"/>
  <c r="H22" i="631"/>
  <c r="H21" i="631"/>
  <c r="H20" i="631"/>
  <c r="H19" i="631"/>
  <c r="H18" i="631"/>
  <c r="H17" i="631"/>
  <c r="H16" i="631"/>
  <c r="H15" i="631"/>
  <c r="H14" i="631"/>
  <c r="H13" i="631"/>
  <c r="H12" i="631"/>
  <c r="H11" i="631"/>
  <c r="H10" i="631"/>
  <c r="H9" i="631"/>
  <c r="H8" i="631"/>
  <c r="H7" i="631"/>
  <c r="H6" i="631"/>
  <c r="G23" i="630"/>
  <c r="F23" i="630"/>
  <c r="E23" i="630"/>
  <c r="D23" i="630"/>
  <c r="C23" i="630"/>
  <c r="H22" i="630"/>
  <c r="H21" i="630"/>
  <c r="H20" i="630"/>
  <c r="H19" i="630"/>
  <c r="H18" i="630"/>
  <c r="H17" i="630"/>
  <c r="H16" i="630"/>
  <c r="H15" i="630"/>
  <c r="H14" i="630"/>
  <c r="H13" i="630"/>
  <c r="H12" i="630"/>
  <c r="H11" i="630"/>
  <c r="H10" i="630"/>
  <c r="H9" i="630"/>
  <c r="H8" i="630"/>
  <c r="H7" i="630"/>
  <c r="H6" i="630"/>
  <c r="G23" i="629"/>
  <c r="F23" i="629"/>
  <c r="E23" i="629"/>
  <c r="D23" i="629"/>
  <c r="C23" i="629"/>
  <c r="H22" i="629"/>
  <c r="H21" i="629"/>
  <c r="H20" i="629"/>
  <c r="H19" i="629"/>
  <c r="H18" i="629"/>
  <c r="H17" i="629"/>
  <c r="H16" i="629"/>
  <c r="H15" i="629"/>
  <c r="H14" i="629"/>
  <c r="H13" i="629"/>
  <c r="H12" i="629"/>
  <c r="H11" i="629"/>
  <c r="H10" i="629"/>
  <c r="H9" i="629"/>
  <c r="H8" i="629"/>
  <c r="H7" i="629"/>
  <c r="H6" i="629"/>
  <c r="G23" i="628"/>
  <c r="F23" i="628"/>
  <c r="E23" i="628"/>
  <c r="D23" i="628"/>
  <c r="C23" i="628"/>
  <c r="H22" i="628"/>
  <c r="H21" i="628"/>
  <c r="H20" i="628"/>
  <c r="H19" i="628"/>
  <c r="H18" i="628"/>
  <c r="H17" i="628"/>
  <c r="H16" i="628"/>
  <c r="H15" i="628"/>
  <c r="H14" i="628"/>
  <c r="H13" i="628"/>
  <c r="H12" i="628"/>
  <c r="H11" i="628"/>
  <c r="H10" i="628"/>
  <c r="H9" i="628"/>
  <c r="H8" i="628"/>
  <c r="H7" i="628"/>
  <c r="H6" i="628"/>
  <c r="G23" i="627"/>
  <c r="F23" i="627"/>
  <c r="E23" i="627"/>
  <c r="D23" i="627"/>
  <c r="C23" i="627"/>
  <c r="H22" i="627"/>
  <c r="H21" i="627"/>
  <c r="H20" i="627"/>
  <c r="H19" i="627"/>
  <c r="H18" i="627"/>
  <c r="H17" i="627"/>
  <c r="H16" i="627"/>
  <c r="H15" i="627"/>
  <c r="H14" i="627"/>
  <c r="H13" i="627"/>
  <c r="H12" i="627"/>
  <c r="H11" i="627"/>
  <c r="H10" i="627"/>
  <c r="H9" i="627"/>
  <c r="H8" i="627"/>
  <c r="H7" i="627"/>
  <c r="H6" i="627"/>
  <c r="G23" i="626"/>
  <c r="F23" i="626"/>
  <c r="E23" i="626"/>
  <c r="D23" i="626"/>
  <c r="C23" i="626"/>
  <c r="H22" i="626"/>
  <c r="H21" i="626"/>
  <c r="H20" i="626"/>
  <c r="H19" i="626"/>
  <c r="H18" i="626"/>
  <c r="H17" i="626"/>
  <c r="H16" i="626"/>
  <c r="H15" i="626"/>
  <c r="H14" i="626"/>
  <c r="H13" i="626"/>
  <c r="H12" i="626"/>
  <c r="H11" i="626"/>
  <c r="H10" i="626"/>
  <c r="H9" i="626"/>
  <c r="H8" i="626"/>
  <c r="H7" i="626"/>
  <c r="H6" i="626"/>
  <c r="G23" i="625"/>
  <c r="F23" i="625"/>
  <c r="E23" i="625"/>
  <c r="D23" i="625"/>
  <c r="C23" i="625"/>
  <c r="H22" i="625"/>
  <c r="H21" i="625"/>
  <c r="H20" i="625"/>
  <c r="H19" i="625"/>
  <c r="H18" i="625"/>
  <c r="H17" i="625"/>
  <c r="H16" i="625"/>
  <c r="H15" i="625"/>
  <c r="H14" i="625"/>
  <c r="H13" i="625"/>
  <c r="H12" i="625"/>
  <c r="H11" i="625"/>
  <c r="H10" i="625"/>
  <c r="H9" i="625"/>
  <c r="H8" i="625"/>
  <c r="H7" i="625"/>
  <c r="H6" i="625"/>
  <c r="G23" i="624"/>
  <c r="F23" i="624"/>
  <c r="E23" i="624"/>
  <c r="D23" i="624"/>
  <c r="C23" i="624"/>
  <c r="H22" i="624"/>
  <c r="H21" i="624"/>
  <c r="H20" i="624"/>
  <c r="H19" i="624"/>
  <c r="H18" i="624"/>
  <c r="H17" i="624"/>
  <c r="H16" i="624"/>
  <c r="H15" i="624"/>
  <c r="H14" i="624"/>
  <c r="H13" i="624"/>
  <c r="H12" i="624"/>
  <c r="H11" i="624"/>
  <c r="H10" i="624"/>
  <c r="H9" i="624"/>
  <c r="H8" i="624"/>
  <c r="H7" i="624"/>
  <c r="H6" i="624"/>
  <c r="G23" i="623"/>
  <c r="F23" i="623"/>
  <c r="E23" i="623"/>
  <c r="D23" i="623"/>
  <c r="C23" i="623"/>
  <c r="H22" i="623"/>
  <c r="H21" i="623"/>
  <c r="H20" i="623"/>
  <c r="H19" i="623"/>
  <c r="H18" i="623"/>
  <c r="H17" i="623"/>
  <c r="H16" i="623"/>
  <c r="H15" i="623"/>
  <c r="H14" i="623"/>
  <c r="H13" i="623"/>
  <c r="H12" i="623"/>
  <c r="H11" i="623"/>
  <c r="H10" i="623"/>
  <c r="H9" i="623"/>
  <c r="H8" i="623"/>
  <c r="H7" i="623"/>
  <c r="H6" i="623"/>
  <c r="G23" i="622"/>
  <c r="F23" i="622"/>
  <c r="E23" i="622"/>
  <c r="D23" i="622"/>
  <c r="C23" i="622"/>
  <c r="H22" i="622"/>
  <c r="H21" i="622"/>
  <c r="H20" i="622"/>
  <c r="H19" i="622"/>
  <c r="H18" i="622"/>
  <c r="H17" i="622"/>
  <c r="H16" i="622"/>
  <c r="H15" i="622"/>
  <c r="H14" i="622"/>
  <c r="H13" i="622"/>
  <c r="H12" i="622"/>
  <c r="H11" i="622"/>
  <c r="H10" i="622"/>
  <c r="H9" i="622"/>
  <c r="H8" i="622"/>
  <c r="H7" i="622"/>
  <c r="H6" i="622"/>
  <c r="G23" i="621"/>
  <c r="F23" i="621"/>
  <c r="E23" i="621"/>
  <c r="D23" i="621"/>
  <c r="C23" i="621"/>
  <c r="H22" i="621"/>
  <c r="H21" i="621"/>
  <c r="H20" i="621"/>
  <c r="H19" i="621"/>
  <c r="H18" i="621"/>
  <c r="H17" i="621"/>
  <c r="H16" i="621"/>
  <c r="H15" i="621"/>
  <c r="H14" i="621"/>
  <c r="H13" i="621"/>
  <c r="H12" i="621"/>
  <c r="H11" i="621"/>
  <c r="H10" i="621"/>
  <c r="H9" i="621"/>
  <c r="H8" i="621"/>
  <c r="H7" i="621"/>
  <c r="H6" i="621"/>
  <c r="G23" i="620"/>
  <c r="F23" i="620"/>
  <c r="E23" i="620"/>
  <c r="D23" i="620"/>
  <c r="C23" i="620"/>
  <c r="H22" i="620"/>
  <c r="H21" i="620"/>
  <c r="H20" i="620"/>
  <c r="H19" i="620"/>
  <c r="H18" i="620"/>
  <c r="H17" i="620"/>
  <c r="H16" i="620"/>
  <c r="H15" i="620"/>
  <c r="H14" i="620"/>
  <c r="H13" i="620"/>
  <c r="H12" i="620"/>
  <c r="H11" i="620"/>
  <c r="H10" i="620"/>
  <c r="H9" i="620"/>
  <c r="H8" i="620"/>
  <c r="H7" i="620"/>
  <c r="H6" i="620"/>
  <c r="G23" i="619"/>
  <c r="F23" i="619"/>
  <c r="E23" i="619"/>
  <c r="D23" i="619"/>
  <c r="C23" i="619"/>
  <c r="H22" i="619"/>
  <c r="H21" i="619"/>
  <c r="H20" i="619"/>
  <c r="H19" i="619"/>
  <c r="H18" i="619"/>
  <c r="H17" i="619"/>
  <c r="H16" i="619"/>
  <c r="H15" i="619"/>
  <c r="H14" i="619"/>
  <c r="H13" i="619"/>
  <c r="H12" i="619"/>
  <c r="H11" i="619"/>
  <c r="H10" i="619"/>
  <c r="H9" i="619"/>
  <c r="H8" i="619"/>
  <c r="H7" i="619"/>
  <c r="H6" i="619"/>
  <c r="G23" i="618"/>
  <c r="F23" i="618"/>
  <c r="E23" i="618"/>
  <c r="D23" i="618"/>
  <c r="C23" i="618"/>
  <c r="H22" i="618"/>
  <c r="H21" i="618"/>
  <c r="H20" i="618"/>
  <c r="H19" i="618"/>
  <c r="H18" i="618"/>
  <c r="H17" i="618"/>
  <c r="H16" i="618"/>
  <c r="H15" i="618"/>
  <c r="H14" i="618"/>
  <c r="H13" i="618"/>
  <c r="H12" i="618"/>
  <c r="H11" i="618"/>
  <c r="H10" i="618"/>
  <c r="H9" i="618"/>
  <c r="H8" i="618"/>
  <c r="H7" i="618"/>
  <c r="H6" i="618"/>
  <c r="G23" i="616"/>
  <c r="F23" i="616"/>
  <c r="E23" i="616"/>
  <c r="D23" i="616"/>
  <c r="C23" i="616"/>
  <c r="H22" i="616"/>
  <c r="H21" i="616"/>
  <c r="H20" i="616"/>
  <c r="H19" i="616"/>
  <c r="H18" i="616"/>
  <c r="H17" i="616"/>
  <c r="H16" i="616"/>
  <c r="H15" i="616"/>
  <c r="H14" i="616"/>
  <c r="H13" i="616"/>
  <c r="H12" i="616"/>
  <c r="H11" i="616"/>
  <c r="H10" i="616"/>
  <c r="H9" i="616"/>
  <c r="H8" i="616"/>
  <c r="H7" i="616"/>
  <c r="H6" i="616"/>
  <c r="G23" i="615"/>
  <c r="F23" i="615"/>
  <c r="E23" i="615"/>
  <c r="D23" i="615"/>
  <c r="C23" i="615"/>
  <c r="H22" i="615"/>
  <c r="H21" i="615"/>
  <c r="H20" i="615"/>
  <c r="H19" i="615"/>
  <c r="H18" i="615"/>
  <c r="H17" i="615"/>
  <c r="H16" i="615"/>
  <c r="H15" i="615"/>
  <c r="H14" i="615"/>
  <c r="H13" i="615"/>
  <c r="H12" i="615"/>
  <c r="H11" i="615"/>
  <c r="H10" i="615"/>
  <c r="H9" i="615"/>
  <c r="H8" i="615"/>
  <c r="H7" i="615"/>
  <c r="H6" i="615"/>
  <c r="G23" i="614"/>
  <c r="F23" i="614"/>
  <c r="E23" i="614"/>
  <c r="D23" i="614"/>
  <c r="C23" i="614"/>
  <c r="H22" i="614"/>
  <c r="H21" i="614"/>
  <c r="H20" i="614"/>
  <c r="H19" i="614"/>
  <c r="H18" i="614"/>
  <c r="H17" i="614"/>
  <c r="H16" i="614"/>
  <c r="H15" i="614"/>
  <c r="H14" i="614"/>
  <c r="H13" i="614"/>
  <c r="H12" i="614"/>
  <c r="H11" i="614"/>
  <c r="H10" i="614"/>
  <c r="H9" i="614"/>
  <c r="H8" i="614"/>
  <c r="H7" i="614"/>
  <c r="H6" i="614"/>
  <c r="G23" i="613"/>
  <c r="F23" i="613"/>
  <c r="E23" i="613"/>
  <c r="D23" i="613"/>
  <c r="C23" i="613"/>
  <c r="H22" i="613"/>
  <c r="H21" i="613"/>
  <c r="H20" i="613"/>
  <c r="H19" i="613"/>
  <c r="H18" i="613"/>
  <c r="H17" i="613"/>
  <c r="H16" i="613"/>
  <c r="H15" i="613"/>
  <c r="H14" i="613"/>
  <c r="H13" i="613"/>
  <c r="H12" i="613"/>
  <c r="H11" i="613"/>
  <c r="H10" i="613"/>
  <c r="H9" i="613"/>
  <c r="H8" i="613"/>
  <c r="H7" i="613"/>
  <c r="H6" i="613"/>
  <c r="G23" i="612"/>
  <c r="F23" i="612"/>
  <c r="E23" i="612"/>
  <c r="D23" i="612"/>
  <c r="C23" i="612"/>
  <c r="H22" i="612"/>
  <c r="H21" i="612"/>
  <c r="H20" i="612"/>
  <c r="H19" i="612"/>
  <c r="H18" i="612"/>
  <c r="H17" i="612"/>
  <c r="H16" i="612"/>
  <c r="H15" i="612"/>
  <c r="H14" i="612"/>
  <c r="H13" i="612"/>
  <c r="H12" i="612"/>
  <c r="H11" i="612"/>
  <c r="H10" i="612"/>
  <c r="H9" i="612"/>
  <c r="H8" i="612"/>
  <c r="H7" i="612"/>
  <c r="H6" i="612"/>
  <c r="G23" i="611"/>
  <c r="F23" i="611"/>
  <c r="E23" i="611"/>
  <c r="D23" i="611"/>
  <c r="C23" i="611"/>
  <c r="H22" i="611"/>
  <c r="H21" i="611"/>
  <c r="H20" i="611"/>
  <c r="H19" i="611"/>
  <c r="H18" i="611"/>
  <c r="H17" i="611"/>
  <c r="H16" i="611"/>
  <c r="H15" i="611"/>
  <c r="H14" i="611"/>
  <c r="H13" i="611"/>
  <c r="H12" i="611"/>
  <c r="H11" i="611"/>
  <c r="H10" i="611"/>
  <c r="H9" i="611"/>
  <c r="H8" i="611"/>
  <c r="H7" i="611"/>
  <c r="H6" i="611"/>
  <c r="G23" i="610"/>
  <c r="F23" i="610"/>
  <c r="E23" i="610"/>
  <c r="D23" i="610"/>
  <c r="C23" i="610"/>
  <c r="H22" i="610"/>
  <c r="H21" i="610"/>
  <c r="H20" i="610"/>
  <c r="H19" i="610"/>
  <c r="H18" i="610"/>
  <c r="H17" i="610"/>
  <c r="H16" i="610"/>
  <c r="H15" i="610"/>
  <c r="H14" i="610"/>
  <c r="H13" i="610"/>
  <c r="H12" i="610"/>
  <c r="H11" i="610"/>
  <c r="H10" i="610"/>
  <c r="H9" i="610"/>
  <c r="H8" i="610"/>
  <c r="H7" i="610"/>
  <c r="H6" i="610"/>
  <c r="G23" i="609"/>
  <c r="F23" i="609"/>
  <c r="E23" i="609"/>
  <c r="D23" i="609"/>
  <c r="C23" i="609"/>
  <c r="H22" i="609"/>
  <c r="H21" i="609"/>
  <c r="H20" i="609"/>
  <c r="H19" i="609"/>
  <c r="H18" i="609"/>
  <c r="H17" i="609"/>
  <c r="H16" i="609"/>
  <c r="H15" i="609"/>
  <c r="H14" i="609"/>
  <c r="H13" i="609"/>
  <c r="H12" i="609"/>
  <c r="H11" i="609"/>
  <c r="H10" i="609"/>
  <c r="H9" i="609"/>
  <c r="H8" i="609"/>
  <c r="H7" i="609"/>
  <c r="H6" i="609"/>
  <c r="G23" i="608"/>
  <c r="F23" i="608"/>
  <c r="E23" i="608"/>
  <c r="D23" i="608"/>
  <c r="C23" i="608"/>
  <c r="H22" i="608"/>
  <c r="H21" i="608"/>
  <c r="H20" i="608"/>
  <c r="H19" i="608"/>
  <c r="H18" i="608"/>
  <c r="H17" i="608"/>
  <c r="H16" i="608"/>
  <c r="H15" i="608"/>
  <c r="H14" i="608"/>
  <c r="H13" i="608"/>
  <c r="H12" i="608"/>
  <c r="H11" i="608"/>
  <c r="H10" i="608"/>
  <c r="H9" i="608"/>
  <c r="H8" i="608"/>
  <c r="H7" i="608"/>
  <c r="H6" i="608"/>
  <c r="G23" i="607"/>
  <c r="F23" i="607"/>
  <c r="E23" i="607"/>
  <c r="D23" i="607"/>
  <c r="C23" i="607"/>
  <c r="H22" i="607"/>
  <c r="H21" i="607"/>
  <c r="H20" i="607"/>
  <c r="H19" i="607"/>
  <c r="H18" i="607"/>
  <c r="H17" i="607"/>
  <c r="H16" i="607"/>
  <c r="H15" i="607"/>
  <c r="H14" i="607"/>
  <c r="H13" i="607"/>
  <c r="H12" i="607"/>
  <c r="H11" i="607"/>
  <c r="H10" i="607"/>
  <c r="H9" i="607"/>
  <c r="H8" i="607"/>
  <c r="H7" i="607"/>
  <c r="H6" i="607"/>
  <c r="G23" i="606"/>
  <c r="F23" i="606"/>
  <c r="E23" i="606"/>
  <c r="D23" i="606"/>
  <c r="C23" i="606"/>
  <c r="H22" i="606"/>
  <c r="H21" i="606"/>
  <c r="H20" i="606"/>
  <c r="H19" i="606"/>
  <c r="H18" i="606"/>
  <c r="H17" i="606"/>
  <c r="H16" i="606"/>
  <c r="H15" i="606"/>
  <c r="H14" i="606"/>
  <c r="H13" i="606"/>
  <c r="H12" i="606"/>
  <c r="H11" i="606"/>
  <c r="H10" i="606"/>
  <c r="H9" i="606"/>
  <c r="H8" i="606"/>
  <c r="H7" i="606"/>
  <c r="H6" i="606"/>
  <c r="G23" i="605"/>
  <c r="F23" i="605"/>
  <c r="E23" i="605"/>
  <c r="D23" i="605"/>
  <c r="C23" i="605"/>
  <c r="H22" i="605"/>
  <c r="H21" i="605"/>
  <c r="H20" i="605"/>
  <c r="H19" i="605"/>
  <c r="H18" i="605"/>
  <c r="H17" i="605"/>
  <c r="H16" i="605"/>
  <c r="H15" i="605"/>
  <c r="H14" i="605"/>
  <c r="H13" i="605"/>
  <c r="H12" i="605"/>
  <c r="H11" i="605"/>
  <c r="H10" i="605"/>
  <c r="H9" i="605"/>
  <c r="H8" i="605"/>
  <c r="H7" i="605"/>
  <c r="H6" i="605"/>
  <c r="G23" i="604"/>
  <c r="F23" i="604"/>
  <c r="E23" i="604"/>
  <c r="D23" i="604"/>
  <c r="C23" i="604"/>
  <c r="H22" i="604"/>
  <c r="H21" i="604"/>
  <c r="H20" i="604"/>
  <c r="H19" i="604"/>
  <c r="H18" i="604"/>
  <c r="H17" i="604"/>
  <c r="H16" i="604"/>
  <c r="H15" i="604"/>
  <c r="H14" i="604"/>
  <c r="H13" i="604"/>
  <c r="H12" i="604"/>
  <c r="H11" i="604"/>
  <c r="H10" i="604"/>
  <c r="H9" i="604"/>
  <c r="H8" i="604"/>
  <c r="H7" i="604"/>
  <c r="H6" i="604"/>
  <c r="G23" i="603"/>
  <c r="F23" i="603"/>
  <c r="E23" i="603"/>
  <c r="D23" i="603"/>
  <c r="C23" i="603"/>
  <c r="H22" i="603"/>
  <c r="H21" i="603"/>
  <c r="H20" i="603"/>
  <c r="H19" i="603"/>
  <c r="H18" i="603"/>
  <c r="H17" i="603"/>
  <c r="H16" i="603"/>
  <c r="H15" i="603"/>
  <c r="H14" i="603"/>
  <c r="H13" i="603"/>
  <c r="H12" i="603"/>
  <c r="H11" i="603"/>
  <c r="H10" i="603"/>
  <c r="H9" i="603"/>
  <c r="H8" i="603"/>
  <c r="H7" i="603"/>
  <c r="H6" i="603"/>
  <c r="G23" i="602"/>
  <c r="F23" i="602"/>
  <c r="E23" i="602"/>
  <c r="D23" i="602"/>
  <c r="C23" i="602"/>
  <c r="H22" i="602"/>
  <c r="H21" i="602"/>
  <c r="H20" i="602"/>
  <c r="H19" i="602"/>
  <c r="H18" i="602"/>
  <c r="H17" i="602"/>
  <c r="H16" i="602"/>
  <c r="H15" i="602"/>
  <c r="H14" i="602"/>
  <c r="H13" i="602"/>
  <c r="H12" i="602"/>
  <c r="H11" i="602"/>
  <c r="H10" i="602"/>
  <c r="H9" i="602"/>
  <c r="H8" i="602"/>
  <c r="H7" i="602"/>
  <c r="H6" i="602"/>
  <c r="G23" i="601"/>
  <c r="F23" i="601"/>
  <c r="E23" i="601"/>
  <c r="D23" i="601"/>
  <c r="C23" i="601"/>
  <c r="H22" i="601"/>
  <c r="H21" i="601"/>
  <c r="H20" i="601"/>
  <c r="H19" i="601"/>
  <c r="H18" i="601"/>
  <c r="H17" i="601"/>
  <c r="H16" i="601"/>
  <c r="H15" i="601"/>
  <c r="H14" i="601"/>
  <c r="H13" i="601"/>
  <c r="H12" i="601"/>
  <c r="H11" i="601"/>
  <c r="H10" i="601"/>
  <c r="H9" i="601"/>
  <c r="H8" i="601"/>
  <c r="H7" i="601"/>
  <c r="H6" i="601"/>
  <c r="H6" i="600"/>
  <c r="H7" i="600"/>
  <c r="H8" i="600"/>
  <c r="H9" i="600"/>
  <c r="H10" i="600"/>
  <c r="H11" i="600"/>
  <c r="H12" i="600"/>
  <c r="H13" i="600"/>
  <c r="H14" i="600"/>
  <c r="H15" i="600"/>
  <c r="H16" i="600"/>
  <c r="H17" i="600"/>
  <c r="H18" i="600"/>
  <c r="H19" i="600"/>
  <c r="H20" i="600"/>
  <c r="H21" i="600"/>
  <c r="H22" i="600"/>
  <c r="C23" i="600"/>
  <c r="D23" i="600"/>
  <c r="E23" i="600"/>
  <c r="F23" i="600"/>
  <c r="G23" i="600"/>
  <c r="G23" i="599"/>
  <c r="F23" i="599"/>
  <c r="E23" i="599"/>
  <c r="D23" i="599"/>
  <c r="C23" i="599"/>
  <c r="H22" i="599"/>
  <c r="H21" i="599"/>
  <c r="H20" i="599"/>
  <c r="H19" i="599"/>
  <c r="H18" i="599"/>
  <c r="H17" i="599"/>
  <c r="H16" i="599"/>
  <c r="H15" i="599"/>
  <c r="H14" i="599"/>
  <c r="H13" i="599"/>
  <c r="H12" i="599"/>
  <c r="H11" i="599"/>
  <c r="H10" i="599"/>
  <c r="H9" i="599"/>
  <c r="H8" i="599"/>
  <c r="H7" i="599"/>
  <c r="H6" i="599"/>
  <c r="G23" i="598"/>
  <c r="F23" i="598"/>
  <c r="E23" i="598"/>
  <c r="D23" i="598"/>
  <c r="C23" i="598"/>
  <c r="H22" i="598"/>
  <c r="H21" i="598"/>
  <c r="H20" i="598"/>
  <c r="H19" i="598"/>
  <c r="H18" i="598"/>
  <c r="H17" i="598"/>
  <c r="H16" i="598"/>
  <c r="H15" i="598"/>
  <c r="H14" i="598"/>
  <c r="H13" i="598"/>
  <c r="H12" i="598"/>
  <c r="H11" i="598"/>
  <c r="H10" i="598"/>
  <c r="H9" i="598"/>
  <c r="H8" i="598"/>
  <c r="H7" i="598"/>
  <c r="H6" i="598"/>
  <c r="G23" i="597"/>
  <c r="F23" i="597"/>
  <c r="E23" i="597"/>
  <c r="D23" i="597"/>
  <c r="C23" i="597"/>
  <c r="H22" i="597"/>
  <c r="H21" i="597"/>
  <c r="H20" i="597"/>
  <c r="H19" i="597"/>
  <c r="H18" i="597"/>
  <c r="H17" i="597"/>
  <c r="H16" i="597"/>
  <c r="H15" i="597"/>
  <c r="H14" i="597"/>
  <c r="H13" i="597"/>
  <c r="H12" i="597"/>
  <c r="H11" i="597"/>
  <c r="H10" i="597"/>
  <c r="H9" i="597"/>
  <c r="H8" i="597"/>
  <c r="H7" i="597"/>
  <c r="H6" i="597"/>
  <c r="G23" i="596"/>
  <c r="F23" i="596"/>
  <c r="E23" i="596"/>
  <c r="D23" i="596"/>
  <c r="C23" i="596"/>
  <c r="H22" i="596"/>
  <c r="H21" i="596"/>
  <c r="H20" i="596"/>
  <c r="H19" i="596"/>
  <c r="H18" i="596"/>
  <c r="H17" i="596"/>
  <c r="H16" i="596"/>
  <c r="H15" i="596"/>
  <c r="H14" i="596"/>
  <c r="H13" i="596"/>
  <c r="H12" i="596"/>
  <c r="H11" i="596"/>
  <c r="H10" i="596"/>
  <c r="H9" i="596"/>
  <c r="H8" i="596"/>
  <c r="H7" i="596"/>
  <c r="H6" i="596"/>
  <c r="G23" i="595"/>
  <c r="F23" i="595"/>
  <c r="E23" i="595"/>
  <c r="D23" i="595"/>
  <c r="C23" i="595"/>
  <c r="H22" i="595"/>
  <c r="H21" i="595"/>
  <c r="H20" i="595"/>
  <c r="H19" i="595"/>
  <c r="H18" i="595"/>
  <c r="H17" i="595"/>
  <c r="H16" i="595"/>
  <c r="H15" i="595"/>
  <c r="H14" i="595"/>
  <c r="H13" i="595"/>
  <c r="H12" i="595"/>
  <c r="H11" i="595"/>
  <c r="H10" i="595"/>
  <c r="H9" i="595"/>
  <c r="H8" i="595"/>
  <c r="H7" i="595"/>
  <c r="H6" i="595"/>
  <c r="G23" i="594"/>
  <c r="F23" i="594"/>
  <c r="E23" i="594"/>
  <c r="D23" i="594"/>
  <c r="C23" i="594"/>
  <c r="H22" i="594"/>
  <c r="H21" i="594"/>
  <c r="H20" i="594"/>
  <c r="H19" i="594"/>
  <c r="H18" i="594"/>
  <c r="H17" i="594"/>
  <c r="H16" i="594"/>
  <c r="H15" i="594"/>
  <c r="H14" i="594"/>
  <c r="H13" i="594"/>
  <c r="H12" i="594"/>
  <c r="H11" i="594"/>
  <c r="H10" i="594"/>
  <c r="H9" i="594"/>
  <c r="H8" i="594"/>
  <c r="H7" i="594"/>
  <c r="H6" i="594"/>
  <c r="G23" i="593"/>
  <c r="F23" i="593"/>
  <c r="E23" i="593"/>
  <c r="D23" i="593"/>
  <c r="C23" i="593"/>
  <c r="H22" i="593"/>
  <c r="H21" i="593"/>
  <c r="H20" i="593"/>
  <c r="H19" i="593"/>
  <c r="H18" i="593"/>
  <c r="H17" i="593"/>
  <c r="H16" i="593"/>
  <c r="H15" i="593"/>
  <c r="H14" i="593"/>
  <c r="H13" i="593"/>
  <c r="H12" i="593"/>
  <c r="H11" i="593"/>
  <c r="H10" i="593"/>
  <c r="H9" i="593"/>
  <c r="H8" i="593"/>
  <c r="H7" i="593"/>
  <c r="H6" i="593"/>
  <c r="G23" i="592"/>
  <c r="F23" i="592"/>
  <c r="E23" i="592"/>
  <c r="D23" i="592"/>
  <c r="C23" i="592"/>
  <c r="H22" i="592"/>
  <c r="H21" i="592"/>
  <c r="H20" i="592"/>
  <c r="H19" i="592"/>
  <c r="H18" i="592"/>
  <c r="H17" i="592"/>
  <c r="H16" i="592"/>
  <c r="H15" i="592"/>
  <c r="H14" i="592"/>
  <c r="H13" i="592"/>
  <c r="H12" i="592"/>
  <c r="H11" i="592"/>
  <c r="H10" i="592"/>
  <c r="H9" i="592"/>
  <c r="H8" i="592"/>
  <c r="H7" i="592"/>
  <c r="H6" i="592"/>
  <c r="G23" i="591"/>
  <c r="F23" i="591"/>
  <c r="E23" i="591"/>
  <c r="D23" i="591"/>
  <c r="C23" i="591"/>
  <c r="H22" i="591"/>
  <c r="H21" i="591"/>
  <c r="H20" i="591"/>
  <c r="H19" i="591"/>
  <c r="H18" i="591"/>
  <c r="H17" i="591"/>
  <c r="H16" i="591"/>
  <c r="H15" i="591"/>
  <c r="H14" i="591"/>
  <c r="H13" i="591"/>
  <c r="H12" i="591"/>
  <c r="H11" i="591"/>
  <c r="H10" i="591"/>
  <c r="H9" i="591"/>
  <c r="H8" i="591"/>
  <c r="H7" i="591"/>
  <c r="H6" i="591"/>
  <c r="G23" i="590"/>
  <c r="F23" i="590"/>
  <c r="E23" i="590"/>
  <c r="D23" i="590"/>
  <c r="C23" i="590"/>
  <c r="H22" i="590"/>
  <c r="H21" i="590"/>
  <c r="H20" i="590"/>
  <c r="H19" i="590"/>
  <c r="H18" i="590"/>
  <c r="H17" i="590"/>
  <c r="H16" i="590"/>
  <c r="H15" i="590"/>
  <c r="H14" i="590"/>
  <c r="H13" i="590"/>
  <c r="H12" i="590"/>
  <c r="H11" i="590"/>
  <c r="H10" i="590"/>
  <c r="H9" i="590"/>
  <c r="H8" i="590"/>
  <c r="H7" i="590"/>
  <c r="H6" i="590"/>
  <c r="G23" i="589"/>
  <c r="F23" i="589"/>
  <c r="E23" i="589"/>
  <c r="D23" i="589"/>
  <c r="C23" i="589"/>
  <c r="H22" i="589"/>
  <c r="H21" i="589"/>
  <c r="H20" i="589"/>
  <c r="H19" i="589"/>
  <c r="H18" i="589"/>
  <c r="H17" i="589"/>
  <c r="H16" i="589"/>
  <c r="H15" i="589"/>
  <c r="H14" i="589"/>
  <c r="H13" i="589"/>
  <c r="H12" i="589"/>
  <c r="H11" i="589"/>
  <c r="H10" i="589"/>
  <c r="H9" i="589"/>
  <c r="H8" i="589"/>
  <c r="H7" i="589"/>
  <c r="H6" i="589"/>
  <c r="G23" i="588"/>
  <c r="F23" i="588"/>
  <c r="E23" i="588"/>
  <c r="D23" i="588"/>
  <c r="C23" i="588"/>
  <c r="H22" i="588"/>
  <c r="H21" i="588"/>
  <c r="H20" i="588"/>
  <c r="H19" i="588"/>
  <c r="H18" i="588"/>
  <c r="H17" i="588"/>
  <c r="H16" i="588"/>
  <c r="H15" i="588"/>
  <c r="H14" i="588"/>
  <c r="H13" i="588"/>
  <c r="H12" i="588"/>
  <c r="H11" i="588"/>
  <c r="H10" i="588"/>
  <c r="H9" i="588"/>
  <c r="H8" i="588"/>
  <c r="H7" i="588"/>
  <c r="H6" i="588"/>
  <c r="G23" i="587"/>
  <c r="F23" i="587"/>
  <c r="E23" i="587"/>
  <c r="D23" i="587"/>
  <c r="C23" i="587"/>
  <c r="H22" i="587"/>
  <c r="H21" i="587"/>
  <c r="H20" i="587"/>
  <c r="H19" i="587"/>
  <c r="H18" i="587"/>
  <c r="H17" i="587"/>
  <c r="H16" i="587"/>
  <c r="H15" i="587"/>
  <c r="H14" i="587"/>
  <c r="H13" i="587"/>
  <c r="H12" i="587"/>
  <c r="H11" i="587"/>
  <c r="H10" i="587"/>
  <c r="H9" i="587"/>
  <c r="H8" i="587"/>
  <c r="H7" i="587"/>
  <c r="H6" i="587"/>
  <c r="G23" i="586"/>
  <c r="C23" i="586"/>
  <c r="E23" i="586"/>
  <c r="F23" i="586"/>
  <c r="D23" i="586"/>
  <c r="H22" i="586"/>
  <c r="H21" i="586"/>
  <c r="H20" i="586"/>
  <c r="H19" i="586"/>
  <c r="H18" i="586"/>
  <c r="H17" i="586"/>
  <c r="H16" i="586"/>
  <c r="H15" i="586"/>
  <c r="H14" i="586"/>
  <c r="H13" i="586"/>
  <c r="H12" i="586"/>
  <c r="H11" i="586"/>
  <c r="H10" i="586"/>
  <c r="H9" i="586"/>
  <c r="H8" i="586"/>
  <c r="H7" i="586"/>
  <c r="H6" i="586"/>
  <c r="G23" i="585"/>
  <c r="F23" i="585"/>
  <c r="E23" i="585"/>
  <c r="D23" i="585"/>
  <c r="C23" i="585"/>
  <c r="H22" i="585"/>
  <c r="H21" i="585"/>
  <c r="H20" i="585"/>
  <c r="H19" i="585"/>
  <c r="H18" i="585"/>
  <c r="H17" i="585"/>
  <c r="H16" i="585"/>
  <c r="H15" i="585"/>
  <c r="H14" i="585"/>
  <c r="H13" i="585"/>
  <c r="H12" i="585"/>
  <c r="H11" i="585"/>
  <c r="H10" i="585"/>
  <c r="H9" i="585"/>
  <c r="H8" i="585"/>
  <c r="H7" i="585"/>
  <c r="H6" i="585"/>
  <c r="G23" i="584"/>
  <c r="F23" i="584"/>
  <c r="D23" i="584"/>
  <c r="F25" i="584"/>
  <c r="E23" i="584"/>
  <c r="C23" i="584"/>
  <c r="H22" i="584"/>
  <c r="H21" i="584"/>
  <c r="H20" i="584"/>
  <c r="H19" i="584"/>
  <c r="H18" i="584"/>
  <c r="H17" i="584"/>
  <c r="H16" i="584"/>
  <c r="H15" i="584"/>
  <c r="H14" i="584"/>
  <c r="H13" i="584"/>
  <c r="H12" i="584"/>
  <c r="H11" i="584"/>
  <c r="H10" i="584"/>
  <c r="H9" i="584"/>
  <c r="H8" i="584"/>
  <c r="H7" i="584"/>
  <c r="H6" i="584"/>
  <c r="G23" i="583"/>
  <c r="F23" i="583"/>
  <c r="D23" i="583"/>
  <c r="E23" i="583"/>
  <c r="C23" i="583"/>
  <c r="H22" i="583"/>
  <c r="H21" i="583"/>
  <c r="H20" i="583"/>
  <c r="H19" i="583"/>
  <c r="H18" i="583"/>
  <c r="H17" i="583"/>
  <c r="H16" i="583"/>
  <c r="H15" i="583"/>
  <c r="H14" i="583"/>
  <c r="H13" i="583"/>
  <c r="H12" i="583"/>
  <c r="H11" i="583"/>
  <c r="H10" i="583"/>
  <c r="H9" i="583"/>
  <c r="H8" i="583"/>
  <c r="H7" i="583"/>
  <c r="H6" i="583"/>
  <c r="G23" i="582"/>
  <c r="F23" i="582"/>
  <c r="D23" i="582"/>
  <c r="E23" i="582"/>
  <c r="C23" i="582"/>
  <c r="H22" i="582"/>
  <c r="H21" i="582"/>
  <c r="H20" i="582"/>
  <c r="H19" i="582"/>
  <c r="H18" i="582"/>
  <c r="H17" i="582"/>
  <c r="H16" i="582"/>
  <c r="H15" i="582"/>
  <c r="H14" i="582"/>
  <c r="H13" i="582"/>
  <c r="H12" i="582"/>
  <c r="H11" i="582"/>
  <c r="H10" i="582"/>
  <c r="H9" i="582"/>
  <c r="H8" i="582"/>
  <c r="H7" i="582"/>
  <c r="H6" i="582"/>
  <c r="G23" i="581"/>
  <c r="F23" i="581"/>
  <c r="E23" i="581"/>
  <c r="D23" i="581"/>
  <c r="C23" i="581"/>
  <c r="H22" i="581"/>
  <c r="H21" i="581"/>
  <c r="H20" i="581"/>
  <c r="H19" i="581"/>
  <c r="H18" i="581"/>
  <c r="H17" i="581"/>
  <c r="H16" i="581"/>
  <c r="H15" i="581"/>
  <c r="H14" i="581"/>
  <c r="H13" i="581"/>
  <c r="H12" i="581"/>
  <c r="H11" i="581"/>
  <c r="H10" i="581"/>
  <c r="H9" i="581"/>
  <c r="H8" i="581"/>
  <c r="H7" i="581"/>
  <c r="H6" i="581"/>
  <c r="G23" i="580"/>
  <c r="F23" i="580"/>
  <c r="D23" i="580"/>
  <c r="E23" i="580"/>
  <c r="C23" i="580"/>
  <c r="H22" i="580"/>
  <c r="H21" i="580"/>
  <c r="H20" i="580"/>
  <c r="H19" i="580"/>
  <c r="H18" i="580"/>
  <c r="H17" i="580"/>
  <c r="H16" i="580"/>
  <c r="H15" i="580"/>
  <c r="H14" i="580"/>
  <c r="H13" i="580"/>
  <c r="H12" i="580"/>
  <c r="H11" i="580"/>
  <c r="H10" i="580"/>
  <c r="H9" i="580"/>
  <c r="H8" i="580"/>
  <c r="H7" i="580"/>
  <c r="H6" i="580"/>
  <c r="G23" i="579"/>
  <c r="F23" i="579"/>
  <c r="E23" i="579"/>
  <c r="D23" i="579"/>
  <c r="C23" i="579"/>
  <c r="H22" i="579"/>
  <c r="H21" i="579"/>
  <c r="H20" i="579"/>
  <c r="H19" i="579"/>
  <c r="H18" i="579"/>
  <c r="H17" i="579"/>
  <c r="H16" i="579"/>
  <c r="H15" i="579"/>
  <c r="H14" i="579"/>
  <c r="H13" i="579"/>
  <c r="H12" i="579"/>
  <c r="H11" i="579"/>
  <c r="H10" i="579"/>
  <c r="H9" i="579"/>
  <c r="H8" i="579"/>
  <c r="H7" i="579"/>
  <c r="H6" i="579"/>
  <c r="G23" i="578"/>
  <c r="F23" i="578"/>
  <c r="D23" i="578"/>
  <c r="E23" i="578"/>
  <c r="C23" i="578"/>
  <c r="H22" i="578"/>
  <c r="H21" i="578"/>
  <c r="H20" i="578"/>
  <c r="H19" i="578"/>
  <c r="H18" i="578"/>
  <c r="H17" i="578"/>
  <c r="H16" i="578"/>
  <c r="H15" i="578"/>
  <c r="H14" i="578"/>
  <c r="H13" i="578"/>
  <c r="H12" i="578"/>
  <c r="H11" i="578"/>
  <c r="H10" i="578"/>
  <c r="H9" i="578"/>
  <c r="H8" i="578"/>
  <c r="H7" i="578"/>
  <c r="H6" i="578"/>
  <c r="G23" i="577"/>
  <c r="F23" i="577"/>
  <c r="E23" i="577"/>
  <c r="D23" i="577"/>
  <c r="C23" i="577"/>
  <c r="H22" i="577"/>
  <c r="H21" i="577"/>
  <c r="H20" i="577"/>
  <c r="H19" i="577"/>
  <c r="H18" i="577"/>
  <c r="H17" i="577"/>
  <c r="H16" i="577"/>
  <c r="H15" i="577"/>
  <c r="H14" i="577"/>
  <c r="H13" i="577"/>
  <c r="H12" i="577"/>
  <c r="H11" i="577"/>
  <c r="H10" i="577"/>
  <c r="H9" i="577"/>
  <c r="H8" i="577"/>
  <c r="H7" i="577"/>
  <c r="H6" i="577"/>
  <c r="G23" i="576"/>
  <c r="F23" i="576"/>
  <c r="D23" i="576"/>
  <c r="E23" i="576"/>
  <c r="C23" i="576"/>
  <c r="H22" i="576"/>
  <c r="H21" i="576"/>
  <c r="H20" i="576"/>
  <c r="H19" i="576"/>
  <c r="H18" i="576"/>
  <c r="H17" i="576"/>
  <c r="H16" i="576"/>
  <c r="H15" i="576"/>
  <c r="H14" i="576"/>
  <c r="H13" i="576"/>
  <c r="H12" i="576"/>
  <c r="H11" i="576"/>
  <c r="H10" i="576"/>
  <c r="H9" i="576"/>
  <c r="H8" i="576"/>
  <c r="H7" i="576"/>
  <c r="H6" i="576"/>
  <c r="G23" i="575"/>
  <c r="F23" i="575"/>
  <c r="E23" i="575"/>
  <c r="D23" i="575"/>
  <c r="C23" i="575"/>
  <c r="H22" i="575"/>
  <c r="H21" i="575"/>
  <c r="H20" i="575"/>
  <c r="H19" i="575"/>
  <c r="H18" i="575"/>
  <c r="H17" i="575"/>
  <c r="H16" i="575"/>
  <c r="H15" i="575"/>
  <c r="H14" i="575"/>
  <c r="H13" i="575"/>
  <c r="H12" i="575"/>
  <c r="H11" i="575"/>
  <c r="H10" i="575"/>
  <c r="H9" i="575"/>
  <c r="H8" i="575"/>
  <c r="H7" i="575"/>
  <c r="H6" i="575"/>
  <c r="G23" i="574"/>
  <c r="F23" i="574"/>
  <c r="D23" i="574"/>
  <c r="E23" i="574"/>
  <c r="C23" i="574"/>
  <c r="H22" i="574"/>
  <c r="H21" i="574"/>
  <c r="H20" i="574"/>
  <c r="H19" i="574"/>
  <c r="H18" i="574"/>
  <c r="H17" i="574"/>
  <c r="H16" i="574"/>
  <c r="H15" i="574"/>
  <c r="H14" i="574"/>
  <c r="H13" i="574"/>
  <c r="H12" i="574"/>
  <c r="H11" i="574"/>
  <c r="H10" i="574"/>
  <c r="H9" i="574"/>
  <c r="H8" i="574"/>
  <c r="H7" i="574"/>
  <c r="H6" i="574"/>
  <c r="G23" i="573"/>
  <c r="C23" i="573"/>
  <c r="E23" i="573"/>
  <c r="F23" i="573"/>
  <c r="D23" i="573"/>
  <c r="H22" i="573"/>
  <c r="H21" i="573"/>
  <c r="H20" i="573"/>
  <c r="H19" i="573"/>
  <c r="H18" i="573"/>
  <c r="H17" i="573"/>
  <c r="H16" i="573"/>
  <c r="H15" i="573"/>
  <c r="H14" i="573"/>
  <c r="H13" i="573"/>
  <c r="H12" i="573"/>
  <c r="H11" i="573"/>
  <c r="H10" i="573"/>
  <c r="H9" i="573"/>
  <c r="H8" i="573"/>
  <c r="H7" i="573"/>
  <c r="H6" i="573"/>
  <c r="G23" i="572"/>
  <c r="F23" i="572"/>
  <c r="D23" i="572"/>
  <c r="E23" i="572"/>
  <c r="C23" i="572"/>
  <c r="H22" i="572"/>
  <c r="H21" i="572"/>
  <c r="H20" i="572"/>
  <c r="H19" i="572"/>
  <c r="H18" i="572"/>
  <c r="H17" i="572"/>
  <c r="H16" i="572"/>
  <c r="H15" i="572"/>
  <c r="H14" i="572"/>
  <c r="H13" i="572"/>
  <c r="H12" i="572"/>
  <c r="H11" i="572"/>
  <c r="H10" i="572"/>
  <c r="H9" i="572"/>
  <c r="H8" i="572"/>
  <c r="H7" i="572"/>
  <c r="H6" i="572"/>
  <c r="G23" i="571"/>
  <c r="F23" i="571"/>
  <c r="E23" i="571"/>
  <c r="D23" i="571"/>
  <c r="C23" i="571"/>
  <c r="H22" i="571"/>
  <c r="H21" i="571"/>
  <c r="H20" i="571"/>
  <c r="H19" i="571"/>
  <c r="H18" i="571"/>
  <c r="H17" i="571"/>
  <c r="H16" i="571"/>
  <c r="H15" i="571"/>
  <c r="H14" i="571"/>
  <c r="H13" i="571"/>
  <c r="H12" i="571"/>
  <c r="H11" i="571"/>
  <c r="H10" i="571"/>
  <c r="H9" i="571"/>
  <c r="H8" i="571"/>
  <c r="H7" i="571"/>
  <c r="H6" i="571"/>
  <c r="G23" i="570"/>
  <c r="F23" i="570"/>
  <c r="D23" i="570"/>
  <c r="E23" i="570"/>
  <c r="C23" i="570"/>
  <c r="H22" i="570"/>
  <c r="H21" i="570"/>
  <c r="H20" i="570"/>
  <c r="H19" i="570"/>
  <c r="H18" i="570"/>
  <c r="H17" i="570"/>
  <c r="H16" i="570"/>
  <c r="H15" i="570"/>
  <c r="H14" i="570"/>
  <c r="H13" i="570"/>
  <c r="H12" i="570"/>
  <c r="H11" i="570"/>
  <c r="H10" i="570"/>
  <c r="H9" i="570"/>
  <c r="H8" i="570"/>
  <c r="H7" i="570"/>
  <c r="H6" i="570"/>
  <c r="G23" i="569"/>
  <c r="F23" i="569"/>
  <c r="E23" i="569"/>
  <c r="D23" i="569"/>
  <c r="C23" i="569"/>
  <c r="H22" i="569"/>
  <c r="H21" i="569"/>
  <c r="H20" i="569"/>
  <c r="H19" i="569"/>
  <c r="H18" i="569"/>
  <c r="H17" i="569"/>
  <c r="H16" i="569"/>
  <c r="H15" i="569"/>
  <c r="H14" i="569"/>
  <c r="H13" i="569"/>
  <c r="H12" i="569"/>
  <c r="H11" i="569"/>
  <c r="H10" i="569"/>
  <c r="H9" i="569"/>
  <c r="H8" i="569"/>
  <c r="H7" i="569"/>
  <c r="H6" i="569"/>
  <c r="G23" i="568"/>
  <c r="F23" i="568"/>
  <c r="D23" i="568"/>
  <c r="E23" i="568"/>
  <c r="C23" i="568"/>
  <c r="H22" i="568"/>
  <c r="H21" i="568"/>
  <c r="H20" i="568"/>
  <c r="H19" i="568"/>
  <c r="H18" i="568"/>
  <c r="H17" i="568"/>
  <c r="H16" i="568"/>
  <c r="H15" i="568"/>
  <c r="H14" i="568"/>
  <c r="H13" i="568"/>
  <c r="H12" i="568"/>
  <c r="H11" i="568"/>
  <c r="H10" i="568"/>
  <c r="H9" i="568"/>
  <c r="H8" i="568"/>
  <c r="H7" i="568"/>
  <c r="H6" i="568"/>
  <c r="G23" i="567"/>
  <c r="C23" i="567"/>
  <c r="E23" i="567"/>
  <c r="F23" i="567"/>
  <c r="D23" i="567"/>
  <c r="H22" i="567"/>
  <c r="H21" i="567"/>
  <c r="H20" i="567"/>
  <c r="H19" i="567"/>
  <c r="H18" i="567"/>
  <c r="H17" i="567"/>
  <c r="H16" i="567"/>
  <c r="H15" i="567"/>
  <c r="H14" i="567"/>
  <c r="H13" i="567"/>
  <c r="H12" i="567"/>
  <c r="H11" i="567"/>
  <c r="H10" i="567"/>
  <c r="H9" i="567"/>
  <c r="H8" i="567"/>
  <c r="H7" i="567"/>
  <c r="H6" i="567"/>
  <c r="G23" i="566"/>
  <c r="F23" i="566"/>
  <c r="D23" i="566"/>
  <c r="E23" i="566"/>
  <c r="C23" i="566"/>
  <c r="H22" i="566"/>
  <c r="H21" i="566"/>
  <c r="H20" i="566"/>
  <c r="H19" i="566"/>
  <c r="H18" i="566"/>
  <c r="H17" i="566"/>
  <c r="H16" i="566"/>
  <c r="H15" i="566"/>
  <c r="H14" i="566"/>
  <c r="H13" i="566"/>
  <c r="H12" i="566"/>
  <c r="H11" i="566"/>
  <c r="H10" i="566"/>
  <c r="H9" i="566"/>
  <c r="H8" i="566"/>
  <c r="H7" i="566"/>
  <c r="H6" i="566"/>
  <c r="G23" i="565"/>
  <c r="F23" i="565"/>
  <c r="E23" i="565"/>
  <c r="D23" i="565"/>
  <c r="C23" i="565"/>
  <c r="H22" i="565"/>
  <c r="H21" i="565"/>
  <c r="H20" i="565"/>
  <c r="H19" i="565"/>
  <c r="H18" i="565"/>
  <c r="H17" i="565"/>
  <c r="H16" i="565"/>
  <c r="H15" i="565"/>
  <c r="H14" i="565"/>
  <c r="H13" i="565"/>
  <c r="H12" i="565"/>
  <c r="H11" i="565"/>
  <c r="H10" i="565"/>
  <c r="H9" i="565"/>
  <c r="H8" i="565"/>
  <c r="H7" i="565"/>
  <c r="H6" i="565"/>
  <c r="G23" i="563"/>
  <c r="F23" i="563"/>
  <c r="F25" i="563"/>
  <c r="E23" i="563"/>
  <c r="D23" i="563"/>
  <c r="C23" i="563"/>
  <c r="H22" i="563"/>
  <c r="H21" i="563"/>
  <c r="H20" i="563"/>
  <c r="H19" i="563"/>
  <c r="H18" i="563"/>
  <c r="H17" i="563"/>
  <c r="H16" i="563"/>
  <c r="H15" i="563"/>
  <c r="H14" i="563"/>
  <c r="H13" i="563"/>
  <c r="H12" i="563"/>
  <c r="H11" i="563"/>
  <c r="H10" i="563"/>
  <c r="H9" i="563"/>
  <c r="H8" i="563"/>
  <c r="H7" i="563"/>
  <c r="H6" i="563"/>
  <c r="G23" i="562"/>
  <c r="C23" i="562"/>
  <c r="E23" i="562"/>
  <c r="F23" i="562"/>
  <c r="D23" i="562"/>
  <c r="H22" i="562"/>
  <c r="H21" i="562"/>
  <c r="H20" i="562"/>
  <c r="H19" i="562"/>
  <c r="H18" i="562"/>
  <c r="H17" i="562"/>
  <c r="H16" i="562"/>
  <c r="H15" i="562"/>
  <c r="H14" i="562"/>
  <c r="H13" i="562"/>
  <c r="H12" i="562"/>
  <c r="H11" i="562"/>
  <c r="H10" i="562"/>
  <c r="H9" i="562"/>
  <c r="H8" i="562"/>
  <c r="H7" i="562"/>
  <c r="H6" i="562"/>
  <c r="G23" i="561"/>
  <c r="F23" i="561"/>
  <c r="D23" i="561"/>
  <c r="E23" i="561"/>
  <c r="C23" i="561"/>
  <c r="H22" i="561"/>
  <c r="H21" i="561"/>
  <c r="H20" i="561"/>
  <c r="H19" i="561"/>
  <c r="H18" i="561"/>
  <c r="H17" i="561"/>
  <c r="H16" i="561"/>
  <c r="H15" i="561"/>
  <c r="H14" i="561"/>
  <c r="H13" i="561"/>
  <c r="H12" i="561"/>
  <c r="H11" i="561"/>
  <c r="H10" i="561"/>
  <c r="H9" i="561"/>
  <c r="H8" i="561"/>
  <c r="H7" i="561"/>
  <c r="H6" i="561"/>
  <c r="G23" i="560"/>
  <c r="F23" i="560"/>
  <c r="E23" i="560"/>
  <c r="D23" i="560"/>
  <c r="C23" i="560"/>
  <c r="H22" i="560"/>
  <c r="H21" i="560"/>
  <c r="H20" i="560"/>
  <c r="H19" i="560"/>
  <c r="H18" i="560"/>
  <c r="H17" i="560"/>
  <c r="H16" i="560"/>
  <c r="H15" i="560"/>
  <c r="H14" i="560"/>
  <c r="H13" i="560"/>
  <c r="H12" i="560"/>
  <c r="H11" i="560"/>
  <c r="H10" i="560"/>
  <c r="H9" i="560"/>
  <c r="H8" i="560"/>
  <c r="H7" i="560"/>
  <c r="H6" i="560"/>
  <c r="G23" i="559"/>
  <c r="F23" i="559"/>
  <c r="F25" i="559"/>
  <c r="E23" i="559"/>
  <c r="D23" i="559"/>
  <c r="C23" i="559"/>
  <c r="H22" i="559"/>
  <c r="H21" i="559"/>
  <c r="H20" i="559"/>
  <c r="H19" i="559"/>
  <c r="H18" i="559"/>
  <c r="H17" i="559"/>
  <c r="H16" i="559"/>
  <c r="H15" i="559"/>
  <c r="H14" i="559"/>
  <c r="H13" i="559"/>
  <c r="H12" i="559"/>
  <c r="H11" i="559"/>
  <c r="H10" i="559"/>
  <c r="H9" i="559"/>
  <c r="H8" i="559"/>
  <c r="H7" i="559"/>
  <c r="H6" i="559"/>
  <c r="G23" i="558"/>
  <c r="C23" i="558"/>
  <c r="E23" i="558"/>
  <c r="F23" i="558"/>
  <c r="D23" i="558"/>
  <c r="H22" i="558"/>
  <c r="H21" i="558"/>
  <c r="H20" i="558"/>
  <c r="H19" i="558"/>
  <c r="H18" i="558"/>
  <c r="H17" i="558"/>
  <c r="H16" i="558"/>
  <c r="H15" i="558"/>
  <c r="H14" i="558"/>
  <c r="H13" i="558"/>
  <c r="H12" i="558"/>
  <c r="H11" i="558"/>
  <c r="H10" i="558"/>
  <c r="H9" i="558"/>
  <c r="H8" i="558"/>
  <c r="H7" i="558"/>
  <c r="H6" i="558"/>
  <c r="G23" i="557"/>
  <c r="F23" i="557"/>
  <c r="E23" i="557"/>
  <c r="D23" i="557"/>
  <c r="F25" i="557"/>
  <c r="C23" i="557"/>
  <c r="H22" i="557"/>
  <c r="H21" i="557"/>
  <c r="H20" i="557"/>
  <c r="H19" i="557"/>
  <c r="H18" i="557"/>
  <c r="H17" i="557"/>
  <c r="H16" i="557"/>
  <c r="H15" i="557"/>
  <c r="H14" i="557"/>
  <c r="H13" i="557"/>
  <c r="H12" i="557"/>
  <c r="H11" i="557"/>
  <c r="H10" i="557"/>
  <c r="H9" i="557"/>
  <c r="H8" i="557"/>
  <c r="H7" i="557"/>
  <c r="H6" i="557"/>
  <c r="G23" i="556"/>
  <c r="F23" i="556"/>
  <c r="D23" i="556"/>
  <c r="E23" i="556"/>
  <c r="C23" i="556"/>
  <c r="H22" i="556"/>
  <c r="H21" i="556"/>
  <c r="H20" i="556"/>
  <c r="H19" i="556"/>
  <c r="H18" i="556"/>
  <c r="H17" i="556"/>
  <c r="H16" i="556"/>
  <c r="H15" i="556"/>
  <c r="H14" i="556"/>
  <c r="H13" i="556"/>
  <c r="H12" i="556"/>
  <c r="H11" i="556"/>
  <c r="H10" i="556"/>
  <c r="H9" i="556"/>
  <c r="H8" i="556"/>
  <c r="H7" i="556"/>
  <c r="H6" i="556"/>
  <c r="G23" i="555"/>
  <c r="C23" i="555"/>
  <c r="E23" i="555"/>
  <c r="F23" i="555"/>
  <c r="D23" i="555"/>
  <c r="H22" i="555"/>
  <c r="H21" i="555"/>
  <c r="H20" i="555"/>
  <c r="H19" i="555"/>
  <c r="H18" i="555"/>
  <c r="H17" i="555"/>
  <c r="H16" i="555"/>
  <c r="H15" i="555"/>
  <c r="H14" i="555"/>
  <c r="H13" i="555"/>
  <c r="H12" i="555"/>
  <c r="H11" i="555"/>
  <c r="H10" i="555"/>
  <c r="H9" i="555"/>
  <c r="H8" i="555"/>
  <c r="H7" i="555"/>
  <c r="H6" i="555"/>
  <c r="G23" i="554"/>
  <c r="C23" i="554"/>
  <c r="E23" i="554"/>
  <c r="F23" i="554"/>
  <c r="D23" i="554"/>
  <c r="H22" i="554"/>
  <c r="H21" i="554"/>
  <c r="H20" i="554"/>
  <c r="H19" i="554"/>
  <c r="H18" i="554"/>
  <c r="H17" i="554"/>
  <c r="H16" i="554"/>
  <c r="H15" i="554"/>
  <c r="H14" i="554"/>
  <c r="H13" i="554"/>
  <c r="H12" i="554"/>
  <c r="H11" i="554"/>
  <c r="H10" i="554"/>
  <c r="H9" i="554"/>
  <c r="H8" i="554"/>
  <c r="H7" i="554"/>
  <c r="H6" i="554"/>
  <c r="G23" i="553"/>
  <c r="F23" i="553"/>
  <c r="E23" i="553"/>
  <c r="D23" i="553"/>
  <c r="F25" i="553"/>
  <c r="C23" i="553"/>
  <c r="H22" i="553"/>
  <c r="H21" i="553"/>
  <c r="H20" i="553"/>
  <c r="H19" i="553"/>
  <c r="H18" i="553"/>
  <c r="H17" i="553"/>
  <c r="H16" i="553"/>
  <c r="H15" i="553"/>
  <c r="H14" i="553"/>
  <c r="H13" i="553"/>
  <c r="H12" i="553"/>
  <c r="H11" i="553"/>
  <c r="H10" i="553"/>
  <c r="H9" i="553"/>
  <c r="H8" i="553"/>
  <c r="H7" i="553"/>
  <c r="H6" i="553"/>
  <c r="G23" i="552"/>
  <c r="F23" i="552"/>
  <c r="D23" i="552"/>
  <c r="E23" i="552"/>
  <c r="C23" i="552"/>
  <c r="H22" i="552"/>
  <c r="H21" i="552"/>
  <c r="H20" i="552"/>
  <c r="H19" i="552"/>
  <c r="H18" i="552"/>
  <c r="H17" i="552"/>
  <c r="H16" i="552"/>
  <c r="H15" i="552"/>
  <c r="H14" i="552"/>
  <c r="H13" i="552"/>
  <c r="H12" i="552"/>
  <c r="H11" i="552"/>
  <c r="H10" i="552"/>
  <c r="H9" i="552"/>
  <c r="H8" i="552"/>
  <c r="H7" i="552"/>
  <c r="H6" i="552"/>
  <c r="G23" i="551"/>
  <c r="F23" i="551"/>
  <c r="F25" i="551"/>
  <c r="E23" i="551"/>
  <c r="D23" i="551"/>
  <c r="C23" i="551"/>
  <c r="H22" i="551"/>
  <c r="H21" i="551"/>
  <c r="H20" i="551"/>
  <c r="H19" i="551"/>
  <c r="H18" i="551"/>
  <c r="H17" i="551"/>
  <c r="H16" i="551"/>
  <c r="H15" i="551"/>
  <c r="H14" i="551"/>
  <c r="H13" i="551"/>
  <c r="H12" i="551"/>
  <c r="H11" i="551"/>
  <c r="H10" i="551"/>
  <c r="H9" i="551"/>
  <c r="H8" i="551"/>
  <c r="H7" i="551"/>
  <c r="H6" i="551"/>
  <c r="G23" i="550"/>
  <c r="F23" i="550"/>
  <c r="E23" i="550"/>
  <c r="D23" i="550"/>
  <c r="C23" i="550"/>
  <c r="H22" i="550"/>
  <c r="H21" i="550"/>
  <c r="H20" i="550"/>
  <c r="H19" i="550"/>
  <c r="H18" i="550"/>
  <c r="H17" i="550"/>
  <c r="H16" i="550"/>
  <c r="H15" i="550"/>
  <c r="H14" i="550"/>
  <c r="H13" i="550"/>
  <c r="H12" i="550"/>
  <c r="H11" i="550"/>
  <c r="H10" i="550"/>
  <c r="H9" i="550"/>
  <c r="H8" i="550"/>
  <c r="H7" i="550"/>
  <c r="H6" i="550"/>
  <c r="G23" i="549"/>
  <c r="C23" i="549"/>
  <c r="E23" i="549"/>
  <c r="F23" i="549"/>
  <c r="D23" i="549"/>
  <c r="H22" i="549"/>
  <c r="H21" i="549"/>
  <c r="H20" i="549"/>
  <c r="H19" i="549"/>
  <c r="H18" i="549"/>
  <c r="H17" i="549"/>
  <c r="H16" i="549"/>
  <c r="H15" i="549"/>
  <c r="H14" i="549"/>
  <c r="H13" i="549"/>
  <c r="H12" i="549"/>
  <c r="H11" i="549"/>
  <c r="H10" i="549"/>
  <c r="H9" i="549"/>
  <c r="H8" i="549"/>
  <c r="H7" i="549"/>
  <c r="H6" i="549"/>
  <c r="G23" i="548"/>
  <c r="F23" i="548"/>
  <c r="E23" i="548"/>
  <c r="D23" i="548"/>
  <c r="C23" i="548"/>
  <c r="H22" i="548"/>
  <c r="H21" i="548"/>
  <c r="H20" i="548"/>
  <c r="H19" i="548"/>
  <c r="H18" i="548"/>
  <c r="H17" i="548"/>
  <c r="H16" i="548"/>
  <c r="H15" i="548"/>
  <c r="H14" i="548"/>
  <c r="H13" i="548"/>
  <c r="H12" i="548"/>
  <c r="H11" i="548"/>
  <c r="H10" i="548"/>
  <c r="H9" i="548"/>
  <c r="H8" i="548"/>
  <c r="H7" i="548"/>
  <c r="H6" i="548"/>
  <c r="G23" i="547"/>
  <c r="F23" i="547"/>
  <c r="F25" i="547"/>
  <c r="E23" i="547"/>
  <c r="D23" i="547"/>
  <c r="C23" i="547"/>
  <c r="H22" i="547"/>
  <c r="H21" i="547"/>
  <c r="H20" i="547"/>
  <c r="H19" i="547"/>
  <c r="H18" i="547"/>
  <c r="H17" i="547"/>
  <c r="H16" i="547"/>
  <c r="H15" i="547"/>
  <c r="H14" i="547"/>
  <c r="H13" i="547"/>
  <c r="H12" i="547"/>
  <c r="H11" i="547"/>
  <c r="H10" i="547"/>
  <c r="H9" i="547"/>
  <c r="H8" i="547"/>
  <c r="H7" i="547"/>
  <c r="H6" i="547"/>
  <c r="G23" i="546"/>
  <c r="F23" i="546"/>
  <c r="D23" i="546"/>
  <c r="F25" i="546"/>
  <c r="E23" i="546"/>
  <c r="C23" i="546"/>
  <c r="H22" i="546"/>
  <c r="H21" i="546"/>
  <c r="H20" i="546"/>
  <c r="H19" i="546"/>
  <c r="H18" i="546"/>
  <c r="H17" i="546"/>
  <c r="H16" i="546"/>
  <c r="H15" i="546"/>
  <c r="H14" i="546"/>
  <c r="H13" i="546"/>
  <c r="H12" i="546"/>
  <c r="H11" i="546"/>
  <c r="H10" i="546"/>
  <c r="H9" i="546"/>
  <c r="H8" i="546"/>
  <c r="H7" i="546"/>
  <c r="H6" i="546"/>
  <c r="G23" i="545"/>
  <c r="C23" i="545"/>
  <c r="E23" i="545"/>
  <c r="F23" i="545"/>
  <c r="D23" i="545"/>
  <c r="F25" i="545"/>
  <c r="H22" i="545"/>
  <c r="H21" i="545"/>
  <c r="H20" i="545"/>
  <c r="H19" i="545"/>
  <c r="H18" i="545"/>
  <c r="H17" i="545"/>
  <c r="H16" i="545"/>
  <c r="H15" i="545"/>
  <c r="H14" i="545"/>
  <c r="H13" i="545"/>
  <c r="H12" i="545"/>
  <c r="H11" i="545"/>
  <c r="H10" i="545"/>
  <c r="H9" i="545"/>
  <c r="H8" i="545"/>
  <c r="H7" i="545"/>
  <c r="H6" i="545"/>
  <c r="G23" i="544"/>
  <c r="F23" i="544"/>
  <c r="E23" i="544"/>
  <c r="D23" i="544"/>
  <c r="C23" i="544"/>
  <c r="H22" i="544"/>
  <c r="H21" i="544"/>
  <c r="H20" i="544"/>
  <c r="H19" i="544"/>
  <c r="H18" i="544"/>
  <c r="H17" i="544"/>
  <c r="H16" i="544"/>
  <c r="H15" i="544"/>
  <c r="H14" i="544"/>
  <c r="H13" i="544"/>
  <c r="H12" i="544"/>
  <c r="H11" i="544"/>
  <c r="H10" i="544"/>
  <c r="H9" i="544"/>
  <c r="H8" i="544"/>
  <c r="H7" i="544"/>
  <c r="H6" i="544"/>
  <c r="G23" i="543"/>
  <c r="F23" i="543"/>
  <c r="E23" i="543"/>
  <c r="D23" i="543"/>
  <c r="C23" i="543"/>
  <c r="H22" i="543"/>
  <c r="H21" i="543"/>
  <c r="H20" i="543"/>
  <c r="H19" i="543"/>
  <c r="H18" i="543"/>
  <c r="H17" i="543"/>
  <c r="H16" i="543"/>
  <c r="H15" i="543"/>
  <c r="H14" i="543"/>
  <c r="H13" i="543"/>
  <c r="H12" i="543"/>
  <c r="H11" i="543"/>
  <c r="H10" i="543"/>
  <c r="H9" i="543"/>
  <c r="H8" i="543"/>
  <c r="H7" i="543"/>
  <c r="H6" i="543"/>
  <c r="G23" i="542"/>
  <c r="F23" i="542"/>
  <c r="E23" i="542"/>
  <c r="D23" i="542"/>
  <c r="F25" i="542"/>
  <c r="C23" i="542"/>
  <c r="H22" i="542"/>
  <c r="H21" i="542"/>
  <c r="H20" i="542"/>
  <c r="H19" i="542"/>
  <c r="H18" i="542"/>
  <c r="H17" i="542"/>
  <c r="H16" i="542"/>
  <c r="H15" i="542"/>
  <c r="H14" i="542"/>
  <c r="H13" i="542"/>
  <c r="H12" i="542"/>
  <c r="H11" i="542"/>
  <c r="H10" i="542"/>
  <c r="H9" i="542"/>
  <c r="H8" i="542"/>
  <c r="H7" i="542"/>
  <c r="H6" i="542"/>
  <c r="G23" i="541"/>
  <c r="C23" i="541"/>
  <c r="E23" i="541"/>
  <c r="F23" i="541"/>
  <c r="D23" i="541"/>
  <c r="H22" i="541"/>
  <c r="H21" i="541"/>
  <c r="H20" i="541"/>
  <c r="H19" i="541"/>
  <c r="H18" i="541"/>
  <c r="H17" i="541"/>
  <c r="H16" i="541"/>
  <c r="H15" i="541"/>
  <c r="H14" i="541"/>
  <c r="H13" i="541"/>
  <c r="H12" i="541"/>
  <c r="H11" i="541"/>
  <c r="H10" i="541"/>
  <c r="H9" i="541"/>
  <c r="H8" i="541"/>
  <c r="H7" i="541"/>
  <c r="H6" i="541"/>
  <c r="G23" i="540"/>
  <c r="F23" i="540"/>
  <c r="E23" i="540"/>
  <c r="D23" i="540"/>
  <c r="C23" i="540"/>
  <c r="H22" i="540"/>
  <c r="H21" i="540"/>
  <c r="H20" i="540"/>
  <c r="H19" i="540"/>
  <c r="H18" i="540"/>
  <c r="H17" i="540"/>
  <c r="H16" i="540"/>
  <c r="H15" i="540"/>
  <c r="H14" i="540"/>
  <c r="H13" i="540"/>
  <c r="H12" i="540"/>
  <c r="H11" i="540"/>
  <c r="H10" i="540"/>
  <c r="H9" i="540"/>
  <c r="H8" i="540"/>
  <c r="H7" i="540"/>
  <c r="H6" i="540"/>
  <c r="G23" i="539"/>
  <c r="F23" i="539"/>
  <c r="F25" i="539"/>
  <c r="E23" i="539"/>
  <c r="D23" i="539"/>
  <c r="C23" i="539"/>
  <c r="H22" i="539"/>
  <c r="H21" i="539"/>
  <c r="H20" i="539"/>
  <c r="H19" i="539"/>
  <c r="H18" i="539"/>
  <c r="H17" i="539"/>
  <c r="H16" i="539"/>
  <c r="H15" i="539"/>
  <c r="H14" i="539"/>
  <c r="H13" i="539"/>
  <c r="H12" i="539"/>
  <c r="H11" i="539"/>
  <c r="H10" i="539"/>
  <c r="H9" i="539"/>
  <c r="H8" i="539"/>
  <c r="H7" i="539"/>
  <c r="H6" i="539"/>
  <c r="G23" i="538"/>
  <c r="F23" i="538"/>
  <c r="E23" i="538"/>
  <c r="D23" i="538"/>
  <c r="F25" i="538"/>
  <c r="C23" i="538"/>
  <c r="H22" i="538"/>
  <c r="H21" i="538"/>
  <c r="H20" i="538"/>
  <c r="H19" i="538"/>
  <c r="H18" i="538"/>
  <c r="H17" i="538"/>
  <c r="H16" i="538"/>
  <c r="H15" i="538"/>
  <c r="H14" i="538"/>
  <c r="H13" i="538"/>
  <c r="H12" i="538"/>
  <c r="H11" i="538"/>
  <c r="H10" i="538"/>
  <c r="H9" i="538"/>
  <c r="H8" i="538"/>
  <c r="H7" i="538"/>
  <c r="H6" i="538"/>
  <c r="G23" i="537"/>
  <c r="F23" i="537"/>
  <c r="D23" i="537"/>
  <c r="E23" i="537"/>
  <c r="C23" i="537"/>
  <c r="H22" i="537"/>
  <c r="H21" i="537"/>
  <c r="H20" i="537"/>
  <c r="H19" i="537"/>
  <c r="H18" i="537"/>
  <c r="H17" i="537"/>
  <c r="H16" i="537"/>
  <c r="H15" i="537"/>
  <c r="H14" i="537"/>
  <c r="H13" i="537"/>
  <c r="H12" i="537"/>
  <c r="H11" i="537"/>
  <c r="H10" i="537"/>
  <c r="H9" i="537"/>
  <c r="H8" i="537"/>
  <c r="H7" i="537"/>
  <c r="H6" i="537"/>
  <c r="G23" i="536"/>
  <c r="F23" i="536"/>
  <c r="E23" i="536"/>
  <c r="D23" i="536"/>
  <c r="C23" i="536"/>
  <c r="H22" i="536"/>
  <c r="H21" i="536"/>
  <c r="H20" i="536"/>
  <c r="H19" i="536"/>
  <c r="H18" i="536"/>
  <c r="H17" i="536"/>
  <c r="H16" i="536"/>
  <c r="H15" i="536"/>
  <c r="H14" i="536"/>
  <c r="H13" i="536"/>
  <c r="H12" i="536"/>
  <c r="H11" i="536"/>
  <c r="H10" i="536"/>
  <c r="H9" i="536"/>
  <c r="H8" i="536"/>
  <c r="H7" i="536"/>
  <c r="H6" i="536"/>
  <c r="G23" i="535"/>
  <c r="F23" i="535"/>
  <c r="F25" i="535"/>
  <c r="E23" i="535"/>
  <c r="D23" i="535"/>
  <c r="C23" i="535"/>
  <c r="H22" i="535"/>
  <c r="H21" i="535"/>
  <c r="H20" i="535"/>
  <c r="H19" i="535"/>
  <c r="H18" i="535"/>
  <c r="H17" i="535"/>
  <c r="H16" i="535"/>
  <c r="H15" i="535"/>
  <c r="H14" i="535"/>
  <c r="H13" i="535"/>
  <c r="H12" i="535"/>
  <c r="H11" i="535"/>
  <c r="H10" i="535"/>
  <c r="H9" i="535"/>
  <c r="H8" i="535"/>
  <c r="H7" i="535"/>
  <c r="H6" i="535"/>
  <c r="G23" i="534"/>
  <c r="F23" i="534"/>
  <c r="E23" i="534"/>
  <c r="D23" i="534"/>
  <c r="F25" i="534"/>
  <c r="C23" i="534"/>
  <c r="H22" i="534"/>
  <c r="H21" i="534"/>
  <c r="H20" i="534"/>
  <c r="H19" i="534"/>
  <c r="H18" i="534"/>
  <c r="H17" i="534"/>
  <c r="H16" i="534"/>
  <c r="H15" i="534"/>
  <c r="H14" i="534"/>
  <c r="H13" i="534"/>
  <c r="H12" i="534"/>
  <c r="H11" i="534"/>
  <c r="H10" i="534"/>
  <c r="H9" i="534"/>
  <c r="H8" i="534"/>
  <c r="H7" i="534"/>
  <c r="H6" i="534"/>
  <c r="G23" i="533"/>
  <c r="F23" i="533"/>
  <c r="D23" i="533"/>
  <c r="E23" i="533"/>
  <c r="C23" i="533"/>
  <c r="H22" i="533"/>
  <c r="H21" i="533"/>
  <c r="H20" i="533"/>
  <c r="H19" i="533"/>
  <c r="H18" i="533"/>
  <c r="H17" i="533"/>
  <c r="H16" i="533"/>
  <c r="H15" i="533"/>
  <c r="H14" i="533"/>
  <c r="H13" i="533"/>
  <c r="H12" i="533"/>
  <c r="H11" i="533"/>
  <c r="H10" i="533"/>
  <c r="H9" i="533"/>
  <c r="H8" i="533"/>
  <c r="H7" i="533"/>
  <c r="H6" i="533"/>
  <c r="G23" i="532"/>
  <c r="F23" i="532"/>
  <c r="D23" i="532"/>
  <c r="E23" i="532"/>
  <c r="C23" i="532"/>
  <c r="H22" i="532"/>
  <c r="H21" i="532"/>
  <c r="H20" i="532"/>
  <c r="H19" i="532"/>
  <c r="H18" i="532"/>
  <c r="H17" i="532"/>
  <c r="H16" i="532"/>
  <c r="H15" i="532"/>
  <c r="H14" i="532"/>
  <c r="H13" i="532"/>
  <c r="H12" i="532"/>
  <c r="H11" i="532"/>
  <c r="H10" i="532"/>
  <c r="H9" i="532"/>
  <c r="H8" i="532"/>
  <c r="H7" i="532"/>
  <c r="H6" i="532"/>
  <c r="G23" i="531"/>
  <c r="F23" i="531"/>
  <c r="F25" i="531"/>
  <c r="E23" i="531"/>
  <c r="C23" i="531"/>
  <c r="D23" i="531"/>
  <c r="H22" i="531"/>
  <c r="H21" i="531"/>
  <c r="H20" i="531"/>
  <c r="H19" i="531"/>
  <c r="H18" i="531"/>
  <c r="H17" i="531"/>
  <c r="H16" i="531"/>
  <c r="H15" i="531"/>
  <c r="H14" i="531"/>
  <c r="H13" i="531"/>
  <c r="H12" i="531"/>
  <c r="H11" i="531"/>
  <c r="H10" i="531"/>
  <c r="H9" i="531"/>
  <c r="H8" i="531"/>
  <c r="H7" i="531"/>
  <c r="H6" i="531"/>
  <c r="G23" i="530"/>
  <c r="F23" i="530"/>
  <c r="E23" i="530"/>
  <c r="C23" i="530"/>
  <c r="D23" i="530"/>
  <c r="H22" i="530"/>
  <c r="H21" i="530"/>
  <c r="H20" i="530"/>
  <c r="H19" i="530"/>
  <c r="H18" i="530"/>
  <c r="H17" i="530"/>
  <c r="H16" i="530"/>
  <c r="H15" i="530"/>
  <c r="H14" i="530"/>
  <c r="H13" i="530"/>
  <c r="H12" i="530"/>
  <c r="H11" i="530"/>
  <c r="H10" i="530"/>
  <c r="H9" i="530"/>
  <c r="H8" i="530"/>
  <c r="H7" i="530"/>
  <c r="H6" i="530"/>
  <c r="H6" i="529"/>
  <c r="H7" i="529"/>
  <c r="H8" i="529"/>
  <c r="H9" i="529"/>
  <c r="H10" i="529"/>
  <c r="H11" i="529"/>
  <c r="H12" i="529"/>
  <c r="H13" i="529"/>
  <c r="H14" i="529"/>
  <c r="H15" i="529"/>
  <c r="H16" i="529"/>
  <c r="H17" i="529"/>
  <c r="H18" i="529"/>
  <c r="H19" i="529"/>
  <c r="H20" i="529"/>
  <c r="H21" i="529"/>
  <c r="H22" i="529"/>
  <c r="C23" i="529"/>
  <c r="E23" i="529"/>
  <c r="G23" i="529"/>
  <c r="D23" i="529"/>
  <c r="F23" i="529"/>
  <c r="G23" i="527"/>
  <c r="C23" i="527"/>
  <c r="E23" i="527"/>
  <c r="F23" i="527"/>
  <c r="D23" i="527"/>
  <c r="H22" i="527"/>
  <c r="H21" i="527"/>
  <c r="H20" i="527"/>
  <c r="H19" i="527"/>
  <c r="H18" i="527"/>
  <c r="H17" i="527"/>
  <c r="H16" i="527"/>
  <c r="H15" i="527"/>
  <c r="H14" i="527"/>
  <c r="H13" i="527"/>
  <c r="H12" i="527"/>
  <c r="H11" i="527"/>
  <c r="H10" i="527"/>
  <c r="H9" i="527"/>
  <c r="H8" i="527"/>
  <c r="H7" i="527"/>
  <c r="H6" i="527"/>
  <c r="G23" i="526"/>
  <c r="F23" i="526"/>
  <c r="E23" i="526"/>
  <c r="C23" i="526"/>
  <c r="D23" i="526"/>
  <c r="H22" i="526"/>
  <c r="H21" i="526"/>
  <c r="H20" i="526"/>
  <c r="H19" i="526"/>
  <c r="H18" i="526"/>
  <c r="H17" i="526"/>
  <c r="H16" i="526"/>
  <c r="H15" i="526"/>
  <c r="H14" i="526"/>
  <c r="H13" i="526"/>
  <c r="H12" i="526"/>
  <c r="H11" i="526"/>
  <c r="H10" i="526"/>
  <c r="H9" i="526"/>
  <c r="H8" i="526"/>
  <c r="H7" i="526"/>
  <c r="H6" i="526"/>
  <c r="G23" i="525"/>
  <c r="F23" i="525"/>
  <c r="E23" i="525"/>
  <c r="D23" i="525"/>
  <c r="F25" i="525"/>
  <c r="C23" i="525"/>
  <c r="H22" i="525"/>
  <c r="H21" i="525"/>
  <c r="H20" i="525"/>
  <c r="H19" i="525"/>
  <c r="H18" i="525"/>
  <c r="H17" i="525"/>
  <c r="H16" i="525"/>
  <c r="H15" i="525"/>
  <c r="H14" i="525"/>
  <c r="H13" i="525"/>
  <c r="H12" i="525"/>
  <c r="H11" i="525"/>
  <c r="H10" i="525"/>
  <c r="H9" i="525"/>
  <c r="H8" i="525"/>
  <c r="H7" i="525"/>
  <c r="H6" i="525"/>
  <c r="G23" i="524"/>
  <c r="C23" i="524"/>
  <c r="E23" i="524"/>
  <c r="F23" i="524"/>
  <c r="D23" i="524"/>
  <c r="H22" i="524"/>
  <c r="H21" i="524"/>
  <c r="H20" i="524"/>
  <c r="H19" i="524"/>
  <c r="H18" i="524"/>
  <c r="H17" i="524"/>
  <c r="H16" i="524"/>
  <c r="H15" i="524"/>
  <c r="H14" i="524"/>
  <c r="H13" i="524"/>
  <c r="H12" i="524"/>
  <c r="H11" i="524"/>
  <c r="H10" i="524"/>
  <c r="H9" i="524"/>
  <c r="H8" i="524"/>
  <c r="H7" i="524"/>
  <c r="H6" i="524"/>
  <c r="G23" i="523"/>
  <c r="C23" i="523"/>
  <c r="E23" i="523"/>
  <c r="F23" i="523"/>
  <c r="D23" i="523"/>
  <c r="H22" i="523"/>
  <c r="H21" i="523"/>
  <c r="H20" i="523"/>
  <c r="H19" i="523"/>
  <c r="H18" i="523"/>
  <c r="H17" i="523"/>
  <c r="H16" i="523"/>
  <c r="H15" i="523"/>
  <c r="H14" i="523"/>
  <c r="H13" i="523"/>
  <c r="H12" i="523"/>
  <c r="H11" i="523"/>
  <c r="H10" i="523"/>
  <c r="H9" i="523"/>
  <c r="H8" i="523"/>
  <c r="H7" i="523"/>
  <c r="H6" i="523"/>
  <c r="G23" i="522"/>
  <c r="F23" i="522"/>
  <c r="D23" i="522"/>
  <c r="E23" i="522"/>
  <c r="C23" i="522"/>
  <c r="H22" i="522"/>
  <c r="H21" i="522"/>
  <c r="H20" i="522"/>
  <c r="H19" i="522"/>
  <c r="H18" i="522"/>
  <c r="H17" i="522"/>
  <c r="H16" i="522"/>
  <c r="H15" i="522"/>
  <c r="H14" i="522"/>
  <c r="H13" i="522"/>
  <c r="H12" i="522"/>
  <c r="H11" i="522"/>
  <c r="H10" i="522"/>
  <c r="H9" i="522"/>
  <c r="H8" i="522"/>
  <c r="H7" i="522"/>
  <c r="H6" i="522"/>
  <c r="G23" i="521"/>
  <c r="F23" i="521"/>
  <c r="E23" i="521"/>
  <c r="C23" i="521"/>
  <c r="D23" i="521"/>
  <c r="H22" i="521"/>
  <c r="H21" i="521"/>
  <c r="H20" i="521"/>
  <c r="H19" i="521"/>
  <c r="H18" i="521"/>
  <c r="H17" i="521"/>
  <c r="H16" i="521"/>
  <c r="H15" i="521"/>
  <c r="H14" i="521"/>
  <c r="H13" i="521"/>
  <c r="H12" i="521"/>
  <c r="H11" i="521"/>
  <c r="H10" i="521"/>
  <c r="H9" i="521"/>
  <c r="H8" i="521"/>
  <c r="H7" i="521"/>
  <c r="H6" i="521"/>
  <c r="G23" i="520"/>
  <c r="F23" i="520"/>
  <c r="E23" i="520"/>
  <c r="D23" i="520"/>
  <c r="C23" i="520"/>
  <c r="H22" i="520"/>
  <c r="H21" i="520"/>
  <c r="H20" i="520"/>
  <c r="H19" i="520"/>
  <c r="H18" i="520"/>
  <c r="H17" i="520"/>
  <c r="H16" i="520"/>
  <c r="H15" i="520"/>
  <c r="H14" i="520"/>
  <c r="H13" i="520"/>
  <c r="H12" i="520"/>
  <c r="H11" i="520"/>
  <c r="H10" i="520"/>
  <c r="H9" i="520"/>
  <c r="H8" i="520"/>
  <c r="H7" i="520"/>
  <c r="H6" i="520"/>
  <c r="G23" i="519"/>
  <c r="F23" i="519"/>
  <c r="E23" i="519"/>
  <c r="D23" i="519"/>
  <c r="C23" i="519"/>
  <c r="H22" i="519"/>
  <c r="H21" i="519"/>
  <c r="H20" i="519"/>
  <c r="H19" i="519"/>
  <c r="H18" i="519"/>
  <c r="H17" i="519"/>
  <c r="H16" i="519"/>
  <c r="H15" i="519"/>
  <c r="H14" i="519"/>
  <c r="H13" i="519"/>
  <c r="H12" i="519"/>
  <c r="H11" i="519"/>
  <c r="H10" i="519"/>
  <c r="H9" i="519"/>
  <c r="H8" i="519"/>
  <c r="H7" i="519"/>
  <c r="H6" i="519"/>
  <c r="G23" i="518"/>
  <c r="F23" i="518"/>
  <c r="F25" i="518"/>
  <c r="E23" i="518"/>
  <c r="D23" i="518"/>
  <c r="C23" i="518"/>
  <c r="H22" i="518"/>
  <c r="H21" i="518"/>
  <c r="H20" i="518"/>
  <c r="H19" i="518"/>
  <c r="H18" i="518"/>
  <c r="H17" i="518"/>
  <c r="H16" i="518"/>
  <c r="H15" i="518"/>
  <c r="H14" i="518"/>
  <c r="H13" i="518"/>
  <c r="H12" i="518"/>
  <c r="H11" i="518"/>
  <c r="H10" i="518"/>
  <c r="H9" i="518"/>
  <c r="H8" i="518"/>
  <c r="H7" i="518"/>
  <c r="H6" i="518"/>
  <c r="G23" i="517"/>
  <c r="F23" i="517"/>
  <c r="E23" i="517"/>
  <c r="D23" i="517"/>
  <c r="C23" i="517"/>
  <c r="H22" i="517"/>
  <c r="H21" i="517"/>
  <c r="H20" i="517"/>
  <c r="H19" i="517"/>
  <c r="H18" i="517"/>
  <c r="H17" i="517"/>
  <c r="H16" i="517"/>
  <c r="H15" i="517"/>
  <c r="H14" i="517"/>
  <c r="H13" i="517"/>
  <c r="H12" i="517"/>
  <c r="H11" i="517"/>
  <c r="H10" i="517"/>
  <c r="H9" i="517"/>
  <c r="H8" i="517"/>
  <c r="H7" i="517"/>
  <c r="H6" i="517"/>
  <c r="G23" i="516"/>
  <c r="C23" i="516"/>
  <c r="E23" i="516"/>
  <c r="F23" i="516"/>
  <c r="D23" i="516"/>
  <c r="F25" i="516"/>
  <c r="H22" i="516"/>
  <c r="H21" i="516"/>
  <c r="H20" i="516"/>
  <c r="H19" i="516"/>
  <c r="H18" i="516"/>
  <c r="H17" i="516"/>
  <c r="H16" i="516"/>
  <c r="H15" i="516"/>
  <c r="H14" i="516"/>
  <c r="H13" i="516"/>
  <c r="H12" i="516"/>
  <c r="H11" i="516"/>
  <c r="H10" i="516"/>
  <c r="H9" i="516"/>
  <c r="H8" i="516"/>
  <c r="H7" i="516"/>
  <c r="H6" i="516"/>
  <c r="G23" i="515"/>
  <c r="F23" i="515"/>
  <c r="E23" i="515"/>
  <c r="C23" i="515"/>
  <c r="D23" i="515"/>
  <c r="H22" i="515"/>
  <c r="H21" i="515"/>
  <c r="H20" i="515"/>
  <c r="H19" i="515"/>
  <c r="H18" i="515"/>
  <c r="H17" i="515"/>
  <c r="H16" i="515"/>
  <c r="H15" i="515"/>
  <c r="H14" i="515"/>
  <c r="H13" i="515"/>
  <c r="H12" i="515"/>
  <c r="H11" i="515"/>
  <c r="H10" i="515"/>
  <c r="H9" i="515"/>
  <c r="H8" i="515"/>
  <c r="H7" i="515"/>
  <c r="H6" i="515"/>
  <c r="G23" i="514"/>
  <c r="F23" i="514"/>
  <c r="F25" i="514"/>
  <c r="E23" i="514"/>
  <c r="D23" i="514"/>
  <c r="C23" i="514"/>
  <c r="H22" i="514"/>
  <c r="H21" i="514"/>
  <c r="H20" i="514"/>
  <c r="H19" i="514"/>
  <c r="H18" i="514"/>
  <c r="H17" i="514"/>
  <c r="H16" i="514"/>
  <c r="H15" i="514"/>
  <c r="H14" i="514"/>
  <c r="H13" i="514"/>
  <c r="H12" i="514"/>
  <c r="H11" i="514"/>
  <c r="H10" i="514"/>
  <c r="H9" i="514"/>
  <c r="H8" i="514"/>
  <c r="H7" i="514"/>
  <c r="H6" i="514"/>
  <c r="G23" i="513"/>
  <c r="F23" i="513"/>
  <c r="E23" i="513"/>
  <c r="D23" i="513"/>
  <c r="C23" i="513"/>
  <c r="H22" i="513"/>
  <c r="H21" i="513"/>
  <c r="H20" i="513"/>
  <c r="H19" i="513"/>
  <c r="H18" i="513"/>
  <c r="H17" i="513"/>
  <c r="H16" i="513"/>
  <c r="H15" i="513"/>
  <c r="H14" i="513"/>
  <c r="H13" i="513"/>
  <c r="H12" i="513"/>
  <c r="H11" i="513"/>
  <c r="H10" i="513"/>
  <c r="H9" i="513"/>
  <c r="H8" i="513"/>
  <c r="H7" i="513"/>
  <c r="H6" i="513"/>
  <c r="G23" i="512"/>
  <c r="C23" i="512"/>
  <c r="E23" i="512"/>
  <c r="F23" i="512"/>
  <c r="D23" i="512"/>
  <c r="H22" i="512"/>
  <c r="H21" i="512"/>
  <c r="H20" i="512"/>
  <c r="H19" i="512"/>
  <c r="H18" i="512"/>
  <c r="H17" i="512"/>
  <c r="H16" i="512"/>
  <c r="H15" i="512"/>
  <c r="H14" i="512"/>
  <c r="H13" i="512"/>
  <c r="H12" i="512"/>
  <c r="H11" i="512"/>
  <c r="H10" i="512"/>
  <c r="H9" i="512"/>
  <c r="H8" i="512"/>
  <c r="H7" i="512"/>
  <c r="H6" i="512"/>
  <c r="G23" i="511"/>
  <c r="F23" i="511"/>
  <c r="E23" i="511"/>
  <c r="D23" i="511"/>
  <c r="C23" i="511"/>
  <c r="H22" i="511"/>
  <c r="H21" i="511"/>
  <c r="H20" i="511"/>
  <c r="H19" i="511"/>
  <c r="H18" i="511"/>
  <c r="H17" i="511"/>
  <c r="H16" i="511"/>
  <c r="H15" i="511"/>
  <c r="H14" i="511"/>
  <c r="H13" i="511"/>
  <c r="H12" i="511"/>
  <c r="H11" i="511"/>
  <c r="H10" i="511"/>
  <c r="H9" i="511"/>
  <c r="H8" i="511"/>
  <c r="H7" i="511"/>
  <c r="H6" i="511"/>
  <c r="G23" i="510"/>
  <c r="F23" i="510"/>
  <c r="E23" i="510"/>
  <c r="D23" i="510"/>
  <c r="C23" i="510"/>
  <c r="H22" i="510"/>
  <c r="H21" i="510"/>
  <c r="H20" i="510"/>
  <c r="H19" i="510"/>
  <c r="H18" i="510"/>
  <c r="H17" i="510"/>
  <c r="H16" i="510"/>
  <c r="H15" i="510"/>
  <c r="H14" i="510"/>
  <c r="H13" i="510"/>
  <c r="H12" i="510"/>
  <c r="H11" i="510"/>
  <c r="H10" i="510"/>
  <c r="H9" i="510"/>
  <c r="H8" i="510"/>
  <c r="H7" i="510"/>
  <c r="H6" i="510"/>
  <c r="G23" i="509"/>
  <c r="C23" i="509"/>
  <c r="E23" i="509"/>
  <c r="F23" i="509"/>
  <c r="D23" i="509"/>
  <c r="H22" i="509"/>
  <c r="H21" i="509"/>
  <c r="H20" i="509"/>
  <c r="H19" i="509"/>
  <c r="H18" i="509"/>
  <c r="H17" i="509"/>
  <c r="H16" i="509"/>
  <c r="H15" i="509"/>
  <c r="H14" i="509"/>
  <c r="H13" i="509"/>
  <c r="H12" i="509"/>
  <c r="H11" i="509"/>
  <c r="H10" i="509"/>
  <c r="H9" i="509"/>
  <c r="H8" i="509"/>
  <c r="H7" i="509"/>
  <c r="H6" i="509"/>
  <c r="G23" i="508"/>
  <c r="C23" i="508"/>
  <c r="E23" i="508"/>
  <c r="F23" i="508"/>
  <c r="D23" i="508"/>
  <c r="H22" i="508"/>
  <c r="H21" i="508"/>
  <c r="H20" i="508"/>
  <c r="H19" i="508"/>
  <c r="H18" i="508"/>
  <c r="H17" i="508"/>
  <c r="H16" i="508"/>
  <c r="H15" i="508"/>
  <c r="H14" i="508"/>
  <c r="H13" i="508"/>
  <c r="H12" i="508"/>
  <c r="H11" i="508"/>
  <c r="H10" i="508"/>
  <c r="H9" i="508"/>
  <c r="H8" i="508"/>
  <c r="H7" i="508"/>
  <c r="H6" i="508"/>
  <c r="G23" i="507"/>
  <c r="F23" i="507"/>
  <c r="D23" i="507"/>
  <c r="E23" i="507"/>
  <c r="C23" i="507"/>
  <c r="H22" i="507"/>
  <c r="H21" i="507"/>
  <c r="H20" i="507"/>
  <c r="H19" i="507"/>
  <c r="H18" i="507"/>
  <c r="H17" i="507"/>
  <c r="H16" i="507"/>
  <c r="H15" i="507"/>
  <c r="H14" i="507"/>
  <c r="H13" i="507"/>
  <c r="H12" i="507"/>
  <c r="H11" i="507"/>
  <c r="H10" i="507"/>
  <c r="H9" i="507"/>
  <c r="H8" i="507"/>
  <c r="H7" i="507"/>
  <c r="H6" i="507"/>
  <c r="G23" i="506"/>
  <c r="F23" i="506"/>
  <c r="E23" i="506"/>
  <c r="D23" i="506"/>
  <c r="C23" i="506"/>
  <c r="H22" i="506"/>
  <c r="H21" i="506"/>
  <c r="H20" i="506"/>
  <c r="H19" i="506"/>
  <c r="H18" i="506"/>
  <c r="H17" i="506"/>
  <c r="H16" i="506"/>
  <c r="H15" i="506"/>
  <c r="H14" i="506"/>
  <c r="H13" i="506"/>
  <c r="H12" i="506"/>
  <c r="H11" i="506"/>
  <c r="H10" i="506"/>
  <c r="H9" i="506"/>
  <c r="H8" i="506"/>
  <c r="H7" i="506"/>
  <c r="H6" i="506"/>
  <c r="G23" i="505"/>
  <c r="F23" i="505"/>
  <c r="E23" i="505"/>
  <c r="D23" i="505"/>
  <c r="F25" i="505"/>
  <c r="C23" i="505"/>
  <c r="H22" i="505"/>
  <c r="H21" i="505"/>
  <c r="H20" i="505"/>
  <c r="H19" i="505"/>
  <c r="H18" i="505"/>
  <c r="H17" i="505"/>
  <c r="H16" i="505"/>
  <c r="H15" i="505"/>
  <c r="H14" i="505"/>
  <c r="H13" i="505"/>
  <c r="H12" i="505"/>
  <c r="H11" i="505"/>
  <c r="H10" i="505"/>
  <c r="H9" i="505"/>
  <c r="H8" i="505"/>
  <c r="H7" i="505"/>
  <c r="H6" i="505"/>
  <c r="G23" i="504"/>
  <c r="F23" i="504"/>
  <c r="D23" i="504"/>
  <c r="E23" i="504"/>
  <c r="C23" i="504"/>
  <c r="H22" i="504"/>
  <c r="H21" i="504"/>
  <c r="H20" i="504"/>
  <c r="H19" i="504"/>
  <c r="H18" i="504"/>
  <c r="H17" i="504"/>
  <c r="H16" i="504"/>
  <c r="H15" i="504"/>
  <c r="H14" i="504"/>
  <c r="H13" i="504"/>
  <c r="H12" i="504"/>
  <c r="H11" i="504"/>
  <c r="H10" i="504"/>
  <c r="H9" i="504"/>
  <c r="H8" i="504"/>
  <c r="H7" i="504"/>
  <c r="H6" i="504"/>
  <c r="G23" i="503"/>
  <c r="F23" i="503"/>
  <c r="E23" i="503"/>
  <c r="D23" i="503"/>
  <c r="C23" i="503"/>
  <c r="H22" i="503"/>
  <c r="H21" i="503"/>
  <c r="H20" i="503"/>
  <c r="H19" i="503"/>
  <c r="H18" i="503"/>
  <c r="H17" i="503"/>
  <c r="H16" i="503"/>
  <c r="H15" i="503"/>
  <c r="H14" i="503"/>
  <c r="H13" i="503"/>
  <c r="H12" i="503"/>
  <c r="H11" i="503"/>
  <c r="H10" i="503"/>
  <c r="H9" i="503"/>
  <c r="H8" i="503"/>
  <c r="H7" i="503"/>
  <c r="H6" i="503"/>
  <c r="G23" i="502"/>
  <c r="F23" i="502"/>
  <c r="F25" i="502"/>
  <c r="E23" i="502"/>
  <c r="D23" i="502"/>
  <c r="C23" i="502"/>
  <c r="H22" i="502"/>
  <c r="H21" i="502"/>
  <c r="H20" i="502"/>
  <c r="H19" i="502"/>
  <c r="H18" i="502"/>
  <c r="H17" i="502"/>
  <c r="H16" i="502"/>
  <c r="H15" i="502"/>
  <c r="H14" i="502"/>
  <c r="H13" i="502"/>
  <c r="H12" i="502"/>
  <c r="H11" i="502"/>
  <c r="H10" i="502"/>
  <c r="H9" i="502"/>
  <c r="H8" i="502"/>
  <c r="H7" i="502"/>
  <c r="H6" i="502"/>
  <c r="G23" i="501"/>
  <c r="F23" i="501"/>
  <c r="E23" i="501"/>
  <c r="D23" i="501"/>
  <c r="F25" i="501"/>
  <c r="C23" i="501"/>
  <c r="H22" i="501"/>
  <c r="H21" i="501"/>
  <c r="H20" i="501"/>
  <c r="H19" i="501"/>
  <c r="H18" i="501"/>
  <c r="H17" i="501"/>
  <c r="H16" i="501"/>
  <c r="H15" i="501"/>
  <c r="H14" i="501"/>
  <c r="H13" i="501"/>
  <c r="H12" i="501"/>
  <c r="H11" i="501"/>
  <c r="H10" i="501"/>
  <c r="H9" i="501"/>
  <c r="H8" i="501"/>
  <c r="H7" i="501"/>
  <c r="H6" i="501"/>
  <c r="G23" i="500"/>
  <c r="C23" i="500"/>
  <c r="E23" i="500"/>
  <c r="F23" i="500"/>
  <c r="D23" i="500"/>
  <c r="F25" i="500"/>
  <c r="H22" i="500"/>
  <c r="H21" i="500"/>
  <c r="H20" i="500"/>
  <c r="H19" i="500"/>
  <c r="H18" i="500"/>
  <c r="H17" i="500"/>
  <c r="H16" i="500"/>
  <c r="H15" i="500"/>
  <c r="H14" i="500"/>
  <c r="H13" i="500"/>
  <c r="H12" i="500"/>
  <c r="H11" i="500"/>
  <c r="H10" i="500"/>
  <c r="H9" i="500"/>
  <c r="H8" i="500"/>
  <c r="H7" i="500"/>
  <c r="H6" i="500"/>
  <c r="G23" i="491"/>
  <c r="F23" i="491"/>
  <c r="E23" i="491"/>
  <c r="C23" i="491"/>
  <c r="D23" i="491"/>
  <c r="H22" i="491"/>
  <c r="H21" i="491"/>
  <c r="H20" i="491"/>
  <c r="H19" i="491"/>
  <c r="H18" i="491"/>
  <c r="H17" i="491"/>
  <c r="H16" i="491"/>
  <c r="H15" i="491"/>
  <c r="H14" i="491"/>
  <c r="H13" i="491"/>
  <c r="H12" i="491"/>
  <c r="H11" i="491"/>
  <c r="H10" i="491"/>
  <c r="H9" i="491"/>
  <c r="H8" i="491"/>
  <c r="H7" i="491"/>
  <c r="H6" i="491"/>
  <c r="G23" i="489"/>
  <c r="F23" i="489"/>
  <c r="F25" i="489"/>
  <c r="E23" i="489"/>
  <c r="D23" i="489"/>
  <c r="C23" i="489"/>
  <c r="H22" i="489"/>
  <c r="H21" i="489"/>
  <c r="H20" i="489"/>
  <c r="H19" i="489"/>
  <c r="H18" i="489"/>
  <c r="H17" i="489"/>
  <c r="H16" i="489"/>
  <c r="H15" i="489"/>
  <c r="H14" i="489"/>
  <c r="H13" i="489"/>
  <c r="H12" i="489"/>
  <c r="H11" i="489"/>
  <c r="H10" i="489"/>
  <c r="H9" i="489"/>
  <c r="H8" i="489"/>
  <c r="H7" i="489"/>
  <c r="H6" i="489"/>
  <c r="G23" i="499"/>
  <c r="F23" i="499"/>
  <c r="E23" i="499"/>
  <c r="D23" i="499"/>
  <c r="F25" i="499"/>
  <c r="C23" i="499"/>
  <c r="H22" i="499"/>
  <c r="H21" i="499"/>
  <c r="H20" i="499"/>
  <c r="H19" i="499"/>
  <c r="H18" i="499"/>
  <c r="H17" i="499"/>
  <c r="H16" i="499"/>
  <c r="H15" i="499"/>
  <c r="H14" i="499"/>
  <c r="H13" i="499"/>
  <c r="H12" i="499"/>
  <c r="H11" i="499"/>
  <c r="H10" i="499"/>
  <c r="H9" i="499"/>
  <c r="H8" i="499"/>
  <c r="H7" i="499"/>
  <c r="H6" i="499"/>
  <c r="G23" i="498"/>
  <c r="C23" i="498"/>
  <c r="E23" i="498"/>
  <c r="F23" i="498"/>
  <c r="D23" i="498"/>
  <c r="F25" i="498"/>
  <c r="H22" i="498"/>
  <c r="H21" i="498"/>
  <c r="H20" i="498"/>
  <c r="H19" i="498"/>
  <c r="H18" i="498"/>
  <c r="H17" i="498"/>
  <c r="H16" i="498"/>
  <c r="H15" i="498"/>
  <c r="H14" i="498"/>
  <c r="H13" i="498"/>
  <c r="H12" i="498"/>
  <c r="H11" i="498"/>
  <c r="H10" i="498"/>
  <c r="H9" i="498"/>
  <c r="H8" i="498"/>
  <c r="H7" i="498"/>
  <c r="H6" i="498"/>
  <c r="G23" i="497"/>
  <c r="F23" i="497"/>
  <c r="E23" i="497"/>
  <c r="C23" i="497"/>
  <c r="D23" i="497"/>
  <c r="H22" i="497"/>
  <c r="H21" i="497"/>
  <c r="H20" i="497"/>
  <c r="H19" i="497"/>
  <c r="H18" i="497"/>
  <c r="H17" i="497"/>
  <c r="H16" i="497"/>
  <c r="H15" i="497"/>
  <c r="H14" i="497"/>
  <c r="H13" i="497"/>
  <c r="H12" i="497"/>
  <c r="H11" i="497"/>
  <c r="H10" i="497"/>
  <c r="H9" i="497"/>
  <c r="H8" i="497"/>
  <c r="H7" i="497"/>
  <c r="H6" i="497"/>
  <c r="G23" i="496"/>
  <c r="C23" i="496"/>
  <c r="E23" i="496"/>
  <c r="F23" i="496"/>
  <c r="D23" i="496"/>
  <c r="H22" i="496"/>
  <c r="H21" i="496"/>
  <c r="H20" i="496"/>
  <c r="H19" i="496"/>
  <c r="H18" i="496"/>
  <c r="H17" i="496"/>
  <c r="H16" i="496"/>
  <c r="H15" i="496"/>
  <c r="H14" i="496"/>
  <c r="H13" i="496"/>
  <c r="H12" i="496"/>
  <c r="H11" i="496"/>
  <c r="H10" i="496"/>
  <c r="H9" i="496"/>
  <c r="H8" i="496"/>
  <c r="H7" i="496"/>
  <c r="H6" i="496"/>
  <c r="G23" i="495"/>
  <c r="F23" i="495"/>
  <c r="E23" i="495"/>
  <c r="D23" i="495"/>
  <c r="F25" i="495"/>
  <c r="C23" i="495"/>
  <c r="H22" i="495"/>
  <c r="H21" i="495"/>
  <c r="H20" i="495"/>
  <c r="H19" i="495"/>
  <c r="H18" i="495"/>
  <c r="H17" i="495"/>
  <c r="H16" i="495"/>
  <c r="H15" i="495"/>
  <c r="H14" i="495"/>
  <c r="H13" i="495"/>
  <c r="H12" i="495"/>
  <c r="H11" i="495"/>
  <c r="H10" i="495"/>
  <c r="H9" i="495"/>
  <c r="H8" i="495"/>
  <c r="H7" i="495"/>
  <c r="H6" i="495"/>
  <c r="G23" i="494"/>
  <c r="C23" i="494"/>
  <c r="E23" i="494"/>
  <c r="F23" i="494"/>
  <c r="D23" i="494"/>
  <c r="F25" i="494"/>
  <c r="H22" i="494"/>
  <c r="H21" i="494"/>
  <c r="H20" i="494"/>
  <c r="H19" i="494"/>
  <c r="H18" i="494"/>
  <c r="H17" i="494"/>
  <c r="H16" i="494"/>
  <c r="H15" i="494"/>
  <c r="H14" i="494"/>
  <c r="H13" i="494"/>
  <c r="H12" i="494"/>
  <c r="H11" i="494"/>
  <c r="H10" i="494"/>
  <c r="H9" i="494"/>
  <c r="H8" i="494"/>
  <c r="H7" i="494"/>
  <c r="H6" i="494"/>
  <c r="G23" i="493"/>
  <c r="F23" i="493"/>
  <c r="D23" i="493"/>
  <c r="E23" i="493"/>
  <c r="C23" i="493"/>
  <c r="H22" i="493"/>
  <c r="H21" i="493"/>
  <c r="H20" i="493"/>
  <c r="H19" i="493"/>
  <c r="H18" i="493"/>
  <c r="H17" i="493"/>
  <c r="H16" i="493"/>
  <c r="H15" i="493"/>
  <c r="H14" i="493"/>
  <c r="H13" i="493"/>
  <c r="H12" i="493"/>
  <c r="H11" i="493"/>
  <c r="H10" i="493"/>
  <c r="H9" i="493"/>
  <c r="H8" i="493"/>
  <c r="H7" i="493"/>
  <c r="H6" i="493"/>
  <c r="C23" i="490"/>
  <c r="D23" i="490"/>
  <c r="F25" i="490"/>
  <c r="E23" i="490"/>
  <c r="F23" i="490"/>
  <c r="G23" i="490"/>
  <c r="H22" i="490"/>
  <c r="H21" i="490"/>
  <c r="H20" i="490"/>
  <c r="H19" i="490"/>
  <c r="H18" i="490"/>
  <c r="H17" i="490"/>
  <c r="H16" i="490"/>
  <c r="H15" i="490"/>
  <c r="H14" i="490"/>
  <c r="H13" i="490"/>
  <c r="H12" i="490"/>
  <c r="H11" i="490"/>
  <c r="H10" i="490"/>
  <c r="H9" i="490"/>
  <c r="H8" i="490"/>
  <c r="H7" i="490"/>
  <c r="H6" i="490"/>
  <c r="G23" i="488"/>
  <c r="F23" i="488"/>
  <c r="E23" i="488"/>
  <c r="D23" i="488"/>
  <c r="F25" i="488"/>
  <c r="C23" i="488"/>
  <c r="H22" i="488"/>
  <c r="H21" i="488"/>
  <c r="H20" i="488"/>
  <c r="H19" i="488"/>
  <c r="H18" i="488"/>
  <c r="H17" i="488"/>
  <c r="H16" i="488"/>
  <c r="H15" i="488"/>
  <c r="H14" i="488"/>
  <c r="H13" i="488"/>
  <c r="H12" i="488"/>
  <c r="H11" i="488"/>
  <c r="H10" i="488"/>
  <c r="H9" i="488"/>
  <c r="H8" i="488"/>
  <c r="H7" i="488"/>
  <c r="H6" i="488"/>
  <c r="G23" i="486"/>
  <c r="C23" i="486"/>
  <c r="E23" i="486"/>
  <c r="F23" i="486"/>
  <c r="D23" i="486"/>
  <c r="F25" i="486"/>
  <c r="H22" i="486"/>
  <c r="H21" i="486"/>
  <c r="H20" i="486"/>
  <c r="H19" i="486"/>
  <c r="H18" i="486"/>
  <c r="H17" i="486"/>
  <c r="H16" i="486"/>
  <c r="H15" i="486"/>
  <c r="H14" i="486"/>
  <c r="H13" i="486"/>
  <c r="H12" i="486"/>
  <c r="H11" i="486"/>
  <c r="H10" i="486"/>
  <c r="H9" i="486"/>
  <c r="H8" i="486"/>
  <c r="H7" i="486"/>
  <c r="H6" i="486"/>
  <c r="G23" i="485"/>
  <c r="F23" i="485"/>
  <c r="D23" i="485"/>
  <c r="E23" i="485"/>
  <c r="C23" i="485"/>
  <c r="H22" i="485"/>
  <c r="H21" i="485"/>
  <c r="H20" i="485"/>
  <c r="H19" i="485"/>
  <c r="H18" i="485"/>
  <c r="H17" i="485"/>
  <c r="H16" i="485"/>
  <c r="H15" i="485"/>
  <c r="H14" i="485"/>
  <c r="H13" i="485"/>
  <c r="H12" i="485"/>
  <c r="H11" i="485"/>
  <c r="H10" i="485"/>
  <c r="H9" i="485"/>
  <c r="H8" i="485"/>
  <c r="H7" i="485"/>
  <c r="H6" i="485"/>
  <c r="G22" i="484"/>
  <c r="F22" i="484"/>
  <c r="E22" i="484"/>
  <c r="D22" i="484"/>
  <c r="C22" i="484"/>
  <c r="H21" i="484"/>
  <c r="H20" i="484"/>
  <c r="H19" i="484"/>
  <c r="H18" i="484"/>
  <c r="H17" i="484"/>
  <c r="H16" i="484"/>
  <c r="H15" i="484"/>
  <c r="H14" i="484"/>
  <c r="H13" i="484"/>
  <c r="H12" i="484"/>
  <c r="H11" i="484"/>
  <c r="H10" i="484"/>
  <c r="H9" i="484"/>
  <c r="H8" i="484"/>
  <c r="H7" i="484"/>
  <c r="H6" i="484"/>
  <c r="G22" i="483"/>
  <c r="F22" i="483"/>
  <c r="E22" i="483"/>
  <c r="D22" i="483"/>
  <c r="C22" i="483"/>
  <c r="H21" i="483"/>
  <c r="H20" i="483"/>
  <c r="H19" i="483"/>
  <c r="H18" i="483"/>
  <c r="H17" i="483"/>
  <c r="H16" i="483"/>
  <c r="H15" i="483"/>
  <c r="H14" i="483"/>
  <c r="H13" i="483"/>
  <c r="H12" i="483"/>
  <c r="H11" i="483"/>
  <c r="H10" i="483"/>
  <c r="H9" i="483"/>
  <c r="H8" i="483"/>
  <c r="H7" i="483"/>
  <c r="H6" i="483"/>
  <c r="G22" i="482"/>
  <c r="F22" i="482"/>
  <c r="D22" i="482"/>
  <c r="E22" i="482"/>
  <c r="C22" i="482"/>
  <c r="H21" i="482"/>
  <c r="H20" i="482"/>
  <c r="H19" i="482"/>
  <c r="H18" i="482"/>
  <c r="H17" i="482"/>
  <c r="H16" i="482"/>
  <c r="H15" i="482"/>
  <c r="H14" i="482"/>
  <c r="H13" i="482"/>
  <c r="H12" i="482"/>
  <c r="H11" i="482"/>
  <c r="H10" i="482"/>
  <c r="H9" i="482"/>
  <c r="H8" i="482"/>
  <c r="H7" i="482"/>
  <c r="H6" i="482"/>
  <c r="G22" i="481"/>
  <c r="F22" i="481"/>
  <c r="E22" i="481"/>
  <c r="D24" i="481"/>
  <c r="D22" i="481"/>
  <c r="C22" i="481"/>
  <c r="H21" i="481"/>
  <c r="H20" i="481"/>
  <c r="H19" i="481"/>
  <c r="H18" i="481"/>
  <c r="H17" i="481"/>
  <c r="H16" i="481"/>
  <c r="H15" i="481"/>
  <c r="H14" i="481"/>
  <c r="H13" i="481"/>
  <c r="H12" i="481"/>
  <c r="H11" i="481"/>
  <c r="H10" i="481"/>
  <c r="H9" i="481"/>
  <c r="H8" i="481"/>
  <c r="H7" i="481"/>
  <c r="H6" i="481"/>
  <c r="G22" i="480"/>
  <c r="C22" i="480"/>
  <c r="E22" i="480"/>
  <c r="F22" i="480"/>
  <c r="D22" i="480"/>
  <c r="H21" i="480"/>
  <c r="H20" i="480"/>
  <c r="H19" i="480"/>
  <c r="H18" i="480"/>
  <c r="H17" i="480"/>
  <c r="H16" i="480"/>
  <c r="H15" i="480"/>
  <c r="H14" i="480"/>
  <c r="H13" i="480"/>
  <c r="H12" i="480"/>
  <c r="H11" i="480"/>
  <c r="H10" i="480"/>
  <c r="H9" i="480"/>
  <c r="H8" i="480"/>
  <c r="H7" i="480"/>
  <c r="H6" i="480"/>
  <c r="G22" i="479"/>
  <c r="D24" i="479"/>
  <c r="F22" i="479"/>
  <c r="E22" i="479"/>
  <c r="D22" i="479"/>
  <c r="C22" i="479"/>
  <c r="H21" i="479"/>
  <c r="H20" i="479"/>
  <c r="H19" i="479"/>
  <c r="H18" i="479"/>
  <c r="H17" i="479"/>
  <c r="H16" i="479"/>
  <c r="H15" i="479"/>
  <c r="H14" i="479"/>
  <c r="H13" i="479"/>
  <c r="H12" i="479"/>
  <c r="H11" i="479"/>
  <c r="H10" i="479"/>
  <c r="H9" i="479"/>
  <c r="H8" i="479"/>
  <c r="H7" i="479"/>
  <c r="H6" i="479"/>
  <c r="G22" i="478"/>
  <c r="F22" i="478"/>
  <c r="E22" i="478"/>
  <c r="D22" i="478"/>
  <c r="F24" i="478"/>
  <c r="C22" i="478"/>
  <c r="H21" i="478"/>
  <c r="H20" i="478"/>
  <c r="H19" i="478"/>
  <c r="H18" i="478"/>
  <c r="H17" i="478"/>
  <c r="H16" i="478"/>
  <c r="H15" i="478"/>
  <c r="H14" i="478"/>
  <c r="H13" i="478"/>
  <c r="H12" i="478"/>
  <c r="H11" i="478"/>
  <c r="H10" i="478"/>
  <c r="H9" i="478"/>
  <c r="H8" i="478"/>
  <c r="H7" i="478"/>
  <c r="H6" i="478"/>
  <c r="G22" i="477"/>
  <c r="F22" i="477"/>
  <c r="D22" i="477"/>
  <c r="E22" i="477"/>
  <c r="C22" i="477"/>
  <c r="H21" i="477"/>
  <c r="H20" i="477"/>
  <c r="H19" i="477"/>
  <c r="H18" i="477"/>
  <c r="H17" i="477"/>
  <c r="H16" i="477"/>
  <c r="H15" i="477"/>
  <c r="H14" i="477"/>
  <c r="H13" i="477"/>
  <c r="H12" i="477"/>
  <c r="H11" i="477"/>
  <c r="H10" i="477"/>
  <c r="H9" i="477"/>
  <c r="H8" i="477"/>
  <c r="H7" i="477"/>
  <c r="H6" i="477"/>
  <c r="G22" i="476"/>
  <c r="C22" i="476"/>
  <c r="E22" i="476"/>
  <c r="F22" i="476"/>
  <c r="D22" i="476"/>
  <c r="H21" i="476"/>
  <c r="H20" i="476"/>
  <c r="H19" i="476"/>
  <c r="H18" i="476"/>
  <c r="H17" i="476"/>
  <c r="H16" i="476"/>
  <c r="H15" i="476"/>
  <c r="H14" i="476"/>
  <c r="H13" i="476"/>
  <c r="H12" i="476"/>
  <c r="H11" i="476"/>
  <c r="H10" i="476"/>
  <c r="H9" i="476"/>
  <c r="H8" i="476"/>
  <c r="H7" i="476"/>
  <c r="H6" i="476"/>
  <c r="G22" i="475"/>
  <c r="F22" i="475"/>
  <c r="E22" i="475"/>
  <c r="D22" i="475"/>
  <c r="C22" i="475"/>
  <c r="D24" i="475"/>
  <c r="H21" i="475"/>
  <c r="H20" i="475"/>
  <c r="H19" i="475"/>
  <c r="H18" i="475"/>
  <c r="H17" i="475"/>
  <c r="H16" i="475"/>
  <c r="H15" i="475"/>
  <c r="H14" i="475"/>
  <c r="H13" i="475"/>
  <c r="H12" i="475"/>
  <c r="H11" i="475"/>
  <c r="H10" i="475"/>
  <c r="H9" i="475"/>
  <c r="H8" i="475"/>
  <c r="H7" i="475"/>
  <c r="H6" i="475"/>
  <c r="G22" i="474"/>
  <c r="F22" i="474"/>
  <c r="D22" i="474"/>
  <c r="E22" i="474"/>
  <c r="C22" i="474"/>
  <c r="H21" i="474"/>
  <c r="H20" i="474"/>
  <c r="H19" i="474"/>
  <c r="H18" i="474"/>
  <c r="H17" i="474"/>
  <c r="H16" i="474"/>
  <c r="H15" i="474"/>
  <c r="H14" i="474"/>
  <c r="H13" i="474"/>
  <c r="H12" i="474"/>
  <c r="H11" i="474"/>
  <c r="H10" i="474"/>
  <c r="H9" i="474"/>
  <c r="H8" i="474"/>
  <c r="H7" i="474"/>
  <c r="H6" i="474"/>
  <c r="G22" i="473"/>
  <c r="F22" i="473"/>
  <c r="D22" i="473"/>
  <c r="E22" i="473"/>
  <c r="C22" i="473"/>
  <c r="H21" i="473"/>
  <c r="H20" i="473"/>
  <c r="H19" i="473"/>
  <c r="H18" i="473"/>
  <c r="H17" i="473"/>
  <c r="H16" i="473"/>
  <c r="H15" i="473"/>
  <c r="H14" i="473"/>
  <c r="H13" i="473"/>
  <c r="H12" i="473"/>
  <c r="H11" i="473"/>
  <c r="H10" i="473"/>
  <c r="H9" i="473"/>
  <c r="H8" i="473"/>
  <c r="H7" i="473"/>
  <c r="H6" i="473"/>
  <c r="G22" i="472"/>
  <c r="F22" i="472"/>
  <c r="E22" i="472"/>
  <c r="D22" i="472"/>
  <c r="C22" i="472"/>
  <c r="H21" i="472"/>
  <c r="H20" i="472"/>
  <c r="H19" i="472"/>
  <c r="H18" i="472"/>
  <c r="H17" i="472"/>
  <c r="H16" i="472"/>
  <c r="H15" i="472"/>
  <c r="H14" i="472"/>
  <c r="H13" i="472"/>
  <c r="H12" i="472"/>
  <c r="H11" i="472"/>
  <c r="H10" i="472"/>
  <c r="H9" i="472"/>
  <c r="H8" i="472"/>
  <c r="H7" i="472"/>
  <c r="H6" i="472"/>
  <c r="G22" i="471"/>
  <c r="D24" i="471"/>
  <c r="F22" i="471"/>
  <c r="E22" i="471"/>
  <c r="C22" i="471"/>
  <c r="D22" i="471"/>
  <c r="H21" i="471"/>
  <c r="H20" i="471"/>
  <c r="H19" i="471"/>
  <c r="H18" i="471"/>
  <c r="H17" i="471"/>
  <c r="H16" i="471"/>
  <c r="H15" i="471"/>
  <c r="H14" i="471"/>
  <c r="H13" i="471"/>
  <c r="H12" i="471"/>
  <c r="H11" i="471"/>
  <c r="H10" i="471"/>
  <c r="H9" i="471"/>
  <c r="H8" i="471"/>
  <c r="H7" i="471"/>
  <c r="H6" i="471"/>
  <c r="G22" i="470"/>
  <c r="C22" i="470"/>
  <c r="E22" i="470"/>
  <c r="F22" i="470"/>
  <c r="D22" i="470"/>
  <c r="H21" i="470"/>
  <c r="H20" i="470"/>
  <c r="H19" i="470"/>
  <c r="H18" i="470"/>
  <c r="H17" i="470"/>
  <c r="H16" i="470"/>
  <c r="H15" i="470"/>
  <c r="H14" i="470"/>
  <c r="H13" i="470"/>
  <c r="H12" i="470"/>
  <c r="H11" i="470"/>
  <c r="H10" i="470"/>
  <c r="H9" i="470"/>
  <c r="H8" i="470"/>
  <c r="H7" i="470"/>
  <c r="H6" i="470"/>
  <c r="G22" i="469"/>
  <c r="F22" i="469"/>
  <c r="D22" i="469"/>
  <c r="E22" i="469"/>
  <c r="C22" i="469"/>
  <c r="H21" i="469"/>
  <c r="H20" i="469"/>
  <c r="H19" i="469"/>
  <c r="H18" i="469"/>
  <c r="H17" i="469"/>
  <c r="H16" i="469"/>
  <c r="H15" i="469"/>
  <c r="H14" i="469"/>
  <c r="H13" i="469"/>
  <c r="H12" i="469"/>
  <c r="H11" i="469"/>
  <c r="H10" i="469"/>
  <c r="H9" i="469"/>
  <c r="H8" i="469"/>
  <c r="H7" i="469"/>
  <c r="H6" i="469"/>
  <c r="G22" i="468"/>
  <c r="F22" i="468"/>
  <c r="F24" i="468"/>
  <c r="D22" i="468"/>
  <c r="E22" i="468"/>
  <c r="C22" i="468"/>
  <c r="H21" i="468"/>
  <c r="H20" i="468"/>
  <c r="H19" i="468"/>
  <c r="H18" i="468"/>
  <c r="H17" i="468"/>
  <c r="H16" i="468"/>
  <c r="H15" i="468"/>
  <c r="H14" i="468"/>
  <c r="H13" i="468"/>
  <c r="H12" i="468"/>
  <c r="H11" i="468"/>
  <c r="H10" i="468"/>
  <c r="H9" i="468"/>
  <c r="H8" i="468"/>
  <c r="H7" i="468"/>
  <c r="H6" i="468"/>
  <c r="G22" i="467"/>
  <c r="F22" i="467"/>
  <c r="D22" i="467"/>
  <c r="E22" i="467"/>
  <c r="C22" i="467"/>
  <c r="H21" i="467"/>
  <c r="H20" i="467"/>
  <c r="H19" i="467"/>
  <c r="H18" i="467"/>
  <c r="H17" i="467"/>
  <c r="H16" i="467"/>
  <c r="H15" i="467"/>
  <c r="H14" i="467"/>
  <c r="H13" i="467"/>
  <c r="H12" i="467"/>
  <c r="H11" i="467"/>
  <c r="H10" i="467"/>
  <c r="H9" i="467"/>
  <c r="H8" i="467"/>
  <c r="H7" i="467"/>
  <c r="H6" i="467"/>
  <c r="G22" i="466"/>
  <c r="F22" i="466"/>
  <c r="E22" i="466"/>
  <c r="D22" i="466"/>
  <c r="C22" i="466"/>
  <c r="H21" i="466"/>
  <c r="H20" i="466"/>
  <c r="H19" i="466"/>
  <c r="H18" i="466"/>
  <c r="H17" i="466"/>
  <c r="H16" i="466"/>
  <c r="H15" i="466"/>
  <c r="H14" i="466"/>
  <c r="H13" i="466"/>
  <c r="H12" i="466"/>
  <c r="H11" i="466"/>
  <c r="H10" i="466"/>
  <c r="H9" i="466"/>
  <c r="H8" i="466"/>
  <c r="H7" i="466"/>
  <c r="H6" i="466"/>
  <c r="G22" i="464"/>
  <c r="F22" i="464"/>
  <c r="D22" i="464"/>
  <c r="E22" i="464"/>
  <c r="C22" i="464"/>
  <c r="H21" i="464"/>
  <c r="H20" i="464"/>
  <c r="H19" i="464"/>
  <c r="H18" i="464"/>
  <c r="H17" i="464"/>
  <c r="H16" i="464"/>
  <c r="H15" i="464"/>
  <c r="H14" i="464"/>
  <c r="H13" i="464"/>
  <c r="H12" i="464"/>
  <c r="H11" i="464"/>
  <c r="H10" i="464"/>
  <c r="H9" i="464"/>
  <c r="H8" i="464"/>
  <c r="H7" i="464"/>
  <c r="H6" i="464"/>
  <c r="G22" i="463"/>
  <c r="F22" i="463"/>
  <c r="E22" i="463"/>
  <c r="C22" i="463"/>
  <c r="D22" i="463"/>
  <c r="F24" i="463"/>
  <c r="H21" i="463"/>
  <c r="H20" i="463"/>
  <c r="H19" i="463"/>
  <c r="H18" i="463"/>
  <c r="H17" i="463"/>
  <c r="H16" i="463"/>
  <c r="H15" i="463"/>
  <c r="H14" i="463"/>
  <c r="H13" i="463"/>
  <c r="H12" i="463"/>
  <c r="H11" i="463"/>
  <c r="H10" i="463"/>
  <c r="H9" i="463"/>
  <c r="H8" i="463"/>
  <c r="H7" i="463"/>
  <c r="H6" i="463"/>
  <c r="G22" i="462"/>
  <c r="D24" i="462"/>
  <c r="C22" i="462"/>
  <c r="E22" i="462"/>
  <c r="F22" i="462"/>
  <c r="D22" i="462"/>
  <c r="H21" i="462"/>
  <c r="H20" i="462"/>
  <c r="H19" i="462"/>
  <c r="H18" i="462"/>
  <c r="H17" i="462"/>
  <c r="H16" i="462"/>
  <c r="H15" i="462"/>
  <c r="H14" i="462"/>
  <c r="H13" i="462"/>
  <c r="H12" i="462"/>
  <c r="H11" i="462"/>
  <c r="H10" i="462"/>
  <c r="H9" i="462"/>
  <c r="H8" i="462"/>
  <c r="H7" i="462"/>
  <c r="H6" i="462"/>
  <c r="G22" i="461"/>
  <c r="C22" i="461"/>
  <c r="E22" i="461"/>
  <c r="F22" i="461"/>
  <c r="F24" i="461"/>
  <c r="D22" i="461"/>
  <c r="H21" i="461"/>
  <c r="H20" i="461"/>
  <c r="H19" i="461"/>
  <c r="H18" i="461"/>
  <c r="H17" i="461"/>
  <c r="H16" i="461"/>
  <c r="H15" i="461"/>
  <c r="H14" i="461"/>
  <c r="H13" i="461"/>
  <c r="H12" i="461"/>
  <c r="H11" i="461"/>
  <c r="H10" i="461"/>
  <c r="H9" i="461"/>
  <c r="H8" i="461"/>
  <c r="H7" i="461"/>
  <c r="H6" i="461"/>
  <c r="G22" i="459"/>
  <c r="F22" i="459"/>
  <c r="D22" i="459"/>
  <c r="E22" i="459"/>
  <c r="C22" i="459"/>
  <c r="H21" i="459"/>
  <c r="H20" i="459"/>
  <c r="H19" i="459"/>
  <c r="H18" i="459"/>
  <c r="H17" i="459"/>
  <c r="H16" i="459"/>
  <c r="H15" i="459"/>
  <c r="H14" i="459"/>
  <c r="H13" i="459"/>
  <c r="H12" i="459"/>
  <c r="H11" i="459"/>
  <c r="H10" i="459"/>
  <c r="H9" i="459"/>
  <c r="H8" i="459"/>
  <c r="H7" i="459"/>
  <c r="H6" i="459"/>
  <c r="G22" i="458"/>
  <c r="C22" i="458"/>
  <c r="E22" i="458"/>
  <c r="F22" i="458"/>
  <c r="D22" i="458"/>
  <c r="H21" i="458"/>
  <c r="H20" i="458"/>
  <c r="H19" i="458"/>
  <c r="H18" i="458"/>
  <c r="H17" i="458"/>
  <c r="H16" i="458"/>
  <c r="H15" i="458"/>
  <c r="H14" i="458"/>
  <c r="H13" i="458"/>
  <c r="H12" i="458"/>
  <c r="H11" i="458"/>
  <c r="H10" i="458"/>
  <c r="H9" i="458"/>
  <c r="H8" i="458"/>
  <c r="H7" i="458"/>
  <c r="H6" i="458"/>
  <c r="G22" i="457"/>
  <c r="C22" i="457"/>
  <c r="E22" i="457"/>
  <c r="F22" i="457"/>
  <c r="D22" i="457"/>
  <c r="H21" i="457"/>
  <c r="H20" i="457"/>
  <c r="H19" i="457"/>
  <c r="H18" i="457"/>
  <c r="H17" i="457"/>
  <c r="H16" i="457"/>
  <c r="H15" i="457"/>
  <c r="H14" i="457"/>
  <c r="H13" i="457"/>
  <c r="H12" i="457"/>
  <c r="H11" i="457"/>
  <c r="H10" i="457"/>
  <c r="H9" i="457"/>
  <c r="H8" i="457"/>
  <c r="H7" i="457"/>
  <c r="H6" i="457"/>
  <c r="G22" i="450"/>
  <c r="F22" i="450"/>
  <c r="E22" i="450"/>
  <c r="D22" i="450"/>
  <c r="C22" i="450"/>
  <c r="H21" i="450"/>
  <c r="H20" i="450"/>
  <c r="H19" i="450"/>
  <c r="H18" i="450"/>
  <c r="H17" i="450"/>
  <c r="H16" i="450"/>
  <c r="H15" i="450"/>
  <c r="H14" i="450"/>
  <c r="H13" i="450"/>
  <c r="H12" i="450"/>
  <c r="H11" i="450"/>
  <c r="H10" i="450"/>
  <c r="H9" i="450"/>
  <c r="H8" i="450"/>
  <c r="H7" i="450"/>
  <c r="H6" i="450"/>
  <c r="G22" i="455"/>
  <c r="F22" i="455"/>
  <c r="D22" i="455"/>
  <c r="E22" i="455"/>
  <c r="C22" i="455"/>
  <c r="H21" i="455"/>
  <c r="H20" i="455"/>
  <c r="H19" i="455"/>
  <c r="H18" i="455"/>
  <c r="H17" i="455"/>
  <c r="H16" i="455"/>
  <c r="H15" i="455"/>
  <c r="H14" i="455"/>
  <c r="H13" i="455"/>
  <c r="H12" i="455"/>
  <c r="H11" i="455"/>
  <c r="H10" i="455"/>
  <c r="H9" i="455"/>
  <c r="H8" i="455"/>
  <c r="H7" i="455"/>
  <c r="H6" i="455"/>
  <c r="G22" i="453"/>
  <c r="F22" i="453"/>
  <c r="D22" i="453"/>
  <c r="E22" i="453"/>
  <c r="C22" i="453"/>
  <c r="H21" i="453"/>
  <c r="H20" i="453"/>
  <c r="H19" i="453"/>
  <c r="H18" i="453"/>
  <c r="H17" i="453"/>
  <c r="H16" i="453"/>
  <c r="H15" i="453"/>
  <c r="H14" i="453"/>
  <c r="H13" i="453"/>
  <c r="H12" i="453"/>
  <c r="H11" i="453"/>
  <c r="H10" i="453"/>
  <c r="H9" i="453"/>
  <c r="H8" i="453"/>
  <c r="H7" i="453"/>
  <c r="H6" i="453"/>
  <c r="G22" i="441"/>
  <c r="D24" i="441"/>
  <c r="F22" i="441"/>
  <c r="E22" i="441"/>
  <c r="D22" i="441"/>
  <c r="C22" i="441"/>
  <c r="H21" i="441"/>
  <c r="H20" i="441"/>
  <c r="H19" i="441"/>
  <c r="H18" i="441"/>
  <c r="H17" i="441"/>
  <c r="H16" i="441"/>
  <c r="H15" i="441"/>
  <c r="H14" i="441"/>
  <c r="H13" i="441"/>
  <c r="H12" i="441"/>
  <c r="H11" i="441"/>
  <c r="H10" i="441"/>
  <c r="H9" i="441"/>
  <c r="H8" i="441"/>
  <c r="H7" i="441"/>
  <c r="H6" i="441"/>
  <c r="G22" i="456"/>
  <c r="F22" i="456"/>
  <c r="D22" i="456"/>
  <c r="E22" i="456"/>
  <c r="C22" i="456"/>
  <c r="H21" i="456"/>
  <c r="H20" i="456"/>
  <c r="H19" i="456"/>
  <c r="H18" i="456"/>
  <c r="H17" i="456"/>
  <c r="H16" i="456"/>
  <c r="H15" i="456"/>
  <c r="H14" i="456"/>
  <c r="H13" i="456"/>
  <c r="H12" i="456"/>
  <c r="H11" i="456"/>
  <c r="H10" i="456"/>
  <c r="H9" i="456"/>
  <c r="H8" i="456"/>
  <c r="H7" i="456"/>
  <c r="H6" i="456"/>
  <c r="G22" i="454"/>
  <c r="C22" i="454"/>
  <c r="E22" i="454"/>
  <c r="F22" i="454"/>
  <c r="D22" i="454"/>
  <c r="H21" i="454"/>
  <c r="H20" i="454"/>
  <c r="H19" i="454"/>
  <c r="H18" i="454"/>
  <c r="H17" i="454"/>
  <c r="H16" i="454"/>
  <c r="H15" i="454"/>
  <c r="H14" i="454"/>
  <c r="H13" i="454"/>
  <c r="H12" i="454"/>
  <c r="H11" i="454"/>
  <c r="H10" i="454"/>
  <c r="H9" i="454"/>
  <c r="H8" i="454"/>
  <c r="H7" i="454"/>
  <c r="H6" i="454"/>
  <c r="G22" i="452"/>
  <c r="F22" i="452"/>
  <c r="F24" i="452"/>
  <c r="E22" i="452"/>
  <c r="C22" i="452"/>
  <c r="D22" i="452"/>
  <c r="H21" i="452"/>
  <c r="H20" i="452"/>
  <c r="H19" i="452"/>
  <c r="H18" i="452"/>
  <c r="H17" i="452"/>
  <c r="H16" i="452"/>
  <c r="H15" i="452"/>
  <c r="H14" i="452"/>
  <c r="H13" i="452"/>
  <c r="H12" i="452"/>
  <c r="H11" i="452"/>
  <c r="H10" i="452"/>
  <c r="H9" i="452"/>
  <c r="H8" i="452"/>
  <c r="H7" i="452"/>
  <c r="H6" i="452"/>
  <c r="G22" i="451"/>
  <c r="F22" i="451"/>
  <c r="E22" i="451"/>
  <c r="C22" i="451"/>
  <c r="D24" i="451"/>
  <c r="D22" i="451"/>
  <c r="H21" i="451"/>
  <c r="H20" i="451"/>
  <c r="H19" i="451"/>
  <c r="H18" i="451"/>
  <c r="H17" i="451"/>
  <c r="H16" i="451"/>
  <c r="H15" i="451"/>
  <c r="H14" i="451"/>
  <c r="H13" i="451"/>
  <c r="H12" i="451"/>
  <c r="H11" i="451"/>
  <c r="H10" i="451"/>
  <c r="H9" i="451"/>
  <c r="H8" i="451"/>
  <c r="H7" i="451"/>
  <c r="H6" i="451"/>
  <c r="G22" i="449"/>
  <c r="F22" i="449"/>
  <c r="D22" i="449"/>
  <c r="E22" i="449"/>
  <c r="C22" i="449"/>
  <c r="H21" i="449"/>
  <c r="H20" i="449"/>
  <c r="H19" i="449"/>
  <c r="H18" i="449"/>
  <c r="H17" i="449"/>
  <c r="H16" i="449"/>
  <c r="H15" i="449"/>
  <c r="H14" i="449"/>
  <c r="H13" i="449"/>
  <c r="H12" i="449"/>
  <c r="H11" i="449"/>
  <c r="H10" i="449"/>
  <c r="H9" i="449"/>
  <c r="H8" i="449"/>
  <c r="H7" i="449"/>
  <c r="H6" i="449"/>
  <c r="G22" i="448"/>
  <c r="F22" i="448"/>
  <c r="D22" i="448"/>
  <c r="E22" i="448"/>
  <c r="C22" i="448"/>
  <c r="H21" i="448"/>
  <c r="H20" i="448"/>
  <c r="H19" i="448"/>
  <c r="H18" i="448"/>
  <c r="H17" i="448"/>
  <c r="H16" i="448"/>
  <c r="H15" i="448"/>
  <c r="H14" i="448"/>
  <c r="H13" i="448"/>
  <c r="H12" i="448"/>
  <c r="H11" i="448"/>
  <c r="H10" i="448"/>
  <c r="H9" i="448"/>
  <c r="H8" i="448"/>
  <c r="H7" i="448"/>
  <c r="H6" i="448"/>
  <c r="G22" i="446"/>
  <c r="F22" i="446"/>
  <c r="E22" i="446"/>
  <c r="D22" i="446"/>
  <c r="C22" i="446"/>
  <c r="H21" i="446"/>
  <c r="H20" i="446"/>
  <c r="H19" i="446"/>
  <c r="H18" i="446"/>
  <c r="H17" i="446"/>
  <c r="H16" i="446"/>
  <c r="H15" i="446"/>
  <c r="H14" i="446"/>
  <c r="H13" i="446"/>
  <c r="H12" i="446"/>
  <c r="H11" i="446"/>
  <c r="H10" i="446"/>
  <c r="H9" i="446"/>
  <c r="H8" i="446"/>
  <c r="H7" i="446"/>
  <c r="H6" i="446"/>
  <c r="G22" i="445"/>
  <c r="D24" i="445"/>
  <c r="F22" i="445"/>
  <c r="D22" i="445"/>
  <c r="E22" i="445"/>
  <c r="C22" i="445"/>
  <c r="H21" i="445"/>
  <c r="H20" i="445"/>
  <c r="H19" i="445"/>
  <c r="H18" i="445"/>
  <c r="H17" i="445"/>
  <c r="H16" i="445"/>
  <c r="H15" i="445"/>
  <c r="H14" i="445"/>
  <c r="H13" i="445"/>
  <c r="H12" i="445"/>
  <c r="H11" i="445"/>
  <c r="H10" i="445"/>
  <c r="H9" i="445"/>
  <c r="H8" i="445"/>
  <c r="H7" i="445"/>
  <c r="H6" i="445"/>
  <c r="G22" i="444"/>
  <c r="F22" i="444"/>
  <c r="D22" i="444"/>
  <c r="E22" i="444"/>
  <c r="C22" i="444"/>
  <c r="H21" i="444"/>
  <c r="H20" i="444"/>
  <c r="H19" i="444"/>
  <c r="H18" i="444"/>
  <c r="H17" i="444"/>
  <c r="H16" i="444"/>
  <c r="H15" i="444"/>
  <c r="H14" i="444"/>
  <c r="H13" i="444"/>
  <c r="H12" i="444"/>
  <c r="H11" i="444"/>
  <c r="H10" i="444"/>
  <c r="H9" i="444"/>
  <c r="H8" i="444"/>
  <c r="H7" i="444"/>
  <c r="H6" i="444"/>
  <c r="G22" i="443"/>
  <c r="F22" i="443"/>
  <c r="D22" i="443"/>
  <c r="E22" i="443"/>
  <c r="C22" i="443"/>
  <c r="H21" i="443"/>
  <c r="H20" i="443"/>
  <c r="H19" i="443"/>
  <c r="H18" i="443"/>
  <c r="H17" i="443"/>
  <c r="H16" i="443"/>
  <c r="H15" i="443"/>
  <c r="H14" i="443"/>
  <c r="H13" i="443"/>
  <c r="H12" i="443"/>
  <c r="H11" i="443"/>
  <c r="H10" i="443"/>
  <c r="H9" i="443"/>
  <c r="H8" i="443"/>
  <c r="H7" i="443"/>
  <c r="H6" i="443"/>
  <c r="G22" i="442"/>
  <c r="F22" i="442"/>
  <c r="E22" i="442"/>
  <c r="D22" i="442"/>
  <c r="C22" i="442"/>
  <c r="H21" i="442"/>
  <c r="H20" i="442"/>
  <c r="H19" i="442"/>
  <c r="H18" i="442"/>
  <c r="H17" i="442"/>
  <c r="H16" i="442"/>
  <c r="H15" i="442"/>
  <c r="H14" i="442"/>
  <c r="H13" i="442"/>
  <c r="H12" i="442"/>
  <c r="H11" i="442"/>
  <c r="H10" i="442"/>
  <c r="H9" i="442"/>
  <c r="H8" i="442"/>
  <c r="H7" i="442"/>
  <c r="H6" i="442"/>
  <c r="G22" i="440"/>
  <c r="F22" i="440"/>
  <c r="E22" i="440"/>
  <c r="D22" i="440"/>
  <c r="C22" i="440"/>
  <c r="D24" i="440"/>
  <c r="H21" i="440"/>
  <c r="H20" i="440"/>
  <c r="H19" i="440"/>
  <c r="H18" i="440"/>
  <c r="H17" i="440"/>
  <c r="H16" i="440"/>
  <c r="H15" i="440"/>
  <c r="H14" i="440"/>
  <c r="H13" i="440"/>
  <c r="H12" i="440"/>
  <c r="H11" i="440"/>
  <c r="H10" i="440"/>
  <c r="H9" i="440"/>
  <c r="H8" i="440"/>
  <c r="H7" i="440"/>
  <c r="H6" i="440"/>
  <c r="G22" i="439"/>
  <c r="F22" i="439"/>
  <c r="D22" i="439"/>
  <c r="E22" i="439"/>
  <c r="C22" i="439"/>
  <c r="H21" i="439"/>
  <c r="H20" i="439"/>
  <c r="H19" i="439"/>
  <c r="H18" i="439"/>
  <c r="H17" i="439"/>
  <c r="H16" i="439"/>
  <c r="H15" i="439"/>
  <c r="H14" i="439"/>
  <c r="H13" i="439"/>
  <c r="H12" i="439"/>
  <c r="H11" i="439"/>
  <c r="H10" i="439"/>
  <c r="H9" i="439"/>
  <c r="H8" i="439"/>
  <c r="H7" i="439"/>
  <c r="H6" i="439"/>
  <c r="G22" i="438"/>
  <c r="F22" i="438"/>
  <c r="F24" i="438"/>
  <c r="E22" i="438"/>
  <c r="D22" i="438"/>
  <c r="C22" i="438"/>
  <c r="H21" i="438"/>
  <c r="H20" i="438"/>
  <c r="H19" i="438"/>
  <c r="H18" i="438"/>
  <c r="H17" i="438"/>
  <c r="H16" i="438"/>
  <c r="H15" i="438"/>
  <c r="H14" i="438"/>
  <c r="H13" i="438"/>
  <c r="H12" i="438"/>
  <c r="H11" i="438"/>
  <c r="H10" i="438"/>
  <c r="H9" i="438"/>
  <c r="H8" i="438"/>
  <c r="H7" i="438"/>
  <c r="H6" i="438"/>
  <c r="G22" i="437"/>
  <c r="F22" i="437"/>
  <c r="E22" i="437"/>
  <c r="C22" i="437"/>
  <c r="D22" i="437"/>
  <c r="F24" i="437"/>
  <c r="H21" i="437"/>
  <c r="H20" i="437"/>
  <c r="H19" i="437"/>
  <c r="H18" i="437"/>
  <c r="H17" i="437"/>
  <c r="H16" i="437"/>
  <c r="H15" i="437"/>
  <c r="H14" i="437"/>
  <c r="H13" i="437"/>
  <c r="H12" i="437"/>
  <c r="H11" i="437"/>
  <c r="H10" i="437"/>
  <c r="H9" i="437"/>
  <c r="H8" i="437"/>
  <c r="H7" i="437"/>
  <c r="H6" i="437"/>
  <c r="G22" i="436"/>
  <c r="D24" i="436"/>
  <c r="F22" i="436"/>
  <c r="E22" i="436"/>
  <c r="D22" i="436"/>
  <c r="C22" i="436"/>
  <c r="H21" i="436"/>
  <c r="H20" i="436"/>
  <c r="H19" i="436"/>
  <c r="H18" i="436"/>
  <c r="H17" i="436"/>
  <c r="H16" i="436"/>
  <c r="H15" i="436"/>
  <c r="H14" i="436"/>
  <c r="H13" i="436"/>
  <c r="H12" i="436"/>
  <c r="H11" i="436"/>
  <c r="H10" i="436"/>
  <c r="H9" i="436"/>
  <c r="H8" i="436"/>
  <c r="H7" i="436"/>
  <c r="H6" i="436"/>
  <c r="G22" i="421"/>
  <c r="C22" i="421"/>
  <c r="E22" i="421"/>
  <c r="F22" i="421"/>
  <c r="D22" i="421"/>
  <c r="H21" i="421"/>
  <c r="H20" i="421"/>
  <c r="H19" i="421"/>
  <c r="H18" i="421"/>
  <c r="H17" i="421"/>
  <c r="H16" i="421"/>
  <c r="H15" i="421"/>
  <c r="H14" i="421"/>
  <c r="H13" i="421"/>
  <c r="H12" i="421"/>
  <c r="H11" i="421"/>
  <c r="H10" i="421"/>
  <c r="H9" i="421"/>
  <c r="H8" i="421"/>
  <c r="H7" i="421"/>
  <c r="H6" i="421"/>
  <c r="G22" i="425"/>
  <c r="F22" i="425"/>
  <c r="D22" i="425"/>
  <c r="F24" i="425"/>
  <c r="E22" i="425"/>
  <c r="C22" i="425"/>
  <c r="H21" i="425"/>
  <c r="H20" i="425"/>
  <c r="H19" i="425"/>
  <c r="H18" i="425"/>
  <c r="H17" i="425"/>
  <c r="H16" i="425"/>
  <c r="H15" i="425"/>
  <c r="H14" i="425"/>
  <c r="H13" i="425"/>
  <c r="H12" i="425"/>
  <c r="H11" i="425"/>
  <c r="H10" i="425"/>
  <c r="H9" i="425"/>
  <c r="H8" i="425"/>
  <c r="H7" i="425"/>
  <c r="H6" i="425"/>
  <c r="G22" i="435"/>
  <c r="F22" i="435"/>
  <c r="E22" i="435"/>
  <c r="C22" i="435"/>
  <c r="D22" i="435"/>
  <c r="H21" i="435"/>
  <c r="H20" i="435"/>
  <c r="H19" i="435"/>
  <c r="H18" i="435"/>
  <c r="H17" i="435"/>
  <c r="H16" i="435"/>
  <c r="H15" i="435"/>
  <c r="H14" i="435"/>
  <c r="H13" i="435"/>
  <c r="H12" i="435"/>
  <c r="H11" i="435"/>
  <c r="H10" i="435"/>
  <c r="H9" i="435"/>
  <c r="H8" i="435"/>
  <c r="H7" i="435"/>
  <c r="H6" i="435"/>
  <c r="G22" i="434"/>
  <c r="F22" i="434"/>
  <c r="F24" i="434"/>
  <c r="E22" i="434"/>
  <c r="D22" i="434"/>
  <c r="C22" i="434"/>
  <c r="H21" i="434"/>
  <c r="H20" i="434"/>
  <c r="H19" i="434"/>
  <c r="H18" i="434"/>
  <c r="H17" i="434"/>
  <c r="H16" i="434"/>
  <c r="H15" i="434"/>
  <c r="H14" i="434"/>
  <c r="H13" i="434"/>
  <c r="H12" i="434"/>
  <c r="H11" i="434"/>
  <c r="H10" i="434"/>
  <c r="H9" i="434"/>
  <c r="H8" i="434"/>
  <c r="H7" i="434"/>
  <c r="H6" i="434"/>
  <c r="G22" i="433"/>
  <c r="C22" i="433"/>
  <c r="E22" i="433"/>
  <c r="F22" i="433"/>
  <c r="D22" i="433"/>
  <c r="H21" i="433"/>
  <c r="H20" i="433"/>
  <c r="H19" i="433"/>
  <c r="H18" i="433"/>
  <c r="H17" i="433"/>
  <c r="H16" i="433"/>
  <c r="H15" i="433"/>
  <c r="H14" i="433"/>
  <c r="H13" i="433"/>
  <c r="H12" i="433"/>
  <c r="H11" i="433"/>
  <c r="H10" i="433"/>
  <c r="H9" i="433"/>
  <c r="H8" i="433"/>
  <c r="H7" i="433"/>
  <c r="H6" i="433"/>
  <c r="G22" i="432"/>
  <c r="F22" i="432"/>
  <c r="E22" i="432"/>
  <c r="D22" i="432"/>
  <c r="C22" i="432"/>
  <c r="H21" i="432"/>
  <c r="H20" i="432"/>
  <c r="H19" i="432"/>
  <c r="H18" i="432"/>
  <c r="H17" i="432"/>
  <c r="H16" i="432"/>
  <c r="H15" i="432"/>
  <c r="H14" i="432"/>
  <c r="H13" i="432"/>
  <c r="H12" i="432"/>
  <c r="H11" i="432"/>
  <c r="H10" i="432"/>
  <c r="H9" i="432"/>
  <c r="H8" i="432"/>
  <c r="H7" i="432"/>
  <c r="H6" i="432"/>
  <c r="G22" i="431"/>
  <c r="F22" i="431"/>
  <c r="E22" i="431"/>
  <c r="D22" i="431"/>
  <c r="F24" i="431"/>
  <c r="C22" i="431"/>
  <c r="H21" i="431"/>
  <c r="H20" i="431"/>
  <c r="H19" i="431"/>
  <c r="H18" i="431"/>
  <c r="H17" i="431"/>
  <c r="H16" i="431"/>
  <c r="H15" i="431"/>
  <c r="H14" i="431"/>
  <c r="H13" i="431"/>
  <c r="H12" i="431"/>
  <c r="H11" i="431"/>
  <c r="H10" i="431"/>
  <c r="H9" i="431"/>
  <c r="H8" i="431"/>
  <c r="H7" i="431"/>
  <c r="H6" i="431"/>
  <c r="G22" i="430"/>
  <c r="C22" i="430"/>
  <c r="E22" i="430"/>
  <c r="F22" i="430"/>
  <c r="D22" i="430"/>
  <c r="H21" i="430"/>
  <c r="H20" i="430"/>
  <c r="H19" i="430"/>
  <c r="H18" i="430"/>
  <c r="H17" i="430"/>
  <c r="H16" i="430"/>
  <c r="H15" i="430"/>
  <c r="H14" i="430"/>
  <c r="H13" i="430"/>
  <c r="H12" i="430"/>
  <c r="H11" i="430"/>
  <c r="H10" i="430"/>
  <c r="H9" i="430"/>
  <c r="H8" i="430"/>
  <c r="H7" i="430"/>
  <c r="H6" i="430"/>
  <c r="G22" i="429"/>
  <c r="F22" i="429"/>
  <c r="F24" i="429"/>
  <c r="E22" i="429"/>
  <c r="D22" i="429"/>
  <c r="C22" i="429"/>
  <c r="H21" i="429"/>
  <c r="H20" i="429"/>
  <c r="H19" i="429"/>
  <c r="H18" i="429"/>
  <c r="H17" i="429"/>
  <c r="H16" i="429"/>
  <c r="H15" i="429"/>
  <c r="H14" i="429"/>
  <c r="H13" i="429"/>
  <c r="H12" i="429"/>
  <c r="H11" i="429"/>
  <c r="H10" i="429"/>
  <c r="H9" i="429"/>
  <c r="H8" i="429"/>
  <c r="H7" i="429"/>
  <c r="H6" i="429"/>
  <c r="G22" i="428"/>
  <c r="F22" i="428"/>
  <c r="D22" i="428"/>
  <c r="E22" i="428"/>
  <c r="C22" i="428"/>
  <c r="H21" i="428"/>
  <c r="H20" i="428"/>
  <c r="H19" i="428"/>
  <c r="H18" i="428"/>
  <c r="H17" i="428"/>
  <c r="H16" i="428"/>
  <c r="H15" i="428"/>
  <c r="H14" i="428"/>
  <c r="H13" i="428"/>
  <c r="H12" i="428"/>
  <c r="H11" i="428"/>
  <c r="H10" i="428"/>
  <c r="H9" i="428"/>
  <c r="H8" i="428"/>
  <c r="H7" i="428"/>
  <c r="H6" i="428"/>
  <c r="G22" i="427"/>
  <c r="F22" i="427"/>
  <c r="E22" i="427"/>
  <c r="C22" i="427"/>
  <c r="D22" i="427"/>
  <c r="H21" i="427"/>
  <c r="H20" i="427"/>
  <c r="H19" i="427"/>
  <c r="H18" i="427"/>
  <c r="H17" i="427"/>
  <c r="H16" i="427"/>
  <c r="H15" i="427"/>
  <c r="H14" i="427"/>
  <c r="H13" i="427"/>
  <c r="H12" i="427"/>
  <c r="H11" i="427"/>
  <c r="H10" i="427"/>
  <c r="H9" i="427"/>
  <c r="H8" i="427"/>
  <c r="H7" i="427"/>
  <c r="H6" i="427"/>
  <c r="G22" i="426"/>
  <c r="F22" i="426"/>
  <c r="E22" i="426"/>
  <c r="D24" i="426"/>
  <c r="D22" i="426"/>
  <c r="C22" i="426"/>
  <c r="H21" i="426"/>
  <c r="H20" i="426"/>
  <c r="H19" i="426"/>
  <c r="H18" i="426"/>
  <c r="H17" i="426"/>
  <c r="H16" i="426"/>
  <c r="H15" i="426"/>
  <c r="H14" i="426"/>
  <c r="H13" i="426"/>
  <c r="H12" i="426"/>
  <c r="H11" i="426"/>
  <c r="H10" i="426"/>
  <c r="H9" i="426"/>
  <c r="H8" i="426"/>
  <c r="H7" i="426"/>
  <c r="H6" i="426"/>
  <c r="G22" i="424"/>
  <c r="F22" i="424"/>
  <c r="E22" i="424"/>
  <c r="D22" i="424"/>
  <c r="C22" i="424"/>
  <c r="H21" i="424"/>
  <c r="H20" i="424"/>
  <c r="H19" i="424"/>
  <c r="H18" i="424"/>
  <c r="H17" i="424"/>
  <c r="H16" i="424"/>
  <c r="H15" i="424"/>
  <c r="H14" i="424"/>
  <c r="H13" i="424"/>
  <c r="H12" i="424"/>
  <c r="H11" i="424"/>
  <c r="H10" i="424"/>
  <c r="H9" i="424"/>
  <c r="H8" i="424"/>
  <c r="H7" i="424"/>
  <c r="H6" i="424"/>
  <c r="G22" i="423"/>
  <c r="C22" i="423"/>
  <c r="E22" i="423"/>
  <c r="F22" i="423"/>
  <c r="D22" i="423"/>
  <c r="F24" i="423"/>
  <c r="H21" i="423"/>
  <c r="H20" i="423"/>
  <c r="H19" i="423"/>
  <c r="H18" i="423"/>
  <c r="H17" i="423"/>
  <c r="H16" i="423"/>
  <c r="H15" i="423"/>
  <c r="H14" i="423"/>
  <c r="H13" i="423"/>
  <c r="H12" i="423"/>
  <c r="H11" i="423"/>
  <c r="H10" i="423"/>
  <c r="H9" i="423"/>
  <c r="H8" i="423"/>
  <c r="H7" i="423"/>
  <c r="H6" i="423"/>
  <c r="G22" i="422"/>
  <c r="F22" i="422"/>
  <c r="E22" i="422"/>
  <c r="D22" i="422"/>
  <c r="F24" i="422"/>
  <c r="C22" i="422"/>
  <c r="H21" i="422"/>
  <c r="H20" i="422"/>
  <c r="H19" i="422"/>
  <c r="H18" i="422"/>
  <c r="H17" i="422"/>
  <c r="H16" i="422"/>
  <c r="H15" i="422"/>
  <c r="H14" i="422"/>
  <c r="H13" i="422"/>
  <c r="H12" i="422"/>
  <c r="H11" i="422"/>
  <c r="H10" i="422"/>
  <c r="H9" i="422"/>
  <c r="H8" i="422"/>
  <c r="H7" i="422"/>
  <c r="H6" i="422"/>
  <c r="G22" i="420"/>
  <c r="F22" i="420"/>
  <c r="D22" i="420"/>
  <c r="F24" i="420"/>
  <c r="E22" i="420"/>
  <c r="C22" i="420"/>
  <c r="H21" i="420"/>
  <c r="H20" i="420"/>
  <c r="H19" i="420"/>
  <c r="H18" i="420"/>
  <c r="H17" i="420"/>
  <c r="H16" i="420"/>
  <c r="H15" i="420"/>
  <c r="H14" i="420"/>
  <c r="H13" i="420"/>
  <c r="H12" i="420"/>
  <c r="H11" i="420"/>
  <c r="H10" i="420"/>
  <c r="H9" i="420"/>
  <c r="H8" i="420"/>
  <c r="H7" i="420"/>
  <c r="H6" i="420"/>
  <c r="G22" i="419"/>
  <c r="C22" i="419"/>
  <c r="E22" i="419"/>
  <c r="F22" i="419"/>
  <c r="D22" i="419"/>
  <c r="H21" i="419"/>
  <c r="H20" i="419"/>
  <c r="H19" i="419"/>
  <c r="H18" i="419"/>
  <c r="H17" i="419"/>
  <c r="H16" i="419"/>
  <c r="H15" i="419"/>
  <c r="H14" i="419"/>
  <c r="H13" i="419"/>
  <c r="H12" i="419"/>
  <c r="H11" i="419"/>
  <c r="H10" i="419"/>
  <c r="H9" i="419"/>
  <c r="H8" i="419"/>
  <c r="H7" i="419"/>
  <c r="H6" i="419"/>
  <c r="G22" i="414"/>
  <c r="F22" i="414"/>
  <c r="E22" i="414"/>
  <c r="C22" i="414"/>
  <c r="D22" i="414"/>
  <c r="H21" i="414"/>
  <c r="H20" i="414"/>
  <c r="H19" i="414"/>
  <c r="H18" i="414"/>
  <c r="H17" i="414"/>
  <c r="H16" i="414"/>
  <c r="H15" i="414"/>
  <c r="H14" i="414"/>
  <c r="H13" i="414"/>
  <c r="H12" i="414"/>
  <c r="H11" i="414"/>
  <c r="H10" i="414"/>
  <c r="H9" i="414"/>
  <c r="H8" i="414"/>
  <c r="H7" i="414"/>
  <c r="H6" i="414"/>
  <c r="G22" i="413"/>
  <c r="F22" i="413"/>
  <c r="E22" i="413"/>
  <c r="C22" i="413"/>
  <c r="D22" i="413"/>
  <c r="H21" i="413"/>
  <c r="H20" i="413"/>
  <c r="H19" i="413"/>
  <c r="H18" i="413"/>
  <c r="H17" i="413"/>
  <c r="H16" i="413"/>
  <c r="H15" i="413"/>
  <c r="H14" i="413"/>
  <c r="H13" i="413"/>
  <c r="H12" i="413"/>
  <c r="H11" i="413"/>
  <c r="H10" i="413"/>
  <c r="H9" i="413"/>
  <c r="H8" i="413"/>
  <c r="H7" i="413"/>
  <c r="H6" i="413"/>
  <c r="G22" i="412"/>
  <c r="F22" i="412"/>
  <c r="F24" i="412"/>
  <c r="E22" i="412"/>
  <c r="D24" i="412"/>
  <c r="D22" i="412"/>
  <c r="C22" i="412"/>
  <c r="H21" i="412"/>
  <c r="H20" i="412"/>
  <c r="H19" i="412"/>
  <c r="H18" i="412"/>
  <c r="H17" i="412"/>
  <c r="H16" i="412"/>
  <c r="H15" i="412"/>
  <c r="H14" i="412"/>
  <c r="H13" i="412"/>
  <c r="H12" i="412"/>
  <c r="H11" i="412"/>
  <c r="H10" i="412"/>
  <c r="H9" i="412"/>
  <c r="H8" i="412"/>
  <c r="H7" i="412"/>
  <c r="H6" i="412"/>
  <c r="G22" i="409"/>
  <c r="C22" i="409"/>
  <c r="E22" i="409"/>
  <c r="F22" i="409"/>
  <c r="D22" i="409"/>
  <c r="H21" i="409"/>
  <c r="H20" i="409"/>
  <c r="H19" i="409"/>
  <c r="H18" i="409"/>
  <c r="H17" i="409"/>
  <c r="H16" i="409"/>
  <c r="H15" i="409"/>
  <c r="H14" i="409"/>
  <c r="H13" i="409"/>
  <c r="H12" i="409"/>
  <c r="H11" i="409"/>
  <c r="H10" i="409"/>
  <c r="H9" i="409"/>
  <c r="H8" i="409"/>
  <c r="H7" i="409"/>
  <c r="H6" i="409"/>
  <c r="G22" i="408"/>
  <c r="F22" i="408"/>
  <c r="E22" i="408"/>
  <c r="D22" i="408"/>
  <c r="C22" i="408"/>
  <c r="H21" i="408"/>
  <c r="H20" i="408"/>
  <c r="H19" i="408"/>
  <c r="H18" i="408"/>
  <c r="H17" i="408"/>
  <c r="H16" i="408"/>
  <c r="H15" i="408"/>
  <c r="H14" i="408"/>
  <c r="H13" i="408"/>
  <c r="H12" i="408"/>
  <c r="H11" i="408"/>
  <c r="H10" i="408"/>
  <c r="H9" i="408"/>
  <c r="H8" i="408"/>
  <c r="H7" i="408"/>
  <c r="H6" i="408"/>
  <c r="G22" i="407"/>
  <c r="F22" i="407"/>
  <c r="E22" i="407"/>
  <c r="D22" i="407"/>
  <c r="F24" i="407"/>
  <c r="C22" i="407"/>
  <c r="H21" i="407"/>
  <c r="H20" i="407"/>
  <c r="H19" i="407"/>
  <c r="H18" i="407"/>
  <c r="H17" i="407"/>
  <c r="H16" i="407"/>
  <c r="H15" i="407"/>
  <c r="H14" i="407"/>
  <c r="H13" i="407"/>
  <c r="H12" i="407"/>
  <c r="H11" i="407"/>
  <c r="H10" i="407"/>
  <c r="H9" i="407"/>
  <c r="H8" i="407"/>
  <c r="H7" i="407"/>
  <c r="H6" i="407"/>
  <c r="G22" i="406"/>
  <c r="F22" i="406"/>
  <c r="D22" i="406"/>
  <c r="F24" i="406"/>
  <c r="E22" i="406"/>
  <c r="C22" i="406"/>
  <c r="H21" i="406"/>
  <c r="H20" i="406"/>
  <c r="H19" i="406"/>
  <c r="H18" i="406"/>
  <c r="H17" i="406"/>
  <c r="H16" i="406"/>
  <c r="H15" i="406"/>
  <c r="H14" i="406"/>
  <c r="H13" i="406"/>
  <c r="H12" i="406"/>
  <c r="H11" i="406"/>
  <c r="H10" i="406"/>
  <c r="H9" i="406"/>
  <c r="H8" i="406"/>
  <c r="H7" i="406"/>
  <c r="H6" i="406"/>
  <c r="G22" i="405"/>
  <c r="D24" i="405"/>
  <c r="F22" i="405"/>
  <c r="D22" i="405"/>
  <c r="E22" i="405"/>
  <c r="C22" i="405"/>
  <c r="H21" i="405"/>
  <c r="H20" i="405"/>
  <c r="H19" i="405"/>
  <c r="H18" i="405"/>
  <c r="H17" i="405"/>
  <c r="H16" i="405"/>
  <c r="H15" i="405"/>
  <c r="H14" i="405"/>
  <c r="H13" i="405"/>
  <c r="H12" i="405"/>
  <c r="H11" i="405"/>
  <c r="H10" i="405"/>
  <c r="H9" i="405"/>
  <c r="H8" i="405"/>
  <c r="H7" i="405"/>
  <c r="H6" i="405"/>
  <c r="G22" i="404"/>
  <c r="F22" i="404"/>
  <c r="E22" i="404"/>
  <c r="D22" i="404"/>
  <c r="C22" i="404"/>
  <c r="H21" i="404"/>
  <c r="H20" i="404"/>
  <c r="H19" i="404"/>
  <c r="H18" i="404"/>
  <c r="H17" i="404"/>
  <c r="H16" i="404"/>
  <c r="H15" i="404"/>
  <c r="H14" i="404"/>
  <c r="H13" i="404"/>
  <c r="H12" i="404"/>
  <c r="H11" i="404"/>
  <c r="H10" i="404"/>
  <c r="H9" i="404"/>
  <c r="H8" i="404"/>
  <c r="H7" i="404"/>
  <c r="H6" i="404"/>
  <c r="G22" i="403"/>
  <c r="F22" i="403"/>
  <c r="E22" i="403"/>
  <c r="C22" i="403"/>
  <c r="D22" i="403"/>
  <c r="H21" i="403"/>
  <c r="H20" i="403"/>
  <c r="H19" i="403"/>
  <c r="H18" i="403"/>
  <c r="H17" i="403"/>
  <c r="H16" i="403"/>
  <c r="H15" i="403"/>
  <c r="H14" i="403"/>
  <c r="H13" i="403"/>
  <c r="H12" i="403"/>
  <c r="H11" i="403"/>
  <c r="H10" i="403"/>
  <c r="H9" i="403"/>
  <c r="H8" i="403"/>
  <c r="H7" i="403"/>
  <c r="H6" i="403"/>
  <c r="G22" i="402"/>
  <c r="F22" i="402"/>
  <c r="F24" i="402"/>
  <c r="E22" i="402"/>
  <c r="D22" i="402"/>
  <c r="C22" i="402"/>
  <c r="H21" i="402"/>
  <c r="H20" i="402"/>
  <c r="H19" i="402"/>
  <c r="H18" i="402"/>
  <c r="H17" i="402"/>
  <c r="H16" i="402"/>
  <c r="H15" i="402"/>
  <c r="H14" i="402"/>
  <c r="H13" i="402"/>
  <c r="H12" i="402"/>
  <c r="H11" i="402"/>
  <c r="H10" i="402"/>
  <c r="H9" i="402"/>
  <c r="H8" i="402"/>
  <c r="H7" i="402"/>
  <c r="H6" i="402"/>
  <c r="G22" i="401"/>
  <c r="F22" i="401"/>
  <c r="E22" i="401"/>
  <c r="C22" i="401"/>
  <c r="D22" i="401"/>
  <c r="H21" i="401"/>
  <c r="H20" i="401"/>
  <c r="H19" i="401"/>
  <c r="H18" i="401"/>
  <c r="H17" i="401"/>
  <c r="H16" i="401"/>
  <c r="H15" i="401"/>
  <c r="H14" i="401"/>
  <c r="H13" i="401"/>
  <c r="H12" i="401"/>
  <c r="H11" i="401"/>
  <c r="H10" i="401"/>
  <c r="H9" i="401"/>
  <c r="H8" i="401"/>
  <c r="H7" i="401"/>
  <c r="H6" i="401"/>
  <c r="G22" i="400"/>
  <c r="F22" i="400"/>
  <c r="E22" i="400"/>
  <c r="D22" i="400"/>
  <c r="C22" i="400"/>
  <c r="H21" i="400"/>
  <c r="H20" i="400"/>
  <c r="H19" i="400"/>
  <c r="H18" i="400"/>
  <c r="H17" i="400"/>
  <c r="H16" i="400"/>
  <c r="H15" i="400"/>
  <c r="H14" i="400"/>
  <c r="H13" i="400"/>
  <c r="H12" i="400"/>
  <c r="H11" i="400"/>
  <c r="H10" i="400"/>
  <c r="H9" i="400"/>
  <c r="H8" i="400"/>
  <c r="H7" i="400"/>
  <c r="H6" i="400"/>
  <c r="G22" i="399"/>
  <c r="F22" i="399"/>
  <c r="E22" i="399"/>
  <c r="D22" i="399"/>
  <c r="C22" i="399"/>
  <c r="H21" i="399"/>
  <c r="H20" i="399"/>
  <c r="H19" i="399"/>
  <c r="H18" i="399"/>
  <c r="H17" i="399"/>
  <c r="H16" i="399"/>
  <c r="H15" i="399"/>
  <c r="H14" i="399"/>
  <c r="H13" i="399"/>
  <c r="H12" i="399"/>
  <c r="H11" i="399"/>
  <c r="H10" i="399"/>
  <c r="H9" i="399"/>
  <c r="H8" i="399"/>
  <c r="H7" i="399"/>
  <c r="H6" i="399"/>
  <c r="G22" i="398"/>
  <c r="F22" i="398"/>
  <c r="D22" i="398"/>
  <c r="E22" i="398"/>
  <c r="C22" i="398"/>
  <c r="H21" i="398"/>
  <c r="H20" i="398"/>
  <c r="H19" i="398"/>
  <c r="H18" i="398"/>
  <c r="H17" i="398"/>
  <c r="H16" i="398"/>
  <c r="H15" i="398"/>
  <c r="H14" i="398"/>
  <c r="H13" i="398"/>
  <c r="H12" i="398"/>
  <c r="H11" i="398"/>
  <c r="H10" i="398"/>
  <c r="H9" i="398"/>
  <c r="H8" i="398"/>
  <c r="H7" i="398"/>
  <c r="H6" i="398"/>
  <c r="G22" i="397"/>
  <c r="F22" i="397"/>
  <c r="F24" i="397"/>
  <c r="E22" i="397"/>
  <c r="D22" i="397"/>
  <c r="C22" i="397"/>
  <c r="H21" i="397"/>
  <c r="H20" i="397"/>
  <c r="H19" i="397"/>
  <c r="H18" i="397"/>
  <c r="H17" i="397"/>
  <c r="H16" i="397"/>
  <c r="H15" i="397"/>
  <c r="H14" i="397"/>
  <c r="H13" i="397"/>
  <c r="H12" i="397"/>
  <c r="H11" i="397"/>
  <c r="H10" i="397"/>
  <c r="H9" i="397"/>
  <c r="H8" i="397"/>
  <c r="H7" i="397"/>
  <c r="H6" i="397"/>
  <c r="G22" i="396"/>
  <c r="F22" i="396"/>
  <c r="E22" i="396"/>
  <c r="C22" i="396"/>
  <c r="D22" i="396"/>
  <c r="H21" i="396"/>
  <c r="H20" i="396"/>
  <c r="H19" i="396"/>
  <c r="H18" i="396"/>
  <c r="H17" i="396"/>
  <c r="H16" i="396"/>
  <c r="H15" i="396"/>
  <c r="H14" i="396"/>
  <c r="H13" i="396"/>
  <c r="H12" i="396"/>
  <c r="H11" i="396"/>
  <c r="H10" i="396"/>
  <c r="H9" i="396"/>
  <c r="H8" i="396"/>
  <c r="H7" i="396"/>
  <c r="H6" i="396"/>
  <c r="G22" i="395"/>
  <c r="F22" i="395"/>
  <c r="E22" i="395"/>
  <c r="C22" i="395"/>
  <c r="D22" i="395"/>
  <c r="H21" i="395"/>
  <c r="H20" i="395"/>
  <c r="H19" i="395"/>
  <c r="H18" i="395"/>
  <c r="H17" i="395"/>
  <c r="H16" i="395"/>
  <c r="H15" i="395"/>
  <c r="H14" i="395"/>
  <c r="H13" i="395"/>
  <c r="H12" i="395"/>
  <c r="H11" i="395"/>
  <c r="H10" i="395"/>
  <c r="H9" i="395"/>
  <c r="H8" i="395"/>
  <c r="H7" i="395"/>
  <c r="H6" i="395"/>
  <c r="G22" i="394"/>
  <c r="F22" i="394"/>
  <c r="F24" i="394"/>
  <c r="E22" i="394"/>
  <c r="D24" i="394"/>
  <c r="D22" i="394"/>
  <c r="C22" i="394"/>
  <c r="H21" i="394"/>
  <c r="H20" i="394"/>
  <c r="H19" i="394"/>
  <c r="H18" i="394"/>
  <c r="H17" i="394"/>
  <c r="H16" i="394"/>
  <c r="H15" i="394"/>
  <c r="H14" i="394"/>
  <c r="H13" i="394"/>
  <c r="H12" i="394"/>
  <c r="H11" i="394"/>
  <c r="H10" i="394"/>
  <c r="H9" i="394"/>
  <c r="H8" i="394"/>
  <c r="H7" i="394"/>
  <c r="H6" i="394"/>
  <c r="G22" i="393"/>
  <c r="F22" i="393"/>
  <c r="E22" i="393"/>
  <c r="C22" i="393"/>
  <c r="D22" i="393"/>
  <c r="H21" i="393"/>
  <c r="H20" i="393"/>
  <c r="H19" i="393"/>
  <c r="H18" i="393"/>
  <c r="H17" i="393"/>
  <c r="H16" i="393"/>
  <c r="H15" i="393"/>
  <c r="H14" i="393"/>
  <c r="H13" i="393"/>
  <c r="H12" i="393"/>
  <c r="H11" i="393"/>
  <c r="H10" i="393"/>
  <c r="H9" i="393"/>
  <c r="H8" i="393"/>
  <c r="H7" i="393"/>
  <c r="H6" i="393"/>
  <c r="G22" i="418"/>
  <c r="F22" i="418"/>
  <c r="E22" i="418"/>
  <c r="D22" i="418"/>
  <c r="C22" i="418"/>
  <c r="H21" i="418"/>
  <c r="H20" i="418"/>
  <c r="H19" i="418"/>
  <c r="H18" i="418"/>
  <c r="H17" i="418"/>
  <c r="H16" i="418"/>
  <c r="H15" i="418"/>
  <c r="H14" i="418"/>
  <c r="H13" i="418"/>
  <c r="H12" i="418"/>
  <c r="H11" i="418"/>
  <c r="H10" i="418"/>
  <c r="H9" i="418"/>
  <c r="H8" i="418"/>
  <c r="H7" i="418"/>
  <c r="H6" i="418"/>
  <c r="G22" i="417"/>
  <c r="C22" i="417"/>
  <c r="E22" i="417"/>
  <c r="F22" i="417"/>
  <c r="D22" i="417"/>
  <c r="H21" i="417"/>
  <c r="H20" i="417"/>
  <c r="H19" i="417"/>
  <c r="H18" i="417"/>
  <c r="H17" i="417"/>
  <c r="H16" i="417"/>
  <c r="H15" i="417"/>
  <c r="H14" i="417"/>
  <c r="H13" i="417"/>
  <c r="H12" i="417"/>
  <c r="H11" i="417"/>
  <c r="H10" i="417"/>
  <c r="H9" i="417"/>
  <c r="H8" i="417"/>
  <c r="H7" i="417"/>
  <c r="H6" i="417"/>
  <c r="G22" i="416"/>
  <c r="F22" i="416"/>
  <c r="D22" i="416"/>
  <c r="F24" i="416"/>
  <c r="E22" i="416"/>
  <c r="C22" i="416"/>
  <c r="H21" i="416"/>
  <c r="H20" i="416"/>
  <c r="H19" i="416"/>
  <c r="H18" i="416"/>
  <c r="H17" i="416"/>
  <c r="H16" i="416"/>
  <c r="H15" i="416"/>
  <c r="H14" i="416"/>
  <c r="H13" i="416"/>
  <c r="H12" i="416"/>
  <c r="H11" i="416"/>
  <c r="H10" i="416"/>
  <c r="H9" i="416"/>
  <c r="H8" i="416"/>
  <c r="H7" i="416"/>
  <c r="H6" i="416"/>
  <c r="G22" i="415"/>
  <c r="F22" i="415"/>
  <c r="F24" i="415"/>
  <c r="D22" i="415"/>
  <c r="E22" i="415"/>
  <c r="C22" i="415"/>
  <c r="H21" i="415"/>
  <c r="H20" i="415"/>
  <c r="H19" i="415"/>
  <c r="H18" i="415"/>
  <c r="H17" i="415"/>
  <c r="H16" i="415"/>
  <c r="H15" i="415"/>
  <c r="H14" i="415"/>
  <c r="H13" i="415"/>
  <c r="H12" i="415"/>
  <c r="H11" i="415"/>
  <c r="H10" i="415"/>
  <c r="H9" i="415"/>
  <c r="H8" i="415"/>
  <c r="H7" i="415"/>
  <c r="H6" i="415"/>
  <c r="G22" i="378"/>
  <c r="C22" i="378"/>
  <c r="E22" i="378"/>
  <c r="F22" i="378"/>
  <c r="D22" i="378"/>
  <c r="H21" i="378"/>
  <c r="H20" i="378"/>
  <c r="H19" i="378"/>
  <c r="H18" i="378"/>
  <c r="H17" i="378"/>
  <c r="H16" i="378"/>
  <c r="H15" i="378"/>
  <c r="H14" i="378"/>
  <c r="H13" i="378"/>
  <c r="H12" i="378"/>
  <c r="H11" i="378"/>
  <c r="H10" i="378"/>
  <c r="H9" i="378"/>
  <c r="H8" i="378"/>
  <c r="H7" i="378"/>
  <c r="H6" i="378"/>
  <c r="G22" i="372"/>
  <c r="F22" i="372"/>
  <c r="E22" i="372"/>
  <c r="D22" i="372"/>
  <c r="C22" i="372"/>
  <c r="H21" i="372"/>
  <c r="H20" i="372"/>
  <c r="H19" i="372"/>
  <c r="H18" i="372"/>
  <c r="H17" i="372"/>
  <c r="H16" i="372"/>
  <c r="H15" i="372"/>
  <c r="H14" i="372"/>
  <c r="H13" i="372"/>
  <c r="H12" i="372"/>
  <c r="H11" i="372"/>
  <c r="H10" i="372"/>
  <c r="H9" i="372"/>
  <c r="H8" i="372"/>
  <c r="H7" i="372"/>
  <c r="H6" i="372"/>
  <c r="G22" i="392"/>
  <c r="F22" i="392"/>
  <c r="F24" i="392"/>
  <c r="E22" i="392"/>
  <c r="D22" i="392"/>
  <c r="C22" i="392"/>
  <c r="H21" i="392"/>
  <c r="H20" i="392"/>
  <c r="H19" i="392"/>
  <c r="H18" i="392"/>
  <c r="H17" i="392"/>
  <c r="H16" i="392"/>
  <c r="H15" i="392"/>
  <c r="H14" i="392"/>
  <c r="H13" i="392"/>
  <c r="H12" i="392"/>
  <c r="H11" i="392"/>
  <c r="H10" i="392"/>
  <c r="H9" i="392"/>
  <c r="H8" i="392"/>
  <c r="H7" i="392"/>
  <c r="H6" i="392"/>
  <c r="G22" i="391"/>
  <c r="C22" i="391"/>
  <c r="E22" i="391"/>
  <c r="F22" i="391"/>
  <c r="D22" i="391"/>
  <c r="F24" i="391"/>
  <c r="H21" i="391"/>
  <c r="H20" i="391"/>
  <c r="H19" i="391"/>
  <c r="H18" i="391"/>
  <c r="H17" i="391"/>
  <c r="H16" i="391"/>
  <c r="H15" i="391"/>
  <c r="H14" i="391"/>
  <c r="H13" i="391"/>
  <c r="H12" i="391"/>
  <c r="H11" i="391"/>
  <c r="H10" i="391"/>
  <c r="H9" i="391"/>
  <c r="H8" i="391"/>
  <c r="H7" i="391"/>
  <c r="H6" i="391"/>
  <c r="G22" i="390"/>
  <c r="F22" i="390"/>
  <c r="D22" i="390"/>
  <c r="E22" i="390"/>
  <c r="C22" i="390"/>
  <c r="H21" i="390"/>
  <c r="H20" i="390"/>
  <c r="H19" i="390"/>
  <c r="H18" i="390"/>
  <c r="H17" i="390"/>
  <c r="H16" i="390"/>
  <c r="H15" i="390"/>
  <c r="H14" i="390"/>
  <c r="H13" i="390"/>
  <c r="H12" i="390"/>
  <c r="H11" i="390"/>
  <c r="H10" i="390"/>
  <c r="H9" i="390"/>
  <c r="H8" i="390"/>
  <c r="H7" i="390"/>
  <c r="H6" i="390"/>
  <c r="G22" i="389"/>
  <c r="F22" i="389"/>
  <c r="E22" i="389"/>
  <c r="C22" i="389"/>
  <c r="D22" i="389"/>
  <c r="H21" i="389"/>
  <c r="H20" i="389"/>
  <c r="H19" i="389"/>
  <c r="H18" i="389"/>
  <c r="H17" i="389"/>
  <c r="H16" i="389"/>
  <c r="H15" i="389"/>
  <c r="H14" i="389"/>
  <c r="H13" i="389"/>
  <c r="H12" i="389"/>
  <c r="H11" i="389"/>
  <c r="H10" i="389"/>
  <c r="H9" i="389"/>
  <c r="H8" i="389"/>
  <c r="H7" i="389"/>
  <c r="H6" i="389"/>
  <c r="G22" i="388"/>
  <c r="C22" i="388"/>
  <c r="E22" i="388"/>
  <c r="F22" i="388"/>
  <c r="D22" i="388"/>
  <c r="H21" i="388"/>
  <c r="H20" i="388"/>
  <c r="H19" i="388"/>
  <c r="H18" i="388"/>
  <c r="H17" i="388"/>
  <c r="H16" i="388"/>
  <c r="H15" i="388"/>
  <c r="H14" i="388"/>
  <c r="H13" i="388"/>
  <c r="H12" i="388"/>
  <c r="H11" i="388"/>
  <c r="H10" i="388"/>
  <c r="H9" i="388"/>
  <c r="H8" i="388"/>
  <c r="H7" i="388"/>
  <c r="H6" i="388"/>
  <c r="G22" i="387"/>
  <c r="F22" i="387"/>
  <c r="E22" i="387"/>
  <c r="D22" i="387"/>
  <c r="C22" i="387"/>
  <c r="H21" i="387"/>
  <c r="H20" i="387"/>
  <c r="H19" i="387"/>
  <c r="H18" i="387"/>
  <c r="H17" i="387"/>
  <c r="H16" i="387"/>
  <c r="H15" i="387"/>
  <c r="H14" i="387"/>
  <c r="H13" i="387"/>
  <c r="H12" i="387"/>
  <c r="H11" i="387"/>
  <c r="H10" i="387"/>
  <c r="H9" i="387"/>
  <c r="H8" i="387"/>
  <c r="H7" i="387"/>
  <c r="H6" i="387"/>
  <c r="G22" i="386"/>
  <c r="C22" i="386"/>
  <c r="E22" i="386"/>
  <c r="F22" i="386"/>
  <c r="D22" i="386"/>
  <c r="H21" i="386"/>
  <c r="H20" i="386"/>
  <c r="H19" i="386"/>
  <c r="H18" i="386"/>
  <c r="H17" i="386"/>
  <c r="H16" i="386"/>
  <c r="H15" i="386"/>
  <c r="H14" i="386"/>
  <c r="H13" i="386"/>
  <c r="H12" i="386"/>
  <c r="H11" i="386"/>
  <c r="H10" i="386"/>
  <c r="H9" i="386"/>
  <c r="H8" i="386"/>
  <c r="H7" i="386"/>
  <c r="H6" i="386"/>
  <c r="G22" i="385"/>
  <c r="C22" i="385"/>
  <c r="E22" i="385"/>
  <c r="F22" i="385"/>
  <c r="D22" i="385"/>
  <c r="H21" i="385"/>
  <c r="H20" i="385"/>
  <c r="H19" i="385"/>
  <c r="H18" i="385"/>
  <c r="H17" i="385"/>
  <c r="H16" i="385"/>
  <c r="H15" i="385"/>
  <c r="H14" i="385"/>
  <c r="H13" i="385"/>
  <c r="H12" i="385"/>
  <c r="H11" i="385"/>
  <c r="H10" i="385"/>
  <c r="H9" i="385"/>
  <c r="H8" i="385"/>
  <c r="H7" i="385"/>
  <c r="H6" i="385"/>
  <c r="G22" i="384"/>
  <c r="C22" i="384"/>
  <c r="E22" i="384"/>
  <c r="F22" i="384"/>
  <c r="D22" i="384"/>
  <c r="H21" i="384"/>
  <c r="H20" i="384"/>
  <c r="H19" i="384"/>
  <c r="H18" i="384"/>
  <c r="H17" i="384"/>
  <c r="H16" i="384"/>
  <c r="H15" i="384"/>
  <c r="H14" i="384"/>
  <c r="H13" i="384"/>
  <c r="H12" i="384"/>
  <c r="H11" i="384"/>
  <c r="H10" i="384"/>
  <c r="H9" i="384"/>
  <c r="H8" i="384"/>
  <c r="H7" i="384"/>
  <c r="H6" i="384"/>
  <c r="G22" i="383"/>
  <c r="F22" i="383"/>
  <c r="E22" i="383"/>
  <c r="D22" i="383"/>
  <c r="C22" i="383"/>
  <c r="H21" i="383"/>
  <c r="H20" i="383"/>
  <c r="H19" i="383"/>
  <c r="H18" i="383"/>
  <c r="H17" i="383"/>
  <c r="H16" i="383"/>
  <c r="H15" i="383"/>
  <c r="H14" i="383"/>
  <c r="H13" i="383"/>
  <c r="H12" i="383"/>
  <c r="H11" i="383"/>
  <c r="H10" i="383"/>
  <c r="H9" i="383"/>
  <c r="H8" i="383"/>
  <c r="H7" i="383"/>
  <c r="H6" i="383"/>
  <c r="G22" i="382"/>
  <c r="F22" i="382"/>
  <c r="D22" i="382"/>
  <c r="E22" i="382"/>
  <c r="C22" i="382"/>
  <c r="H21" i="382"/>
  <c r="H20" i="382"/>
  <c r="H19" i="382"/>
  <c r="H18" i="382"/>
  <c r="H17" i="382"/>
  <c r="H16" i="382"/>
  <c r="H15" i="382"/>
  <c r="H14" i="382"/>
  <c r="H13" i="382"/>
  <c r="H12" i="382"/>
  <c r="H11" i="382"/>
  <c r="H10" i="382"/>
  <c r="H9" i="382"/>
  <c r="H8" i="382"/>
  <c r="H7" i="382"/>
  <c r="H6" i="382"/>
  <c r="G22" i="381"/>
  <c r="F22" i="381"/>
  <c r="D22" i="381"/>
  <c r="E22" i="381"/>
  <c r="C22" i="381"/>
  <c r="H21" i="381"/>
  <c r="H20" i="381"/>
  <c r="H19" i="381"/>
  <c r="H18" i="381"/>
  <c r="H17" i="381"/>
  <c r="H16" i="381"/>
  <c r="H15" i="381"/>
  <c r="H14" i="381"/>
  <c r="H13" i="381"/>
  <c r="H12" i="381"/>
  <c r="H11" i="381"/>
  <c r="H10" i="381"/>
  <c r="H9" i="381"/>
  <c r="H8" i="381"/>
  <c r="H7" i="381"/>
  <c r="H6" i="381"/>
  <c r="G22" i="380"/>
  <c r="F22" i="380"/>
  <c r="D22" i="380"/>
  <c r="E22" i="380"/>
  <c r="C22" i="380"/>
  <c r="H21" i="380"/>
  <c r="H20" i="380"/>
  <c r="H19" i="380"/>
  <c r="H18" i="380"/>
  <c r="H17" i="380"/>
  <c r="H16" i="380"/>
  <c r="H15" i="380"/>
  <c r="H14" i="380"/>
  <c r="H13" i="380"/>
  <c r="H12" i="380"/>
  <c r="H11" i="380"/>
  <c r="H10" i="380"/>
  <c r="H9" i="380"/>
  <c r="H8" i="380"/>
  <c r="H7" i="380"/>
  <c r="H6" i="380"/>
  <c r="G22" i="379"/>
  <c r="F22" i="379"/>
  <c r="F24" i="379"/>
  <c r="D22" i="379"/>
  <c r="E22" i="379"/>
  <c r="C22" i="379"/>
  <c r="H21" i="379"/>
  <c r="H20" i="379"/>
  <c r="H19" i="379"/>
  <c r="H18" i="379"/>
  <c r="H17" i="379"/>
  <c r="H16" i="379"/>
  <c r="H15" i="379"/>
  <c r="H14" i="379"/>
  <c r="H13" i="379"/>
  <c r="H12" i="379"/>
  <c r="H11" i="379"/>
  <c r="H10" i="379"/>
  <c r="H9" i="379"/>
  <c r="H8" i="379"/>
  <c r="H7" i="379"/>
  <c r="H6" i="379"/>
  <c r="G22" i="377"/>
  <c r="F22" i="377"/>
  <c r="D22" i="377"/>
  <c r="E22" i="377"/>
  <c r="C22" i="377"/>
  <c r="H21" i="377"/>
  <c r="H20" i="377"/>
  <c r="H19" i="377"/>
  <c r="H18" i="377"/>
  <c r="H17" i="377"/>
  <c r="H16" i="377"/>
  <c r="H15" i="377"/>
  <c r="H14" i="377"/>
  <c r="H13" i="377"/>
  <c r="H12" i="377"/>
  <c r="H11" i="377"/>
  <c r="H10" i="377"/>
  <c r="H9" i="377"/>
  <c r="H8" i="377"/>
  <c r="H7" i="377"/>
  <c r="H6" i="377"/>
  <c r="G22" i="376"/>
  <c r="F22" i="376"/>
  <c r="F24" i="376"/>
  <c r="D22" i="376"/>
  <c r="E22" i="376"/>
  <c r="C22" i="376"/>
  <c r="H21" i="376"/>
  <c r="H20" i="376"/>
  <c r="H19" i="376"/>
  <c r="H18" i="376"/>
  <c r="H17" i="376"/>
  <c r="H16" i="376"/>
  <c r="H15" i="376"/>
  <c r="H14" i="376"/>
  <c r="H13" i="376"/>
  <c r="H12" i="376"/>
  <c r="H11" i="376"/>
  <c r="H10" i="376"/>
  <c r="H9" i="376"/>
  <c r="H8" i="376"/>
  <c r="H7" i="376"/>
  <c r="H6" i="376"/>
  <c r="G22" i="375"/>
  <c r="F22" i="375"/>
  <c r="F24" i="375"/>
  <c r="E22" i="375"/>
  <c r="D22" i="375"/>
  <c r="C22" i="375"/>
  <c r="H21" i="375"/>
  <c r="H20" i="375"/>
  <c r="H19" i="375"/>
  <c r="H18" i="375"/>
  <c r="H17" i="375"/>
  <c r="H16" i="375"/>
  <c r="H15" i="375"/>
  <c r="H14" i="375"/>
  <c r="H13" i="375"/>
  <c r="H12" i="375"/>
  <c r="H11" i="375"/>
  <c r="H10" i="375"/>
  <c r="H9" i="375"/>
  <c r="H8" i="375"/>
  <c r="H7" i="375"/>
  <c r="H6" i="375"/>
  <c r="G22" i="374"/>
  <c r="C22" i="374"/>
  <c r="E22" i="374"/>
  <c r="F22" i="374"/>
  <c r="D22" i="374"/>
  <c r="H21" i="374"/>
  <c r="H20" i="374"/>
  <c r="H19" i="374"/>
  <c r="H18" i="374"/>
  <c r="H17" i="374"/>
  <c r="H16" i="374"/>
  <c r="H15" i="374"/>
  <c r="H14" i="374"/>
  <c r="H13" i="374"/>
  <c r="H12" i="374"/>
  <c r="H11" i="374"/>
  <c r="H10" i="374"/>
  <c r="H9" i="374"/>
  <c r="H8" i="374"/>
  <c r="H7" i="374"/>
  <c r="H6" i="374"/>
  <c r="G22" i="373"/>
  <c r="F22" i="373"/>
  <c r="E22" i="373"/>
  <c r="D22" i="373"/>
  <c r="C22" i="373"/>
  <c r="H21" i="373"/>
  <c r="H20" i="373"/>
  <c r="H19" i="373"/>
  <c r="H18" i="373"/>
  <c r="H17" i="373"/>
  <c r="H16" i="373"/>
  <c r="H15" i="373"/>
  <c r="H14" i="373"/>
  <c r="H13" i="373"/>
  <c r="H12" i="373"/>
  <c r="H11" i="373"/>
  <c r="H10" i="373"/>
  <c r="H9" i="373"/>
  <c r="H8" i="373"/>
  <c r="H7" i="373"/>
  <c r="H6" i="373"/>
  <c r="G22" i="371"/>
  <c r="F22" i="371"/>
  <c r="E22" i="371"/>
  <c r="D22" i="371"/>
  <c r="F24" i="371"/>
  <c r="C22" i="371"/>
  <c r="H21" i="371"/>
  <c r="H20" i="371"/>
  <c r="H19" i="371"/>
  <c r="H18" i="371"/>
  <c r="H17" i="371"/>
  <c r="H16" i="371"/>
  <c r="H15" i="371"/>
  <c r="H14" i="371"/>
  <c r="H13" i="371"/>
  <c r="H12" i="371"/>
  <c r="H11" i="371"/>
  <c r="H10" i="371"/>
  <c r="H9" i="371"/>
  <c r="H8" i="371"/>
  <c r="H7" i="371"/>
  <c r="H6" i="371"/>
  <c r="G22" i="370"/>
  <c r="F22" i="370"/>
  <c r="E22" i="370"/>
  <c r="D22" i="370"/>
  <c r="C22" i="370"/>
  <c r="H21" i="370"/>
  <c r="H20" i="370"/>
  <c r="H19" i="370"/>
  <c r="H18" i="370"/>
  <c r="H17" i="370"/>
  <c r="H16" i="370"/>
  <c r="H15" i="370"/>
  <c r="H14" i="370"/>
  <c r="H13" i="370"/>
  <c r="H12" i="370"/>
  <c r="H11" i="370"/>
  <c r="H10" i="370"/>
  <c r="H9" i="370"/>
  <c r="H8" i="370"/>
  <c r="H7" i="370"/>
  <c r="H6" i="370"/>
  <c r="G22" i="369"/>
  <c r="F22" i="369"/>
  <c r="E22" i="369"/>
  <c r="C22" i="369"/>
  <c r="D22" i="369"/>
  <c r="H21" i="369"/>
  <c r="H20" i="369"/>
  <c r="H19" i="369"/>
  <c r="H18" i="369"/>
  <c r="H17" i="369"/>
  <c r="H16" i="369"/>
  <c r="H15" i="369"/>
  <c r="H14" i="369"/>
  <c r="H13" i="369"/>
  <c r="H12" i="369"/>
  <c r="H11" i="369"/>
  <c r="H10" i="369"/>
  <c r="H9" i="369"/>
  <c r="H8" i="369"/>
  <c r="H7" i="369"/>
  <c r="H6" i="369"/>
  <c r="G22" i="366"/>
  <c r="C22" i="366"/>
  <c r="E22" i="366"/>
  <c r="F22" i="366"/>
  <c r="D22" i="366"/>
  <c r="H21" i="366"/>
  <c r="H20" i="366"/>
  <c r="H19" i="366"/>
  <c r="H18" i="366"/>
  <c r="H17" i="366"/>
  <c r="H16" i="366"/>
  <c r="H15" i="366"/>
  <c r="H14" i="366"/>
  <c r="H13" i="366"/>
  <c r="H12" i="366"/>
  <c r="H11" i="366"/>
  <c r="H10" i="366"/>
  <c r="H9" i="366"/>
  <c r="H8" i="366"/>
  <c r="H7" i="366"/>
  <c r="H6" i="366"/>
  <c r="G22" i="365"/>
  <c r="C22" i="365"/>
  <c r="E22" i="365"/>
  <c r="F22" i="365"/>
  <c r="D22" i="365"/>
  <c r="H21" i="365"/>
  <c r="H20" i="365"/>
  <c r="H19" i="365"/>
  <c r="H18" i="365"/>
  <c r="H17" i="365"/>
  <c r="H16" i="365"/>
  <c r="H15" i="365"/>
  <c r="H14" i="365"/>
  <c r="H13" i="365"/>
  <c r="H12" i="365"/>
  <c r="H11" i="365"/>
  <c r="H10" i="365"/>
  <c r="H9" i="365"/>
  <c r="H8" i="365"/>
  <c r="H7" i="365"/>
  <c r="H6" i="365"/>
  <c r="G22" i="364"/>
  <c r="F22" i="364"/>
  <c r="E22" i="364"/>
  <c r="D22" i="364"/>
  <c r="C22" i="364"/>
  <c r="H21" i="364"/>
  <c r="H20" i="364"/>
  <c r="H19" i="364"/>
  <c r="H18" i="364"/>
  <c r="H17" i="364"/>
  <c r="H16" i="364"/>
  <c r="H15" i="364"/>
  <c r="H14" i="364"/>
  <c r="H13" i="364"/>
  <c r="H12" i="364"/>
  <c r="H11" i="364"/>
  <c r="H10" i="364"/>
  <c r="H9" i="364"/>
  <c r="H8" i="364"/>
  <c r="H7" i="364"/>
  <c r="H6" i="364"/>
  <c r="G22" i="363"/>
  <c r="C22" i="363"/>
  <c r="E22" i="363"/>
  <c r="F22" i="363"/>
  <c r="D22" i="363"/>
  <c r="H21" i="363"/>
  <c r="H20" i="363"/>
  <c r="H19" i="363"/>
  <c r="H18" i="363"/>
  <c r="H17" i="363"/>
  <c r="H16" i="363"/>
  <c r="H15" i="363"/>
  <c r="H14" i="363"/>
  <c r="H13" i="363"/>
  <c r="H12" i="363"/>
  <c r="H11" i="363"/>
  <c r="H10" i="363"/>
  <c r="H9" i="363"/>
  <c r="H8" i="363"/>
  <c r="H7" i="363"/>
  <c r="H6" i="363"/>
  <c r="G22" i="362"/>
  <c r="C22" i="362"/>
  <c r="E22" i="362"/>
  <c r="F22" i="362"/>
  <c r="D22" i="362"/>
  <c r="F24" i="362"/>
  <c r="H21" i="362"/>
  <c r="H20" i="362"/>
  <c r="H19" i="362"/>
  <c r="H18" i="362"/>
  <c r="H17" i="362"/>
  <c r="H16" i="362"/>
  <c r="H15" i="362"/>
  <c r="H14" i="362"/>
  <c r="H13" i="362"/>
  <c r="H12" i="362"/>
  <c r="H11" i="362"/>
  <c r="H10" i="362"/>
  <c r="H9" i="362"/>
  <c r="H8" i="362"/>
  <c r="H7" i="362"/>
  <c r="H6" i="362"/>
  <c r="G22" i="361"/>
  <c r="F22" i="361"/>
  <c r="E22" i="361"/>
  <c r="D22" i="361"/>
  <c r="F24" i="361"/>
  <c r="C22" i="361"/>
  <c r="H21" i="361"/>
  <c r="H20" i="361"/>
  <c r="H19" i="361"/>
  <c r="H18" i="361"/>
  <c r="H17" i="361"/>
  <c r="H16" i="361"/>
  <c r="H15" i="361"/>
  <c r="H14" i="361"/>
  <c r="H13" i="361"/>
  <c r="H12" i="361"/>
  <c r="H11" i="361"/>
  <c r="H10" i="361"/>
  <c r="H9" i="361"/>
  <c r="H8" i="361"/>
  <c r="H7" i="361"/>
  <c r="H6" i="361"/>
  <c r="G22" i="360"/>
  <c r="F22" i="360"/>
  <c r="D22" i="360"/>
  <c r="F24" i="360"/>
  <c r="E22" i="360"/>
  <c r="C22" i="360"/>
  <c r="H21" i="360"/>
  <c r="H20" i="360"/>
  <c r="H19" i="360"/>
  <c r="H18" i="360"/>
  <c r="H17" i="360"/>
  <c r="H16" i="360"/>
  <c r="H15" i="360"/>
  <c r="H14" i="360"/>
  <c r="H13" i="360"/>
  <c r="H12" i="360"/>
  <c r="H11" i="360"/>
  <c r="H10" i="360"/>
  <c r="H9" i="360"/>
  <c r="H8" i="360"/>
  <c r="H7" i="360"/>
  <c r="H6" i="360"/>
  <c r="G22" i="359"/>
  <c r="C22" i="359"/>
  <c r="E22" i="359"/>
  <c r="F22" i="359"/>
  <c r="F24" i="359"/>
  <c r="D22" i="359"/>
  <c r="H21" i="359"/>
  <c r="H20" i="359"/>
  <c r="H19" i="359"/>
  <c r="H18" i="359"/>
  <c r="H17" i="359"/>
  <c r="H16" i="359"/>
  <c r="H15" i="359"/>
  <c r="H14" i="359"/>
  <c r="H13" i="359"/>
  <c r="H12" i="359"/>
  <c r="H11" i="359"/>
  <c r="H10" i="359"/>
  <c r="H9" i="359"/>
  <c r="H8" i="359"/>
  <c r="H7" i="359"/>
  <c r="H6" i="359"/>
  <c r="G22" i="358"/>
  <c r="F22" i="358"/>
  <c r="E22" i="358"/>
  <c r="C22" i="358"/>
  <c r="D22" i="358"/>
  <c r="H21" i="358"/>
  <c r="H20" i="358"/>
  <c r="H19" i="358"/>
  <c r="H18" i="358"/>
  <c r="H17" i="358"/>
  <c r="H16" i="358"/>
  <c r="H15" i="358"/>
  <c r="H14" i="358"/>
  <c r="H13" i="358"/>
  <c r="H12" i="358"/>
  <c r="H11" i="358"/>
  <c r="H10" i="358"/>
  <c r="H9" i="358"/>
  <c r="H8" i="358"/>
  <c r="H7" i="358"/>
  <c r="H6" i="358"/>
  <c r="G22" i="357"/>
  <c r="C22" i="357"/>
  <c r="E22" i="357"/>
  <c r="F22" i="357"/>
  <c r="D22" i="357"/>
  <c r="H21" i="357"/>
  <c r="H20" i="357"/>
  <c r="H19" i="357"/>
  <c r="H18" i="357"/>
  <c r="H17" i="357"/>
  <c r="H16" i="357"/>
  <c r="H15" i="357"/>
  <c r="H14" i="357"/>
  <c r="H13" i="357"/>
  <c r="H12" i="357"/>
  <c r="H11" i="357"/>
  <c r="H10" i="357"/>
  <c r="H9" i="357"/>
  <c r="H8" i="357"/>
  <c r="H7" i="357"/>
  <c r="H6" i="357"/>
  <c r="H15" i="356"/>
  <c r="G22" i="356"/>
  <c r="C22" i="356"/>
  <c r="E22" i="356"/>
  <c r="F22" i="356"/>
  <c r="F24" i="356"/>
  <c r="D22" i="356"/>
  <c r="H21" i="356"/>
  <c r="H20" i="356"/>
  <c r="H19" i="356"/>
  <c r="H18" i="356"/>
  <c r="H17" i="356"/>
  <c r="H16" i="356"/>
  <c r="H14" i="356"/>
  <c r="H13" i="356"/>
  <c r="H12" i="356"/>
  <c r="H11" i="356"/>
  <c r="H10" i="356"/>
  <c r="H9" i="356"/>
  <c r="H8" i="356"/>
  <c r="H7" i="356"/>
  <c r="H6" i="356"/>
  <c r="G21" i="355"/>
  <c r="C21" i="355"/>
  <c r="E21" i="355"/>
  <c r="F21" i="355"/>
  <c r="D21" i="355"/>
  <c r="F23" i="355"/>
  <c r="H20" i="355"/>
  <c r="H19" i="355"/>
  <c r="H18" i="355"/>
  <c r="H17" i="355"/>
  <c r="H16" i="355"/>
  <c r="H15" i="355"/>
  <c r="H14" i="355"/>
  <c r="H13" i="355"/>
  <c r="H12" i="355"/>
  <c r="H11" i="355"/>
  <c r="H10" i="355"/>
  <c r="H9" i="355"/>
  <c r="H8" i="355"/>
  <c r="H7" i="355"/>
  <c r="H6" i="355"/>
  <c r="G21" i="354"/>
  <c r="F21" i="354"/>
  <c r="F23" i="354"/>
  <c r="D21" i="354"/>
  <c r="E21" i="354"/>
  <c r="C21" i="354"/>
  <c r="H20" i="354"/>
  <c r="H19" i="354"/>
  <c r="H18" i="354"/>
  <c r="H17" i="354"/>
  <c r="H16" i="354"/>
  <c r="H15" i="354"/>
  <c r="H14" i="354"/>
  <c r="H13" i="354"/>
  <c r="H12" i="354"/>
  <c r="H11" i="354"/>
  <c r="H10" i="354"/>
  <c r="H9" i="354"/>
  <c r="H8" i="354"/>
  <c r="H7" i="354"/>
  <c r="H6" i="354"/>
  <c r="G21" i="353"/>
  <c r="F21" i="353"/>
  <c r="E21" i="353"/>
  <c r="D21" i="353"/>
  <c r="C21" i="353"/>
  <c r="H20" i="353"/>
  <c r="H19" i="353"/>
  <c r="H18" i="353"/>
  <c r="H17" i="353"/>
  <c r="H16" i="353"/>
  <c r="H15" i="353"/>
  <c r="H14" i="353"/>
  <c r="H13" i="353"/>
  <c r="H12" i="353"/>
  <c r="H11" i="353"/>
  <c r="H10" i="353"/>
  <c r="H9" i="353"/>
  <c r="H8" i="353"/>
  <c r="H7" i="353"/>
  <c r="H6" i="353"/>
  <c r="G21" i="352"/>
  <c r="F21" i="352"/>
  <c r="E21" i="352"/>
  <c r="D21" i="352"/>
  <c r="C21" i="352"/>
  <c r="H20" i="352"/>
  <c r="H19" i="352"/>
  <c r="H18" i="352"/>
  <c r="H17" i="352"/>
  <c r="H16" i="352"/>
  <c r="H15" i="352"/>
  <c r="H14" i="352"/>
  <c r="H13" i="352"/>
  <c r="H12" i="352"/>
  <c r="H11" i="352"/>
  <c r="H10" i="352"/>
  <c r="H9" i="352"/>
  <c r="H8" i="352"/>
  <c r="H7" i="352"/>
  <c r="H6" i="352"/>
  <c r="G21" i="351"/>
  <c r="C21" i="351"/>
  <c r="E21" i="351"/>
  <c r="F21" i="351"/>
  <c r="D21" i="351"/>
  <c r="F23" i="351"/>
  <c r="H20" i="351"/>
  <c r="H19" i="351"/>
  <c r="H18" i="351"/>
  <c r="H17" i="351"/>
  <c r="H16" i="351"/>
  <c r="H15" i="351"/>
  <c r="H14" i="351"/>
  <c r="H13" i="351"/>
  <c r="H12" i="351"/>
  <c r="H11" i="351"/>
  <c r="H10" i="351"/>
  <c r="H9" i="351"/>
  <c r="H8" i="351"/>
  <c r="H7" i="351"/>
  <c r="H6" i="351"/>
  <c r="G21" i="350"/>
  <c r="F21" i="350"/>
  <c r="E21" i="350"/>
  <c r="D21" i="350"/>
  <c r="C21" i="350"/>
  <c r="H20" i="350"/>
  <c r="H19" i="350"/>
  <c r="H18" i="350"/>
  <c r="H17" i="350"/>
  <c r="H16" i="350"/>
  <c r="H15" i="350"/>
  <c r="H14" i="350"/>
  <c r="H13" i="350"/>
  <c r="H12" i="350"/>
  <c r="H11" i="350"/>
  <c r="H10" i="350"/>
  <c r="H9" i="350"/>
  <c r="H8" i="350"/>
  <c r="H7" i="350"/>
  <c r="H6" i="350"/>
  <c r="G21" i="349"/>
  <c r="F21" i="349"/>
  <c r="D21" i="349"/>
  <c r="E21" i="349"/>
  <c r="C21" i="349"/>
  <c r="H20" i="349"/>
  <c r="H19" i="349"/>
  <c r="H18" i="349"/>
  <c r="H17" i="349"/>
  <c r="H16" i="349"/>
  <c r="H15" i="349"/>
  <c r="H14" i="349"/>
  <c r="H13" i="349"/>
  <c r="H12" i="349"/>
  <c r="H11" i="349"/>
  <c r="H10" i="349"/>
  <c r="H9" i="349"/>
  <c r="H8" i="349"/>
  <c r="H7" i="349"/>
  <c r="H6" i="349"/>
  <c r="G21" i="348"/>
  <c r="C21" i="348"/>
  <c r="E21" i="348"/>
  <c r="F21" i="348"/>
  <c r="F23" i="348"/>
  <c r="D21" i="348"/>
  <c r="H20" i="348"/>
  <c r="H19" i="348"/>
  <c r="H18" i="348"/>
  <c r="H17" i="348"/>
  <c r="H16" i="348"/>
  <c r="H15" i="348"/>
  <c r="H14" i="348"/>
  <c r="H13" i="348"/>
  <c r="H12" i="348"/>
  <c r="H11" i="348"/>
  <c r="H10" i="348"/>
  <c r="H9" i="348"/>
  <c r="H8" i="348"/>
  <c r="H7" i="348"/>
  <c r="H6" i="348"/>
  <c r="G21" i="347"/>
  <c r="C21" i="347"/>
  <c r="E21" i="347"/>
  <c r="F21" i="347"/>
  <c r="D21" i="347"/>
  <c r="H20" i="347"/>
  <c r="H19" i="347"/>
  <c r="H18" i="347"/>
  <c r="H17" i="347"/>
  <c r="H16" i="347"/>
  <c r="H15" i="347"/>
  <c r="H14" i="347"/>
  <c r="H13" i="347"/>
  <c r="H12" i="347"/>
  <c r="H11" i="347"/>
  <c r="H10" i="347"/>
  <c r="H9" i="347"/>
  <c r="H8" i="347"/>
  <c r="H7" i="347"/>
  <c r="H6" i="347"/>
  <c r="G21" i="346"/>
  <c r="F21" i="346"/>
  <c r="F23" i="346"/>
  <c r="D21" i="346"/>
  <c r="E21" i="346"/>
  <c r="C21" i="346"/>
  <c r="H20" i="346"/>
  <c r="H19" i="346"/>
  <c r="H18" i="346"/>
  <c r="H17" i="346"/>
  <c r="H16" i="346"/>
  <c r="H15" i="346"/>
  <c r="H14" i="346"/>
  <c r="H13" i="346"/>
  <c r="H12" i="346"/>
  <c r="H11" i="346"/>
  <c r="H10" i="346"/>
  <c r="H9" i="346"/>
  <c r="H8" i="346"/>
  <c r="H7" i="346"/>
  <c r="H6" i="346"/>
  <c r="G21" i="344"/>
  <c r="C21" i="344"/>
  <c r="E21" i="344"/>
  <c r="F21" i="344"/>
  <c r="D21" i="344"/>
  <c r="F23" i="344"/>
  <c r="H20" i="344"/>
  <c r="H19" i="344"/>
  <c r="H18" i="344"/>
  <c r="H17" i="344"/>
  <c r="H16" i="344"/>
  <c r="H15" i="344"/>
  <c r="H14" i="344"/>
  <c r="H13" i="344"/>
  <c r="H12" i="344"/>
  <c r="H11" i="344"/>
  <c r="H10" i="344"/>
  <c r="H9" i="344"/>
  <c r="H8" i="344"/>
  <c r="H7" i="344"/>
  <c r="H6" i="344"/>
  <c r="G21" i="345"/>
  <c r="C21" i="345"/>
  <c r="E21" i="345"/>
  <c r="F21" i="345"/>
  <c r="F23" i="345"/>
  <c r="D21" i="345"/>
  <c r="H20" i="345"/>
  <c r="H19" i="345"/>
  <c r="H18" i="345"/>
  <c r="H17" i="345"/>
  <c r="H16" i="345"/>
  <c r="H15" i="345"/>
  <c r="H14" i="345"/>
  <c r="H13" i="345"/>
  <c r="H12" i="345"/>
  <c r="H11" i="345"/>
  <c r="H10" i="345"/>
  <c r="H9" i="345"/>
  <c r="H8" i="345"/>
  <c r="H7" i="345"/>
  <c r="H6" i="345"/>
  <c r="G21" i="343"/>
  <c r="C21" i="343"/>
  <c r="E21" i="343"/>
  <c r="F21" i="343"/>
  <c r="D21" i="343"/>
  <c r="H20" i="343"/>
  <c r="H19" i="343"/>
  <c r="H18" i="343"/>
  <c r="H17" i="343"/>
  <c r="H16" i="343"/>
  <c r="H15" i="343"/>
  <c r="H14" i="343"/>
  <c r="H13" i="343"/>
  <c r="H12" i="343"/>
  <c r="H11" i="343"/>
  <c r="H10" i="343"/>
  <c r="H9" i="343"/>
  <c r="H8" i="343"/>
  <c r="H7" i="343"/>
  <c r="H6" i="343"/>
  <c r="G21" i="342"/>
  <c r="C21" i="342"/>
  <c r="E21" i="342"/>
  <c r="F21" i="342"/>
  <c r="F23" i="342"/>
  <c r="D21" i="342"/>
  <c r="H20" i="342"/>
  <c r="H19" i="342"/>
  <c r="H18" i="342"/>
  <c r="H17" i="342"/>
  <c r="H16" i="342"/>
  <c r="H15" i="342"/>
  <c r="H14" i="342"/>
  <c r="H13" i="342"/>
  <c r="H12" i="342"/>
  <c r="H11" i="342"/>
  <c r="H10" i="342"/>
  <c r="H9" i="342"/>
  <c r="H8" i="342"/>
  <c r="H7" i="342"/>
  <c r="H6" i="342"/>
  <c r="G21" i="341"/>
  <c r="C21" i="341"/>
  <c r="E21" i="341"/>
  <c r="F21" i="341"/>
  <c r="D21" i="341"/>
  <c r="H20" i="341"/>
  <c r="H19" i="341"/>
  <c r="H18" i="341"/>
  <c r="H17" i="341"/>
  <c r="H16" i="341"/>
  <c r="H15" i="341"/>
  <c r="H14" i="341"/>
  <c r="H13" i="341"/>
  <c r="H12" i="341"/>
  <c r="H11" i="341"/>
  <c r="H10" i="341"/>
  <c r="H9" i="341"/>
  <c r="H8" i="341"/>
  <c r="H7" i="341"/>
  <c r="H6" i="341"/>
  <c r="G21" i="340"/>
  <c r="D23" i="340"/>
  <c r="F21" i="340"/>
  <c r="E21" i="340"/>
  <c r="D21" i="340"/>
  <c r="C21" i="340"/>
  <c r="H20" i="340"/>
  <c r="H19" i="340"/>
  <c r="H18" i="340"/>
  <c r="H17" i="340"/>
  <c r="H16" i="340"/>
  <c r="H15" i="340"/>
  <c r="H14" i="340"/>
  <c r="H13" i="340"/>
  <c r="H12" i="340"/>
  <c r="H11" i="340"/>
  <c r="H10" i="340"/>
  <c r="H9" i="340"/>
  <c r="H8" i="340"/>
  <c r="H7" i="340"/>
  <c r="H6" i="340"/>
  <c r="G21" i="339"/>
  <c r="C21" i="339"/>
  <c r="E21" i="339"/>
  <c r="F21" i="339"/>
  <c r="D21" i="339"/>
  <c r="H20" i="339"/>
  <c r="H19" i="339"/>
  <c r="H18" i="339"/>
  <c r="H17" i="339"/>
  <c r="H16" i="339"/>
  <c r="H15" i="339"/>
  <c r="H14" i="339"/>
  <c r="H13" i="339"/>
  <c r="H12" i="339"/>
  <c r="H11" i="339"/>
  <c r="H10" i="339"/>
  <c r="H9" i="339"/>
  <c r="H8" i="339"/>
  <c r="H7" i="339"/>
  <c r="H6" i="339"/>
  <c r="G21" i="338"/>
  <c r="F21" i="338"/>
  <c r="F23" i="338"/>
  <c r="E21" i="338"/>
  <c r="C21" i="338"/>
  <c r="D21" i="338"/>
  <c r="H20" i="338"/>
  <c r="H19" i="338"/>
  <c r="H18" i="338"/>
  <c r="H17" i="338"/>
  <c r="H16" i="338"/>
  <c r="H15" i="338"/>
  <c r="H14" i="338"/>
  <c r="H13" i="338"/>
  <c r="H12" i="338"/>
  <c r="H11" i="338"/>
  <c r="H10" i="338"/>
  <c r="H9" i="338"/>
  <c r="H8" i="338"/>
  <c r="H7" i="338"/>
  <c r="H6" i="338"/>
  <c r="G21" i="337"/>
  <c r="C21" i="337"/>
  <c r="E21" i="337"/>
  <c r="F21" i="337"/>
  <c r="D21" i="337"/>
  <c r="H20" i="337"/>
  <c r="H19" i="337"/>
  <c r="H18" i="337"/>
  <c r="H17" i="337"/>
  <c r="H16" i="337"/>
  <c r="H15" i="337"/>
  <c r="H14" i="337"/>
  <c r="H13" i="337"/>
  <c r="H12" i="337"/>
  <c r="H11" i="337"/>
  <c r="H10" i="337"/>
  <c r="H9" i="337"/>
  <c r="H8" i="337"/>
  <c r="H7" i="337"/>
  <c r="H6" i="337"/>
  <c r="G21" i="336"/>
  <c r="F21" i="336"/>
  <c r="F23" i="336"/>
  <c r="E21" i="336"/>
  <c r="C21" i="336"/>
  <c r="D21" i="336"/>
  <c r="H20" i="336"/>
  <c r="H19" i="336"/>
  <c r="H18" i="336"/>
  <c r="H17" i="336"/>
  <c r="H16" i="336"/>
  <c r="H15" i="336"/>
  <c r="H14" i="336"/>
  <c r="H13" i="336"/>
  <c r="H12" i="336"/>
  <c r="H11" i="336"/>
  <c r="H10" i="336"/>
  <c r="H9" i="336"/>
  <c r="H8" i="336"/>
  <c r="H7" i="336"/>
  <c r="H6" i="336"/>
  <c r="G21" i="335"/>
  <c r="C21" i="335"/>
  <c r="E21" i="335"/>
  <c r="F21" i="335"/>
  <c r="D21" i="335"/>
  <c r="F23" i="335"/>
  <c r="H20" i="335"/>
  <c r="H19" i="335"/>
  <c r="H18" i="335"/>
  <c r="H17" i="335"/>
  <c r="H16" i="335"/>
  <c r="H15" i="335"/>
  <c r="H14" i="335"/>
  <c r="H13" i="335"/>
  <c r="H12" i="335"/>
  <c r="H11" i="335"/>
  <c r="H10" i="335"/>
  <c r="H9" i="335"/>
  <c r="H8" i="335"/>
  <c r="H7" i="335"/>
  <c r="H6" i="335"/>
  <c r="G21" i="334"/>
  <c r="D23" i="334"/>
  <c r="F21" i="334"/>
  <c r="E21" i="334"/>
  <c r="D21" i="334"/>
  <c r="C21" i="334"/>
  <c r="H20" i="334"/>
  <c r="H19" i="334"/>
  <c r="H18" i="334"/>
  <c r="H17" i="334"/>
  <c r="H16" i="334"/>
  <c r="H15" i="334"/>
  <c r="H14" i="334"/>
  <c r="H13" i="334"/>
  <c r="H12" i="334"/>
  <c r="H11" i="334"/>
  <c r="H10" i="334"/>
  <c r="H9" i="334"/>
  <c r="H8" i="334"/>
  <c r="H7" i="334"/>
  <c r="H6" i="334"/>
  <c r="G21" i="333"/>
  <c r="C21" i="333"/>
  <c r="E21" i="333"/>
  <c r="F21" i="333"/>
  <c r="D21" i="333"/>
  <c r="F23" i="333"/>
  <c r="H20" i="333"/>
  <c r="H19" i="333"/>
  <c r="H18" i="333"/>
  <c r="H17" i="333"/>
  <c r="H16" i="333"/>
  <c r="H15" i="333"/>
  <c r="H14" i="333"/>
  <c r="H13" i="333"/>
  <c r="H12" i="333"/>
  <c r="H11" i="333"/>
  <c r="H10" i="333"/>
  <c r="H9" i="333"/>
  <c r="H8" i="333"/>
  <c r="H7" i="333"/>
  <c r="H6" i="333"/>
  <c r="G21" i="332"/>
  <c r="F21" i="332"/>
  <c r="F23" i="332"/>
  <c r="E21" i="332"/>
  <c r="C21" i="332"/>
  <c r="D21" i="332"/>
  <c r="H20" i="332"/>
  <c r="H19" i="332"/>
  <c r="H18" i="332"/>
  <c r="H17" i="332"/>
  <c r="H16" i="332"/>
  <c r="H15" i="332"/>
  <c r="H14" i="332"/>
  <c r="H13" i="332"/>
  <c r="H12" i="332"/>
  <c r="H11" i="332"/>
  <c r="H10" i="332"/>
  <c r="H9" i="332"/>
  <c r="H8" i="332"/>
  <c r="H7" i="332"/>
  <c r="H6" i="332"/>
  <c r="G21" i="331"/>
  <c r="C21" i="331"/>
  <c r="E21" i="331"/>
  <c r="F21" i="331"/>
  <c r="D21" i="331"/>
  <c r="F23" i="331"/>
  <c r="H20" i="331"/>
  <c r="H19" i="331"/>
  <c r="H18" i="331"/>
  <c r="H17" i="331"/>
  <c r="H16" i="331"/>
  <c r="H15" i="331"/>
  <c r="H14" i="331"/>
  <c r="H13" i="331"/>
  <c r="H12" i="331"/>
  <c r="H11" i="331"/>
  <c r="H10" i="331"/>
  <c r="H9" i="331"/>
  <c r="H8" i="331"/>
  <c r="H7" i="331"/>
  <c r="H6" i="331"/>
  <c r="G21" i="330"/>
  <c r="C21" i="330"/>
  <c r="E21" i="330"/>
  <c r="F21" i="330"/>
  <c r="D21" i="330"/>
  <c r="H20" i="330"/>
  <c r="H19" i="330"/>
  <c r="H18" i="330"/>
  <c r="H17" i="330"/>
  <c r="H16" i="330"/>
  <c r="H15" i="330"/>
  <c r="H14" i="330"/>
  <c r="H13" i="330"/>
  <c r="H12" i="330"/>
  <c r="H11" i="330"/>
  <c r="H10" i="330"/>
  <c r="H9" i="330"/>
  <c r="H8" i="330"/>
  <c r="H7" i="330"/>
  <c r="H6" i="330"/>
  <c r="G21" i="329"/>
  <c r="F21" i="329"/>
  <c r="E21" i="329"/>
  <c r="D21" i="329"/>
  <c r="C21" i="329"/>
  <c r="H20" i="329"/>
  <c r="H19" i="329"/>
  <c r="H18" i="329"/>
  <c r="H17" i="329"/>
  <c r="H16" i="329"/>
  <c r="H15" i="329"/>
  <c r="H14" i="329"/>
  <c r="H13" i="329"/>
  <c r="H12" i="329"/>
  <c r="H11" i="329"/>
  <c r="H10" i="329"/>
  <c r="H9" i="329"/>
  <c r="H8" i="329"/>
  <c r="H7" i="329"/>
  <c r="H6" i="329"/>
  <c r="G21" i="328"/>
  <c r="F21" i="328"/>
  <c r="E21" i="328"/>
  <c r="D21" i="328"/>
  <c r="C21" i="328"/>
  <c r="H20" i="328"/>
  <c r="H19" i="328"/>
  <c r="H18" i="328"/>
  <c r="H17" i="328"/>
  <c r="H16" i="328"/>
  <c r="H15" i="328"/>
  <c r="H14" i="328"/>
  <c r="H13" i="328"/>
  <c r="H12" i="328"/>
  <c r="H11" i="328"/>
  <c r="H10" i="328"/>
  <c r="H9" i="328"/>
  <c r="H8" i="328"/>
  <c r="H7" i="328"/>
  <c r="H6" i="328"/>
  <c r="G21" i="327"/>
  <c r="C21" i="327"/>
  <c r="E21" i="327"/>
  <c r="F21" i="327"/>
  <c r="D21" i="327"/>
  <c r="F23" i="327"/>
  <c r="H20" i="327"/>
  <c r="H19" i="327"/>
  <c r="H18" i="327"/>
  <c r="H17" i="327"/>
  <c r="H16" i="327"/>
  <c r="H15" i="327"/>
  <c r="H14" i="327"/>
  <c r="H13" i="327"/>
  <c r="H12" i="327"/>
  <c r="H11" i="327"/>
  <c r="H10" i="327"/>
  <c r="H9" i="327"/>
  <c r="H8" i="327"/>
  <c r="H7" i="327"/>
  <c r="H6" i="327"/>
  <c r="G21" i="326"/>
  <c r="F21" i="326"/>
  <c r="E21" i="326"/>
  <c r="D21" i="326"/>
  <c r="C21" i="326"/>
  <c r="H20" i="326"/>
  <c r="H19" i="326"/>
  <c r="H18" i="326"/>
  <c r="H17" i="326"/>
  <c r="H16" i="326"/>
  <c r="H15" i="326"/>
  <c r="H14" i="326"/>
  <c r="H13" i="326"/>
  <c r="H12" i="326"/>
  <c r="H11" i="326"/>
  <c r="H10" i="326"/>
  <c r="H9" i="326"/>
  <c r="H8" i="326"/>
  <c r="H7" i="326"/>
  <c r="H6" i="326"/>
  <c r="G21" i="325"/>
  <c r="C21" i="325"/>
  <c r="E21" i="325"/>
  <c r="F21" i="325"/>
  <c r="D21" i="325"/>
  <c r="F23" i="325"/>
  <c r="H20" i="325"/>
  <c r="H19" i="325"/>
  <c r="H18" i="325"/>
  <c r="H17" i="325"/>
  <c r="H16" i="325"/>
  <c r="H15" i="325"/>
  <c r="H14" i="325"/>
  <c r="H13" i="325"/>
  <c r="H12" i="325"/>
  <c r="H11" i="325"/>
  <c r="H10" i="325"/>
  <c r="H9" i="325"/>
  <c r="H8" i="325"/>
  <c r="H7" i="325"/>
  <c r="H6" i="325"/>
  <c r="G21" i="324"/>
  <c r="F21" i="324"/>
  <c r="E21" i="324"/>
  <c r="D21" i="324"/>
  <c r="C21" i="324"/>
  <c r="H20" i="324"/>
  <c r="H19" i="324"/>
  <c r="H18" i="324"/>
  <c r="H17" i="324"/>
  <c r="H16" i="324"/>
  <c r="H15" i="324"/>
  <c r="H14" i="324"/>
  <c r="H13" i="324"/>
  <c r="H12" i="324"/>
  <c r="H11" i="324"/>
  <c r="H10" i="324"/>
  <c r="H9" i="324"/>
  <c r="H8" i="324"/>
  <c r="H7" i="324"/>
  <c r="H6" i="324"/>
  <c r="G21" i="323"/>
  <c r="C21" i="323"/>
  <c r="E21" i="323"/>
  <c r="F21" i="323"/>
  <c r="D21" i="323"/>
  <c r="F23" i="323"/>
  <c r="H20" i="323"/>
  <c r="H19" i="323"/>
  <c r="H18" i="323"/>
  <c r="H17" i="323"/>
  <c r="H16" i="323"/>
  <c r="H15" i="323"/>
  <c r="H14" i="323"/>
  <c r="H13" i="323"/>
  <c r="H12" i="323"/>
  <c r="H11" i="323"/>
  <c r="H10" i="323"/>
  <c r="H9" i="323"/>
  <c r="H8" i="323"/>
  <c r="H7" i="323"/>
  <c r="H6" i="323"/>
  <c r="G21" i="322"/>
  <c r="C21" i="322"/>
  <c r="E21" i="322"/>
  <c r="F21" i="322"/>
  <c r="F23" i="322"/>
  <c r="D21" i="322"/>
  <c r="H20" i="322"/>
  <c r="H19" i="322"/>
  <c r="H18" i="322"/>
  <c r="H17" i="322"/>
  <c r="H16" i="322"/>
  <c r="H15" i="322"/>
  <c r="H14" i="322"/>
  <c r="H13" i="322"/>
  <c r="H12" i="322"/>
  <c r="H11" i="322"/>
  <c r="H10" i="322"/>
  <c r="H9" i="322"/>
  <c r="H8" i="322"/>
  <c r="H7" i="322"/>
  <c r="H6" i="322"/>
  <c r="G21" i="321"/>
  <c r="C21" i="321"/>
  <c r="E21" i="321"/>
  <c r="F21" i="321"/>
  <c r="D21" i="321"/>
  <c r="F23" i="321"/>
  <c r="H20" i="321"/>
  <c r="H19" i="321"/>
  <c r="H18" i="321"/>
  <c r="H17" i="321"/>
  <c r="H16" i="321"/>
  <c r="H15" i="321"/>
  <c r="H14" i="321"/>
  <c r="H13" i="321"/>
  <c r="H12" i="321"/>
  <c r="H11" i="321"/>
  <c r="H10" i="321"/>
  <c r="H9" i="321"/>
  <c r="H8" i="321"/>
  <c r="H7" i="321"/>
  <c r="H6" i="321"/>
  <c r="G21" i="320"/>
  <c r="F21" i="320"/>
  <c r="E21" i="320"/>
  <c r="D21" i="320"/>
  <c r="C21" i="320"/>
  <c r="H20" i="320"/>
  <c r="H19" i="320"/>
  <c r="H18" i="320"/>
  <c r="H17" i="320"/>
  <c r="H16" i="320"/>
  <c r="H15" i="320"/>
  <c r="H14" i="320"/>
  <c r="H13" i="320"/>
  <c r="H12" i="320"/>
  <c r="H11" i="320"/>
  <c r="H10" i="320"/>
  <c r="H9" i="320"/>
  <c r="H8" i="320"/>
  <c r="H7" i="320"/>
  <c r="H6" i="320"/>
  <c r="G21" i="319"/>
  <c r="C21" i="319"/>
  <c r="E21" i="319"/>
  <c r="F21" i="319"/>
  <c r="D21" i="319"/>
  <c r="F23" i="319"/>
  <c r="H20" i="319"/>
  <c r="H19" i="319"/>
  <c r="H18" i="319"/>
  <c r="H17" i="319"/>
  <c r="H16" i="319"/>
  <c r="H15" i="319"/>
  <c r="H14" i="319"/>
  <c r="H13" i="319"/>
  <c r="H12" i="319"/>
  <c r="H11" i="319"/>
  <c r="H10" i="319"/>
  <c r="H9" i="319"/>
  <c r="H8" i="319"/>
  <c r="H7" i="319"/>
  <c r="H6" i="319"/>
  <c r="G21" i="318"/>
  <c r="F21" i="318"/>
  <c r="F23" i="318"/>
  <c r="E21" i="318"/>
  <c r="D21" i="318"/>
  <c r="C21" i="318"/>
  <c r="H20" i="318"/>
  <c r="H19" i="318"/>
  <c r="H18" i="318"/>
  <c r="H17" i="318"/>
  <c r="H16" i="318"/>
  <c r="H15" i="318"/>
  <c r="H14" i="318"/>
  <c r="H13" i="318"/>
  <c r="H12" i="318"/>
  <c r="H11" i="318"/>
  <c r="H10" i="318"/>
  <c r="H9" i="318"/>
  <c r="H8" i="318"/>
  <c r="H7" i="318"/>
  <c r="H6" i="318"/>
  <c r="G21" i="317"/>
  <c r="C21" i="317"/>
  <c r="E21" i="317"/>
  <c r="F21" i="317"/>
  <c r="D21" i="317"/>
  <c r="F23" i="317"/>
  <c r="H20" i="317"/>
  <c r="H19" i="317"/>
  <c r="H18" i="317"/>
  <c r="H17" i="317"/>
  <c r="H16" i="317"/>
  <c r="H15" i="317"/>
  <c r="H14" i="317"/>
  <c r="H13" i="317"/>
  <c r="H12" i="317"/>
  <c r="H11" i="317"/>
  <c r="H10" i="317"/>
  <c r="H9" i="317"/>
  <c r="H8" i="317"/>
  <c r="H7" i="317"/>
  <c r="H6" i="317"/>
  <c r="H6" i="316"/>
  <c r="H7" i="316"/>
  <c r="H8" i="316"/>
  <c r="H9" i="316"/>
  <c r="H10" i="316"/>
  <c r="H11" i="316"/>
  <c r="H12" i="316"/>
  <c r="H13" i="316"/>
  <c r="H14" i="316"/>
  <c r="H15" i="316"/>
  <c r="H16" i="316"/>
  <c r="H17" i="316"/>
  <c r="H18" i="316"/>
  <c r="H19" i="316"/>
  <c r="H20" i="316"/>
  <c r="C21" i="316"/>
  <c r="D21" i="316"/>
  <c r="F21" i="316"/>
  <c r="E21" i="316"/>
  <c r="G21" i="316"/>
  <c r="G21" i="315"/>
  <c r="C21" i="315"/>
  <c r="E21" i="315"/>
  <c r="F21" i="315"/>
  <c r="D21" i="315"/>
  <c r="F23" i="315"/>
  <c r="H20" i="315"/>
  <c r="H19" i="315"/>
  <c r="H18" i="315"/>
  <c r="H17" i="315"/>
  <c r="H16" i="315"/>
  <c r="H15" i="315"/>
  <c r="H14" i="315"/>
  <c r="H13" i="315"/>
  <c r="H12" i="315"/>
  <c r="H11" i="315"/>
  <c r="H10" i="315"/>
  <c r="H9" i="315"/>
  <c r="H8" i="315"/>
  <c r="H7" i="315"/>
  <c r="H6" i="315"/>
  <c r="G21" i="314"/>
  <c r="F21" i="314"/>
  <c r="D21" i="314"/>
  <c r="E21" i="314"/>
  <c r="C21" i="314"/>
  <c r="H20" i="314"/>
  <c r="H19" i="314"/>
  <c r="H18" i="314"/>
  <c r="H17" i="314"/>
  <c r="H16" i="314"/>
  <c r="H15" i="314"/>
  <c r="H14" i="314"/>
  <c r="H13" i="314"/>
  <c r="H12" i="314"/>
  <c r="H11" i="314"/>
  <c r="H10" i="314"/>
  <c r="H9" i="314"/>
  <c r="H8" i="314"/>
  <c r="H7" i="314"/>
  <c r="H6" i="314"/>
  <c r="G21" i="313"/>
  <c r="C21" i="313"/>
  <c r="E21" i="313"/>
  <c r="F21" i="313"/>
  <c r="D21" i="313"/>
  <c r="F23" i="313"/>
  <c r="H20" i="313"/>
  <c r="H19" i="313"/>
  <c r="H18" i="313"/>
  <c r="H17" i="313"/>
  <c r="H16" i="313"/>
  <c r="H15" i="313"/>
  <c r="H14" i="313"/>
  <c r="H13" i="313"/>
  <c r="H12" i="313"/>
  <c r="H11" i="313"/>
  <c r="H10" i="313"/>
  <c r="H9" i="313"/>
  <c r="H8" i="313"/>
  <c r="H7" i="313"/>
  <c r="H6" i="313"/>
  <c r="G21" i="312"/>
  <c r="F21" i="312"/>
  <c r="F23" i="312"/>
  <c r="D21" i="312"/>
  <c r="E21" i="312"/>
  <c r="C21" i="312"/>
  <c r="H20" i="312"/>
  <c r="H19" i="312"/>
  <c r="H18" i="312"/>
  <c r="H17" i="312"/>
  <c r="H16" i="312"/>
  <c r="H15" i="312"/>
  <c r="H14" i="312"/>
  <c r="H13" i="312"/>
  <c r="H12" i="312"/>
  <c r="H11" i="312"/>
  <c r="H10" i="312"/>
  <c r="H9" i="312"/>
  <c r="H8" i="312"/>
  <c r="H7" i="312"/>
  <c r="H6" i="312"/>
  <c r="G21" i="311"/>
  <c r="C21" i="311"/>
  <c r="E21" i="311"/>
  <c r="F21" i="311"/>
  <c r="D21" i="311"/>
  <c r="F23" i="311"/>
  <c r="H20" i="311"/>
  <c r="H19" i="311"/>
  <c r="H18" i="311"/>
  <c r="H17" i="311"/>
  <c r="H16" i="311"/>
  <c r="H15" i="311"/>
  <c r="H14" i="311"/>
  <c r="H13" i="311"/>
  <c r="H12" i="311"/>
  <c r="H11" i="311"/>
  <c r="H10" i="311"/>
  <c r="H9" i="311"/>
  <c r="H8" i="311"/>
  <c r="H7" i="311"/>
  <c r="H6" i="311"/>
  <c r="G21" i="310"/>
  <c r="C21" i="310"/>
  <c r="E21" i="310"/>
  <c r="F21" i="310"/>
  <c r="D21" i="310"/>
  <c r="H20" i="310"/>
  <c r="H19" i="310"/>
  <c r="H18" i="310"/>
  <c r="H17" i="310"/>
  <c r="H16" i="310"/>
  <c r="H15" i="310"/>
  <c r="H14" i="310"/>
  <c r="H13" i="310"/>
  <c r="H12" i="310"/>
  <c r="H11" i="310"/>
  <c r="H10" i="310"/>
  <c r="H9" i="310"/>
  <c r="H8" i="310"/>
  <c r="H7" i="310"/>
  <c r="H6" i="310"/>
  <c r="G21" i="309"/>
  <c r="C21" i="309"/>
  <c r="E21" i="309"/>
  <c r="F21" i="309"/>
  <c r="D21" i="309"/>
  <c r="H20" i="309"/>
  <c r="H19" i="309"/>
  <c r="H18" i="309"/>
  <c r="H17" i="309"/>
  <c r="H16" i="309"/>
  <c r="H15" i="309"/>
  <c r="H14" i="309"/>
  <c r="H13" i="309"/>
  <c r="H12" i="309"/>
  <c r="H11" i="309"/>
  <c r="H10" i="309"/>
  <c r="H9" i="309"/>
  <c r="H8" i="309"/>
  <c r="H7" i="309"/>
  <c r="H6" i="309"/>
  <c r="G21" i="308"/>
  <c r="F21" i="308"/>
  <c r="D21" i="308"/>
  <c r="E21" i="308"/>
  <c r="C21" i="308"/>
  <c r="H20" i="308"/>
  <c r="H19" i="308"/>
  <c r="H18" i="308"/>
  <c r="H17" i="308"/>
  <c r="H16" i="308"/>
  <c r="H15" i="308"/>
  <c r="H14" i="308"/>
  <c r="H13" i="308"/>
  <c r="H12" i="308"/>
  <c r="H11" i="308"/>
  <c r="H10" i="308"/>
  <c r="H9" i="308"/>
  <c r="H8" i="308"/>
  <c r="H7" i="308"/>
  <c r="H6" i="308"/>
  <c r="G21" i="307"/>
  <c r="C21" i="307"/>
  <c r="E21" i="307"/>
  <c r="F21" i="307"/>
  <c r="D21" i="307"/>
  <c r="H20" i="307"/>
  <c r="H19" i="307"/>
  <c r="H18" i="307"/>
  <c r="H17" i="307"/>
  <c r="H16" i="307"/>
  <c r="H15" i="307"/>
  <c r="H14" i="307"/>
  <c r="H13" i="307"/>
  <c r="H12" i="307"/>
  <c r="H11" i="307"/>
  <c r="H10" i="307"/>
  <c r="H9" i="307"/>
  <c r="H8" i="307"/>
  <c r="H7" i="307"/>
  <c r="H6" i="307"/>
  <c r="G21" i="306"/>
  <c r="F21" i="306"/>
  <c r="E21" i="306"/>
  <c r="D21" i="306"/>
  <c r="C21" i="306"/>
  <c r="H20" i="306"/>
  <c r="H19" i="306"/>
  <c r="H18" i="306"/>
  <c r="H17" i="306"/>
  <c r="H16" i="306"/>
  <c r="H15" i="306"/>
  <c r="H14" i="306"/>
  <c r="H13" i="306"/>
  <c r="H12" i="306"/>
  <c r="H11" i="306"/>
  <c r="H10" i="306"/>
  <c r="H9" i="306"/>
  <c r="H8" i="306"/>
  <c r="H7" i="306"/>
  <c r="H6" i="306"/>
  <c r="G21" i="305"/>
  <c r="F21" i="305"/>
  <c r="D21" i="305"/>
  <c r="E21" i="305"/>
  <c r="C21" i="305"/>
  <c r="H20" i="305"/>
  <c r="H19" i="305"/>
  <c r="H18" i="305"/>
  <c r="H17" i="305"/>
  <c r="H16" i="305"/>
  <c r="H15" i="305"/>
  <c r="H14" i="305"/>
  <c r="H13" i="305"/>
  <c r="H12" i="305"/>
  <c r="H11" i="305"/>
  <c r="H10" i="305"/>
  <c r="H9" i="305"/>
  <c r="H8" i="305"/>
  <c r="H7" i="305"/>
  <c r="H6" i="305"/>
  <c r="G21" i="304"/>
  <c r="D23" i="304"/>
  <c r="F21" i="304"/>
  <c r="E21" i="304"/>
  <c r="D21" i="304"/>
  <c r="C21" i="304"/>
  <c r="H20" i="304"/>
  <c r="H19" i="304"/>
  <c r="H18" i="304"/>
  <c r="H17" i="304"/>
  <c r="H16" i="304"/>
  <c r="H15" i="304"/>
  <c r="H14" i="304"/>
  <c r="H13" i="304"/>
  <c r="H12" i="304"/>
  <c r="H11" i="304"/>
  <c r="H10" i="304"/>
  <c r="H9" i="304"/>
  <c r="H8" i="304"/>
  <c r="H7" i="304"/>
  <c r="H6" i="304"/>
  <c r="G21" i="303"/>
  <c r="C21" i="303"/>
  <c r="E21" i="303"/>
  <c r="F21" i="303"/>
  <c r="D21" i="303"/>
  <c r="F23" i="303"/>
  <c r="H20" i="303"/>
  <c r="H19" i="303"/>
  <c r="H18" i="303"/>
  <c r="H17" i="303"/>
  <c r="H16" i="303"/>
  <c r="H15" i="303"/>
  <c r="H14" i="303"/>
  <c r="H13" i="303"/>
  <c r="H12" i="303"/>
  <c r="H11" i="303"/>
  <c r="H10" i="303"/>
  <c r="H9" i="303"/>
  <c r="H8" i="303"/>
  <c r="H7" i="303"/>
  <c r="H6" i="303"/>
  <c r="G21" i="302"/>
  <c r="D23" i="302"/>
  <c r="F21" i="302"/>
  <c r="E21" i="302"/>
  <c r="D21" i="302"/>
  <c r="C21" i="302"/>
  <c r="H20" i="302"/>
  <c r="H19" i="302"/>
  <c r="H18" i="302"/>
  <c r="H17" i="302"/>
  <c r="H16" i="302"/>
  <c r="H15" i="302"/>
  <c r="H14" i="302"/>
  <c r="H13" i="302"/>
  <c r="H12" i="302"/>
  <c r="H11" i="302"/>
  <c r="H10" i="302"/>
  <c r="H9" i="302"/>
  <c r="H8" i="302"/>
  <c r="H7" i="302"/>
  <c r="H6" i="302"/>
  <c r="G21" i="301"/>
  <c r="C21" i="301"/>
  <c r="E21" i="301"/>
  <c r="F21" i="301"/>
  <c r="D21" i="301"/>
  <c r="H20" i="301"/>
  <c r="H19" i="301"/>
  <c r="H18" i="301"/>
  <c r="H17" i="301"/>
  <c r="H16" i="301"/>
  <c r="H15" i="301"/>
  <c r="H14" i="301"/>
  <c r="H13" i="301"/>
  <c r="H12" i="301"/>
  <c r="H11" i="301"/>
  <c r="H10" i="301"/>
  <c r="H9" i="301"/>
  <c r="H8" i="301"/>
  <c r="H7" i="301"/>
  <c r="H6" i="301"/>
  <c r="G21" i="300"/>
  <c r="C21" i="300"/>
  <c r="E21" i="300"/>
  <c r="F21" i="300"/>
  <c r="F23" i="300"/>
  <c r="D21" i="300"/>
  <c r="H20" i="300"/>
  <c r="H19" i="300"/>
  <c r="H18" i="300"/>
  <c r="H17" i="300"/>
  <c r="H16" i="300"/>
  <c r="H15" i="300"/>
  <c r="H14" i="300"/>
  <c r="H13" i="300"/>
  <c r="H12" i="300"/>
  <c r="H11" i="300"/>
  <c r="H10" i="300"/>
  <c r="H9" i="300"/>
  <c r="H8" i="300"/>
  <c r="H7" i="300"/>
  <c r="H6" i="300"/>
  <c r="G21" i="299"/>
  <c r="C21" i="299"/>
  <c r="E21" i="299"/>
  <c r="F21" i="299"/>
  <c r="D21" i="299"/>
  <c r="F23" i="299"/>
  <c r="H20" i="299"/>
  <c r="H19" i="299"/>
  <c r="H18" i="299"/>
  <c r="H17" i="299"/>
  <c r="H16" i="299"/>
  <c r="H15" i="299"/>
  <c r="H14" i="299"/>
  <c r="H13" i="299"/>
  <c r="H12" i="299"/>
  <c r="H11" i="299"/>
  <c r="H10" i="299"/>
  <c r="H9" i="299"/>
  <c r="H8" i="299"/>
  <c r="H7" i="299"/>
  <c r="H6" i="299"/>
  <c r="G20" i="298"/>
  <c r="F20" i="298"/>
  <c r="F22" i="298"/>
  <c r="E20" i="298"/>
  <c r="C20" i="298"/>
  <c r="D20" i="298"/>
  <c r="H19" i="298"/>
  <c r="H18" i="298"/>
  <c r="H17" i="298"/>
  <c r="H16" i="298"/>
  <c r="H15" i="298"/>
  <c r="H14" i="298"/>
  <c r="H13" i="298"/>
  <c r="H12" i="298"/>
  <c r="H11" i="298"/>
  <c r="H10" i="298"/>
  <c r="H9" i="298"/>
  <c r="H8" i="298"/>
  <c r="H7" i="298"/>
  <c r="H6" i="298"/>
  <c r="G20" i="297"/>
  <c r="F20" i="297"/>
  <c r="D20" i="297"/>
  <c r="E20" i="297"/>
  <c r="C20" i="297"/>
  <c r="H19" i="297"/>
  <c r="H18" i="297"/>
  <c r="H17" i="297"/>
  <c r="H16" i="297"/>
  <c r="H15" i="297"/>
  <c r="H14" i="297"/>
  <c r="H13" i="297"/>
  <c r="H12" i="297"/>
  <c r="H11" i="297"/>
  <c r="H10" i="297"/>
  <c r="H9" i="297"/>
  <c r="H8" i="297"/>
  <c r="H7" i="297"/>
  <c r="H6" i="297"/>
  <c r="G20" i="296"/>
  <c r="F20" i="296"/>
  <c r="D20" i="296"/>
  <c r="F22" i="296"/>
  <c r="E20" i="296"/>
  <c r="C20" i="296"/>
  <c r="H19" i="296"/>
  <c r="H18" i="296"/>
  <c r="H17" i="296"/>
  <c r="H16" i="296"/>
  <c r="H15" i="296"/>
  <c r="H14" i="296"/>
  <c r="H13" i="296"/>
  <c r="H12" i="296"/>
  <c r="H11" i="296"/>
  <c r="H10" i="296"/>
  <c r="H9" i="296"/>
  <c r="H8" i="296"/>
  <c r="H7" i="296"/>
  <c r="H6" i="296"/>
  <c r="G20" i="295"/>
  <c r="F20" i="295"/>
  <c r="E20" i="295"/>
  <c r="D20" i="295"/>
  <c r="C20" i="295"/>
  <c r="H19" i="295"/>
  <c r="H18" i="295"/>
  <c r="H17" i="295"/>
  <c r="H16" i="295"/>
  <c r="H15" i="295"/>
  <c r="H14" i="295"/>
  <c r="H13" i="295"/>
  <c r="H12" i="295"/>
  <c r="H11" i="295"/>
  <c r="H10" i="295"/>
  <c r="H9" i="295"/>
  <c r="H8" i="295"/>
  <c r="H7" i="295"/>
  <c r="H6" i="295"/>
  <c r="G20" i="294"/>
  <c r="C20" i="294"/>
  <c r="E20" i="294"/>
  <c r="F20" i="294"/>
  <c r="D20" i="294"/>
  <c r="F22" i="294"/>
  <c r="H19" i="294"/>
  <c r="H18" i="294"/>
  <c r="H17" i="294"/>
  <c r="H16" i="294"/>
  <c r="H15" i="294"/>
  <c r="H14" i="294"/>
  <c r="H13" i="294"/>
  <c r="H12" i="294"/>
  <c r="H11" i="294"/>
  <c r="H10" i="294"/>
  <c r="H9" i="294"/>
  <c r="H8" i="294"/>
  <c r="H7" i="294"/>
  <c r="H6" i="294"/>
  <c r="G20" i="293"/>
  <c r="F20" i="293"/>
  <c r="D20" i="293"/>
  <c r="E20" i="293"/>
  <c r="C20" i="293"/>
  <c r="H19" i="293"/>
  <c r="H18" i="293"/>
  <c r="H17" i="293"/>
  <c r="H16" i="293"/>
  <c r="H15" i="293"/>
  <c r="H14" i="293"/>
  <c r="H13" i="293"/>
  <c r="H12" i="293"/>
  <c r="H11" i="293"/>
  <c r="H10" i="293"/>
  <c r="H9" i="293"/>
  <c r="H8" i="293"/>
  <c r="H7" i="293"/>
  <c r="H6" i="293"/>
  <c r="G20" i="292"/>
  <c r="F20" i="292"/>
  <c r="E20" i="292"/>
  <c r="C20" i="292"/>
  <c r="D22" i="292"/>
  <c r="D20" i="292"/>
  <c r="H19" i="292"/>
  <c r="H18" i="292"/>
  <c r="H17" i="292"/>
  <c r="H16" i="292"/>
  <c r="H15" i="292"/>
  <c r="H14" i="292"/>
  <c r="H13" i="292"/>
  <c r="H12" i="292"/>
  <c r="H11" i="292"/>
  <c r="H10" i="292"/>
  <c r="H9" i="292"/>
  <c r="H8" i="292"/>
  <c r="H7" i="292"/>
  <c r="H6" i="292"/>
  <c r="G20" i="291"/>
  <c r="C20" i="291"/>
  <c r="E20" i="291"/>
  <c r="F20" i="291"/>
  <c r="D20" i="291"/>
  <c r="H19" i="291"/>
  <c r="H18" i="291"/>
  <c r="H17" i="291"/>
  <c r="H16" i="291"/>
  <c r="H15" i="291"/>
  <c r="H14" i="291"/>
  <c r="H13" i="291"/>
  <c r="H12" i="291"/>
  <c r="H11" i="291"/>
  <c r="H10" i="291"/>
  <c r="H9" i="291"/>
  <c r="H8" i="291"/>
  <c r="H7" i="291"/>
  <c r="H6" i="291"/>
  <c r="G20" i="290"/>
  <c r="C20" i="290"/>
  <c r="E20" i="290"/>
  <c r="F20" i="290"/>
  <c r="F22" i="290"/>
  <c r="D20" i="290"/>
  <c r="H19" i="290"/>
  <c r="H18" i="290"/>
  <c r="H17" i="290"/>
  <c r="H16" i="290"/>
  <c r="H15" i="290"/>
  <c r="H14" i="290"/>
  <c r="H13" i="290"/>
  <c r="H12" i="290"/>
  <c r="H11" i="290"/>
  <c r="H10" i="290"/>
  <c r="H9" i="290"/>
  <c r="H8" i="290"/>
  <c r="H7" i="290"/>
  <c r="H6" i="290"/>
  <c r="G20" i="289"/>
  <c r="F20" i="289"/>
  <c r="D20" i="289"/>
  <c r="F22" i="289"/>
  <c r="E20" i="289"/>
  <c r="C20" i="289"/>
  <c r="H19" i="289"/>
  <c r="H18" i="289"/>
  <c r="H17" i="289"/>
  <c r="H16" i="289"/>
  <c r="H15" i="289"/>
  <c r="H14" i="289"/>
  <c r="H13" i="289"/>
  <c r="H12" i="289"/>
  <c r="H11" i="289"/>
  <c r="H10" i="289"/>
  <c r="H9" i="289"/>
  <c r="H8" i="289"/>
  <c r="H7" i="289"/>
  <c r="H6" i="289"/>
  <c r="G20" i="288"/>
  <c r="C20" i="288"/>
  <c r="E20" i="288"/>
  <c r="F20" i="288"/>
  <c r="F22" i="288"/>
  <c r="D20" i="288"/>
  <c r="H19" i="288"/>
  <c r="H18" i="288"/>
  <c r="H17" i="288"/>
  <c r="H16" i="288"/>
  <c r="H15" i="288"/>
  <c r="H14" i="288"/>
  <c r="H13" i="288"/>
  <c r="H12" i="288"/>
  <c r="H11" i="288"/>
  <c r="H10" i="288"/>
  <c r="H9" i="288"/>
  <c r="H8" i="288"/>
  <c r="H7" i="288"/>
  <c r="H6" i="288"/>
  <c r="G20" i="287"/>
  <c r="F20" i="287"/>
  <c r="E20" i="287"/>
  <c r="D20" i="287"/>
  <c r="C20" i="287"/>
  <c r="H19" i="287"/>
  <c r="H18" i="287"/>
  <c r="H17" i="287"/>
  <c r="H16" i="287"/>
  <c r="H15" i="287"/>
  <c r="H14" i="287"/>
  <c r="H13" i="287"/>
  <c r="H12" i="287"/>
  <c r="H11" i="287"/>
  <c r="H10" i="287"/>
  <c r="H9" i="287"/>
  <c r="H8" i="287"/>
  <c r="H7" i="287"/>
  <c r="H6" i="287"/>
  <c r="G20" i="286"/>
  <c r="C20" i="286"/>
  <c r="E20" i="286"/>
  <c r="F20" i="286"/>
  <c r="D20" i="286"/>
  <c r="F22" i="286"/>
  <c r="H19" i="286"/>
  <c r="H18" i="286"/>
  <c r="H17" i="286"/>
  <c r="H16" i="286"/>
  <c r="H15" i="286"/>
  <c r="H14" i="286"/>
  <c r="H13" i="286"/>
  <c r="H12" i="286"/>
  <c r="H11" i="286"/>
  <c r="H10" i="286"/>
  <c r="H9" i="286"/>
  <c r="H8" i="286"/>
  <c r="H7" i="286"/>
  <c r="H6" i="286"/>
  <c r="G20" i="285"/>
  <c r="C20" i="285"/>
  <c r="E20" i="285"/>
  <c r="F20" i="285"/>
  <c r="D20" i="285"/>
  <c r="H19" i="285"/>
  <c r="H18" i="285"/>
  <c r="H17" i="285"/>
  <c r="H16" i="285"/>
  <c r="H15" i="285"/>
  <c r="H14" i="285"/>
  <c r="H13" i="285"/>
  <c r="H12" i="285"/>
  <c r="H11" i="285"/>
  <c r="H10" i="285"/>
  <c r="H9" i="285"/>
  <c r="H8" i="285"/>
  <c r="H7" i="285"/>
  <c r="H6" i="285"/>
  <c r="G20" i="284"/>
  <c r="F20" i="284"/>
  <c r="E20" i="284"/>
  <c r="C20" i="284"/>
  <c r="D22" i="284"/>
  <c r="D20" i="284"/>
  <c r="H19" i="284"/>
  <c r="H18" i="284"/>
  <c r="H17" i="284"/>
  <c r="H16" i="284"/>
  <c r="H15" i="284"/>
  <c r="H14" i="284"/>
  <c r="H13" i="284"/>
  <c r="H12" i="284"/>
  <c r="H11" i="284"/>
  <c r="H10" i="284"/>
  <c r="H9" i="284"/>
  <c r="H8" i="284"/>
  <c r="H7" i="284"/>
  <c r="H6" i="284"/>
  <c r="G20" i="283"/>
  <c r="F20" i="283"/>
  <c r="D20" i="283"/>
  <c r="E20" i="283"/>
  <c r="C20" i="283"/>
  <c r="H19" i="283"/>
  <c r="H18" i="283"/>
  <c r="H17" i="283"/>
  <c r="H16" i="283"/>
  <c r="H15" i="283"/>
  <c r="H14" i="283"/>
  <c r="H13" i="283"/>
  <c r="H12" i="283"/>
  <c r="H11" i="283"/>
  <c r="H10" i="283"/>
  <c r="H9" i="283"/>
  <c r="H8" i="283"/>
  <c r="H7" i="283"/>
  <c r="H6" i="283"/>
  <c r="G20" i="282"/>
  <c r="F20" i="282"/>
  <c r="E20" i="282"/>
  <c r="D20" i="282"/>
  <c r="C20" i="282"/>
  <c r="H19" i="282"/>
  <c r="H18" i="282"/>
  <c r="H17" i="282"/>
  <c r="H16" i="282"/>
  <c r="H15" i="282"/>
  <c r="H14" i="282"/>
  <c r="H13" i="282"/>
  <c r="H12" i="282"/>
  <c r="H11" i="282"/>
  <c r="H10" i="282"/>
  <c r="H9" i="282"/>
  <c r="H8" i="282"/>
  <c r="H7" i="282"/>
  <c r="H6" i="282"/>
  <c r="G20" i="281"/>
  <c r="F20" i="281"/>
  <c r="D20" i="281"/>
  <c r="E20" i="281"/>
  <c r="C20" i="281"/>
  <c r="H19" i="281"/>
  <c r="H18" i="281"/>
  <c r="H17" i="281"/>
  <c r="H16" i="281"/>
  <c r="H15" i="281"/>
  <c r="H14" i="281"/>
  <c r="H13" i="281"/>
  <c r="H12" i="281"/>
  <c r="H11" i="281"/>
  <c r="H10" i="281"/>
  <c r="H9" i="281"/>
  <c r="H8" i="281"/>
  <c r="H7" i="281"/>
  <c r="H6" i="281"/>
  <c r="G20" i="280"/>
  <c r="C20" i="280"/>
  <c r="E20" i="280"/>
  <c r="F20" i="280"/>
  <c r="F22" i="280"/>
  <c r="D20" i="280"/>
  <c r="H19" i="280"/>
  <c r="H18" i="280"/>
  <c r="H17" i="280"/>
  <c r="H16" i="280"/>
  <c r="H15" i="280"/>
  <c r="H14" i="280"/>
  <c r="H13" i="280"/>
  <c r="H12" i="280"/>
  <c r="H11" i="280"/>
  <c r="H10" i="280"/>
  <c r="H9" i="280"/>
  <c r="H8" i="280"/>
  <c r="H7" i="280"/>
  <c r="H6" i="280"/>
  <c r="G20" i="279"/>
  <c r="F20" i="279"/>
  <c r="D20" i="279"/>
  <c r="E20" i="279"/>
  <c r="C20" i="279"/>
  <c r="H19" i="279"/>
  <c r="H18" i="279"/>
  <c r="H17" i="279"/>
  <c r="H16" i="279"/>
  <c r="H15" i="279"/>
  <c r="H14" i="279"/>
  <c r="H13" i="279"/>
  <c r="H12" i="279"/>
  <c r="H11" i="279"/>
  <c r="H10" i="279"/>
  <c r="H9" i="279"/>
  <c r="H8" i="279"/>
  <c r="H7" i="279"/>
  <c r="H6" i="279"/>
  <c r="G20" i="278"/>
  <c r="C20" i="278"/>
  <c r="E20" i="278"/>
  <c r="F20" i="278"/>
  <c r="D20" i="278"/>
  <c r="F22" i="278"/>
  <c r="H19" i="278"/>
  <c r="H18" i="278"/>
  <c r="H17" i="278"/>
  <c r="H16" i="278"/>
  <c r="H15" i="278"/>
  <c r="H14" i="278"/>
  <c r="H13" i="278"/>
  <c r="H12" i="278"/>
  <c r="H11" i="278"/>
  <c r="H10" i="278"/>
  <c r="H9" i="278"/>
  <c r="H8" i="278"/>
  <c r="H7" i="278"/>
  <c r="H6" i="278"/>
  <c r="G20" i="277"/>
  <c r="F20" i="277"/>
  <c r="F22" i="277"/>
  <c r="E20" i="277"/>
  <c r="D22" i="277"/>
  <c r="D20" i="277"/>
  <c r="C20" i="277"/>
  <c r="H19" i="277"/>
  <c r="H18" i="277"/>
  <c r="H17" i="277"/>
  <c r="H16" i="277"/>
  <c r="H15" i="277"/>
  <c r="H14" i="277"/>
  <c r="H13" i="277"/>
  <c r="H12" i="277"/>
  <c r="H11" i="277"/>
  <c r="H10" i="277"/>
  <c r="H9" i="277"/>
  <c r="H8" i="277"/>
  <c r="H7" i="277"/>
  <c r="H6" i="277"/>
  <c r="G20" i="276"/>
  <c r="F20" i="276"/>
  <c r="E20" i="276"/>
  <c r="D20" i="276"/>
  <c r="C20" i="276"/>
  <c r="H19" i="276"/>
  <c r="H18" i="276"/>
  <c r="H17" i="276"/>
  <c r="H16" i="276"/>
  <c r="H15" i="276"/>
  <c r="H14" i="276"/>
  <c r="H13" i="276"/>
  <c r="H12" i="276"/>
  <c r="H11" i="276"/>
  <c r="H10" i="276"/>
  <c r="H9" i="276"/>
  <c r="H8" i="276"/>
  <c r="H7" i="276"/>
  <c r="H6" i="276"/>
  <c r="G20" i="275"/>
  <c r="C20" i="275"/>
  <c r="E20" i="275"/>
  <c r="F20" i="275"/>
  <c r="D20" i="275"/>
  <c r="H19" i="275"/>
  <c r="H18" i="275"/>
  <c r="H17" i="275"/>
  <c r="H16" i="275"/>
  <c r="H15" i="275"/>
  <c r="H14" i="275"/>
  <c r="H13" i="275"/>
  <c r="H12" i="275"/>
  <c r="H11" i="275"/>
  <c r="H10" i="275"/>
  <c r="H9" i="275"/>
  <c r="H8" i="275"/>
  <c r="H7" i="275"/>
  <c r="H6" i="275"/>
  <c r="G20" i="274"/>
  <c r="C20" i="274"/>
  <c r="E20" i="274"/>
  <c r="F20" i="274"/>
  <c r="F22" i="274"/>
  <c r="D20" i="274"/>
  <c r="H19" i="274"/>
  <c r="H18" i="274"/>
  <c r="H17" i="274"/>
  <c r="H16" i="274"/>
  <c r="H15" i="274"/>
  <c r="H14" i="274"/>
  <c r="H13" i="274"/>
  <c r="H12" i="274"/>
  <c r="H11" i="274"/>
  <c r="H10" i="274"/>
  <c r="H9" i="274"/>
  <c r="H8" i="274"/>
  <c r="H7" i="274"/>
  <c r="H6" i="274"/>
  <c r="G20" i="273"/>
  <c r="F20" i="273"/>
  <c r="D20" i="273"/>
  <c r="E20" i="273"/>
  <c r="C20" i="273"/>
  <c r="H19" i="273"/>
  <c r="H18" i="273"/>
  <c r="H17" i="273"/>
  <c r="H16" i="273"/>
  <c r="H15" i="273"/>
  <c r="H14" i="273"/>
  <c r="H13" i="273"/>
  <c r="H12" i="273"/>
  <c r="H11" i="273"/>
  <c r="H10" i="273"/>
  <c r="H9" i="273"/>
  <c r="H8" i="273"/>
  <c r="H7" i="273"/>
  <c r="H6" i="273"/>
  <c r="G20" i="272"/>
  <c r="C20" i="272"/>
  <c r="E20" i="272"/>
  <c r="F20" i="272"/>
  <c r="F22" i="272"/>
  <c r="D20" i="272"/>
  <c r="H19" i="272"/>
  <c r="H18" i="272"/>
  <c r="H17" i="272"/>
  <c r="H16" i="272"/>
  <c r="H15" i="272"/>
  <c r="H14" i="272"/>
  <c r="H13" i="272"/>
  <c r="H12" i="272"/>
  <c r="H11" i="272"/>
  <c r="H10" i="272"/>
  <c r="H9" i="272"/>
  <c r="H8" i="272"/>
  <c r="H7" i="272"/>
  <c r="H6" i="272"/>
  <c r="G20" i="271"/>
  <c r="F20" i="271"/>
  <c r="E20" i="271"/>
  <c r="D20" i="271"/>
  <c r="C20" i="271"/>
  <c r="H19" i="271"/>
  <c r="H18" i="271"/>
  <c r="H17" i="271"/>
  <c r="H16" i="271"/>
  <c r="H15" i="271"/>
  <c r="H14" i="271"/>
  <c r="H13" i="271"/>
  <c r="H12" i="271"/>
  <c r="H11" i="271"/>
  <c r="H10" i="271"/>
  <c r="H9" i="271"/>
  <c r="H8" i="271"/>
  <c r="H7" i="271"/>
  <c r="H6" i="271"/>
  <c r="G20" i="270"/>
  <c r="C20" i="270"/>
  <c r="E20" i="270"/>
  <c r="F20" i="270"/>
  <c r="D20" i="270"/>
  <c r="F22" i="270"/>
  <c r="H19" i="270"/>
  <c r="H18" i="270"/>
  <c r="H17" i="270"/>
  <c r="H16" i="270"/>
  <c r="H15" i="270"/>
  <c r="H14" i="270"/>
  <c r="H13" i="270"/>
  <c r="H12" i="270"/>
  <c r="H11" i="270"/>
  <c r="H10" i="270"/>
  <c r="H9" i="270"/>
  <c r="H8" i="270"/>
  <c r="H7" i="270"/>
  <c r="H6" i="270"/>
  <c r="G20" i="269"/>
  <c r="F20" i="269"/>
  <c r="F22" i="269"/>
  <c r="E20" i="269"/>
  <c r="D22" i="269"/>
  <c r="D20" i="269"/>
  <c r="C20" i="269"/>
  <c r="H19" i="269"/>
  <c r="H18" i="269"/>
  <c r="H17" i="269"/>
  <c r="H16" i="269"/>
  <c r="H15" i="269"/>
  <c r="H14" i="269"/>
  <c r="H13" i="269"/>
  <c r="H12" i="269"/>
  <c r="H11" i="269"/>
  <c r="H10" i="269"/>
  <c r="H9" i="269"/>
  <c r="H8" i="269"/>
  <c r="H7" i="269"/>
  <c r="H6" i="269"/>
  <c r="G20" i="268"/>
  <c r="F20" i="268"/>
  <c r="E20" i="268"/>
  <c r="C20" i="268"/>
  <c r="D22" i="268"/>
  <c r="D20" i="268"/>
  <c r="H19" i="268"/>
  <c r="H18" i="268"/>
  <c r="H17" i="268"/>
  <c r="H16" i="268"/>
  <c r="H15" i="268"/>
  <c r="H14" i="268"/>
  <c r="H13" i="268"/>
  <c r="H12" i="268"/>
  <c r="H11" i="268"/>
  <c r="H10" i="268"/>
  <c r="H9" i="268"/>
  <c r="H8" i="268"/>
  <c r="H7" i="268"/>
  <c r="H6" i="268"/>
  <c r="G20" i="267"/>
  <c r="C20" i="267"/>
  <c r="E20" i="267"/>
  <c r="F20" i="267"/>
  <c r="D20" i="267"/>
  <c r="H19" i="267"/>
  <c r="H18" i="267"/>
  <c r="H17" i="267"/>
  <c r="H16" i="267"/>
  <c r="H15" i="267"/>
  <c r="H14" i="267"/>
  <c r="H13" i="267"/>
  <c r="H12" i="267"/>
  <c r="H11" i="267"/>
  <c r="H10" i="267"/>
  <c r="H9" i="267"/>
  <c r="H8" i="267"/>
  <c r="H7" i="267"/>
  <c r="H6" i="267"/>
  <c r="G20" i="266"/>
  <c r="D22" i="266"/>
  <c r="F20" i="266"/>
  <c r="E20" i="266"/>
  <c r="D20" i="266"/>
  <c r="C20" i="266"/>
  <c r="H19" i="266"/>
  <c r="H18" i="266"/>
  <c r="H17" i="266"/>
  <c r="H16" i="266"/>
  <c r="H15" i="266"/>
  <c r="H14" i="266"/>
  <c r="H13" i="266"/>
  <c r="H12" i="266"/>
  <c r="H11" i="266"/>
  <c r="H10" i="266"/>
  <c r="H9" i="266"/>
  <c r="H8" i="266"/>
  <c r="H7" i="266"/>
  <c r="H6" i="266"/>
  <c r="H6" i="265"/>
  <c r="H7" i="265"/>
  <c r="H8" i="265"/>
  <c r="H9" i="265"/>
  <c r="H10" i="265"/>
  <c r="H11" i="265"/>
  <c r="H12" i="265"/>
  <c r="H13" i="265"/>
  <c r="H14" i="265"/>
  <c r="H15" i="265"/>
  <c r="H16" i="265"/>
  <c r="H17" i="265"/>
  <c r="H18" i="265"/>
  <c r="H19" i="265"/>
  <c r="C20" i="265"/>
  <c r="D20" i="265"/>
  <c r="F20" i="265"/>
  <c r="E20" i="265"/>
  <c r="G20" i="265"/>
  <c r="G20" i="69"/>
  <c r="F20" i="69"/>
  <c r="E20" i="69"/>
  <c r="D20" i="69"/>
  <c r="F22" i="69"/>
  <c r="C20" i="69"/>
  <c r="H19" i="69"/>
  <c r="H18" i="69"/>
  <c r="H17" i="69"/>
  <c r="H16" i="69"/>
  <c r="H15" i="69"/>
  <c r="H14" i="69"/>
  <c r="H13" i="69"/>
  <c r="H12" i="69"/>
  <c r="H11" i="69"/>
  <c r="H10" i="69"/>
  <c r="H9" i="69"/>
  <c r="H8" i="69"/>
  <c r="H7" i="69"/>
  <c r="H6" i="69"/>
  <c r="G20" i="133"/>
  <c r="F20" i="133"/>
  <c r="E20" i="133"/>
  <c r="D20" i="133"/>
  <c r="C20" i="133"/>
  <c r="H19" i="133"/>
  <c r="H18" i="133"/>
  <c r="H17" i="133"/>
  <c r="H16" i="133"/>
  <c r="H15" i="133"/>
  <c r="H14" i="133"/>
  <c r="H13" i="133"/>
  <c r="H12" i="133"/>
  <c r="H11" i="133"/>
  <c r="H10" i="133"/>
  <c r="H9" i="133"/>
  <c r="H8" i="133"/>
  <c r="H7" i="133"/>
  <c r="H6" i="133"/>
  <c r="G20" i="190"/>
  <c r="C20" i="190"/>
  <c r="E20" i="190"/>
  <c r="F20" i="190"/>
  <c r="D20" i="190"/>
  <c r="H19" i="190"/>
  <c r="H18" i="190"/>
  <c r="H17" i="190"/>
  <c r="H16" i="190"/>
  <c r="H15" i="190"/>
  <c r="H14" i="190"/>
  <c r="H13" i="190"/>
  <c r="H12" i="190"/>
  <c r="H11" i="190"/>
  <c r="H10" i="190"/>
  <c r="H9" i="190"/>
  <c r="H8" i="190"/>
  <c r="H7" i="190"/>
  <c r="H6" i="190"/>
  <c r="G19" i="264"/>
  <c r="F19" i="264"/>
  <c r="E19" i="264"/>
  <c r="C19" i="264"/>
  <c r="D19" i="264"/>
  <c r="H18" i="264"/>
  <c r="H17" i="264"/>
  <c r="H16" i="264"/>
  <c r="H15" i="264"/>
  <c r="H14" i="264"/>
  <c r="H13" i="264"/>
  <c r="H12" i="264"/>
  <c r="H11" i="264"/>
  <c r="H10" i="264"/>
  <c r="H9" i="264"/>
  <c r="H8" i="264"/>
  <c r="H7" i="264"/>
  <c r="H6" i="264"/>
  <c r="G20" i="263"/>
  <c r="F20" i="263"/>
  <c r="E20" i="263"/>
  <c r="C20" i="263"/>
  <c r="D20" i="263"/>
  <c r="F22" i="263"/>
  <c r="H19" i="263"/>
  <c r="H18" i="263"/>
  <c r="H17" i="263"/>
  <c r="H16" i="263"/>
  <c r="H15" i="263"/>
  <c r="H14" i="263"/>
  <c r="H13" i="263"/>
  <c r="H12" i="263"/>
  <c r="H11" i="263"/>
  <c r="H10" i="263"/>
  <c r="H9" i="263"/>
  <c r="H8" i="263"/>
  <c r="H7" i="263"/>
  <c r="H6" i="263"/>
  <c r="G20" i="262"/>
  <c r="C20" i="262"/>
  <c r="E20" i="262"/>
  <c r="F20" i="262"/>
  <c r="D20" i="262"/>
  <c r="F22" i="262"/>
  <c r="H19" i="262"/>
  <c r="H18" i="262"/>
  <c r="H17" i="262"/>
  <c r="H16" i="262"/>
  <c r="H15" i="262"/>
  <c r="H14" i="262"/>
  <c r="H13" i="262"/>
  <c r="H12" i="262"/>
  <c r="H11" i="262"/>
  <c r="H10" i="262"/>
  <c r="H9" i="262"/>
  <c r="H8" i="262"/>
  <c r="H7" i="262"/>
  <c r="H6" i="262"/>
  <c r="G20" i="261"/>
  <c r="F20" i="261"/>
  <c r="E20" i="261"/>
  <c r="D22" i="261"/>
  <c r="C20" i="261"/>
  <c r="D20" i="261"/>
  <c r="H19" i="261"/>
  <c r="H18" i="261"/>
  <c r="H17" i="261"/>
  <c r="H16" i="261"/>
  <c r="H15" i="261"/>
  <c r="H14" i="261"/>
  <c r="H13" i="261"/>
  <c r="H12" i="261"/>
  <c r="H11" i="261"/>
  <c r="H10" i="261"/>
  <c r="H9" i="261"/>
  <c r="H8" i="261"/>
  <c r="H7" i="261"/>
  <c r="H6" i="261"/>
  <c r="G20" i="260"/>
  <c r="F20" i="260"/>
  <c r="E20" i="260"/>
  <c r="C20" i="260"/>
  <c r="D20" i="260"/>
  <c r="H19" i="260"/>
  <c r="H18" i="260"/>
  <c r="H17" i="260"/>
  <c r="H16" i="260"/>
  <c r="H15" i="260"/>
  <c r="H14" i="260"/>
  <c r="H13" i="260"/>
  <c r="H12" i="260"/>
  <c r="H11" i="260"/>
  <c r="H10" i="260"/>
  <c r="H9" i="260"/>
  <c r="H8" i="260"/>
  <c r="H7" i="260"/>
  <c r="H6" i="260"/>
  <c r="G20" i="259"/>
  <c r="F20" i="259"/>
  <c r="E20" i="259"/>
  <c r="D20" i="259"/>
  <c r="C20" i="259"/>
  <c r="H19" i="259"/>
  <c r="H18" i="259"/>
  <c r="H17" i="259"/>
  <c r="H16" i="259"/>
  <c r="H15" i="259"/>
  <c r="H14" i="259"/>
  <c r="H13" i="259"/>
  <c r="H12" i="259"/>
  <c r="H11" i="259"/>
  <c r="H10" i="259"/>
  <c r="H9" i="259"/>
  <c r="H8" i="259"/>
  <c r="H7" i="259"/>
  <c r="H6" i="259"/>
  <c r="G20" i="258"/>
  <c r="F20" i="258"/>
  <c r="F22" i="258"/>
  <c r="D20" i="258"/>
  <c r="E20" i="258"/>
  <c r="C20" i="258"/>
  <c r="H19" i="258"/>
  <c r="H18" i="258"/>
  <c r="H17" i="258"/>
  <c r="H16" i="258"/>
  <c r="H15" i="258"/>
  <c r="H14" i="258"/>
  <c r="H13" i="258"/>
  <c r="H12" i="258"/>
  <c r="H11" i="258"/>
  <c r="H10" i="258"/>
  <c r="H9" i="258"/>
  <c r="H8" i="258"/>
  <c r="H7" i="258"/>
  <c r="H6" i="258"/>
  <c r="G20" i="257"/>
  <c r="F20" i="257"/>
  <c r="D20" i="257"/>
  <c r="E20" i="257"/>
  <c r="C20" i="257"/>
  <c r="H19" i="257"/>
  <c r="H18" i="257"/>
  <c r="H17" i="257"/>
  <c r="H16" i="257"/>
  <c r="H15" i="257"/>
  <c r="H14" i="257"/>
  <c r="H13" i="257"/>
  <c r="H12" i="257"/>
  <c r="H11" i="257"/>
  <c r="H10" i="257"/>
  <c r="H9" i="257"/>
  <c r="H8" i="257"/>
  <c r="H7" i="257"/>
  <c r="H6" i="257"/>
  <c r="G20" i="256"/>
  <c r="F20" i="256"/>
  <c r="D20" i="256"/>
  <c r="F22" i="256"/>
  <c r="E20" i="256"/>
  <c r="C20" i="256"/>
  <c r="H19" i="256"/>
  <c r="H18" i="256"/>
  <c r="H17" i="256"/>
  <c r="H16" i="256"/>
  <c r="H15" i="256"/>
  <c r="H14" i="256"/>
  <c r="H13" i="256"/>
  <c r="H12" i="256"/>
  <c r="H11" i="256"/>
  <c r="H10" i="256"/>
  <c r="H9" i="256"/>
  <c r="H8" i="256"/>
  <c r="H7" i="256"/>
  <c r="H6" i="256"/>
  <c r="G20" i="255"/>
  <c r="D22" i="255"/>
  <c r="C20" i="255"/>
  <c r="E20" i="255"/>
  <c r="F20" i="255"/>
  <c r="D20" i="255"/>
  <c r="F22" i="255"/>
  <c r="H19" i="255"/>
  <c r="H18" i="255"/>
  <c r="H17" i="255"/>
  <c r="H16" i="255"/>
  <c r="H15" i="255"/>
  <c r="H14" i="255"/>
  <c r="H13" i="255"/>
  <c r="H12" i="255"/>
  <c r="H11" i="255"/>
  <c r="H10" i="255"/>
  <c r="H9" i="255"/>
  <c r="H8" i="255"/>
  <c r="H7" i="255"/>
  <c r="H6" i="255"/>
  <c r="G20" i="254"/>
  <c r="C20" i="254"/>
  <c r="E20" i="254"/>
  <c r="F20" i="254"/>
  <c r="D20" i="254"/>
  <c r="F22" i="254"/>
  <c r="H19" i="254"/>
  <c r="H18" i="254"/>
  <c r="H17" i="254"/>
  <c r="H16" i="254"/>
  <c r="H15" i="254"/>
  <c r="H14" i="254"/>
  <c r="H13" i="254"/>
  <c r="H12" i="254"/>
  <c r="H11" i="254"/>
  <c r="H10" i="254"/>
  <c r="H9" i="254"/>
  <c r="H8" i="254"/>
  <c r="H7" i="254"/>
  <c r="H6" i="254"/>
  <c r="G20" i="253"/>
  <c r="F20" i="253"/>
  <c r="E20" i="253"/>
  <c r="D20" i="253"/>
  <c r="C20" i="253"/>
  <c r="H19" i="253"/>
  <c r="H18" i="253"/>
  <c r="H17" i="253"/>
  <c r="H16" i="253"/>
  <c r="H15" i="253"/>
  <c r="H14" i="253"/>
  <c r="H13" i="253"/>
  <c r="H12" i="253"/>
  <c r="H11" i="253"/>
  <c r="H10" i="253"/>
  <c r="H9" i="253"/>
  <c r="H8" i="253"/>
  <c r="H7" i="253"/>
  <c r="H6" i="253"/>
  <c r="G20" i="252"/>
  <c r="F20" i="252"/>
  <c r="F22" i="252"/>
  <c r="D20" i="252"/>
  <c r="E20" i="252"/>
  <c r="C20" i="252"/>
  <c r="H19" i="252"/>
  <c r="H18" i="252"/>
  <c r="H17" i="252"/>
  <c r="H16" i="252"/>
  <c r="H15" i="252"/>
  <c r="H14" i="252"/>
  <c r="H13" i="252"/>
  <c r="H12" i="252"/>
  <c r="H11" i="252"/>
  <c r="H10" i="252"/>
  <c r="H9" i="252"/>
  <c r="H8" i="252"/>
  <c r="H7" i="252"/>
  <c r="H6" i="252"/>
  <c r="G20" i="251"/>
  <c r="C20" i="251"/>
  <c r="E20" i="251"/>
  <c r="F20" i="251"/>
  <c r="D20" i="251"/>
  <c r="H19" i="251"/>
  <c r="H18" i="251"/>
  <c r="H17" i="251"/>
  <c r="H16" i="251"/>
  <c r="H15" i="251"/>
  <c r="H14" i="251"/>
  <c r="H13" i="251"/>
  <c r="H12" i="251"/>
  <c r="H11" i="251"/>
  <c r="H10" i="251"/>
  <c r="H9" i="251"/>
  <c r="H8" i="251"/>
  <c r="H7" i="251"/>
  <c r="H6" i="251"/>
  <c r="G20" i="250"/>
  <c r="F20" i="250"/>
  <c r="D20" i="250"/>
  <c r="E20" i="250"/>
  <c r="C20" i="250"/>
  <c r="H19" i="250"/>
  <c r="H18" i="250"/>
  <c r="H17" i="250"/>
  <c r="H16" i="250"/>
  <c r="H15" i="250"/>
  <c r="H14" i="250"/>
  <c r="H13" i="250"/>
  <c r="H12" i="250"/>
  <c r="H11" i="250"/>
  <c r="H10" i="250"/>
  <c r="H9" i="250"/>
  <c r="H8" i="250"/>
  <c r="H7" i="250"/>
  <c r="H6" i="250"/>
  <c r="G20" i="249"/>
  <c r="C20" i="249"/>
  <c r="E20" i="249"/>
  <c r="F20" i="249"/>
  <c r="D20" i="249"/>
  <c r="H19" i="249"/>
  <c r="H18" i="249"/>
  <c r="H17" i="249"/>
  <c r="H16" i="249"/>
  <c r="H15" i="249"/>
  <c r="H14" i="249"/>
  <c r="H13" i="249"/>
  <c r="H12" i="249"/>
  <c r="H11" i="249"/>
  <c r="H10" i="249"/>
  <c r="H9" i="249"/>
  <c r="H8" i="249"/>
  <c r="H7" i="249"/>
  <c r="H6" i="249"/>
  <c r="G20" i="248"/>
  <c r="F20" i="248"/>
  <c r="E20" i="248"/>
  <c r="D20" i="248"/>
  <c r="F22" i="248"/>
  <c r="C20" i="248"/>
  <c r="H19" i="248"/>
  <c r="H18" i="248"/>
  <c r="H17" i="248"/>
  <c r="H16" i="248"/>
  <c r="H15" i="248"/>
  <c r="H14" i="248"/>
  <c r="H13" i="248"/>
  <c r="H12" i="248"/>
  <c r="H11" i="248"/>
  <c r="H10" i="248"/>
  <c r="H9" i="248"/>
  <c r="H8" i="248"/>
  <c r="H7" i="248"/>
  <c r="H6" i="248"/>
  <c r="G20" i="247"/>
  <c r="C20" i="247"/>
  <c r="E20" i="247"/>
  <c r="F20" i="247"/>
  <c r="D20" i="247"/>
  <c r="F22" i="247"/>
  <c r="H19" i="247"/>
  <c r="H18" i="247"/>
  <c r="H17" i="247"/>
  <c r="H16" i="247"/>
  <c r="H15" i="247"/>
  <c r="H14" i="247"/>
  <c r="H13" i="247"/>
  <c r="H12" i="247"/>
  <c r="H11" i="247"/>
  <c r="H10" i="247"/>
  <c r="H9" i="247"/>
  <c r="H8" i="247"/>
  <c r="H7" i="247"/>
  <c r="H6" i="247"/>
  <c r="G20" i="246"/>
  <c r="C20" i="246"/>
  <c r="E20" i="246"/>
  <c r="F20" i="246"/>
  <c r="D20" i="246"/>
  <c r="F22" i="246"/>
  <c r="H19" i="246"/>
  <c r="H18" i="246"/>
  <c r="H17" i="246"/>
  <c r="H16" i="246"/>
  <c r="H15" i="246"/>
  <c r="H14" i="246"/>
  <c r="H13" i="246"/>
  <c r="H12" i="246"/>
  <c r="H11" i="246"/>
  <c r="H10" i="246"/>
  <c r="H9" i="246"/>
  <c r="H8" i="246"/>
  <c r="H7" i="246"/>
  <c r="H6" i="246"/>
  <c r="G20" i="245"/>
  <c r="F20" i="245"/>
  <c r="F22" i="245"/>
  <c r="E20" i="245"/>
  <c r="D20" i="245"/>
  <c r="C20" i="245"/>
  <c r="H19" i="245"/>
  <c r="H18" i="245"/>
  <c r="H17" i="245"/>
  <c r="H16" i="245"/>
  <c r="H15" i="245"/>
  <c r="H14" i="245"/>
  <c r="H13" i="245"/>
  <c r="H12" i="245"/>
  <c r="H11" i="245"/>
  <c r="H10" i="245"/>
  <c r="H9" i="245"/>
  <c r="H8" i="245"/>
  <c r="H7" i="245"/>
  <c r="H6" i="245"/>
  <c r="G20" i="244"/>
  <c r="F20" i="244"/>
  <c r="F22" i="244"/>
  <c r="D20" i="244"/>
  <c r="E20" i="244"/>
  <c r="C20" i="244"/>
  <c r="H19" i="244"/>
  <c r="H18" i="244"/>
  <c r="H17" i="244"/>
  <c r="H16" i="244"/>
  <c r="H15" i="244"/>
  <c r="H14" i="244"/>
  <c r="H13" i="244"/>
  <c r="H12" i="244"/>
  <c r="H11" i="244"/>
  <c r="H10" i="244"/>
  <c r="H9" i="244"/>
  <c r="H8" i="244"/>
  <c r="H7" i="244"/>
  <c r="H6" i="244"/>
  <c r="G20" i="243"/>
  <c r="F20" i="243"/>
  <c r="D20" i="243"/>
  <c r="E20" i="243"/>
  <c r="C20" i="243"/>
  <c r="H19" i="243"/>
  <c r="H18" i="243"/>
  <c r="H17" i="243"/>
  <c r="H16" i="243"/>
  <c r="H15" i="243"/>
  <c r="H14" i="243"/>
  <c r="H13" i="243"/>
  <c r="H12" i="243"/>
  <c r="H11" i="243"/>
  <c r="H10" i="243"/>
  <c r="H9" i="243"/>
  <c r="H8" i="243"/>
  <c r="H7" i="243"/>
  <c r="H6" i="243"/>
  <c r="G20" i="242"/>
  <c r="C20" i="242"/>
  <c r="E20" i="242"/>
  <c r="F20" i="242"/>
  <c r="F22" i="242"/>
  <c r="D20" i="242"/>
  <c r="H19" i="242"/>
  <c r="H18" i="242"/>
  <c r="H17" i="242"/>
  <c r="H16" i="242"/>
  <c r="H15" i="242"/>
  <c r="H14" i="242"/>
  <c r="H13" i="242"/>
  <c r="H12" i="242"/>
  <c r="H11" i="242"/>
  <c r="H10" i="242"/>
  <c r="H9" i="242"/>
  <c r="H8" i="242"/>
  <c r="H7" i="242"/>
  <c r="H6" i="242"/>
  <c r="G20" i="241"/>
  <c r="F20" i="241"/>
  <c r="D20" i="241"/>
  <c r="F22" i="241"/>
  <c r="E20" i="241"/>
  <c r="C20" i="241"/>
  <c r="H19" i="241"/>
  <c r="H18" i="241"/>
  <c r="H17" i="241"/>
  <c r="H16" i="241"/>
  <c r="H15" i="241"/>
  <c r="H14" i="241"/>
  <c r="H13" i="241"/>
  <c r="H12" i="241"/>
  <c r="H11" i="241"/>
  <c r="H10" i="241"/>
  <c r="H9" i="241"/>
  <c r="H8" i="241"/>
  <c r="H7" i="241"/>
  <c r="H6" i="241"/>
  <c r="G20" i="240"/>
  <c r="F20" i="240"/>
  <c r="E20" i="240"/>
  <c r="D20" i="240"/>
  <c r="F22" i="240"/>
  <c r="C20" i="240"/>
  <c r="H19" i="240"/>
  <c r="H18" i="240"/>
  <c r="H17" i="240"/>
  <c r="H16" i="240"/>
  <c r="H15" i="240"/>
  <c r="H14" i="240"/>
  <c r="H13" i="240"/>
  <c r="H12" i="240"/>
  <c r="H11" i="240"/>
  <c r="H10" i="240"/>
  <c r="H9" i="240"/>
  <c r="H8" i="240"/>
  <c r="H7" i="240"/>
  <c r="H6" i="240"/>
  <c r="G20" i="239"/>
  <c r="C20" i="239"/>
  <c r="E20" i="239"/>
  <c r="F20" i="239"/>
  <c r="D20" i="239"/>
  <c r="H19" i="239"/>
  <c r="H18" i="239"/>
  <c r="H17" i="239"/>
  <c r="H16" i="239"/>
  <c r="H15" i="239"/>
  <c r="H14" i="239"/>
  <c r="H13" i="239"/>
  <c r="H12" i="239"/>
  <c r="H11" i="239"/>
  <c r="H10" i="239"/>
  <c r="H9" i="239"/>
  <c r="H8" i="239"/>
  <c r="H7" i="239"/>
  <c r="H6" i="239"/>
  <c r="G20" i="238"/>
  <c r="C20" i="238"/>
  <c r="E20" i="238"/>
  <c r="F20" i="238"/>
  <c r="D20" i="238"/>
  <c r="H19" i="238"/>
  <c r="H18" i="238"/>
  <c r="H17" i="238"/>
  <c r="H16" i="238"/>
  <c r="H15" i="238"/>
  <c r="H14" i="238"/>
  <c r="H13" i="238"/>
  <c r="H12" i="238"/>
  <c r="H11" i="238"/>
  <c r="H10" i="238"/>
  <c r="H9" i="238"/>
  <c r="H8" i="238"/>
  <c r="H7" i="238"/>
  <c r="H6" i="238"/>
  <c r="G20" i="237"/>
  <c r="F20" i="237"/>
  <c r="D20" i="237"/>
  <c r="E20" i="237"/>
  <c r="C20" i="237"/>
  <c r="H19" i="237"/>
  <c r="H18" i="237"/>
  <c r="H17" i="237"/>
  <c r="H16" i="237"/>
  <c r="H15" i="237"/>
  <c r="H14" i="237"/>
  <c r="H13" i="237"/>
  <c r="H12" i="237"/>
  <c r="H11" i="237"/>
  <c r="H10" i="237"/>
  <c r="H9" i="237"/>
  <c r="H8" i="237"/>
  <c r="H7" i="237"/>
  <c r="H6" i="237"/>
  <c r="G20" i="236"/>
  <c r="F20" i="236"/>
  <c r="E20" i="236"/>
  <c r="C20" i="236"/>
  <c r="D22" i="236"/>
  <c r="D20" i="236"/>
  <c r="H19" i="236"/>
  <c r="H18" i="236"/>
  <c r="H17" i="236"/>
  <c r="H16" i="236"/>
  <c r="H15" i="236"/>
  <c r="H14" i="236"/>
  <c r="H13" i="236"/>
  <c r="H12" i="236"/>
  <c r="H11" i="236"/>
  <c r="H10" i="236"/>
  <c r="H9" i="236"/>
  <c r="H8" i="236"/>
  <c r="H7" i="236"/>
  <c r="H6" i="236"/>
  <c r="G20" i="235"/>
  <c r="F20" i="235"/>
  <c r="D20" i="235"/>
  <c r="E20" i="235"/>
  <c r="C20" i="235"/>
  <c r="H19" i="235"/>
  <c r="H18" i="235"/>
  <c r="H17" i="235"/>
  <c r="H16" i="235"/>
  <c r="H15" i="235"/>
  <c r="H14" i="235"/>
  <c r="H13" i="235"/>
  <c r="H12" i="235"/>
  <c r="H11" i="235"/>
  <c r="H10" i="235"/>
  <c r="H9" i="235"/>
  <c r="H8" i="235"/>
  <c r="H7" i="235"/>
  <c r="H6" i="235"/>
  <c r="G20" i="234"/>
  <c r="D22" i="234"/>
  <c r="F20" i="234"/>
  <c r="F22" i="234"/>
  <c r="D20" i="234"/>
  <c r="E20" i="234"/>
  <c r="C20" i="234"/>
  <c r="H19" i="234"/>
  <c r="H18" i="234"/>
  <c r="H17" i="234"/>
  <c r="H16" i="234"/>
  <c r="H15" i="234"/>
  <c r="H14" i="234"/>
  <c r="H13" i="234"/>
  <c r="H12" i="234"/>
  <c r="H11" i="234"/>
  <c r="H10" i="234"/>
  <c r="H9" i="234"/>
  <c r="H8" i="234"/>
  <c r="H7" i="234"/>
  <c r="H6" i="234"/>
  <c r="G20" i="233"/>
  <c r="F20" i="233"/>
  <c r="D20" i="233"/>
  <c r="E20" i="233"/>
  <c r="C20" i="233"/>
  <c r="H19" i="233"/>
  <c r="H18" i="233"/>
  <c r="H17" i="233"/>
  <c r="H16" i="233"/>
  <c r="H15" i="233"/>
  <c r="H14" i="233"/>
  <c r="H13" i="233"/>
  <c r="H12" i="233"/>
  <c r="H11" i="233"/>
  <c r="H10" i="233"/>
  <c r="H9" i="233"/>
  <c r="H8" i="233"/>
  <c r="H7" i="233"/>
  <c r="H6" i="233"/>
  <c r="G20" i="232"/>
  <c r="C20" i="232"/>
  <c r="E20" i="232"/>
  <c r="F20" i="232"/>
  <c r="D20" i="232"/>
  <c r="H19" i="232"/>
  <c r="H18" i="232"/>
  <c r="H17" i="232"/>
  <c r="H16" i="232"/>
  <c r="H15" i="232"/>
  <c r="H14" i="232"/>
  <c r="H13" i="232"/>
  <c r="H12" i="232"/>
  <c r="H11" i="232"/>
  <c r="H10" i="232"/>
  <c r="H9" i="232"/>
  <c r="H8" i="232"/>
  <c r="H7" i="232"/>
  <c r="H6" i="232"/>
  <c r="G20" i="231"/>
  <c r="C20" i="231"/>
  <c r="E20" i="231"/>
  <c r="F20" i="231"/>
  <c r="D20" i="231"/>
  <c r="F22" i="231"/>
  <c r="H19" i="231"/>
  <c r="H18" i="231"/>
  <c r="H17" i="231"/>
  <c r="H16" i="231"/>
  <c r="H15" i="231"/>
  <c r="H14" i="231"/>
  <c r="H13" i="231"/>
  <c r="H12" i="231"/>
  <c r="H11" i="231"/>
  <c r="H10" i="231"/>
  <c r="H9" i="231"/>
  <c r="H8" i="231"/>
  <c r="H7" i="231"/>
  <c r="H6" i="231"/>
  <c r="G20" i="230"/>
  <c r="C20" i="230"/>
  <c r="E20" i="230"/>
  <c r="F20" i="230"/>
  <c r="D20" i="230"/>
  <c r="H19" i="230"/>
  <c r="H18" i="230"/>
  <c r="H17" i="230"/>
  <c r="H16" i="230"/>
  <c r="H15" i="230"/>
  <c r="H14" i="230"/>
  <c r="H13" i="230"/>
  <c r="H12" i="230"/>
  <c r="H11" i="230"/>
  <c r="H10" i="230"/>
  <c r="H9" i="230"/>
  <c r="H8" i="230"/>
  <c r="H7" i="230"/>
  <c r="H6" i="230"/>
  <c r="G20" i="229"/>
  <c r="F20" i="229"/>
  <c r="D20" i="229"/>
  <c r="F22" i="229"/>
  <c r="E20" i="229"/>
  <c r="C20" i="229"/>
  <c r="H19" i="229"/>
  <c r="H18" i="229"/>
  <c r="H17" i="229"/>
  <c r="H16" i="229"/>
  <c r="H15" i="229"/>
  <c r="H14" i="229"/>
  <c r="H13" i="229"/>
  <c r="H12" i="229"/>
  <c r="H11" i="229"/>
  <c r="H10" i="229"/>
  <c r="H9" i="229"/>
  <c r="H8" i="229"/>
  <c r="H7" i="229"/>
  <c r="H6" i="229"/>
  <c r="G20" i="228"/>
  <c r="F20" i="228"/>
  <c r="D20" i="228"/>
  <c r="E20" i="228"/>
  <c r="C20" i="228"/>
  <c r="H19" i="228"/>
  <c r="H18" i="228"/>
  <c r="H17" i="228"/>
  <c r="H16" i="228"/>
  <c r="H15" i="228"/>
  <c r="H14" i="228"/>
  <c r="H13" i="228"/>
  <c r="H12" i="228"/>
  <c r="H11" i="228"/>
  <c r="H10" i="228"/>
  <c r="H9" i="228"/>
  <c r="H8" i="228"/>
  <c r="H7" i="228"/>
  <c r="H6" i="228"/>
  <c r="G20" i="227"/>
  <c r="F20" i="227"/>
  <c r="D20" i="227"/>
  <c r="E20" i="227"/>
  <c r="C20" i="227"/>
  <c r="H19" i="227"/>
  <c r="H18" i="227"/>
  <c r="H17" i="227"/>
  <c r="H16" i="227"/>
  <c r="H15" i="227"/>
  <c r="H14" i="227"/>
  <c r="H13" i="227"/>
  <c r="H12" i="227"/>
  <c r="H11" i="227"/>
  <c r="H10" i="227"/>
  <c r="H9" i="227"/>
  <c r="H8" i="227"/>
  <c r="H7" i="227"/>
  <c r="H6" i="227"/>
  <c r="G20" i="226"/>
  <c r="C20" i="226"/>
  <c r="E20" i="226"/>
  <c r="F20" i="226"/>
  <c r="D20" i="226"/>
  <c r="H19" i="226"/>
  <c r="H18" i="226"/>
  <c r="H17" i="226"/>
  <c r="H16" i="226"/>
  <c r="H15" i="226"/>
  <c r="H14" i="226"/>
  <c r="H13" i="226"/>
  <c r="H12" i="226"/>
  <c r="H11" i="226"/>
  <c r="H10" i="226"/>
  <c r="H9" i="226"/>
  <c r="H8" i="226"/>
  <c r="H7" i="226"/>
  <c r="H6" i="226"/>
  <c r="G20" i="225"/>
  <c r="C20" i="225"/>
  <c r="E20" i="225"/>
  <c r="F20" i="225"/>
  <c r="D20" i="225"/>
  <c r="H19" i="225"/>
  <c r="H18" i="225"/>
  <c r="H17" i="225"/>
  <c r="H16" i="225"/>
  <c r="H15" i="225"/>
  <c r="H14" i="225"/>
  <c r="H13" i="225"/>
  <c r="H12" i="225"/>
  <c r="H11" i="225"/>
  <c r="H10" i="225"/>
  <c r="H9" i="225"/>
  <c r="H8" i="225"/>
  <c r="H7" i="225"/>
  <c r="H6" i="225"/>
  <c r="G20" i="224"/>
  <c r="F20" i="224"/>
  <c r="E20" i="224"/>
  <c r="D20" i="224"/>
  <c r="C20" i="224"/>
  <c r="H19" i="224"/>
  <c r="H18" i="224"/>
  <c r="H17" i="224"/>
  <c r="H16" i="224"/>
  <c r="H15" i="224"/>
  <c r="H14" i="224"/>
  <c r="H13" i="224"/>
  <c r="H12" i="224"/>
  <c r="H11" i="224"/>
  <c r="H10" i="224"/>
  <c r="H9" i="224"/>
  <c r="H8" i="224"/>
  <c r="H7" i="224"/>
  <c r="H6" i="224"/>
  <c r="G20" i="223"/>
  <c r="C20" i="223"/>
  <c r="E20" i="223"/>
  <c r="F20" i="223"/>
  <c r="D20" i="223"/>
  <c r="F22" i="223"/>
  <c r="H19" i="223"/>
  <c r="H18" i="223"/>
  <c r="H17" i="223"/>
  <c r="H16" i="223"/>
  <c r="H15" i="223"/>
  <c r="H14" i="223"/>
  <c r="H13" i="223"/>
  <c r="H12" i="223"/>
  <c r="H11" i="223"/>
  <c r="H10" i="223"/>
  <c r="H9" i="223"/>
  <c r="H8" i="223"/>
  <c r="H7" i="223"/>
  <c r="H6" i="223"/>
  <c r="G20" i="222"/>
  <c r="C20" i="222"/>
  <c r="E20" i="222"/>
  <c r="F20" i="222"/>
  <c r="D20" i="222"/>
  <c r="F22" i="222"/>
  <c r="H19" i="222"/>
  <c r="H18" i="222"/>
  <c r="H17" i="222"/>
  <c r="H16" i="222"/>
  <c r="H15" i="222"/>
  <c r="H14" i="222"/>
  <c r="H13" i="222"/>
  <c r="H12" i="222"/>
  <c r="H11" i="222"/>
  <c r="H10" i="222"/>
  <c r="H9" i="222"/>
  <c r="H8" i="222"/>
  <c r="H7" i="222"/>
  <c r="H6" i="222"/>
  <c r="G20" i="221"/>
  <c r="C20" i="221"/>
  <c r="E20" i="221"/>
  <c r="F20" i="221"/>
  <c r="D20" i="221"/>
  <c r="H19" i="221"/>
  <c r="H18" i="221"/>
  <c r="H17" i="221"/>
  <c r="H16" i="221"/>
  <c r="H15" i="221"/>
  <c r="H14" i="221"/>
  <c r="H13" i="221"/>
  <c r="H12" i="221"/>
  <c r="H11" i="221"/>
  <c r="H10" i="221"/>
  <c r="H9" i="221"/>
  <c r="H8" i="221"/>
  <c r="H7" i="221"/>
  <c r="H6" i="221"/>
  <c r="G20" i="220"/>
  <c r="F20" i="220"/>
  <c r="E20" i="220"/>
  <c r="C20" i="220"/>
  <c r="D20" i="220"/>
  <c r="H19" i="220"/>
  <c r="H18" i="220"/>
  <c r="H17" i="220"/>
  <c r="H16" i="220"/>
  <c r="H15" i="220"/>
  <c r="H14" i="220"/>
  <c r="H13" i="220"/>
  <c r="H12" i="220"/>
  <c r="H11" i="220"/>
  <c r="H10" i="220"/>
  <c r="H9" i="220"/>
  <c r="H8" i="220"/>
  <c r="H7" i="220"/>
  <c r="H6" i="220"/>
  <c r="G20" i="219"/>
  <c r="C20" i="219"/>
  <c r="E20" i="219"/>
  <c r="F20" i="219"/>
  <c r="D20" i="219"/>
  <c r="F22" i="219"/>
  <c r="H19" i="219"/>
  <c r="H18" i="219"/>
  <c r="H17" i="219"/>
  <c r="H16" i="219"/>
  <c r="H15" i="219"/>
  <c r="H14" i="219"/>
  <c r="H13" i="219"/>
  <c r="H12" i="219"/>
  <c r="H11" i="219"/>
  <c r="H10" i="219"/>
  <c r="H9" i="219"/>
  <c r="H8" i="219"/>
  <c r="H7" i="219"/>
  <c r="H6" i="219"/>
  <c r="G20" i="218"/>
  <c r="F20" i="218"/>
  <c r="D20" i="218"/>
  <c r="E20" i="218"/>
  <c r="C20" i="218"/>
  <c r="H19" i="218"/>
  <c r="H18" i="218"/>
  <c r="H17" i="218"/>
  <c r="H16" i="218"/>
  <c r="H15" i="218"/>
  <c r="H14" i="218"/>
  <c r="H13" i="218"/>
  <c r="H12" i="218"/>
  <c r="H11" i="218"/>
  <c r="H10" i="218"/>
  <c r="H9" i="218"/>
  <c r="H8" i="218"/>
  <c r="H7" i="218"/>
  <c r="H6" i="218"/>
  <c r="G20" i="217"/>
  <c r="F20" i="217"/>
  <c r="D20" i="217"/>
  <c r="F22" i="217"/>
  <c r="E20" i="217"/>
  <c r="C20" i="217"/>
  <c r="H19" i="217"/>
  <c r="H18" i="217"/>
  <c r="H17" i="217"/>
  <c r="H16" i="217"/>
  <c r="H15" i="217"/>
  <c r="H14" i="217"/>
  <c r="H13" i="217"/>
  <c r="H12" i="217"/>
  <c r="H11" i="217"/>
  <c r="H10" i="217"/>
  <c r="H9" i="217"/>
  <c r="H8" i="217"/>
  <c r="H7" i="217"/>
  <c r="H6" i="217"/>
  <c r="G20" i="216"/>
  <c r="C20" i="216"/>
  <c r="E20" i="216"/>
  <c r="F20" i="216"/>
  <c r="D20" i="216"/>
  <c r="H19" i="216"/>
  <c r="H18" i="216"/>
  <c r="H17" i="216"/>
  <c r="H16" i="216"/>
  <c r="H15" i="216"/>
  <c r="H14" i="216"/>
  <c r="H13" i="216"/>
  <c r="H12" i="216"/>
  <c r="H11" i="216"/>
  <c r="H10" i="216"/>
  <c r="H9" i="216"/>
  <c r="H8" i="216"/>
  <c r="H7" i="216"/>
  <c r="H6" i="216"/>
  <c r="G20" i="215"/>
  <c r="C20" i="215"/>
  <c r="E20" i="215"/>
  <c r="F20" i="215"/>
  <c r="D20" i="215"/>
  <c r="F22" i="215"/>
  <c r="H19" i="215"/>
  <c r="H18" i="215"/>
  <c r="H17" i="215"/>
  <c r="H16" i="215"/>
  <c r="H15" i="215"/>
  <c r="H14" i="215"/>
  <c r="H13" i="215"/>
  <c r="H12" i="215"/>
  <c r="H11" i="215"/>
  <c r="H10" i="215"/>
  <c r="H9" i="215"/>
  <c r="H8" i="215"/>
  <c r="H7" i="215"/>
  <c r="H6" i="215"/>
  <c r="G20" i="214"/>
  <c r="C20" i="214"/>
  <c r="E20" i="214"/>
  <c r="F20" i="214"/>
  <c r="D20" i="214"/>
  <c r="F22" i="214"/>
  <c r="H19" i="214"/>
  <c r="H18" i="214"/>
  <c r="H17" i="214"/>
  <c r="H16" i="214"/>
  <c r="H15" i="214"/>
  <c r="H14" i="214"/>
  <c r="H13" i="214"/>
  <c r="H12" i="214"/>
  <c r="H11" i="214"/>
  <c r="H10" i="214"/>
  <c r="H9" i="214"/>
  <c r="H8" i="214"/>
  <c r="H7" i="214"/>
  <c r="H6" i="214"/>
  <c r="G20" i="213"/>
  <c r="F20" i="213"/>
  <c r="F22" i="213"/>
  <c r="E20" i="213"/>
  <c r="C20" i="213"/>
  <c r="D20" i="213"/>
  <c r="H19" i="213"/>
  <c r="H18" i="213"/>
  <c r="H17" i="213"/>
  <c r="H16" i="213"/>
  <c r="H15" i="213"/>
  <c r="H14" i="213"/>
  <c r="H13" i="213"/>
  <c r="H12" i="213"/>
  <c r="H11" i="213"/>
  <c r="H10" i="213"/>
  <c r="H9" i="213"/>
  <c r="H8" i="213"/>
  <c r="H7" i="213"/>
  <c r="H6" i="213"/>
  <c r="G20" i="212"/>
  <c r="F20" i="212"/>
  <c r="D20" i="212"/>
  <c r="E20" i="212"/>
  <c r="C20" i="212"/>
  <c r="H19" i="212"/>
  <c r="H18" i="212"/>
  <c r="H17" i="212"/>
  <c r="H16" i="212"/>
  <c r="H15" i="212"/>
  <c r="H14" i="212"/>
  <c r="H13" i="212"/>
  <c r="H12" i="212"/>
  <c r="H11" i="212"/>
  <c r="H10" i="212"/>
  <c r="H9" i="212"/>
  <c r="H8" i="212"/>
  <c r="H7" i="212"/>
  <c r="H6" i="212"/>
  <c r="G20" i="211"/>
  <c r="F20" i="211"/>
  <c r="E20" i="211"/>
  <c r="D20" i="211"/>
  <c r="C20" i="211"/>
  <c r="H19" i="211"/>
  <c r="H18" i="211"/>
  <c r="H17" i="211"/>
  <c r="H16" i="211"/>
  <c r="H15" i="211"/>
  <c r="H14" i="211"/>
  <c r="H13" i="211"/>
  <c r="H12" i="211"/>
  <c r="H11" i="211"/>
  <c r="H10" i="211"/>
  <c r="H9" i="211"/>
  <c r="H8" i="211"/>
  <c r="H7" i="211"/>
  <c r="H6" i="211"/>
  <c r="G20" i="210"/>
  <c r="F20" i="210"/>
  <c r="D20" i="210"/>
  <c r="E20" i="210"/>
  <c r="C20" i="210"/>
  <c r="H19" i="210"/>
  <c r="H18" i="210"/>
  <c r="H17" i="210"/>
  <c r="H16" i="210"/>
  <c r="H15" i="210"/>
  <c r="H14" i="210"/>
  <c r="H13" i="210"/>
  <c r="H12" i="210"/>
  <c r="H11" i="210"/>
  <c r="H10" i="210"/>
  <c r="H9" i="210"/>
  <c r="H8" i="210"/>
  <c r="H7" i="210"/>
  <c r="H6" i="210"/>
  <c r="G20" i="209"/>
  <c r="F20" i="209"/>
  <c r="D20" i="209"/>
  <c r="F22" i="209"/>
  <c r="E20" i="209"/>
  <c r="C20" i="209"/>
  <c r="H19" i="209"/>
  <c r="H18" i="209"/>
  <c r="H17" i="209"/>
  <c r="H16" i="209"/>
  <c r="H15" i="209"/>
  <c r="H14" i="209"/>
  <c r="H13" i="209"/>
  <c r="H12" i="209"/>
  <c r="H11" i="209"/>
  <c r="H10" i="209"/>
  <c r="H9" i="209"/>
  <c r="H8" i="209"/>
  <c r="H7" i="209"/>
  <c r="H6" i="209"/>
  <c r="G20" i="208"/>
  <c r="F20" i="208"/>
  <c r="E20" i="208"/>
  <c r="D20" i="208"/>
  <c r="C20" i="208"/>
  <c r="H19" i="208"/>
  <c r="H18" i="208"/>
  <c r="H17" i="208"/>
  <c r="H16" i="208"/>
  <c r="H15" i="208"/>
  <c r="H14" i="208"/>
  <c r="H13" i="208"/>
  <c r="H12" i="208"/>
  <c r="H11" i="208"/>
  <c r="H10" i="208"/>
  <c r="H9" i="208"/>
  <c r="H8" i="208"/>
  <c r="H7" i="208"/>
  <c r="H6" i="208"/>
  <c r="G20" i="207"/>
  <c r="C20" i="207"/>
  <c r="E20" i="207"/>
  <c r="F20" i="207"/>
  <c r="D20" i="207"/>
  <c r="F22" i="207"/>
  <c r="H19" i="207"/>
  <c r="H18" i="207"/>
  <c r="H17" i="207"/>
  <c r="H16" i="207"/>
  <c r="H15" i="207"/>
  <c r="H14" i="207"/>
  <c r="H13" i="207"/>
  <c r="H12" i="207"/>
  <c r="H11" i="207"/>
  <c r="H10" i="207"/>
  <c r="H9" i="207"/>
  <c r="H8" i="207"/>
  <c r="H7" i="207"/>
  <c r="H6" i="207"/>
  <c r="G20" i="206"/>
  <c r="C20" i="206"/>
  <c r="E20" i="206"/>
  <c r="F20" i="206"/>
  <c r="D20" i="206"/>
  <c r="F22" i="206"/>
  <c r="H19" i="206"/>
  <c r="H18" i="206"/>
  <c r="H17" i="206"/>
  <c r="H16" i="206"/>
  <c r="H15" i="206"/>
  <c r="H14" i="206"/>
  <c r="H13" i="206"/>
  <c r="H12" i="206"/>
  <c r="H11" i="206"/>
  <c r="H10" i="206"/>
  <c r="H9" i="206"/>
  <c r="H8" i="206"/>
  <c r="H7" i="206"/>
  <c r="H6" i="206"/>
  <c r="G20" i="205"/>
  <c r="C20" i="205"/>
  <c r="E20" i="205"/>
  <c r="F20" i="205"/>
  <c r="D20" i="205"/>
  <c r="H19" i="205"/>
  <c r="H18" i="205"/>
  <c r="H17" i="205"/>
  <c r="H16" i="205"/>
  <c r="H15" i="205"/>
  <c r="H14" i="205"/>
  <c r="H13" i="205"/>
  <c r="H12" i="205"/>
  <c r="H11" i="205"/>
  <c r="H10" i="205"/>
  <c r="H9" i="205"/>
  <c r="H8" i="205"/>
  <c r="H7" i="205"/>
  <c r="H6" i="205"/>
  <c r="G20" i="204"/>
  <c r="F20" i="204"/>
  <c r="E20" i="204"/>
  <c r="C20" i="204"/>
  <c r="D20" i="204"/>
  <c r="H19" i="204"/>
  <c r="H18" i="204"/>
  <c r="H17" i="204"/>
  <c r="H16" i="204"/>
  <c r="H15" i="204"/>
  <c r="H14" i="204"/>
  <c r="H13" i="204"/>
  <c r="H12" i="204"/>
  <c r="H11" i="204"/>
  <c r="H10" i="204"/>
  <c r="H9" i="204"/>
  <c r="H8" i="204"/>
  <c r="H7" i="204"/>
  <c r="H6" i="204"/>
  <c r="G20" i="203"/>
  <c r="C20" i="203"/>
  <c r="E20" i="203"/>
  <c r="F20" i="203"/>
  <c r="D20" i="203"/>
  <c r="H19" i="203"/>
  <c r="H18" i="203"/>
  <c r="H17" i="203"/>
  <c r="H16" i="203"/>
  <c r="H15" i="203"/>
  <c r="H14" i="203"/>
  <c r="H13" i="203"/>
  <c r="H12" i="203"/>
  <c r="H11" i="203"/>
  <c r="H10" i="203"/>
  <c r="H9" i="203"/>
  <c r="H8" i="203"/>
  <c r="H7" i="203"/>
  <c r="H6" i="203"/>
  <c r="G20" i="202"/>
  <c r="F20" i="202"/>
  <c r="D20" i="202"/>
  <c r="E20" i="202"/>
  <c r="C20" i="202"/>
  <c r="H19" i="202"/>
  <c r="H18" i="202"/>
  <c r="H17" i="202"/>
  <c r="H16" i="202"/>
  <c r="H15" i="202"/>
  <c r="H14" i="202"/>
  <c r="H13" i="202"/>
  <c r="H12" i="202"/>
  <c r="H11" i="202"/>
  <c r="H10" i="202"/>
  <c r="H9" i="202"/>
  <c r="H8" i="202"/>
  <c r="H7" i="202"/>
  <c r="H6" i="202"/>
  <c r="G20" i="201"/>
  <c r="F20" i="201"/>
  <c r="D20" i="201"/>
  <c r="F22" i="201"/>
  <c r="E20" i="201"/>
  <c r="C20" i="201"/>
  <c r="H19" i="201"/>
  <c r="H18" i="201"/>
  <c r="H17" i="201"/>
  <c r="H16" i="201"/>
  <c r="H15" i="201"/>
  <c r="H14" i="201"/>
  <c r="H13" i="201"/>
  <c r="H12" i="201"/>
  <c r="H11" i="201"/>
  <c r="H10" i="201"/>
  <c r="H9" i="201"/>
  <c r="H8" i="201"/>
  <c r="H7" i="201"/>
  <c r="H6" i="201"/>
  <c r="G20" i="200"/>
  <c r="F20" i="200"/>
  <c r="E20" i="200"/>
  <c r="D20" i="200"/>
  <c r="C20" i="200"/>
  <c r="H19" i="200"/>
  <c r="H18" i="200"/>
  <c r="H17" i="200"/>
  <c r="H16" i="200"/>
  <c r="H15" i="200"/>
  <c r="H14" i="200"/>
  <c r="H13" i="200"/>
  <c r="H12" i="200"/>
  <c r="H11" i="200"/>
  <c r="H10" i="200"/>
  <c r="H9" i="200"/>
  <c r="H8" i="200"/>
  <c r="H7" i="200"/>
  <c r="H6" i="200"/>
  <c r="G20" i="199"/>
  <c r="C20" i="199"/>
  <c r="E20" i="199"/>
  <c r="F20" i="199"/>
  <c r="D20" i="199"/>
  <c r="F22" i="199"/>
  <c r="H19" i="199"/>
  <c r="H18" i="199"/>
  <c r="H17" i="199"/>
  <c r="H16" i="199"/>
  <c r="H15" i="199"/>
  <c r="H14" i="199"/>
  <c r="H13" i="199"/>
  <c r="H12" i="199"/>
  <c r="H11" i="199"/>
  <c r="H10" i="199"/>
  <c r="H9" i="199"/>
  <c r="H8" i="199"/>
  <c r="H7" i="199"/>
  <c r="H6" i="199"/>
  <c r="G20" i="198"/>
  <c r="C20" i="198"/>
  <c r="E20" i="198"/>
  <c r="F20" i="198"/>
  <c r="D20" i="198"/>
  <c r="F22" i="198"/>
  <c r="H19" i="198"/>
  <c r="H18" i="198"/>
  <c r="H17" i="198"/>
  <c r="H16" i="198"/>
  <c r="H15" i="198"/>
  <c r="H14" i="198"/>
  <c r="H13" i="198"/>
  <c r="H12" i="198"/>
  <c r="H11" i="198"/>
  <c r="H10" i="198"/>
  <c r="H9" i="198"/>
  <c r="H8" i="198"/>
  <c r="H7" i="198"/>
  <c r="H6" i="198"/>
  <c r="G20" i="197"/>
  <c r="F20" i="197"/>
  <c r="D20" i="197"/>
  <c r="E20" i="197"/>
  <c r="C20" i="197"/>
  <c r="H19" i="197"/>
  <c r="H18" i="197"/>
  <c r="H17" i="197"/>
  <c r="H16" i="197"/>
  <c r="H15" i="197"/>
  <c r="H14" i="197"/>
  <c r="H13" i="197"/>
  <c r="H12" i="197"/>
  <c r="H11" i="197"/>
  <c r="H10" i="197"/>
  <c r="H9" i="197"/>
  <c r="H8" i="197"/>
  <c r="H7" i="197"/>
  <c r="H6" i="197"/>
  <c r="G20" i="196"/>
  <c r="F20" i="196"/>
  <c r="D20" i="196"/>
  <c r="E20" i="196"/>
  <c r="C20" i="196"/>
  <c r="H19" i="196"/>
  <c r="H18" i="196"/>
  <c r="H17" i="196"/>
  <c r="H16" i="196"/>
  <c r="H15" i="196"/>
  <c r="H14" i="196"/>
  <c r="H13" i="196"/>
  <c r="H12" i="196"/>
  <c r="H11" i="196"/>
  <c r="H10" i="196"/>
  <c r="H9" i="196"/>
  <c r="H8" i="196"/>
  <c r="H7" i="196"/>
  <c r="H6" i="196"/>
  <c r="G20" i="195"/>
  <c r="F20" i="195"/>
  <c r="E20" i="195"/>
  <c r="D20" i="195"/>
  <c r="C20" i="195"/>
  <c r="H19" i="195"/>
  <c r="H18" i="195"/>
  <c r="H17" i="195"/>
  <c r="H16" i="195"/>
  <c r="H15" i="195"/>
  <c r="H14" i="195"/>
  <c r="H13" i="195"/>
  <c r="H12" i="195"/>
  <c r="H11" i="195"/>
  <c r="H10" i="195"/>
  <c r="H9" i="195"/>
  <c r="H8" i="195"/>
  <c r="H7" i="195"/>
  <c r="H6" i="195"/>
  <c r="G20" i="194"/>
  <c r="C20" i="194"/>
  <c r="E20" i="194"/>
  <c r="F20" i="194"/>
  <c r="D20" i="194"/>
  <c r="H19" i="194"/>
  <c r="H18" i="194"/>
  <c r="H17" i="194"/>
  <c r="H16" i="194"/>
  <c r="H15" i="194"/>
  <c r="H14" i="194"/>
  <c r="H13" i="194"/>
  <c r="H12" i="194"/>
  <c r="H11" i="194"/>
  <c r="H10" i="194"/>
  <c r="H9" i="194"/>
  <c r="H8" i="194"/>
  <c r="H7" i="194"/>
  <c r="H6" i="194"/>
  <c r="G20" i="193"/>
  <c r="F20" i="193"/>
  <c r="D20" i="193"/>
  <c r="F22" i="193"/>
  <c r="E20" i="193"/>
  <c r="C20" i="193"/>
  <c r="H19" i="193"/>
  <c r="H18" i="193"/>
  <c r="H17" i="193"/>
  <c r="H16" i="193"/>
  <c r="H15" i="193"/>
  <c r="H14" i="193"/>
  <c r="H13" i="193"/>
  <c r="H12" i="193"/>
  <c r="H11" i="193"/>
  <c r="H10" i="193"/>
  <c r="H9" i="193"/>
  <c r="H8" i="193"/>
  <c r="H7" i="193"/>
  <c r="H6" i="193"/>
  <c r="G20" i="192"/>
  <c r="F20" i="192"/>
  <c r="E20" i="192"/>
  <c r="D20" i="192"/>
  <c r="C20" i="192"/>
  <c r="H19" i="192"/>
  <c r="H18" i="192"/>
  <c r="H17" i="192"/>
  <c r="H16" i="192"/>
  <c r="H15" i="192"/>
  <c r="H14" i="192"/>
  <c r="H13" i="192"/>
  <c r="H12" i="192"/>
  <c r="H11" i="192"/>
  <c r="H10" i="192"/>
  <c r="H9" i="192"/>
  <c r="H8" i="192"/>
  <c r="H7" i="192"/>
  <c r="H6" i="192"/>
  <c r="G20" i="191"/>
  <c r="C20" i="191"/>
  <c r="E20" i="191"/>
  <c r="F20" i="191"/>
  <c r="D20" i="191"/>
  <c r="F22" i="191"/>
  <c r="H19" i="191"/>
  <c r="H18" i="191"/>
  <c r="H17" i="191"/>
  <c r="H16" i="191"/>
  <c r="H15" i="191"/>
  <c r="H14" i="191"/>
  <c r="H13" i="191"/>
  <c r="H12" i="191"/>
  <c r="H11" i="191"/>
  <c r="H10" i="191"/>
  <c r="H9" i="191"/>
  <c r="H8" i="191"/>
  <c r="H7" i="191"/>
  <c r="H6" i="191"/>
  <c r="G20" i="189"/>
  <c r="C20" i="189"/>
  <c r="E20" i="189"/>
  <c r="F20" i="189"/>
  <c r="D20" i="189"/>
  <c r="F22" i="189"/>
  <c r="H19" i="189"/>
  <c r="H18" i="189"/>
  <c r="H17" i="189"/>
  <c r="H16" i="189"/>
  <c r="H15" i="189"/>
  <c r="H14" i="189"/>
  <c r="H13" i="189"/>
  <c r="H12" i="189"/>
  <c r="H11" i="189"/>
  <c r="H10" i="189"/>
  <c r="H9" i="189"/>
  <c r="H8" i="189"/>
  <c r="H7" i="189"/>
  <c r="H6" i="189"/>
  <c r="G20" i="188"/>
  <c r="C20" i="188"/>
  <c r="E20" i="188"/>
  <c r="F20" i="188"/>
  <c r="D20" i="188"/>
  <c r="H19" i="188"/>
  <c r="H18" i="188"/>
  <c r="H17" i="188"/>
  <c r="H16" i="188"/>
  <c r="H15" i="188"/>
  <c r="H14" i="188"/>
  <c r="H13" i="188"/>
  <c r="H12" i="188"/>
  <c r="H11" i="188"/>
  <c r="H10" i="188"/>
  <c r="H9" i="188"/>
  <c r="H8" i="188"/>
  <c r="H7" i="188"/>
  <c r="H6" i="188"/>
  <c r="G20" i="187"/>
  <c r="F20" i="187"/>
  <c r="D20" i="187"/>
  <c r="E20" i="187"/>
  <c r="C20" i="187"/>
  <c r="H19" i="187"/>
  <c r="H18" i="187"/>
  <c r="H17" i="187"/>
  <c r="H16" i="187"/>
  <c r="H15" i="187"/>
  <c r="H14" i="187"/>
  <c r="H13" i="187"/>
  <c r="H12" i="187"/>
  <c r="H11" i="187"/>
  <c r="H10" i="187"/>
  <c r="H9" i="187"/>
  <c r="H8" i="187"/>
  <c r="H7" i="187"/>
  <c r="H6" i="187"/>
  <c r="G20" i="186"/>
  <c r="F20" i="186"/>
  <c r="E20" i="186"/>
  <c r="C20" i="186"/>
  <c r="D20" i="186"/>
  <c r="H19" i="186"/>
  <c r="H18" i="186"/>
  <c r="H17" i="186"/>
  <c r="H16" i="186"/>
  <c r="H15" i="186"/>
  <c r="H14" i="186"/>
  <c r="H13" i="186"/>
  <c r="H12" i="186"/>
  <c r="H11" i="186"/>
  <c r="H10" i="186"/>
  <c r="H9" i="186"/>
  <c r="H8" i="186"/>
  <c r="H7" i="186"/>
  <c r="H6" i="186"/>
  <c r="G20" i="185"/>
  <c r="D22" i="185"/>
  <c r="F20" i="185"/>
  <c r="D20" i="185"/>
  <c r="E20" i="185"/>
  <c r="C20" i="185"/>
  <c r="H19" i="185"/>
  <c r="H18" i="185"/>
  <c r="H17" i="185"/>
  <c r="H16" i="185"/>
  <c r="H15" i="185"/>
  <c r="H14" i="185"/>
  <c r="H13" i="185"/>
  <c r="H12" i="185"/>
  <c r="H11" i="185"/>
  <c r="H10" i="185"/>
  <c r="H9" i="185"/>
  <c r="H8" i="185"/>
  <c r="H7" i="185"/>
  <c r="H6" i="185"/>
  <c r="G20" i="184"/>
  <c r="F20" i="184"/>
  <c r="D20" i="184"/>
  <c r="F22" i="184"/>
  <c r="E20" i="184"/>
  <c r="C20" i="184"/>
  <c r="H19" i="184"/>
  <c r="H18" i="184"/>
  <c r="H17" i="184"/>
  <c r="H16" i="184"/>
  <c r="H15" i="184"/>
  <c r="H14" i="184"/>
  <c r="H13" i="184"/>
  <c r="H12" i="184"/>
  <c r="H11" i="184"/>
  <c r="H10" i="184"/>
  <c r="H9" i="184"/>
  <c r="H8" i="184"/>
  <c r="H7" i="184"/>
  <c r="H6" i="184"/>
  <c r="G20" i="183"/>
  <c r="F20" i="183"/>
  <c r="E20" i="183"/>
  <c r="D20" i="183"/>
  <c r="C20" i="183"/>
  <c r="H19" i="183"/>
  <c r="H18" i="183"/>
  <c r="H17" i="183"/>
  <c r="H16" i="183"/>
  <c r="H15" i="183"/>
  <c r="H14" i="183"/>
  <c r="H13" i="183"/>
  <c r="H12" i="183"/>
  <c r="H11" i="183"/>
  <c r="H10" i="183"/>
  <c r="H9" i="183"/>
  <c r="H8" i="183"/>
  <c r="H7" i="183"/>
  <c r="H6" i="183"/>
  <c r="G20" i="1"/>
  <c r="C20" i="1"/>
  <c r="E20" i="1"/>
  <c r="F20" i="1"/>
  <c r="D20" i="1"/>
  <c r="F22" i="1"/>
  <c r="H19" i="1"/>
  <c r="H18" i="1"/>
  <c r="H17" i="1"/>
  <c r="H16" i="1"/>
  <c r="H15" i="1"/>
  <c r="H14" i="1"/>
  <c r="H13" i="1"/>
  <c r="H12" i="1"/>
  <c r="H11" i="1"/>
  <c r="H10" i="1"/>
  <c r="H9" i="1"/>
  <c r="H8" i="1"/>
  <c r="H7" i="1"/>
  <c r="H6" i="1"/>
  <c r="G20" i="181"/>
  <c r="C20" i="181"/>
  <c r="E20" i="181"/>
  <c r="F20" i="181"/>
  <c r="D20" i="181"/>
  <c r="F22" i="181"/>
  <c r="H19" i="181"/>
  <c r="H18" i="181"/>
  <c r="H17" i="181"/>
  <c r="H16" i="181"/>
  <c r="H15" i="181"/>
  <c r="H14" i="181"/>
  <c r="H13" i="181"/>
  <c r="H12" i="181"/>
  <c r="H11" i="181"/>
  <c r="H10" i="181"/>
  <c r="H9" i="181"/>
  <c r="H8" i="181"/>
  <c r="H7" i="181"/>
  <c r="H6" i="181"/>
  <c r="G20" i="180"/>
  <c r="F20" i="180"/>
  <c r="D20" i="180"/>
  <c r="E20" i="180"/>
  <c r="C20" i="180"/>
  <c r="H19" i="180"/>
  <c r="H18" i="180"/>
  <c r="H17" i="180"/>
  <c r="H16" i="180"/>
  <c r="H15" i="180"/>
  <c r="H14" i="180"/>
  <c r="H13" i="180"/>
  <c r="H12" i="180"/>
  <c r="H11" i="180"/>
  <c r="H10" i="180"/>
  <c r="H9" i="180"/>
  <c r="H8" i="180"/>
  <c r="H7" i="180"/>
  <c r="H6" i="180"/>
  <c r="G20" i="179"/>
  <c r="C20" i="179"/>
  <c r="E20" i="179"/>
  <c r="F20" i="179"/>
  <c r="D20" i="179"/>
  <c r="H19" i="179"/>
  <c r="H18" i="179"/>
  <c r="H17" i="179"/>
  <c r="H16" i="179"/>
  <c r="H15" i="179"/>
  <c r="H14" i="179"/>
  <c r="H13" i="179"/>
  <c r="H12" i="179"/>
  <c r="H11" i="179"/>
  <c r="H10" i="179"/>
  <c r="H9" i="179"/>
  <c r="H8" i="179"/>
  <c r="H7" i="179"/>
  <c r="H6" i="179"/>
  <c r="G20" i="178"/>
  <c r="F20" i="178"/>
  <c r="D20" i="178"/>
  <c r="E20" i="178"/>
  <c r="C20" i="178"/>
  <c r="H19" i="178"/>
  <c r="H18" i="178"/>
  <c r="H17" i="178"/>
  <c r="H16" i="178"/>
  <c r="H15" i="178"/>
  <c r="H14" i="178"/>
  <c r="H13" i="178"/>
  <c r="H12" i="178"/>
  <c r="H11" i="178"/>
  <c r="H10" i="178"/>
  <c r="H9" i="178"/>
  <c r="H8" i="178"/>
  <c r="H7" i="178"/>
  <c r="H6" i="178"/>
  <c r="G20" i="177"/>
  <c r="C20" i="177"/>
  <c r="E20" i="177"/>
  <c r="F20" i="177"/>
  <c r="D20" i="177"/>
  <c r="H19" i="177"/>
  <c r="H18" i="177"/>
  <c r="H17" i="177"/>
  <c r="H16" i="177"/>
  <c r="H15" i="177"/>
  <c r="H14" i="177"/>
  <c r="H13" i="177"/>
  <c r="H12" i="177"/>
  <c r="H11" i="177"/>
  <c r="H10" i="177"/>
  <c r="H9" i="177"/>
  <c r="H8" i="177"/>
  <c r="H7" i="177"/>
  <c r="H6" i="177"/>
  <c r="G20" i="176"/>
  <c r="C20" i="176"/>
  <c r="E20" i="176"/>
  <c r="F20" i="176"/>
  <c r="D20" i="176"/>
  <c r="H19" i="176"/>
  <c r="H18" i="176"/>
  <c r="H17" i="176"/>
  <c r="H16" i="176"/>
  <c r="H15" i="176"/>
  <c r="H14" i="176"/>
  <c r="H13" i="176"/>
  <c r="H12" i="176"/>
  <c r="H11" i="176"/>
  <c r="H10" i="176"/>
  <c r="H9" i="176"/>
  <c r="H8" i="176"/>
  <c r="H7" i="176"/>
  <c r="H6" i="176"/>
  <c r="G20" i="175"/>
  <c r="C20" i="175"/>
  <c r="E20" i="175"/>
  <c r="F20" i="175"/>
  <c r="D20" i="175"/>
  <c r="H19" i="175"/>
  <c r="H18" i="175"/>
  <c r="H17" i="175"/>
  <c r="H16" i="175"/>
  <c r="H15" i="175"/>
  <c r="H14" i="175"/>
  <c r="H13" i="175"/>
  <c r="H12" i="175"/>
  <c r="H11" i="175"/>
  <c r="H10" i="175"/>
  <c r="H9" i="175"/>
  <c r="H8" i="175"/>
  <c r="H7" i="175"/>
  <c r="H6" i="175"/>
  <c r="G20" i="174"/>
  <c r="C20" i="174"/>
  <c r="E20" i="174"/>
  <c r="F20" i="174"/>
  <c r="D20" i="174"/>
  <c r="F22" i="174"/>
  <c r="H19" i="174"/>
  <c r="H18" i="174"/>
  <c r="H17" i="174"/>
  <c r="H16" i="174"/>
  <c r="H15" i="174"/>
  <c r="H14" i="174"/>
  <c r="H13" i="174"/>
  <c r="H12" i="174"/>
  <c r="H11" i="174"/>
  <c r="H10" i="174"/>
  <c r="H9" i="174"/>
  <c r="H8" i="174"/>
  <c r="H7" i="174"/>
  <c r="H6" i="174"/>
  <c r="G20" i="173"/>
  <c r="C20" i="173"/>
  <c r="E20" i="173"/>
  <c r="F20" i="173"/>
  <c r="D20" i="173"/>
  <c r="F22" i="173"/>
  <c r="H19" i="173"/>
  <c r="H18" i="173"/>
  <c r="H17" i="173"/>
  <c r="H16" i="173"/>
  <c r="H15" i="173"/>
  <c r="H14" i="173"/>
  <c r="H13" i="173"/>
  <c r="H12" i="173"/>
  <c r="H11" i="173"/>
  <c r="H10" i="173"/>
  <c r="H9" i="173"/>
  <c r="H8" i="173"/>
  <c r="H7" i="173"/>
  <c r="H6" i="173"/>
  <c r="G20" i="172"/>
  <c r="F20" i="172"/>
  <c r="F22" i="172"/>
  <c r="E20" i="172"/>
  <c r="D20" i="172"/>
  <c r="C20" i="172"/>
  <c r="H19" i="172"/>
  <c r="H18" i="172"/>
  <c r="H17" i="172"/>
  <c r="H16" i="172"/>
  <c r="H15" i="172"/>
  <c r="H14" i="172"/>
  <c r="H13" i="172"/>
  <c r="H12" i="172"/>
  <c r="H11" i="172"/>
  <c r="H10" i="172"/>
  <c r="H9" i="172"/>
  <c r="H8" i="172"/>
  <c r="H7" i="172"/>
  <c r="H6" i="172"/>
  <c r="G20" i="171"/>
  <c r="F20" i="171"/>
  <c r="E20" i="171"/>
  <c r="C20" i="171"/>
  <c r="D20" i="171"/>
  <c r="H19" i="171"/>
  <c r="H18" i="171"/>
  <c r="H17" i="171"/>
  <c r="H16" i="171"/>
  <c r="H15" i="171"/>
  <c r="H14" i="171"/>
  <c r="H13" i="171"/>
  <c r="H12" i="171"/>
  <c r="H11" i="171"/>
  <c r="H10" i="171"/>
  <c r="H9" i="171"/>
  <c r="H8" i="171"/>
  <c r="H7" i="171"/>
  <c r="H6" i="171"/>
  <c r="G20" i="170"/>
  <c r="F20" i="170"/>
  <c r="D20" i="170"/>
  <c r="E20" i="170"/>
  <c r="C20" i="170"/>
  <c r="H19" i="170"/>
  <c r="H18" i="170"/>
  <c r="H17" i="170"/>
  <c r="H16" i="170"/>
  <c r="H15" i="170"/>
  <c r="H14" i="170"/>
  <c r="H13" i="170"/>
  <c r="H12" i="170"/>
  <c r="H11" i="170"/>
  <c r="H10" i="170"/>
  <c r="H9" i="170"/>
  <c r="H8" i="170"/>
  <c r="H7" i="170"/>
  <c r="H6" i="170"/>
  <c r="G20" i="169"/>
  <c r="F20" i="169"/>
  <c r="D20" i="169"/>
  <c r="E20" i="169"/>
  <c r="C20" i="169"/>
  <c r="H19" i="169"/>
  <c r="H18" i="169"/>
  <c r="H17" i="169"/>
  <c r="H16" i="169"/>
  <c r="H15" i="169"/>
  <c r="H14" i="169"/>
  <c r="H13" i="169"/>
  <c r="H12" i="169"/>
  <c r="H11" i="169"/>
  <c r="H10" i="169"/>
  <c r="H9" i="169"/>
  <c r="H8" i="169"/>
  <c r="H7" i="169"/>
  <c r="H6" i="169"/>
  <c r="G20" i="168"/>
  <c r="F20" i="168"/>
  <c r="D20" i="168"/>
  <c r="F22" i="168"/>
  <c r="E20" i="168"/>
  <c r="C20" i="168"/>
  <c r="H19" i="168"/>
  <c r="H18" i="168"/>
  <c r="H17" i="168"/>
  <c r="H16" i="168"/>
  <c r="H15" i="168"/>
  <c r="H14" i="168"/>
  <c r="H13" i="168"/>
  <c r="H12" i="168"/>
  <c r="H11" i="168"/>
  <c r="H10" i="168"/>
  <c r="H9" i="168"/>
  <c r="H8" i="168"/>
  <c r="H7" i="168"/>
  <c r="H6" i="168"/>
  <c r="G20" i="167"/>
  <c r="F20" i="167"/>
  <c r="D20" i="167"/>
  <c r="F22" i="167"/>
  <c r="E20" i="167"/>
  <c r="C20" i="167"/>
  <c r="H19" i="167"/>
  <c r="H18" i="167"/>
  <c r="H17" i="167"/>
  <c r="H16" i="167"/>
  <c r="H15" i="167"/>
  <c r="H14" i="167"/>
  <c r="H13" i="167"/>
  <c r="H12" i="167"/>
  <c r="H11" i="167"/>
  <c r="H10" i="167"/>
  <c r="H9" i="167"/>
  <c r="H8" i="167"/>
  <c r="H7" i="167"/>
  <c r="H6" i="167"/>
  <c r="G20" i="166"/>
  <c r="C20" i="166"/>
  <c r="E20" i="166"/>
  <c r="F20" i="166"/>
  <c r="D20" i="166"/>
  <c r="F22" i="166"/>
  <c r="H19" i="166"/>
  <c r="H18" i="166"/>
  <c r="H17" i="166"/>
  <c r="H16" i="166"/>
  <c r="H15" i="166"/>
  <c r="H14" i="166"/>
  <c r="H13" i="166"/>
  <c r="H12" i="166"/>
  <c r="H11" i="166"/>
  <c r="H10" i="166"/>
  <c r="H9" i="166"/>
  <c r="H8" i="166"/>
  <c r="H7" i="166"/>
  <c r="H6" i="166"/>
  <c r="G20" i="165"/>
  <c r="C20" i="165"/>
  <c r="E20" i="165"/>
  <c r="F20" i="165"/>
  <c r="D20" i="165"/>
  <c r="F22" i="165"/>
  <c r="H19" i="165"/>
  <c r="H18" i="165"/>
  <c r="H17" i="165"/>
  <c r="H16" i="165"/>
  <c r="H15" i="165"/>
  <c r="H14" i="165"/>
  <c r="H13" i="165"/>
  <c r="H12" i="165"/>
  <c r="H11" i="165"/>
  <c r="H10" i="165"/>
  <c r="H9" i="165"/>
  <c r="H8" i="165"/>
  <c r="H7" i="165"/>
  <c r="H6" i="165"/>
  <c r="G20" i="164"/>
  <c r="F20" i="164"/>
  <c r="E20" i="164"/>
  <c r="C20" i="164"/>
  <c r="D20" i="164"/>
  <c r="H19" i="164"/>
  <c r="H18" i="164"/>
  <c r="H17" i="164"/>
  <c r="H16" i="164"/>
  <c r="H15" i="164"/>
  <c r="H14" i="164"/>
  <c r="H13" i="164"/>
  <c r="H12" i="164"/>
  <c r="H11" i="164"/>
  <c r="H10" i="164"/>
  <c r="H9" i="164"/>
  <c r="H8" i="164"/>
  <c r="H7" i="164"/>
  <c r="H6" i="164"/>
  <c r="G20" i="163"/>
  <c r="F20" i="163"/>
  <c r="E20" i="163"/>
  <c r="C20" i="163"/>
  <c r="D20" i="163"/>
  <c r="H19" i="163"/>
  <c r="H18" i="163"/>
  <c r="H17" i="163"/>
  <c r="H16" i="163"/>
  <c r="H15" i="163"/>
  <c r="H14" i="163"/>
  <c r="H13" i="163"/>
  <c r="H12" i="163"/>
  <c r="H11" i="163"/>
  <c r="H10" i="163"/>
  <c r="H9" i="163"/>
  <c r="H8" i="163"/>
  <c r="H7" i="163"/>
  <c r="H6" i="163"/>
  <c r="G20" i="162"/>
  <c r="F20" i="162"/>
  <c r="D20" i="162"/>
  <c r="E20" i="162"/>
  <c r="C20" i="162"/>
  <c r="H19" i="162"/>
  <c r="H18" i="162"/>
  <c r="H17" i="162"/>
  <c r="H16" i="162"/>
  <c r="H15" i="162"/>
  <c r="H14" i="162"/>
  <c r="H13" i="162"/>
  <c r="H12" i="162"/>
  <c r="H11" i="162"/>
  <c r="H10" i="162"/>
  <c r="H9" i="162"/>
  <c r="H8" i="162"/>
  <c r="H7" i="162"/>
  <c r="H6" i="162"/>
  <c r="G20" i="161"/>
  <c r="C20" i="161"/>
  <c r="E20" i="161"/>
  <c r="F20" i="161"/>
  <c r="F22" i="161"/>
  <c r="D20" i="161"/>
  <c r="H19" i="161"/>
  <c r="H18" i="161"/>
  <c r="H17" i="161"/>
  <c r="H16" i="161"/>
  <c r="H15" i="161"/>
  <c r="H14" i="161"/>
  <c r="H13" i="161"/>
  <c r="H12" i="161"/>
  <c r="H11" i="161"/>
  <c r="H10" i="161"/>
  <c r="H9" i="161"/>
  <c r="H8" i="161"/>
  <c r="H7" i="161"/>
  <c r="H6" i="161"/>
  <c r="G20" i="160"/>
  <c r="F20" i="160"/>
  <c r="D20" i="160"/>
  <c r="F22" i="160"/>
  <c r="E20" i="160"/>
  <c r="C20" i="160"/>
  <c r="H19" i="160"/>
  <c r="H18" i="160"/>
  <c r="H17" i="160"/>
  <c r="H16" i="160"/>
  <c r="H15" i="160"/>
  <c r="H14" i="160"/>
  <c r="H13" i="160"/>
  <c r="H12" i="160"/>
  <c r="H11" i="160"/>
  <c r="H10" i="160"/>
  <c r="H9" i="160"/>
  <c r="H8" i="160"/>
  <c r="H7" i="160"/>
  <c r="H6" i="160"/>
  <c r="G20" i="159"/>
  <c r="F20" i="159"/>
  <c r="D20" i="159"/>
  <c r="F22" i="159"/>
  <c r="E20" i="159"/>
  <c r="C20" i="159"/>
  <c r="H19" i="159"/>
  <c r="H18" i="159"/>
  <c r="H17" i="159"/>
  <c r="H16" i="159"/>
  <c r="H15" i="159"/>
  <c r="H14" i="159"/>
  <c r="H13" i="159"/>
  <c r="H12" i="159"/>
  <c r="H11" i="159"/>
  <c r="H10" i="159"/>
  <c r="H9" i="159"/>
  <c r="H8" i="159"/>
  <c r="H7" i="159"/>
  <c r="H6" i="159"/>
  <c r="G20" i="158"/>
  <c r="C20" i="158"/>
  <c r="E20" i="158"/>
  <c r="F20" i="158"/>
  <c r="D20" i="158"/>
  <c r="F22" i="158"/>
  <c r="H19" i="158"/>
  <c r="H18" i="158"/>
  <c r="H17" i="158"/>
  <c r="H16" i="158"/>
  <c r="H15" i="158"/>
  <c r="H14" i="158"/>
  <c r="H13" i="158"/>
  <c r="H12" i="158"/>
  <c r="H11" i="158"/>
  <c r="H10" i="158"/>
  <c r="H9" i="158"/>
  <c r="H8" i="158"/>
  <c r="H7" i="158"/>
  <c r="H6" i="158"/>
  <c r="G20" i="157"/>
  <c r="F20" i="157"/>
  <c r="D20" i="157"/>
  <c r="E20" i="157"/>
  <c r="C20" i="157"/>
  <c r="D22" i="157"/>
  <c r="H19" i="157"/>
  <c r="H18" i="157"/>
  <c r="H17" i="157"/>
  <c r="H16" i="157"/>
  <c r="H15" i="157"/>
  <c r="H14" i="157"/>
  <c r="H13" i="157"/>
  <c r="H12" i="157"/>
  <c r="H11" i="157"/>
  <c r="H10" i="157"/>
  <c r="H9" i="157"/>
  <c r="H8" i="157"/>
  <c r="H7" i="157"/>
  <c r="H6" i="157"/>
  <c r="G20" i="156"/>
  <c r="F20" i="156"/>
  <c r="D20" i="156"/>
  <c r="E20" i="156"/>
  <c r="C20" i="156"/>
  <c r="H19" i="156"/>
  <c r="H18" i="156"/>
  <c r="H17" i="156"/>
  <c r="H16" i="156"/>
  <c r="H15" i="156"/>
  <c r="H14" i="156"/>
  <c r="H13" i="156"/>
  <c r="H12" i="156"/>
  <c r="H11" i="156"/>
  <c r="H10" i="156"/>
  <c r="H9" i="156"/>
  <c r="H8" i="156"/>
  <c r="H7" i="156"/>
  <c r="H6" i="156"/>
  <c r="G20" i="155"/>
  <c r="F20" i="155"/>
  <c r="D20" i="155"/>
  <c r="E20" i="155"/>
  <c r="C20" i="155"/>
  <c r="H19" i="155"/>
  <c r="H18" i="155"/>
  <c r="H17" i="155"/>
  <c r="H16" i="155"/>
  <c r="H15" i="155"/>
  <c r="H14" i="155"/>
  <c r="H13" i="155"/>
  <c r="H12" i="155"/>
  <c r="H11" i="155"/>
  <c r="H10" i="155"/>
  <c r="H9" i="155"/>
  <c r="H8" i="155"/>
  <c r="H7" i="155"/>
  <c r="H6" i="155"/>
  <c r="G20" i="154"/>
  <c r="C20" i="154"/>
  <c r="E20" i="154"/>
  <c r="F20" i="154"/>
  <c r="D20" i="154"/>
  <c r="H19" i="154"/>
  <c r="H18" i="154"/>
  <c r="H17" i="154"/>
  <c r="H16" i="154"/>
  <c r="H15" i="154"/>
  <c r="H14" i="154"/>
  <c r="H13" i="154"/>
  <c r="H12" i="154"/>
  <c r="H11" i="154"/>
  <c r="H10" i="154"/>
  <c r="H9" i="154"/>
  <c r="H8" i="154"/>
  <c r="H7" i="154"/>
  <c r="H6" i="154"/>
  <c r="G20" i="153"/>
  <c r="C20" i="153"/>
  <c r="E20" i="153"/>
  <c r="F20" i="153"/>
  <c r="F22" i="153"/>
  <c r="D20" i="153"/>
  <c r="H19" i="153"/>
  <c r="H18" i="153"/>
  <c r="H17" i="153"/>
  <c r="H16" i="153"/>
  <c r="H15" i="153"/>
  <c r="H14" i="153"/>
  <c r="H13" i="153"/>
  <c r="H12" i="153"/>
  <c r="H11" i="153"/>
  <c r="H10" i="153"/>
  <c r="H9" i="153"/>
  <c r="H8" i="153"/>
  <c r="H7" i="153"/>
  <c r="H6" i="153"/>
  <c r="G20" i="152"/>
  <c r="C20" i="152"/>
  <c r="E20" i="152"/>
  <c r="F20" i="152"/>
  <c r="D20" i="152"/>
  <c r="H19" i="152"/>
  <c r="H18" i="152"/>
  <c r="H17" i="152"/>
  <c r="H16" i="152"/>
  <c r="H15" i="152"/>
  <c r="H14" i="152"/>
  <c r="H13" i="152"/>
  <c r="H12" i="152"/>
  <c r="H11" i="152"/>
  <c r="H10" i="152"/>
  <c r="H9" i="152"/>
  <c r="H8" i="152"/>
  <c r="H7" i="152"/>
  <c r="H6" i="152"/>
  <c r="G20" i="151"/>
  <c r="F20" i="151"/>
  <c r="D20" i="151"/>
  <c r="F22" i="151"/>
  <c r="E20" i="151"/>
  <c r="C20" i="151"/>
  <c r="H19" i="151"/>
  <c r="H18" i="151"/>
  <c r="H17" i="151"/>
  <c r="H16" i="151"/>
  <c r="H15" i="151"/>
  <c r="H14" i="151"/>
  <c r="H13" i="151"/>
  <c r="H12" i="151"/>
  <c r="H11" i="151"/>
  <c r="H10" i="151"/>
  <c r="H9" i="151"/>
  <c r="H8" i="151"/>
  <c r="H7" i="151"/>
  <c r="H6" i="151"/>
  <c r="G20" i="149"/>
  <c r="C20" i="149"/>
  <c r="E20" i="149"/>
  <c r="F20" i="149"/>
  <c r="D20" i="149"/>
  <c r="F22" i="149"/>
  <c r="H19" i="149"/>
  <c r="H18" i="149"/>
  <c r="H17" i="149"/>
  <c r="H16" i="149"/>
  <c r="H15" i="149"/>
  <c r="H14" i="149"/>
  <c r="H13" i="149"/>
  <c r="H12" i="149"/>
  <c r="H11" i="149"/>
  <c r="H10" i="149"/>
  <c r="H9" i="149"/>
  <c r="H8" i="149"/>
  <c r="H7" i="149"/>
  <c r="H6" i="149"/>
  <c r="G20" i="148"/>
  <c r="F20" i="148"/>
  <c r="D20" i="148"/>
  <c r="E20" i="148"/>
  <c r="C20" i="148"/>
  <c r="D22" i="148"/>
  <c r="H19" i="148"/>
  <c r="H18" i="148"/>
  <c r="H17" i="148"/>
  <c r="H16" i="148"/>
  <c r="H15" i="148"/>
  <c r="H14" i="148"/>
  <c r="H13" i="148"/>
  <c r="H12" i="148"/>
  <c r="H11" i="148"/>
  <c r="H10" i="148"/>
  <c r="H9" i="148"/>
  <c r="H8" i="148"/>
  <c r="H7" i="148"/>
  <c r="H6" i="148"/>
  <c r="G20" i="150"/>
  <c r="F20" i="150"/>
  <c r="D20" i="150"/>
  <c r="E20" i="150"/>
  <c r="C20" i="150"/>
  <c r="H19" i="150"/>
  <c r="H18" i="150"/>
  <c r="H17" i="150"/>
  <c r="H16" i="150"/>
  <c r="H15" i="150"/>
  <c r="H14" i="150"/>
  <c r="H13" i="150"/>
  <c r="H12" i="150"/>
  <c r="H11" i="150"/>
  <c r="H10" i="150"/>
  <c r="H9" i="150"/>
  <c r="H8" i="150"/>
  <c r="H7" i="150"/>
  <c r="H6" i="150"/>
  <c r="G20" i="146"/>
  <c r="C20" i="146"/>
  <c r="E20" i="146"/>
  <c r="F20" i="146"/>
  <c r="D20" i="146"/>
  <c r="H19" i="146"/>
  <c r="H18" i="146"/>
  <c r="H17" i="146"/>
  <c r="H16" i="146"/>
  <c r="H15" i="146"/>
  <c r="H14" i="146"/>
  <c r="H13" i="146"/>
  <c r="H12" i="146"/>
  <c r="H11" i="146"/>
  <c r="H10" i="146"/>
  <c r="H9" i="146"/>
  <c r="H8" i="146"/>
  <c r="H7" i="146"/>
  <c r="H6" i="146"/>
  <c r="G20" i="145"/>
  <c r="F20" i="145"/>
  <c r="E20" i="145"/>
  <c r="D20" i="145"/>
  <c r="C20" i="145"/>
  <c r="H19" i="145"/>
  <c r="H18" i="145"/>
  <c r="H17" i="145"/>
  <c r="H16" i="145"/>
  <c r="H15" i="145"/>
  <c r="H14" i="145"/>
  <c r="H13" i="145"/>
  <c r="H12" i="145"/>
  <c r="H11" i="145"/>
  <c r="H10" i="145"/>
  <c r="H9" i="145"/>
  <c r="H8" i="145"/>
  <c r="H7" i="145"/>
  <c r="H6" i="145"/>
  <c r="G20" i="144"/>
  <c r="F20" i="144"/>
  <c r="D20" i="144"/>
  <c r="E20" i="144"/>
  <c r="C20" i="144"/>
  <c r="H19" i="144"/>
  <c r="H18" i="144"/>
  <c r="H17" i="144"/>
  <c r="H16" i="144"/>
  <c r="H15" i="144"/>
  <c r="H14" i="144"/>
  <c r="H13" i="144"/>
  <c r="H12" i="144"/>
  <c r="H11" i="144"/>
  <c r="H10" i="144"/>
  <c r="H9" i="144"/>
  <c r="H8" i="144"/>
  <c r="H7" i="144"/>
  <c r="H6" i="144"/>
  <c r="G20" i="147"/>
  <c r="F20" i="147"/>
  <c r="D20" i="147"/>
  <c r="F22" i="147"/>
  <c r="E20" i="147"/>
  <c r="C20" i="147"/>
  <c r="H19" i="147"/>
  <c r="H18" i="147"/>
  <c r="H17" i="147"/>
  <c r="H16" i="147"/>
  <c r="H15" i="147"/>
  <c r="H14" i="147"/>
  <c r="H13" i="147"/>
  <c r="H12" i="147"/>
  <c r="H11" i="147"/>
  <c r="H10" i="147"/>
  <c r="H9" i="147"/>
  <c r="H8" i="147"/>
  <c r="H7" i="147"/>
  <c r="H6" i="147"/>
  <c r="G20" i="143"/>
  <c r="F20" i="143"/>
  <c r="E20" i="143"/>
  <c r="C20" i="143"/>
  <c r="D20" i="143"/>
  <c r="F22" i="143"/>
  <c r="H19" i="143"/>
  <c r="H18" i="143"/>
  <c r="H17" i="143"/>
  <c r="H16" i="143"/>
  <c r="H15" i="143"/>
  <c r="H14" i="143"/>
  <c r="H13" i="143"/>
  <c r="H12" i="143"/>
  <c r="H11" i="143"/>
  <c r="H10" i="143"/>
  <c r="H9" i="143"/>
  <c r="H8" i="143"/>
  <c r="H7" i="143"/>
  <c r="H6" i="143"/>
  <c r="G20" i="142"/>
  <c r="C20" i="142"/>
  <c r="E20" i="142"/>
  <c r="F20" i="142"/>
  <c r="D20" i="142"/>
  <c r="F22" i="142"/>
  <c r="H19" i="142"/>
  <c r="H18" i="142"/>
  <c r="H17" i="142"/>
  <c r="H16" i="142"/>
  <c r="H15" i="142"/>
  <c r="H14" i="142"/>
  <c r="H13" i="142"/>
  <c r="H12" i="142"/>
  <c r="H11" i="142"/>
  <c r="H10" i="142"/>
  <c r="H9" i="142"/>
  <c r="H8" i="142"/>
  <c r="H7" i="142"/>
  <c r="H6" i="142"/>
  <c r="G20" i="141"/>
  <c r="C20" i="141"/>
  <c r="E20" i="141"/>
  <c r="F20" i="141"/>
  <c r="D20" i="141"/>
  <c r="F22" i="141"/>
  <c r="H19" i="141"/>
  <c r="H18" i="141"/>
  <c r="H17" i="141"/>
  <c r="H16" i="141"/>
  <c r="H15" i="141"/>
  <c r="H14" i="141"/>
  <c r="H13" i="141"/>
  <c r="H12" i="141"/>
  <c r="H11" i="141"/>
  <c r="H10" i="141"/>
  <c r="H9" i="141"/>
  <c r="H8" i="141"/>
  <c r="H7" i="141"/>
  <c r="H6" i="141"/>
  <c r="G20" i="137"/>
  <c r="F20" i="137"/>
  <c r="E20" i="137"/>
  <c r="C20" i="137"/>
  <c r="D20" i="137"/>
  <c r="H19" i="137"/>
  <c r="H18" i="137"/>
  <c r="H17" i="137"/>
  <c r="H16" i="137"/>
  <c r="H15" i="137"/>
  <c r="H14" i="137"/>
  <c r="H13" i="137"/>
  <c r="H12" i="137"/>
  <c r="H11" i="137"/>
  <c r="H10" i="137"/>
  <c r="H9" i="137"/>
  <c r="H8" i="137"/>
  <c r="H7" i="137"/>
  <c r="H6" i="137"/>
  <c r="G20" i="140"/>
  <c r="F20" i="140"/>
  <c r="E20" i="140"/>
  <c r="C20" i="140"/>
  <c r="D20" i="140"/>
  <c r="H19" i="140"/>
  <c r="H18" i="140"/>
  <c r="H17" i="140"/>
  <c r="H16" i="140"/>
  <c r="H15" i="140"/>
  <c r="H14" i="140"/>
  <c r="H13" i="140"/>
  <c r="H12" i="140"/>
  <c r="H11" i="140"/>
  <c r="H10" i="140"/>
  <c r="H9" i="140"/>
  <c r="H8" i="140"/>
  <c r="H7" i="140"/>
  <c r="H6" i="140"/>
  <c r="G20" i="139"/>
  <c r="C20" i="139"/>
  <c r="E20" i="139"/>
  <c r="F20" i="139"/>
  <c r="D20" i="139"/>
  <c r="H19" i="139"/>
  <c r="H18" i="139"/>
  <c r="H17" i="139"/>
  <c r="H16" i="139"/>
  <c r="H15" i="139"/>
  <c r="H14" i="139"/>
  <c r="H13" i="139"/>
  <c r="H12" i="139"/>
  <c r="H11" i="139"/>
  <c r="H10" i="139"/>
  <c r="H9" i="139"/>
  <c r="H8" i="139"/>
  <c r="H7" i="139"/>
  <c r="H6" i="139"/>
  <c r="G20" i="138"/>
  <c r="F20" i="138"/>
  <c r="D20" i="138"/>
  <c r="E20" i="138"/>
  <c r="C20" i="138"/>
  <c r="H19" i="138"/>
  <c r="H18" i="138"/>
  <c r="H17" i="138"/>
  <c r="H16" i="138"/>
  <c r="H15" i="138"/>
  <c r="H14" i="138"/>
  <c r="H13" i="138"/>
  <c r="H12" i="138"/>
  <c r="H11" i="138"/>
  <c r="H10" i="138"/>
  <c r="H9" i="138"/>
  <c r="H8" i="138"/>
  <c r="H7" i="138"/>
  <c r="H6" i="138"/>
  <c r="G20" i="136"/>
  <c r="F20" i="136"/>
  <c r="D20" i="136"/>
  <c r="E20" i="136"/>
  <c r="C20" i="136"/>
  <c r="H19" i="136"/>
  <c r="H18" i="136"/>
  <c r="H17" i="136"/>
  <c r="H16" i="136"/>
  <c r="H15" i="136"/>
  <c r="H14" i="136"/>
  <c r="H13" i="136"/>
  <c r="H12" i="136"/>
  <c r="H11" i="136"/>
  <c r="H10" i="136"/>
  <c r="H9" i="136"/>
  <c r="H8" i="136"/>
  <c r="H7" i="136"/>
  <c r="H6" i="136"/>
  <c r="G20" i="135"/>
  <c r="F20" i="135"/>
  <c r="D20" i="135"/>
  <c r="F22" i="135"/>
  <c r="E20" i="135"/>
  <c r="C20" i="135"/>
  <c r="H19" i="135"/>
  <c r="H18" i="135"/>
  <c r="H17" i="135"/>
  <c r="H16" i="135"/>
  <c r="H15" i="135"/>
  <c r="H14" i="135"/>
  <c r="H13" i="135"/>
  <c r="H12" i="135"/>
  <c r="H11" i="135"/>
  <c r="H10" i="135"/>
  <c r="H9" i="135"/>
  <c r="H8" i="135"/>
  <c r="H7" i="135"/>
  <c r="H6" i="135"/>
  <c r="G20" i="134"/>
  <c r="C20" i="134"/>
  <c r="E20" i="134"/>
  <c r="F20" i="134"/>
  <c r="D20" i="134"/>
  <c r="H19" i="134"/>
  <c r="H18" i="134"/>
  <c r="H17" i="134"/>
  <c r="H16" i="134"/>
  <c r="H15" i="134"/>
  <c r="H14" i="134"/>
  <c r="H13" i="134"/>
  <c r="H12" i="134"/>
  <c r="H11" i="134"/>
  <c r="H10" i="134"/>
  <c r="H9" i="134"/>
  <c r="H8" i="134"/>
  <c r="H7" i="134"/>
  <c r="H6" i="134"/>
  <c r="G20" i="132"/>
  <c r="C20" i="132"/>
  <c r="E20" i="132"/>
  <c r="F20" i="132"/>
  <c r="D20" i="132"/>
  <c r="F22" i="132"/>
  <c r="H19" i="132"/>
  <c r="H18" i="132"/>
  <c r="H17" i="132"/>
  <c r="H16" i="132"/>
  <c r="H15" i="132"/>
  <c r="H14" i="132"/>
  <c r="H13" i="132"/>
  <c r="H12" i="132"/>
  <c r="H11" i="132"/>
  <c r="H10" i="132"/>
  <c r="H9" i="132"/>
  <c r="H8" i="132"/>
  <c r="H7" i="132"/>
  <c r="H6" i="132"/>
  <c r="G20" i="131"/>
  <c r="C20" i="131"/>
  <c r="E20" i="131"/>
  <c r="F20" i="131"/>
  <c r="D20" i="131"/>
  <c r="H19" i="131"/>
  <c r="H18" i="131"/>
  <c r="H17" i="131"/>
  <c r="H16" i="131"/>
  <c r="H15" i="131"/>
  <c r="H14" i="131"/>
  <c r="H13" i="131"/>
  <c r="H12" i="131"/>
  <c r="H11" i="131"/>
  <c r="H10" i="131"/>
  <c r="H9" i="131"/>
  <c r="H8" i="131"/>
  <c r="H7" i="131"/>
  <c r="H6" i="131"/>
  <c r="G20" i="130"/>
  <c r="F20" i="130"/>
  <c r="F22" i="130"/>
  <c r="D20" i="130"/>
  <c r="E20" i="130"/>
  <c r="C20" i="130"/>
  <c r="H19" i="130"/>
  <c r="H18" i="130"/>
  <c r="H17" i="130"/>
  <c r="H16" i="130"/>
  <c r="H15" i="130"/>
  <c r="H14" i="130"/>
  <c r="H13" i="130"/>
  <c r="H12" i="130"/>
  <c r="H11" i="130"/>
  <c r="H10" i="130"/>
  <c r="H9" i="130"/>
  <c r="H8" i="130"/>
  <c r="H7" i="130"/>
  <c r="H6" i="130"/>
  <c r="G20" i="129"/>
  <c r="F20" i="129"/>
  <c r="E20" i="129"/>
  <c r="D20" i="129"/>
  <c r="C20" i="129"/>
  <c r="H19" i="129"/>
  <c r="H18" i="129"/>
  <c r="H17" i="129"/>
  <c r="H16" i="129"/>
  <c r="H15" i="129"/>
  <c r="H14" i="129"/>
  <c r="H13" i="129"/>
  <c r="H12" i="129"/>
  <c r="H11" i="129"/>
  <c r="H10" i="129"/>
  <c r="H9" i="129"/>
  <c r="H8" i="129"/>
  <c r="H7" i="129"/>
  <c r="H6" i="129"/>
  <c r="G20" i="128"/>
  <c r="F20" i="128"/>
  <c r="D20" i="128"/>
  <c r="E20" i="128"/>
  <c r="C20" i="128"/>
  <c r="H19" i="128"/>
  <c r="H18" i="128"/>
  <c r="H17" i="128"/>
  <c r="H16" i="128"/>
  <c r="H15" i="128"/>
  <c r="H14" i="128"/>
  <c r="H13" i="128"/>
  <c r="H12" i="128"/>
  <c r="H11" i="128"/>
  <c r="H10" i="128"/>
  <c r="H9" i="128"/>
  <c r="H8" i="128"/>
  <c r="H7" i="128"/>
  <c r="H6" i="128"/>
  <c r="G20" i="122"/>
  <c r="C20" i="122"/>
  <c r="E20" i="122"/>
  <c r="D22" i="122"/>
  <c r="F20" i="122"/>
  <c r="D20" i="122"/>
  <c r="H19" i="122"/>
  <c r="H18" i="122"/>
  <c r="H17" i="122"/>
  <c r="H16" i="122"/>
  <c r="H15" i="122"/>
  <c r="H14" i="122"/>
  <c r="H13" i="122"/>
  <c r="H12" i="122"/>
  <c r="H11" i="122"/>
  <c r="H10" i="122"/>
  <c r="H9" i="122"/>
  <c r="H8" i="122"/>
  <c r="H7" i="122"/>
  <c r="H6" i="122"/>
  <c r="G20" i="123"/>
  <c r="F20" i="123"/>
  <c r="D20" i="123"/>
  <c r="F22" i="123"/>
  <c r="E20" i="123"/>
  <c r="C20" i="123"/>
  <c r="H19" i="123"/>
  <c r="H18" i="123"/>
  <c r="H17" i="123"/>
  <c r="H16" i="123"/>
  <c r="H15" i="123"/>
  <c r="H14" i="123"/>
  <c r="H13" i="123"/>
  <c r="H12" i="123"/>
  <c r="H11" i="123"/>
  <c r="H10" i="123"/>
  <c r="H9" i="123"/>
  <c r="H8" i="123"/>
  <c r="H7" i="123"/>
  <c r="H6" i="123"/>
  <c r="G20" i="124"/>
  <c r="C20" i="124"/>
  <c r="E20" i="124"/>
  <c r="F20" i="124"/>
  <c r="D20" i="124"/>
  <c r="F22" i="124"/>
  <c r="H19" i="124"/>
  <c r="H18" i="124"/>
  <c r="H17" i="124"/>
  <c r="H16" i="124"/>
  <c r="H15" i="124"/>
  <c r="H14" i="124"/>
  <c r="H13" i="124"/>
  <c r="H12" i="124"/>
  <c r="H11" i="124"/>
  <c r="H10" i="124"/>
  <c r="H9" i="124"/>
  <c r="H8" i="124"/>
  <c r="H7" i="124"/>
  <c r="H6" i="124"/>
  <c r="G20" i="125"/>
  <c r="C20" i="125"/>
  <c r="E20" i="125"/>
  <c r="F20" i="125"/>
  <c r="D20" i="125"/>
  <c r="F22" i="125"/>
  <c r="H19" i="125"/>
  <c r="H18" i="125"/>
  <c r="H17" i="125"/>
  <c r="H16" i="125"/>
  <c r="H15" i="125"/>
  <c r="H14" i="125"/>
  <c r="H13" i="125"/>
  <c r="H12" i="125"/>
  <c r="H11" i="125"/>
  <c r="H10" i="125"/>
  <c r="H9" i="125"/>
  <c r="H8" i="125"/>
  <c r="H7" i="125"/>
  <c r="H6" i="125"/>
  <c r="G20" i="126"/>
  <c r="F20" i="126"/>
  <c r="E20" i="126"/>
  <c r="C20" i="126"/>
  <c r="D20" i="126"/>
  <c r="H19" i="126"/>
  <c r="H18" i="126"/>
  <c r="H17" i="126"/>
  <c r="H16" i="126"/>
  <c r="H15" i="126"/>
  <c r="H14" i="126"/>
  <c r="H13" i="126"/>
  <c r="H12" i="126"/>
  <c r="H11" i="126"/>
  <c r="H10" i="126"/>
  <c r="H9" i="126"/>
  <c r="H8" i="126"/>
  <c r="H7" i="126"/>
  <c r="H6" i="126"/>
  <c r="G20" i="127"/>
  <c r="C20" i="127"/>
  <c r="D22" i="127"/>
  <c r="E20" i="127"/>
  <c r="F20" i="127"/>
  <c r="D20" i="127"/>
  <c r="H19" i="127"/>
  <c r="H18" i="127"/>
  <c r="H17" i="127"/>
  <c r="H16" i="127"/>
  <c r="H15" i="127"/>
  <c r="H14" i="127"/>
  <c r="H13" i="127"/>
  <c r="H12" i="127"/>
  <c r="H11" i="127"/>
  <c r="H10" i="127"/>
  <c r="H9" i="127"/>
  <c r="H8" i="127"/>
  <c r="H7" i="127"/>
  <c r="H6" i="127"/>
  <c r="G20" i="121"/>
  <c r="F20" i="121"/>
  <c r="D20" i="121"/>
  <c r="E20" i="121"/>
  <c r="C20" i="121"/>
  <c r="H19" i="121"/>
  <c r="H18" i="121"/>
  <c r="H17" i="121"/>
  <c r="H16" i="121"/>
  <c r="H15" i="121"/>
  <c r="H14" i="121"/>
  <c r="H13" i="121"/>
  <c r="H12" i="121"/>
  <c r="H11" i="121"/>
  <c r="H10" i="121"/>
  <c r="H9" i="121"/>
  <c r="H8" i="121"/>
  <c r="H7" i="121"/>
  <c r="H6" i="121"/>
  <c r="G20" i="120"/>
  <c r="C20" i="120"/>
  <c r="E20" i="120"/>
  <c r="F20" i="120"/>
  <c r="F22" i="120"/>
  <c r="D20" i="120"/>
  <c r="H19" i="120"/>
  <c r="H18" i="120"/>
  <c r="H17" i="120"/>
  <c r="H16" i="120"/>
  <c r="H15" i="120"/>
  <c r="H14" i="120"/>
  <c r="H13" i="120"/>
  <c r="H12" i="120"/>
  <c r="H11" i="120"/>
  <c r="H10" i="120"/>
  <c r="H9" i="120"/>
  <c r="H8" i="120"/>
  <c r="H7" i="120"/>
  <c r="H6" i="120"/>
  <c r="G20" i="115"/>
  <c r="F20" i="115"/>
  <c r="D20" i="115"/>
  <c r="F22" i="115"/>
  <c r="E20" i="115"/>
  <c r="C20" i="115"/>
  <c r="H19" i="115"/>
  <c r="H18" i="115"/>
  <c r="H17" i="115"/>
  <c r="H16" i="115"/>
  <c r="H15" i="115"/>
  <c r="H14" i="115"/>
  <c r="H13" i="115"/>
  <c r="H12" i="115"/>
  <c r="H11" i="115"/>
  <c r="H10" i="115"/>
  <c r="H9" i="115"/>
  <c r="H8" i="115"/>
  <c r="H7" i="115"/>
  <c r="H6" i="115"/>
  <c r="G20" i="118"/>
  <c r="F20" i="118"/>
  <c r="E20" i="118"/>
  <c r="C20" i="118"/>
  <c r="D20" i="118"/>
  <c r="H19" i="118"/>
  <c r="H18" i="118"/>
  <c r="H17" i="118"/>
  <c r="H16" i="118"/>
  <c r="H15" i="118"/>
  <c r="H14" i="118"/>
  <c r="H13" i="118"/>
  <c r="H12" i="118"/>
  <c r="H11" i="118"/>
  <c r="H10" i="118"/>
  <c r="H9" i="118"/>
  <c r="H8" i="118"/>
  <c r="H7" i="118"/>
  <c r="H6" i="118"/>
  <c r="G20" i="117"/>
  <c r="C20" i="117"/>
  <c r="E20" i="117"/>
  <c r="F20" i="117"/>
  <c r="D20" i="117"/>
  <c r="F22" i="117"/>
  <c r="H19" i="117"/>
  <c r="H18" i="117"/>
  <c r="H17" i="117"/>
  <c r="H16" i="117"/>
  <c r="H15" i="117"/>
  <c r="H14" i="117"/>
  <c r="H13" i="117"/>
  <c r="H12" i="117"/>
  <c r="H11" i="117"/>
  <c r="H10" i="117"/>
  <c r="H9" i="117"/>
  <c r="H8" i="117"/>
  <c r="H7" i="117"/>
  <c r="H6" i="117"/>
  <c r="G20" i="114"/>
  <c r="C20" i="114"/>
  <c r="E20" i="114"/>
  <c r="F20" i="114"/>
  <c r="D20" i="114"/>
  <c r="F22" i="114"/>
  <c r="H19" i="114"/>
  <c r="H18" i="114"/>
  <c r="H17" i="114"/>
  <c r="H16" i="114"/>
  <c r="H15" i="114"/>
  <c r="H14" i="114"/>
  <c r="H13" i="114"/>
  <c r="H12" i="114"/>
  <c r="H11" i="114"/>
  <c r="H10" i="114"/>
  <c r="H9" i="114"/>
  <c r="H8" i="114"/>
  <c r="H7" i="114"/>
  <c r="H6" i="114"/>
  <c r="G20" i="113"/>
  <c r="C20" i="113"/>
  <c r="E20" i="113"/>
  <c r="F20" i="113"/>
  <c r="D20" i="113"/>
  <c r="H19" i="113"/>
  <c r="H18" i="113"/>
  <c r="H17" i="113"/>
  <c r="H16" i="113"/>
  <c r="H15" i="113"/>
  <c r="H14" i="113"/>
  <c r="H13" i="113"/>
  <c r="H12" i="113"/>
  <c r="H11" i="113"/>
  <c r="H10" i="113"/>
  <c r="H9" i="113"/>
  <c r="H8" i="113"/>
  <c r="H7" i="113"/>
  <c r="H6" i="113"/>
  <c r="G20" i="112"/>
  <c r="F20" i="112"/>
  <c r="E20" i="112"/>
  <c r="C20" i="112"/>
  <c r="D20" i="112"/>
  <c r="H19" i="112"/>
  <c r="H18" i="112"/>
  <c r="H17" i="112"/>
  <c r="H16" i="112"/>
  <c r="H15" i="112"/>
  <c r="H14" i="112"/>
  <c r="H13" i="112"/>
  <c r="H12" i="112"/>
  <c r="H11" i="112"/>
  <c r="H10" i="112"/>
  <c r="H9" i="112"/>
  <c r="H8" i="112"/>
  <c r="H7" i="112"/>
  <c r="H6" i="112"/>
  <c r="G20" i="111"/>
  <c r="F20" i="111"/>
  <c r="E20" i="111"/>
  <c r="D20" i="111"/>
  <c r="C20" i="111"/>
  <c r="H19" i="111"/>
  <c r="H18" i="111"/>
  <c r="H17" i="111"/>
  <c r="H16" i="111"/>
  <c r="H15" i="111"/>
  <c r="H14" i="111"/>
  <c r="H13" i="111"/>
  <c r="H12" i="111"/>
  <c r="H11" i="111"/>
  <c r="H10" i="111"/>
  <c r="H9" i="111"/>
  <c r="H8" i="111"/>
  <c r="H7" i="111"/>
  <c r="H6" i="111"/>
  <c r="G20" i="110"/>
  <c r="F20" i="110"/>
  <c r="D20" i="110"/>
  <c r="E20" i="110"/>
  <c r="C20" i="110"/>
  <c r="H19" i="110"/>
  <c r="H18" i="110"/>
  <c r="H17" i="110"/>
  <c r="H16" i="110"/>
  <c r="H15" i="110"/>
  <c r="H14" i="110"/>
  <c r="H13" i="110"/>
  <c r="H12" i="110"/>
  <c r="H11" i="110"/>
  <c r="H10" i="110"/>
  <c r="H9" i="110"/>
  <c r="H8" i="110"/>
  <c r="H7" i="110"/>
  <c r="H6" i="110"/>
  <c r="G20" i="116"/>
  <c r="C20" i="116"/>
  <c r="E20" i="116"/>
  <c r="D22" i="116"/>
  <c r="F20" i="116"/>
  <c r="D20" i="116"/>
  <c r="H19" i="116"/>
  <c r="H18" i="116"/>
  <c r="H17" i="116"/>
  <c r="H16" i="116"/>
  <c r="H15" i="116"/>
  <c r="H14" i="116"/>
  <c r="H13" i="116"/>
  <c r="H12" i="116"/>
  <c r="H11" i="116"/>
  <c r="H10" i="116"/>
  <c r="H9" i="116"/>
  <c r="H8" i="116"/>
  <c r="H7" i="116"/>
  <c r="H6" i="116"/>
  <c r="G20" i="109"/>
  <c r="F20" i="109"/>
  <c r="E20" i="109"/>
  <c r="C20" i="109"/>
  <c r="D20" i="109"/>
  <c r="H19" i="109"/>
  <c r="H18" i="109"/>
  <c r="H17" i="109"/>
  <c r="H16" i="109"/>
  <c r="H15" i="109"/>
  <c r="H14" i="109"/>
  <c r="H13" i="109"/>
  <c r="H12" i="109"/>
  <c r="H11" i="109"/>
  <c r="H10" i="109"/>
  <c r="H9" i="109"/>
  <c r="H8" i="109"/>
  <c r="H7" i="109"/>
  <c r="H6" i="109"/>
  <c r="G20" i="108"/>
  <c r="C20" i="108"/>
  <c r="E20" i="108"/>
  <c r="F20" i="108"/>
  <c r="D20" i="108"/>
  <c r="F22" i="108"/>
  <c r="H19" i="108"/>
  <c r="H18" i="108"/>
  <c r="H17" i="108"/>
  <c r="H16" i="108"/>
  <c r="H15" i="108"/>
  <c r="H14" i="108"/>
  <c r="H13" i="108"/>
  <c r="H12" i="108"/>
  <c r="H11" i="108"/>
  <c r="H10" i="108"/>
  <c r="H9" i="108"/>
  <c r="H8" i="108"/>
  <c r="H7" i="108"/>
  <c r="H6" i="108"/>
  <c r="G20" i="107"/>
  <c r="C20" i="107"/>
  <c r="E20" i="107"/>
  <c r="F20" i="107"/>
  <c r="D20" i="107"/>
  <c r="H19" i="107"/>
  <c r="H18" i="107"/>
  <c r="H17" i="107"/>
  <c r="H16" i="107"/>
  <c r="H15" i="107"/>
  <c r="H14" i="107"/>
  <c r="H13" i="107"/>
  <c r="H12" i="107"/>
  <c r="H11" i="107"/>
  <c r="H10" i="107"/>
  <c r="H9" i="107"/>
  <c r="H8" i="107"/>
  <c r="H7" i="107"/>
  <c r="H6" i="107"/>
  <c r="G20" i="106"/>
  <c r="F20" i="106"/>
  <c r="E20" i="106"/>
  <c r="C20" i="106"/>
  <c r="D20" i="106"/>
  <c r="H19" i="106"/>
  <c r="H18" i="106"/>
  <c r="H17" i="106"/>
  <c r="H16" i="106"/>
  <c r="H15" i="106"/>
  <c r="H14" i="106"/>
  <c r="H13" i="106"/>
  <c r="H12" i="106"/>
  <c r="H11" i="106"/>
  <c r="H10" i="106"/>
  <c r="H9" i="106"/>
  <c r="H8" i="106"/>
  <c r="H7" i="106"/>
  <c r="H6" i="106"/>
  <c r="G20" i="105"/>
  <c r="C20" i="105"/>
  <c r="E20" i="105"/>
  <c r="F20" i="105"/>
  <c r="D20" i="105"/>
  <c r="H19" i="105"/>
  <c r="H18" i="105"/>
  <c r="H17" i="105"/>
  <c r="H16" i="105"/>
  <c r="H15" i="105"/>
  <c r="H14" i="105"/>
  <c r="H13" i="105"/>
  <c r="H12" i="105"/>
  <c r="H11" i="105"/>
  <c r="H10" i="105"/>
  <c r="H9" i="105"/>
  <c r="H8" i="105"/>
  <c r="H7" i="105"/>
  <c r="H6" i="105"/>
  <c r="G20" i="104"/>
  <c r="F20" i="104"/>
  <c r="E20" i="104"/>
  <c r="D20" i="104"/>
  <c r="C20" i="104"/>
  <c r="H19" i="104"/>
  <c r="H18" i="104"/>
  <c r="H17" i="104"/>
  <c r="H16" i="104"/>
  <c r="H15" i="104"/>
  <c r="H14" i="104"/>
  <c r="H13" i="104"/>
  <c r="H12" i="104"/>
  <c r="H11" i="104"/>
  <c r="H10" i="104"/>
  <c r="H9" i="104"/>
  <c r="H8" i="104"/>
  <c r="H7" i="104"/>
  <c r="H6" i="104"/>
  <c r="G20" i="103"/>
  <c r="C20" i="103"/>
  <c r="E20" i="103"/>
  <c r="F20" i="103"/>
  <c r="D20" i="103"/>
  <c r="H19" i="103"/>
  <c r="H18" i="103"/>
  <c r="H17" i="103"/>
  <c r="H16" i="103"/>
  <c r="H15" i="103"/>
  <c r="H14" i="103"/>
  <c r="H13" i="103"/>
  <c r="H12" i="103"/>
  <c r="H11" i="103"/>
  <c r="H10" i="103"/>
  <c r="H9" i="103"/>
  <c r="H8" i="103"/>
  <c r="H7" i="103"/>
  <c r="H6" i="103"/>
  <c r="G20" i="102"/>
  <c r="F20" i="102"/>
  <c r="D20" i="102"/>
  <c r="F22" i="102"/>
  <c r="E20" i="102"/>
  <c r="C20" i="102"/>
  <c r="H19" i="102"/>
  <c r="H18" i="102"/>
  <c r="H17" i="102"/>
  <c r="H16" i="102"/>
  <c r="H15" i="102"/>
  <c r="H14" i="102"/>
  <c r="H13" i="102"/>
  <c r="H12" i="102"/>
  <c r="H11" i="102"/>
  <c r="H10" i="102"/>
  <c r="H9" i="102"/>
  <c r="H8" i="102"/>
  <c r="H7" i="102"/>
  <c r="H6" i="102"/>
  <c r="G20" i="101"/>
  <c r="C20" i="101"/>
  <c r="E20" i="101"/>
  <c r="F20" i="101"/>
  <c r="D20" i="101"/>
  <c r="H19" i="101"/>
  <c r="H18" i="101"/>
  <c r="H17" i="101"/>
  <c r="H16" i="101"/>
  <c r="H15" i="101"/>
  <c r="H14" i="101"/>
  <c r="H13" i="101"/>
  <c r="H12" i="101"/>
  <c r="H11" i="101"/>
  <c r="H10" i="101"/>
  <c r="H9" i="101"/>
  <c r="H8" i="101"/>
  <c r="H7" i="101"/>
  <c r="H6" i="101"/>
  <c r="G20" i="100"/>
  <c r="C20" i="100"/>
  <c r="E20" i="100"/>
  <c r="F20" i="100"/>
  <c r="D20" i="100"/>
  <c r="F22" i="100"/>
  <c r="H19" i="100"/>
  <c r="H18" i="100"/>
  <c r="H17" i="100"/>
  <c r="H16" i="100"/>
  <c r="H15" i="100"/>
  <c r="H14" i="100"/>
  <c r="H13" i="100"/>
  <c r="H12" i="100"/>
  <c r="H11" i="100"/>
  <c r="H10" i="100"/>
  <c r="H9" i="100"/>
  <c r="H8" i="100"/>
  <c r="H7" i="100"/>
  <c r="H6" i="100"/>
  <c r="G20" i="99"/>
  <c r="C20" i="99"/>
  <c r="E20" i="99"/>
  <c r="F20" i="99"/>
  <c r="D20" i="99"/>
  <c r="F22" i="99"/>
  <c r="H19" i="99"/>
  <c r="H18" i="99"/>
  <c r="H17" i="99"/>
  <c r="H16" i="99"/>
  <c r="H15" i="99"/>
  <c r="H14" i="99"/>
  <c r="H13" i="99"/>
  <c r="H12" i="99"/>
  <c r="H11" i="99"/>
  <c r="H10" i="99"/>
  <c r="H9" i="99"/>
  <c r="H8" i="99"/>
  <c r="H7" i="99"/>
  <c r="H6" i="99"/>
  <c r="G20" i="98"/>
  <c r="F20" i="98"/>
  <c r="D20" i="98"/>
  <c r="E20" i="98"/>
  <c r="C20" i="98"/>
  <c r="H19" i="98"/>
  <c r="H18" i="98"/>
  <c r="H17" i="98"/>
  <c r="H16" i="98"/>
  <c r="H15" i="98"/>
  <c r="H14" i="98"/>
  <c r="H13" i="98"/>
  <c r="H12" i="98"/>
  <c r="H11" i="98"/>
  <c r="H10" i="98"/>
  <c r="H9" i="98"/>
  <c r="H8" i="98"/>
  <c r="H7" i="98"/>
  <c r="H6" i="98"/>
  <c r="G20" i="97"/>
  <c r="F20" i="97"/>
  <c r="F22" i="97"/>
  <c r="D20" i="97"/>
  <c r="E20" i="97"/>
  <c r="C20" i="97"/>
  <c r="H19" i="97"/>
  <c r="H18" i="97"/>
  <c r="H17" i="97"/>
  <c r="H16" i="97"/>
  <c r="H15" i="97"/>
  <c r="H14" i="97"/>
  <c r="H13" i="97"/>
  <c r="H12" i="97"/>
  <c r="H11" i="97"/>
  <c r="H10" i="97"/>
  <c r="H9" i="97"/>
  <c r="H8" i="97"/>
  <c r="H7" i="97"/>
  <c r="H6" i="97"/>
  <c r="G20" i="96"/>
  <c r="F20" i="96"/>
  <c r="D20" i="96"/>
  <c r="E20" i="96"/>
  <c r="C20" i="96"/>
  <c r="H19" i="96"/>
  <c r="H18" i="96"/>
  <c r="H17" i="96"/>
  <c r="H16" i="96"/>
  <c r="H15" i="96"/>
  <c r="H14" i="96"/>
  <c r="H13" i="96"/>
  <c r="H12" i="96"/>
  <c r="H11" i="96"/>
  <c r="H10" i="96"/>
  <c r="H9" i="96"/>
  <c r="H8" i="96"/>
  <c r="H7" i="96"/>
  <c r="H6" i="96"/>
  <c r="G20" i="95"/>
  <c r="C20" i="95"/>
  <c r="E20" i="95"/>
  <c r="F20" i="95"/>
  <c r="F22" i="95"/>
  <c r="D20" i="95"/>
  <c r="H19" i="95"/>
  <c r="H18" i="95"/>
  <c r="H17" i="95"/>
  <c r="H16" i="95"/>
  <c r="H15" i="95"/>
  <c r="H14" i="95"/>
  <c r="H13" i="95"/>
  <c r="H12" i="95"/>
  <c r="H11" i="95"/>
  <c r="H10" i="95"/>
  <c r="H9" i="95"/>
  <c r="H8" i="95"/>
  <c r="H7" i="95"/>
  <c r="H6" i="95"/>
  <c r="G20" i="119"/>
  <c r="F20" i="119"/>
  <c r="D20" i="119"/>
  <c r="F22" i="119"/>
  <c r="E20" i="119"/>
  <c r="C20" i="119"/>
  <c r="H19" i="119"/>
  <c r="H18" i="119"/>
  <c r="H17" i="119"/>
  <c r="H16" i="119"/>
  <c r="H15" i="119"/>
  <c r="H14" i="119"/>
  <c r="H13" i="119"/>
  <c r="H12" i="119"/>
  <c r="H11" i="119"/>
  <c r="H10" i="119"/>
  <c r="H9" i="119"/>
  <c r="H8" i="119"/>
  <c r="H7" i="119"/>
  <c r="H6" i="119"/>
  <c r="E20" i="94"/>
  <c r="E20" i="93"/>
  <c r="C20" i="93"/>
  <c r="G20" i="93"/>
  <c r="E20" i="92"/>
  <c r="E20" i="91"/>
  <c r="C20" i="91"/>
  <c r="G20" i="91"/>
  <c r="D22" i="91"/>
  <c r="E20" i="90"/>
  <c r="E20" i="89"/>
  <c r="C20" i="89"/>
  <c r="G20" i="89"/>
  <c r="E20" i="88"/>
  <c r="C20" i="88"/>
  <c r="G20" i="88"/>
  <c r="E20" i="87"/>
  <c r="E20" i="86"/>
  <c r="E20" i="85"/>
  <c r="E20" i="84"/>
  <c r="E20" i="83"/>
  <c r="C20" i="83"/>
  <c r="G20" i="83"/>
  <c r="G20" i="94"/>
  <c r="C20" i="94"/>
  <c r="F20" i="94"/>
  <c r="D20" i="94"/>
  <c r="H19" i="94"/>
  <c r="H18" i="94"/>
  <c r="H17" i="94"/>
  <c r="H16" i="94"/>
  <c r="H15" i="94"/>
  <c r="H14" i="94"/>
  <c r="H13" i="94"/>
  <c r="H12" i="94"/>
  <c r="H11" i="94"/>
  <c r="H10" i="94"/>
  <c r="H9" i="94"/>
  <c r="H8" i="94"/>
  <c r="H7" i="94"/>
  <c r="H6" i="94"/>
  <c r="F20" i="93"/>
  <c r="D20" i="93"/>
  <c r="H19" i="93"/>
  <c r="H18" i="93"/>
  <c r="H17" i="93"/>
  <c r="H16" i="93"/>
  <c r="H15" i="93"/>
  <c r="H14" i="93"/>
  <c r="H13" i="93"/>
  <c r="H12" i="93"/>
  <c r="H11" i="93"/>
  <c r="H10" i="93"/>
  <c r="H9" i="93"/>
  <c r="H8" i="93"/>
  <c r="H7" i="93"/>
  <c r="H6" i="93"/>
  <c r="G20" i="92"/>
  <c r="C20" i="92"/>
  <c r="F20" i="92"/>
  <c r="D20" i="92"/>
  <c r="H19" i="92"/>
  <c r="H18" i="92"/>
  <c r="H17" i="92"/>
  <c r="H16" i="92"/>
  <c r="H15" i="92"/>
  <c r="H14" i="92"/>
  <c r="H13" i="92"/>
  <c r="H12" i="92"/>
  <c r="H11" i="92"/>
  <c r="H10" i="92"/>
  <c r="H9" i="92"/>
  <c r="H8" i="92"/>
  <c r="H7" i="92"/>
  <c r="H6" i="92"/>
  <c r="F20" i="91"/>
  <c r="D20" i="91"/>
  <c r="H19" i="91"/>
  <c r="H18" i="91"/>
  <c r="H17" i="91"/>
  <c r="H16" i="91"/>
  <c r="H15" i="91"/>
  <c r="H14" i="91"/>
  <c r="H13" i="91"/>
  <c r="H12" i="91"/>
  <c r="H11" i="91"/>
  <c r="H10" i="91"/>
  <c r="H9" i="91"/>
  <c r="H8" i="91"/>
  <c r="H7" i="91"/>
  <c r="H6" i="91"/>
  <c r="G20" i="90"/>
  <c r="F20" i="90"/>
  <c r="D20" i="90"/>
  <c r="C20" i="90"/>
  <c r="H19" i="90"/>
  <c r="H18" i="90"/>
  <c r="H17" i="90"/>
  <c r="H16" i="90"/>
  <c r="H15" i="90"/>
  <c r="H14" i="90"/>
  <c r="H13" i="90"/>
  <c r="H12" i="90"/>
  <c r="H11" i="90"/>
  <c r="H10" i="90"/>
  <c r="H9" i="90"/>
  <c r="H8" i="90"/>
  <c r="H7" i="90"/>
  <c r="H6" i="90"/>
  <c r="F20" i="89"/>
  <c r="D20" i="89"/>
  <c r="H19" i="89"/>
  <c r="H18" i="89"/>
  <c r="H17" i="89"/>
  <c r="H16" i="89"/>
  <c r="H15" i="89"/>
  <c r="H14" i="89"/>
  <c r="H13" i="89"/>
  <c r="H12" i="89"/>
  <c r="H11" i="89"/>
  <c r="H10" i="89"/>
  <c r="H9" i="89"/>
  <c r="H8" i="89"/>
  <c r="H7" i="89"/>
  <c r="H6" i="89"/>
  <c r="G20" i="87"/>
  <c r="F20" i="87"/>
  <c r="F22" i="87"/>
  <c r="D20" i="87"/>
  <c r="C20" i="87"/>
  <c r="H19" i="87"/>
  <c r="H18" i="87"/>
  <c r="H17" i="87"/>
  <c r="H16" i="87"/>
  <c r="H15" i="87"/>
  <c r="H14" i="87"/>
  <c r="H13" i="87"/>
  <c r="H12" i="87"/>
  <c r="H11" i="87"/>
  <c r="H10" i="87"/>
  <c r="H9" i="87"/>
  <c r="H8" i="87"/>
  <c r="H7" i="87"/>
  <c r="H6" i="87"/>
  <c r="F20" i="88"/>
  <c r="D20" i="88"/>
  <c r="F22" i="88"/>
  <c r="H19" i="88"/>
  <c r="H18" i="88"/>
  <c r="H17" i="88"/>
  <c r="H16" i="88"/>
  <c r="H15" i="88"/>
  <c r="H14" i="88"/>
  <c r="H13" i="88"/>
  <c r="H12" i="88"/>
  <c r="H11" i="88"/>
  <c r="H10" i="88"/>
  <c r="H9" i="88"/>
  <c r="H8" i="88"/>
  <c r="H7" i="88"/>
  <c r="H6" i="88"/>
  <c r="G20" i="86"/>
  <c r="F20" i="86"/>
  <c r="D20" i="86"/>
  <c r="C20" i="86"/>
  <c r="H19" i="86"/>
  <c r="H18" i="86"/>
  <c r="H17" i="86"/>
  <c r="H16" i="86"/>
  <c r="H15" i="86"/>
  <c r="H14" i="86"/>
  <c r="H13" i="86"/>
  <c r="H12" i="86"/>
  <c r="H11" i="86"/>
  <c r="H10" i="86"/>
  <c r="H9" i="86"/>
  <c r="H8" i="86"/>
  <c r="H7" i="86"/>
  <c r="H6" i="86"/>
  <c r="G20" i="85"/>
  <c r="C20" i="85"/>
  <c r="F20" i="85"/>
  <c r="D20" i="85"/>
  <c r="H19" i="85"/>
  <c r="H18" i="85"/>
  <c r="H17" i="85"/>
  <c r="H16" i="85"/>
  <c r="H15" i="85"/>
  <c r="H14" i="85"/>
  <c r="H13" i="85"/>
  <c r="H12" i="85"/>
  <c r="H11" i="85"/>
  <c r="H10" i="85"/>
  <c r="H9" i="85"/>
  <c r="H8" i="85"/>
  <c r="H7" i="85"/>
  <c r="H6" i="85"/>
  <c r="H6" i="84"/>
  <c r="H7" i="84"/>
  <c r="H8" i="84"/>
  <c r="H9" i="84"/>
  <c r="H10" i="84"/>
  <c r="H11" i="84"/>
  <c r="H12" i="84"/>
  <c r="H13" i="84"/>
  <c r="H14" i="84"/>
  <c r="H15" i="84"/>
  <c r="H16" i="84"/>
  <c r="H17" i="84"/>
  <c r="H18" i="84"/>
  <c r="H19" i="84"/>
  <c r="C20" i="84"/>
  <c r="G20" i="84"/>
  <c r="D20" i="84"/>
  <c r="F20" i="84"/>
  <c r="F20" i="83"/>
  <c r="D20" i="83"/>
  <c r="H19" i="83"/>
  <c r="H18" i="83"/>
  <c r="H17" i="83"/>
  <c r="H16" i="83"/>
  <c r="H15" i="83"/>
  <c r="H14" i="83"/>
  <c r="H13" i="83"/>
  <c r="H12" i="83"/>
  <c r="H11" i="83"/>
  <c r="H10" i="83"/>
  <c r="H9" i="83"/>
  <c r="H8" i="83"/>
  <c r="H7" i="83"/>
  <c r="H6" i="83"/>
  <c r="G20" i="82"/>
  <c r="F20" i="82"/>
  <c r="E20" i="82"/>
  <c r="C20" i="82"/>
  <c r="D20" i="82"/>
  <c r="H19" i="82"/>
  <c r="H18" i="82"/>
  <c r="H17" i="82"/>
  <c r="H16" i="82"/>
  <c r="H15" i="82"/>
  <c r="H14" i="82"/>
  <c r="H13" i="82"/>
  <c r="H12" i="82"/>
  <c r="H11" i="82"/>
  <c r="H10" i="82"/>
  <c r="H9" i="82"/>
  <c r="H8" i="82"/>
  <c r="H7" i="82"/>
  <c r="H6" i="82"/>
  <c r="G20" i="81"/>
  <c r="F20" i="81"/>
  <c r="D20" i="81"/>
  <c r="E20" i="81"/>
  <c r="C20" i="81"/>
  <c r="H19" i="81"/>
  <c r="H18" i="81"/>
  <c r="H17" i="81"/>
  <c r="H16" i="81"/>
  <c r="H15" i="81"/>
  <c r="H14" i="81"/>
  <c r="H13" i="81"/>
  <c r="H12" i="81"/>
  <c r="H11" i="81"/>
  <c r="H10" i="81"/>
  <c r="H9" i="81"/>
  <c r="H8" i="81"/>
  <c r="H7" i="81"/>
  <c r="H6" i="81"/>
  <c r="G20" i="80"/>
  <c r="C20" i="80"/>
  <c r="E20" i="80"/>
  <c r="F20" i="80"/>
  <c r="F22" i="80"/>
  <c r="D20" i="80"/>
  <c r="H19" i="80"/>
  <c r="H18" i="80"/>
  <c r="H17" i="80"/>
  <c r="H16" i="80"/>
  <c r="H15" i="80"/>
  <c r="H14" i="80"/>
  <c r="H13" i="80"/>
  <c r="H12" i="80"/>
  <c r="H11" i="80"/>
  <c r="H10" i="80"/>
  <c r="H9" i="80"/>
  <c r="H8" i="80"/>
  <c r="H7" i="80"/>
  <c r="H6" i="80"/>
  <c r="G20" i="79"/>
  <c r="F20" i="79"/>
  <c r="D20" i="79"/>
  <c r="F22" i="79"/>
  <c r="E20" i="79"/>
  <c r="C20" i="79"/>
  <c r="H19" i="79"/>
  <c r="H18" i="79"/>
  <c r="H17" i="79"/>
  <c r="H16" i="79"/>
  <c r="H15" i="79"/>
  <c r="H14" i="79"/>
  <c r="H13" i="79"/>
  <c r="H12" i="79"/>
  <c r="H11" i="79"/>
  <c r="H10" i="79"/>
  <c r="H9" i="79"/>
  <c r="H8" i="79"/>
  <c r="H7" i="79"/>
  <c r="H6" i="79"/>
  <c r="G20" i="78"/>
  <c r="C20" i="78"/>
  <c r="E20" i="78"/>
  <c r="F20" i="78"/>
  <c r="D20" i="78"/>
  <c r="H19" i="78"/>
  <c r="H18" i="78"/>
  <c r="H17" i="78"/>
  <c r="H16" i="78"/>
  <c r="H15" i="78"/>
  <c r="H14" i="78"/>
  <c r="H13" i="78"/>
  <c r="H12" i="78"/>
  <c r="H11" i="78"/>
  <c r="H10" i="78"/>
  <c r="H9" i="78"/>
  <c r="H8" i="78"/>
  <c r="H7" i="78"/>
  <c r="H6" i="78"/>
  <c r="G20" i="77"/>
  <c r="C20" i="77"/>
  <c r="E20" i="77"/>
  <c r="F20" i="77"/>
  <c r="D20" i="77"/>
  <c r="F22" i="77"/>
  <c r="H19" i="77"/>
  <c r="H18" i="77"/>
  <c r="H17" i="77"/>
  <c r="H16" i="77"/>
  <c r="H15" i="77"/>
  <c r="H14" i="77"/>
  <c r="H13" i="77"/>
  <c r="H12" i="77"/>
  <c r="H11" i="77"/>
  <c r="H10" i="77"/>
  <c r="H9" i="77"/>
  <c r="H8" i="77"/>
  <c r="H7" i="77"/>
  <c r="H6" i="77"/>
  <c r="G20" i="76"/>
  <c r="C20" i="76"/>
  <c r="E20" i="76"/>
  <c r="F20" i="76"/>
  <c r="D20" i="76"/>
  <c r="F22" i="76"/>
  <c r="H19" i="76"/>
  <c r="H18" i="76"/>
  <c r="H17" i="76"/>
  <c r="H16" i="76"/>
  <c r="H15" i="76"/>
  <c r="H14" i="76"/>
  <c r="H13" i="76"/>
  <c r="H12" i="76"/>
  <c r="H11" i="76"/>
  <c r="H10" i="76"/>
  <c r="H9" i="76"/>
  <c r="H8" i="76"/>
  <c r="H7" i="76"/>
  <c r="H6" i="76"/>
  <c r="G20" i="75"/>
  <c r="F20" i="75"/>
  <c r="E20" i="75"/>
  <c r="C20" i="75"/>
  <c r="D20" i="75"/>
  <c r="H19" i="75"/>
  <c r="H18" i="75"/>
  <c r="H17" i="75"/>
  <c r="H16" i="75"/>
  <c r="H15" i="75"/>
  <c r="H14" i="75"/>
  <c r="H13" i="75"/>
  <c r="H12" i="75"/>
  <c r="H11" i="75"/>
  <c r="H10" i="75"/>
  <c r="H9" i="75"/>
  <c r="H8" i="75"/>
  <c r="H7" i="75"/>
  <c r="H6" i="75"/>
  <c r="G20" i="74"/>
  <c r="F20" i="74"/>
  <c r="D20" i="74"/>
  <c r="E20" i="74"/>
  <c r="C20" i="74"/>
  <c r="H19" i="74"/>
  <c r="H18" i="74"/>
  <c r="H17" i="74"/>
  <c r="H16" i="74"/>
  <c r="H15" i="74"/>
  <c r="H14" i="74"/>
  <c r="H13" i="74"/>
  <c r="H12" i="74"/>
  <c r="H11" i="74"/>
  <c r="H10" i="74"/>
  <c r="H9" i="74"/>
  <c r="H8" i="74"/>
  <c r="H7" i="74"/>
  <c r="H6" i="74"/>
  <c r="G20" i="73"/>
  <c r="F20" i="73"/>
  <c r="D20" i="73"/>
  <c r="E20" i="73"/>
  <c r="C20" i="73"/>
  <c r="H19" i="73"/>
  <c r="H18" i="73"/>
  <c r="H17" i="73"/>
  <c r="H16" i="73"/>
  <c r="H15" i="73"/>
  <c r="H14" i="73"/>
  <c r="H13" i="73"/>
  <c r="H12" i="73"/>
  <c r="H11" i="73"/>
  <c r="H10" i="73"/>
  <c r="H9" i="73"/>
  <c r="H8" i="73"/>
  <c r="H7" i="73"/>
  <c r="H6" i="73"/>
  <c r="G20" i="72"/>
  <c r="F20" i="72"/>
  <c r="D20" i="72"/>
  <c r="E20" i="72"/>
  <c r="C20" i="72"/>
  <c r="H19" i="72"/>
  <c r="H18" i="72"/>
  <c r="H17" i="72"/>
  <c r="H16" i="72"/>
  <c r="H15" i="72"/>
  <c r="H14" i="72"/>
  <c r="H13" i="72"/>
  <c r="H12" i="72"/>
  <c r="H11" i="72"/>
  <c r="H10" i="72"/>
  <c r="H9" i="72"/>
  <c r="H8" i="72"/>
  <c r="H7" i="72"/>
  <c r="H6" i="72"/>
  <c r="G20" i="71"/>
  <c r="F20" i="71"/>
  <c r="D20" i="71"/>
  <c r="E20" i="71"/>
  <c r="C20" i="71"/>
  <c r="H19" i="71"/>
  <c r="H18" i="71"/>
  <c r="H17" i="71"/>
  <c r="H16" i="71"/>
  <c r="H15" i="71"/>
  <c r="H14" i="71"/>
  <c r="H13" i="71"/>
  <c r="H12" i="71"/>
  <c r="H11" i="71"/>
  <c r="H10" i="71"/>
  <c r="H9" i="71"/>
  <c r="H8" i="71"/>
  <c r="H7" i="71"/>
  <c r="H6" i="71"/>
  <c r="G20" i="70"/>
  <c r="F20" i="70"/>
  <c r="E20" i="70"/>
  <c r="D20" i="70"/>
  <c r="C20" i="70"/>
  <c r="H19" i="70"/>
  <c r="H18" i="70"/>
  <c r="H17" i="70"/>
  <c r="H16" i="70"/>
  <c r="H15" i="70"/>
  <c r="H14" i="70"/>
  <c r="H13" i="70"/>
  <c r="H12" i="70"/>
  <c r="H11" i="70"/>
  <c r="H10" i="70"/>
  <c r="H9" i="70"/>
  <c r="H8" i="70"/>
  <c r="H7" i="70"/>
  <c r="H6" i="70"/>
  <c r="G20" i="68"/>
  <c r="C20" i="68"/>
  <c r="E20" i="68"/>
  <c r="F20" i="68"/>
  <c r="D20" i="68"/>
  <c r="F22" i="68"/>
  <c r="H19" i="68"/>
  <c r="H18" i="68"/>
  <c r="H17" i="68"/>
  <c r="H16" i="68"/>
  <c r="H15" i="68"/>
  <c r="H14" i="68"/>
  <c r="H13" i="68"/>
  <c r="H12" i="68"/>
  <c r="H11" i="68"/>
  <c r="H10" i="68"/>
  <c r="H9" i="68"/>
  <c r="H8" i="68"/>
  <c r="H7" i="68"/>
  <c r="H6" i="68"/>
  <c r="G20" i="67"/>
  <c r="C20" i="67"/>
  <c r="E20" i="67"/>
  <c r="F20" i="67"/>
  <c r="D20" i="67"/>
  <c r="F22" i="67"/>
  <c r="H19" i="67"/>
  <c r="H18" i="67"/>
  <c r="H17" i="67"/>
  <c r="H16" i="67"/>
  <c r="H15" i="67"/>
  <c r="H14" i="67"/>
  <c r="H13" i="67"/>
  <c r="H12" i="67"/>
  <c r="H11" i="67"/>
  <c r="H10" i="67"/>
  <c r="H9" i="67"/>
  <c r="H8" i="67"/>
  <c r="H7" i="67"/>
  <c r="H6" i="67"/>
  <c r="G20" i="61"/>
  <c r="C20" i="61"/>
  <c r="E20" i="61"/>
  <c r="F20" i="61"/>
  <c r="D20" i="61"/>
  <c r="H19" i="61"/>
  <c r="H18" i="61"/>
  <c r="H17" i="61"/>
  <c r="H16" i="61"/>
  <c r="H15" i="61"/>
  <c r="H14" i="61"/>
  <c r="H13" i="61"/>
  <c r="H12" i="61"/>
  <c r="H11" i="61"/>
  <c r="H10" i="61"/>
  <c r="H9" i="61"/>
  <c r="H8" i="61"/>
  <c r="H7" i="61"/>
  <c r="H6" i="61"/>
  <c r="G20" i="63"/>
  <c r="F20" i="63"/>
  <c r="E20" i="63"/>
  <c r="C20" i="63"/>
  <c r="D20" i="63"/>
  <c r="H19" i="63"/>
  <c r="H18" i="63"/>
  <c r="H17" i="63"/>
  <c r="H16" i="63"/>
  <c r="H15" i="63"/>
  <c r="H14" i="63"/>
  <c r="H13" i="63"/>
  <c r="H12" i="63"/>
  <c r="H11" i="63"/>
  <c r="H10" i="63"/>
  <c r="H9" i="63"/>
  <c r="H8" i="63"/>
  <c r="H7" i="63"/>
  <c r="H6" i="63"/>
  <c r="G20" i="66"/>
  <c r="F20" i="66"/>
  <c r="E20" i="66"/>
  <c r="C20" i="66"/>
  <c r="D20" i="66"/>
  <c r="H19" i="66"/>
  <c r="H18" i="66"/>
  <c r="H17" i="66"/>
  <c r="H16" i="66"/>
  <c r="H15" i="66"/>
  <c r="H14" i="66"/>
  <c r="H13" i="66"/>
  <c r="H12" i="66"/>
  <c r="H11" i="66"/>
  <c r="H10" i="66"/>
  <c r="H9" i="66"/>
  <c r="H8" i="66"/>
  <c r="H7" i="66"/>
  <c r="H6" i="66"/>
  <c r="G20" i="65"/>
  <c r="F20" i="65"/>
  <c r="D20" i="65"/>
  <c r="E20" i="65"/>
  <c r="C20" i="65"/>
  <c r="H19" i="65"/>
  <c r="H18" i="65"/>
  <c r="H17" i="65"/>
  <c r="H16" i="65"/>
  <c r="H15" i="65"/>
  <c r="H14" i="65"/>
  <c r="H13" i="65"/>
  <c r="H12" i="65"/>
  <c r="H11" i="65"/>
  <c r="H10" i="65"/>
  <c r="H9" i="65"/>
  <c r="H8" i="65"/>
  <c r="H7" i="65"/>
  <c r="H6" i="65"/>
  <c r="G20" i="64"/>
  <c r="F20" i="64"/>
  <c r="D20" i="64"/>
  <c r="F22" i="64"/>
  <c r="E20" i="64"/>
  <c r="C20" i="64"/>
  <c r="H19" i="64"/>
  <c r="H18" i="64"/>
  <c r="H17" i="64"/>
  <c r="H16" i="64"/>
  <c r="H15" i="64"/>
  <c r="H14" i="64"/>
  <c r="H13" i="64"/>
  <c r="H12" i="64"/>
  <c r="H11" i="64"/>
  <c r="H10" i="64"/>
  <c r="H9" i="64"/>
  <c r="H8" i="64"/>
  <c r="H7" i="64"/>
  <c r="H6" i="64"/>
  <c r="G20" i="62"/>
  <c r="C20" i="62"/>
  <c r="E20" i="62"/>
  <c r="F20" i="62"/>
  <c r="D20" i="62"/>
  <c r="H19" i="62"/>
  <c r="H18" i="62"/>
  <c r="H17" i="62"/>
  <c r="H16" i="62"/>
  <c r="H15" i="62"/>
  <c r="H14" i="62"/>
  <c r="H13" i="62"/>
  <c r="H12" i="62"/>
  <c r="H11" i="62"/>
  <c r="H10" i="62"/>
  <c r="H9" i="62"/>
  <c r="H8" i="62"/>
  <c r="H7" i="62"/>
  <c r="H6" i="62"/>
  <c r="G20" i="60"/>
  <c r="C20" i="60"/>
  <c r="E20" i="60"/>
  <c r="F20" i="60"/>
  <c r="D20" i="60"/>
  <c r="F22" i="60"/>
  <c r="H19" i="60"/>
  <c r="H18" i="60"/>
  <c r="H17" i="60"/>
  <c r="H16" i="60"/>
  <c r="H15" i="60"/>
  <c r="H14" i="60"/>
  <c r="H13" i="60"/>
  <c r="H12" i="60"/>
  <c r="H11" i="60"/>
  <c r="H10" i="60"/>
  <c r="H9" i="60"/>
  <c r="H8" i="60"/>
  <c r="H7" i="60"/>
  <c r="H6" i="60"/>
  <c r="G20" i="59"/>
  <c r="C20" i="59"/>
  <c r="E20" i="59"/>
  <c r="F20" i="59"/>
  <c r="D20" i="59"/>
  <c r="F22" i="59"/>
  <c r="H19" i="59"/>
  <c r="H18" i="59"/>
  <c r="H17" i="59"/>
  <c r="H16" i="59"/>
  <c r="H15" i="59"/>
  <c r="H14" i="59"/>
  <c r="H13" i="59"/>
  <c r="H12" i="59"/>
  <c r="H11" i="59"/>
  <c r="H10" i="59"/>
  <c r="H9" i="59"/>
  <c r="H8" i="59"/>
  <c r="H7" i="59"/>
  <c r="H6" i="59"/>
  <c r="G20" i="58"/>
  <c r="F20" i="58"/>
  <c r="E20" i="58"/>
  <c r="D20" i="58"/>
  <c r="C20" i="58"/>
  <c r="H19" i="58"/>
  <c r="H18" i="58"/>
  <c r="H17" i="58"/>
  <c r="H16" i="58"/>
  <c r="H15" i="58"/>
  <c r="H14" i="58"/>
  <c r="H13" i="58"/>
  <c r="H12" i="58"/>
  <c r="H11" i="58"/>
  <c r="H10" i="58"/>
  <c r="H9" i="58"/>
  <c r="H8" i="58"/>
  <c r="H7" i="58"/>
  <c r="H6" i="58"/>
  <c r="G20" i="57"/>
  <c r="F20" i="57"/>
  <c r="E20" i="57"/>
  <c r="C20" i="57"/>
  <c r="D20" i="57"/>
  <c r="H19" i="57"/>
  <c r="H18" i="57"/>
  <c r="H17" i="57"/>
  <c r="H16" i="57"/>
  <c r="H15" i="57"/>
  <c r="H14" i="57"/>
  <c r="H13" i="57"/>
  <c r="H12" i="57"/>
  <c r="H11" i="57"/>
  <c r="H10" i="57"/>
  <c r="H9" i="57"/>
  <c r="H8" i="57"/>
  <c r="H7" i="57"/>
  <c r="H6" i="57"/>
  <c r="G20" i="56"/>
  <c r="F20" i="56"/>
  <c r="E20" i="56"/>
  <c r="D20" i="56"/>
  <c r="C20" i="56"/>
  <c r="H19" i="56"/>
  <c r="H18" i="56"/>
  <c r="H17" i="56"/>
  <c r="H16" i="56"/>
  <c r="H15" i="56"/>
  <c r="H14" i="56"/>
  <c r="H13" i="56"/>
  <c r="H12" i="56"/>
  <c r="H11" i="56"/>
  <c r="H10" i="56"/>
  <c r="H9" i="56"/>
  <c r="H8" i="56"/>
  <c r="H7" i="56"/>
  <c r="H6" i="56"/>
  <c r="G20" i="55"/>
  <c r="F20" i="55"/>
  <c r="D20" i="55"/>
  <c r="E20" i="55"/>
  <c r="C20" i="55"/>
  <c r="H19" i="55"/>
  <c r="H18" i="55"/>
  <c r="H17" i="55"/>
  <c r="H16" i="55"/>
  <c r="H15" i="55"/>
  <c r="H14" i="55"/>
  <c r="H13" i="55"/>
  <c r="H12" i="55"/>
  <c r="H11" i="55"/>
  <c r="H10" i="55"/>
  <c r="H9" i="55"/>
  <c r="H8" i="55"/>
  <c r="H7" i="55"/>
  <c r="H6" i="55"/>
  <c r="G21" i="54"/>
  <c r="C21" i="54"/>
  <c r="E21" i="54"/>
  <c r="D23" i="54"/>
  <c r="F21" i="54"/>
  <c r="D21" i="54"/>
  <c r="H20" i="54"/>
  <c r="H19" i="54"/>
  <c r="H18" i="54"/>
  <c r="H17" i="54"/>
  <c r="H16" i="54"/>
  <c r="H15" i="54"/>
  <c r="H14" i="54"/>
  <c r="H13" i="54"/>
  <c r="H12" i="54"/>
  <c r="H11" i="54"/>
  <c r="H10" i="54"/>
  <c r="H9" i="54"/>
  <c r="H8" i="54"/>
  <c r="H7" i="54"/>
  <c r="H6" i="54"/>
  <c r="G20" i="53"/>
  <c r="C20" i="53"/>
  <c r="E20" i="53"/>
  <c r="F20" i="53"/>
  <c r="D20" i="53"/>
  <c r="H19" i="53"/>
  <c r="H18" i="53"/>
  <c r="H17" i="53"/>
  <c r="H16" i="53"/>
  <c r="H15" i="53"/>
  <c r="H14" i="53"/>
  <c r="H13" i="53"/>
  <c r="H12" i="53"/>
  <c r="H11" i="53"/>
  <c r="H10" i="53"/>
  <c r="H9" i="53"/>
  <c r="H8" i="53"/>
  <c r="H7" i="53"/>
  <c r="H6" i="53"/>
  <c r="G20" i="52"/>
  <c r="C20" i="52"/>
  <c r="E20" i="52"/>
  <c r="F20" i="52"/>
  <c r="D20" i="52"/>
  <c r="H19" i="52"/>
  <c r="H18" i="52"/>
  <c r="H17" i="52"/>
  <c r="H16" i="52"/>
  <c r="H15" i="52"/>
  <c r="H14" i="52"/>
  <c r="H13" i="52"/>
  <c r="H12" i="52"/>
  <c r="H11" i="52"/>
  <c r="H10" i="52"/>
  <c r="H9" i="52"/>
  <c r="H8" i="52"/>
  <c r="H7" i="52"/>
  <c r="H6" i="52"/>
  <c r="G19" i="51"/>
  <c r="F19" i="51"/>
  <c r="D19" i="51"/>
  <c r="E19" i="51"/>
  <c r="C19" i="51"/>
  <c r="H18" i="51"/>
  <c r="H17" i="51"/>
  <c r="H16" i="51"/>
  <c r="H15" i="51"/>
  <c r="H14" i="51"/>
  <c r="H13" i="51"/>
  <c r="H12" i="51"/>
  <c r="H11" i="51"/>
  <c r="H10" i="51"/>
  <c r="H9" i="51"/>
  <c r="H8" i="51"/>
  <c r="H7" i="51"/>
  <c r="H6" i="51"/>
  <c r="G20" i="50"/>
  <c r="F20" i="50"/>
  <c r="D20" i="50"/>
  <c r="E20" i="50"/>
  <c r="C20" i="50"/>
  <c r="H19" i="50"/>
  <c r="H18" i="50"/>
  <c r="H17" i="50"/>
  <c r="H16" i="50"/>
  <c r="H15" i="50"/>
  <c r="H14" i="50"/>
  <c r="H13" i="50"/>
  <c r="H12" i="50"/>
  <c r="H11" i="50"/>
  <c r="H10" i="50"/>
  <c r="H9" i="50"/>
  <c r="H8" i="50"/>
  <c r="H7" i="50"/>
  <c r="H6" i="50"/>
  <c r="G20" i="47"/>
  <c r="C20" i="47"/>
  <c r="E20" i="47"/>
  <c r="F20" i="47"/>
  <c r="D20" i="47"/>
  <c r="H19" i="47"/>
  <c r="H18" i="47"/>
  <c r="H17" i="47"/>
  <c r="H16" i="47"/>
  <c r="H15" i="47"/>
  <c r="H14" i="47"/>
  <c r="H13" i="47"/>
  <c r="H12" i="47"/>
  <c r="H11" i="47"/>
  <c r="H10" i="47"/>
  <c r="H9" i="47"/>
  <c r="H8" i="47"/>
  <c r="H7" i="47"/>
  <c r="H6" i="47"/>
  <c r="G20" i="49"/>
  <c r="F20" i="49"/>
  <c r="E20" i="49"/>
  <c r="D20" i="49"/>
  <c r="C20" i="49"/>
  <c r="H19" i="49"/>
  <c r="H18" i="49"/>
  <c r="H17" i="49"/>
  <c r="H16" i="49"/>
  <c r="H15" i="49"/>
  <c r="H14" i="49"/>
  <c r="H13" i="49"/>
  <c r="H12" i="49"/>
  <c r="H11" i="49"/>
  <c r="H10" i="49"/>
  <c r="H9" i="49"/>
  <c r="H8" i="49"/>
  <c r="H7" i="49"/>
  <c r="H6" i="49"/>
  <c r="G20" i="48"/>
  <c r="C20" i="48"/>
  <c r="E20" i="48"/>
  <c r="F20" i="48"/>
  <c r="F21" i="48"/>
  <c r="D20" i="48"/>
  <c r="H19" i="48"/>
  <c r="H18" i="48"/>
  <c r="H17" i="48"/>
  <c r="H16" i="48"/>
  <c r="H15" i="48"/>
  <c r="H14" i="48"/>
  <c r="H13" i="48"/>
  <c r="H12" i="48"/>
  <c r="H11" i="48"/>
  <c r="H10" i="48"/>
  <c r="H9" i="48"/>
  <c r="H8" i="48"/>
  <c r="H7" i="48"/>
  <c r="H6" i="48"/>
  <c r="G20" i="46"/>
  <c r="F20" i="46"/>
  <c r="D20" i="46"/>
  <c r="F21" i="46"/>
  <c r="E20" i="46"/>
  <c r="C20" i="46"/>
  <c r="H19" i="46"/>
  <c r="H18" i="46"/>
  <c r="H17" i="46"/>
  <c r="H16" i="46"/>
  <c r="H15" i="46"/>
  <c r="H14" i="46"/>
  <c r="H13" i="46"/>
  <c r="H12" i="46"/>
  <c r="H11" i="46"/>
  <c r="H10" i="46"/>
  <c r="H9" i="46"/>
  <c r="H8" i="46"/>
  <c r="H7" i="46"/>
  <c r="H6" i="46"/>
  <c r="G20" i="45"/>
  <c r="C20" i="45"/>
  <c r="E20" i="45"/>
  <c r="F20" i="45"/>
  <c r="D20" i="45"/>
  <c r="H19" i="45"/>
  <c r="H18" i="45"/>
  <c r="H17" i="45"/>
  <c r="H16" i="45"/>
  <c r="H15" i="45"/>
  <c r="H14" i="45"/>
  <c r="H13" i="45"/>
  <c r="H12" i="45"/>
  <c r="H11" i="45"/>
  <c r="H10" i="45"/>
  <c r="H9" i="45"/>
  <c r="H8" i="45"/>
  <c r="H7" i="45"/>
  <c r="H6" i="45"/>
  <c r="G20" i="44"/>
  <c r="F20" i="44"/>
  <c r="D20" i="44"/>
  <c r="E20" i="44"/>
  <c r="C20" i="44"/>
  <c r="H19" i="44"/>
  <c r="H18" i="44"/>
  <c r="H17" i="44"/>
  <c r="H16" i="44"/>
  <c r="H15" i="44"/>
  <c r="H14" i="44"/>
  <c r="H13" i="44"/>
  <c r="H12" i="44"/>
  <c r="H11" i="44"/>
  <c r="H10" i="44"/>
  <c r="H9" i="44"/>
  <c r="H8" i="44"/>
  <c r="H7" i="44"/>
  <c r="H6" i="44"/>
  <c r="G20" i="43"/>
  <c r="C20" i="43"/>
  <c r="E20" i="43"/>
  <c r="F20" i="43"/>
  <c r="D20" i="43"/>
  <c r="H19" i="43"/>
  <c r="H18" i="43"/>
  <c r="H17" i="43"/>
  <c r="H16" i="43"/>
  <c r="H15" i="43"/>
  <c r="H14" i="43"/>
  <c r="H13" i="43"/>
  <c r="H12" i="43"/>
  <c r="H11" i="43"/>
  <c r="H10" i="43"/>
  <c r="H9" i="43"/>
  <c r="H8" i="43"/>
  <c r="H7" i="43"/>
  <c r="H6" i="43"/>
  <c r="G20" i="42"/>
  <c r="F20" i="42"/>
  <c r="D20" i="42"/>
  <c r="E20" i="42"/>
  <c r="C20" i="42"/>
  <c r="H19" i="42"/>
  <c r="H18" i="42"/>
  <c r="H17" i="42"/>
  <c r="H16" i="42"/>
  <c r="H15" i="42"/>
  <c r="H14" i="42"/>
  <c r="H13" i="42"/>
  <c r="H12" i="42"/>
  <c r="H11" i="42"/>
  <c r="H10" i="42"/>
  <c r="H9" i="42"/>
  <c r="H8" i="42"/>
  <c r="H7" i="42"/>
  <c r="H6" i="42"/>
  <c r="G20" i="41"/>
  <c r="F20" i="41"/>
  <c r="E20" i="41"/>
  <c r="D20" i="41"/>
  <c r="F21" i="41"/>
  <c r="C20" i="41"/>
  <c r="H19" i="41"/>
  <c r="H18" i="41"/>
  <c r="H17" i="41"/>
  <c r="H16" i="41"/>
  <c r="H15" i="41"/>
  <c r="H14" i="41"/>
  <c r="H13" i="41"/>
  <c r="H12" i="41"/>
  <c r="H11" i="41"/>
  <c r="H10" i="41"/>
  <c r="H9" i="41"/>
  <c r="H8" i="41"/>
  <c r="H7" i="41"/>
  <c r="H6" i="41"/>
  <c r="G20" i="40"/>
  <c r="F20" i="40"/>
  <c r="D20" i="40"/>
  <c r="E20" i="40"/>
  <c r="C20" i="40"/>
  <c r="H19" i="40"/>
  <c r="H18" i="40"/>
  <c r="H17" i="40"/>
  <c r="H16" i="40"/>
  <c r="H15" i="40"/>
  <c r="H14" i="40"/>
  <c r="H13" i="40"/>
  <c r="H12" i="40"/>
  <c r="H11" i="40"/>
  <c r="H10" i="40"/>
  <c r="H9" i="40"/>
  <c r="H8" i="40"/>
  <c r="H7" i="40"/>
  <c r="H6" i="40"/>
  <c r="G20" i="39"/>
  <c r="F20" i="39"/>
  <c r="D20" i="39"/>
  <c r="E20" i="39"/>
  <c r="C20" i="39"/>
  <c r="H19" i="39"/>
  <c r="H18" i="39"/>
  <c r="H17" i="39"/>
  <c r="H16" i="39"/>
  <c r="H15" i="39"/>
  <c r="H14" i="39"/>
  <c r="H13" i="39"/>
  <c r="H12" i="39"/>
  <c r="H11" i="39"/>
  <c r="H10" i="39"/>
  <c r="H9" i="39"/>
  <c r="H8" i="39"/>
  <c r="H7" i="39"/>
  <c r="H6" i="39"/>
  <c r="G20" i="38"/>
  <c r="F20" i="38"/>
  <c r="D20" i="38"/>
  <c r="E20" i="38"/>
  <c r="C20" i="38"/>
  <c r="H19" i="38"/>
  <c r="H18" i="38"/>
  <c r="H17" i="38"/>
  <c r="H16" i="38"/>
  <c r="H15" i="38"/>
  <c r="H14" i="38"/>
  <c r="H13" i="38"/>
  <c r="H12" i="38"/>
  <c r="H11" i="38"/>
  <c r="H10" i="38"/>
  <c r="H9" i="38"/>
  <c r="H8" i="38"/>
  <c r="H7" i="38"/>
  <c r="H6" i="38"/>
  <c r="G20" i="37"/>
  <c r="C20" i="37"/>
  <c r="E20" i="37"/>
  <c r="F20" i="37"/>
  <c r="D20" i="37"/>
  <c r="H19" i="37"/>
  <c r="H18" i="37"/>
  <c r="H17" i="37"/>
  <c r="H16" i="37"/>
  <c r="H15" i="37"/>
  <c r="H14" i="37"/>
  <c r="H13" i="37"/>
  <c r="H12" i="37"/>
  <c r="H11" i="37"/>
  <c r="H10" i="37"/>
  <c r="H9" i="37"/>
  <c r="H8" i="37"/>
  <c r="H7" i="37"/>
  <c r="H6" i="37"/>
  <c r="G20" i="36"/>
  <c r="C20" i="36"/>
  <c r="E20" i="36"/>
  <c r="F20" i="36"/>
  <c r="D20" i="36"/>
  <c r="F21" i="36"/>
  <c r="H19" i="36"/>
  <c r="H18" i="36"/>
  <c r="H17" i="36"/>
  <c r="H16" i="36"/>
  <c r="H15" i="36"/>
  <c r="H14" i="36"/>
  <c r="H13" i="36"/>
  <c r="H12" i="36"/>
  <c r="H11" i="36"/>
  <c r="H10" i="36"/>
  <c r="H9" i="36"/>
  <c r="H8" i="36"/>
  <c r="H7" i="36"/>
  <c r="H6" i="36"/>
  <c r="G20" i="35"/>
  <c r="F20" i="35"/>
  <c r="D20" i="35"/>
  <c r="E20" i="35"/>
  <c r="C20" i="35"/>
  <c r="D21" i="35"/>
  <c r="H19" i="35"/>
  <c r="H18" i="35"/>
  <c r="H17" i="35"/>
  <c r="H16" i="35"/>
  <c r="H15" i="35"/>
  <c r="H14" i="35"/>
  <c r="H13" i="35"/>
  <c r="H12" i="35"/>
  <c r="H11" i="35"/>
  <c r="H10" i="35"/>
  <c r="H9" i="35"/>
  <c r="H8" i="35"/>
  <c r="H7" i="35"/>
  <c r="H6" i="35"/>
  <c r="G20" i="34"/>
  <c r="F20" i="34"/>
  <c r="E20" i="34"/>
  <c r="C20" i="34"/>
  <c r="D20" i="34"/>
  <c r="H19" i="34"/>
  <c r="H18" i="34"/>
  <c r="H17" i="34"/>
  <c r="H16" i="34"/>
  <c r="H15" i="34"/>
  <c r="H14" i="34"/>
  <c r="H13" i="34"/>
  <c r="H12" i="34"/>
  <c r="H11" i="34"/>
  <c r="H10" i="34"/>
  <c r="H9" i="34"/>
  <c r="H8" i="34"/>
  <c r="H7" i="34"/>
  <c r="H6" i="34"/>
  <c r="G20" i="33"/>
  <c r="F20" i="33"/>
  <c r="F21" i="33"/>
  <c r="D20" i="33"/>
  <c r="E20" i="33"/>
  <c r="C20" i="33"/>
  <c r="H19" i="33"/>
  <c r="H18" i="33"/>
  <c r="H17" i="33"/>
  <c r="H16" i="33"/>
  <c r="H15" i="33"/>
  <c r="H14" i="33"/>
  <c r="H13" i="33"/>
  <c r="H12" i="33"/>
  <c r="H11" i="33"/>
  <c r="H10" i="33"/>
  <c r="H9" i="33"/>
  <c r="H8" i="33"/>
  <c r="H7" i="33"/>
  <c r="H6" i="33"/>
  <c r="G19" i="32"/>
  <c r="C19" i="32"/>
  <c r="E19" i="32"/>
  <c r="F19" i="32"/>
  <c r="D19" i="32"/>
  <c r="H18" i="32"/>
  <c r="H17" i="32"/>
  <c r="H16" i="32"/>
  <c r="H15" i="32"/>
  <c r="H14" i="32"/>
  <c r="H13" i="32"/>
  <c r="H12" i="32"/>
  <c r="H11" i="32"/>
  <c r="H10" i="32"/>
  <c r="H9" i="32"/>
  <c r="H8" i="32"/>
  <c r="H7" i="32"/>
  <c r="H6" i="32"/>
  <c r="G19" i="31"/>
  <c r="F19" i="31"/>
  <c r="E19" i="31"/>
  <c r="D19" i="31"/>
  <c r="C19" i="31"/>
  <c r="H18" i="31"/>
  <c r="H17" i="31"/>
  <c r="H16" i="31"/>
  <c r="H15" i="31"/>
  <c r="H14" i="31"/>
  <c r="H13" i="31"/>
  <c r="H12" i="31"/>
  <c r="H11" i="31"/>
  <c r="H10" i="31"/>
  <c r="H9" i="31"/>
  <c r="H8" i="31"/>
  <c r="H7" i="31"/>
  <c r="H6" i="31"/>
  <c r="G19" i="30"/>
  <c r="C19" i="30"/>
  <c r="E19" i="30"/>
  <c r="F19" i="30"/>
  <c r="D19" i="30"/>
  <c r="F21" i="30"/>
  <c r="H18" i="30"/>
  <c r="H17" i="30"/>
  <c r="H16" i="30"/>
  <c r="H15" i="30"/>
  <c r="H14" i="30"/>
  <c r="H13" i="30"/>
  <c r="H12" i="30"/>
  <c r="H11" i="30"/>
  <c r="H10" i="30"/>
  <c r="H9" i="30"/>
  <c r="H8" i="30"/>
  <c r="H7" i="30"/>
  <c r="H6" i="30"/>
  <c r="G19" i="29"/>
  <c r="C19" i="29"/>
  <c r="E19" i="29"/>
  <c r="D21" i="29"/>
  <c r="F19" i="29"/>
  <c r="D19" i="29"/>
  <c r="H18" i="29"/>
  <c r="H17" i="29"/>
  <c r="H16" i="29"/>
  <c r="H15" i="29"/>
  <c r="H14" i="29"/>
  <c r="H13" i="29"/>
  <c r="H12" i="29"/>
  <c r="H11" i="29"/>
  <c r="H10" i="29"/>
  <c r="H9" i="29"/>
  <c r="H8" i="29"/>
  <c r="H7" i="29"/>
  <c r="H6" i="29"/>
  <c r="G19" i="28"/>
  <c r="F19" i="28"/>
  <c r="D19" i="28"/>
  <c r="E19" i="28"/>
  <c r="C19" i="28"/>
  <c r="H18" i="28"/>
  <c r="H17" i="28"/>
  <c r="H16" i="28"/>
  <c r="H15" i="28"/>
  <c r="H14" i="28"/>
  <c r="H13" i="28"/>
  <c r="H12" i="28"/>
  <c r="H11" i="28"/>
  <c r="H10" i="28"/>
  <c r="H9" i="28"/>
  <c r="H8" i="28"/>
  <c r="H7" i="28"/>
  <c r="H6" i="28"/>
  <c r="G19" i="27"/>
  <c r="F19" i="27"/>
  <c r="E19" i="27"/>
  <c r="C19" i="27"/>
  <c r="D19" i="27"/>
  <c r="H18" i="27"/>
  <c r="H17" i="27"/>
  <c r="H16" i="27"/>
  <c r="H15" i="27"/>
  <c r="H14" i="27"/>
  <c r="H13" i="27"/>
  <c r="H12" i="27"/>
  <c r="H11" i="27"/>
  <c r="H10" i="27"/>
  <c r="H9" i="27"/>
  <c r="H8" i="27"/>
  <c r="H7" i="27"/>
  <c r="H6" i="27"/>
  <c r="G19" i="26"/>
  <c r="C19" i="26"/>
  <c r="E19" i="26"/>
  <c r="F19" i="26"/>
  <c r="D19" i="26"/>
  <c r="F21" i="26"/>
  <c r="H18" i="26"/>
  <c r="H17" i="26"/>
  <c r="H16" i="26"/>
  <c r="H15" i="26"/>
  <c r="H14" i="26"/>
  <c r="H13" i="26"/>
  <c r="H12" i="26"/>
  <c r="H11" i="26"/>
  <c r="H10" i="26"/>
  <c r="H9" i="26"/>
  <c r="H8" i="26"/>
  <c r="H7" i="26"/>
  <c r="H6" i="26"/>
  <c r="G19" i="25"/>
  <c r="F19" i="25"/>
  <c r="D19" i="25"/>
  <c r="F21" i="25"/>
  <c r="E19" i="25"/>
  <c r="C19" i="25"/>
  <c r="H18" i="25"/>
  <c r="H17" i="25"/>
  <c r="H16" i="25"/>
  <c r="H15" i="25"/>
  <c r="H14" i="25"/>
  <c r="H13" i="25"/>
  <c r="H12" i="25"/>
  <c r="H11" i="25"/>
  <c r="H10" i="25"/>
  <c r="H9" i="25"/>
  <c r="H8" i="25"/>
  <c r="H7" i="25"/>
  <c r="H6" i="25"/>
  <c r="G19" i="24"/>
  <c r="F19" i="24"/>
  <c r="D19" i="24"/>
  <c r="E19" i="24"/>
  <c r="C19" i="24"/>
  <c r="H18" i="24"/>
  <c r="H17" i="24"/>
  <c r="H16" i="24"/>
  <c r="H15" i="24"/>
  <c r="H14" i="24"/>
  <c r="H13" i="24"/>
  <c r="H12" i="24"/>
  <c r="H11" i="24"/>
  <c r="H10" i="24"/>
  <c r="H9" i="24"/>
  <c r="H8" i="24"/>
  <c r="H7" i="24"/>
  <c r="H6" i="24"/>
  <c r="G19" i="23"/>
  <c r="C19" i="23"/>
  <c r="E19" i="23"/>
  <c r="F19" i="23"/>
  <c r="F21" i="23"/>
  <c r="D19" i="23"/>
  <c r="H18" i="23"/>
  <c r="H17" i="23"/>
  <c r="H16" i="23"/>
  <c r="H15" i="23"/>
  <c r="H14" i="23"/>
  <c r="H13" i="23"/>
  <c r="H12" i="23"/>
  <c r="H11" i="23"/>
  <c r="H10" i="23"/>
  <c r="H9" i="23"/>
  <c r="H8" i="23"/>
  <c r="H7" i="23"/>
  <c r="H6" i="23"/>
  <c r="G19" i="22"/>
  <c r="C19" i="22"/>
  <c r="E19" i="22"/>
  <c r="F19" i="22"/>
  <c r="D19" i="22"/>
  <c r="F21" i="22"/>
  <c r="H18" i="22"/>
  <c r="H17" i="22"/>
  <c r="H16" i="22"/>
  <c r="H15" i="22"/>
  <c r="H14" i="22"/>
  <c r="H13" i="22"/>
  <c r="H12" i="22"/>
  <c r="H11" i="22"/>
  <c r="H10" i="22"/>
  <c r="H9" i="22"/>
  <c r="H8" i="22"/>
  <c r="H7" i="22"/>
  <c r="H6" i="22"/>
  <c r="G19" i="21"/>
  <c r="C19" i="21"/>
  <c r="E19" i="21"/>
  <c r="F19" i="21"/>
  <c r="D19" i="21"/>
  <c r="H18" i="21"/>
  <c r="H17" i="21"/>
  <c r="H16" i="21"/>
  <c r="H15" i="21"/>
  <c r="H14" i="21"/>
  <c r="H13" i="21"/>
  <c r="H12" i="21"/>
  <c r="H11" i="21"/>
  <c r="H10" i="21"/>
  <c r="H9" i="21"/>
  <c r="H8" i="21"/>
  <c r="H7" i="21"/>
  <c r="H6" i="21"/>
  <c r="G19" i="20"/>
  <c r="C19" i="20"/>
  <c r="E19" i="20"/>
  <c r="F19" i="20"/>
  <c r="D19" i="20"/>
  <c r="H18" i="20"/>
  <c r="H17" i="20"/>
  <c r="H16" i="20"/>
  <c r="H15" i="20"/>
  <c r="H14" i="20"/>
  <c r="H13" i="20"/>
  <c r="H12" i="20"/>
  <c r="H11" i="20"/>
  <c r="H10" i="20"/>
  <c r="H9" i="20"/>
  <c r="H8" i="20"/>
  <c r="H7" i="20"/>
  <c r="H6" i="20"/>
  <c r="G19" i="19"/>
  <c r="F19" i="19"/>
  <c r="D19" i="19"/>
  <c r="E19" i="19"/>
  <c r="C19" i="19"/>
  <c r="D21" i="19"/>
  <c r="H18" i="19"/>
  <c r="H17" i="19"/>
  <c r="H16" i="19"/>
  <c r="H15" i="19"/>
  <c r="H14" i="19"/>
  <c r="H13" i="19"/>
  <c r="H12" i="19"/>
  <c r="H11" i="19"/>
  <c r="H10" i="19"/>
  <c r="H9" i="19"/>
  <c r="H8" i="19"/>
  <c r="H7" i="19"/>
  <c r="H6" i="19"/>
  <c r="G19" i="18"/>
  <c r="C19" i="18"/>
  <c r="E19" i="18"/>
  <c r="F19" i="18"/>
  <c r="D19" i="18"/>
  <c r="F21" i="18"/>
  <c r="H18" i="18"/>
  <c r="H17" i="18"/>
  <c r="H16" i="18"/>
  <c r="H15" i="18"/>
  <c r="H14" i="18"/>
  <c r="H13" i="18"/>
  <c r="H12" i="18"/>
  <c r="H11" i="18"/>
  <c r="H10" i="18"/>
  <c r="H9" i="18"/>
  <c r="H8" i="18"/>
  <c r="H7" i="18"/>
  <c r="H6" i="18"/>
  <c r="G19" i="17"/>
  <c r="F19" i="17"/>
  <c r="E19" i="17"/>
  <c r="D19" i="17"/>
  <c r="C19" i="17"/>
  <c r="H18" i="17"/>
  <c r="H17" i="17"/>
  <c r="H16" i="17"/>
  <c r="H15" i="17"/>
  <c r="H14" i="17"/>
  <c r="H13" i="17"/>
  <c r="H12" i="17"/>
  <c r="H11" i="17"/>
  <c r="H10" i="17"/>
  <c r="H9" i="17"/>
  <c r="H8" i="17"/>
  <c r="H7" i="17"/>
  <c r="H6" i="17"/>
  <c r="G19" i="16"/>
  <c r="C19" i="16"/>
  <c r="E19" i="16"/>
  <c r="F19" i="16"/>
  <c r="D19" i="16"/>
  <c r="H18" i="16"/>
  <c r="H17" i="16"/>
  <c r="H16" i="16"/>
  <c r="H15" i="16"/>
  <c r="H14" i="16"/>
  <c r="H13" i="16"/>
  <c r="H12" i="16"/>
  <c r="H11" i="16"/>
  <c r="H10" i="16"/>
  <c r="H9" i="16"/>
  <c r="H8" i="16"/>
  <c r="H7" i="16"/>
  <c r="H6" i="16"/>
  <c r="G19" i="15"/>
  <c r="F19" i="15"/>
  <c r="D19" i="15"/>
  <c r="E19" i="15"/>
  <c r="C19" i="15"/>
  <c r="H18" i="15"/>
  <c r="H17" i="15"/>
  <c r="H16" i="15"/>
  <c r="H15" i="15"/>
  <c r="H14" i="15"/>
  <c r="H13" i="15"/>
  <c r="H12" i="15"/>
  <c r="H11" i="15"/>
  <c r="H10" i="15"/>
  <c r="H9" i="15"/>
  <c r="H8" i="15"/>
  <c r="H7" i="15"/>
  <c r="H6" i="15"/>
  <c r="G19" i="14"/>
  <c r="C19" i="14"/>
  <c r="E19" i="14"/>
  <c r="F19" i="14"/>
  <c r="D19" i="14"/>
  <c r="F21" i="14"/>
  <c r="H18" i="14"/>
  <c r="H17" i="14"/>
  <c r="H16" i="14"/>
  <c r="H15" i="14"/>
  <c r="H14" i="14"/>
  <c r="H13" i="14"/>
  <c r="H12" i="14"/>
  <c r="H11" i="14"/>
  <c r="H10" i="14"/>
  <c r="H9" i="14"/>
  <c r="H8" i="14"/>
  <c r="H7" i="14"/>
  <c r="H6" i="14"/>
  <c r="G19" i="13"/>
  <c r="F19" i="13"/>
  <c r="D19" i="13"/>
  <c r="F21" i="13"/>
  <c r="E19" i="13"/>
  <c r="C19" i="13"/>
  <c r="H18" i="13"/>
  <c r="H17" i="13"/>
  <c r="H16" i="13"/>
  <c r="H15" i="13"/>
  <c r="H14" i="13"/>
  <c r="H13" i="13"/>
  <c r="H12" i="13"/>
  <c r="H11" i="13"/>
  <c r="H10" i="13"/>
  <c r="H9" i="13"/>
  <c r="H8" i="13"/>
  <c r="H7" i="13"/>
  <c r="H6" i="13"/>
  <c r="G19" i="12"/>
  <c r="F19" i="12"/>
  <c r="E19" i="12"/>
  <c r="D19" i="12"/>
  <c r="C19" i="12"/>
  <c r="H18" i="12"/>
  <c r="H17" i="12"/>
  <c r="H16" i="12"/>
  <c r="H15" i="12"/>
  <c r="H14" i="12"/>
  <c r="H13" i="12"/>
  <c r="H12" i="12"/>
  <c r="H11" i="12"/>
  <c r="H10" i="12"/>
  <c r="H9" i="12"/>
  <c r="H8" i="12"/>
  <c r="H7" i="12"/>
  <c r="H6" i="12"/>
  <c r="G19" i="11"/>
  <c r="F19" i="11"/>
  <c r="E19" i="11"/>
  <c r="D19" i="11"/>
  <c r="C19" i="11"/>
  <c r="H18" i="11"/>
  <c r="H17" i="11"/>
  <c r="H16" i="11"/>
  <c r="H15" i="11"/>
  <c r="H14" i="11"/>
  <c r="H13" i="11"/>
  <c r="H12" i="11"/>
  <c r="H11" i="11"/>
  <c r="H10" i="11"/>
  <c r="H9" i="11"/>
  <c r="H8" i="11"/>
  <c r="H7" i="11"/>
  <c r="H6" i="11"/>
  <c r="G19" i="10"/>
  <c r="C19" i="10"/>
  <c r="E19" i="10"/>
  <c r="F19" i="10"/>
  <c r="D19" i="10"/>
  <c r="F21" i="10"/>
  <c r="H18" i="10"/>
  <c r="H17" i="10"/>
  <c r="H16" i="10"/>
  <c r="H15" i="10"/>
  <c r="H14" i="10"/>
  <c r="H13" i="10"/>
  <c r="H12" i="10"/>
  <c r="H11" i="10"/>
  <c r="H10" i="10"/>
  <c r="H9" i="10"/>
  <c r="H8" i="10"/>
  <c r="H7" i="10"/>
  <c r="H6" i="10"/>
  <c r="G19" i="9"/>
  <c r="C19" i="9"/>
  <c r="E19" i="9"/>
  <c r="F19" i="9"/>
  <c r="D19" i="9"/>
  <c r="H18" i="9"/>
  <c r="H17" i="9"/>
  <c r="H16" i="9"/>
  <c r="H15" i="9"/>
  <c r="H14" i="9"/>
  <c r="H13" i="9"/>
  <c r="H12" i="9"/>
  <c r="H11" i="9"/>
  <c r="H10" i="9"/>
  <c r="H9" i="9"/>
  <c r="H8" i="9"/>
  <c r="H7" i="9"/>
  <c r="H6" i="9"/>
  <c r="G19" i="8"/>
  <c r="F19" i="8"/>
  <c r="E19" i="8"/>
  <c r="D19" i="8"/>
  <c r="C19" i="8"/>
  <c r="H18" i="8"/>
  <c r="H17" i="8"/>
  <c r="H16" i="8"/>
  <c r="H15" i="8"/>
  <c r="H14" i="8"/>
  <c r="H13" i="8"/>
  <c r="H12" i="8"/>
  <c r="H11" i="8"/>
  <c r="H10" i="8"/>
  <c r="H9" i="8"/>
  <c r="H8" i="8"/>
  <c r="H7" i="8"/>
  <c r="H6" i="8"/>
  <c r="F22" i="253"/>
  <c r="F22" i="145"/>
  <c r="F22" i="259"/>
  <c r="F25" i="585"/>
  <c r="F25" i="586"/>
  <c r="D25" i="550"/>
  <c r="D25" i="548"/>
  <c r="D25" i="560"/>
  <c r="F25" i="520"/>
  <c r="D25" i="586"/>
  <c r="D25" i="580"/>
  <c r="F25" i="496"/>
  <c r="F24" i="482"/>
  <c r="F22" i="177"/>
  <c r="F24" i="373"/>
  <c r="F22" i="134"/>
  <c r="F22" i="243"/>
  <c r="F22" i="204"/>
  <c r="F25" i="519"/>
  <c r="F25" i="536"/>
  <c r="F25" i="540"/>
  <c r="F25" i="544"/>
  <c r="F22" i="226"/>
  <c r="F22" i="287"/>
  <c r="F22" i="295"/>
  <c r="F22" i="249"/>
  <c r="F25" i="504"/>
  <c r="F22" i="103"/>
  <c r="F22" i="155"/>
  <c r="F22" i="179"/>
  <c r="F21" i="17"/>
  <c r="F22" i="212"/>
  <c r="F25" i="521"/>
  <c r="F24" i="454"/>
  <c r="F25" i="573"/>
  <c r="D22" i="88"/>
  <c r="F23" i="330"/>
  <c r="F24" i="469"/>
  <c r="F22" i="230"/>
  <c r="F22" i="238"/>
  <c r="F22" i="267"/>
  <c r="F25" i="503"/>
  <c r="F22" i="73"/>
  <c r="F22" i="235"/>
  <c r="F23" i="301"/>
  <c r="F23" i="307"/>
  <c r="F23" i="341"/>
  <c r="F25" i="513"/>
  <c r="F24" i="471"/>
  <c r="D22" i="210"/>
  <c r="F22" i="233"/>
  <c r="F22" i="283"/>
  <c r="F24" i="433"/>
  <c r="F23" i="308"/>
  <c r="D24" i="402"/>
  <c r="F24" i="445"/>
  <c r="D24" i="454"/>
  <c r="F24" i="389"/>
  <c r="D25" i="542"/>
  <c r="F25" i="506"/>
  <c r="F25" i="510"/>
  <c r="F24" i="374"/>
  <c r="D25" i="488"/>
  <c r="F24" i="472"/>
  <c r="D23" i="307"/>
  <c r="D22" i="276"/>
  <c r="F24" i="441"/>
  <c r="D25" i="504"/>
  <c r="F25" i="507"/>
  <c r="F22" i="187"/>
  <c r="F22" i="194"/>
  <c r="F22" i="196"/>
  <c r="F24" i="381"/>
  <c r="F24" i="409"/>
  <c r="D24" i="484"/>
  <c r="F25" i="526"/>
  <c r="D24" i="420"/>
  <c r="D24" i="424"/>
  <c r="F24" i="435"/>
  <c r="D25" i="537"/>
  <c r="D22" i="192"/>
  <c r="F24" i="385"/>
  <c r="D24" i="461"/>
  <c r="D22" i="201"/>
  <c r="D23" i="320"/>
  <c r="F24" i="408"/>
  <c r="F24" i="419"/>
  <c r="D24" i="429"/>
  <c r="F24" i="432"/>
  <c r="F24" i="446"/>
  <c r="D25" i="497"/>
  <c r="F22" i="273"/>
  <c r="D24" i="359"/>
  <c r="F24" i="476"/>
  <c r="F25" i="570"/>
  <c r="F25" i="574"/>
  <c r="F25" i="578"/>
  <c r="F25" i="582"/>
  <c r="D22" i="59"/>
  <c r="F24" i="378"/>
  <c r="D24" i="448"/>
  <c r="D25" i="491"/>
  <c r="D22" i="203"/>
  <c r="F22" i="133"/>
  <c r="D25" i="514"/>
  <c r="D25" i="539"/>
  <c r="F25" i="548"/>
  <c r="F25" i="560"/>
  <c r="F25" i="569"/>
  <c r="F25" i="577"/>
  <c r="F25" i="581"/>
  <c r="F22" i="122"/>
  <c r="F22" i="178"/>
  <c r="F23" i="310"/>
  <c r="F24" i="458"/>
  <c r="F24" i="459"/>
  <c r="F24" i="462"/>
  <c r="F24" i="477"/>
  <c r="F25" i="508"/>
  <c r="F25" i="512"/>
  <c r="D25" i="563"/>
  <c r="F25" i="567"/>
  <c r="F25" i="568"/>
  <c r="D25" i="495"/>
  <c r="F22" i="71"/>
  <c r="D22" i="232"/>
  <c r="F24" i="377"/>
  <c r="F24" i="474"/>
  <c r="F24" i="479"/>
  <c r="F24" i="436"/>
  <c r="F24" i="443"/>
  <c r="D24" i="464"/>
  <c r="F25" i="493"/>
  <c r="D22" i="79"/>
  <c r="D24" i="393"/>
  <c r="D25" i="571"/>
  <c r="D25" i="575"/>
  <c r="D25" i="579"/>
  <c r="F23" i="329"/>
  <c r="D24" i="387"/>
  <c r="F24" i="439"/>
  <c r="F24" i="442"/>
  <c r="F24" i="449"/>
  <c r="F22" i="136"/>
  <c r="D22" i="216"/>
  <c r="F22" i="284"/>
  <c r="F24" i="403"/>
  <c r="F24" i="428"/>
  <c r="D24" i="434"/>
  <c r="D24" i="425"/>
  <c r="F24" i="480"/>
  <c r="D25" i="523"/>
  <c r="D25" i="547"/>
  <c r="D25" i="551"/>
  <c r="D25" i="553"/>
  <c r="F25" i="555"/>
  <c r="F24" i="395"/>
  <c r="F22" i="82"/>
  <c r="F25" i="561"/>
  <c r="F25" i="566"/>
  <c r="F21" i="38"/>
  <c r="D23" i="350"/>
  <c r="D25" i="489"/>
  <c r="F24" i="466"/>
  <c r="F24" i="399"/>
  <c r="D24" i="398"/>
  <c r="D25" i="502"/>
  <c r="F25" i="543"/>
  <c r="D25" i="557"/>
  <c r="F22" i="74"/>
  <c r="D22" i="101"/>
  <c r="D22" i="254"/>
  <c r="D22" i="272"/>
  <c r="D22" i="274"/>
  <c r="D23" i="343"/>
  <c r="F23" i="347"/>
  <c r="F24" i="380"/>
  <c r="F24" i="430"/>
  <c r="F25" i="552"/>
  <c r="D25" i="556"/>
  <c r="F22" i="190"/>
  <c r="D23" i="300"/>
  <c r="D25" i="515"/>
  <c r="F25" i="541"/>
  <c r="D25" i="543"/>
  <c r="D25" i="569"/>
  <c r="D25" i="572"/>
  <c r="D22" i="198"/>
  <c r="F22" i="225"/>
  <c r="D23" i="352"/>
  <c r="F25" i="532"/>
  <c r="D25" i="540"/>
  <c r="D25" i="565"/>
  <c r="F22" i="271"/>
  <c r="D23" i="306"/>
  <c r="D23" i="328"/>
  <c r="D23" i="351"/>
  <c r="F24" i="481"/>
  <c r="D24" i="483"/>
  <c r="F24" i="484"/>
  <c r="D25" i="533"/>
  <c r="D25" i="535"/>
  <c r="D25" i="559"/>
  <c r="D22" i="209"/>
  <c r="D23" i="305"/>
  <c r="D25" i="506"/>
  <c r="F25" i="511"/>
  <c r="F25" i="524"/>
  <c r="F24" i="404"/>
  <c r="F24" i="450"/>
  <c r="D25" i="510"/>
  <c r="D25" i="527"/>
  <c r="D25" i="549"/>
  <c r="F22" i="250"/>
  <c r="D24" i="455"/>
  <c r="F25" i="485"/>
  <c r="F25" i="565"/>
  <c r="D25" i="573"/>
  <c r="D22" i="285"/>
  <c r="F24" i="456"/>
  <c r="D24" i="473"/>
  <c r="F25" i="556"/>
  <c r="D24" i="422"/>
  <c r="D25" i="531"/>
  <c r="D24" i="363"/>
  <c r="D24" i="406"/>
  <c r="D22" i="208"/>
  <c r="D23" i="349"/>
  <c r="D24" i="468"/>
  <c r="F22" i="228"/>
  <c r="D25" i="526"/>
  <c r="D25" i="490"/>
  <c r="D22" i="189"/>
  <c r="D24" i="431"/>
  <c r="B28" i="7"/>
  <c r="B31" i="7"/>
  <c r="B32" i="7"/>
  <c r="B30" i="7"/>
  <c r="D21" i="43"/>
  <c r="F21" i="47"/>
  <c r="F22" i="52"/>
  <c r="D22" i="76"/>
  <c r="F22" i="105"/>
  <c r="D22" i="107"/>
  <c r="D22" i="114"/>
  <c r="F22" i="127"/>
  <c r="D22" i="125"/>
  <c r="D22" i="132"/>
  <c r="D22" i="139"/>
  <c r="D22" i="141"/>
  <c r="F22" i="146"/>
  <c r="D22" i="154"/>
  <c r="D22" i="165"/>
  <c r="D22" i="181"/>
  <c r="D22" i="187"/>
  <c r="D22" i="206"/>
  <c r="D22" i="214"/>
  <c r="D22" i="222"/>
  <c r="D22" i="244"/>
  <c r="D22" i="246"/>
  <c r="D22" i="251"/>
  <c r="D22" i="252"/>
  <c r="D22" i="262"/>
  <c r="D22" i="270"/>
  <c r="D22" i="278"/>
  <c r="D22" i="286"/>
  <c r="D22" i="294"/>
  <c r="D23" i="299"/>
  <c r="D23" i="301"/>
  <c r="D23" i="303"/>
  <c r="F23" i="305"/>
  <c r="D23" i="309"/>
  <c r="D23" i="311"/>
  <c r="D23" i="317"/>
  <c r="D23" i="325"/>
  <c r="D23" i="337"/>
  <c r="D23" i="339"/>
  <c r="D23" i="341"/>
  <c r="D23" i="344"/>
  <c r="D23" i="347"/>
  <c r="F23" i="349"/>
  <c r="D23" i="355"/>
  <c r="F24" i="357"/>
  <c r="F24" i="365"/>
  <c r="D24" i="374"/>
  <c r="D24" i="391"/>
  <c r="D24" i="409"/>
  <c r="D24" i="433"/>
  <c r="F22" i="63"/>
  <c r="D22" i="102"/>
  <c r="D21" i="41"/>
  <c r="F22" i="83"/>
  <c r="D25" i="552"/>
  <c r="D25" i="577"/>
  <c r="D25" i="581"/>
  <c r="D25" i="585"/>
  <c r="D21" i="8"/>
  <c r="F22" i="66"/>
  <c r="D22" i="256"/>
  <c r="F22" i="291"/>
  <c r="D22" i="296"/>
  <c r="F24" i="358"/>
  <c r="D24" i="364"/>
  <c r="D24" i="381"/>
  <c r="F24" i="396"/>
  <c r="F24" i="414"/>
  <c r="D24" i="444"/>
  <c r="D21" i="45"/>
  <c r="F21" i="49"/>
  <c r="F22" i="56"/>
  <c r="D22" i="62"/>
  <c r="D22" i="84"/>
  <c r="F22" i="104"/>
  <c r="F22" i="107"/>
  <c r="F22" i="111"/>
  <c r="F22" i="129"/>
  <c r="D22" i="183"/>
  <c r="F22" i="195"/>
  <c r="D22" i="200"/>
  <c r="F22" i="211"/>
  <c r="D22" i="69"/>
  <c r="D22" i="280"/>
  <c r="D23" i="329"/>
  <c r="D23" i="346"/>
  <c r="D23" i="353"/>
  <c r="D24" i="361"/>
  <c r="D24" i="371"/>
  <c r="D24" i="383"/>
  <c r="D24" i="417"/>
  <c r="D24" i="399"/>
  <c r="D24" i="407"/>
  <c r="D25" i="505"/>
  <c r="F21" i="21"/>
  <c r="F21" i="40"/>
  <c r="F21" i="51"/>
  <c r="F23" i="54"/>
  <c r="F22" i="81"/>
  <c r="D22" i="85"/>
  <c r="D22" i="86"/>
  <c r="F22" i="93"/>
  <c r="F22" i="94"/>
  <c r="F22" i="96"/>
  <c r="F22" i="116"/>
  <c r="F22" i="121"/>
  <c r="F22" i="152"/>
  <c r="F22" i="162"/>
  <c r="F22" i="170"/>
  <c r="F22" i="227"/>
  <c r="F24" i="388"/>
  <c r="F24" i="467"/>
  <c r="D22" i="152"/>
  <c r="D22" i="176"/>
  <c r="D22" i="212"/>
  <c r="D22" i="219"/>
  <c r="D22" i="225"/>
  <c r="D22" i="265"/>
  <c r="D22" i="275"/>
  <c r="D22" i="291"/>
  <c r="D23" i="315"/>
  <c r="D24" i="366"/>
  <c r="D24" i="376"/>
  <c r="F24" i="383"/>
  <c r="D24" i="386"/>
  <c r="D24" i="378"/>
  <c r="D24" i="413"/>
  <c r="D24" i="427"/>
  <c r="D24" i="430"/>
  <c r="D24" i="435"/>
  <c r="D21" i="46"/>
  <c r="F21" i="32"/>
  <c r="D21" i="10"/>
  <c r="D21" i="14"/>
  <c r="D21" i="26"/>
  <c r="D21" i="27"/>
  <c r="F21" i="37"/>
  <c r="F21" i="45"/>
  <c r="F22" i="55"/>
  <c r="F22" i="62"/>
  <c r="F22" i="65"/>
  <c r="F22" i="144"/>
  <c r="D22" i="150"/>
  <c r="F22" i="205"/>
  <c r="F22" i="221"/>
  <c r="F24" i="364"/>
  <c r="F24" i="426"/>
  <c r="D24" i="442"/>
  <c r="D24" i="452"/>
  <c r="D25" i="518"/>
  <c r="F25" i="530"/>
  <c r="D22" i="53"/>
  <c r="D22" i="89"/>
  <c r="D22" i="96"/>
  <c r="F22" i="154"/>
  <c r="D22" i="221"/>
  <c r="D25" i="522"/>
  <c r="D25" i="568"/>
  <c r="D25" i="576"/>
  <c r="D25" i="584"/>
  <c r="D22" i="193"/>
  <c r="D22" i="217"/>
  <c r="D22" i="233"/>
  <c r="D21" i="23"/>
  <c r="F22" i="220"/>
  <c r="D22" i="267"/>
  <c r="D24" i="372"/>
  <c r="F24" i="413"/>
  <c r="F24" i="427"/>
  <c r="D24" i="439"/>
  <c r="D24" i="449"/>
  <c r="F24" i="453"/>
  <c r="D24" i="450"/>
  <c r="D24" i="480"/>
  <c r="D25" i="486"/>
  <c r="D25" i="494"/>
  <c r="F25" i="497"/>
  <c r="D25" i="498"/>
  <c r="F25" i="491"/>
  <c r="D25" i="500"/>
  <c r="D25" i="508"/>
  <c r="D25" i="512"/>
  <c r="F25" i="515"/>
  <c r="D25" i="516"/>
  <c r="F25" i="523"/>
  <c r="D25" i="524"/>
  <c r="F25" i="527"/>
  <c r="F25" i="533"/>
  <c r="F25" i="537"/>
  <c r="D25" i="541"/>
  <c r="D25" i="545"/>
  <c r="D22" i="112"/>
  <c r="D22" i="140"/>
  <c r="D22" i="155"/>
  <c r="D22" i="283"/>
  <c r="D23" i="321"/>
  <c r="D23" i="323"/>
  <c r="D24" i="377"/>
  <c r="D24" i="396"/>
  <c r="D21" i="15"/>
  <c r="D21" i="18"/>
  <c r="D21" i="22"/>
  <c r="D21" i="30"/>
  <c r="D21" i="36"/>
  <c r="D22" i="52"/>
  <c r="F22" i="53"/>
  <c r="F22" i="61"/>
  <c r="D22" i="68"/>
  <c r="F22" i="89"/>
  <c r="D22" i="105"/>
  <c r="F22" i="112"/>
  <c r="F22" i="113"/>
  <c r="D22" i="128"/>
  <c r="F22" i="131"/>
  <c r="D22" i="136"/>
  <c r="F22" i="140"/>
  <c r="D22" i="146"/>
  <c r="F22" i="236"/>
  <c r="F23" i="314"/>
  <c r="D24" i="423"/>
  <c r="F25" i="509"/>
  <c r="F25" i="522"/>
  <c r="F25" i="554"/>
  <c r="F25" i="558"/>
  <c r="F25" i="562"/>
  <c r="F21" i="11"/>
  <c r="F21" i="31"/>
  <c r="D24" i="453"/>
  <c r="D21" i="34"/>
  <c r="D22" i="249"/>
  <c r="F22" i="260"/>
  <c r="F22" i="265"/>
  <c r="F22" i="268"/>
  <c r="F22" i="276"/>
  <c r="F22" i="279"/>
  <c r="F22" i="285"/>
  <c r="F22" i="292"/>
  <c r="D24" i="357"/>
  <c r="D24" i="365"/>
  <c r="F24" i="382"/>
  <c r="F24" i="384"/>
  <c r="D24" i="385"/>
  <c r="F24" i="390"/>
  <c r="F24" i="372"/>
  <c r="F21" i="44"/>
  <c r="D21" i="47"/>
  <c r="D22" i="57"/>
  <c r="D22" i="60"/>
  <c r="D22" i="63"/>
  <c r="D22" i="82"/>
  <c r="D22" i="87"/>
  <c r="D22" i="163"/>
  <c r="D22" i="166"/>
  <c r="D22" i="171"/>
  <c r="F22" i="175"/>
  <c r="D22" i="179"/>
  <c r="F22" i="202"/>
  <c r="D22" i="204"/>
  <c r="D22" i="215"/>
  <c r="F22" i="216"/>
  <c r="F22" i="218"/>
  <c r="D22" i="220"/>
  <c r="D22" i="223"/>
  <c r="D22" i="231"/>
  <c r="F22" i="232"/>
  <c r="D21" i="44"/>
  <c r="D22" i="235"/>
  <c r="F22" i="237"/>
  <c r="D22" i="242"/>
  <c r="D22" i="243"/>
  <c r="F22" i="251"/>
  <c r="D22" i="259"/>
  <c r="F22" i="275"/>
  <c r="D22" i="279"/>
  <c r="D22" i="290"/>
  <c r="F22" i="293"/>
  <c r="D23" i="310"/>
  <c r="F23" i="316"/>
  <c r="D23" i="322"/>
  <c r="D23" i="330"/>
  <c r="D23" i="342"/>
  <c r="D23" i="345"/>
  <c r="D23" i="348"/>
  <c r="D24" i="356"/>
  <c r="F24" i="366"/>
  <c r="D24" i="384"/>
  <c r="F24" i="386"/>
  <c r="D24" i="389"/>
  <c r="D24" i="390"/>
  <c r="D24" i="418"/>
  <c r="D24" i="400"/>
  <c r="D24" i="404"/>
  <c r="D24" i="419"/>
  <c r="F24" i="448"/>
  <c r="F24" i="455"/>
  <c r="F24" i="457"/>
  <c r="D24" i="458"/>
  <c r="F24" i="464"/>
  <c r="D24" i="467"/>
  <c r="F24" i="473"/>
  <c r="D24" i="476"/>
  <c r="D25" i="496"/>
  <c r="D25" i="555"/>
  <c r="F25" i="572"/>
  <c r="F25" i="576"/>
  <c r="F25" i="580"/>
  <c r="D25" i="583"/>
  <c r="D22" i="72"/>
  <c r="F22" i="75"/>
  <c r="F22" i="106"/>
  <c r="F22" i="137"/>
  <c r="D22" i="144"/>
  <c r="F22" i="164"/>
  <c r="D22" i="169"/>
  <c r="D22" i="186"/>
  <c r="D24" i="358"/>
  <c r="F24" i="393"/>
  <c r="F24" i="401"/>
  <c r="F21" i="27"/>
  <c r="F21" i="34"/>
  <c r="D22" i="73"/>
  <c r="D21" i="13"/>
  <c r="D21" i="17"/>
  <c r="D21" i="20"/>
  <c r="D21" i="31"/>
  <c r="D22" i="58"/>
  <c r="D22" i="64"/>
  <c r="D22" i="71"/>
  <c r="D22" i="78"/>
  <c r="D22" i="119"/>
  <c r="D22" i="115"/>
  <c r="D22" i="147"/>
  <c r="D22" i="160"/>
  <c r="D22" i="168"/>
  <c r="D22" i="175"/>
  <c r="F23" i="353"/>
  <c r="D21" i="39"/>
  <c r="D22" i="66"/>
  <c r="D22" i="90"/>
  <c r="D22" i="110"/>
  <c r="D21" i="33"/>
  <c r="F21" i="35"/>
  <c r="F22" i="57"/>
  <c r="D22" i="67"/>
  <c r="F22" i="86"/>
  <c r="D22" i="94"/>
  <c r="D22" i="99"/>
  <c r="F22" i="148"/>
  <c r="F22" i="157"/>
  <c r="F22" i="163"/>
  <c r="F22" i="171"/>
  <c r="D22" i="173"/>
  <c r="D22" i="230"/>
  <c r="D21" i="9"/>
  <c r="D21" i="21"/>
  <c r="D22" i="238"/>
  <c r="F22" i="239"/>
  <c r="F22" i="257"/>
  <c r="D22" i="260"/>
  <c r="D22" i="190"/>
  <c r="F22" i="281"/>
  <c r="F22" i="297"/>
  <c r="D23" i="313"/>
  <c r="D23" i="319"/>
  <c r="D23" i="327"/>
  <c r="D23" i="331"/>
  <c r="D23" i="333"/>
  <c r="D23" i="335"/>
  <c r="F24" i="370"/>
  <c r="F24" i="418"/>
  <c r="D24" i="395"/>
  <c r="F24" i="398"/>
  <c r="F24" i="400"/>
  <c r="F25" i="529"/>
  <c r="F22" i="176"/>
  <c r="D22" i="184"/>
  <c r="D21" i="264"/>
  <c r="D22" i="288"/>
  <c r="F23" i="309"/>
  <c r="F23" i="337"/>
  <c r="F23" i="339"/>
  <c r="F23" i="343"/>
  <c r="F24" i="363"/>
  <c r="D24" i="438"/>
  <c r="F24" i="444"/>
  <c r="F25" i="517"/>
  <c r="F25" i="549"/>
  <c r="F25" i="550"/>
  <c r="D25" i="554"/>
  <c r="D25" i="558"/>
  <c r="D25" i="561"/>
  <c r="D25" i="562"/>
  <c r="D25" i="566"/>
  <c r="D25" i="567"/>
  <c r="D25" i="570"/>
  <c r="F25" i="571"/>
  <c r="D25" i="574"/>
  <c r="F25" i="575"/>
  <c r="D25" i="578"/>
  <c r="F25" i="579"/>
  <c r="D25" i="582"/>
  <c r="F25" i="583"/>
  <c r="D24" i="421"/>
  <c r="D24" i="437"/>
  <c r="F24" i="440"/>
  <c r="D24" i="443"/>
  <c r="D24" i="446"/>
  <c r="F24" i="451"/>
  <c r="D24" i="456"/>
  <c r="D24" i="457"/>
  <c r="D24" i="459"/>
  <c r="D24" i="463"/>
  <c r="D24" i="469"/>
  <c r="D24" i="470"/>
  <c r="D24" i="472"/>
  <c r="F24" i="475"/>
  <c r="D24" i="477"/>
  <c r="F24" i="483"/>
  <c r="D25" i="520"/>
  <c r="D25" i="521"/>
  <c r="D25" i="530"/>
  <c r="D24" i="408"/>
  <c r="D24" i="414"/>
  <c r="F24" i="424"/>
  <c r="D24" i="428"/>
  <c r="D24" i="432"/>
  <c r="D22" i="98"/>
  <c r="F22" i="126"/>
  <c r="D22" i="138"/>
  <c r="F22" i="188"/>
  <c r="D22" i="197"/>
  <c r="D22" i="202"/>
  <c r="D22" i="218"/>
  <c r="D22" i="282"/>
  <c r="D23" i="318"/>
  <c r="D23" i="324"/>
  <c r="D23" i="326"/>
  <c r="F24" i="369"/>
  <c r="D24" i="382"/>
  <c r="D24" i="388"/>
  <c r="D24" i="397"/>
  <c r="D24" i="401"/>
  <c r="D24" i="403"/>
  <c r="F21" i="39"/>
  <c r="D21" i="50"/>
  <c r="D22" i="74"/>
  <c r="D22" i="92"/>
  <c r="D22" i="97"/>
  <c r="F22" i="109"/>
  <c r="F22" i="118"/>
  <c r="D22" i="130"/>
  <c r="D22" i="156"/>
  <c r="D22" i="177"/>
  <c r="D22" i="180"/>
  <c r="D22" i="196"/>
  <c r="D22" i="224"/>
  <c r="D22" i="226"/>
  <c r="D22" i="228"/>
  <c r="D22" i="229"/>
  <c r="D22" i="237"/>
  <c r="D22" i="239"/>
  <c r="D22" i="241"/>
  <c r="D22" i="245"/>
  <c r="D22" i="247"/>
  <c r="D22" i="250"/>
  <c r="D22" i="253"/>
  <c r="D22" i="257"/>
  <c r="D22" i="258"/>
  <c r="F22" i="261"/>
  <c r="D22" i="263"/>
  <c r="F21" i="264"/>
  <c r="D22" i="133"/>
  <c r="F22" i="266"/>
  <c r="D22" i="271"/>
  <c r="D22" i="273"/>
  <c r="D22" i="281"/>
  <c r="F22" i="282"/>
  <c r="D22" i="287"/>
  <c r="D22" i="289"/>
  <c r="D22" i="293"/>
  <c r="D22" i="295"/>
  <c r="D22" i="297"/>
  <c r="D22" i="298"/>
  <c r="F23" i="302"/>
  <c r="F23" i="304"/>
  <c r="F23" i="306"/>
  <c r="D23" i="308"/>
  <c r="D23" i="312"/>
  <c r="D23" i="314"/>
  <c r="D23" i="316"/>
  <c r="F23" i="320"/>
  <c r="F23" i="324"/>
  <c r="F23" i="326"/>
  <c r="F23" i="328"/>
  <c r="D23" i="332"/>
  <c r="F23" i="334"/>
  <c r="D23" i="336"/>
  <c r="D23" i="338"/>
  <c r="F23" i="340"/>
  <c r="F23" i="350"/>
  <c r="F23" i="352"/>
  <c r="D23" i="354"/>
  <c r="D24" i="360"/>
  <c r="D24" i="362"/>
  <c r="D24" i="369"/>
  <c r="D24" i="370"/>
  <c r="D24" i="373"/>
  <c r="D24" i="375"/>
  <c r="D24" i="379"/>
  <c r="D24" i="380"/>
  <c r="F24" i="387"/>
  <c r="D24" i="392"/>
  <c r="D24" i="415"/>
  <c r="D24" i="416"/>
  <c r="D21" i="11"/>
  <c r="D21" i="12"/>
  <c r="F21" i="15"/>
  <c r="F21" i="16"/>
  <c r="F21" i="19"/>
  <c r="F21" i="20"/>
  <c r="D21" i="24"/>
  <c r="D21" i="28"/>
  <c r="D21" i="40"/>
  <c r="F21" i="42"/>
  <c r="D21" i="49"/>
  <c r="D22" i="56"/>
  <c r="F22" i="70"/>
  <c r="D22" i="81"/>
  <c r="F22" i="84"/>
  <c r="F22" i="85"/>
  <c r="F22" i="91"/>
  <c r="F22" i="92"/>
  <c r="D22" i="93"/>
  <c r="F22" i="98"/>
  <c r="D22" i="104"/>
  <c r="D22" i="111"/>
  <c r="D22" i="113"/>
  <c r="D22" i="121"/>
  <c r="D22" i="129"/>
  <c r="D22" i="131"/>
  <c r="F22" i="139"/>
  <c r="D22" i="145"/>
  <c r="F22" i="150"/>
  <c r="F22" i="156"/>
  <c r="D22" i="162"/>
  <c r="D22" i="170"/>
  <c r="D22" i="178"/>
  <c r="F22" i="180"/>
  <c r="F22" i="183"/>
  <c r="D22" i="188"/>
  <c r="F22" i="192"/>
  <c r="D22" i="194"/>
  <c r="D22" i="195"/>
  <c r="F22" i="197"/>
  <c r="F22" i="200"/>
  <c r="F22" i="203"/>
  <c r="D22" i="205"/>
  <c r="F22" i="208"/>
  <c r="D22" i="211"/>
  <c r="F22" i="224"/>
  <c r="D22" i="227"/>
  <c r="D22" i="240"/>
  <c r="D22" i="248"/>
  <c r="F24" i="417"/>
  <c r="F24" i="405"/>
  <c r="F24" i="421"/>
  <c r="F24" i="470"/>
  <c r="D24" i="466"/>
  <c r="D24" i="474"/>
  <c r="D24" i="478"/>
  <c r="D24" i="482"/>
  <c r="D25" i="485"/>
  <c r="D25" i="493"/>
  <c r="D25" i="499"/>
  <c r="D25" i="501"/>
  <c r="D25" i="503"/>
  <c r="D25" i="507"/>
  <c r="D25" i="509"/>
  <c r="D25" i="511"/>
  <c r="D25" i="513"/>
  <c r="D25" i="517"/>
  <c r="D25" i="519"/>
  <c r="D25" i="525"/>
  <c r="D25" i="529"/>
  <c r="D25" i="532"/>
  <c r="D25" i="534"/>
  <c r="D25" i="536"/>
  <c r="D25" i="538"/>
  <c r="D25" i="544"/>
  <c r="D25" i="546"/>
  <c r="F22" i="72"/>
  <c r="D22" i="75"/>
  <c r="D22" i="77"/>
  <c r="F22" i="78"/>
  <c r="D22" i="80"/>
  <c r="F22" i="90"/>
  <c r="D22" i="83"/>
  <c r="D22" i="95"/>
  <c r="D22" i="100"/>
  <c r="F22" i="101"/>
  <c r="D22" i="103"/>
  <c r="D22" i="106"/>
  <c r="D22" i="108"/>
  <c r="D22" i="109"/>
  <c r="F22" i="110"/>
  <c r="D22" i="117"/>
  <c r="D22" i="118"/>
  <c r="D22" i="120"/>
  <c r="D22" i="126"/>
  <c r="D22" i="124"/>
  <c r="D22" i="123"/>
  <c r="F22" i="128"/>
  <c r="D22" i="134"/>
  <c r="D22" i="135"/>
  <c r="F22" i="138"/>
  <c r="D22" i="137"/>
  <c r="D22" i="142"/>
  <c r="D22" i="143"/>
  <c r="D22" i="149"/>
  <c r="D22" i="151"/>
  <c r="D22" i="153"/>
  <c r="D22" i="158"/>
  <c r="D22" i="159"/>
  <c r="D22" i="161"/>
  <c r="D22" i="164"/>
  <c r="D22" i="167"/>
  <c r="F22" i="169"/>
  <c r="D22" i="172"/>
  <c r="D22" i="174"/>
  <c r="D22" i="1"/>
  <c r="F22" i="185"/>
  <c r="F22" i="186"/>
  <c r="D22" i="191"/>
  <c r="D22" i="199"/>
  <c r="D22" i="207"/>
  <c r="F22" i="210"/>
  <c r="D22" i="213"/>
  <c r="F21" i="8"/>
  <c r="F21" i="9"/>
  <c r="F21" i="12"/>
  <c r="D21" i="16"/>
  <c r="F21" i="24"/>
  <c r="D21" i="25"/>
  <c r="F21" i="28"/>
  <c r="F21" i="29"/>
  <c r="D21" i="32"/>
  <c r="D21" i="37"/>
  <c r="D21" i="38"/>
  <c r="D21" i="42"/>
  <c r="F21" i="43"/>
  <c r="D21" i="48"/>
  <c r="F21" i="50"/>
  <c r="D21" i="51"/>
  <c r="D22" i="55"/>
  <c r="F22" i="58"/>
  <c r="D22" i="65"/>
  <c r="D22" i="61"/>
  <c r="D22" i="7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Appiah</author>
  </authors>
  <commentList>
    <comment ref="E10" authorId="0" shapeId="0" xr:uid="{00000000-0006-0000-8E00-000001000000}">
      <text>
        <r>
          <rPr>
            <b/>
            <sz val="9"/>
            <color indexed="81"/>
            <rFont val="Tahoma"/>
            <family val="2"/>
          </rPr>
          <t>Daniel Appiah:</t>
        </r>
        <r>
          <rPr>
            <sz val="9"/>
            <color indexed="81"/>
            <rFont val="Tahoma"/>
            <family val="2"/>
          </rPr>
          <t xml:space="preserve">
cirrus…101,000</t>
        </r>
      </text>
    </comment>
    <comment ref="E14" authorId="0" shapeId="0" xr:uid="{00000000-0006-0000-8E00-000002000000}">
      <text>
        <r>
          <rPr>
            <b/>
            <sz val="9"/>
            <color indexed="81"/>
            <rFont val="Tahoma"/>
            <family val="2"/>
          </rPr>
          <t>Daniel Appiah:</t>
        </r>
        <r>
          <rPr>
            <sz val="9"/>
            <color indexed="81"/>
            <rFont val="Tahoma"/>
            <family val="2"/>
          </rPr>
          <t xml:space="preserve">
266,000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Appiah</author>
  </authors>
  <commentList>
    <comment ref="C7" authorId="0" shapeId="0" xr:uid="{00000000-0006-0000-9100-000001000000}">
      <text>
        <r>
          <rPr>
            <b/>
            <sz val="9"/>
            <color indexed="81"/>
            <rFont val="Tahoma"/>
            <family val="2"/>
          </rPr>
          <t>Daniel Appiah:</t>
        </r>
        <r>
          <rPr>
            <sz val="9"/>
            <color indexed="81"/>
            <rFont val="Tahoma"/>
            <family val="2"/>
          </rPr>
          <t xml:space="preserve">
648,000
</t>
        </r>
      </text>
    </comment>
    <comment ref="C18" authorId="0" shapeId="0" xr:uid="{00000000-0006-0000-9100-000002000000}">
      <text>
        <r>
          <rPr>
            <b/>
            <sz val="9"/>
            <color indexed="81"/>
            <rFont val="Tahoma"/>
            <family val="2"/>
          </rPr>
          <t>Daniel Appiah:</t>
        </r>
        <r>
          <rPr>
            <sz val="9"/>
            <color indexed="81"/>
            <rFont val="Tahoma"/>
            <family val="2"/>
          </rPr>
          <t xml:space="preserve">
260,000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Daniel Appiah</author>
  </authors>
  <commentList>
    <comment ref="E7" authorId="0" shapeId="0" xr:uid="{00000000-0006-0000-9600-000001000000}">
      <text>
        <r>
          <rPr>
            <b/>
            <sz val="9"/>
            <color indexed="81"/>
            <rFont val="Tahoma"/>
            <family val="2"/>
          </rPr>
          <t>Daniel Appiah:</t>
        </r>
        <r>
          <rPr>
            <sz val="9"/>
            <color indexed="81"/>
            <rFont val="Tahoma"/>
            <family val="2"/>
          </rPr>
          <t xml:space="preserve">
wrong inputs is 432,000
</t>
        </r>
      </text>
    </comment>
    <comment ref="E14" authorId="0" shapeId="0" xr:uid="{00000000-0006-0000-9600-000002000000}">
      <text>
        <r>
          <rPr>
            <b/>
            <sz val="9"/>
            <color indexed="81"/>
            <rFont val="Tahoma"/>
            <family val="2"/>
          </rPr>
          <t>Daniel Appiah:</t>
        </r>
        <r>
          <rPr>
            <sz val="9"/>
            <color indexed="81"/>
            <rFont val="Tahoma"/>
            <family val="2"/>
          </rPr>
          <t xml:space="preserve">
wrong inputs is 270,000lts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Daniel Appiah</author>
  </authors>
  <commentList>
    <comment ref="C17" authorId="0" shapeId="0" xr:uid="{00000000-0006-0000-9E00-000001000000}">
      <text>
        <r>
          <rPr>
            <b/>
            <sz val="9"/>
            <color indexed="81"/>
            <rFont val="Tahoma"/>
            <family val="2"/>
          </rPr>
          <t>DanieL: 
Change the report of 216,000
Corrected now</t>
        </r>
      </text>
    </comment>
    <comment ref="C19" authorId="0" shapeId="0" xr:uid="{00000000-0006-0000-9E00-000002000000}">
      <text>
        <r>
          <rPr>
            <b/>
            <sz val="9"/>
            <color indexed="81"/>
            <rFont val="Tahoma"/>
            <family val="2"/>
          </rPr>
          <t>Daniel Appiah:</t>
        </r>
        <r>
          <rPr>
            <sz val="9"/>
            <color indexed="81"/>
            <rFont val="Tahoma"/>
            <family val="2"/>
          </rPr>
          <t xml:space="preserve">
Change report of 108,000
corrected now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Daniel Appiah</author>
  </authors>
  <commentList>
    <comment ref="C11" authorId="0" shapeId="0" xr:uid="{00000000-0006-0000-A300-000001000000}">
      <text>
        <r>
          <rPr>
            <b/>
            <sz val="9"/>
            <color indexed="81"/>
            <rFont val="Tahoma"/>
            <family val="2"/>
          </rPr>
          <t>Daniel Appiah:</t>
        </r>
        <r>
          <rPr>
            <sz val="9"/>
            <color indexed="81"/>
            <rFont val="Tahoma"/>
            <family val="2"/>
          </rPr>
          <t xml:space="preserve">
MISTAKE BEING 270,000</t>
        </r>
      </text>
    </comment>
    <comment ref="C16" authorId="0" shapeId="0" xr:uid="{00000000-0006-0000-A300-000002000000}">
      <text>
        <r>
          <rPr>
            <b/>
            <sz val="9"/>
            <color indexed="81"/>
            <rFont val="Tahoma"/>
            <family val="2"/>
          </rPr>
          <t>Daniel Appiah:</t>
        </r>
        <r>
          <rPr>
            <sz val="9"/>
            <color indexed="81"/>
            <rFont val="Tahoma"/>
            <family val="2"/>
          </rPr>
          <t xml:space="preserve">
correct this 265,500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Daniel Appiah</author>
  </authors>
  <commentList>
    <comment ref="D10" authorId="0" shapeId="0" xr:uid="{00000000-0006-0000-A500-000001000000}">
      <text>
        <r>
          <rPr>
            <b/>
            <sz val="9"/>
            <color indexed="81"/>
            <rFont val="Tahoma"/>
            <family val="2"/>
          </rPr>
          <t>Daniel Appiah:</t>
        </r>
        <r>
          <rPr>
            <sz val="9"/>
            <color indexed="81"/>
            <rFont val="Tahoma"/>
            <family val="2"/>
          </rPr>
          <t xml:space="preserve">
486,000</t>
        </r>
      </text>
    </comment>
    <comment ref="D11" authorId="0" shapeId="0" xr:uid="{00000000-0006-0000-A500-000002000000}">
      <text>
        <r>
          <rPr>
            <b/>
            <sz val="9"/>
            <color indexed="81"/>
            <rFont val="Tahoma"/>
            <family val="2"/>
          </rPr>
          <t>Daniel Appiah:</t>
        </r>
        <r>
          <rPr>
            <sz val="9"/>
            <color indexed="81"/>
            <rFont val="Tahoma"/>
            <family val="2"/>
          </rPr>
          <t xml:space="preserve">
1,225,000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Daniel Appiah</author>
  </authors>
  <commentList>
    <comment ref="C8" authorId="0" shapeId="0" xr:uid="{1406BC2C-17DD-4739-8AE2-6358125E62C4}">
      <text>
        <r>
          <rPr>
            <b/>
            <sz val="9"/>
            <color indexed="81"/>
            <rFont val="Tahoma"/>
            <family val="2"/>
          </rPr>
          <t>Daniel Appiah:</t>
        </r>
        <r>
          <rPr>
            <sz val="9"/>
            <color indexed="81"/>
            <rFont val="Tahoma"/>
            <family val="2"/>
          </rPr>
          <t xml:space="preserve">
1,242,000 to be corrected</t>
        </r>
      </text>
    </comment>
    <comment ref="C15" authorId="0" shapeId="0" xr:uid="{F7D8C81B-6A45-4159-AEE2-45056BA02550}">
      <text>
        <r>
          <rPr>
            <b/>
            <sz val="9"/>
            <color indexed="81"/>
            <rFont val="Tahoma"/>
            <family val="2"/>
          </rPr>
          <t>Daniel Appiah:</t>
        </r>
        <r>
          <rPr>
            <sz val="9"/>
            <color indexed="81"/>
            <rFont val="Tahoma"/>
            <family val="2"/>
          </rPr>
          <t xml:space="preserve">
to be corrected 270,000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Daniel Appiah</author>
  </authors>
  <commentList>
    <comment ref="D16" authorId="0" shapeId="0" xr:uid="{7C9C1D35-8C4F-4044-845C-32733B4E412C}">
      <text>
        <r>
          <rPr>
            <b/>
            <sz val="9"/>
            <color indexed="81"/>
            <rFont val="Tahoma"/>
            <family val="2"/>
          </rPr>
          <t>Daniel Appiah:</t>
        </r>
        <r>
          <rPr>
            <sz val="9"/>
            <color indexed="81"/>
            <rFont val="Tahoma"/>
            <family val="2"/>
          </rPr>
          <t xml:space="preserve">
535,500 TO BE CORRECTED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Daniel Appiah</author>
  </authors>
  <commentList>
    <comment ref="D15" authorId="0" shapeId="0" xr:uid="{5170048F-1090-4BFD-821D-78CE4A51AD60}">
      <text>
        <r>
          <rPr>
            <b/>
            <sz val="9"/>
            <color indexed="81"/>
            <rFont val="Tahoma"/>
            <family val="2"/>
          </rPr>
          <t>Daniel Appiah:</t>
        </r>
        <r>
          <rPr>
            <sz val="9"/>
            <color indexed="81"/>
            <rFont val="Tahoma"/>
            <family val="2"/>
          </rPr>
          <t xml:space="preserve">
quantityt to be corrected 1,076,000
</t>
        </r>
      </text>
    </comment>
    <comment ref="D17" authorId="0" shapeId="0" xr:uid="{19A6DEE5-22D8-4009-91D3-392AA0E13476}">
      <text>
        <r>
          <rPr>
            <b/>
            <sz val="9"/>
            <color indexed="81"/>
            <rFont val="Tahoma"/>
            <family val="2"/>
          </rPr>
          <t>Daniel Appiah:</t>
        </r>
        <r>
          <rPr>
            <sz val="9"/>
            <color indexed="81"/>
            <rFont val="Tahoma"/>
            <family val="2"/>
          </rPr>
          <t xml:space="preserve">
this figure has been omitted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DanivelvePC</author>
  </authors>
  <commentList>
    <comment ref="D8" authorId="0" shapeId="0" xr:uid="{B2695FA2-83EF-4359-85DE-9252AFC8DDE0}">
      <text>
        <r>
          <rPr>
            <b/>
            <sz val="9"/>
            <color indexed="81"/>
            <rFont val="Tahoma"/>
            <family val="2"/>
          </rPr>
          <t>DanivelvePC:</t>
        </r>
        <r>
          <rPr>
            <sz val="9"/>
            <color indexed="81"/>
            <rFont val="Tahoma"/>
            <family val="2"/>
          </rPr>
          <t xml:space="preserve">
MISTAKEN PLACED 319,500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DanivelvePC</author>
  </authors>
  <commentList>
    <comment ref="D8" authorId="0" shapeId="0" xr:uid="{A27E0469-E922-4382-A958-4664E526AA00}">
      <text>
        <r>
          <rPr>
            <b/>
            <sz val="9"/>
            <color indexed="81"/>
            <rFont val="Tahoma"/>
            <family val="2"/>
          </rPr>
          <t>DanivelvePC:</t>
        </r>
        <r>
          <rPr>
            <sz val="9"/>
            <color indexed="81"/>
            <rFont val="Tahoma"/>
            <family val="2"/>
          </rPr>
          <t xml:space="preserve">
reduced this quantity by 54,000lts to be added to  juwel.
Precious-162,000</t>
        </r>
      </text>
    </comment>
    <comment ref="D15" authorId="0" shapeId="0" xr:uid="{99790F18-B3C0-4E2E-8E7C-B866DBEBA114}">
      <text>
        <r>
          <rPr>
            <b/>
            <sz val="9"/>
            <color indexed="81"/>
            <rFont val="Tahoma"/>
            <family val="2"/>
          </rPr>
          <t>DanivelvePC:</t>
        </r>
        <r>
          <rPr>
            <sz val="9"/>
            <color indexed="81"/>
            <rFont val="Tahoma"/>
            <family val="2"/>
          </rPr>
          <t xml:space="preserve">
added another 54,000lts to figure. It was initially 324,000lts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DanivelvePC</author>
  </authors>
  <commentList>
    <comment ref="E12" authorId="0" shapeId="0" xr:uid="{00000000-0006-0000-D500-000001000000}">
      <text>
        <r>
          <rPr>
            <b/>
            <sz val="9"/>
            <color indexed="81"/>
            <rFont val="Tahoma"/>
            <family val="2"/>
          </rPr>
          <t>DanivelvePC:</t>
        </r>
        <r>
          <rPr>
            <sz val="9"/>
            <color indexed="81"/>
            <rFont val="Tahoma"/>
            <family val="2"/>
          </rPr>
          <t xml:space="preserve">
input form admin is wrong. That is 261,000lts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DanivelvePC</author>
  </authors>
  <commentList>
    <comment ref="C9" authorId="0" shapeId="0" xr:uid="{00000000-0006-0000-D700-000001000000}">
      <text>
        <r>
          <rPr>
            <sz val="9"/>
            <color indexed="81"/>
            <rFont val="Tahoma"/>
            <family val="2"/>
          </rPr>
          <t>Miistake with input. Quantity reduced from 796,500 to 751,500lts. Reduction by 45,000 to be creditted to Eagle pet</t>
        </r>
      </text>
    </comment>
    <comment ref="C10" authorId="0" shapeId="0" xr:uid="{00000000-0006-0000-D700-000002000000}">
      <text>
        <r>
          <rPr>
            <b/>
            <sz val="9"/>
            <color indexed="81"/>
            <rFont val="Tahoma"/>
            <family val="2"/>
          </rPr>
          <t>DanivelvePC:</t>
        </r>
        <r>
          <rPr>
            <sz val="9"/>
            <color indexed="81"/>
            <rFont val="Tahoma"/>
            <family val="2"/>
          </rPr>
          <t xml:space="preserve">
input from admin is wrong and server too is wrong is 108,000
</t>
        </r>
      </text>
    </comment>
    <comment ref="C12" authorId="0" shapeId="0" xr:uid="{00000000-0006-0000-D700-000003000000}">
      <text>
        <r>
          <rPr>
            <b/>
            <sz val="9"/>
            <color indexed="81"/>
            <rFont val="Tahoma"/>
            <family val="2"/>
          </rPr>
          <t>DanivelvePC:</t>
        </r>
        <r>
          <rPr>
            <sz val="9"/>
            <color indexed="81"/>
            <rFont val="Tahoma"/>
            <family val="2"/>
          </rPr>
          <t xml:space="preserve">
transfer was creditted by 45,000lts 
 from 54,000 to increase input to 99,000lts</t>
        </r>
      </text>
    </comment>
    <comment ref="C14" authorId="0" shapeId="0" xr:uid="{00000000-0006-0000-D700-000004000000}">
      <text>
        <r>
          <rPr>
            <b/>
            <sz val="9"/>
            <color indexed="81"/>
            <rFont val="Tahoma"/>
            <family val="2"/>
          </rPr>
          <t>DanivelvePC:</t>
        </r>
        <r>
          <rPr>
            <sz val="9"/>
            <color indexed="81"/>
            <rFont val="Tahoma"/>
            <family val="2"/>
          </rPr>
          <t xml:space="preserve">
wrong input from admin. Which is 320,000lts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DanivelvePC</author>
  </authors>
  <commentList>
    <comment ref="C9" authorId="0" shapeId="0" xr:uid="{00000000-0006-0000-D900-000001000000}">
      <text>
        <r>
          <rPr>
            <b/>
            <sz val="9"/>
            <color indexed="81"/>
            <rFont val="Tahoma"/>
            <family val="2"/>
          </rPr>
          <t>DanivelvePC:</t>
        </r>
        <r>
          <rPr>
            <sz val="9"/>
            <color indexed="81"/>
            <rFont val="Tahoma"/>
            <family val="2"/>
          </rPr>
          <t xml:space="preserve">
Input was moved from 625,000 to 580,000lts because 45,000 was removed from BOST lifting to Chase Petroleum
</t>
        </r>
      </text>
    </comment>
    <comment ref="C10" authorId="0" shapeId="0" xr:uid="{00000000-0006-0000-D900-000002000000}">
      <text>
        <r>
          <rPr>
            <b/>
            <sz val="9"/>
            <color indexed="81"/>
            <rFont val="Tahoma"/>
            <family val="2"/>
          </rPr>
          <t>DanivelvePC:</t>
        </r>
        <r>
          <rPr>
            <sz val="9"/>
            <color indexed="81"/>
            <rFont val="Tahoma"/>
            <family val="2"/>
          </rPr>
          <t xml:space="preserve">
Quantity was increased from 153,000lts to 198,000lts because of mistake in BDC loading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DanivelvePC</author>
  </authors>
  <commentList>
    <comment ref="C8" authorId="0" shapeId="0" xr:uid="{00000000-0006-0000-DC00-000001000000}">
      <text>
        <r>
          <rPr>
            <b/>
            <sz val="9"/>
            <color indexed="81"/>
            <rFont val="Tahoma"/>
            <family val="2"/>
          </rPr>
          <t>DanivelvePC:</t>
        </r>
        <r>
          <rPr>
            <sz val="9"/>
            <color indexed="81"/>
            <rFont val="Tahoma"/>
            <family val="2"/>
          </rPr>
          <t xml:space="preserve">
Info from admin has to be increasedby a truck(54,000). Figure is 162,000 from ADMIN</t>
        </r>
      </text>
    </comment>
    <comment ref="C9" authorId="0" shapeId="0" xr:uid="{00000000-0006-0000-DC00-000002000000}">
      <text>
        <r>
          <rPr>
            <b/>
            <sz val="9"/>
            <color indexed="81"/>
            <rFont val="Tahoma"/>
            <family val="2"/>
          </rPr>
          <t>DanivelvePC:</t>
        </r>
        <r>
          <rPr>
            <sz val="9"/>
            <color indexed="81"/>
            <rFont val="Tahoma"/>
            <family val="2"/>
          </rPr>
          <t>admin figure is 378,000lts. It has to be reduced by 54,000lts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4" authorId="0" shapeId="0" xr:uid="{427F6B90-52D9-40B3-A81C-C84673388A75}">
      <text>
        <r>
          <rPr>
            <b/>
            <sz val="9"/>
            <color indexed="81"/>
            <rFont val="Tahoma"/>
            <family val="2"/>
          </rPr>
          <t>Daniel Dadzie Appiah:</t>
        </r>
        <r>
          <rPr>
            <sz val="9"/>
            <color indexed="81"/>
            <rFont val="Tahoma"/>
            <family val="2"/>
          </rPr>
          <t xml:space="preserve">
RON 95 product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Emmanuel Kwabena Mensah</author>
  </authors>
  <commentList>
    <comment ref="D10" authorId="0" shapeId="0" xr:uid="{E2BDE5B3-6795-4579-8834-6015452F4B8E}">
      <text>
        <r>
          <rPr>
            <b/>
            <sz val="9"/>
            <color indexed="81"/>
            <rFont val="Tahoma"/>
            <family val="2"/>
          </rPr>
          <t xml:space="preserve">Daniel Dadzie Appiah: </t>
        </r>
        <r>
          <rPr>
            <sz val="9"/>
            <color indexed="81"/>
            <rFont val="Tahoma"/>
            <family val="2"/>
          </rPr>
          <t>corrected from 162,000 to 216,000) because of BDC swap</t>
        </r>
        <r>
          <rPr>
            <sz val="9"/>
            <color indexed="81"/>
            <rFont val="Tahoma"/>
            <family val="2"/>
          </rPr>
          <t xml:space="preserve">
</t>
        </r>
      </text>
    </comment>
    <comment ref="D11" authorId="0" shapeId="0" xr:uid="{71DCB197-0146-4296-B7B1-3FE7E175CC3C}">
      <text>
        <r>
          <rPr>
            <b/>
            <sz val="9"/>
            <color indexed="81"/>
            <rFont val="Tahoma"/>
            <family val="2"/>
          </rPr>
          <t>Daniel Dadzie Appiah:</t>
        </r>
        <r>
          <rPr>
            <sz val="9"/>
            <color indexed="81"/>
            <rFont val="Tahoma"/>
            <family val="2"/>
          </rPr>
          <t xml:space="preserve">
Corrected from 108,000 to 54,000 because of bdc swap. From Cirrus(108,000to 54,000) to Chase(162000 to 270,000)</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C9" authorId="0" shapeId="0" xr:uid="{8240FC24-A2D9-4A47-BE88-DECC9298D834}">
      <text>
        <r>
          <rPr>
            <b/>
            <sz val="9"/>
            <color indexed="81"/>
            <rFont val="Tahoma"/>
            <family val="2"/>
          </rPr>
          <t>Daniel Dadzie Appiah:</t>
        </r>
        <r>
          <rPr>
            <sz val="9"/>
            <color indexed="81"/>
            <rFont val="Tahoma"/>
            <family val="2"/>
          </rPr>
          <t xml:space="preserve">
Admin has to substract one 54,oo from the capacity</t>
        </r>
      </text>
    </comment>
    <comment ref="C11" authorId="0" shapeId="0" xr:uid="{5293D0BC-2237-4C72-8A69-1E5E9E58D487}">
      <text>
        <r>
          <rPr>
            <b/>
            <sz val="9"/>
            <color indexed="81"/>
            <rFont val="Tahoma"/>
            <family val="2"/>
          </rPr>
          <t>Daniel Dadzie Appiah:</t>
        </r>
        <r>
          <rPr>
            <sz val="9"/>
            <color indexed="81"/>
            <rFont val="Tahoma"/>
            <family val="2"/>
          </rPr>
          <t xml:space="preserve">
Admin to reduce quantity by 54,ooo litres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Emmanuel Kwabena Mensah</author>
  </authors>
  <commentList>
    <comment ref="C10" authorId="0" shapeId="0" xr:uid="{7935D4F8-8992-432F-A115-9DABC7D1A8C1}">
      <text>
        <r>
          <rPr>
            <b/>
            <sz val="9"/>
            <color indexed="81"/>
            <rFont val="Tahoma"/>
            <family val="2"/>
          </rPr>
          <t>Daniel Appiah:</t>
        </r>
        <r>
          <rPr>
            <sz val="9"/>
            <color indexed="81"/>
            <rFont val="Tahoma"/>
            <family val="2"/>
          </rPr>
          <t xml:space="preserve">
BRV loaded 54,000 instead of 45,000. Action to be taken to allow the detained truck to be released was by decanting which occurred on the 27th February, 2021</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Emmanuel Kwabena Mensah</author>
  </authors>
  <commentList>
    <comment ref="D15" authorId="0" shapeId="0" xr:uid="{75AD65EA-CCB5-450A-AF1A-C4A73048D605}">
      <text>
        <r>
          <rPr>
            <b/>
            <sz val="9"/>
            <color indexed="81"/>
            <rFont val="Tahoma"/>
            <family val="2"/>
          </rPr>
          <t>Daniel Dadzie Appiah:</t>
        </r>
        <r>
          <rPr>
            <sz val="9"/>
            <color indexed="81"/>
            <rFont val="Tahoma"/>
            <family val="2"/>
          </rPr>
          <t xml:space="preserve">
Ron 95 product</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5" authorId="0" shapeId="0" xr:uid="{3586918D-8458-4A70-ADF9-8C64FAFF7C12}">
      <text>
        <r>
          <rPr>
            <b/>
            <sz val="9"/>
            <color indexed="81"/>
            <rFont val="Tahoma"/>
            <family val="2"/>
          </rPr>
          <t>Daniel Dadzie Appiah:</t>
        </r>
        <r>
          <rPr>
            <sz val="9"/>
            <color indexed="81"/>
            <rFont val="Tahoma"/>
            <family val="2"/>
          </rPr>
          <t xml:space="preserve">
RON 95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B6FE3AEB-2869-48F3-AA12-D80410D568C8}">
      <text>
        <r>
          <rPr>
            <b/>
            <sz val="9"/>
            <color indexed="81"/>
            <rFont val="Tahoma"/>
            <family val="2"/>
          </rPr>
          <t>Daniel Dadzie Appiah:</t>
        </r>
        <r>
          <rPr>
            <sz val="9"/>
            <color indexed="81"/>
            <rFont val="Tahoma"/>
            <family val="2"/>
          </rPr>
          <t xml:space="preserve">
RON 95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7A9F0B59-A705-4F8C-859D-191D06793DA2}">
      <text>
        <r>
          <rPr>
            <b/>
            <sz val="9"/>
            <color indexed="81"/>
            <rFont val="Tahoma"/>
            <family val="2"/>
          </rPr>
          <t>Daniel Dadzie Appiah:</t>
        </r>
        <r>
          <rPr>
            <sz val="9"/>
            <color indexed="81"/>
            <rFont val="Tahoma"/>
            <family val="2"/>
          </rPr>
          <t xml:space="preserve">
Ron 95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425804E6-383A-439B-993D-89E8F01FD331}">
      <text>
        <r>
          <rPr>
            <b/>
            <sz val="9"/>
            <color indexed="81"/>
            <rFont val="Tahoma"/>
            <family val="2"/>
          </rPr>
          <t>Daniel Dadzie Appiah:</t>
        </r>
        <r>
          <rPr>
            <sz val="9"/>
            <color indexed="81"/>
            <rFont val="Tahoma"/>
            <family val="2"/>
          </rPr>
          <t xml:space="preserve">
RON 95</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050D8945-68AF-4606-BF43-01D8F32EFEB6}">
      <text>
        <r>
          <rPr>
            <b/>
            <sz val="9"/>
            <color indexed="81"/>
            <rFont val="Tahoma"/>
            <family val="2"/>
          </rPr>
          <t>Daniel Dadzie Appiah:</t>
        </r>
        <r>
          <rPr>
            <sz val="9"/>
            <color indexed="81"/>
            <rFont val="Tahoma"/>
            <family val="2"/>
          </rPr>
          <t xml:space="preserve">
RON 95</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8" authorId="0" shapeId="0" xr:uid="{94966DC3-17B8-49EB-8756-EBC43CB813A0}">
      <text>
        <r>
          <rPr>
            <b/>
            <sz val="9"/>
            <color indexed="81"/>
            <rFont val="Tahoma"/>
            <family val="2"/>
          </rPr>
          <t>danivelve:</t>
        </r>
        <r>
          <rPr>
            <sz val="9"/>
            <color indexed="81"/>
            <rFont val="Tahoma"/>
            <family val="2"/>
          </rPr>
          <t xml:space="preserve">
Issue
On portal the truck was meant for Kumasi but went to Buipe. It was returned to Ksi back. Truck Number GT9147-17
BDC was Blue ocean and product was PMS. Quantity has to be reduced from 162,000 to 108,000 because of that.</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7B705999-7E17-4F63-BAD8-33D4C5A52336}">
      <text>
        <r>
          <rPr>
            <b/>
            <sz val="9"/>
            <color indexed="81"/>
            <rFont val="Tahoma"/>
            <family val="2"/>
          </rPr>
          <t>Daniel Dadzie Appiah:</t>
        </r>
        <r>
          <rPr>
            <sz val="9"/>
            <color indexed="81"/>
            <rFont val="Tahoma"/>
            <family val="2"/>
          </rPr>
          <t xml:space="preserve">
RON 95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F576BE0-AD8A-48D9-AD5B-5B798E2E0137}">
      <text>
        <r>
          <rPr>
            <b/>
            <sz val="9"/>
            <color indexed="81"/>
            <rFont val="Tahoma"/>
            <family val="2"/>
          </rPr>
          <t>danivelve:</t>
        </r>
        <r>
          <rPr>
            <sz val="9"/>
            <color indexed="81"/>
            <rFont val="Tahoma"/>
            <family val="2"/>
          </rPr>
          <t xml:space="preserve">
Ron 95 product</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Emmanuel Kwabena Mensah</author>
  </authors>
  <commentList>
    <comment ref="D16" authorId="0" shapeId="0" xr:uid="{F635AE5F-8B68-465E-819C-8FCAF7CAB114}">
      <text>
        <r>
          <rPr>
            <b/>
            <sz val="9"/>
            <color indexed="81"/>
            <rFont val="Tahoma"/>
            <family val="2"/>
          </rPr>
          <t>Daniel Dadzie Appiah:</t>
        </r>
        <r>
          <rPr>
            <sz val="9"/>
            <color indexed="81"/>
            <rFont val="Tahoma"/>
            <family val="2"/>
          </rPr>
          <t xml:space="preserve">
Ron 95 product</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8757C4B5-C401-47CF-9CFD-90E37D46026C}">
      <text>
        <r>
          <rPr>
            <b/>
            <sz val="9"/>
            <color indexed="81"/>
            <rFont val="Tahoma"/>
            <family val="2"/>
          </rPr>
          <t>Daniel Dadzie Appiah:</t>
        </r>
        <r>
          <rPr>
            <sz val="9"/>
            <color indexed="81"/>
            <rFont val="Tahoma"/>
            <family val="2"/>
          </rPr>
          <t xml:space="preserve">
Ron 95 product, No of 36,000 capacity is 1 and no of 54,000 capacity are 16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9B18F1CB-4B1E-4FD8-9A56-2C0EE4A66605}">
      <text>
        <r>
          <rPr>
            <b/>
            <sz val="9"/>
            <color indexed="81"/>
            <rFont val="Tahoma"/>
            <family val="2"/>
          </rPr>
          <t>Daniel Dadzie Appiah:</t>
        </r>
        <r>
          <rPr>
            <sz val="9"/>
            <color indexed="81"/>
            <rFont val="Tahoma"/>
            <family val="2"/>
          </rPr>
          <t xml:space="preserve">
RON 95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42A0BE30-EF3A-4527-8EE4-BF621BE8C953}">
      <text>
        <r>
          <rPr>
            <b/>
            <sz val="9"/>
            <color indexed="81"/>
            <rFont val="Tahoma"/>
            <family val="2"/>
          </rPr>
          <t>Daniel Dadzie Appiah:</t>
        </r>
        <r>
          <rPr>
            <sz val="9"/>
            <color indexed="81"/>
            <rFont val="Tahoma"/>
            <family val="2"/>
          </rPr>
          <t xml:space="preserve">
Ron 95 product</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B8382100-3989-464B-9AF5-E88FD058E3FB}">
      <text>
        <r>
          <rPr>
            <b/>
            <sz val="9"/>
            <color indexed="81"/>
            <rFont val="Tahoma"/>
            <family val="2"/>
          </rPr>
          <t>Daniel Dadzie Appiah:</t>
        </r>
        <r>
          <rPr>
            <sz val="9"/>
            <color indexed="81"/>
            <rFont val="Tahoma"/>
            <family val="2"/>
          </rPr>
          <t xml:space="preserve">
RON 95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7BDEF2D1-692D-4644-A559-DC57F94EAFA4}">
      <text>
        <r>
          <rPr>
            <b/>
            <sz val="9"/>
            <color indexed="81"/>
            <rFont val="Tahoma"/>
            <family val="2"/>
          </rPr>
          <t>Daniel Dadzie Appiah:</t>
        </r>
        <r>
          <rPr>
            <sz val="9"/>
            <color indexed="81"/>
            <rFont val="Tahoma"/>
            <family val="2"/>
          </rPr>
          <t xml:space="preserve">
Ron 95 produt</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6B9F667E-FE1A-45E9-B34C-EBB2DB3D6510}">
      <text>
        <r>
          <rPr>
            <b/>
            <sz val="9"/>
            <color indexed="81"/>
            <rFont val="Tahoma"/>
            <family val="2"/>
          </rPr>
          <t xml:space="preserve">Daniel Dadzie 
</t>
        </r>
        <r>
          <rPr>
            <sz val="9"/>
            <color indexed="81"/>
            <rFont val="Tahoma"/>
            <family val="2"/>
          </rPr>
          <t>Ron 90- 999,000
Regular-108,000</t>
        </r>
        <r>
          <rPr>
            <b/>
            <sz val="9"/>
            <color indexed="81"/>
            <rFont val="Tahoma"/>
            <family val="2"/>
          </rPr>
          <t xml:space="preserve">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05C92C98-C49D-4ACC-A566-A3DAB4A20629}">
      <text>
        <r>
          <rPr>
            <b/>
            <sz val="9"/>
            <color indexed="81"/>
            <rFont val="Tahoma"/>
            <family val="2"/>
          </rPr>
          <t>Daniel Dadzie Appiah:</t>
        </r>
        <r>
          <rPr>
            <sz val="9"/>
            <color indexed="81"/>
            <rFont val="Tahoma"/>
            <family val="2"/>
          </rPr>
          <t xml:space="preserve">
Ron 95 product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BD767C31-BCAB-4ACE-A7C2-5D6AE1A87A8E}">
      <text>
        <r>
          <rPr>
            <b/>
            <sz val="9"/>
            <color indexed="81"/>
            <rFont val="Tahoma"/>
            <family val="2"/>
          </rPr>
          <t>Daniel Dadzie Appiah:</t>
        </r>
        <r>
          <rPr>
            <sz val="9"/>
            <color indexed="81"/>
            <rFont val="Tahoma"/>
            <family val="2"/>
          </rPr>
          <t xml:space="preserve">
Ron 95 - 810,000lts
ron 91 - 54000</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C34CEF26-918E-4C79-ADDD-A2D887191AF3}">
      <text>
        <r>
          <rPr>
            <b/>
            <sz val="9"/>
            <color indexed="81"/>
            <rFont val="Tahoma"/>
            <family val="2"/>
          </rPr>
          <t>Daniel Dadzie Appiah:</t>
        </r>
        <r>
          <rPr>
            <sz val="9"/>
            <color indexed="81"/>
            <rFont val="Tahoma"/>
            <family val="2"/>
          </rPr>
          <t xml:space="preserve">
Ron 95 product</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A5D01D68-A4FA-4166-8272-630EF08E16EA}">
      <text>
        <r>
          <rPr>
            <b/>
            <sz val="9"/>
            <color indexed="81"/>
            <rFont val="Tahoma"/>
            <family val="2"/>
          </rPr>
          <t>Daniel Dadzie Appiah:</t>
        </r>
        <r>
          <rPr>
            <sz val="9"/>
            <color indexed="81"/>
            <rFont val="Tahoma"/>
            <family val="2"/>
          </rPr>
          <t xml:space="preserve">
RON 95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Daniel Dadzie Appiah</author>
  </authors>
  <commentList>
    <comment ref="D16" authorId="0" shapeId="0" xr:uid="{273367B3-213A-4381-ADDC-9F7E2A5BC3A8}">
      <text>
        <r>
          <rPr>
            <b/>
            <sz val="9"/>
            <color indexed="81"/>
            <rFont val="Tahoma"/>
            <family val="2"/>
          </rPr>
          <t>Daniel Dadzie Appiah:</t>
        </r>
        <r>
          <rPr>
            <sz val="9"/>
            <color indexed="81"/>
            <rFont val="Tahoma"/>
            <family val="2"/>
          </rPr>
          <t xml:space="preserve">
RON 95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Jonas Yeboah</author>
  </authors>
  <commentList>
    <comment ref="F9" authorId="0" shapeId="0" xr:uid="{CB086142-9833-44B1-AD83-E92F851C9167}">
      <text>
        <r>
          <rPr>
            <b/>
            <sz val="9"/>
            <color indexed="81"/>
            <rFont val="Tahoma"/>
            <family val="2"/>
          </rPr>
          <t xml:space="preserve">Daniel Appiah:
</t>
        </r>
        <r>
          <rPr>
            <sz val="9"/>
            <color indexed="81"/>
            <rFont val="Tahoma"/>
            <family val="2"/>
          </rPr>
          <t>Product for Export</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7923018D-587E-4650-A1CD-CF40FC0DBDE6}">
      <text>
        <r>
          <rPr>
            <b/>
            <sz val="9"/>
            <color indexed="81"/>
            <rFont val="Tahoma"/>
            <family val="2"/>
          </rPr>
          <t>danivelve:</t>
        </r>
        <r>
          <rPr>
            <sz val="9"/>
            <color indexed="81"/>
            <rFont val="Tahoma"/>
            <family val="2"/>
          </rPr>
          <t xml:space="preserve">
Product for Export</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7F1CC21F-555A-4DA3-B1B1-F5B7F1E93E29}">
      <text>
        <r>
          <rPr>
            <b/>
            <sz val="9"/>
            <color indexed="81"/>
            <rFont val="Tahoma"/>
            <family val="2"/>
          </rPr>
          <t>danivelve:</t>
        </r>
        <r>
          <rPr>
            <sz val="9"/>
            <color indexed="81"/>
            <rFont val="Tahoma"/>
            <family val="2"/>
          </rPr>
          <t xml:space="preserve">
Product for Export</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9428187F-11A3-4151-8808-02D1EDD42670}">
      <text>
        <r>
          <rPr>
            <b/>
            <sz val="9"/>
            <color indexed="81"/>
            <rFont val="Tahoma"/>
            <family val="2"/>
          </rPr>
          <t>danivelve:</t>
        </r>
        <r>
          <rPr>
            <sz val="9"/>
            <color indexed="81"/>
            <rFont val="Tahoma"/>
            <family val="2"/>
          </rPr>
          <t xml:space="preserve">
Product for Export</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F2597C4B-E095-48DC-8059-E86EE406B9A7}">
      <text>
        <r>
          <rPr>
            <b/>
            <sz val="9"/>
            <color indexed="81"/>
            <rFont val="Tahoma"/>
            <family val="2"/>
          </rPr>
          <t>danivelve:</t>
        </r>
        <r>
          <rPr>
            <sz val="9"/>
            <color indexed="81"/>
            <rFont val="Tahoma"/>
            <family val="2"/>
          </rPr>
          <t xml:space="preserve">
Product for Export</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92E783C5-A6B1-4C01-9728-A86B4E9DDF83}">
      <text>
        <r>
          <rPr>
            <b/>
            <sz val="9"/>
            <color indexed="81"/>
            <rFont val="Tahoma"/>
            <family val="2"/>
          </rPr>
          <t>danivelve:</t>
        </r>
        <r>
          <rPr>
            <sz val="9"/>
            <color indexed="81"/>
            <rFont val="Tahoma"/>
            <family val="2"/>
          </rPr>
          <t xml:space="preserve">
Product for Export</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3216D81C-2D8B-4A60-B00A-33E1B0C2165A}">
      <text>
        <r>
          <rPr>
            <b/>
            <sz val="9"/>
            <color indexed="81"/>
            <rFont val="Tahoma"/>
            <family val="2"/>
          </rPr>
          <t>danivelve:</t>
        </r>
        <r>
          <rPr>
            <sz val="9"/>
            <color indexed="81"/>
            <rFont val="Tahoma"/>
            <family val="2"/>
          </rPr>
          <t xml:space="preserve">
Product for Export. A mistake was made by making 54 export product and 49,500 a regular buipe product
</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EDD43FB0-1635-4110-AD26-630A1F1003D2}">
      <text>
        <r>
          <rPr>
            <b/>
            <sz val="9"/>
            <color indexed="81"/>
            <rFont val="Tahoma"/>
            <family val="2"/>
          </rPr>
          <t>danivelve:</t>
        </r>
        <r>
          <rPr>
            <sz val="9"/>
            <color indexed="81"/>
            <rFont val="Tahoma"/>
            <family val="2"/>
          </rPr>
          <t xml:space="preserve">
Export Product
</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2AD95A5-4F83-421F-885C-5216F3EF8610}">
      <text>
        <r>
          <rPr>
            <b/>
            <sz val="9"/>
            <color indexed="81"/>
            <rFont val="Tahoma"/>
            <family val="2"/>
          </rPr>
          <t>danivelve:</t>
        </r>
        <r>
          <rPr>
            <sz val="9"/>
            <color indexed="81"/>
            <rFont val="Tahoma"/>
            <family val="2"/>
          </rPr>
          <t xml:space="preserve">
ron 95 product</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DA0F6BAC-470C-4912-9EF2-5C7FEE542402}">
      <text>
        <r>
          <rPr>
            <b/>
            <sz val="9"/>
            <color indexed="81"/>
            <rFont val="Tahoma"/>
            <family val="2"/>
          </rPr>
          <t>danivelve:</t>
        </r>
        <r>
          <rPr>
            <sz val="9"/>
            <color indexed="81"/>
            <rFont val="Tahoma"/>
            <family val="2"/>
          </rPr>
          <t xml:space="preserve">
BOST Pdm_ export product</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FD28F10B-DD87-4017-A621-B5D6BBF16895}">
      <text>
        <r>
          <rPr>
            <b/>
            <sz val="9"/>
            <color indexed="81"/>
            <rFont val="Tahoma"/>
            <family val="2"/>
          </rPr>
          <t>danivelve:</t>
        </r>
        <r>
          <rPr>
            <sz val="9"/>
            <color indexed="81"/>
            <rFont val="Tahoma"/>
            <family val="2"/>
          </rPr>
          <t xml:space="preserve">
BOST Pdm_ export product</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BE41F283-B2C4-492E-9919-5425F5565BB9}">
      <text>
        <r>
          <rPr>
            <b/>
            <sz val="9"/>
            <color indexed="81"/>
            <rFont val="Tahoma"/>
            <family val="2"/>
          </rPr>
          <t>danivelve:</t>
        </r>
        <r>
          <rPr>
            <sz val="9"/>
            <color indexed="81"/>
            <rFont val="Tahoma"/>
            <family val="2"/>
          </rPr>
          <t xml:space="preserve">
BOST Pdm_ export product</t>
        </r>
      </text>
    </comment>
    <comment ref="D16" authorId="0" shapeId="0" xr:uid="{361A5D8C-F8F0-43A2-80C6-393051304097}">
      <text>
        <r>
          <rPr>
            <b/>
            <sz val="9"/>
            <color indexed="81"/>
            <rFont val="Tahoma"/>
            <family val="2"/>
          </rPr>
          <t>danivelve:</t>
        </r>
        <r>
          <rPr>
            <sz val="9"/>
            <color indexed="81"/>
            <rFont val="Tahoma"/>
            <family val="2"/>
          </rPr>
          <t xml:space="preserve">
Ron 95 product </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49394EFD-442E-4F6B-A4F4-F323EEA465B2}">
      <text>
        <r>
          <rPr>
            <b/>
            <sz val="9"/>
            <color indexed="81"/>
            <rFont val="Tahoma"/>
            <family val="2"/>
          </rPr>
          <t>danivelve:</t>
        </r>
        <r>
          <rPr>
            <sz val="9"/>
            <color indexed="81"/>
            <rFont val="Tahoma"/>
            <family val="2"/>
          </rPr>
          <t xml:space="preserve">
BOST Pdm_ export product</t>
        </r>
      </text>
    </comment>
    <comment ref="D16" authorId="0" shapeId="0" xr:uid="{C8CFBBC1-8CCA-4728-894E-CB588A3D9428}">
      <text>
        <r>
          <rPr>
            <b/>
            <sz val="9"/>
            <color indexed="81"/>
            <rFont val="Tahoma"/>
            <family val="2"/>
          </rPr>
          <t>danivelve:</t>
        </r>
        <r>
          <rPr>
            <sz val="9"/>
            <color indexed="81"/>
            <rFont val="Tahoma"/>
            <family val="2"/>
          </rPr>
          <t xml:space="preserve">
Ron 95 product </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2478A33D-0B32-4277-851E-0808BFA83578}">
      <text>
        <r>
          <rPr>
            <b/>
            <sz val="9"/>
            <color indexed="81"/>
            <rFont val="Tahoma"/>
            <family val="2"/>
          </rPr>
          <t>danivelve:</t>
        </r>
        <r>
          <rPr>
            <sz val="9"/>
            <color indexed="81"/>
            <rFont val="Tahoma"/>
            <family val="2"/>
          </rPr>
          <t xml:space="preserve">
BOST Pdm_ export product</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AD824715-0EBE-4025-820A-FEB6D74A0373}">
      <text>
        <r>
          <rPr>
            <b/>
            <sz val="9"/>
            <color indexed="81"/>
            <rFont val="Tahoma"/>
            <family val="2"/>
          </rPr>
          <t>danivelve:</t>
        </r>
        <r>
          <rPr>
            <sz val="9"/>
            <color indexed="81"/>
            <rFont val="Tahoma"/>
            <family val="2"/>
          </rPr>
          <t xml:space="preserve">
BOST Pdm_ export product</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32075045-5C8C-4629-931B-BEF13EDC74B2}">
      <text>
        <r>
          <rPr>
            <b/>
            <sz val="9"/>
            <color indexed="81"/>
            <rFont val="Tahoma"/>
            <family val="2"/>
          </rPr>
          <t>danivelve:</t>
        </r>
        <r>
          <rPr>
            <sz val="9"/>
            <color indexed="81"/>
            <rFont val="Tahoma"/>
            <family val="2"/>
          </rPr>
          <t xml:space="preserve">
BOST Pdm_ export product</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13FA416D-1C95-4A29-835B-3532A3EAE442}">
      <text>
        <r>
          <rPr>
            <b/>
            <sz val="9"/>
            <color indexed="81"/>
            <rFont val="Tahoma"/>
            <family val="2"/>
          </rPr>
          <t>danivelve:</t>
        </r>
        <r>
          <rPr>
            <sz val="9"/>
            <color indexed="81"/>
            <rFont val="Tahoma"/>
            <family val="2"/>
          </rPr>
          <t xml:space="preserve">
BOST Pdm_ export product</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7B364F8-96BD-4497-80BD-7120C9FCA092}">
      <text>
        <r>
          <rPr>
            <b/>
            <sz val="9"/>
            <color indexed="81"/>
            <rFont val="Tahoma"/>
            <family val="2"/>
          </rPr>
          <t>danivelve:</t>
        </r>
        <r>
          <rPr>
            <sz val="9"/>
            <color indexed="81"/>
            <rFont val="Tahoma"/>
            <family val="2"/>
          </rPr>
          <t xml:space="preserve">
Ron 95 product 
</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94659C7-787F-4067-9728-8605C0EF09C8}">
      <text>
        <r>
          <rPr>
            <b/>
            <sz val="9"/>
            <color indexed="81"/>
            <rFont val="Tahoma"/>
            <family val="2"/>
          </rPr>
          <t>danivelve:</t>
        </r>
        <r>
          <rPr>
            <sz val="9"/>
            <color indexed="81"/>
            <rFont val="Tahoma"/>
            <family val="2"/>
          </rPr>
          <t xml:space="preserve">
Ron 95 product</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D9A5FFA8-5B64-43AA-B475-BE85994EE53B}">
      <text>
        <r>
          <rPr>
            <b/>
            <sz val="9"/>
            <color indexed="81"/>
            <rFont val="Tahoma"/>
            <family val="2"/>
          </rPr>
          <t>danivelve:</t>
        </r>
        <r>
          <rPr>
            <sz val="9"/>
            <color indexed="81"/>
            <rFont val="Tahoma"/>
            <family val="2"/>
          </rPr>
          <t xml:space="preserve">
Export Product</t>
        </r>
      </text>
    </comment>
    <comment ref="D16" authorId="0" shapeId="0" xr:uid="{4DAAE946-106F-4567-B3BA-5DB2681C01CC}">
      <text>
        <r>
          <rPr>
            <b/>
            <sz val="9"/>
            <color indexed="81"/>
            <rFont val="Tahoma"/>
            <family val="2"/>
          </rPr>
          <t>danivelve:</t>
        </r>
        <r>
          <rPr>
            <sz val="9"/>
            <color indexed="81"/>
            <rFont val="Tahoma"/>
            <family val="2"/>
          </rPr>
          <t xml:space="preserve">
Ron 95
</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2E2A12C9-9AC5-40F3-956B-11D02D8FC37F}">
      <text>
        <r>
          <rPr>
            <b/>
            <sz val="9"/>
            <color indexed="81"/>
            <rFont val="Tahoma"/>
            <family val="2"/>
          </rPr>
          <t>danivelve:</t>
        </r>
        <r>
          <rPr>
            <sz val="9"/>
            <color indexed="81"/>
            <rFont val="Tahoma"/>
            <family val="2"/>
          </rPr>
          <t xml:space="preserve">
Export Product</t>
        </r>
      </text>
    </comment>
    <comment ref="D16" authorId="0" shapeId="0" xr:uid="{39C224E6-D58F-411D-BEA4-DE1BCB3493E4}">
      <text>
        <r>
          <rPr>
            <b/>
            <sz val="9"/>
            <color indexed="81"/>
            <rFont val="Tahoma"/>
            <family val="2"/>
          </rPr>
          <t>danivelve:</t>
        </r>
        <r>
          <rPr>
            <sz val="9"/>
            <color indexed="81"/>
            <rFont val="Tahoma"/>
            <family val="2"/>
          </rPr>
          <t xml:space="preserve">
Ron 95
</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440403DC-539F-4E1B-8E3A-709CA4D8E9A6}">
      <text>
        <r>
          <rPr>
            <b/>
            <sz val="9"/>
            <color indexed="81"/>
            <rFont val="Tahoma"/>
            <family val="2"/>
          </rPr>
          <t>danivelve:</t>
        </r>
        <r>
          <rPr>
            <sz val="9"/>
            <color indexed="81"/>
            <rFont val="Tahoma"/>
            <family val="2"/>
          </rPr>
          <t xml:space="preserve">
Export Product</t>
        </r>
      </text>
    </comment>
    <comment ref="D16" authorId="0" shapeId="0" xr:uid="{696C822B-8E4D-4227-9EEF-51B94C9AED00}">
      <text>
        <r>
          <rPr>
            <b/>
            <sz val="9"/>
            <color indexed="81"/>
            <rFont val="Tahoma"/>
            <family val="2"/>
          </rPr>
          <t>danivelve:</t>
        </r>
        <r>
          <rPr>
            <sz val="9"/>
            <color indexed="81"/>
            <rFont val="Tahoma"/>
            <family val="2"/>
          </rPr>
          <t xml:space="preserve">
Ron 95
</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8296776D-D1AD-4633-B130-3E809D240E8A}">
      <text>
        <r>
          <rPr>
            <b/>
            <sz val="9"/>
            <color indexed="81"/>
            <rFont val="Tahoma"/>
            <family val="2"/>
          </rPr>
          <t>danivelve:</t>
        </r>
        <r>
          <rPr>
            <sz val="9"/>
            <color indexed="81"/>
            <rFont val="Tahoma"/>
            <family val="2"/>
          </rPr>
          <t xml:space="preserve">
Export Product</t>
        </r>
      </text>
    </comment>
    <comment ref="D16" authorId="0" shapeId="0" xr:uid="{826F57D3-1157-48A1-A66E-5A6DC20F5023}">
      <text>
        <r>
          <rPr>
            <b/>
            <sz val="9"/>
            <color indexed="81"/>
            <rFont val="Tahoma"/>
            <family val="2"/>
          </rPr>
          <t>danivelve:</t>
        </r>
        <r>
          <rPr>
            <sz val="9"/>
            <color indexed="81"/>
            <rFont val="Tahoma"/>
            <family val="2"/>
          </rPr>
          <t xml:space="preserve">
Ron 95
</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0B51EAE2-6953-4628-B239-7B78837FAE77}">
      <text>
        <r>
          <rPr>
            <b/>
            <sz val="9"/>
            <color indexed="81"/>
            <rFont val="Tahoma"/>
            <family val="2"/>
          </rPr>
          <t>danivelve:</t>
        </r>
        <r>
          <rPr>
            <sz val="9"/>
            <color indexed="81"/>
            <rFont val="Tahoma"/>
            <family val="2"/>
          </rPr>
          <t xml:space="preserve">
Export Product</t>
        </r>
      </text>
    </comment>
    <comment ref="D16" authorId="0" shapeId="0" xr:uid="{1854DA8E-F2F3-4B45-A09E-404D5AB873A6}">
      <text>
        <r>
          <rPr>
            <b/>
            <sz val="9"/>
            <color indexed="81"/>
            <rFont val="Tahoma"/>
            <family val="2"/>
          </rPr>
          <t>danivelve:</t>
        </r>
        <r>
          <rPr>
            <sz val="9"/>
            <color indexed="81"/>
            <rFont val="Tahoma"/>
            <family val="2"/>
          </rPr>
          <t xml:space="preserve">
Ron 95
</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80B8D76-EAF5-4B2F-939C-452D38307D68}">
      <text>
        <r>
          <rPr>
            <b/>
            <sz val="9"/>
            <color indexed="81"/>
            <rFont val="Tahoma"/>
            <family val="2"/>
          </rPr>
          <t>danivelve:</t>
        </r>
        <r>
          <rPr>
            <sz val="9"/>
            <color indexed="81"/>
            <rFont val="Tahoma"/>
            <family val="2"/>
          </rPr>
          <t xml:space="preserve">
Ron 95 product </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E8179026-AB47-4E5E-A62B-679725111C91}">
      <text>
        <r>
          <rPr>
            <b/>
            <sz val="9"/>
            <color indexed="81"/>
            <rFont val="Tahoma"/>
            <family val="2"/>
          </rPr>
          <t>danivelve:</t>
        </r>
        <r>
          <rPr>
            <sz val="9"/>
            <color indexed="81"/>
            <rFont val="Tahoma"/>
            <family val="2"/>
          </rPr>
          <t xml:space="preserve">
Ron 95 product </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9AC4B53-7DDF-41A7-9D78-327152B40FF2}">
      <text>
        <r>
          <rPr>
            <b/>
            <sz val="9"/>
            <color indexed="81"/>
            <rFont val="Tahoma"/>
            <family val="2"/>
          </rPr>
          <t>danivelve:</t>
        </r>
        <r>
          <rPr>
            <sz val="9"/>
            <color indexed="81"/>
            <rFont val="Tahoma"/>
            <family val="2"/>
          </rPr>
          <t xml:space="preserve">
Ron 95 product </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85C9D132-D518-4989-A048-2D080B75284F}">
      <text>
        <r>
          <rPr>
            <b/>
            <sz val="9"/>
            <color indexed="81"/>
            <rFont val="Tahoma"/>
            <family val="2"/>
          </rPr>
          <t>danivelve:</t>
        </r>
        <r>
          <rPr>
            <sz val="9"/>
            <color indexed="81"/>
            <rFont val="Tahoma"/>
            <family val="2"/>
          </rPr>
          <t xml:space="preserve">
Ron 95 product</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21100FB-6006-45FC-9D50-84583E5B9109}">
      <text>
        <r>
          <rPr>
            <b/>
            <sz val="9"/>
            <color indexed="81"/>
            <rFont val="Tahoma"/>
            <family val="2"/>
          </rPr>
          <t>danivelve:</t>
        </r>
        <r>
          <rPr>
            <sz val="9"/>
            <color indexed="81"/>
            <rFont val="Tahoma"/>
            <family val="2"/>
          </rPr>
          <t xml:space="preserve">
ron 95 product
</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0098A52-0899-4FC8-864D-AE7E5787EDFE}">
      <text>
        <r>
          <rPr>
            <b/>
            <sz val="9"/>
            <color indexed="81"/>
            <rFont val="Tahoma"/>
            <family val="2"/>
          </rPr>
          <t>danivelve:</t>
        </r>
        <r>
          <rPr>
            <sz val="9"/>
            <color indexed="81"/>
            <rFont val="Tahoma"/>
            <family val="2"/>
          </rPr>
          <t xml:space="preserve">
ron 95 product
</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1E40B7B-0F2A-4C3A-B6DF-C90A3F01C057}">
      <text>
        <r>
          <rPr>
            <b/>
            <sz val="9"/>
            <color indexed="81"/>
            <rFont val="Tahoma"/>
            <family val="2"/>
          </rPr>
          <t>danivelve:</t>
        </r>
        <r>
          <rPr>
            <sz val="9"/>
            <color indexed="81"/>
            <rFont val="Tahoma"/>
            <family val="2"/>
          </rPr>
          <t xml:space="preserve">
ron 95 product
</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00548182-5F7F-4D81-A6A7-D56CE561DDA5}">
      <text>
        <r>
          <rPr>
            <b/>
            <sz val="9"/>
            <color indexed="81"/>
            <rFont val="Tahoma"/>
            <family val="2"/>
          </rPr>
          <t>danivelve:</t>
        </r>
        <r>
          <rPr>
            <sz val="9"/>
            <color indexed="81"/>
            <rFont val="Tahoma"/>
            <family val="2"/>
          </rPr>
          <t xml:space="preserve">
ron 95 product
</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B8B90A8-5FB1-40DD-917A-91080AE7A592}">
      <text>
        <r>
          <rPr>
            <b/>
            <sz val="9"/>
            <color indexed="81"/>
            <rFont val="Tahoma"/>
            <family val="2"/>
          </rPr>
          <t>danivelve:</t>
        </r>
        <r>
          <rPr>
            <sz val="9"/>
            <color indexed="81"/>
            <rFont val="Tahoma"/>
            <family val="2"/>
          </rPr>
          <t xml:space="preserve">
ron 95 product
</t>
        </r>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282DFDB-C369-47C2-AC75-B9D13E83DD76}">
      <text>
        <r>
          <rPr>
            <b/>
            <sz val="9"/>
            <color indexed="81"/>
            <rFont val="Tahoma"/>
            <family val="2"/>
          </rPr>
          <t>danivelve:</t>
        </r>
        <r>
          <rPr>
            <sz val="9"/>
            <color indexed="81"/>
            <rFont val="Tahoma"/>
            <family val="2"/>
          </rPr>
          <t xml:space="preserve">
ron 95 product
</t>
        </r>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80A7E7F8-24AE-4E1A-BC2A-0A8D1B122041}">
      <text>
        <r>
          <rPr>
            <b/>
            <sz val="9"/>
            <color indexed="81"/>
            <rFont val="Tahoma"/>
            <family val="2"/>
          </rPr>
          <t>danivelve:</t>
        </r>
        <r>
          <rPr>
            <sz val="9"/>
            <color indexed="81"/>
            <rFont val="Tahoma"/>
            <family val="2"/>
          </rPr>
          <t xml:space="preserve">
ron 95 product
</t>
        </r>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BB5BD49-CF4A-4772-971E-DBBCFCBA0D3A}">
      <text>
        <r>
          <rPr>
            <b/>
            <sz val="9"/>
            <color indexed="81"/>
            <rFont val="Tahoma"/>
            <family val="2"/>
          </rPr>
          <t>danivelve:</t>
        </r>
        <r>
          <rPr>
            <sz val="9"/>
            <color indexed="81"/>
            <rFont val="Tahoma"/>
            <family val="2"/>
          </rPr>
          <t xml:space="preserve">
ron 95 product
</t>
        </r>
      </text>
    </comment>
  </commentList>
</comments>
</file>

<file path=xl/comments7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96B86B7-B6B8-4567-AA8E-62F15543DA9C}">
      <text>
        <r>
          <rPr>
            <b/>
            <sz val="9"/>
            <color indexed="81"/>
            <rFont val="Tahoma"/>
            <family val="2"/>
          </rPr>
          <t>danivelve:</t>
        </r>
        <r>
          <rPr>
            <sz val="9"/>
            <color indexed="81"/>
            <rFont val="Tahoma"/>
            <family val="2"/>
          </rPr>
          <t xml:space="preserve">
ron 95 product
</t>
        </r>
      </text>
    </comment>
  </commentList>
</comments>
</file>

<file path=xl/comments7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868B838-F908-404A-B264-AD8749E3E40D}">
      <text>
        <r>
          <rPr>
            <b/>
            <sz val="9"/>
            <color indexed="81"/>
            <rFont val="Tahoma"/>
            <family val="2"/>
          </rPr>
          <t>danivelve:</t>
        </r>
        <r>
          <rPr>
            <sz val="9"/>
            <color indexed="81"/>
            <rFont val="Tahoma"/>
            <family val="2"/>
          </rPr>
          <t xml:space="preserve">
ron 95 product
</t>
        </r>
      </text>
    </comment>
  </commentList>
</comments>
</file>

<file path=xl/comments7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563F3A1-8C54-435E-ADFF-7C233DE40195}">
      <text>
        <r>
          <rPr>
            <b/>
            <sz val="9"/>
            <color indexed="81"/>
            <rFont val="Tahoma"/>
            <family val="2"/>
          </rPr>
          <t>danivelve:</t>
        </r>
        <r>
          <rPr>
            <sz val="9"/>
            <color indexed="81"/>
            <rFont val="Tahoma"/>
            <family val="2"/>
          </rPr>
          <t xml:space="preserve">
ron 95 product
</t>
        </r>
      </text>
    </comment>
  </commentList>
</comments>
</file>

<file path=xl/comments8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F061743C-3F6C-4078-A485-85CE09F0AE31}">
      <text>
        <r>
          <rPr>
            <b/>
            <sz val="9"/>
            <color indexed="81"/>
            <rFont val="Tahoma"/>
            <family val="2"/>
          </rPr>
          <t>danivelve:</t>
        </r>
        <r>
          <rPr>
            <sz val="9"/>
            <color indexed="81"/>
            <rFont val="Tahoma"/>
            <family val="2"/>
          </rPr>
          <t xml:space="preserve">
ron 95 product
</t>
        </r>
      </text>
    </comment>
  </commentList>
</comments>
</file>

<file path=xl/comments8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215C762-E886-4067-A0A6-133892117D5B}">
      <text>
        <r>
          <rPr>
            <b/>
            <sz val="9"/>
            <color indexed="81"/>
            <rFont val="Tahoma"/>
            <family val="2"/>
          </rPr>
          <t>danivelve:</t>
        </r>
        <r>
          <rPr>
            <sz val="9"/>
            <color indexed="81"/>
            <rFont val="Tahoma"/>
            <family val="2"/>
          </rPr>
          <t xml:space="preserve">
ron 95 product
</t>
        </r>
      </text>
    </comment>
  </commentList>
</comments>
</file>

<file path=xl/comments8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8D4CAC64-4B00-49DD-AA6C-5AA42E595F55}">
      <text>
        <r>
          <rPr>
            <b/>
            <sz val="9"/>
            <color indexed="81"/>
            <rFont val="Tahoma"/>
            <family val="2"/>
          </rPr>
          <t>danivelve:</t>
        </r>
        <r>
          <rPr>
            <sz val="9"/>
            <color indexed="81"/>
            <rFont val="Tahoma"/>
            <family val="2"/>
          </rPr>
          <t xml:space="preserve">
ron 95 product
</t>
        </r>
      </text>
    </comment>
  </commentList>
</comments>
</file>

<file path=xl/comments8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F26D36A-2DCB-4EF7-8FA7-A4EF1DE299C9}">
      <text>
        <r>
          <rPr>
            <b/>
            <sz val="9"/>
            <color indexed="81"/>
            <rFont val="Tahoma"/>
            <family val="2"/>
          </rPr>
          <t>danivelve:</t>
        </r>
        <r>
          <rPr>
            <sz val="9"/>
            <color indexed="81"/>
            <rFont val="Tahoma"/>
            <family val="2"/>
          </rPr>
          <t xml:space="preserve">
ron 95 product
</t>
        </r>
      </text>
    </comment>
  </commentList>
</comments>
</file>

<file path=xl/comments8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BEC9E68-69F5-44AE-859D-FD0C6189638E}">
      <text>
        <r>
          <rPr>
            <b/>
            <sz val="9"/>
            <color indexed="81"/>
            <rFont val="Tahoma"/>
            <family val="2"/>
          </rPr>
          <t>danivelve:</t>
        </r>
        <r>
          <rPr>
            <sz val="9"/>
            <color indexed="81"/>
            <rFont val="Tahoma"/>
            <family val="2"/>
          </rPr>
          <t xml:space="preserve">
ron 95 product
</t>
        </r>
      </text>
    </comment>
  </commentList>
</comments>
</file>

<file path=xl/comments8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03D3FDA2-0F00-42D5-94EF-271D19452ABB}">
      <text>
        <r>
          <rPr>
            <b/>
            <sz val="9"/>
            <color indexed="81"/>
            <rFont val="Tahoma"/>
            <family val="2"/>
          </rPr>
          <t>danivelve:</t>
        </r>
        <r>
          <rPr>
            <sz val="9"/>
            <color indexed="81"/>
            <rFont val="Tahoma"/>
            <family val="2"/>
          </rPr>
          <t xml:space="preserve">
ron 95 product
</t>
        </r>
      </text>
    </comment>
  </commentList>
</comments>
</file>

<file path=xl/comments8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FE3CC58-83D4-4140-A72C-A4580EEB1C94}">
      <text>
        <r>
          <rPr>
            <b/>
            <sz val="9"/>
            <color indexed="81"/>
            <rFont val="Tahoma"/>
            <family val="2"/>
          </rPr>
          <t>danivelve:</t>
        </r>
        <r>
          <rPr>
            <sz val="9"/>
            <color indexed="81"/>
            <rFont val="Tahoma"/>
            <family val="2"/>
          </rPr>
          <t xml:space="preserve">
ron 95 product
</t>
        </r>
      </text>
    </comment>
  </commentList>
</comments>
</file>

<file path=xl/comments8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B11CF8D-54EF-4E16-BC2B-1465280D6C5F}">
      <text>
        <r>
          <rPr>
            <b/>
            <sz val="9"/>
            <color indexed="81"/>
            <rFont val="Tahoma"/>
            <family val="2"/>
          </rPr>
          <t>danivelve:</t>
        </r>
        <r>
          <rPr>
            <sz val="9"/>
            <color indexed="81"/>
            <rFont val="Tahoma"/>
            <family val="2"/>
          </rPr>
          <t xml:space="preserve">
ron 95 product
</t>
        </r>
      </text>
    </comment>
  </commentList>
</comments>
</file>

<file path=xl/comments8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6D117DE-8F38-4542-950E-4D58A958F391}">
      <text>
        <r>
          <rPr>
            <b/>
            <sz val="9"/>
            <color indexed="81"/>
            <rFont val="Tahoma"/>
            <family val="2"/>
          </rPr>
          <t>danivelve:</t>
        </r>
        <r>
          <rPr>
            <sz val="9"/>
            <color indexed="81"/>
            <rFont val="Tahoma"/>
            <family val="2"/>
          </rPr>
          <t xml:space="preserve">
ron 95 product
</t>
        </r>
      </text>
    </comment>
  </commentList>
</comments>
</file>

<file path=xl/comments8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D7DBFB1-06F6-4A14-8BD4-59349AFAB55F}">
      <text>
        <r>
          <rPr>
            <b/>
            <sz val="9"/>
            <color indexed="81"/>
            <rFont val="Tahoma"/>
            <family val="2"/>
          </rPr>
          <t>danivelve:</t>
        </r>
        <r>
          <rPr>
            <sz val="9"/>
            <color indexed="81"/>
            <rFont val="Tahoma"/>
            <family val="2"/>
          </rPr>
          <t xml:space="preserve">
ron 95 product
</t>
        </r>
      </text>
    </comment>
  </commentList>
</comments>
</file>

<file path=xl/comments9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34BCD9B-0402-4A3A-985F-2AD9352E2650}">
      <text>
        <r>
          <rPr>
            <b/>
            <sz val="9"/>
            <color indexed="81"/>
            <rFont val="Tahoma"/>
            <family val="2"/>
          </rPr>
          <t>danivelve:</t>
        </r>
        <r>
          <rPr>
            <sz val="9"/>
            <color indexed="81"/>
            <rFont val="Tahoma"/>
            <family val="2"/>
          </rPr>
          <t xml:space="preserve">
ron 95 product
</t>
        </r>
      </text>
    </comment>
  </commentList>
</comments>
</file>

<file path=xl/comments9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3D0B4EF-83B5-4F15-BBDA-50C06F7511AA}">
      <text>
        <r>
          <rPr>
            <b/>
            <sz val="9"/>
            <color indexed="81"/>
            <rFont val="Tahoma"/>
            <family val="2"/>
          </rPr>
          <t>danivelve:</t>
        </r>
        <r>
          <rPr>
            <sz val="9"/>
            <color indexed="81"/>
            <rFont val="Tahoma"/>
            <family val="2"/>
          </rPr>
          <t xml:space="preserve">
ron 95 product
</t>
        </r>
      </text>
    </comment>
  </commentList>
</comments>
</file>

<file path=xl/comments9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544A98B-D4BA-416F-8027-6DDDF246C213}">
      <text>
        <r>
          <rPr>
            <b/>
            <sz val="9"/>
            <color indexed="81"/>
            <rFont val="Tahoma"/>
            <family val="2"/>
          </rPr>
          <t>danivelve:</t>
        </r>
        <r>
          <rPr>
            <sz val="9"/>
            <color indexed="81"/>
            <rFont val="Tahoma"/>
            <family val="2"/>
          </rPr>
          <t xml:space="preserve">
ron 95 product
</t>
        </r>
      </text>
    </comment>
  </commentList>
</comments>
</file>

<file path=xl/comments9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12BA12D-D98D-474D-9726-D4FEFE5ABC19}">
      <text>
        <r>
          <rPr>
            <b/>
            <sz val="9"/>
            <color indexed="81"/>
            <rFont val="Tahoma"/>
            <family val="2"/>
          </rPr>
          <t>danivelve:</t>
        </r>
        <r>
          <rPr>
            <sz val="9"/>
            <color indexed="81"/>
            <rFont val="Tahoma"/>
            <family val="2"/>
          </rPr>
          <t xml:space="preserve">
ron 95 product
</t>
        </r>
      </text>
    </comment>
  </commentList>
</comments>
</file>

<file path=xl/comments9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89E2060-1025-4CC9-BEB2-3913C88AFBC5}">
      <text>
        <r>
          <rPr>
            <b/>
            <sz val="9"/>
            <color indexed="81"/>
            <rFont val="Tahoma"/>
            <family val="2"/>
          </rPr>
          <t>danivelve:</t>
        </r>
        <r>
          <rPr>
            <sz val="9"/>
            <color indexed="81"/>
            <rFont val="Tahoma"/>
            <family val="2"/>
          </rPr>
          <t xml:space="preserve">
ron 95 product
</t>
        </r>
      </text>
    </comment>
  </commentList>
</comments>
</file>

<file path=xl/comments9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E922D27E-744B-482A-B4FE-3E2722E7A461}">
      <text>
        <r>
          <rPr>
            <b/>
            <sz val="9"/>
            <color indexed="81"/>
            <rFont val="Tahoma"/>
            <family val="2"/>
          </rPr>
          <t>danivelve:</t>
        </r>
        <r>
          <rPr>
            <sz val="9"/>
            <color indexed="81"/>
            <rFont val="Tahoma"/>
            <family val="2"/>
          </rPr>
          <t xml:space="preserve">
ron 95 product
</t>
        </r>
      </text>
    </comment>
  </commentList>
</comments>
</file>

<file path=xl/comments9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372DDC7-D7D0-42B9-AA36-EB5E8EE62CDE}">
      <text>
        <r>
          <rPr>
            <b/>
            <sz val="9"/>
            <color indexed="81"/>
            <rFont val="Tahoma"/>
            <family val="2"/>
          </rPr>
          <t>danivelve:</t>
        </r>
        <r>
          <rPr>
            <sz val="9"/>
            <color indexed="81"/>
            <rFont val="Tahoma"/>
            <family val="2"/>
          </rPr>
          <t xml:space="preserve">
ron 95 product
</t>
        </r>
      </text>
    </comment>
  </commentList>
</comments>
</file>

<file path=xl/comments9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E5BB1DC7-C340-47AF-82D9-D5C66E52AA60}">
      <text>
        <r>
          <rPr>
            <b/>
            <sz val="9"/>
            <color indexed="81"/>
            <rFont val="Tahoma"/>
            <family val="2"/>
          </rPr>
          <t>danivelve:</t>
        </r>
        <r>
          <rPr>
            <sz val="9"/>
            <color indexed="81"/>
            <rFont val="Tahoma"/>
            <family val="2"/>
          </rPr>
          <t xml:space="preserve">
ron 95 product
</t>
        </r>
      </text>
    </comment>
  </commentList>
</comments>
</file>

<file path=xl/comments9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5E569AD-2B65-402A-BE9D-4E3103DA4094}">
      <text>
        <r>
          <rPr>
            <b/>
            <sz val="9"/>
            <color indexed="81"/>
            <rFont val="Tahoma"/>
            <family val="2"/>
          </rPr>
          <t>danivelve:</t>
        </r>
        <r>
          <rPr>
            <sz val="9"/>
            <color indexed="81"/>
            <rFont val="Tahoma"/>
            <family val="2"/>
          </rPr>
          <t xml:space="preserve">
ron 95 product
</t>
        </r>
      </text>
    </comment>
  </commentList>
</comments>
</file>

<file path=xl/comments9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8D1E8A61-1E35-41B3-A529-74FA2AB01775}">
      <text>
        <r>
          <rPr>
            <b/>
            <sz val="9"/>
            <color indexed="81"/>
            <rFont val="Tahoma"/>
            <family val="2"/>
          </rPr>
          <t>danivelve:</t>
        </r>
        <r>
          <rPr>
            <sz val="9"/>
            <color indexed="81"/>
            <rFont val="Tahoma"/>
            <family val="2"/>
          </rPr>
          <t xml:space="preserve">
ron 95 product</t>
        </r>
      </text>
    </comment>
  </commentList>
</comments>
</file>

<file path=xl/comments10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76854C0-EE45-44F8-8DF5-759E89776334}">
      <text>
        <r>
          <rPr>
            <b/>
            <sz val="9"/>
            <color indexed="81"/>
            <rFont val="Tahoma"/>
            <family val="2"/>
          </rPr>
          <t>danivelve:</t>
        </r>
        <r>
          <rPr>
            <sz val="9"/>
            <color indexed="81"/>
            <rFont val="Tahoma"/>
            <family val="2"/>
          </rPr>
          <t xml:space="preserve">
ron 95 product</t>
        </r>
      </text>
    </comment>
  </commentList>
</comments>
</file>

<file path=xl/comments10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26981E2-426C-4A76-B64C-C92DFF984113}">
      <text>
        <r>
          <rPr>
            <b/>
            <sz val="9"/>
            <color indexed="81"/>
            <rFont val="Tahoma"/>
            <family val="2"/>
          </rPr>
          <t>danivelve:</t>
        </r>
        <r>
          <rPr>
            <sz val="9"/>
            <color indexed="81"/>
            <rFont val="Tahoma"/>
            <family val="2"/>
          </rPr>
          <t xml:space="preserve">
Ron 95 product.</t>
        </r>
      </text>
    </comment>
  </commentList>
</comments>
</file>

<file path=xl/comments10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7330E60-2695-4892-A945-C66A7E453B64}">
      <text>
        <r>
          <rPr>
            <b/>
            <sz val="9"/>
            <color indexed="81"/>
            <rFont val="Tahoma"/>
            <family val="2"/>
          </rPr>
          <t>danivelve:</t>
        </r>
        <r>
          <rPr>
            <sz val="9"/>
            <color indexed="81"/>
            <rFont val="Tahoma"/>
            <family val="2"/>
          </rPr>
          <t xml:space="preserve">
Ron 95 product.</t>
        </r>
      </text>
    </comment>
  </commentList>
</comments>
</file>

<file path=xl/comments10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8A8C49E2-A271-40B9-9445-984D6D98345D}">
      <text>
        <r>
          <rPr>
            <b/>
            <sz val="9"/>
            <color indexed="81"/>
            <rFont val="Tahoma"/>
            <family val="2"/>
          </rPr>
          <t>danivelve:</t>
        </r>
        <r>
          <rPr>
            <sz val="9"/>
            <color indexed="81"/>
            <rFont val="Tahoma"/>
            <family val="2"/>
          </rPr>
          <t xml:space="preserve">
Ron 95 product.</t>
        </r>
      </text>
    </comment>
  </commentList>
</comments>
</file>

<file path=xl/comments10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6ED57E8-0DA6-409A-9438-4E101C35B277}">
      <text>
        <r>
          <rPr>
            <b/>
            <sz val="9"/>
            <color indexed="81"/>
            <rFont val="Tahoma"/>
            <family val="2"/>
          </rPr>
          <t>danivelve:</t>
        </r>
        <r>
          <rPr>
            <sz val="9"/>
            <color indexed="81"/>
            <rFont val="Tahoma"/>
            <family val="2"/>
          </rPr>
          <t xml:space="preserve">
Ron 95 product.</t>
        </r>
      </text>
    </comment>
  </commentList>
</comments>
</file>

<file path=xl/comments10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65D3032-B466-4346-8AB7-72EB2665DDE8}">
      <text>
        <r>
          <rPr>
            <b/>
            <sz val="9"/>
            <color indexed="81"/>
            <rFont val="Tahoma"/>
            <family val="2"/>
          </rPr>
          <t>danivelve:</t>
        </r>
        <r>
          <rPr>
            <sz val="9"/>
            <color indexed="81"/>
            <rFont val="Tahoma"/>
            <family val="2"/>
          </rPr>
          <t xml:space="preserve">
Ron 95 product.</t>
        </r>
      </text>
    </comment>
  </commentList>
</comments>
</file>

<file path=xl/comments10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6520CD7-FF55-44E8-B5C9-330B5429612B}">
      <text>
        <r>
          <rPr>
            <b/>
            <sz val="9"/>
            <color indexed="81"/>
            <rFont val="Tahoma"/>
            <family val="2"/>
          </rPr>
          <t>danivelve:</t>
        </r>
        <r>
          <rPr>
            <sz val="9"/>
            <color indexed="81"/>
            <rFont val="Tahoma"/>
            <family val="2"/>
          </rPr>
          <t xml:space="preserve">
Ron 95 product.</t>
        </r>
      </text>
    </comment>
  </commentList>
</comments>
</file>

<file path=xl/comments10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57F272CC-46CA-4D87-9C1D-C8AC658C5BBC}">
      <text>
        <r>
          <rPr>
            <b/>
            <sz val="9"/>
            <color indexed="81"/>
            <rFont val="Tahoma"/>
            <family val="2"/>
          </rPr>
          <t>danivelve:</t>
        </r>
        <r>
          <rPr>
            <sz val="9"/>
            <color indexed="81"/>
            <rFont val="Tahoma"/>
            <family val="2"/>
          </rPr>
          <t xml:space="preserve">
Ron 95 product.</t>
        </r>
      </text>
    </comment>
  </commentList>
</comments>
</file>

<file path=xl/comments10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DFBA128-11CE-4BFF-B320-0E8F68F6299D}">
      <text>
        <r>
          <rPr>
            <b/>
            <sz val="9"/>
            <color indexed="81"/>
            <rFont val="Tahoma"/>
            <family val="2"/>
          </rPr>
          <t>danivelve:</t>
        </r>
        <r>
          <rPr>
            <sz val="9"/>
            <color indexed="81"/>
            <rFont val="Tahoma"/>
            <family val="2"/>
          </rPr>
          <t xml:space="preserve">
Ron 95 product.</t>
        </r>
      </text>
    </comment>
  </commentList>
</comments>
</file>

<file path=xl/comments10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9974922-AF65-4A4B-B83A-24FC05E649DA}">
      <text>
        <r>
          <rPr>
            <b/>
            <sz val="9"/>
            <color indexed="81"/>
            <rFont val="Tahoma"/>
            <family val="2"/>
          </rPr>
          <t>danivelve:</t>
        </r>
        <r>
          <rPr>
            <sz val="9"/>
            <color indexed="81"/>
            <rFont val="Tahoma"/>
            <family val="2"/>
          </rPr>
          <t xml:space="preserve">
Ron 95 product.</t>
        </r>
      </text>
    </comment>
  </commentList>
</comments>
</file>

<file path=xl/comments11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ED5C04D-5659-41A2-BD62-AD44E35B83AF}">
      <text>
        <r>
          <rPr>
            <b/>
            <sz val="9"/>
            <color indexed="81"/>
            <rFont val="Tahoma"/>
            <family val="2"/>
          </rPr>
          <t>danivelve:</t>
        </r>
        <r>
          <rPr>
            <sz val="9"/>
            <color indexed="81"/>
            <rFont val="Tahoma"/>
            <family val="2"/>
          </rPr>
          <t xml:space="preserve">
Ron 95 product.</t>
        </r>
      </text>
    </comment>
  </commentList>
</comments>
</file>

<file path=xl/comments11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087F76EC-AC89-4951-9B1F-A7586027D4F4}">
      <text>
        <r>
          <rPr>
            <b/>
            <sz val="9"/>
            <color indexed="81"/>
            <rFont val="Tahoma"/>
            <family val="2"/>
          </rPr>
          <t>danivelve:</t>
        </r>
        <r>
          <rPr>
            <sz val="9"/>
            <color indexed="81"/>
            <rFont val="Tahoma"/>
            <family val="2"/>
          </rPr>
          <t xml:space="preserve">
Ron 95 product.</t>
        </r>
      </text>
    </comment>
  </commentList>
</comments>
</file>

<file path=xl/comments11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F8D05D3E-CEB4-46C5-8CC9-E71BE52CAF21}">
      <text>
        <r>
          <rPr>
            <b/>
            <sz val="9"/>
            <color indexed="81"/>
            <rFont val="Tahoma"/>
            <family val="2"/>
          </rPr>
          <t>danivelve:</t>
        </r>
        <r>
          <rPr>
            <sz val="9"/>
            <color indexed="81"/>
            <rFont val="Tahoma"/>
            <family val="2"/>
          </rPr>
          <t xml:space="preserve">
Ron 95 product.</t>
        </r>
      </text>
    </comment>
  </commentList>
</comments>
</file>

<file path=xl/comments11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F8ACD25D-BB50-44E6-ADBF-6C2386BB6E10}">
      <text>
        <r>
          <rPr>
            <b/>
            <sz val="9"/>
            <color indexed="81"/>
            <rFont val="Tahoma"/>
            <family val="2"/>
          </rPr>
          <t>danivelve:</t>
        </r>
        <r>
          <rPr>
            <sz val="9"/>
            <color indexed="81"/>
            <rFont val="Tahoma"/>
            <family val="2"/>
          </rPr>
          <t xml:space="preserve">
Ron 95 product.</t>
        </r>
      </text>
    </comment>
  </commentList>
</comments>
</file>

<file path=xl/comments11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A4A1969-38E4-4050-8EE1-AD3E73FFDBBC}">
      <text>
        <r>
          <rPr>
            <b/>
            <sz val="9"/>
            <color indexed="81"/>
            <rFont val="Tahoma"/>
            <family val="2"/>
          </rPr>
          <t>danivelve:</t>
        </r>
        <r>
          <rPr>
            <sz val="9"/>
            <color indexed="81"/>
            <rFont val="Tahoma"/>
            <family val="2"/>
          </rPr>
          <t xml:space="preserve">
Ron 95 product.</t>
        </r>
      </text>
    </comment>
  </commentList>
</comments>
</file>

<file path=xl/comments11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E57B558D-800D-4945-8164-52B049EF1395}">
      <text>
        <r>
          <rPr>
            <b/>
            <sz val="9"/>
            <color indexed="81"/>
            <rFont val="Tahoma"/>
            <family val="2"/>
          </rPr>
          <t>danivelve:</t>
        </r>
        <r>
          <rPr>
            <sz val="9"/>
            <color indexed="81"/>
            <rFont val="Tahoma"/>
            <family val="2"/>
          </rPr>
          <t xml:space="preserve">
Ron 95 product.</t>
        </r>
      </text>
    </comment>
  </commentList>
</comments>
</file>

<file path=xl/comments11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8BE025B4-BB79-47AC-94C7-66BD6CAF0FF4}">
      <text>
        <r>
          <rPr>
            <b/>
            <sz val="9"/>
            <color indexed="81"/>
            <rFont val="Tahoma"/>
            <family val="2"/>
          </rPr>
          <t>danivelve:</t>
        </r>
        <r>
          <rPr>
            <sz val="9"/>
            <color indexed="81"/>
            <rFont val="Tahoma"/>
            <family val="2"/>
          </rPr>
          <t xml:space="preserve">
Ron 95 product.</t>
        </r>
      </text>
    </comment>
  </commentList>
</comments>
</file>

<file path=xl/comments11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F5C2D2F2-BFD8-4A3D-8FCF-C3BA13DEACBD}">
      <text>
        <r>
          <rPr>
            <b/>
            <sz val="9"/>
            <color indexed="81"/>
            <rFont val="Tahoma"/>
            <family val="2"/>
          </rPr>
          <t>danivelve:</t>
        </r>
        <r>
          <rPr>
            <sz val="9"/>
            <color indexed="81"/>
            <rFont val="Tahoma"/>
            <family val="2"/>
          </rPr>
          <t xml:space="preserve">
Ron 95 product.</t>
        </r>
      </text>
    </comment>
  </commentList>
</comments>
</file>

<file path=xl/comments11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40C5F6AC-A503-4D61-ADC0-60DB4EF8989A}">
      <text>
        <r>
          <rPr>
            <b/>
            <sz val="9"/>
            <color indexed="81"/>
            <rFont val="Tahoma"/>
            <family val="2"/>
          </rPr>
          <t>danivelve:</t>
        </r>
        <r>
          <rPr>
            <sz val="9"/>
            <color indexed="81"/>
            <rFont val="Tahoma"/>
            <family val="2"/>
          </rPr>
          <t xml:space="preserve">
Ron 95 product.</t>
        </r>
      </text>
    </comment>
  </commentList>
</comments>
</file>

<file path=xl/comments11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8C94FFB-E47F-4904-9610-B51E1BD3289E}">
      <text>
        <r>
          <rPr>
            <b/>
            <sz val="9"/>
            <color indexed="81"/>
            <rFont val="Tahoma"/>
            <family val="2"/>
          </rPr>
          <t>danivelve:</t>
        </r>
        <r>
          <rPr>
            <sz val="9"/>
            <color indexed="81"/>
            <rFont val="Tahoma"/>
            <family val="2"/>
          </rPr>
          <t xml:space="preserve">
Ron 95 product.</t>
        </r>
      </text>
    </comment>
  </commentList>
</comments>
</file>

<file path=xl/comments12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E92A2D71-FF09-4303-9246-481C2818A547}">
      <text>
        <r>
          <rPr>
            <b/>
            <sz val="9"/>
            <color indexed="81"/>
            <rFont val="Tahoma"/>
            <family val="2"/>
          </rPr>
          <t>danivelve:</t>
        </r>
        <r>
          <rPr>
            <sz val="9"/>
            <color indexed="81"/>
            <rFont val="Tahoma"/>
            <family val="2"/>
          </rPr>
          <t xml:space="preserve">
Ron 95 product.</t>
        </r>
      </text>
    </comment>
  </commentList>
</comments>
</file>

<file path=xl/comments12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8DFCBA4-2014-4CD2-A535-A5D531EDE10E}">
      <text>
        <r>
          <rPr>
            <b/>
            <sz val="9"/>
            <color indexed="81"/>
            <rFont val="Tahoma"/>
            <family val="2"/>
          </rPr>
          <t>danivelve:</t>
        </r>
        <r>
          <rPr>
            <sz val="9"/>
            <color indexed="81"/>
            <rFont val="Tahoma"/>
            <family val="2"/>
          </rPr>
          <t xml:space="preserve">
Ron 95 product.</t>
        </r>
      </text>
    </comment>
  </commentList>
</comments>
</file>

<file path=xl/comments12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EA60027D-8C51-4076-9567-A6F13B76BA91}">
      <text>
        <r>
          <rPr>
            <b/>
            <sz val="9"/>
            <color indexed="81"/>
            <rFont val="Tahoma"/>
            <family val="2"/>
          </rPr>
          <t>danivelve:</t>
        </r>
        <r>
          <rPr>
            <sz val="9"/>
            <color indexed="81"/>
            <rFont val="Tahoma"/>
            <family val="2"/>
          </rPr>
          <t xml:space="preserve">
Ron 95 product.</t>
        </r>
      </text>
    </comment>
  </commentList>
</comments>
</file>

<file path=xl/comments12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44C9300-CA8A-4E07-84E0-C2321E9E4F66}">
      <text>
        <r>
          <rPr>
            <b/>
            <sz val="9"/>
            <color indexed="81"/>
            <rFont val="Tahoma"/>
            <family val="2"/>
          </rPr>
          <t>danivelve:</t>
        </r>
        <r>
          <rPr>
            <sz val="9"/>
            <color indexed="81"/>
            <rFont val="Tahoma"/>
            <family val="2"/>
          </rPr>
          <t xml:space="preserve">
Ron 95 product.</t>
        </r>
      </text>
    </comment>
  </commentList>
</comments>
</file>

<file path=xl/comments12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0F39FE1-7F52-40F9-BA24-121AB3BAFBCF}">
      <text>
        <r>
          <rPr>
            <b/>
            <sz val="9"/>
            <color indexed="81"/>
            <rFont val="Tahoma"/>
            <family val="2"/>
          </rPr>
          <t>danivelve:</t>
        </r>
        <r>
          <rPr>
            <sz val="9"/>
            <color indexed="81"/>
            <rFont val="Tahoma"/>
            <family val="2"/>
          </rPr>
          <t xml:space="preserve">
Ron 95 product.</t>
        </r>
      </text>
    </comment>
  </commentList>
</comments>
</file>

<file path=xl/comments12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10AE8D4-A4A0-4BBC-B0AD-BE22946823B5}">
      <text>
        <r>
          <rPr>
            <b/>
            <sz val="9"/>
            <color indexed="81"/>
            <rFont val="Tahoma"/>
            <family val="2"/>
          </rPr>
          <t>danivelve:</t>
        </r>
        <r>
          <rPr>
            <sz val="9"/>
            <color indexed="81"/>
            <rFont val="Tahoma"/>
            <family val="2"/>
          </rPr>
          <t xml:space="preserve">
Ron 95 product.</t>
        </r>
      </text>
    </comment>
  </commentList>
</comments>
</file>

<file path=xl/comments12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E465C14-F35C-4F7D-8030-932EC365A548}">
      <text>
        <r>
          <rPr>
            <b/>
            <sz val="9"/>
            <color indexed="81"/>
            <rFont val="Tahoma"/>
            <family val="2"/>
          </rPr>
          <t>danivelve:</t>
        </r>
        <r>
          <rPr>
            <sz val="9"/>
            <color indexed="81"/>
            <rFont val="Tahoma"/>
            <family val="2"/>
          </rPr>
          <t xml:space="preserve">
ron 95 product</t>
        </r>
      </text>
    </comment>
  </commentList>
</comments>
</file>

<file path=xl/comments12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4A1034E-30FE-495F-BC23-64DF526E5A1C}">
      <text>
        <r>
          <rPr>
            <b/>
            <sz val="9"/>
            <color indexed="81"/>
            <rFont val="Tahoma"/>
            <family val="2"/>
          </rPr>
          <t>danivelve:</t>
        </r>
        <r>
          <rPr>
            <sz val="9"/>
            <color indexed="81"/>
            <rFont val="Tahoma"/>
            <family val="2"/>
          </rPr>
          <t xml:space="preserve">
ron 95 product</t>
        </r>
      </text>
    </comment>
  </commentList>
</comments>
</file>

<file path=xl/comments12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0D0BC9A-5A2C-4073-A1FD-F433E2857148}">
      <text>
        <r>
          <rPr>
            <b/>
            <sz val="9"/>
            <color indexed="81"/>
            <rFont val="Tahoma"/>
            <family val="2"/>
          </rPr>
          <t>danivelve:</t>
        </r>
        <r>
          <rPr>
            <sz val="9"/>
            <color indexed="81"/>
            <rFont val="Tahoma"/>
            <family val="2"/>
          </rPr>
          <t xml:space="preserve">
ron 95 product</t>
        </r>
      </text>
    </comment>
  </commentList>
</comments>
</file>

<file path=xl/comments12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207E1BF-5C8D-4626-A2ED-3FB9F16EBDA0}">
      <text>
        <r>
          <rPr>
            <b/>
            <sz val="9"/>
            <color indexed="81"/>
            <rFont val="Tahoma"/>
            <family val="2"/>
          </rPr>
          <t>danivelve:</t>
        </r>
        <r>
          <rPr>
            <sz val="9"/>
            <color indexed="81"/>
            <rFont val="Tahoma"/>
            <family val="2"/>
          </rPr>
          <t xml:space="preserve">
Ron 91 </t>
        </r>
      </text>
    </comment>
  </commentList>
</comments>
</file>

<file path=xl/comments13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D9515B5-E58D-474D-B949-717F0B4E781C}">
      <text>
        <r>
          <rPr>
            <b/>
            <sz val="9"/>
            <color indexed="81"/>
            <rFont val="Tahoma"/>
            <family val="2"/>
          </rPr>
          <t>danivelve:</t>
        </r>
        <r>
          <rPr>
            <sz val="9"/>
            <color indexed="81"/>
            <rFont val="Tahoma"/>
            <family val="2"/>
          </rPr>
          <t xml:space="preserve">
Ron 95 </t>
        </r>
      </text>
    </comment>
  </commentList>
</comments>
</file>

<file path=xl/comments13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81A8437-AC4F-470E-8283-9E250958970B}">
      <text>
        <r>
          <rPr>
            <b/>
            <sz val="9"/>
            <color indexed="81"/>
            <rFont val="Tahoma"/>
            <family val="2"/>
          </rPr>
          <t>danivelve:</t>
        </r>
        <r>
          <rPr>
            <sz val="9"/>
            <color indexed="81"/>
            <rFont val="Tahoma"/>
            <family val="2"/>
          </rPr>
          <t xml:space="preserve">
Ron 95 </t>
        </r>
      </text>
    </comment>
  </commentList>
</comments>
</file>

<file path=xl/comments13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83B95D5A-3A6C-4F56-999A-9378B20727DF}">
      <text>
        <r>
          <rPr>
            <b/>
            <sz val="9"/>
            <color indexed="81"/>
            <rFont val="Tahoma"/>
            <family val="2"/>
          </rPr>
          <t>danivelve:</t>
        </r>
        <r>
          <rPr>
            <sz val="9"/>
            <color indexed="81"/>
            <rFont val="Tahoma"/>
            <family val="2"/>
          </rPr>
          <t xml:space="preserve">
Ron 95 </t>
        </r>
      </text>
    </comment>
  </commentList>
</comments>
</file>

<file path=xl/comments13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3FD5877-9445-4287-B5B0-75282B72012A}">
      <text>
        <r>
          <rPr>
            <b/>
            <sz val="9"/>
            <color indexed="81"/>
            <rFont val="Tahoma"/>
            <family val="2"/>
          </rPr>
          <t>danivelve:</t>
        </r>
        <r>
          <rPr>
            <sz val="9"/>
            <color indexed="81"/>
            <rFont val="Tahoma"/>
            <family val="2"/>
          </rPr>
          <t xml:space="preserve">
Ron 95 </t>
        </r>
      </text>
    </comment>
  </commentList>
</comments>
</file>

<file path=xl/comments13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5B3397E4-22CB-4630-95E5-16D03538574B}">
      <text>
        <r>
          <rPr>
            <b/>
            <sz val="9"/>
            <color indexed="81"/>
            <rFont val="Tahoma"/>
            <family val="2"/>
          </rPr>
          <t>danivelve:</t>
        </r>
        <r>
          <rPr>
            <sz val="9"/>
            <color indexed="81"/>
            <rFont val="Tahoma"/>
            <family val="2"/>
          </rPr>
          <t xml:space="preserve">
Ron 95 </t>
        </r>
      </text>
    </comment>
  </commentList>
</comments>
</file>

<file path=xl/comments13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01636FAE-B7F0-4735-BB5D-0B6A548F5D21}">
      <text>
        <r>
          <rPr>
            <b/>
            <sz val="9"/>
            <color indexed="81"/>
            <rFont val="Tahoma"/>
            <family val="2"/>
          </rPr>
          <t>danivelve:</t>
        </r>
        <r>
          <rPr>
            <sz val="9"/>
            <color indexed="81"/>
            <rFont val="Tahoma"/>
            <family val="2"/>
          </rPr>
          <t xml:space="preserve">
Ron 95 </t>
        </r>
      </text>
    </comment>
  </commentList>
</comments>
</file>

<file path=xl/comments13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418B092-F9AF-4F81-BC64-6A28D8ECD2F3}">
      <text>
        <r>
          <rPr>
            <b/>
            <sz val="9"/>
            <color indexed="81"/>
            <rFont val="Tahoma"/>
            <family val="2"/>
          </rPr>
          <t>danivelve:</t>
        </r>
        <r>
          <rPr>
            <sz val="9"/>
            <color indexed="81"/>
            <rFont val="Tahoma"/>
            <family val="2"/>
          </rPr>
          <t xml:space="preserve">
Ron 95 </t>
        </r>
      </text>
    </comment>
  </commentList>
</comments>
</file>

<file path=xl/comments13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1CD8326-D23D-42E3-8337-56B9F2587C49}">
      <text>
        <r>
          <rPr>
            <b/>
            <sz val="9"/>
            <color indexed="81"/>
            <rFont val="Tahoma"/>
            <family val="2"/>
          </rPr>
          <t>danivelve:</t>
        </r>
        <r>
          <rPr>
            <sz val="9"/>
            <color indexed="81"/>
            <rFont val="Tahoma"/>
            <family val="2"/>
          </rPr>
          <t xml:space="preserve">
Ron 95 </t>
        </r>
      </text>
    </comment>
  </commentList>
</comments>
</file>

<file path=xl/comments13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0D596D65-579F-4006-9DA0-87A7C6867F9D}">
      <text>
        <r>
          <rPr>
            <b/>
            <sz val="9"/>
            <color indexed="81"/>
            <rFont val="Tahoma"/>
            <family val="2"/>
          </rPr>
          <t>danivelve:</t>
        </r>
        <r>
          <rPr>
            <sz val="9"/>
            <color indexed="81"/>
            <rFont val="Tahoma"/>
            <family val="2"/>
          </rPr>
          <t xml:space="preserve">
Ron 95 </t>
        </r>
      </text>
    </comment>
  </commentList>
</comments>
</file>

<file path=xl/comments13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261FD2F-5FC6-4492-BDB2-9915093488D0}">
      <text>
        <r>
          <rPr>
            <b/>
            <sz val="9"/>
            <color indexed="81"/>
            <rFont val="Tahoma"/>
            <family val="2"/>
          </rPr>
          <t>danivelve:</t>
        </r>
        <r>
          <rPr>
            <sz val="9"/>
            <color indexed="81"/>
            <rFont val="Tahoma"/>
            <family val="2"/>
          </rPr>
          <t xml:space="preserve">
Ron 95 </t>
        </r>
      </text>
    </comment>
  </commentList>
</comments>
</file>

<file path=xl/comments14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02441CE1-0CDF-414E-AEF9-15F86F36618B}">
      <text>
        <r>
          <rPr>
            <b/>
            <sz val="9"/>
            <color indexed="81"/>
            <rFont val="Tahoma"/>
            <family val="2"/>
          </rPr>
          <t>danivelve:</t>
        </r>
        <r>
          <rPr>
            <sz val="9"/>
            <color indexed="81"/>
            <rFont val="Tahoma"/>
            <family val="2"/>
          </rPr>
          <t xml:space="preserve">
Ron 95 </t>
        </r>
      </text>
    </comment>
  </commentList>
</comments>
</file>

<file path=xl/comments14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283F369-2579-42A3-9139-3AD2419E8943}">
      <text>
        <r>
          <rPr>
            <b/>
            <sz val="9"/>
            <color indexed="81"/>
            <rFont val="Tahoma"/>
            <family val="2"/>
          </rPr>
          <t>danivelve:</t>
        </r>
        <r>
          <rPr>
            <sz val="9"/>
            <color indexed="81"/>
            <rFont val="Tahoma"/>
            <family val="2"/>
          </rPr>
          <t xml:space="preserve">
Ron 95 </t>
        </r>
      </text>
    </comment>
  </commentList>
</comments>
</file>

<file path=xl/comments14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D9D15A5-3915-4B2A-A7E0-05F7AF47F0A4}">
      <text>
        <r>
          <rPr>
            <b/>
            <sz val="9"/>
            <color indexed="81"/>
            <rFont val="Tahoma"/>
            <family val="2"/>
          </rPr>
          <t>danivelve:</t>
        </r>
        <r>
          <rPr>
            <sz val="9"/>
            <color indexed="81"/>
            <rFont val="Tahoma"/>
            <family val="2"/>
          </rPr>
          <t xml:space="preserve">
Ron 95 </t>
        </r>
      </text>
    </comment>
  </commentList>
</comments>
</file>

<file path=xl/comments14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85AA0D0-A200-41E8-9EAD-9523F04222C7}">
      <text>
        <r>
          <rPr>
            <b/>
            <sz val="9"/>
            <color indexed="81"/>
            <rFont val="Tahoma"/>
            <family val="2"/>
          </rPr>
          <t>danivelve:</t>
        </r>
        <r>
          <rPr>
            <sz val="9"/>
            <color indexed="81"/>
            <rFont val="Tahoma"/>
            <family val="2"/>
          </rPr>
          <t xml:space="preserve">
Ron 95 </t>
        </r>
      </text>
    </comment>
  </commentList>
</comments>
</file>

<file path=xl/comments14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A57649A-8984-4B3F-811B-DC0B99747414}">
      <text>
        <r>
          <rPr>
            <b/>
            <sz val="9"/>
            <color indexed="81"/>
            <rFont val="Tahoma"/>
            <family val="2"/>
          </rPr>
          <t>danivelve:</t>
        </r>
        <r>
          <rPr>
            <sz val="9"/>
            <color indexed="81"/>
            <rFont val="Tahoma"/>
            <family val="2"/>
          </rPr>
          <t xml:space="preserve">
Ron 95 </t>
        </r>
      </text>
    </comment>
  </commentList>
</comments>
</file>

<file path=xl/comments14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C655BCB-B9B7-4720-8698-F578DB93486F}">
      <text>
        <r>
          <rPr>
            <b/>
            <sz val="9"/>
            <color indexed="81"/>
            <rFont val="Tahoma"/>
            <family val="2"/>
          </rPr>
          <t>danivelve:</t>
        </r>
        <r>
          <rPr>
            <sz val="9"/>
            <color indexed="81"/>
            <rFont val="Tahoma"/>
            <family val="2"/>
          </rPr>
          <t xml:space="preserve">
Ron 95 </t>
        </r>
      </text>
    </comment>
  </commentList>
</comments>
</file>

<file path=xl/comments14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CE6A0B4-9167-444C-A387-5A1908293ED1}">
      <text>
        <r>
          <rPr>
            <b/>
            <sz val="9"/>
            <color indexed="81"/>
            <rFont val="Tahoma"/>
            <family val="2"/>
          </rPr>
          <t>danivelve:</t>
        </r>
        <r>
          <rPr>
            <sz val="9"/>
            <color indexed="81"/>
            <rFont val="Tahoma"/>
            <family val="2"/>
          </rPr>
          <t xml:space="preserve">
Ron 95 </t>
        </r>
      </text>
    </comment>
  </commentList>
</comments>
</file>

<file path=xl/comments14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6691DBC-16C7-46F8-B587-5B23DFC48BD4}">
      <text>
        <r>
          <rPr>
            <b/>
            <sz val="9"/>
            <color indexed="81"/>
            <rFont val="Tahoma"/>
            <family val="2"/>
          </rPr>
          <t>danivelve:</t>
        </r>
        <r>
          <rPr>
            <sz val="9"/>
            <color indexed="81"/>
            <rFont val="Tahoma"/>
            <family val="2"/>
          </rPr>
          <t xml:space="preserve">
Ron 95 </t>
        </r>
      </text>
    </comment>
  </commentList>
</comments>
</file>

<file path=xl/comments14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82FC97BD-125B-4B3C-937E-8955700621FF}">
      <text>
        <r>
          <rPr>
            <b/>
            <sz val="9"/>
            <color indexed="81"/>
            <rFont val="Tahoma"/>
            <family val="2"/>
          </rPr>
          <t>danivelve:</t>
        </r>
        <r>
          <rPr>
            <sz val="9"/>
            <color indexed="81"/>
            <rFont val="Tahoma"/>
            <family val="2"/>
          </rPr>
          <t xml:space="preserve">
Ron 95 </t>
        </r>
      </text>
    </comment>
  </commentList>
</comments>
</file>

<file path=xl/comments14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A88F11F-073F-4E7F-AD36-663B81644811}">
      <text>
        <r>
          <rPr>
            <b/>
            <sz val="9"/>
            <color indexed="81"/>
            <rFont val="Tahoma"/>
            <family val="2"/>
          </rPr>
          <t>danivelve:</t>
        </r>
        <r>
          <rPr>
            <sz val="9"/>
            <color indexed="81"/>
            <rFont val="Tahoma"/>
            <family val="2"/>
          </rPr>
          <t xml:space="preserve">
Ron 95 </t>
        </r>
      </text>
    </comment>
  </commentList>
</comments>
</file>

<file path=xl/comments15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0CC4E53-AD2C-41A9-BAEC-90091901DC25}">
      <text>
        <r>
          <rPr>
            <b/>
            <sz val="9"/>
            <color indexed="81"/>
            <rFont val="Tahoma"/>
            <family val="2"/>
          </rPr>
          <t>danivelve:</t>
        </r>
        <r>
          <rPr>
            <sz val="9"/>
            <color indexed="81"/>
            <rFont val="Tahoma"/>
            <family val="2"/>
          </rPr>
          <t xml:space="preserve">
Ron 95 </t>
        </r>
      </text>
    </comment>
  </commentList>
</comments>
</file>

<file path=xl/comments15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33A3055-F823-4707-A253-A79109BDFD7E}">
      <text>
        <r>
          <rPr>
            <b/>
            <sz val="9"/>
            <color indexed="81"/>
            <rFont val="Tahoma"/>
            <family val="2"/>
          </rPr>
          <t>danivelve:</t>
        </r>
        <r>
          <rPr>
            <sz val="9"/>
            <color indexed="81"/>
            <rFont val="Tahoma"/>
            <family val="2"/>
          </rPr>
          <t xml:space="preserve">
Ron 95 </t>
        </r>
      </text>
    </comment>
  </commentList>
</comments>
</file>

<file path=xl/comments15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829DFDB-F4D0-4C94-B6A3-EBEDE0174468}">
      <text>
        <r>
          <rPr>
            <b/>
            <sz val="9"/>
            <color indexed="81"/>
            <rFont val="Tahoma"/>
            <family val="2"/>
          </rPr>
          <t>danivelve:</t>
        </r>
        <r>
          <rPr>
            <sz val="9"/>
            <color indexed="81"/>
            <rFont val="Tahoma"/>
            <family val="2"/>
          </rPr>
          <t xml:space="preserve">
Ron 95 </t>
        </r>
      </text>
    </comment>
  </commentList>
</comments>
</file>

<file path=xl/comments15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239BB62-8A21-480A-BE6F-CFBA5D2C56C8}">
      <text>
        <r>
          <rPr>
            <b/>
            <sz val="9"/>
            <color indexed="81"/>
            <rFont val="Tahoma"/>
            <family val="2"/>
          </rPr>
          <t>danivelve:</t>
        </r>
        <r>
          <rPr>
            <sz val="9"/>
            <color indexed="81"/>
            <rFont val="Tahoma"/>
            <family val="2"/>
          </rPr>
          <t xml:space="preserve">
Ron 95 </t>
        </r>
      </text>
    </comment>
  </commentList>
</comments>
</file>

<file path=xl/comments15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F3715BB-7B36-4917-8192-D87F6F0D549A}">
      <text>
        <r>
          <rPr>
            <b/>
            <sz val="9"/>
            <color indexed="81"/>
            <rFont val="Tahoma"/>
            <family val="2"/>
          </rPr>
          <t>danivelve:</t>
        </r>
        <r>
          <rPr>
            <sz val="9"/>
            <color indexed="81"/>
            <rFont val="Tahoma"/>
            <family val="2"/>
          </rPr>
          <t xml:space="preserve">
Ron 95 </t>
        </r>
      </text>
    </comment>
  </commentList>
</comments>
</file>

<file path=xl/comments15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3D0E227-8654-4B82-8831-E23016D7D9C2}">
      <text>
        <r>
          <rPr>
            <b/>
            <sz val="9"/>
            <color indexed="81"/>
            <rFont val="Tahoma"/>
            <family val="2"/>
          </rPr>
          <t>danivelve:</t>
        </r>
        <r>
          <rPr>
            <sz val="9"/>
            <color indexed="81"/>
            <rFont val="Tahoma"/>
            <family val="2"/>
          </rPr>
          <t xml:space="preserve">
Ron 95 </t>
        </r>
      </text>
    </comment>
  </commentList>
</comments>
</file>

<file path=xl/comments15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5AED9F51-FFE4-4F34-A11E-B3C5963148A0}">
      <text>
        <r>
          <rPr>
            <b/>
            <sz val="9"/>
            <color indexed="81"/>
            <rFont val="Tahoma"/>
            <family val="2"/>
          </rPr>
          <t>danivelve:</t>
        </r>
        <r>
          <rPr>
            <sz val="9"/>
            <color indexed="81"/>
            <rFont val="Tahoma"/>
            <family val="2"/>
          </rPr>
          <t xml:space="preserve">
Ron 95 product</t>
        </r>
      </text>
    </comment>
  </commentList>
</comments>
</file>

<file path=xl/comments15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D9F1305-53DB-4914-871D-ECEF6F7503DC}">
      <text>
        <r>
          <rPr>
            <b/>
            <sz val="9"/>
            <color indexed="81"/>
            <rFont val="Tahoma"/>
            <family val="2"/>
          </rPr>
          <t>danivelve:</t>
        </r>
        <r>
          <rPr>
            <sz val="9"/>
            <color indexed="81"/>
            <rFont val="Tahoma"/>
            <family val="2"/>
          </rPr>
          <t xml:space="preserve">
Ron 95 product</t>
        </r>
      </text>
    </comment>
  </commentList>
</comments>
</file>

<file path=xl/comments15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1BBE782-143A-4DED-A681-098288246D4E}">
      <text>
        <r>
          <rPr>
            <b/>
            <sz val="9"/>
            <color indexed="81"/>
            <rFont val="Tahoma"/>
            <family val="2"/>
          </rPr>
          <t>danivelve:</t>
        </r>
        <r>
          <rPr>
            <sz val="9"/>
            <color indexed="81"/>
            <rFont val="Tahoma"/>
            <family val="2"/>
          </rPr>
          <t xml:space="preserve">
Ron 95 product</t>
        </r>
      </text>
    </comment>
  </commentList>
</comments>
</file>

<file path=xl/comments15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59DB3A3-7C4F-4027-8A07-A193CAFC0932}">
      <text>
        <r>
          <rPr>
            <b/>
            <sz val="9"/>
            <color indexed="81"/>
            <rFont val="Tahoma"/>
            <family val="2"/>
          </rPr>
          <t>danivelve:</t>
        </r>
        <r>
          <rPr>
            <sz val="9"/>
            <color indexed="81"/>
            <rFont val="Tahoma"/>
            <family val="2"/>
          </rPr>
          <t xml:space="preserve">
Ron 95 product</t>
        </r>
      </text>
    </comment>
  </commentList>
</comments>
</file>

<file path=xl/comments16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C12C349-6762-47CF-82A8-74E30163E95F}">
      <text>
        <r>
          <rPr>
            <b/>
            <sz val="9"/>
            <color indexed="81"/>
            <rFont val="Tahoma"/>
            <family val="2"/>
          </rPr>
          <t>danivelve:</t>
        </r>
        <r>
          <rPr>
            <sz val="9"/>
            <color indexed="81"/>
            <rFont val="Tahoma"/>
            <family val="2"/>
          </rPr>
          <t xml:space="preserve">
Ron 95 product</t>
        </r>
      </text>
    </comment>
  </commentList>
</comments>
</file>

<file path=xl/comments16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3B8997E-0BE9-43FF-A371-890EF1164106}">
      <text>
        <r>
          <rPr>
            <b/>
            <sz val="9"/>
            <color indexed="81"/>
            <rFont val="Tahoma"/>
            <family val="2"/>
          </rPr>
          <t>danivelve:</t>
        </r>
        <r>
          <rPr>
            <sz val="9"/>
            <color indexed="81"/>
            <rFont val="Tahoma"/>
            <family val="2"/>
          </rPr>
          <t xml:space="preserve">
Ron 95 product</t>
        </r>
      </text>
    </comment>
  </commentList>
</comments>
</file>

<file path=xl/comments16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5641E987-3716-416C-9C3D-DBC8CD88DB15}">
      <text>
        <r>
          <rPr>
            <b/>
            <sz val="9"/>
            <color indexed="81"/>
            <rFont val="Tahoma"/>
            <family val="2"/>
          </rPr>
          <t>danivelve:</t>
        </r>
        <r>
          <rPr>
            <sz val="9"/>
            <color indexed="81"/>
            <rFont val="Tahoma"/>
            <family val="2"/>
          </rPr>
          <t xml:space="preserve">
Ron 95 product</t>
        </r>
      </text>
    </comment>
  </commentList>
</comments>
</file>

<file path=xl/comments16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FE8C63D-6EC1-4A9D-B930-D44E454F74DD}">
      <text>
        <r>
          <rPr>
            <b/>
            <sz val="9"/>
            <color indexed="81"/>
            <rFont val="Tahoma"/>
            <family val="2"/>
          </rPr>
          <t>danivelve:</t>
        </r>
        <r>
          <rPr>
            <sz val="9"/>
            <color indexed="81"/>
            <rFont val="Tahoma"/>
            <family val="2"/>
          </rPr>
          <t xml:space="preserve">
Ron 95 product</t>
        </r>
      </text>
    </comment>
  </commentList>
</comments>
</file>

<file path=xl/comments16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0F142FC3-90CB-402C-A4CA-527E1194D4C3}">
      <text>
        <r>
          <rPr>
            <b/>
            <sz val="9"/>
            <color indexed="81"/>
            <rFont val="Tahoma"/>
            <family val="2"/>
          </rPr>
          <t>danivelve:</t>
        </r>
        <r>
          <rPr>
            <sz val="9"/>
            <color indexed="81"/>
            <rFont val="Tahoma"/>
            <family val="2"/>
          </rPr>
          <t xml:space="preserve">
Ron 95 product</t>
        </r>
      </text>
    </comment>
  </commentList>
</comments>
</file>

<file path=xl/comments16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1CA1AE0-4B32-4D8E-AEE3-0CE396406558}">
      <text>
        <r>
          <rPr>
            <b/>
            <sz val="9"/>
            <color indexed="81"/>
            <rFont val="Tahoma"/>
            <family val="2"/>
          </rPr>
          <t>danivelve:</t>
        </r>
        <r>
          <rPr>
            <sz val="9"/>
            <color indexed="81"/>
            <rFont val="Tahoma"/>
            <family val="2"/>
          </rPr>
          <t xml:space="preserve">
Ron 95 product</t>
        </r>
      </text>
    </comment>
  </commentList>
</comments>
</file>

<file path=xl/comments16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E7675706-FF2F-4543-872B-B60E8A6D4BC7}">
      <text>
        <r>
          <rPr>
            <b/>
            <sz val="9"/>
            <color indexed="81"/>
            <rFont val="Tahoma"/>
            <family val="2"/>
          </rPr>
          <t>danivelve:</t>
        </r>
        <r>
          <rPr>
            <sz val="9"/>
            <color indexed="81"/>
            <rFont val="Tahoma"/>
            <family val="2"/>
          </rPr>
          <t xml:space="preserve">
Ron 95 product</t>
        </r>
      </text>
    </comment>
  </commentList>
</comments>
</file>

<file path=xl/comments16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41818C4F-2469-41E3-87EC-629FEEFE918A}">
      <text>
        <r>
          <rPr>
            <b/>
            <sz val="9"/>
            <color indexed="81"/>
            <rFont val="Tahoma"/>
            <family val="2"/>
          </rPr>
          <t>danivelve:</t>
        </r>
        <r>
          <rPr>
            <sz val="9"/>
            <color indexed="81"/>
            <rFont val="Tahoma"/>
            <family val="2"/>
          </rPr>
          <t xml:space="preserve">
Ron 95 product</t>
        </r>
      </text>
    </comment>
  </commentList>
</comments>
</file>

<file path=xl/comments16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2993D7B-FC65-4FAF-A6C9-C6D63AAE66FC}">
      <text>
        <r>
          <rPr>
            <b/>
            <sz val="9"/>
            <color indexed="81"/>
            <rFont val="Tahoma"/>
            <family val="2"/>
          </rPr>
          <t>danivelve:</t>
        </r>
        <r>
          <rPr>
            <sz val="9"/>
            <color indexed="81"/>
            <rFont val="Tahoma"/>
            <family val="2"/>
          </rPr>
          <t xml:space="preserve">
Ron 95 product</t>
        </r>
      </text>
    </comment>
  </commentList>
</comments>
</file>

<file path=xl/comments16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4A6DC4C-ECB5-4A4F-93F4-4A9A5A2C6D62}">
      <text>
        <r>
          <rPr>
            <b/>
            <sz val="9"/>
            <color indexed="81"/>
            <rFont val="Tahoma"/>
            <family val="2"/>
          </rPr>
          <t>danivelve:</t>
        </r>
        <r>
          <rPr>
            <sz val="9"/>
            <color indexed="81"/>
            <rFont val="Tahoma"/>
            <family val="2"/>
          </rPr>
          <t xml:space="preserve">
Ron 95 product</t>
        </r>
      </text>
    </comment>
  </commentList>
</comments>
</file>

<file path=xl/comments17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4720C43-AB4F-418B-861F-74B07AF076FC}">
      <text>
        <r>
          <rPr>
            <b/>
            <sz val="9"/>
            <color indexed="81"/>
            <rFont val="Tahoma"/>
            <family val="2"/>
          </rPr>
          <t>danivelve:</t>
        </r>
        <r>
          <rPr>
            <sz val="9"/>
            <color indexed="81"/>
            <rFont val="Tahoma"/>
            <family val="2"/>
          </rPr>
          <t xml:space="preserve">
Ron 95 product</t>
        </r>
      </text>
    </comment>
  </commentList>
</comments>
</file>

<file path=xl/comments17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5DD57DF6-C1D3-4EE3-96DB-A2A28BA96565}">
      <text>
        <r>
          <rPr>
            <b/>
            <sz val="9"/>
            <color indexed="81"/>
            <rFont val="Tahoma"/>
            <family val="2"/>
          </rPr>
          <t>danivelve:</t>
        </r>
        <r>
          <rPr>
            <sz val="9"/>
            <color indexed="81"/>
            <rFont val="Tahoma"/>
            <family val="2"/>
          </rPr>
          <t xml:space="preserve">
Ron 95 product</t>
        </r>
      </text>
    </comment>
  </commentList>
</comments>
</file>

<file path=xl/comments17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734FB8E-BD4C-4514-AA01-D9BFA3A63A72}">
      <text>
        <r>
          <rPr>
            <b/>
            <sz val="9"/>
            <color indexed="81"/>
            <rFont val="Tahoma"/>
            <family val="2"/>
          </rPr>
          <t>danivelve:</t>
        </r>
        <r>
          <rPr>
            <sz val="9"/>
            <color indexed="81"/>
            <rFont val="Tahoma"/>
            <family val="2"/>
          </rPr>
          <t xml:space="preserve">
Ron 95 product</t>
        </r>
      </text>
    </comment>
  </commentList>
</comments>
</file>

<file path=xl/comments17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E8B1D28-EA95-41A1-B3B6-053B31DCEF28}">
      <text>
        <r>
          <rPr>
            <b/>
            <sz val="9"/>
            <color indexed="81"/>
            <rFont val="Tahoma"/>
            <family val="2"/>
          </rPr>
          <t>danivelve:</t>
        </r>
        <r>
          <rPr>
            <sz val="9"/>
            <color indexed="81"/>
            <rFont val="Tahoma"/>
            <family val="2"/>
          </rPr>
          <t xml:space="preserve">
Ron 95 product</t>
        </r>
      </text>
    </comment>
    <comment ref="F17" authorId="0" shapeId="0" xr:uid="{AFE7F9F0-7CC0-48D3-858E-2BAC30133610}">
      <text>
        <r>
          <rPr>
            <b/>
            <sz val="9"/>
            <color indexed="81"/>
            <rFont val="Tahoma"/>
            <family val="2"/>
          </rPr>
          <t>danivelve:</t>
        </r>
        <r>
          <rPr>
            <sz val="9"/>
            <color indexed="81"/>
            <rFont val="Tahoma"/>
            <family val="2"/>
          </rPr>
          <t xml:space="preserve">
Export product</t>
        </r>
      </text>
    </comment>
  </commentList>
</comments>
</file>

<file path=xl/comments17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2AA82B8-0494-4BC0-8CD0-1549D5F530A2}">
      <text>
        <r>
          <rPr>
            <b/>
            <sz val="9"/>
            <color indexed="81"/>
            <rFont val="Tahoma"/>
            <family val="2"/>
          </rPr>
          <t>danivelve:</t>
        </r>
        <r>
          <rPr>
            <sz val="9"/>
            <color indexed="81"/>
            <rFont val="Tahoma"/>
            <family val="2"/>
          </rPr>
          <t xml:space="preserve">
Ron 95 product</t>
        </r>
      </text>
    </comment>
    <comment ref="F17" authorId="0" shapeId="0" xr:uid="{09F3F535-83D5-4E91-839D-C7546F706ADF}">
      <text>
        <r>
          <rPr>
            <b/>
            <sz val="9"/>
            <color indexed="81"/>
            <rFont val="Tahoma"/>
            <family val="2"/>
          </rPr>
          <t>danivelve:</t>
        </r>
        <r>
          <rPr>
            <sz val="9"/>
            <color indexed="81"/>
            <rFont val="Tahoma"/>
            <family val="2"/>
          </rPr>
          <t xml:space="preserve">
Export product</t>
        </r>
      </text>
    </comment>
  </commentList>
</comments>
</file>

<file path=xl/comments17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090EA9D7-DB69-4A6A-A9ED-E8265E9F00C7}">
      <text>
        <r>
          <rPr>
            <b/>
            <sz val="9"/>
            <color indexed="81"/>
            <rFont val="Tahoma"/>
            <family val="2"/>
          </rPr>
          <t>danivelve:</t>
        </r>
        <r>
          <rPr>
            <sz val="9"/>
            <color indexed="81"/>
            <rFont val="Tahoma"/>
            <family val="2"/>
          </rPr>
          <t xml:space="preserve">
Ron 95 product</t>
        </r>
      </text>
    </comment>
  </commentList>
</comments>
</file>

<file path=xl/comments17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7D2A632-D213-46C3-873C-6FF21E95373C}">
      <text>
        <r>
          <rPr>
            <b/>
            <sz val="9"/>
            <color indexed="81"/>
            <rFont val="Tahoma"/>
            <family val="2"/>
          </rPr>
          <t>danivelve:</t>
        </r>
        <r>
          <rPr>
            <sz val="9"/>
            <color indexed="81"/>
            <rFont val="Tahoma"/>
            <family val="2"/>
          </rPr>
          <t xml:space="preserve">
Ron 95 product</t>
        </r>
      </text>
    </comment>
    <comment ref="F17" authorId="0" shapeId="0" xr:uid="{6F862865-565F-4F1B-8ABC-1BEC037074BE}">
      <text>
        <r>
          <rPr>
            <b/>
            <sz val="9"/>
            <color indexed="81"/>
            <rFont val="Tahoma"/>
            <family val="2"/>
          </rPr>
          <t>danivelve:</t>
        </r>
        <r>
          <rPr>
            <sz val="9"/>
            <color indexed="81"/>
            <rFont val="Tahoma"/>
            <family val="2"/>
          </rPr>
          <t xml:space="preserve">
Export product</t>
        </r>
      </text>
    </comment>
  </commentList>
</comments>
</file>

<file path=xl/comments17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FE47E50-0240-46EF-B4B2-46635DBEF9CC}">
      <text>
        <r>
          <rPr>
            <b/>
            <sz val="9"/>
            <color indexed="81"/>
            <rFont val="Tahoma"/>
            <family val="2"/>
          </rPr>
          <t>danivelve:</t>
        </r>
        <r>
          <rPr>
            <sz val="9"/>
            <color indexed="81"/>
            <rFont val="Tahoma"/>
            <family val="2"/>
          </rPr>
          <t xml:space="preserve">
Ron 95 product</t>
        </r>
      </text>
    </comment>
    <comment ref="F17" authorId="0" shapeId="0" xr:uid="{5DD5162C-5BE1-44CE-8686-992EA6A50683}">
      <text>
        <r>
          <rPr>
            <b/>
            <sz val="9"/>
            <color indexed="81"/>
            <rFont val="Tahoma"/>
            <family val="2"/>
          </rPr>
          <t>danivelve:</t>
        </r>
        <r>
          <rPr>
            <sz val="9"/>
            <color indexed="81"/>
            <rFont val="Tahoma"/>
            <family val="2"/>
          </rPr>
          <t xml:space="preserve">
Export product</t>
        </r>
      </text>
    </comment>
  </commentList>
</comments>
</file>

<file path=xl/comments17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57FD468-49DE-45A2-B2CB-9FF2E4B3A1C1}">
      <text>
        <r>
          <rPr>
            <b/>
            <sz val="9"/>
            <color indexed="81"/>
            <rFont val="Tahoma"/>
            <family val="2"/>
          </rPr>
          <t>danivelve:</t>
        </r>
        <r>
          <rPr>
            <sz val="9"/>
            <color indexed="81"/>
            <rFont val="Tahoma"/>
            <family val="2"/>
          </rPr>
          <t xml:space="preserve">
Ron 95 product</t>
        </r>
      </text>
    </comment>
  </commentList>
</comments>
</file>

<file path=xl/comments17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6D2CC47-A7F4-4AD6-BFDC-64840F39088C}">
      <text>
        <r>
          <rPr>
            <b/>
            <sz val="9"/>
            <color indexed="81"/>
            <rFont val="Tahoma"/>
            <family val="2"/>
          </rPr>
          <t>danivelve:</t>
        </r>
        <r>
          <rPr>
            <sz val="9"/>
            <color indexed="81"/>
            <rFont val="Tahoma"/>
            <family val="2"/>
          </rPr>
          <t xml:space="preserve">
Ron 95 product</t>
        </r>
      </text>
    </comment>
    <comment ref="F17" authorId="0" shapeId="0" xr:uid="{56DD3F45-DA75-439C-AB5E-79A92CE6074F}">
      <text>
        <r>
          <rPr>
            <b/>
            <sz val="9"/>
            <color indexed="81"/>
            <rFont val="Tahoma"/>
            <family val="2"/>
          </rPr>
          <t>danivelve:</t>
        </r>
        <r>
          <rPr>
            <sz val="9"/>
            <color indexed="81"/>
            <rFont val="Tahoma"/>
            <family val="2"/>
          </rPr>
          <t xml:space="preserve">
Export product
</t>
        </r>
      </text>
    </comment>
  </commentList>
</comments>
</file>

<file path=xl/comments18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F2CCE65B-13AC-4C01-8005-198BFAE5F225}">
      <text>
        <r>
          <rPr>
            <b/>
            <sz val="9"/>
            <color indexed="81"/>
            <rFont val="Tahoma"/>
            <family val="2"/>
          </rPr>
          <t>danivelve:</t>
        </r>
        <r>
          <rPr>
            <sz val="9"/>
            <color indexed="81"/>
            <rFont val="Tahoma"/>
            <family val="2"/>
          </rPr>
          <t xml:space="preserve">
Ron 95 product</t>
        </r>
      </text>
    </comment>
  </commentList>
</comments>
</file>

<file path=xl/comments18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FCEBCEE-5144-48A5-81F3-E40BD421FDC4}">
      <text>
        <r>
          <rPr>
            <b/>
            <sz val="9"/>
            <color indexed="81"/>
            <rFont val="Tahoma"/>
            <family val="2"/>
          </rPr>
          <t>danivelve:</t>
        </r>
        <r>
          <rPr>
            <sz val="9"/>
            <color indexed="81"/>
            <rFont val="Tahoma"/>
            <family val="2"/>
          </rPr>
          <t xml:space="preserve">
Ron 95 product</t>
        </r>
      </text>
    </comment>
  </commentList>
</comments>
</file>

<file path=xl/comments18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50B5A39E-7DB7-4596-A1D5-42FA604C0C9D}">
      <text>
        <r>
          <rPr>
            <b/>
            <sz val="9"/>
            <color indexed="81"/>
            <rFont val="Tahoma"/>
            <family val="2"/>
          </rPr>
          <t>danivelve:</t>
        </r>
        <r>
          <rPr>
            <sz val="9"/>
            <color indexed="81"/>
            <rFont val="Tahoma"/>
            <family val="2"/>
          </rPr>
          <t xml:space="preserve">
Ron 95 product</t>
        </r>
      </text>
    </comment>
  </commentList>
</comments>
</file>

<file path=xl/comments18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8C9C4C45-427A-434F-B0EE-83B323E5B931}">
      <text>
        <r>
          <rPr>
            <b/>
            <sz val="9"/>
            <color indexed="81"/>
            <rFont val="Tahoma"/>
            <family val="2"/>
          </rPr>
          <t>danivelve:</t>
        </r>
        <r>
          <rPr>
            <sz val="9"/>
            <color indexed="81"/>
            <rFont val="Tahoma"/>
            <family val="2"/>
          </rPr>
          <t xml:space="preserve">
Export Product</t>
        </r>
      </text>
    </comment>
    <comment ref="D16" authorId="0" shapeId="0" xr:uid="{168099E9-6FF1-4A4D-8205-5FB9E10A319A}">
      <text>
        <r>
          <rPr>
            <b/>
            <sz val="9"/>
            <color indexed="81"/>
            <rFont val="Tahoma"/>
            <family val="2"/>
          </rPr>
          <t>danivelve:</t>
        </r>
        <r>
          <rPr>
            <sz val="9"/>
            <color indexed="81"/>
            <rFont val="Tahoma"/>
            <family val="2"/>
          </rPr>
          <t xml:space="preserve">
Ron 95 product</t>
        </r>
      </text>
    </comment>
  </commentList>
</comments>
</file>

<file path=xl/comments18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FFC98CE-1B9B-4480-931E-97516F07005B}">
      <text>
        <r>
          <rPr>
            <b/>
            <sz val="9"/>
            <color indexed="81"/>
            <rFont val="Tahoma"/>
            <family val="2"/>
          </rPr>
          <t>danivelve:</t>
        </r>
        <r>
          <rPr>
            <sz val="9"/>
            <color indexed="81"/>
            <rFont val="Tahoma"/>
            <family val="2"/>
          </rPr>
          <t xml:space="preserve">
Ron 95 product</t>
        </r>
      </text>
    </comment>
  </commentList>
</comments>
</file>

<file path=xl/comments18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3D1FB96-3ACC-4875-B10E-4B3B46735B56}">
      <text>
        <r>
          <rPr>
            <b/>
            <sz val="9"/>
            <color indexed="81"/>
            <rFont val="Tahoma"/>
            <family val="2"/>
          </rPr>
          <t>danivelve:</t>
        </r>
        <r>
          <rPr>
            <sz val="9"/>
            <color indexed="81"/>
            <rFont val="Tahoma"/>
            <family val="2"/>
          </rPr>
          <t xml:space="preserve">
Ron 95 product</t>
        </r>
      </text>
    </comment>
  </commentList>
</comments>
</file>

<file path=xl/comments18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2059798F-B8F5-4D37-8E8A-76D7C2952DEB}">
      <text>
        <r>
          <rPr>
            <b/>
            <sz val="9"/>
            <color indexed="81"/>
            <rFont val="Tahoma"/>
            <family val="2"/>
          </rPr>
          <t>danivelve:Export product</t>
        </r>
      </text>
    </comment>
    <comment ref="D16" authorId="0" shapeId="0" xr:uid="{095D9BE7-A793-4003-9DDD-0456855D3E99}">
      <text>
        <r>
          <rPr>
            <b/>
            <sz val="9"/>
            <color indexed="81"/>
            <rFont val="Tahoma"/>
            <family val="2"/>
          </rPr>
          <t>danivelve:</t>
        </r>
        <r>
          <rPr>
            <sz val="9"/>
            <color indexed="81"/>
            <rFont val="Tahoma"/>
            <family val="2"/>
          </rPr>
          <t xml:space="preserve">
Ron 95 product</t>
        </r>
      </text>
    </comment>
  </commentList>
</comments>
</file>

<file path=xl/comments18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C58FA6E6-715D-4F00-8400-D8FD720B74E7}">
      <text>
        <r>
          <rPr>
            <b/>
            <sz val="9"/>
            <color indexed="81"/>
            <rFont val="Tahoma"/>
            <family val="2"/>
          </rPr>
          <t>danivelve:Export product</t>
        </r>
      </text>
    </comment>
    <comment ref="D16" authorId="0" shapeId="0" xr:uid="{3BD2D865-4247-40E1-8926-8678ABEBB487}">
      <text>
        <r>
          <rPr>
            <b/>
            <sz val="9"/>
            <color indexed="81"/>
            <rFont val="Tahoma"/>
            <family val="2"/>
          </rPr>
          <t>danivelve:</t>
        </r>
        <r>
          <rPr>
            <sz val="9"/>
            <color indexed="81"/>
            <rFont val="Tahoma"/>
            <family val="2"/>
          </rPr>
          <t xml:space="preserve">
Ron 95 product</t>
        </r>
      </text>
    </comment>
  </commentList>
</comments>
</file>

<file path=xl/comments18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9" authorId="0" shapeId="0" xr:uid="{5BBCF08C-F0C0-4197-BFD5-4F7BF0F94BC7}">
      <text>
        <r>
          <rPr>
            <b/>
            <sz val="9"/>
            <color indexed="81"/>
            <rFont val="Tahoma"/>
            <family val="2"/>
          </rPr>
          <t>danivelve:</t>
        </r>
        <r>
          <rPr>
            <sz val="9"/>
            <color indexed="81"/>
            <rFont val="Tahoma"/>
            <family val="2"/>
          </rPr>
          <t xml:space="preserve">
Export Product</t>
        </r>
      </text>
    </comment>
  </commentList>
</comments>
</file>

<file path=xl/comments18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C16" authorId="0" shapeId="0" xr:uid="{3C8DFFD0-08C5-469E-9AA6-CE9DE6A5050C}">
      <text>
        <r>
          <rPr>
            <b/>
            <sz val="9"/>
            <color indexed="81"/>
            <rFont val="Tahoma"/>
            <family val="2"/>
          </rPr>
          <t>danivelve:</t>
        </r>
        <r>
          <rPr>
            <sz val="9"/>
            <color indexed="81"/>
            <rFont val="Tahoma"/>
            <family val="2"/>
          </rPr>
          <t xml:space="preserve">
the volume transferred should have been 1,026,000lts, but one of the BRV's could not be cleared because of compactment issue. Five (5) instead of Six (6) on the NPA portal. It was cleared now 21st September</t>
        </r>
      </text>
    </comment>
  </commentList>
</comments>
</file>

<file path=xl/comments19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C16" authorId="0" shapeId="0" xr:uid="{6CB2D396-902A-4657-8A74-8228F360A0FD}">
      <text>
        <r>
          <rPr>
            <b/>
            <sz val="9"/>
            <color indexed="81"/>
            <rFont val="Tahoma"/>
            <family val="2"/>
          </rPr>
          <t>danivelve:</t>
        </r>
        <r>
          <rPr>
            <sz val="9"/>
            <color indexed="81"/>
            <rFont val="Tahoma"/>
            <family val="2"/>
          </rPr>
          <t xml:space="preserve">
the volume transferred should have been 1,026,000lts, but one of the BRV's could not be cleared because of compactment issue. Five (5) instead of Six (6) on the NPA portal</t>
        </r>
      </text>
    </comment>
  </commentList>
</comments>
</file>

<file path=xl/comments19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E17" authorId="0" shapeId="0" xr:uid="{39A1686A-6580-4799-BA99-1324EAAC8899}">
      <text>
        <r>
          <rPr>
            <b/>
            <sz val="9"/>
            <color indexed="81"/>
            <rFont val="Tahoma"/>
            <family val="2"/>
          </rPr>
          <t>danivelve:</t>
        </r>
        <r>
          <rPr>
            <sz val="9"/>
            <color indexed="81"/>
            <rFont val="Tahoma"/>
            <family val="2"/>
          </rPr>
          <t xml:space="preserve">
Export Product</t>
        </r>
      </text>
    </comment>
  </commentList>
</comments>
</file>

<file path=xl/comments19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E17" authorId="0" shapeId="0" xr:uid="{07C4B9BB-CDB5-447F-B56C-6DD83941362D}">
      <text>
        <r>
          <rPr>
            <b/>
            <sz val="9"/>
            <color indexed="81"/>
            <rFont val="Tahoma"/>
            <family val="2"/>
          </rPr>
          <t>danivelve:</t>
        </r>
        <r>
          <rPr>
            <sz val="9"/>
            <color indexed="81"/>
            <rFont val="Tahoma"/>
            <family val="2"/>
          </rPr>
          <t xml:space="preserve">
Export Product</t>
        </r>
      </text>
    </comment>
    <comment ref="F17" authorId="0" shapeId="0" xr:uid="{7C89106F-C27F-43E0-B44D-2604F9638B29}">
      <text>
        <r>
          <rPr>
            <b/>
            <sz val="9"/>
            <color indexed="81"/>
            <rFont val="Tahoma"/>
            <family val="2"/>
          </rPr>
          <t>danivelve:</t>
        </r>
        <r>
          <rPr>
            <sz val="9"/>
            <color indexed="81"/>
            <rFont val="Tahoma"/>
            <family val="2"/>
          </rPr>
          <t xml:space="preserve">
Export Product </t>
        </r>
      </text>
    </comment>
  </commentList>
</comments>
</file>

<file path=xl/comments19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E17" authorId="0" shapeId="0" xr:uid="{9D287A6F-1C7E-4B54-B23F-B38538E0600D}">
      <text>
        <r>
          <rPr>
            <b/>
            <sz val="9"/>
            <color indexed="81"/>
            <rFont val="Tahoma"/>
            <family val="2"/>
          </rPr>
          <t>danivelve:</t>
        </r>
        <r>
          <rPr>
            <sz val="9"/>
            <color indexed="81"/>
            <rFont val="Tahoma"/>
            <family val="2"/>
          </rPr>
          <t xml:space="preserve">
Export Product</t>
        </r>
      </text>
    </comment>
    <comment ref="F17" authorId="0" shapeId="0" xr:uid="{9D3CDFD4-0B33-4906-B34A-C134138AE458}">
      <text>
        <r>
          <rPr>
            <b/>
            <sz val="9"/>
            <color indexed="81"/>
            <rFont val="Tahoma"/>
            <family val="2"/>
          </rPr>
          <t>danivelve:</t>
        </r>
        <r>
          <rPr>
            <sz val="9"/>
            <color indexed="81"/>
            <rFont val="Tahoma"/>
            <family val="2"/>
          </rPr>
          <t xml:space="preserve">
Export Product </t>
        </r>
      </text>
    </comment>
  </commentList>
</comments>
</file>

<file path=xl/comments19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E17" authorId="0" shapeId="0" xr:uid="{9ACCB168-7211-4D62-95FE-4CF0B879FF5B}">
      <text>
        <r>
          <rPr>
            <b/>
            <sz val="9"/>
            <color indexed="81"/>
            <rFont val="Tahoma"/>
            <family val="2"/>
          </rPr>
          <t>danivelve:</t>
        </r>
        <r>
          <rPr>
            <sz val="9"/>
            <color indexed="81"/>
            <rFont val="Tahoma"/>
            <family val="2"/>
          </rPr>
          <t xml:space="preserve">
Export Product</t>
        </r>
      </text>
    </comment>
    <comment ref="F17" authorId="0" shapeId="0" xr:uid="{2FE6FECB-3246-47D1-B3D3-1EBBA580FB32}">
      <text>
        <r>
          <rPr>
            <b/>
            <sz val="9"/>
            <color indexed="81"/>
            <rFont val="Tahoma"/>
            <family val="2"/>
          </rPr>
          <t>danivelve:</t>
        </r>
        <r>
          <rPr>
            <sz val="9"/>
            <color indexed="81"/>
            <rFont val="Tahoma"/>
            <family val="2"/>
          </rPr>
          <t xml:space="preserve">
Export Product </t>
        </r>
      </text>
    </comment>
  </commentList>
</comments>
</file>

<file path=xl/comments19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E17" authorId="0" shapeId="0" xr:uid="{1EA64901-96CD-448D-9A96-9C07F1741100}">
      <text>
        <r>
          <rPr>
            <b/>
            <sz val="9"/>
            <color indexed="81"/>
            <rFont val="Tahoma"/>
            <family val="2"/>
          </rPr>
          <t>danivelve:</t>
        </r>
        <r>
          <rPr>
            <sz val="9"/>
            <color indexed="81"/>
            <rFont val="Tahoma"/>
            <family val="2"/>
          </rPr>
          <t xml:space="preserve">
Export Product</t>
        </r>
      </text>
    </comment>
    <comment ref="F17" authorId="0" shapeId="0" xr:uid="{6C8551ED-D047-481D-819B-5123969AB1A6}">
      <text>
        <r>
          <rPr>
            <b/>
            <sz val="9"/>
            <color indexed="81"/>
            <rFont val="Tahoma"/>
            <family val="2"/>
          </rPr>
          <t>danivelve:</t>
        </r>
        <r>
          <rPr>
            <sz val="9"/>
            <color indexed="81"/>
            <rFont val="Tahoma"/>
            <family val="2"/>
          </rPr>
          <t xml:space="preserve">
Export Product </t>
        </r>
      </text>
    </comment>
  </commentList>
</comments>
</file>

<file path=xl/comments19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E17" authorId="0" shapeId="0" xr:uid="{B1E96776-BC10-4151-86D6-8A89DAFF7266}">
      <text>
        <r>
          <rPr>
            <b/>
            <sz val="9"/>
            <color indexed="81"/>
            <rFont val="Tahoma"/>
            <family val="2"/>
          </rPr>
          <t>danivelve:</t>
        </r>
        <r>
          <rPr>
            <sz val="9"/>
            <color indexed="81"/>
            <rFont val="Tahoma"/>
            <family val="2"/>
          </rPr>
          <t xml:space="preserve">
Export Product</t>
        </r>
      </text>
    </comment>
    <comment ref="F17" authorId="0" shapeId="0" xr:uid="{62D77ADA-4FB1-44F8-BB0A-5F3A790AB689}">
      <text>
        <r>
          <rPr>
            <b/>
            <sz val="9"/>
            <color indexed="81"/>
            <rFont val="Tahoma"/>
            <family val="2"/>
          </rPr>
          <t>danivelve:</t>
        </r>
        <r>
          <rPr>
            <sz val="9"/>
            <color indexed="81"/>
            <rFont val="Tahoma"/>
            <family val="2"/>
          </rPr>
          <t xml:space="preserve">
Export Product </t>
        </r>
      </text>
    </comment>
  </commentList>
</comments>
</file>

<file path=xl/comments19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17" authorId="0" shapeId="0" xr:uid="{91098412-B839-4117-B830-135CCA7990E6}">
      <text>
        <r>
          <rPr>
            <b/>
            <sz val="9"/>
            <color indexed="81"/>
            <rFont val="Tahoma"/>
            <family val="2"/>
          </rPr>
          <t>danivelve:</t>
        </r>
        <r>
          <rPr>
            <sz val="9"/>
            <color indexed="81"/>
            <rFont val="Tahoma"/>
            <family val="2"/>
          </rPr>
          <t xml:space="preserve">
Export Product</t>
        </r>
      </text>
    </comment>
  </commentList>
</comments>
</file>

<file path=xl/comments19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17" authorId="0" shapeId="0" xr:uid="{F757346D-9B20-4237-AD46-9E84086F4BB5}">
      <text>
        <r>
          <rPr>
            <b/>
            <sz val="9"/>
            <color indexed="81"/>
            <rFont val="Tahoma"/>
            <family val="2"/>
          </rPr>
          <t>danivelve:</t>
        </r>
        <r>
          <rPr>
            <sz val="9"/>
            <color indexed="81"/>
            <rFont val="Tahoma"/>
            <family val="2"/>
          </rPr>
          <t xml:space="preserve">
Export Product</t>
        </r>
      </text>
    </comment>
  </commentList>
</comments>
</file>

<file path=xl/comments19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17" authorId="0" shapeId="0" xr:uid="{F8C24D55-871D-40DD-AD5E-B6236A731A6D}">
      <text>
        <r>
          <rPr>
            <b/>
            <sz val="9"/>
            <color indexed="81"/>
            <rFont val="Tahoma"/>
            <family val="2"/>
          </rPr>
          <t>danivelve:</t>
        </r>
        <r>
          <rPr>
            <sz val="9"/>
            <color indexed="81"/>
            <rFont val="Tahoma"/>
            <family val="2"/>
          </rPr>
          <t xml:space="preserve">
Export Product</t>
        </r>
      </text>
    </comment>
  </commentList>
</comments>
</file>

<file path=xl/comments20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17" authorId="0" shapeId="0" xr:uid="{2EBB1517-66CB-413C-8015-BC9BBB7C5CCB}">
      <text>
        <r>
          <rPr>
            <b/>
            <sz val="9"/>
            <color indexed="81"/>
            <rFont val="Tahoma"/>
            <family val="2"/>
          </rPr>
          <t>danivelve:</t>
        </r>
        <r>
          <rPr>
            <sz val="9"/>
            <color indexed="81"/>
            <rFont val="Tahoma"/>
            <family val="2"/>
          </rPr>
          <t xml:space="preserve">
Export Product</t>
        </r>
      </text>
    </comment>
  </commentList>
</comments>
</file>

<file path=xl/comments20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D450A31-6A11-4F92-8D44-A4933D0BB8FA}">
      <text>
        <r>
          <rPr>
            <b/>
            <sz val="9"/>
            <color indexed="81"/>
            <rFont val="Tahoma"/>
            <family val="2"/>
          </rPr>
          <t>danivelve:</t>
        </r>
        <r>
          <rPr>
            <sz val="9"/>
            <color indexed="81"/>
            <rFont val="Tahoma"/>
            <family val="2"/>
          </rPr>
          <t xml:space="preserve">
Ron 95
</t>
        </r>
      </text>
    </comment>
    <comment ref="F17" authorId="0" shapeId="0" xr:uid="{B88E40F2-8D54-4B12-A769-CCE62B073D2E}">
      <text>
        <r>
          <rPr>
            <b/>
            <sz val="9"/>
            <color indexed="81"/>
            <rFont val="Tahoma"/>
            <family val="2"/>
          </rPr>
          <t>danivelve:</t>
        </r>
        <r>
          <rPr>
            <sz val="9"/>
            <color indexed="81"/>
            <rFont val="Tahoma"/>
            <family val="2"/>
          </rPr>
          <t xml:space="preserve">
Export Product</t>
        </r>
      </text>
    </comment>
  </commentList>
</comments>
</file>

<file path=xl/comments20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21EA154-B338-4408-AF68-7F6E43903E2E}">
      <text>
        <r>
          <rPr>
            <b/>
            <sz val="9"/>
            <color indexed="81"/>
            <rFont val="Tahoma"/>
            <family val="2"/>
          </rPr>
          <t>danivelve:</t>
        </r>
        <r>
          <rPr>
            <sz val="9"/>
            <color indexed="81"/>
            <rFont val="Tahoma"/>
            <family val="2"/>
          </rPr>
          <t xml:space="preserve">
Ron 95
</t>
        </r>
      </text>
    </comment>
    <comment ref="F17" authorId="0" shapeId="0" xr:uid="{ED48E6B3-B851-4A3B-9924-4BA5AB92F797}">
      <text>
        <r>
          <rPr>
            <b/>
            <sz val="9"/>
            <color indexed="81"/>
            <rFont val="Tahoma"/>
            <family val="2"/>
          </rPr>
          <t>danivelve:</t>
        </r>
        <r>
          <rPr>
            <sz val="9"/>
            <color indexed="81"/>
            <rFont val="Tahoma"/>
            <family val="2"/>
          </rPr>
          <t xml:space="preserve">
Export Product</t>
        </r>
      </text>
    </comment>
  </commentList>
</comments>
</file>

<file path=xl/comments20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02F165D-125F-4630-98FF-1EDF3150FF56}">
      <text>
        <r>
          <rPr>
            <b/>
            <sz val="9"/>
            <color indexed="81"/>
            <rFont val="Tahoma"/>
            <family val="2"/>
          </rPr>
          <t>danivelve:</t>
        </r>
        <r>
          <rPr>
            <sz val="9"/>
            <color indexed="81"/>
            <rFont val="Tahoma"/>
            <family val="2"/>
          </rPr>
          <t xml:space="preserve">
Ron 95
</t>
        </r>
      </text>
    </comment>
    <comment ref="F17" authorId="0" shapeId="0" xr:uid="{79ABDC21-DA9F-4E3A-8D75-123B23EE44B8}">
      <text>
        <r>
          <rPr>
            <b/>
            <sz val="9"/>
            <color indexed="81"/>
            <rFont val="Tahoma"/>
            <family val="2"/>
          </rPr>
          <t>danivelve:</t>
        </r>
        <r>
          <rPr>
            <sz val="9"/>
            <color indexed="81"/>
            <rFont val="Tahoma"/>
            <family val="2"/>
          </rPr>
          <t xml:space="preserve">
Export Product</t>
        </r>
      </text>
    </comment>
  </commentList>
</comments>
</file>

<file path=xl/comments20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7D1266C-5C97-4B24-9031-0845D181AC8E}">
      <text>
        <r>
          <rPr>
            <b/>
            <sz val="9"/>
            <color indexed="81"/>
            <rFont val="Tahoma"/>
            <family val="2"/>
          </rPr>
          <t>danivelve:</t>
        </r>
        <r>
          <rPr>
            <sz val="9"/>
            <color indexed="81"/>
            <rFont val="Tahoma"/>
            <family val="2"/>
          </rPr>
          <t xml:space="preserve">
Ron 95
</t>
        </r>
      </text>
    </comment>
    <comment ref="F17" authorId="0" shapeId="0" xr:uid="{0FE66D70-CD53-4FED-A591-E7202456BD6B}">
      <text>
        <r>
          <rPr>
            <b/>
            <sz val="9"/>
            <color indexed="81"/>
            <rFont val="Tahoma"/>
            <family val="2"/>
          </rPr>
          <t>danivelve:</t>
        </r>
        <r>
          <rPr>
            <sz val="9"/>
            <color indexed="81"/>
            <rFont val="Tahoma"/>
            <family val="2"/>
          </rPr>
          <t xml:space="preserve">
Export Product</t>
        </r>
      </text>
    </comment>
  </commentList>
</comments>
</file>

<file path=xl/comments20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E455D7A5-75F5-4979-B6DD-F4F65CB814E9}">
      <text>
        <r>
          <rPr>
            <b/>
            <sz val="9"/>
            <color indexed="81"/>
            <rFont val="Tahoma"/>
            <family val="2"/>
          </rPr>
          <t>danivelve:</t>
        </r>
        <r>
          <rPr>
            <sz val="9"/>
            <color indexed="81"/>
            <rFont val="Tahoma"/>
            <family val="2"/>
          </rPr>
          <t xml:space="preserve">
Ron 95
</t>
        </r>
      </text>
    </comment>
    <comment ref="F17" authorId="0" shapeId="0" xr:uid="{5AC037EE-72FD-42F8-8293-07A510C3EDBA}">
      <text>
        <r>
          <rPr>
            <b/>
            <sz val="9"/>
            <color indexed="81"/>
            <rFont val="Tahoma"/>
            <family val="2"/>
          </rPr>
          <t>danivelve:</t>
        </r>
        <r>
          <rPr>
            <sz val="9"/>
            <color indexed="81"/>
            <rFont val="Tahoma"/>
            <family val="2"/>
          </rPr>
          <t xml:space="preserve">
Export Product</t>
        </r>
      </text>
    </comment>
  </commentList>
</comments>
</file>

<file path=xl/comments20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9" authorId="0" shapeId="0" xr:uid="{6A21A880-6F29-4171-8506-32A38F25A803}">
      <text>
        <r>
          <rPr>
            <b/>
            <sz val="9"/>
            <color indexed="81"/>
            <rFont val="Tahoma"/>
            <family val="2"/>
          </rPr>
          <t>danivelve:</t>
        </r>
        <r>
          <rPr>
            <sz val="9"/>
            <color indexed="81"/>
            <rFont val="Tahoma"/>
            <family val="2"/>
          </rPr>
          <t xml:space="preserve">
Terminal product
</t>
        </r>
      </text>
    </comment>
    <comment ref="D16" authorId="0" shapeId="0" xr:uid="{C2672CC7-128E-419E-A640-1A6A20F217A5}">
      <text>
        <r>
          <rPr>
            <b/>
            <sz val="9"/>
            <color indexed="81"/>
            <rFont val="Tahoma"/>
            <family val="2"/>
          </rPr>
          <t>danivelve:</t>
        </r>
        <r>
          <rPr>
            <sz val="9"/>
            <color indexed="81"/>
            <rFont val="Tahoma"/>
            <family val="2"/>
          </rPr>
          <t xml:space="preserve">
Ron 95
</t>
        </r>
      </text>
    </comment>
    <comment ref="F17" authorId="0" shapeId="0" xr:uid="{35E2EC58-3C32-4DE5-AFA9-186CDA629348}">
      <text>
        <r>
          <rPr>
            <b/>
            <sz val="9"/>
            <color indexed="81"/>
            <rFont val="Tahoma"/>
            <family val="2"/>
          </rPr>
          <t>danivelve:</t>
        </r>
        <r>
          <rPr>
            <sz val="9"/>
            <color indexed="81"/>
            <rFont val="Tahoma"/>
            <family val="2"/>
          </rPr>
          <t xml:space="preserve">
Export Product</t>
        </r>
      </text>
    </comment>
  </commentList>
</comments>
</file>

<file path=xl/comments20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9" authorId="0" shapeId="0" xr:uid="{C653FB3D-4F6C-4E8A-81B7-9E5D5EB6EE32}">
      <text>
        <r>
          <rPr>
            <b/>
            <sz val="9"/>
            <color indexed="81"/>
            <rFont val="Tahoma"/>
            <family val="2"/>
          </rPr>
          <t>danivelve:</t>
        </r>
        <r>
          <rPr>
            <sz val="9"/>
            <color indexed="81"/>
            <rFont val="Tahoma"/>
            <family val="2"/>
          </rPr>
          <t xml:space="preserve">
Terminal product
</t>
        </r>
      </text>
    </comment>
    <comment ref="D16" authorId="0" shapeId="0" xr:uid="{832722FB-2314-4430-BB7D-BB7D3E227062}">
      <text>
        <r>
          <rPr>
            <b/>
            <sz val="9"/>
            <color indexed="81"/>
            <rFont val="Tahoma"/>
            <family val="2"/>
          </rPr>
          <t>danivelve:</t>
        </r>
        <r>
          <rPr>
            <sz val="9"/>
            <color indexed="81"/>
            <rFont val="Tahoma"/>
            <family val="2"/>
          </rPr>
          <t xml:space="preserve">
Ron 95
</t>
        </r>
      </text>
    </comment>
    <comment ref="F17" authorId="0" shapeId="0" xr:uid="{828161F4-BE95-479A-AFAB-7001AAC39453}">
      <text>
        <r>
          <rPr>
            <b/>
            <sz val="9"/>
            <color indexed="81"/>
            <rFont val="Tahoma"/>
            <family val="2"/>
          </rPr>
          <t>danivelve:</t>
        </r>
        <r>
          <rPr>
            <sz val="9"/>
            <color indexed="81"/>
            <rFont val="Tahoma"/>
            <family val="2"/>
          </rPr>
          <t xml:space="preserve">
Export Product</t>
        </r>
      </text>
    </comment>
  </commentList>
</comments>
</file>

<file path=xl/comments20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9" authorId="0" shapeId="0" xr:uid="{0B610512-1CB8-48AA-AB47-0B9DA2A707CF}">
      <text>
        <r>
          <rPr>
            <b/>
            <sz val="9"/>
            <color indexed="81"/>
            <rFont val="Tahoma"/>
            <family val="2"/>
          </rPr>
          <t>danivelve:</t>
        </r>
        <r>
          <rPr>
            <sz val="9"/>
            <color indexed="81"/>
            <rFont val="Tahoma"/>
            <family val="2"/>
          </rPr>
          <t xml:space="preserve">
Terminal product
</t>
        </r>
      </text>
    </comment>
    <comment ref="D16" authorId="0" shapeId="0" xr:uid="{CD971B47-8973-430B-BA5B-49CAB34FBB96}">
      <text>
        <r>
          <rPr>
            <b/>
            <sz val="9"/>
            <color indexed="81"/>
            <rFont val="Tahoma"/>
            <family val="2"/>
          </rPr>
          <t>danivelve:</t>
        </r>
        <r>
          <rPr>
            <sz val="9"/>
            <color indexed="81"/>
            <rFont val="Tahoma"/>
            <family val="2"/>
          </rPr>
          <t xml:space="preserve">
Ron 95
</t>
        </r>
      </text>
    </comment>
    <comment ref="F17" authorId="0" shapeId="0" xr:uid="{33A4E913-3539-4E71-AC06-0FE93E4C3168}">
      <text>
        <r>
          <rPr>
            <b/>
            <sz val="9"/>
            <color indexed="81"/>
            <rFont val="Tahoma"/>
            <family val="2"/>
          </rPr>
          <t>danivelve:</t>
        </r>
        <r>
          <rPr>
            <sz val="9"/>
            <color indexed="81"/>
            <rFont val="Tahoma"/>
            <family val="2"/>
          </rPr>
          <t xml:space="preserve">
Export Product</t>
        </r>
      </text>
    </comment>
  </commentList>
</comments>
</file>

<file path=xl/comments20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9" authorId="0" shapeId="0" xr:uid="{3944EDDD-5675-45BF-A302-BFA58D3280A0}">
      <text>
        <r>
          <rPr>
            <b/>
            <sz val="9"/>
            <color indexed="81"/>
            <rFont val="Tahoma"/>
            <family val="2"/>
          </rPr>
          <t>danivelve:</t>
        </r>
        <r>
          <rPr>
            <sz val="9"/>
            <color indexed="81"/>
            <rFont val="Tahoma"/>
            <family val="2"/>
          </rPr>
          <t xml:space="preserve">
Terminal product
</t>
        </r>
      </text>
    </comment>
    <comment ref="D16" authorId="0" shapeId="0" xr:uid="{F2FFB5CF-529C-4ABE-9316-9C3E656BBE13}">
      <text>
        <r>
          <rPr>
            <b/>
            <sz val="9"/>
            <color indexed="81"/>
            <rFont val="Tahoma"/>
            <family val="2"/>
          </rPr>
          <t>danivelve:</t>
        </r>
        <r>
          <rPr>
            <sz val="9"/>
            <color indexed="81"/>
            <rFont val="Tahoma"/>
            <family val="2"/>
          </rPr>
          <t xml:space="preserve">
Ron 95
</t>
        </r>
      </text>
    </comment>
    <comment ref="F17" authorId="0" shapeId="0" xr:uid="{8146ADC9-69BB-4966-A016-FD938C513AF0}">
      <text>
        <r>
          <rPr>
            <b/>
            <sz val="9"/>
            <color indexed="81"/>
            <rFont val="Tahoma"/>
            <family val="2"/>
          </rPr>
          <t>danivelve:</t>
        </r>
        <r>
          <rPr>
            <sz val="9"/>
            <color indexed="81"/>
            <rFont val="Tahoma"/>
            <family val="2"/>
          </rPr>
          <t xml:space="preserve">
Export Product</t>
        </r>
      </text>
    </comment>
  </commentList>
</comments>
</file>

<file path=xl/comments21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9" authorId="0" shapeId="0" xr:uid="{214EEFEB-7F25-42BC-95BE-A5C92CA022B9}">
      <text>
        <r>
          <rPr>
            <b/>
            <sz val="9"/>
            <color indexed="81"/>
            <rFont val="Tahoma"/>
            <family val="2"/>
          </rPr>
          <t>danivelve:</t>
        </r>
        <r>
          <rPr>
            <sz val="9"/>
            <color indexed="81"/>
            <rFont val="Tahoma"/>
            <family val="2"/>
          </rPr>
          <t xml:space="preserve">
Terminal product
</t>
        </r>
      </text>
    </comment>
    <comment ref="D16" authorId="0" shapeId="0" xr:uid="{B346DCA3-FB67-4DD0-A8DE-CD643D7986EC}">
      <text>
        <r>
          <rPr>
            <b/>
            <sz val="9"/>
            <color indexed="81"/>
            <rFont val="Tahoma"/>
            <family val="2"/>
          </rPr>
          <t>danivelve:</t>
        </r>
        <r>
          <rPr>
            <sz val="9"/>
            <color indexed="81"/>
            <rFont val="Tahoma"/>
            <family val="2"/>
          </rPr>
          <t xml:space="preserve">
Ron 95
</t>
        </r>
      </text>
    </comment>
    <comment ref="F17" authorId="0" shapeId="0" xr:uid="{4FA62DAB-C7C5-4FFA-9F00-1CB1C16DBF41}">
      <text>
        <r>
          <rPr>
            <b/>
            <sz val="9"/>
            <color indexed="81"/>
            <rFont val="Tahoma"/>
            <family val="2"/>
          </rPr>
          <t>danivelve:</t>
        </r>
        <r>
          <rPr>
            <sz val="9"/>
            <color indexed="81"/>
            <rFont val="Tahoma"/>
            <family val="2"/>
          </rPr>
          <t xml:space="preserve">
Export Product</t>
        </r>
      </text>
    </comment>
  </commentList>
</comments>
</file>

<file path=xl/comments21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9" authorId="0" shapeId="0" xr:uid="{B544EB3D-8D4E-4C94-BDAE-E2B849C7D293}">
      <text>
        <r>
          <rPr>
            <b/>
            <sz val="9"/>
            <color indexed="81"/>
            <rFont val="Tahoma"/>
            <family val="2"/>
          </rPr>
          <t>danivelve:</t>
        </r>
        <r>
          <rPr>
            <sz val="9"/>
            <color indexed="81"/>
            <rFont val="Tahoma"/>
            <family val="2"/>
          </rPr>
          <t xml:space="preserve">
Terminal product
</t>
        </r>
      </text>
    </comment>
    <comment ref="D16" authorId="0" shapeId="0" xr:uid="{1CEF2B32-900E-43FE-8817-8F374EB176EE}">
      <text>
        <r>
          <rPr>
            <b/>
            <sz val="9"/>
            <color indexed="81"/>
            <rFont val="Tahoma"/>
            <family val="2"/>
          </rPr>
          <t>danivelve:</t>
        </r>
        <r>
          <rPr>
            <sz val="9"/>
            <color indexed="81"/>
            <rFont val="Tahoma"/>
            <family val="2"/>
          </rPr>
          <t xml:space="preserve">
Ron 95
</t>
        </r>
      </text>
    </comment>
    <comment ref="F17" authorId="0" shapeId="0" xr:uid="{3553A1EE-EC9A-40E9-B933-62D4341BFF56}">
      <text>
        <r>
          <rPr>
            <b/>
            <sz val="9"/>
            <color indexed="81"/>
            <rFont val="Tahoma"/>
            <family val="2"/>
          </rPr>
          <t>danivelve:</t>
        </r>
        <r>
          <rPr>
            <sz val="9"/>
            <color indexed="81"/>
            <rFont val="Tahoma"/>
            <family val="2"/>
          </rPr>
          <t xml:space="preserve">
Export Product</t>
        </r>
      </text>
    </comment>
  </commentList>
</comments>
</file>

<file path=xl/comments21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9" authorId="0" shapeId="0" xr:uid="{50AF5590-4704-4A93-B9DD-A599BAABE672}">
      <text>
        <r>
          <rPr>
            <b/>
            <sz val="9"/>
            <color indexed="81"/>
            <rFont val="Tahoma"/>
            <family val="2"/>
          </rPr>
          <t>danivelve:</t>
        </r>
        <r>
          <rPr>
            <sz val="9"/>
            <color indexed="81"/>
            <rFont val="Tahoma"/>
            <family val="2"/>
          </rPr>
          <t xml:space="preserve">
Terminal product
</t>
        </r>
      </text>
    </comment>
    <comment ref="D16" authorId="0" shapeId="0" xr:uid="{54C22B7C-20B7-4E6A-81E1-74DD52C35EC9}">
      <text>
        <r>
          <rPr>
            <b/>
            <sz val="9"/>
            <color indexed="81"/>
            <rFont val="Tahoma"/>
            <family val="2"/>
          </rPr>
          <t>danivelve:</t>
        </r>
        <r>
          <rPr>
            <sz val="9"/>
            <color indexed="81"/>
            <rFont val="Tahoma"/>
            <family val="2"/>
          </rPr>
          <t xml:space="preserve">
Ron 95
</t>
        </r>
      </text>
    </comment>
    <comment ref="F17" authorId="0" shapeId="0" xr:uid="{1AD9DAE8-69AC-494B-9AFB-8E5AB04D50D8}">
      <text>
        <r>
          <rPr>
            <b/>
            <sz val="9"/>
            <color indexed="81"/>
            <rFont val="Tahoma"/>
            <family val="2"/>
          </rPr>
          <t>danivelve:</t>
        </r>
        <r>
          <rPr>
            <sz val="9"/>
            <color indexed="81"/>
            <rFont val="Tahoma"/>
            <family val="2"/>
          </rPr>
          <t xml:space="preserve">
Export Product</t>
        </r>
      </text>
    </comment>
  </commentList>
</comments>
</file>

<file path=xl/comments21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9" authorId="0" shapeId="0" xr:uid="{7DECC10B-01BB-4C14-BB8B-23A69A5270A3}">
      <text>
        <r>
          <rPr>
            <b/>
            <sz val="9"/>
            <color indexed="81"/>
            <rFont val="Tahoma"/>
            <family val="2"/>
          </rPr>
          <t>danivelve:</t>
        </r>
        <r>
          <rPr>
            <sz val="9"/>
            <color indexed="81"/>
            <rFont val="Tahoma"/>
            <family val="2"/>
          </rPr>
          <t xml:space="preserve">
Terminal product
</t>
        </r>
      </text>
    </comment>
    <comment ref="D16" authorId="0" shapeId="0" xr:uid="{0ADFD703-8BEE-4D7F-879D-9C457A2F810D}">
      <text>
        <r>
          <rPr>
            <b/>
            <sz val="9"/>
            <color indexed="81"/>
            <rFont val="Tahoma"/>
            <family val="2"/>
          </rPr>
          <t>danivelve:</t>
        </r>
        <r>
          <rPr>
            <sz val="9"/>
            <color indexed="81"/>
            <rFont val="Tahoma"/>
            <family val="2"/>
          </rPr>
          <t xml:space="preserve">
Ron 95
</t>
        </r>
      </text>
    </comment>
    <comment ref="F17" authorId="0" shapeId="0" xr:uid="{D2895505-61D5-4F3A-9CA4-BE7B23639EC8}">
      <text>
        <r>
          <rPr>
            <b/>
            <sz val="9"/>
            <color indexed="81"/>
            <rFont val="Tahoma"/>
            <family val="2"/>
          </rPr>
          <t>danivelve:</t>
        </r>
        <r>
          <rPr>
            <sz val="9"/>
            <color indexed="81"/>
            <rFont val="Tahoma"/>
            <family val="2"/>
          </rPr>
          <t xml:space="preserve">
Export Product</t>
        </r>
      </text>
    </comment>
  </commentList>
</comments>
</file>

<file path=xl/comments21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9" authorId="0" shapeId="0" xr:uid="{F5679DED-0EF0-4486-A740-985640937EB0}">
      <text>
        <r>
          <rPr>
            <b/>
            <sz val="9"/>
            <color indexed="81"/>
            <rFont val="Tahoma"/>
            <family val="2"/>
          </rPr>
          <t>danivelve:</t>
        </r>
        <r>
          <rPr>
            <sz val="9"/>
            <color indexed="81"/>
            <rFont val="Tahoma"/>
            <family val="2"/>
          </rPr>
          <t xml:space="preserve">
Terminal product
</t>
        </r>
      </text>
    </comment>
    <comment ref="D16" authorId="0" shapeId="0" xr:uid="{18CDC908-7160-4923-9D73-4C6278F8AA0E}">
      <text>
        <r>
          <rPr>
            <b/>
            <sz val="9"/>
            <color indexed="81"/>
            <rFont val="Tahoma"/>
            <family val="2"/>
          </rPr>
          <t>danivelve:</t>
        </r>
        <r>
          <rPr>
            <sz val="9"/>
            <color indexed="81"/>
            <rFont val="Tahoma"/>
            <family val="2"/>
          </rPr>
          <t xml:space="preserve">
Ron 95
</t>
        </r>
      </text>
    </comment>
    <comment ref="F17" authorId="0" shapeId="0" xr:uid="{D10B07E1-4181-4E0C-B2B8-956653E73B9C}">
      <text>
        <r>
          <rPr>
            <b/>
            <sz val="9"/>
            <color indexed="81"/>
            <rFont val="Tahoma"/>
            <family val="2"/>
          </rPr>
          <t>danivelve:</t>
        </r>
        <r>
          <rPr>
            <sz val="9"/>
            <color indexed="81"/>
            <rFont val="Tahoma"/>
            <family val="2"/>
          </rPr>
          <t xml:space="preserve">
Export Product</t>
        </r>
      </text>
    </comment>
  </commentList>
</comments>
</file>

<file path=xl/comments21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17" authorId="0" shapeId="0" xr:uid="{A270CFEC-4347-4AEB-BEE2-12E45556BADA}">
      <text>
        <r>
          <rPr>
            <b/>
            <sz val="9"/>
            <color indexed="81"/>
            <rFont val="Tahoma"/>
            <family val="2"/>
          </rPr>
          <t>danivelve:</t>
        </r>
        <r>
          <rPr>
            <sz val="9"/>
            <color indexed="81"/>
            <rFont val="Tahoma"/>
            <family val="2"/>
          </rPr>
          <t xml:space="preserve">
Export Product</t>
        </r>
      </text>
    </comment>
  </commentList>
</comments>
</file>

<file path=xl/comments21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5D6625D4-4301-4590-AEEB-27C33126D6A3}">
      <text>
        <r>
          <rPr>
            <b/>
            <sz val="9"/>
            <color indexed="81"/>
            <rFont val="Tahoma"/>
            <family val="2"/>
          </rPr>
          <t>danivelve:</t>
        </r>
        <r>
          <rPr>
            <sz val="9"/>
            <color indexed="81"/>
            <rFont val="Tahoma"/>
            <family val="2"/>
          </rPr>
          <t xml:space="preserve">
Ron 95 product</t>
        </r>
      </text>
    </comment>
    <comment ref="F17" authorId="0" shapeId="0" xr:uid="{2026333B-F4EB-4BAA-A948-D98BB0F0F564}">
      <text>
        <r>
          <rPr>
            <b/>
            <sz val="9"/>
            <color indexed="81"/>
            <rFont val="Tahoma"/>
            <family val="2"/>
          </rPr>
          <t>danivelve:</t>
        </r>
        <r>
          <rPr>
            <sz val="9"/>
            <color indexed="81"/>
            <rFont val="Tahoma"/>
            <family val="2"/>
          </rPr>
          <t xml:space="preserve">
Export Product</t>
        </r>
      </text>
    </comment>
  </commentList>
</comments>
</file>

<file path=xl/comments21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F47F248-D1A5-4769-A293-DDA14C03B4C3}">
      <text>
        <r>
          <rPr>
            <b/>
            <sz val="9"/>
            <color indexed="81"/>
            <rFont val="Tahoma"/>
            <family val="2"/>
          </rPr>
          <t>danivelve:</t>
        </r>
        <r>
          <rPr>
            <sz val="9"/>
            <color indexed="81"/>
            <rFont val="Tahoma"/>
            <family val="2"/>
          </rPr>
          <t xml:space="preserve">
Ron 95 product</t>
        </r>
      </text>
    </comment>
    <comment ref="F17" authorId="0" shapeId="0" xr:uid="{A98772B3-4C82-4454-B989-A2A05AB5512C}">
      <text>
        <r>
          <rPr>
            <b/>
            <sz val="9"/>
            <color indexed="81"/>
            <rFont val="Tahoma"/>
            <family val="2"/>
          </rPr>
          <t>danivelve:</t>
        </r>
        <r>
          <rPr>
            <sz val="9"/>
            <color indexed="81"/>
            <rFont val="Tahoma"/>
            <family val="2"/>
          </rPr>
          <t xml:space="preserve">
Export Product</t>
        </r>
      </text>
    </comment>
  </commentList>
</comments>
</file>

<file path=xl/comments21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17" authorId="0" shapeId="0" xr:uid="{26C3570A-4B48-4589-A23B-AA3D11B9E2AF}">
      <text>
        <r>
          <rPr>
            <b/>
            <sz val="9"/>
            <color indexed="81"/>
            <rFont val="Tahoma"/>
            <family val="2"/>
          </rPr>
          <t>danivelve:</t>
        </r>
        <r>
          <rPr>
            <sz val="9"/>
            <color indexed="81"/>
            <rFont val="Tahoma"/>
            <family val="2"/>
          </rPr>
          <t xml:space="preserve">
Export Product</t>
        </r>
      </text>
    </comment>
  </commentList>
</comments>
</file>

<file path=xl/comments21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0AA1602-A0D9-4685-8EBB-9444B8551B54}">
      <text>
        <r>
          <rPr>
            <b/>
            <sz val="9"/>
            <color indexed="81"/>
            <rFont val="Tahoma"/>
            <family val="2"/>
          </rPr>
          <t>danivelve:</t>
        </r>
        <r>
          <rPr>
            <sz val="9"/>
            <color indexed="81"/>
            <rFont val="Tahoma"/>
            <family val="2"/>
          </rPr>
          <t xml:space="preserve">
Ron 95 product</t>
        </r>
      </text>
    </comment>
    <comment ref="F17" authorId="0" shapeId="0" xr:uid="{2C0B3730-6EC3-4475-8939-35F30BDD2604}">
      <text>
        <r>
          <rPr>
            <b/>
            <sz val="9"/>
            <color indexed="81"/>
            <rFont val="Tahoma"/>
            <family val="2"/>
          </rPr>
          <t>danivelve:</t>
        </r>
        <r>
          <rPr>
            <sz val="9"/>
            <color indexed="81"/>
            <rFont val="Tahoma"/>
            <family val="2"/>
          </rPr>
          <t xml:space="preserve">
Export Product</t>
        </r>
      </text>
    </comment>
  </commentList>
</comments>
</file>

<file path=xl/comments22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871764AE-5CF5-42E3-9BDD-A970873D0783}">
      <text>
        <r>
          <rPr>
            <b/>
            <sz val="9"/>
            <color indexed="81"/>
            <rFont val="Tahoma"/>
            <family val="2"/>
          </rPr>
          <t>danivelve:</t>
        </r>
        <r>
          <rPr>
            <sz val="9"/>
            <color indexed="81"/>
            <rFont val="Tahoma"/>
            <family val="2"/>
          </rPr>
          <t xml:space="preserve">
Ron 95 product</t>
        </r>
      </text>
    </comment>
    <comment ref="F17" authorId="0" shapeId="0" xr:uid="{5A9FD165-F23D-4058-93FC-97538B1ABBA4}">
      <text>
        <r>
          <rPr>
            <b/>
            <sz val="9"/>
            <color indexed="81"/>
            <rFont val="Tahoma"/>
            <family val="2"/>
          </rPr>
          <t>danivelve:</t>
        </r>
        <r>
          <rPr>
            <sz val="9"/>
            <color indexed="81"/>
            <rFont val="Tahoma"/>
            <family val="2"/>
          </rPr>
          <t xml:space="preserve">
Export Product</t>
        </r>
      </text>
    </comment>
  </commentList>
</comments>
</file>

<file path=xl/comments22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98FB4D5-0F5D-4A23-B4C1-35D901CB2FFB}">
      <text>
        <r>
          <rPr>
            <b/>
            <sz val="9"/>
            <color indexed="81"/>
            <rFont val="Tahoma"/>
            <family val="2"/>
          </rPr>
          <t>danivelve:</t>
        </r>
        <r>
          <rPr>
            <sz val="9"/>
            <color indexed="81"/>
            <rFont val="Tahoma"/>
            <family val="2"/>
          </rPr>
          <t xml:space="preserve">
Ron 95 product</t>
        </r>
      </text>
    </comment>
    <comment ref="F17" authorId="0" shapeId="0" xr:uid="{D9E2BBC9-6006-4A07-A5E6-6AC7A60BCBBD}">
      <text>
        <r>
          <rPr>
            <b/>
            <sz val="9"/>
            <color indexed="81"/>
            <rFont val="Tahoma"/>
            <family val="2"/>
          </rPr>
          <t>danivelve:</t>
        </r>
        <r>
          <rPr>
            <sz val="9"/>
            <color indexed="81"/>
            <rFont val="Tahoma"/>
            <family val="2"/>
          </rPr>
          <t xml:space="preserve">
Export Product</t>
        </r>
      </text>
    </comment>
  </commentList>
</comments>
</file>

<file path=xl/comments22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5E16E9A-96A0-4C1E-B038-325B53728DBE}">
      <text>
        <r>
          <rPr>
            <b/>
            <sz val="9"/>
            <color indexed="81"/>
            <rFont val="Tahoma"/>
            <family val="2"/>
          </rPr>
          <t>danivelve:</t>
        </r>
        <r>
          <rPr>
            <sz val="9"/>
            <color indexed="81"/>
            <rFont val="Tahoma"/>
            <family val="2"/>
          </rPr>
          <t xml:space="preserve">
Ron 95 product</t>
        </r>
      </text>
    </comment>
    <comment ref="F17" authorId="0" shapeId="0" xr:uid="{2EACE5EB-8AE0-42E6-967A-4290A13819A3}">
      <text>
        <r>
          <rPr>
            <b/>
            <sz val="9"/>
            <color indexed="81"/>
            <rFont val="Tahoma"/>
            <family val="2"/>
          </rPr>
          <t>danivelve:</t>
        </r>
        <r>
          <rPr>
            <sz val="9"/>
            <color indexed="81"/>
            <rFont val="Tahoma"/>
            <family val="2"/>
          </rPr>
          <t xml:space="preserve">
Export Product</t>
        </r>
      </text>
    </comment>
  </commentList>
</comments>
</file>

<file path=xl/comments22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32A8AF7-5C7C-4233-9797-DE54BBD478AE}">
      <text>
        <r>
          <rPr>
            <b/>
            <sz val="9"/>
            <color indexed="81"/>
            <rFont val="Tahoma"/>
            <family val="2"/>
          </rPr>
          <t>danivelve:</t>
        </r>
        <r>
          <rPr>
            <sz val="9"/>
            <color indexed="81"/>
            <rFont val="Tahoma"/>
            <family val="2"/>
          </rPr>
          <t xml:space="preserve">
Ron 95 product</t>
        </r>
      </text>
    </comment>
    <comment ref="F17" authorId="0" shapeId="0" xr:uid="{463E563E-1624-48E0-904E-19BEEFE37BC1}">
      <text>
        <r>
          <rPr>
            <b/>
            <sz val="9"/>
            <color indexed="81"/>
            <rFont val="Tahoma"/>
            <family val="2"/>
          </rPr>
          <t>danivelve:</t>
        </r>
        <r>
          <rPr>
            <sz val="9"/>
            <color indexed="81"/>
            <rFont val="Tahoma"/>
            <family val="2"/>
          </rPr>
          <t xml:space="preserve">
Export Product</t>
        </r>
      </text>
    </comment>
  </commentList>
</comments>
</file>

<file path=xl/comments22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E2E08BA0-A650-43AC-B6FB-2F5F98B26D74}">
      <text>
        <r>
          <rPr>
            <b/>
            <sz val="9"/>
            <color indexed="81"/>
            <rFont val="Tahoma"/>
            <family val="2"/>
          </rPr>
          <t>danivelve:</t>
        </r>
        <r>
          <rPr>
            <sz val="9"/>
            <color indexed="81"/>
            <rFont val="Tahoma"/>
            <family val="2"/>
          </rPr>
          <t xml:space="preserve">
Ron 95 product</t>
        </r>
      </text>
    </comment>
    <comment ref="F17" authorId="0" shapeId="0" xr:uid="{10570792-4712-4530-A72C-B15B0B72FCB2}">
      <text>
        <r>
          <rPr>
            <b/>
            <sz val="9"/>
            <color indexed="81"/>
            <rFont val="Tahoma"/>
            <family val="2"/>
          </rPr>
          <t>danivelve:</t>
        </r>
        <r>
          <rPr>
            <sz val="9"/>
            <color indexed="81"/>
            <rFont val="Tahoma"/>
            <family val="2"/>
          </rPr>
          <t xml:space="preserve">
Export Product</t>
        </r>
      </text>
    </comment>
  </commentList>
</comments>
</file>

<file path=xl/comments22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FEF14AA-60EA-4CE7-870F-7A4219448D12}">
      <text>
        <r>
          <rPr>
            <b/>
            <sz val="9"/>
            <color indexed="81"/>
            <rFont val="Tahoma"/>
            <family val="2"/>
          </rPr>
          <t>danivelve:</t>
        </r>
        <r>
          <rPr>
            <sz val="9"/>
            <color indexed="81"/>
            <rFont val="Tahoma"/>
            <family val="2"/>
          </rPr>
          <t xml:space="preserve">
Ron 95 product</t>
        </r>
      </text>
    </comment>
    <comment ref="F17" authorId="0" shapeId="0" xr:uid="{C7B1E190-BECE-4E27-972A-39CAA086D241}">
      <text>
        <r>
          <rPr>
            <b/>
            <sz val="9"/>
            <color indexed="81"/>
            <rFont val="Tahoma"/>
            <family val="2"/>
          </rPr>
          <t>danivelve:</t>
        </r>
        <r>
          <rPr>
            <sz val="9"/>
            <color indexed="81"/>
            <rFont val="Tahoma"/>
            <family val="2"/>
          </rPr>
          <t xml:space="preserve">
Export Product</t>
        </r>
      </text>
    </comment>
  </commentList>
</comments>
</file>

<file path=xl/comments22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0EDD17B-54DE-47D8-AF39-2E9F95E00CC0}">
      <text>
        <r>
          <rPr>
            <b/>
            <sz val="9"/>
            <color indexed="81"/>
            <rFont val="Tahoma"/>
            <family val="2"/>
          </rPr>
          <t>danivelve:</t>
        </r>
        <r>
          <rPr>
            <sz val="9"/>
            <color indexed="81"/>
            <rFont val="Tahoma"/>
            <family val="2"/>
          </rPr>
          <t xml:space="preserve">
Ron 95 product</t>
        </r>
      </text>
    </comment>
    <comment ref="F17" authorId="0" shapeId="0" xr:uid="{9B85C638-9E62-4E1F-A060-1DD8D95D0C86}">
      <text>
        <r>
          <rPr>
            <b/>
            <sz val="9"/>
            <color indexed="81"/>
            <rFont val="Tahoma"/>
            <family val="2"/>
          </rPr>
          <t>danivelve:</t>
        </r>
        <r>
          <rPr>
            <sz val="9"/>
            <color indexed="81"/>
            <rFont val="Tahoma"/>
            <family val="2"/>
          </rPr>
          <t xml:space="preserve">
Export Product</t>
        </r>
      </text>
    </comment>
  </commentList>
</comments>
</file>

<file path=xl/comments22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C432E7F-B2B5-4F44-A630-744CAED346F9}">
      <text>
        <r>
          <rPr>
            <b/>
            <sz val="9"/>
            <color indexed="81"/>
            <rFont val="Tahoma"/>
            <family val="2"/>
          </rPr>
          <t>danivelve:</t>
        </r>
        <r>
          <rPr>
            <sz val="9"/>
            <color indexed="81"/>
            <rFont val="Tahoma"/>
            <family val="2"/>
          </rPr>
          <t xml:space="preserve">
Ron 95 product</t>
        </r>
      </text>
    </comment>
    <comment ref="F17" authorId="0" shapeId="0" xr:uid="{D4AFF0CD-72E6-4A75-B03B-ADC4E7902349}">
      <text>
        <r>
          <rPr>
            <b/>
            <sz val="9"/>
            <color indexed="81"/>
            <rFont val="Tahoma"/>
            <family val="2"/>
          </rPr>
          <t>danivelve:</t>
        </r>
        <r>
          <rPr>
            <sz val="9"/>
            <color indexed="81"/>
            <rFont val="Tahoma"/>
            <family val="2"/>
          </rPr>
          <t xml:space="preserve">
Export Product</t>
        </r>
      </text>
    </comment>
  </commentList>
</comments>
</file>

<file path=xl/comments22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8BD8B77-22C8-47A4-BF8E-70BED810ADA1}">
      <text>
        <r>
          <rPr>
            <b/>
            <sz val="9"/>
            <color indexed="81"/>
            <rFont val="Tahoma"/>
            <family val="2"/>
          </rPr>
          <t>danivelve:</t>
        </r>
        <r>
          <rPr>
            <sz val="9"/>
            <color indexed="81"/>
            <rFont val="Tahoma"/>
            <family val="2"/>
          </rPr>
          <t xml:space="preserve">
Ron 95 product</t>
        </r>
      </text>
    </comment>
    <comment ref="F17" authorId="0" shapeId="0" xr:uid="{06F902BD-D994-459C-8BAD-1958C3E2515E}">
      <text>
        <r>
          <rPr>
            <b/>
            <sz val="9"/>
            <color indexed="81"/>
            <rFont val="Tahoma"/>
            <family val="2"/>
          </rPr>
          <t>danivelve:</t>
        </r>
        <r>
          <rPr>
            <sz val="9"/>
            <color indexed="81"/>
            <rFont val="Tahoma"/>
            <family val="2"/>
          </rPr>
          <t xml:space="preserve">
Export Product</t>
        </r>
      </text>
    </comment>
  </commentList>
</comments>
</file>

<file path=xl/comments22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1692E17-A098-469B-8C8D-2C1A364EECAE}">
      <text>
        <r>
          <rPr>
            <b/>
            <sz val="9"/>
            <color indexed="81"/>
            <rFont val="Tahoma"/>
            <family val="2"/>
          </rPr>
          <t>danivelve:</t>
        </r>
        <r>
          <rPr>
            <sz val="9"/>
            <color indexed="81"/>
            <rFont val="Tahoma"/>
            <family val="2"/>
          </rPr>
          <t xml:space="preserve">
Ron 95 product</t>
        </r>
      </text>
    </comment>
    <comment ref="F17" authorId="0" shapeId="0" xr:uid="{D41EAEA7-8491-4CDE-98B9-C15AF470FF54}">
      <text>
        <r>
          <rPr>
            <b/>
            <sz val="9"/>
            <color indexed="81"/>
            <rFont val="Tahoma"/>
            <family val="2"/>
          </rPr>
          <t>danivelve:</t>
        </r>
        <r>
          <rPr>
            <sz val="9"/>
            <color indexed="81"/>
            <rFont val="Tahoma"/>
            <family val="2"/>
          </rPr>
          <t xml:space="preserve">
Export Product</t>
        </r>
      </text>
    </comment>
  </commentList>
</comments>
</file>

<file path=xl/comments23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5EFB8B2-A839-4F3A-8AE3-67C6D5BF6547}">
      <text>
        <r>
          <rPr>
            <b/>
            <sz val="9"/>
            <color indexed="81"/>
            <rFont val="Tahoma"/>
            <family val="2"/>
          </rPr>
          <t>danivelve:</t>
        </r>
        <r>
          <rPr>
            <sz val="9"/>
            <color indexed="81"/>
            <rFont val="Tahoma"/>
            <family val="2"/>
          </rPr>
          <t xml:space="preserve">
Ron 95 product</t>
        </r>
      </text>
    </comment>
    <comment ref="F17" authorId="0" shapeId="0" xr:uid="{A878F45C-C3D6-47EA-95DF-7B1BCB24F13D}">
      <text>
        <r>
          <rPr>
            <b/>
            <sz val="9"/>
            <color indexed="81"/>
            <rFont val="Tahoma"/>
            <family val="2"/>
          </rPr>
          <t>danivelve:</t>
        </r>
        <r>
          <rPr>
            <sz val="9"/>
            <color indexed="81"/>
            <rFont val="Tahoma"/>
            <family val="2"/>
          </rPr>
          <t xml:space="preserve">
Export Product</t>
        </r>
      </text>
    </comment>
  </commentList>
</comments>
</file>

<file path=xl/comments23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4BCB7C00-1045-4410-A734-1657C452624B}">
      <text>
        <r>
          <rPr>
            <b/>
            <sz val="9"/>
            <color indexed="81"/>
            <rFont val="Tahoma"/>
            <family val="2"/>
          </rPr>
          <t>danivelve:</t>
        </r>
        <r>
          <rPr>
            <sz val="9"/>
            <color indexed="81"/>
            <rFont val="Tahoma"/>
            <family val="2"/>
          </rPr>
          <t xml:space="preserve">
Ron 95 product</t>
        </r>
      </text>
    </comment>
    <comment ref="F17" authorId="0" shapeId="0" xr:uid="{DD13C2CB-E8E6-487B-A821-0F3D55DB77A3}">
      <text>
        <r>
          <rPr>
            <b/>
            <sz val="9"/>
            <color indexed="81"/>
            <rFont val="Tahoma"/>
            <family val="2"/>
          </rPr>
          <t>danivelve:</t>
        </r>
        <r>
          <rPr>
            <sz val="9"/>
            <color indexed="81"/>
            <rFont val="Tahoma"/>
            <family val="2"/>
          </rPr>
          <t xml:space="preserve">
Export Product</t>
        </r>
      </text>
    </comment>
  </commentList>
</comments>
</file>

<file path=xl/comments23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97E0AC4-41AA-4127-98E3-045503D70183}">
      <text>
        <r>
          <rPr>
            <b/>
            <sz val="9"/>
            <color indexed="81"/>
            <rFont val="Tahoma"/>
            <family val="2"/>
          </rPr>
          <t>danivelve:</t>
        </r>
        <r>
          <rPr>
            <sz val="9"/>
            <color indexed="81"/>
            <rFont val="Tahoma"/>
            <family val="2"/>
          </rPr>
          <t xml:space="preserve">
Ron 95 product</t>
        </r>
      </text>
    </comment>
    <comment ref="F17" authorId="0" shapeId="0" xr:uid="{6119A4BF-72AB-4ED1-88CA-1BEB21BFD698}">
      <text>
        <r>
          <rPr>
            <b/>
            <sz val="9"/>
            <color indexed="81"/>
            <rFont val="Tahoma"/>
            <family val="2"/>
          </rPr>
          <t>danivelve:</t>
        </r>
        <r>
          <rPr>
            <sz val="9"/>
            <color indexed="81"/>
            <rFont val="Tahoma"/>
            <family val="2"/>
          </rPr>
          <t xml:space="preserve">
Export Product</t>
        </r>
      </text>
    </comment>
  </commentList>
</comments>
</file>

<file path=xl/comments23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92D8F1D-4336-47B0-A42B-B8C4B2FCEB92}">
      <text>
        <r>
          <rPr>
            <b/>
            <sz val="9"/>
            <color indexed="81"/>
            <rFont val="Tahoma"/>
            <family val="2"/>
          </rPr>
          <t>danivelve:</t>
        </r>
        <r>
          <rPr>
            <sz val="9"/>
            <color indexed="81"/>
            <rFont val="Tahoma"/>
            <family val="2"/>
          </rPr>
          <t xml:space="preserve">
Ron 95 product</t>
        </r>
      </text>
    </comment>
    <comment ref="F17" authorId="0" shapeId="0" xr:uid="{54F7174B-A676-4F27-BC3B-5898B4121063}">
      <text>
        <r>
          <rPr>
            <b/>
            <sz val="9"/>
            <color indexed="81"/>
            <rFont val="Tahoma"/>
            <family val="2"/>
          </rPr>
          <t>danivelve:</t>
        </r>
        <r>
          <rPr>
            <sz val="9"/>
            <color indexed="81"/>
            <rFont val="Tahoma"/>
            <family val="2"/>
          </rPr>
          <t xml:space="preserve">
Export Product</t>
        </r>
      </text>
    </comment>
  </commentList>
</comments>
</file>

<file path=xl/comments23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C4E8A6B-A5A4-465E-A25E-5902924E662C}">
      <text>
        <r>
          <rPr>
            <b/>
            <sz val="9"/>
            <color indexed="81"/>
            <rFont val="Tahoma"/>
            <family val="2"/>
          </rPr>
          <t>danivelve:</t>
        </r>
        <r>
          <rPr>
            <sz val="9"/>
            <color indexed="81"/>
            <rFont val="Tahoma"/>
            <family val="2"/>
          </rPr>
          <t xml:space="preserve">
Ron 95 product</t>
        </r>
      </text>
    </comment>
    <comment ref="F17" authorId="0" shapeId="0" xr:uid="{2F21E682-43A8-4E77-82CB-E05CB53FBCBA}">
      <text>
        <r>
          <rPr>
            <b/>
            <sz val="9"/>
            <color indexed="81"/>
            <rFont val="Tahoma"/>
            <family val="2"/>
          </rPr>
          <t>danivelve:</t>
        </r>
        <r>
          <rPr>
            <sz val="9"/>
            <color indexed="81"/>
            <rFont val="Tahoma"/>
            <family val="2"/>
          </rPr>
          <t xml:space="preserve">
Export Product</t>
        </r>
      </text>
    </comment>
  </commentList>
</comments>
</file>

<file path=xl/comments23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1C76D03-7A33-41C9-BB54-A0C4BCAAB71B}">
      <text>
        <r>
          <rPr>
            <b/>
            <sz val="9"/>
            <color indexed="81"/>
            <rFont val="Tahoma"/>
            <family val="2"/>
          </rPr>
          <t>danivelve:</t>
        </r>
        <r>
          <rPr>
            <sz val="9"/>
            <color indexed="81"/>
            <rFont val="Tahoma"/>
            <family val="2"/>
          </rPr>
          <t xml:space="preserve">
Ron 95 product</t>
        </r>
      </text>
    </comment>
    <comment ref="F17" authorId="0" shapeId="0" xr:uid="{115FA646-774D-4D95-B2F1-2990C256A06F}">
      <text>
        <r>
          <rPr>
            <b/>
            <sz val="9"/>
            <color indexed="81"/>
            <rFont val="Tahoma"/>
            <family val="2"/>
          </rPr>
          <t>danivelve:</t>
        </r>
        <r>
          <rPr>
            <sz val="9"/>
            <color indexed="81"/>
            <rFont val="Tahoma"/>
            <family val="2"/>
          </rPr>
          <t xml:space="preserve">
Export Product</t>
        </r>
      </text>
    </comment>
  </commentList>
</comments>
</file>

<file path=xl/comments23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EE0392A-9028-4AFE-BA0C-481B65D93E6F}">
      <text>
        <r>
          <rPr>
            <b/>
            <sz val="9"/>
            <color indexed="81"/>
            <rFont val="Tahoma"/>
            <family val="2"/>
          </rPr>
          <t>danivelve:</t>
        </r>
        <r>
          <rPr>
            <sz val="9"/>
            <color indexed="81"/>
            <rFont val="Tahoma"/>
            <family val="2"/>
          </rPr>
          <t xml:space="preserve">
Ron 95 product</t>
        </r>
      </text>
    </comment>
    <comment ref="F17" authorId="0" shapeId="0" xr:uid="{C24A54F5-2823-4076-9D36-72921F65AADA}">
      <text>
        <r>
          <rPr>
            <b/>
            <sz val="9"/>
            <color indexed="81"/>
            <rFont val="Tahoma"/>
            <family val="2"/>
          </rPr>
          <t>danivelve:</t>
        </r>
        <r>
          <rPr>
            <sz val="9"/>
            <color indexed="81"/>
            <rFont val="Tahoma"/>
            <family val="2"/>
          </rPr>
          <t xml:space="preserve">
Export Product</t>
        </r>
      </text>
    </comment>
  </commentList>
</comments>
</file>

<file path=xl/comments23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F17" authorId="0" shapeId="0" xr:uid="{7EC04AF4-C132-49D4-A799-7FBBA946EB13}">
      <text>
        <r>
          <rPr>
            <b/>
            <sz val="9"/>
            <color indexed="81"/>
            <rFont val="Tahoma"/>
            <family val="2"/>
          </rPr>
          <t>danivelve:</t>
        </r>
        <r>
          <rPr>
            <sz val="9"/>
            <color indexed="81"/>
            <rFont val="Tahoma"/>
            <family val="2"/>
          </rPr>
          <t xml:space="preserve">
volumes
</t>
        </r>
      </text>
    </comment>
  </commentList>
</comments>
</file>

<file path=xl/comments23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45CFE44A-D41E-4E71-8DDE-28D9CCF5EBFA}">
      <text>
        <r>
          <rPr>
            <b/>
            <sz val="9"/>
            <color indexed="81"/>
            <rFont val="Tahoma"/>
            <family val="2"/>
          </rPr>
          <t>danivelve:</t>
        </r>
        <r>
          <rPr>
            <sz val="9"/>
            <color indexed="81"/>
            <rFont val="Tahoma"/>
            <family val="2"/>
          </rPr>
          <t xml:space="preserve">
Ron 95 product</t>
        </r>
      </text>
    </comment>
  </commentList>
</comments>
</file>

<file path=xl/comments23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4E04479-D067-4BDC-8F30-AF977DEA6151}">
      <text>
        <r>
          <rPr>
            <b/>
            <sz val="9"/>
            <color indexed="81"/>
            <rFont val="Tahoma"/>
            <family val="2"/>
          </rPr>
          <t>danivelve:</t>
        </r>
        <r>
          <rPr>
            <sz val="9"/>
            <color indexed="81"/>
            <rFont val="Tahoma"/>
            <family val="2"/>
          </rPr>
          <t xml:space="preserve">
Ron 95 product</t>
        </r>
      </text>
    </comment>
  </commentList>
</comments>
</file>

<file path=xl/comments24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CE444F5-D42C-4102-A759-C764BAE6A80F}">
      <text>
        <r>
          <rPr>
            <b/>
            <sz val="9"/>
            <color indexed="81"/>
            <rFont val="Tahoma"/>
            <family val="2"/>
          </rPr>
          <t>danivelve:</t>
        </r>
        <r>
          <rPr>
            <sz val="9"/>
            <color indexed="81"/>
            <rFont val="Tahoma"/>
            <family val="2"/>
          </rPr>
          <t xml:space="preserve">
Ron 95 product</t>
        </r>
      </text>
    </comment>
  </commentList>
</comments>
</file>

<file path=xl/comments24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CB076C2-33BE-4549-B804-AC19588A614F}">
      <text>
        <r>
          <rPr>
            <b/>
            <sz val="9"/>
            <color indexed="81"/>
            <rFont val="Tahoma"/>
            <family val="2"/>
          </rPr>
          <t>danivelve:</t>
        </r>
        <r>
          <rPr>
            <sz val="9"/>
            <color indexed="81"/>
            <rFont val="Tahoma"/>
            <family val="2"/>
          </rPr>
          <t xml:space="preserve">
Ron 95 product</t>
        </r>
      </text>
    </comment>
  </commentList>
</comments>
</file>

<file path=xl/comments24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6871E7E7-6AB9-461C-8B93-E760036DD0FD}">
      <text>
        <r>
          <rPr>
            <b/>
            <sz val="9"/>
            <color indexed="81"/>
            <rFont val="Tahoma"/>
            <family val="2"/>
          </rPr>
          <t>danivelve:</t>
        </r>
        <r>
          <rPr>
            <sz val="9"/>
            <color indexed="81"/>
            <rFont val="Tahoma"/>
            <family val="2"/>
          </rPr>
          <t xml:space="preserve">
Ron 95 product</t>
        </r>
      </text>
    </comment>
  </commentList>
</comments>
</file>

<file path=xl/comments24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728ED1B-6055-47E7-8BC5-E7DE33877207}">
      <text>
        <r>
          <rPr>
            <b/>
            <sz val="9"/>
            <color indexed="81"/>
            <rFont val="Tahoma"/>
            <family val="2"/>
          </rPr>
          <t>danivelve:</t>
        </r>
        <r>
          <rPr>
            <sz val="9"/>
            <color indexed="81"/>
            <rFont val="Tahoma"/>
            <family val="2"/>
          </rPr>
          <t xml:space="preserve">
Ron 95 product</t>
        </r>
      </text>
    </comment>
  </commentList>
</comments>
</file>

<file path=xl/comments24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B8F9E66-3300-4246-9EE5-BE870EF37CBC}">
      <text>
        <r>
          <rPr>
            <b/>
            <sz val="9"/>
            <color indexed="81"/>
            <rFont val="Tahoma"/>
            <family val="2"/>
          </rPr>
          <t>danivelve:</t>
        </r>
        <r>
          <rPr>
            <sz val="9"/>
            <color indexed="81"/>
            <rFont val="Tahoma"/>
            <family val="2"/>
          </rPr>
          <t xml:space="preserve">
Ron 95 product</t>
        </r>
      </text>
    </comment>
  </commentList>
</comments>
</file>

<file path=xl/comments24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320495D-C0AC-457D-8591-F04DE070A0C9}">
      <text>
        <r>
          <rPr>
            <b/>
            <sz val="9"/>
            <color indexed="81"/>
            <rFont val="Tahoma"/>
            <family val="2"/>
          </rPr>
          <t>danivelve:</t>
        </r>
        <r>
          <rPr>
            <sz val="9"/>
            <color indexed="81"/>
            <rFont val="Tahoma"/>
            <family val="2"/>
          </rPr>
          <t xml:space="preserve">
Ron 95 product</t>
        </r>
      </text>
    </comment>
  </commentList>
</comments>
</file>

<file path=xl/comments24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F4E840C-04FF-4D67-B0D9-68AABC6D4595}">
      <text>
        <r>
          <rPr>
            <b/>
            <sz val="9"/>
            <color indexed="81"/>
            <rFont val="Tahoma"/>
            <family val="2"/>
          </rPr>
          <t>danivelve:</t>
        </r>
        <r>
          <rPr>
            <sz val="9"/>
            <color indexed="81"/>
            <rFont val="Tahoma"/>
            <family val="2"/>
          </rPr>
          <t xml:space="preserve">
Ron 95 product</t>
        </r>
      </text>
    </comment>
  </commentList>
</comments>
</file>

<file path=xl/comments24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443A51BD-13C0-4701-AAD7-CA830C04A726}">
      <text>
        <r>
          <rPr>
            <b/>
            <sz val="9"/>
            <color indexed="81"/>
            <rFont val="Tahoma"/>
            <family val="2"/>
          </rPr>
          <t>danivelve:</t>
        </r>
        <r>
          <rPr>
            <sz val="9"/>
            <color indexed="81"/>
            <rFont val="Tahoma"/>
            <family val="2"/>
          </rPr>
          <t xml:space="preserve">
Ron 95 product</t>
        </r>
      </text>
    </comment>
  </commentList>
</comments>
</file>

<file path=xl/comments24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DF925208-7D0C-4A63-8AC4-34D27213A2C2}">
      <text>
        <r>
          <rPr>
            <b/>
            <sz val="9"/>
            <color indexed="81"/>
            <rFont val="Tahoma"/>
            <family val="2"/>
          </rPr>
          <t>danivelve:</t>
        </r>
        <r>
          <rPr>
            <sz val="9"/>
            <color indexed="81"/>
            <rFont val="Tahoma"/>
            <family val="2"/>
          </rPr>
          <t xml:space="preserve">
Ron 95 product</t>
        </r>
      </text>
    </comment>
  </commentList>
</comments>
</file>

<file path=xl/comments24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B199D57E-FF24-4D47-B0FB-AFD7BFE7F121}">
      <text>
        <r>
          <rPr>
            <b/>
            <sz val="9"/>
            <color indexed="81"/>
            <rFont val="Tahoma"/>
            <family val="2"/>
          </rPr>
          <t>danivelve:</t>
        </r>
        <r>
          <rPr>
            <sz val="9"/>
            <color indexed="81"/>
            <rFont val="Tahoma"/>
            <family val="2"/>
          </rPr>
          <t xml:space="preserve">
Ron 95 product</t>
        </r>
      </text>
    </comment>
  </commentList>
</comments>
</file>

<file path=xl/comments25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22563D35-ACF0-47D7-AC9B-AF0644C8B1F4}">
      <text>
        <r>
          <rPr>
            <b/>
            <sz val="9"/>
            <color indexed="81"/>
            <rFont val="Tahoma"/>
            <family val="2"/>
          </rPr>
          <t>danivelve:</t>
        </r>
        <r>
          <rPr>
            <sz val="9"/>
            <color indexed="81"/>
            <rFont val="Tahoma"/>
            <family val="2"/>
          </rPr>
          <t xml:space="preserve">
Ron 95 product</t>
        </r>
      </text>
    </comment>
  </commentList>
</comments>
</file>

<file path=xl/comments251.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54964A52-BE4C-42FF-9E7D-00C4753E65C5}">
      <text>
        <r>
          <rPr>
            <b/>
            <sz val="9"/>
            <color indexed="81"/>
            <rFont val="Tahoma"/>
            <family val="2"/>
          </rPr>
          <t>danivelve:</t>
        </r>
        <r>
          <rPr>
            <sz val="9"/>
            <color indexed="81"/>
            <rFont val="Tahoma"/>
            <family val="2"/>
          </rPr>
          <t xml:space="preserve">
Ron 95 product</t>
        </r>
      </text>
    </comment>
  </commentList>
</comments>
</file>

<file path=xl/comments252.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C0F21FA6-60F6-49EE-8A8A-C5B2FF54B5B8}">
      <text>
        <r>
          <rPr>
            <b/>
            <sz val="9"/>
            <color indexed="81"/>
            <rFont val="Tahoma"/>
            <family val="2"/>
          </rPr>
          <t>danivelve:</t>
        </r>
        <r>
          <rPr>
            <sz val="9"/>
            <color indexed="81"/>
            <rFont val="Tahoma"/>
            <family val="2"/>
          </rPr>
          <t xml:space="preserve">
Ron 95 product</t>
        </r>
      </text>
    </comment>
  </commentList>
</comments>
</file>

<file path=xl/comments253.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04968BC5-0783-48A0-8FD6-BE1B31B59868}">
      <text>
        <r>
          <rPr>
            <b/>
            <sz val="9"/>
            <color indexed="81"/>
            <rFont val="Tahoma"/>
            <family val="2"/>
          </rPr>
          <t>danivelve:</t>
        </r>
        <r>
          <rPr>
            <sz val="9"/>
            <color indexed="81"/>
            <rFont val="Tahoma"/>
            <family val="2"/>
          </rPr>
          <t xml:space="preserve">
Ron 95 product</t>
        </r>
      </text>
    </comment>
  </commentList>
</comments>
</file>

<file path=xl/comments254.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72437EE3-6A13-40C7-BE5F-BCE07C6B68DD}">
      <text>
        <r>
          <rPr>
            <b/>
            <sz val="9"/>
            <color indexed="81"/>
            <rFont val="Tahoma"/>
            <family val="2"/>
          </rPr>
          <t>danivelve:</t>
        </r>
        <r>
          <rPr>
            <sz val="9"/>
            <color indexed="81"/>
            <rFont val="Tahoma"/>
            <family val="2"/>
          </rPr>
          <t xml:space="preserve">
Ron 95 product</t>
        </r>
      </text>
    </comment>
  </commentList>
</comments>
</file>

<file path=xl/comments255.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AFB8B01C-D9D3-4E30-ABEA-17C1FACF76DA}">
      <text>
        <r>
          <rPr>
            <b/>
            <sz val="9"/>
            <color indexed="81"/>
            <rFont val="Tahoma"/>
            <family val="2"/>
          </rPr>
          <t>danivelve:</t>
        </r>
        <r>
          <rPr>
            <sz val="9"/>
            <color indexed="81"/>
            <rFont val="Tahoma"/>
            <family val="2"/>
          </rPr>
          <t xml:space="preserve">
Ron 95 product</t>
        </r>
      </text>
    </comment>
  </commentList>
</comments>
</file>

<file path=xl/comments256.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32F5AAE3-8750-49BA-808B-F3157AF502D3}">
      <text>
        <r>
          <rPr>
            <b/>
            <sz val="9"/>
            <color indexed="81"/>
            <rFont val="Tahoma"/>
            <family val="2"/>
          </rPr>
          <t>danivelve:</t>
        </r>
        <r>
          <rPr>
            <sz val="9"/>
            <color indexed="81"/>
            <rFont val="Tahoma"/>
            <family val="2"/>
          </rPr>
          <t xml:space="preserve">
Ron 95 product</t>
        </r>
      </text>
    </comment>
  </commentList>
</comments>
</file>

<file path=xl/comments257.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804B6D9-2BBD-4A11-8B0F-DC88C03F16EF}">
      <text>
        <r>
          <rPr>
            <b/>
            <sz val="9"/>
            <color indexed="81"/>
            <rFont val="Tahoma"/>
            <family val="2"/>
          </rPr>
          <t>danivelve:</t>
        </r>
        <r>
          <rPr>
            <sz val="9"/>
            <color indexed="81"/>
            <rFont val="Tahoma"/>
            <family val="2"/>
          </rPr>
          <t xml:space="preserve">
Ron 95 product</t>
        </r>
      </text>
    </comment>
    <comment ref="F17" authorId="0" shapeId="0" xr:uid="{304331FB-1A08-4106-8955-50B02E5ACCA3}">
      <text>
        <r>
          <rPr>
            <b/>
            <sz val="9"/>
            <color indexed="81"/>
            <rFont val="Tahoma"/>
            <family val="2"/>
          </rPr>
          <t>danivelve:</t>
        </r>
        <r>
          <rPr>
            <sz val="9"/>
            <color indexed="81"/>
            <rFont val="Tahoma"/>
            <family val="2"/>
          </rPr>
          <t xml:space="preserve">
432000</t>
        </r>
      </text>
    </comment>
  </commentList>
</comments>
</file>

<file path=xl/comments258.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1AC04F79-43BE-4974-85C4-42596C7A1D7B}">
      <text>
        <r>
          <rPr>
            <b/>
            <sz val="9"/>
            <color indexed="81"/>
            <rFont val="Tahoma"/>
            <family val="2"/>
          </rPr>
          <t>danivelve:</t>
        </r>
        <r>
          <rPr>
            <sz val="9"/>
            <color indexed="81"/>
            <rFont val="Tahoma"/>
            <family val="2"/>
          </rPr>
          <t xml:space="preserve">
Ron 95 product</t>
        </r>
      </text>
    </comment>
    <comment ref="F17" authorId="0" shapeId="0" xr:uid="{B9AB6CF6-337D-4220-97ED-29CD0C30710A}">
      <text>
        <r>
          <rPr>
            <b/>
            <sz val="9"/>
            <color indexed="81"/>
            <rFont val="Tahoma"/>
            <family val="2"/>
          </rPr>
          <t>danivelve:</t>
        </r>
        <r>
          <rPr>
            <sz val="9"/>
            <color indexed="81"/>
            <rFont val="Tahoma"/>
            <family val="2"/>
          </rPr>
          <t xml:space="preserve">
432000</t>
        </r>
      </text>
    </comment>
  </commentList>
</comments>
</file>

<file path=xl/comments259.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808BC82-41B6-430A-BDC0-ABB7AC952AFB}">
      <text>
        <r>
          <rPr>
            <b/>
            <sz val="9"/>
            <color indexed="81"/>
            <rFont val="Tahoma"/>
            <family val="2"/>
          </rPr>
          <t>danivelve:</t>
        </r>
        <r>
          <rPr>
            <sz val="9"/>
            <color indexed="81"/>
            <rFont val="Tahoma"/>
            <family val="2"/>
          </rPr>
          <t xml:space="preserve">
Ron 95 product</t>
        </r>
      </text>
    </comment>
    <comment ref="F17" authorId="0" shapeId="0" xr:uid="{E309995F-8859-4D79-B37D-24A8A1AC0DB1}">
      <text>
        <r>
          <rPr>
            <b/>
            <sz val="9"/>
            <color indexed="81"/>
            <rFont val="Tahoma"/>
            <family val="2"/>
          </rPr>
          <t>danivelve:</t>
        </r>
        <r>
          <rPr>
            <sz val="9"/>
            <color indexed="81"/>
            <rFont val="Tahoma"/>
            <family val="2"/>
          </rPr>
          <t xml:space="preserve">
432000</t>
        </r>
      </text>
    </comment>
  </commentList>
</comments>
</file>

<file path=xl/comments260.xml><?xml version="1.0" encoding="utf-8"?>
<comments xmlns="http://schemas.openxmlformats.org/spreadsheetml/2006/main" xmlns:mc="http://schemas.openxmlformats.org/markup-compatibility/2006" xmlns:xr="http://schemas.microsoft.com/office/spreadsheetml/2014/revision" mc:Ignorable="xr">
  <authors>
    <author>danivelve</author>
  </authors>
  <commentList>
    <comment ref="D16" authorId="0" shapeId="0" xr:uid="{9FD8A02D-F3E4-4F88-B1FB-598A48073D93}">
      <text>
        <r>
          <rPr>
            <b/>
            <sz val="9"/>
            <color indexed="81"/>
            <rFont val="Tahoma"/>
            <family val="2"/>
          </rPr>
          <t>danivelve:</t>
        </r>
        <r>
          <rPr>
            <sz val="9"/>
            <color indexed="81"/>
            <rFont val="Tahoma"/>
            <family val="2"/>
          </rPr>
          <t xml:space="preserve">
Ron 95 product</t>
        </r>
      </text>
    </comment>
    <comment ref="F17" authorId="0" shapeId="0" xr:uid="{981B3242-2ABE-46BC-BA92-07954F0A5EBB}">
      <text>
        <r>
          <rPr>
            <b/>
            <sz val="9"/>
            <color indexed="81"/>
            <rFont val="Tahoma"/>
            <family val="2"/>
          </rPr>
          <t>danivelve:</t>
        </r>
        <r>
          <rPr>
            <sz val="9"/>
            <color indexed="81"/>
            <rFont val="Tahoma"/>
            <family val="2"/>
          </rPr>
          <t xml:space="preserve">
432000</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July2020" description="Connection to the 'July2020' query in the workbook." type="5" refreshedVersion="8" background="1" saveData="1">
    <dbPr connection="Provider=Microsoft.Mashup.OleDb.1;Data Source=$Workbook$;Location=July2020;Extended Properties=&quot;&quot;" command="SELECT * FROM [July2020]"/>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<sst xmlns="http://schemas.openxmlformats.org/spreadsheetml/2006/main" count="46810" uniqueCount="68">
  <si>
    <t>BOST</t>
  </si>
  <si>
    <t xml:space="preserve">TRANSMISSIONS  UNIT - APD </t>
  </si>
  <si>
    <t xml:space="preserve">DAILY BDC TRANSFER REPORT </t>
  </si>
  <si>
    <t>DATE</t>
  </si>
  <si>
    <t>AGO</t>
  </si>
  <si>
    <t>PMS</t>
  </si>
  <si>
    <t xml:space="preserve">TOTAL VOLUMES </t>
  </si>
  <si>
    <t>…………………………………………………………………………………………………………………………..</t>
  </si>
  <si>
    <t>KSI_AGO</t>
  </si>
  <si>
    <t>KSI_PMS</t>
  </si>
  <si>
    <t>BUIPE_AGO</t>
  </si>
  <si>
    <t>BUIPE_PMS</t>
  </si>
  <si>
    <t>AKOSOMBO_AGO</t>
  </si>
  <si>
    <t>BDC LIST</t>
  </si>
  <si>
    <t>Juwel</t>
  </si>
  <si>
    <t>Cirrus</t>
  </si>
  <si>
    <t>Vihama</t>
  </si>
  <si>
    <t>Blue Ocean</t>
  </si>
  <si>
    <t>Sage</t>
  </si>
  <si>
    <t>Goenergy</t>
  </si>
  <si>
    <t>Alfa Petroleum</t>
  </si>
  <si>
    <t>Maranatha</t>
  </si>
  <si>
    <t>Fuel Trade</t>
  </si>
  <si>
    <t>BDC List</t>
  </si>
  <si>
    <t xml:space="preserve">Lemla Petroleum </t>
  </si>
  <si>
    <t>Chase Petroleum</t>
  </si>
  <si>
    <t>Eagle Petroleum</t>
  </si>
  <si>
    <t>Total</t>
  </si>
  <si>
    <t>Notes</t>
  </si>
  <si>
    <t>COORDINATOR'S  SIGNATURE :</t>
  </si>
  <si>
    <t>Row Labels</t>
  </si>
  <si>
    <t>Grand Total</t>
  </si>
  <si>
    <t>Sum of KSI_AGO</t>
  </si>
  <si>
    <t>Sum of KSI_PMS</t>
  </si>
  <si>
    <t>Sum of BUIPE_AGO</t>
  </si>
  <si>
    <t>Sum of BUIPE_PMS</t>
  </si>
  <si>
    <t>Sum of AKOSOMBO_AGO</t>
  </si>
  <si>
    <t>Astra Oil Services Limited</t>
  </si>
  <si>
    <t>error soughted</t>
  </si>
  <si>
    <t>Note:  we did not work on the 1st of November,2020 because of Stock taking</t>
  </si>
  <si>
    <t>Year</t>
  </si>
  <si>
    <t>Month Name</t>
  </si>
  <si>
    <t>January</t>
  </si>
  <si>
    <t>February</t>
  </si>
  <si>
    <t>May</t>
  </si>
  <si>
    <t>March</t>
  </si>
  <si>
    <t>April</t>
  </si>
  <si>
    <t>June</t>
  </si>
  <si>
    <t>July</t>
  </si>
  <si>
    <t>August</t>
  </si>
  <si>
    <t>September</t>
  </si>
  <si>
    <t>October</t>
  </si>
  <si>
    <t>November</t>
  </si>
  <si>
    <t>December</t>
  </si>
  <si>
    <t>Dominion International Petroleum Ltd</t>
  </si>
  <si>
    <t>S</t>
  </si>
  <si>
    <t>Kumasi Lifting (Ago &amp; Pms)</t>
  </si>
  <si>
    <t>Buipe Transfers (Ago &amp; Pms)</t>
  </si>
  <si>
    <t>Akosombo Transfers (Ago)</t>
  </si>
  <si>
    <t>Pms Liftings (Ksi &amp;Buipe)</t>
  </si>
  <si>
    <t>Ago Liftings (Ksi, Buipe &amp;Akosombo)</t>
  </si>
  <si>
    <t>Glorymay Petroleum Company Ltd</t>
  </si>
  <si>
    <t>`</t>
  </si>
  <si>
    <t>(All)</t>
  </si>
  <si>
    <t>Note: there was no Loading for the Wednesday, 1st September, 2021</t>
  </si>
  <si>
    <t>Matrix Gas Ghana Limited</t>
  </si>
  <si>
    <t xml:space="preserve"> </t>
  </si>
  <si>
    <t>SA Energy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</si>
</sst>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F800]dddd\,\ mmmm\ dd\,\ yyyy"/>
    <numFmt numFmtId="165" formatCode="_(* #,##0_);_(* \(#,##0\);_(* &quot;-&quot;??_);_(@_)"/>
    <numFmt numFmtId="166" formatCode="mm/dd/yy;@"/>
    <numFmt numFmtId="167" formatCode="m/d/yy;@"/>
  </numFmts>
  <fonts count="38"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Times New Roman"/>
      <family val="1"/>
    </font>
    <font>
      <b/>
      <sz val="12"/>
      <color theme="1"/>
      <name val="Times New Roman"/>
      <family val="1"/>
    </font>
    <font>
      <b/>
      <sz val="11"/>
      <color theme="1"/>
      <name val="Times New Roman"/>
      <family val="1"/>
    </font>
    <font>
      <sz val="11"/>
      <color theme="1"/>
      <name val="Times New Roman"/>
      <family val="1"/>
    </font>
    <font>
      <b/>
      <sz val="11"/>
      <color rgb="FFFF0000"/>
      <name val="Times New Roman"/>
      <family val="1"/>
    </font>
    <font>
      <b/>
      <sz val="11"/>
      <color rgb="FFC00000"/>
      <name val="Calibri"/>
      <family val="2"/>
      <scheme val="minor"/>
    </font>
    <font>
      <b/>
      <sz val="11"/>
      <color theme="1"/>
      <name val="Times New Roman"/>
      <family val="1"/>
    </font>
    <font>
      <b/>
      <sz val="11"/>
      <color theme="1"/>
      <name val="Calibri"/>
      <family val="2"/>
      <scheme val="minor"/>
    </font>
    <font>
      <sz val="11"/>
      <color theme="1"/>
      <name val="Calibri"/>
      <family val="2"/>
      <scheme val="minor"/>
    </font>
    <font>
      <b/>
      <sz val="11"/>
      <color theme="1"/>
      <name val="Times New Roman"/>
      <family val="1"/>
    </font>
    <font>
      <b/>
      <sz val="11"/>
      <color theme="1"/>
      <name val="Calibri"/>
      <family val="2"/>
      <scheme val="minor"/>
    </font>
    <font>
      <sz val="11"/>
      <color theme="1"/>
      <name val="Calibri"/>
      <family val="2"/>
      <scheme val="minor"/>
    </font>
    <font>
      <sz val="9"/>
      <color indexed="81"/>
      <name val="Tahoma"/>
      <family val="2"/>
    </font>
    <font>
      <b/>
      <sz val="9"/>
      <color indexed="81"/>
      <name val="Tahoma"/>
      <family val="2"/>
    </font>
    <font>
      <b/>
      <sz val="11"/>
      <color theme="1"/>
      <name val="Times New Roman"/>
      <family val="1"/>
    </font>
    <font>
      <sz val="11"/>
      <color theme="1"/>
      <name val="Times New Roman"/>
      <family val="1"/>
    </font>
    <font>
      <b/>
      <sz val="11"/>
      <color theme="1"/>
      <name val="Calibri"/>
      <family val="2"/>
      <scheme val="minor"/>
    </font>
    <font>
      <b/>
      <sz val="11"/>
      <color theme="1"/>
      <name val="Times New Roman"/>
      <family val="1"/>
    </font>
    <font>
      <sz val="11"/>
      <color theme="1"/>
      <name val="Times New Roman"/>
      <family val="1"/>
    </font>
    <font>
      <b/>
      <sz val="11"/>
      <color theme="1"/>
      <name val="Calibri"/>
      <family val="2"/>
      <scheme val="minor"/>
    </font>
    <font>
      <sz val="8"/>
      <name val="Calibri"/>
      <family val="2"/>
      <scheme val="minor"/>
    </font>
    <font>
      <sz val="12"/>
      <color theme="1"/>
      <name val="Calibri"/>
      <family val="2"/>
      <scheme val="minor"/>
    </font>
    <font>
      <b/>
      <sz val="11"/>
      <color theme="1"/>
      <name val="Times New Roman"/>
      <family val="1"/>
    </font>
    <font>
      <sz val="11"/>
      <color theme="1"/>
      <name val="Times New Roman"/>
      <family val="1"/>
    </font>
    <font>
      <b/>
      <sz val="11"/>
      <color theme="1"/>
      <name val="Calibri"/>
      <family val="2"/>
      <scheme val="minor"/>
    </font>
    <font>
      <b/>
      <sz val="11"/>
      <name val="Times New Roman"/>
      <family val="1"/>
    </font>
    <font>
      <sz val="11"/>
      <name val="Times New Roman"/>
      <family val="1"/>
    </font>
    <font>
      <sz val="11"/>
      <color indexed="8"/>
      <name val="Calibri"/>
      <family val="2"/>
      <scheme val="minor"/>
    </font>
    <font>
      <b/>
      <sz val="14"/>
      <color theme="1"/>
      <name val="Calibri"/>
      <family val="2"/>
      <scheme val="minor"/>
    </font>
    <font>
      <b/>
      <sz val="11"/>
      <color theme="9" tint="-0.249977111117893"/>
      <name val="Times New Roman"/>
      <family val="1"/>
    </font>
    <font>
      <sz val="11"/>
      <color rgb="FFFF0000"/>
      <name val="Times New Roman"/>
      <family val="1"/>
    </font>
    <font>
      <sz val="11"/>
      <name val="Calibri"/>
      <family val="2"/>
      <scheme val="minor"/>
    </font>
    <font>
      <b/>
      <sz val="11"/>
      <color theme="1"/>
      <name val="Times New Roman"/>
      <family val="1"/>
    </font>
    <font>
      <sz val="11"/>
      <color theme="1"/>
      <name val="Times New Roman"/>
      <family val="1"/>
    </font>
    <font>
      <b/>
      <sz val="11"/>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7" tint="0.399975585192419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theme="8"/>
      </bottom>
      <diagonal/>
    </border>
    <border>
      <left/>
      <right/>
      <top style="thin">
        <color theme="8"/>
      </top>
      <bottom style="thin">
        <color theme="8"/>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auto="1"/>
      </left>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DotDot">
        <color auto="1"/>
      </right>
      <top style="medium">
        <color auto="1"/>
      </top>
      <bottom style="dashDotDot">
        <color auto="1"/>
      </bottom>
      <diagonal/>
    </border>
    <border>
      <left style="dashDotDot">
        <color auto="1"/>
      </left>
      <right style="medium">
        <color auto="1"/>
      </right>
      <top style="medium">
        <color auto="1"/>
      </top>
      <bottom style="dashDotDot">
        <color auto="1"/>
      </bottom>
      <diagonal/>
    </border>
    <border>
      <left style="medium">
        <color auto="1"/>
      </left>
      <right style="dashDotDot">
        <color auto="1"/>
      </right>
      <top style="dashDotDot">
        <color auto="1"/>
      </top>
      <bottom style="dashDotDot">
        <color auto="1"/>
      </bottom>
      <diagonal/>
    </border>
    <border>
      <left style="dashDotDot">
        <color auto="1"/>
      </left>
      <right style="medium">
        <color auto="1"/>
      </right>
      <top style="dashDotDot">
        <color auto="1"/>
      </top>
      <bottom style="dashDotDot">
        <color auto="1"/>
      </bottom>
      <diagonal/>
    </border>
    <border>
      <left style="medium">
        <color auto="1"/>
      </left>
      <right style="dashDotDot">
        <color auto="1"/>
      </right>
      <top style="dashDotDot">
        <color auto="1"/>
      </top>
      <bottom style="medium">
        <color auto="1"/>
      </bottom>
      <diagonal/>
    </border>
    <border>
      <left style="dashDotDot">
        <color auto="1"/>
      </left>
      <right style="medium">
        <color auto="1"/>
      </right>
      <top style="dashDotDot">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style="medium">
        <color indexed="64"/>
      </top>
      <bottom/>
      <diagonal/>
    </border>
    <border>
      <left style="medium">
        <color indexed="64"/>
      </left>
      <right/>
      <top style="medium">
        <color indexed="64"/>
      </top>
      <bottom/>
      <diagonal/>
    </border>
  </borders>
  <cellStyleXfs count="2">
    <xf numFmtId="0" fontId="0" fillId="0" borderId="0"/>
    <xf numFmtId="43" fontId="1" fillId="0" borderId="0" applyFont="0" applyFill="0" applyBorder="0" applyAlignment="0" applyProtection="0"/>
  </cellStyleXfs>
  <cellXfs count="141">
    <xf numFmtId="0" fontId="0" fillId="0" borderId="0" xfId="0"/>
    <xf numFmtId="0" fontId="2" fillId="0" borderId="0" xfId="0" applyFont="1"/>
    <xf numFmtId="0" fontId="5" fillId="0" borderId="0" xfId="0" applyFont="1"/>
    <xf numFmtId="164" fontId="5" fillId="0" borderId="0" xfId="0" applyNumberFormat="1" applyFont="1"/>
    <xf numFmtId="43" fontId="2" fillId="0" borderId="0" xfId="1" applyFont="1"/>
    <xf numFmtId="43" fontId="7" fillId="0" borderId="0" xfId="0" applyNumberFormat="1" applyFont="1"/>
    <xf numFmtId="0" fontId="5" fillId="0" borderId="6" xfId="0" applyFont="1" applyBorder="1" applyAlignment="1">
      <alignment horizontal="left"/>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2" fillId="0" borderId="0" xfId="0" applyFont="1" applyAlignment="1">
      <alignment horizontal="center"/>
    </xf>
    <xf numFmtId="0" fontId="2" fillId="0" borderId="0" xfId="0" applyFont="1" applyAlignment="1">
      <alignment horizontal="left"/>
    </xf>
    <xf numFmtId="166" fontId="0" fillId="0" borderId="9" xfId="0" applyNumberFormat="1" applyBorder="1"/>
    <xf numFmtId="0" fontId="4"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0" fillId="0" borderId="11" xfId="0" applyBorder="1"/>
    <xf numFmtId="0" fontId="0" fillId="0" borderId="12" xfId="0" applyBorder="1"/>
    <xf numFmtId="0" fontId="8" fillId="0" borderId="11" xfId="0" applyFont="1" applyBorder="1"/>
    <xf numFmtId="0" fontId="8" fillId="0" borderId="12" xfId="0" applyFont="1" applyBorder="1"/>
    <xf numFmtId="0" fontId="8" fillId="0" borderId="0" xfId="0" applyFont="1"/>
    <xf numFmtId="0" fontId="5" fillId="0" borderId="0" xfId="0" applyFont="1" applyAlignment="1">
      <alignment horizontal="right"/>
    </xf>
    <xf numFmtId="165" fontId="6" fillId="0" borderId="1" xfId="1" applyNumberFormat="1" applyFont="1" applyBorder="1"/>
    <xf numFmtId="165" fontId="1" fillId="0" borderId="1" xfId="1" applyNumberFormat="1" applyFont="1" applyBorder="1"/>
    <xf numFmtId="165" fontId="2" fillId="0" borderId="0" xfId="0" applyNumberFormat="1" applyFont="1"/>
    <xf numFmtId="14" fontId="0" fillId="0" borderId="0" xfId="0" applyNumberFormat="1"/>
    <xf numFmtId="43" fontId="6" fillId="0" borderId="1" xfId="1" applyFont="1" applyBorder="1"/>
    <xf numFmtId="43" fontId="0" fillId="0" borderId="1" xfId="1" applyFont="1" applyBorder="1"/>
    <xf numFmtId="0" fontId="2" fillId="0" borderId="1" xfId="0" applyFont="1" applyBorder="1"/>
    <xf numFmtId="43" fontId="1" fillId="0" borderId="1" xfId="1" applyFont="1" applyBorder="1"/>
    <xf numFmtId="0" fontId="9" fillId="0" borderId="7" xfId="0" applyFont="1" applyBorder="1" applyAlignment="1">
      <alignment horizontal="left"/>
    </xf>
    <xf numFmtId="165" fontId="10" fillId="0" borderId="8" xfId="0" applyNumberFormat="1" applyFont="1" applyBorder="1"/>
    <xf numFmtId="0" fontId="11" fillId="0" borderId="10" xfId="0" applyFont="1" applyBorder="1"/>
    <xf numFmtId="0" fontId="5" fillId="0" borderId="5" xfId="0" applyFont="1" applyBorder="1" applyAlignment="1">
      <alignment horizontal="left"/>
    </xf>
    <xf numFmtId="0" fontId="4" fillId="0" borderId="6" xfId="0" applyFont="1" applyBorder="1" applyAlignment="1">
      <alignment horizontal="left"/>
    </xf>
    <xf numFmtId="43" fontId="5" fillId="0" borderId="1" xfId="1" applyFont="1" applyBorder="1"/>
    <xf numFmtId="43" fontId="6" fillId="0" borderId="1" xfId="1" applyFont="1" applyFill="1" applyBorder="1"/>
    <xf numFmtId="0" fontId="12" fillId="0" borderId="7" xfId="0" applyFont="1" applyBorder="1" applyAlignment="1">
      <alignment horizontal="left"/>
    </xf>
    <xf numFmtId="165" fontId="13" fillId="0" borderId="8" xfId="0" applyNumberFormat="1" applyFont="1" applyBorder="1"/>
    <xf numFmtId="0" fontId="14" fillId="0" borderId="10" xfId="0" applyFont="1" applyBorder="1"/>
    <xf numFmtId="43" fontId="0" fillId="0" borderId="1" xfId="1" applyFont="1" applyFill="1" applyBorder="1"/>
    <xf numFmtId="43" fontId="6" fillId="3" borderId="1" xfId="1" applyFont="1" applyFill="1" applyBorder="1"/>
    <xf numFmtId="43" fontId="5" fillId="0" borderId="1" xfId="1" applyFont="1" applyFill="1" applyBorder="1"/>
    <xf numFmtId="165" fontId="1" fillId="0" borderId="1" xfId="1" applyNumberFormat="1" applyFont="1" applyFill="1" applyBorder="1"/>
    <xf numFmtId="43" fontId="1" fillId="0" borderId="1" xfId="1" applyFont="1" applyFill="1" applyBorder="1"/>
    <xf numFmtId="165" fontId="6" fillId="0" borderId="13" xfId="1" applyNumberFormat="1" applyFont="1" applyBorder="1"/>
    <xf numFmtId="165" fontId="6" fillId="0" borderId="1" xfId="1" applyNumberFormat="1" applyFont="1" applyBorder="1" applyAlignment="1">
      <alignment horizontal="center"/>
    </xf>
    <xf numFmtId="165" fontId="6" fillId="0" borderId="1" xfId="0" applyNumberFormat="1" applyFont="1" applyBorder="1" applyAlignment="1">
      <alignment horizontal="center"/>
    </xf>
    <xf numFmtId="165" fontId="0" fillId="0" borderId="1" xfId="1" applyNumberFormat="1" applyFont="1" applyBorder="1"/>
    <xf numFmtId="165" fontId="2" fillId="0" borderId="1" xfId="0" applyNumberFormat="1" applyFont="1" applyBorder="1"/>
    <xf numFmtId="0" fontId="5" fillId="0" borderId="7" xfId="0" applyFont="1" applyBorder="1" applyAlignment="1">
      <alignment horizontal="left"/>
    </xf>
    <xf numFmtId="165" fontId="2" fillId="0" borderId="8" xfId="0" applyNumberFormat="1" applyFont="1" applyBorder="1"/>
    <xf numFmtId="0" fontId="0" fillId="0" borderId="10" xfId="0" applyBorder="1"/>
    <xf numFmtId="165" fontId="0" fillId="0" borderId="1" xfId="0" applyNumberFormat="1" applyBorder="1"/>
    <xf numFmtId="166" fontId="2" fillId="0" borderId="9" xfId="0" applyNumberFormat="1" applyFont="1" applyBorder="1"/>
    <xf numFmtId="165" fontId="6" fillId="0" borderId="8" xfId="1" applyNumberFormat="1" applyFont="1" applyBorder="1"/>
    <xf numFmtId="166" fontId="0" fillId="0" borderId="10" xfId="0" applyNumberFormat="1" applyBorder="1"/>
    <xf numFmtId="165" fontId="5" fillId="0" borderId="1" xfId="1" applyNumberFormat="1" applyFont="1" applyBorder="1"/>
    <xf numFmtId="165" fontId="6" fillId="3" borderId="13" xfId="1" applyNumberFormat="1" applyFont="1" applyFill="1" applyBorder="1"/>
    <xf numFmtId="165" fontId="0" fillId="3" borderId="1" xfId="0" applyNumberFormat="1" applyFill="1" applyBorder="1"/>
    <xf numFmtId="165" fontId="5" fillId="0" borderId="1" xfId="1" applyNumberFormat="1" applyFont="1" applyBorder="1" applyAlignment="1">
      <alignment horizontal="center"/>
    </xf>
    <xf numFmtId="165" fontId="5" fillId="0" borderId="1" xfId="0" applyNumberFormat="1" applyFont="1" applyBorder="1" applyAlignment="1">
      <alignment horizontal="center"/>
    </xf>
    <xf numFmtId="165" fontId="6" fillId="0" borderId="1" xfId="1" applyNumberFormat="1" applyFont="1" applyFill="1" applyBorder="1"/>
    <xf numFmtId="0" fontId="1" fillId="0" borderId="10" xfId="0" applyFont="1" applyBorder="1"/>
    <xf numFmtId="0" fontId="17" fillId="0" borderId="6" xfId="0" applyFont="1" applyBorder="1" applyAlignment="1">
      <alignment horizontal="left"/>
    </xf>
    <xf numFmtId="165" fontId="18" fillId="0" borderId="1" xfId="1" applyNumberFormat="1" applyFont="1" applyBorder="1"/>
    <xf numFmtId="166" fontId="19" fillId="0" borderId="14" xfId="0" applyNumberFormat="1" applyFont="1" applyBorder="1"/>
    <xf numFmtId="166" fontId="0" fillId="0" borderId="14" xfId="0" applyNumberFormat="1" applyBorder="1"/>
    <xf numFmtId="0" fontId="20" fillId="0" borderId="6" xfId="0" applyFont="1" applyBorder="1" applyAlignment="1">
      <alignment horizontal="left"/>
    </xf>
    <xf numFmtId="165" fontId="21" fillId="0" borderId="1" xfId="1" applyNumberFormat="1" applyFont="1" applyBorder="1"/>
    <xf numFmtId="165" fontId="6" fillId="4" borderId="1" xfId="1" applyNumberFormat="1" applyFont="1" applyFill="1" applyBorder="1"/>
    <xf numFmtId="164" fontId="2" fillId="0" borderId="0" xfId="0" applyNumberFormat="1" applyFont="1"/>
    <xf numFmtId="165" fontId="22" fillId="0" borderId="8" xfId="0" applyNumberFormat="1" applyFont="1" applyBorder="1"/>
    <xf numFmtId="0" fontId="0" fillId="0" borderId="0" xfId="1" applyNumberFormat="1" applyFont="1"/>
    <xf numFmtId="165" fontId="5" fillId="0" borderId="1" xfId="1" applyNumberFormat="1" applyFont="1" applyFill="1" applyBorder="1" applyAlignment="1">
      <alignment horizontal="center"/>
    </xf>
    <xf numFmtId="166" fontId="2" fillId="0" borderId="14" xfId="0" applyNumberFormat="1" applyFont="1" applyBorder="1"/>
    <xf numFmtId="0" fontId="0" fillId="0" borderId="2" xfId="0" pivotButton="1" applyBorder="1"/>
    <xf numFmtId="0" fontId="0" fillId="0" borderId="16" xfId="0" applyBorder="1"/>
    <xf numFmtId="0" fontId="24" fillId="0" borderId="2" xfId="0" pivotButton="1" applyFont="1" applyBorder="1"/>
    <xf numFmtId="0" fontId="24" fillId="0" borderId="2" xfId="0" applyFont="1" applyBorder="1"/>
    <xf numFmtId="0" fontId="24" fillId="0" borderId="3" xfId="0" applyFont="1" applyBorder="1"/>
    <xf numFmtId="0" fontId="24" fillId="0" borderId="4" xfId="0" applyFont="1" applyBorder="1"/>
    <xf numFmtId="0" fontId="24" fillId="0" borderId="2" xfId="0" applyFont="1" applyBorder="1" applyAlignment="1">
      <alignment horizontal="left"/>
    </xf>
    <xf numFmtId="0" fontId="2" fillId="0" borderId="17" xfId="0" applyFont="1" applyBorder="1" applyAlignment="1">
      <alignment horizontal="left"/>
    </xf>
    <xf numFmtId="165" fontId="2" fillId="0" borderId="18" xfId="0" applyNumberFormat="1" applyFont="1" applyBorder="1"/>
    <xf numFmtId="0" fontId="2" fillId="0" borderId="19" xfId="0" applyFont="1" applyBorder="1" applyAlignment="1">
      <alignment horizontal="left"/>
    </xf>
    <xf numFmtId="165" fontId="2" fillId="0" borderId="20" xfId="0" applyNumberFormat="1" applyFont="1" applyBorder="1"/>
    <xf numFmtId="0" fontId="2" fillId="0" borderId="21" xfId="0" applyFont="1" applyBorder="1" applyAlignment="1">
      <alignment horizontal="left"/>
    </xf>
    <xf numFmtId="165" fontId="2" fillId="0" borderId="22" xfId="1" applyNumberFormat="1" applyFont="1" applyBorder="1"/>
    <xf numFmtId="0" fontId="25" fillId="0" borderId="6" xfId="0" applyFont="1" applyBorder="1" applyAlignment="1">
      <alignment horizontal="left"/>
    </xf>
    <xf numFmtId="0" fontId="25" fillId="0" borderId="0" xfId="0" applyFont="1" applyAlignment="1">
      <alignment horizontal="left"/>
    </xf>
    <xf numFmtId="165" fontId="26" fillId="0" borderId="1" xfId="1" applyNumberFormat="1" applyFont="1" applyBorder="1"/>
    <xf numFmtId="166" fontId="27" fillId="0" borderId="14" xfId="0" applyNumberFormat="1" applyFont="1" applyBorder="1"/>
    <xf numFmtId="165" fontId="28" fillId="0" borderId="1" xfId="1" applyNumberFormat="1" applyFont="1" applyBorder="1"/>
    <xf numFmtId="165" fontId="29" fillId="0" borderId="1" xfId="1" applyNumberFormat="1" applyFont="1" applyBorder="1"/>
    <xf numFmtId="0" fontId="3" fillId="0" borderId="0" xfId="0" applyFont="1" applyAlignment="1">
      <alignment horizontal="left"/>
    </xf>
    <xf numFmtId="0" fontId="4" fillId="0" borderId="15" xfId="0" applyFont="1" applyBorder="1" applyAlignment="1">
      <alignment horizontal="center"/>
    </xf>
    <xf numFmtId="166" fontId="30" fillId="0" borderId="14" xfId="0" applyNumberFormat="1" applyFont="1" applyBorder="1"/>
    <xf numFmtId="165" fontId="24" fillId="0" borderId="2" xfId="0" applyNumberFormat="1" applyFont="1" applyBorder="1"/>
    <xf numFmtId="165" fontId="24" fillId="0" borderId="3" xfId="0" applyNumberFormat="1" applyFont="1" applyBorder="1"/>
    <xf numFmtId="165" fontId="24" fillId="0" borderId="4" xfId="0" applyNumberFormat="1" applyFont="1" applyBorder="1"/>
    <xf numFmtId="0" fontId="2" fillId="0" borderId="23" xfId="0" applyFont="1" applyBorder="1" applyAlignment="1">
      <alignment horizontal="left"/>
    </xf>
    <xf numFmtId="165" fontId="2" fillId="0" borderId="24" xfId="0" applyNumberFormat="1" applyFont="1" applyBorder="1"/>
    <xf numFmtId="0" fontId="2" fillId="0" borderId="25" xfId="0" applyFont="1" applyBorder="1" applyAlignment="1">
      <alignment horizontal="left"/>
    </xf>
    <xf numFmtId="165" fontId="2" fillId="0" borderId="26" xfId="0" applyNumberFormat="1" applyFont="1" applyBorder="1"/>
    <xf numFmtId="0" fontId="2" fillId="0" borderId="27" xfId="0" applyFont="1" applyBorder="1" applyAlignment="1">
      <alignment horizontal="left"/>
    </xf>
    <xf numFmtId="165" fontId="2" fillId="0" borderId="28" xfId="1" applyNumberFormat="1" applyFont="1" applyBorder="1"/>
    <xf numFmtId="0" fontId="31" fillId="0" borderId="0" xfId="0" applyFont="1"/>
    <xf numFmtId="165" fontId="0" fillId="0" borderId="29" xfId="0" applyNumberFormat="1" applyBorder="1"/>
    <xf numFmtId="165" fontId="0" fillId="0" borderId="30" xfId="0" applyNumberFormat="1" applyBorder="1"/>
    <xf numFmtId="165" fontId="0" fillId="0" borderId="31" xfId="0" applyNumberFormat="1" applyBorder="1"/>
    <xf numFmtId="165" fontId="0" fillId="0" borderId="32" xfId="0" applyNumberFormat="1" applyBorder="1"/>
    <xf numFmtId="165" fontId="0" fillId="0" borderId="33" xfId="0" applyNumberFormat="1" applyBorder="1"/>
    <xf numFmtId="0" fontId="0" fillId="0" borderId="32" xfId="0" applyBorder="1" applyAlignment="1">
      <alignment horizontal="left"/>
    </xf>
    <xf numFmtId="0" fontId="0" fillId="0" borderId="34" xfId="0" applyBorder="1" applyAlignment="1">
      <alignment horizontal="left"/>
    </xf>
    <xf numFmtId="0" fontId="0" fillId="0" borderId="29" xfId="0" applyBorder="1" applyAlignment="1">
      <alignment horizontal="left"/>
    </xf>
    <xf numFmtId="165" fontId="6" fillId="3" borderId="1" xfId="1" applyNumberFormat="1" applyFont="1" applyFill="1" applyBorder="1"/>
    <xf numFmtId="165" fontId="32" fillId="0" borderId="1" xfId="1" applyNumberFormat="1" applyFont="1" applyBorder="1" applyAlignment="1">
      <alignment horizontal="center"/>
    </xf>
    <xf numFmtId="165" fontId="28" fillId="0" borderId="1" xfId="1" applyNumberFormat="1" applyFont="1" applyBorder="1" applyAlignment="1">
      <alignment horizontal="center"/>
    </xf>
    <xf numFmtId="165" fontId="0" fillId="0" borderId="8" xfId="0" applyNumberFormat="1" applyBorder="1"/>
    <xf numFmtId="165" fontId="5" fillId="0" borderId="13" xfId="1" applyNumberFormat="1" applyFont="1" applyBorder="1"/>
    <xf numFmtId="165" fontId="5" fillId="0" borderId="8" xfId="1" applyNumberFormat="1" applyFont="1" applyBorder="1"/>
    <xf numFmtId="0" fontId="0" fillId="0" borderId="16" xfId="0" applyBorder="1" applyAlignment="1">
      <alignment horizontal="left"/>
    </xf>
    <xf numFmtId="165" fontId="33" fillId="0" borderId="1" xfId="1" applyNumberFormat="1" applyFont="1" applyBorder="1"/>
    <xf numFmtId="165" fontId="28" fillId="0" borderId="1" xfId="0" applyNumberFormat="1" applyFont="1" applyBorder="1" applyAlignment="1">
      <alignment horizontal="center"/>
    </xf>
    <xf numFmtId="165" fontId="34" fillId="0" borderId="1" xfId="1" applyNumberFormat="1" applyFont="1" applyBorder="1"/>
    <xf numFmtId="0" fontId="35" fillId="0" borderId="6" xfId="0" applyFont="1" applyBorder="1" applyAlignment="1">
      <alignment horizontal="left"/>
    </xf>
    <xf numFmtId="165" fontId="36" fillId="0" borderId="1" xfId="1" applyNumberFormat="1" applyFont="1" applyBorder="1"/>
    <xf numFmtId="166" fontId="37" fillId="0" borderId="9" xfId="0" applyNumberFormat="1" applyFont="1" applyBorder="1"/>
    <xf numFmtId="0" fontId="24" fillId="0" borderId="36" xfId="0" applyFont="1" applyBorder="1" applyAlignment="1">
      <alignment horizontal="left"/>
    </xf>
    <xf numFmtId="165" fontId="24" fillId="0" borderId="35" xfId="0" applyNumberFormat="1" applyFont="1" applyBorder="1"/>
    <xf numFmtId="165" fontId="24" fillId="0" borderId="0" xfId="0" applyNumberFormat="1" applyFont="1"/>
    <xf numFmtId="165" fontId="1" fillId="3" borderId="1" xfId="1" applyNumberFormat="1" applyFont="1" applyFill="1" applyBorder="1"/>
    <xf numFmtId="165" fontId="5" fillId="3" borderId="8" xfId="1" applyNumberFormat="1" applyFont="1" applyFill="1" applyBorder="1"/>
    <xf numFmtId="165" fontId="5" fillId="0" borderId="1" xfId="1" applyNumberFormat="1" applyFont="1" applyFill="1" applyBorder="1"/>
    <xf numFmtId="165" fontId="6" fillId="0" borderId="8" xfId="1" applyNumberFormat="1" applyFont="1" applyFill="1" applyBorder="1"/>
    <xf numFmtId="0" fontId="3" fillId="0" borderId="0" xfId="0" applyFont="1" applyAlignment="1">
      <alignment horizontal="left"/>
    </xf>
    <xf numFmtId="0" fontId="4" fillId="0" borderId="0" xfId="0" applyFont="1" applyAlignment="1">
      <alignment horizontal="left"/>
    </xf>
    <xf numFmtId="0" fontId="4" fillId="0" borderId="15" xfId="0" applyFont="1" applyBorder="1" applyAlignment="1">
      <alignment horizontal="center"/>
    </xf>
    <xf numFmtId="0" fontId="4" fillId="0" borderId="0" xfId="0" applyFont="1" applyAlignment="1">
      <alignment horizontal="center"/>
    </xf>
    <xf numFmtId="167" fontId="4" fillId="0" borderId="15" xfId="0" applyNumberFormat="1" applyFont="1" applyBorder="1" applyAlignment="1">
      <alignment horizontal="center"/>
    </xf>
  </cellXfs>
  <cellStyles count="2">
    <cellStyle name="Comma" xfId="1" builtinId="3"/>
    <cellStyle name="Normal" xfId="0" builtinId="0"/>
  </cellStyles>
  <dxfs count="13581">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numFmt numFmtId="35" formatCode="_(* #,##0.00_);_(* \(#,##0.00\);_(* &quot;-&quot;??_);_(@_)"/>
    </dxf>
    <dxf>
      <numFmt numFmtId="168" formatCode="_(* #,##0.0_);_(* \(#,##0.0\);_(* &quot;-&quot;??_);_(@_)"/>
    </dxf>
    <dxf>
      <numFmt numFmtId="165" formatCode="_(* #,##0_);_(* \(#,##0\);_(* &quot;-&quot;??_);_(@_)"/>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font>
        <sz val="12"/>
      </font>
    </dxf>
    <dxf>
      <font>
        <sz val="12"/>
      </font>
    </dxf>
    <dxf>
      <font>
        <sz val="12"/>
      </font>
    </dxf>
    <dxf>
      <font>
        <sz val="12"/>
      </font>
    </dxf>
    <dxf>
      <border>
        <top style="medium">
          <color indexed="64"/>
        </top>
      </border>
    </dxf>
    <dxf>
      <border>
        <top style="medium">
          <color indexed="64"/>
        </top>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dxf>
    <dxf>
      <border>
        <top style="medium">
          <color indexed="64"/>
        </top>
      </border>
    </dxf>
    <dxf>
      <border>
        <top style="medium">
          <color indexed="64"/>
        </top>
      </border>
    </dxf>
    <dxf>
      <font>
        <sz val="12"/>
      </font>
    </dxf>
    <dxf>
      <font>
        <sz val="12"/>
      </font>
    </dxf>
    <dxf>
      <font>
        <sz val="12"/>
      </font>
    </dxf>
    <dxf>
      <font>
        <sz val="12"/>
      </font>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border>
        <left style="medium">
          <color auto="1"/>
        </left>
        <right style="medium">
          <color auto="1"/>
        </right>
        <top style="medium">
          <color auto="1"/>
        </top>
        <bottom style="medium">
          <color auto="1"/>
        </bottom>
        <vertical style="thin">
          <color auto="1"/>
        </vertical>
        <horizontal style="thin">
          <color auto="1"/>
        </horizontal>
      </border>
    </dxf>
    <dxf>
      <numFmt numFmtId="165" formatCode="_(* #,##0_);_(* \(#,##0\);_(* &quot;-&quot;??_);_(@_)"/>
    </dxf>
    <dxf>
      <numFmt numFmtId="168" formatCode="_(* #,##0.0_);_(* \(#,##0.0\);_(* &quot;-&quot;??_);_(@_)"/>
    </dxf>
    <dxf>
      <numFmt numFmtId="35" formatCode="_(* #,##0.00_);_(* \(#,##0.00\);_(* &quot;-&quot;??_);_(@_)"/>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name val="Times New Roman"/>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name val="Times New Roman"/>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i val="0"/>
        <strike val="0"/>
        <condense val="0"/>
        <extend val="0"/>
        <outline val="0"/>
        <shadow val="0"/>
        <u val="none"/>
        <vertAlign val="baseline"/>
        <sz val="11"/>
        <color theme="1"/>
        <name val="Calibri"/>
        <scheme val="minor"/>
      </font>
      <numFmt numFmtId="166" formatCode="mm/dd/yy;@"/>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165" formatCode="_(* #,##0_);_(* \(#,##0\);_(* &quot;-&quot;??_);_(@_)"/>
      <border diagonalUp="0" diagonalDown="0" outline="0">
        <left style="thin">
          <color indexed="64"/>
        </left>
        <right style="thin">
          <color indexed="64"/>
        </right>
        <top style="thin">
          <color indexed="64"/>
        </top>
        <bottom/>
      </border>
    </dxf>
    <dxf>
      <numFmt numFmtId="165" formatCode="_(* #,##0_);_(* \(#,##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Times New Roman"/>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border>
        <bottom style="medium">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671" Type="http://schemas.openxmlformats.org/officeDocument/2006/relationships/worksheet" Target="worksheets/sheet671.xml"/><Relationship Id="rId21" Type="http://schemas.openxmlformats.org/officeDocument/2006/relationships/worksheet" Target="worksheets/sheet21.xml"/><Relationship Id="rId324" Type="http://schemas.openxmlformats.org/officeDocument/2006/relationships/worksheet" Target="worksheets/sheet324.xml"/><Relationship Id="rId531" Type="http://schemas.openxmlformats.org/officeDocument/2006/relationships/worksheet" Target="worksheets/sheet531.xml"/><Relationship Id="rId629" Type="http://schemas.openxmlformats.org/officeDocument/2006/relationships/worksheet" Target="worksheets/sheet629.xml"/><Relationship Id="rId170" Type="http://schemas.openxmlformats.org/officeDocument/2006/relationships/worksheet" Target="worksheets/sheet170.xml"/><Relationship Id="rId268" Type="http://schemas.openxmlformats.org/officeDocument/2006/relationships/worksheet" Target="worksheets/sheet268.xml"/><Relationship Id="rId475" Type="http://schemas.openxmlformats.org/officeDocument/2006/relationships/worksheet" Target="worksheets/sheet475.xml"/><Relationship Id="rId682" Type="http://schemas.openxmlformats.org/officeDocument/2006/relationships/worksheet" Target="worksheets/sheet682.xml"/><Relationship Id="rId32" Type="http://schemas.openxmlformats.org/officeDocument/2006/relationships/worksheet" Target="worksheets/sheet32.xml"/><Relationship Id="rId128" Type="http://schemas.openxmlformats.org/officeDocument/2006/relationships/worksheet" Target="worksheets/sheet128.xml"/><Relationship Id="rId335" Type="http://schemas.openxmlformats.org/officeDocument/2006/relationships/worksheet" Target="worksheets/sheet335.xml"/><Relationship Id="rId542" Type="http://schemas.openxmlformats.org/officeDocument/2006/relationships/worksheet" Target="worksheets/sheet542.xml"/><Relationship Id="rId181" Type="http://schemas.openxmlformats.org/officeDocument/2006/relationships/worksheet" Target="worksheets/sheet181.xml"/><Relationship Id="rId402" Type="http://schemas.openxmlformats.org/officeDocument/2006/relationships/worksheet" Target="worksheets/sheet402.xml"/><Relationship Id="rId279" Type="http://schemas.openxmlformats.org/officeDocument/2006/relationships/worksheet" Target="worksheets/sheet279.xml"/><Relationship Id="rId486" Type="http://schemas.openxmlformats.org/officeDocument/2006/relationships/worksheet" Target="worksheets/sheet486.xml"/><Relationship Id="rId693" Type="http://schemas.openxmlformats.org/officeDocument/2006/relationships/worksheet" Target="worksheets/sheet693.xml"/><Relationship Id="rId707" Type="http://schemas.openxmlformats.org/officeDocument/2006/relationships/worksheet" Target="worksheets/sheet707.xml"/><Relationship Id="rId43" Type="http://schemas.openxmlformats.org/officeDocument/2006/relationships/worksheet" Target="worksheets/sheet43.xml"/><Relationship Id="rId139" Type="http://schemas.openxmlformats.org/officeDocument/2006/relationships/worksheet" Target="worksheets/sheet139.xml"/><Relationship Id="rId346" Type="http://schemas.openxmlformats.org/officeDocument/2006/relationships/worksheet" Target="worksheets/sheet346.xml"/><Relationship Id="rId553" Type="http://schemas.openxmlformats.org/officeDocument/2006/relationships/worksheet" Target="worksheets/sheet553.xml"/><Relationship Id="rId192" Type="http://schemas.openxmlformats.org/officeDocument/2006/relationships/worksheet" Target="worksheets/sheet192.xml"/><Relationship Id="rId206" Type="http://schemas.openxmlformats.org/officeDocument/2006/relationships/worksheet" Target="worksheets/sheet206.xml"/><Relationship Id="rId413" Type="http://schemas.openxmlformats.org/officeDocument/2006/relationships/worksheet" Target="worksheets/sheet413.xml"/><Relationship Id="rId497" Type="http://schemas.openxmlformats.org/officeDocument/2006/relationships/worksheet" Target="worksheets/sheet497.xml"/><Relationship Id="rId620" Type="http://schemas.openxmlformats.org/officeDocument/2006/relationships/worksheet" Target="worksheets/sheet620.xml"/><Relationship Id="rId718" Type="http://schemas.openxmlformats.org/officeDocument/2006/relationships/worksheet" Target="worksheets/sheet718.xml"/><Relationship Id="rId357" Type="http://schemas.openxmlformats.org/officeDocument/2006/relationships/worksheet" Target="worksheets/sheet357.xml"/><Relationship Id="rId54" Type="http://schemas.openxmlformats.org/officeDocument/2006/relationships/worksheet" Target="worksheets/sheet54.xml"/><Relationship Id="rId217" Type="http://schemas.openxmlformats.org/officeDocument/2006/relationships/worksheet" Target="worksheets/sheet217.xml"/><Relationship Id="rId564" Type="http://schemas.openxmlformats.org/officeDocument/2006/relationships/worksheet" Target="worksheets/sheet564.xml"/><Relationship Id="rId424" Type="http://schemas.openxmlformats.org/officeDocument/2006/relationships/worksheet" Target="worksheets/sheet424.xml"/><Relationship Id="rId631" Type="http://schemas.openxmlformats.org/officeDocument/2006/relationships/worksheet" Target="worksheets/sheet631.xml"/><Relationship Id="rId729" Type="http://schemas.openxmlformats.org/officeDocument/2006/relationships/worksheet" Target="worksheets/sheet729.xml"/><Relationship Id="rId270" Type="http://schemas.openxmlformats.org/officeDocument/2006/relationships/worksheet" Target="worksheets/sheet270.xml"/><Relationship Id="rId65" Type="http://schemas.openxmlformats.org/officeDocument/2006/relationships/worksheet" Target="worksheets/sheet65.xml"/><Relationship Id="rId130" Type="http://schemas.openxmlformats.org/officeDocument/2006/relationships/worksheet" Target="worksheets/sheet130.xml"/><Relationship Id="rId368" Type="http://schemas.openxmlformats.org/officeDocument/2006/relationships/worksheet" Target="worksheets/sheet368.xml"/><Relationship Id="rId575" Type="http://schemas.openxmlformats.org/officeDocument/2006/relationships/worksheet" Target="worksheets/sheet575.xml"/><Relationship Id="rId228" Type="http://schemas.openxmlformats.org/officeDocument/2006/relationships/worksheet" Target="worksheets/sheet228.xml"/><Relationship Id="rId435" Type="http://schemas.openxmlformats.org/officeDocument/2006/relationships/worksheet" Target="worksheets/sheet435.xml"/><Relationship Id="rId642" Type="http://schemas.openxmlformats.org/officeDocument/2006/relationships/worksheet" Target="worksheets/sheet642.xml"/><Relationship Id="rId281" Type="http://schemas.openxmlformats.org/officeDocument/2006/relationships/worksheet" Target="worksheets/sheet281.xml"/><Relationship Id="rId502" Type="http://schemas.openxmlformats.org/officeDocument/2006/relationships/worksheet" Target="worksheets/sheet502.xml"/><Relationship Id="rId76" Type="http://schemas.openxmlformats.org/officeDocument/2006/relationships/worksheet" Target="worksheets/sheet76.xml"/><Relationship Id="rId141" Type="http://schemas.openxmlformats.org/officeDocument/2006/relationships/worksheet" Target="worksheets/sheet141.xml"/><Relationship Id="rId379" Type="http://schemas.openxmlformats.org/officeDocument/2006/relationships/worksheet" Target="worksheets/sheet379.xml"/><Relationship Id="rId586" Type="http://schemas.openxmlformats.org/officeDocument/2006/relationships/worksheet" Target="worksheets/sheet586.xml"/><Relationship Id="rId7" Type="http://schemas.openxmlformats.org/officeDocument/2006/relationships/worksheet" Target="worksheets/sheet7.xml"/><Relationship Id="rId239" Type="http://schemas.openxmlformats.org/officeDocument/2006/relationships/worksheet" Target="worksheets/sheet239.xml"/><Relationship Id="rId446" Type="http://schemas.openxmlformats.org/officeDocument/2006/relationships/worksheet" Target="worksheets/sheet446.xml"/><Relationship Id="rId653" Type="http://schemas.openxmlformats.org/officeDocument/2006/relationships/worksheet" Target="worksheets/sheet653.xml"/><Relationship Id="rId292" Type="http://schemas.openxmlformats.org/officeDocument/2006/relationships/worksheet" Target="worksheets/sheet292.xml"/><Relationship Id="rId306" Type="http://schemas.openxmlformats.org/officeDocument/2006/relationships/worksheet" Target="worksheets/sheet306.xml"/><Relationship Id="rId87" Type="http://schemas.openxmlformats.org/officeDocument/2006/relationships/worksheet" Target="worksheets/sheet87.xml"/><Relationship Id="rId513" Type="http://schemas.openxmlformats.org/officeDocument/2006/relationships/worksheet" Target="worksheets/sheet513.xml"/><Relationship Id="rId597" Type="http://schemas.openxmlformats.org/officeDocument/2006/relationships/worksheet" Target="worksheets/sheet597.xml"/><Relationship Id="rId720" Type="http://schemas.openxmlformats.org/officeDocument/2006/relationships/worksheet" Target="worksheets/sheet720.xml"/><Relationship Id="rId152" Type="http://schemas.openxmlformats.org/officeDocument/2006/relationships/worksheet" Target="worksheets/sheet152.xml"/><Relationship Id="rId457" Type="http://schemas.openxmlformats.org/officeDocument/2006/relationships/worksheet" Target="worksheets/sheet457.xml"/><Relationship Id="rId664" Type="http://schemas.openxmlformats.org/officeDocument/2006/relationships/worksheet" Target="worksheets/sheet664.xml"/><Relationship Id="rId14" Type="http://schemas.openxmlformats.org/officeDocument/2006/relationships/worksheet" Target="worksheets/sheet14.xml"/><Relationship Id="rId317" Type="http://schemas.openxmlformats.org/officeDocument/2006/relationships/worksheet" Target="worksheets/sheet317.xml"/><Relationship Id="rId524" Type="http://schemas.openxmlformats.org/officeDocument/2006/relationships/worksheet" Target="worksheets/sheet524.xml"/><Relationship Id="rId731" Type="http://schemas.openxmlformats.org/officeDocument/2006/relationships/worksheet" Target="worksheets/sheet731.xml"/><Relationship Id="rId98" Type="http://schemas.openxmlformats.org/officeDocument/2006/relationships/worksheet" Target="worksheets/sheet98.xml"/><Relationship Id="rId163" Type="http://schemas.openxmlformats.org/officeDocument/2006/relationships/worksheet" Target="worksheets/sheet163.xml"/><Relationship Id="rId370" Type="http://schemas.openxmlformats.org/officeDocument/2006/relationships/worksheet" Target="worksheets/sheet370.xml"/><Relationship Id="rId230" Type="http://schemas.openxmlformats.org/officeDocument/2006/relationships/worksheet" Target="worksheets/sheet230.xml"/><Relationship Id="rId468" Type="http://schemas.openxmlformats.org/officeDocument/2006/relationships/worksheet" Target="worksheets/sheet468.xml"/><Relationship Id="rId675" Type="http://schemas.openxmlformats.org/officeDocument/2006/relationships/worksheet" Target="worksheets/sheet675.xml"/><Relationship Id="rId25" Type="http://schemas.openxmlformats.org/officeDocument/2006/relationships/worksheet" Target="worksheets/sheet25.xml"/><Relationship Id="rId328" Type="http://schemas.openxmlformats.org/officeDocument/2006/relationships/worksheet" Target="worksheets/sheet328.xml"/><Relationship Id="rId535" Type="http://schemas.openxmlformats.org/officeDocument/2006/relationships/worksheet" Target="worksheets/sheet535.xml"/><Relationship Id="rId742" Type="http://schemas.openxmlformats.org/officeDocument/2006/relationships/worksheet" Target="worksheets/sheet742.xml"/><Relationship Id="rId174" Type="http://schemas.openxmlformats.org/officeDocument/2006/relationships/worksheet" Target="worksheets/sheet174.xml"/><Relationship Id="rId381" Type="http://schemas.openxmlformats.org/officeDocument/2006/relationships/worksheet" Target="worksheets/sheet381.xml"/><Relationship Id="rId602" Type="http://schemas.openxmlformats.org/officeDocument/2006/relationships/worksheet" Target="worksheets/sheet602.xml"/><Relationship Id="rId241" Type="http://schemas.openxmlformats.org/officeDocument/2006/relationships/worksheet" Target="worksheets/sheet241.xml"/><Relationship Id="rId479" Type="http://schemas.openxmlformats.org/officeDocument/2006/relationships/worksheet" Target="worksheets/sheet479.xml"/><Relationship Id="rId686" Type="http://schemas.openxmlformats.org/officeDocument/2006/relationships/worksheet" Target="worksheets/sheet686.xml"/><Relationship Id="rId36" Type="http://schemas.openxmlformats.org/officeDocument/2006/relationships/worksheet" Target="worksheets/sheet36.xml"/><Relationship Id="rId339" Type="http://schemas.openxmlformats.org/officeDocument/2006/relationships/worksheet" Target="worksheets/sheet339.xml"/><Relationship Id="rId546" Type="http://schemas.openxmlformats.org/officeDocument/2006/relationships/worksheet" Target="worksheets/sheet546.xml"/><Relationship Id="rId753" Type="http://schemas.openxmlformats.org/officeDocument/2006/relationships/sheetMetadata" Target="metadata.xml"/><Relationship Id="rId101" Type="http://schemas.openxmlformats.org/officeDocument/2006/relationships/worksheet" Target="worksheets/sheet101.xml"/><Relationship Id="rId185" Type="http://schemas.openxmlformats.org/officeDocument/2006/relationships/worksheet" Target="worksheets/sheet185.xml"/><Relationship Id="rId406" Type="http://schemas.openxmlformats.org/officeDocument/2006/relationships/worksheet" Target="worksheets/sheet406.xml"/><Relationship Id="rId392" Type="http://schemas.openxmlformats.org/officeDocument/2006/relationships/worksheet" Target="worksheets/sheet392.xml"/><Relationship Id="rId613" Type="http://schemas.openxmlformats.org/officeDocument/2006/relationships/worksheet" Target="worksheets/sheet613.xml"/><Relationship Id="rId697" Type="http://schemas.openxmlformats.org/officeDocument/2006/relationships/worksheet" Target="worksheets/sheet697.xml"/><Relationship Id="rId252" Type="http://schemas.openxmlformats.org/officeDocument/2006/relationships/worksheet" Target="worksheets/sheet252.xml"/><Relationship Id="rId47" Type="http://schemas.openxmlformats.org/officeDocument/2006/relationships/worksheet" Target="worksheets/sheet47.xml"/><Relationship Id="rId112" Type="http://schemas.openxmlformats.org/officeDocument/2006/relationships/worksheet" Target="worksheets/sheet112.xml"/><Relationship Id="rId557" Type="http://schemas.openxmlformats.org/officeDocument/2006/relationships/worksheet" Target="worksheets/sheet557.xml"/><Relationship Id="rId196" Type="http://schemas.openxmlformats.org/officeDocument/2006/relationships/worksheet" Target="worksheets/sheet196.xml"/><Relationship Id="rId417" Type="http://schemas.openxmlformats.org/officeDocument/2006/relationships/worksheet" Target="worksheets/sheet417.xml"/><Relationship Id="rId624" Type="http://schemas.openxmlformats.org/officeDocument/2006/relationships/worksheet" Target="worksheets/sheet624.xml"/><Relationship Id="rId263" Type="http://schemas.openxmlformats.org/officeDocument/2006/relationships/worksheet" Target="worksheets/sheet263.xml"/><Relationship Id="rId470" Type="http://schemas.openxmlformats.org/officeDocument/2006/relationships/worksheet" Target="worksheets/sheet470.xml"/><Relationship Id="rId58" Type="http://schemas.openxmlformats.org/officeDocument/2006/relationships/worksheet" Target="worksheets/sheet58.xml"/><Relationship Id="rId123" Type="http://schemas.openxmlformats.org/officeDocument/2006/relationships/worksheet" Target="worksheets/sheet123.xml"/><Relationship Id="rId330" Type="http://schemas.openxmlformats.org/officeDocument/2006/relationships/worksheet" Target="worksheets/sheet330.xml"/><Relationship Id="rId568" Type="http://schemas.openxmlformats.org/officeDocument/2006/relationships/worksheet" Target="worksheets/sheet568.xml"/><Relationship Id="rId428" Type="http://schemas.openxmlformats.org/officeDocument/2006/relationships/worksheet" Target="worksheets/sheet428.xml"/><Relationship Id="rId635" Type="http://schemas.openxmlformats.org/officeDocument/2006/relationships/worksheet" Target="worksheets/sheet635.xml"/><Relationship Id="rId274" Type="http://schemas.openxmlformats.org/officeDocument/2006/relationships/worksheet" Target="worksheets/sheet274.xml"/><Relationship Id="rId481" Type="http://schemas.openxmlformats.org/officeDocument/2006/relationships/worksheet" Target="worksheets/sheet481.xml"/><Relationship Id="rId702" Type="http://schemas.openxmlformats.org/officeDocument/2006/relationships/worksheet" Target="worksheets/sheet702.xml"/><Relationship Id="rId69" Type="http://schemas.openxmlformats.org/officeDocument/2006/relationships/worksheet" Target="worksheets/sheet69.xml"/><Relationship Id="rId134" Type="http://schemas.openxmlformats.org/officeDocument/2006/relationships/worksheet" Target="worksheets/sheet134.xml"/><Relationship Id="rId579" Type="http://schemas.openxmlformats.org/officeDocument/2006/relationships/worksheet" Target="worksheets/sheet579.xml"/><Relationship Id="rId341" Type="http://schemas.openxmlformats.org/officeDocument/2006/relationships/worksheet" Target="worksheets/sheet341.xml"/><Relationship Id="rId439" Type="http://schemas.openxmlformats.org/officeDocument/2006/relationships/worksheet" Target="worksheets/sheet439.xml"/><Relationship Id="rId646" Type="http://schemas.openxmlformats.org/officeDocument/2006/relationships/worksheet" Target="worksheets/sheet646.xml"/><Relationship Id="rId201" Type="http://schemas.openxmlformats.org/officeDocument/2006/relationships/worksheet" Target="worksheets/sheet201.xml"/><Relationship Id="rId285" Type="http://schemas.openxmlformats.org/officeDocument/2006/relationships/worksheet" Target="worksheets/sheet285.xml"/><Relationship Id="rId506" Type="http://schemas.openxmlformats.org/officeDocument/2006/relationships/worksheet" Target="worksheets/sheet506.xml"/><Relationship Id="rId492" Type="http://schemas.openxmlformats.org/officeDocument/2006/relationships/worksheet" Target="worksheets/sheet492.xml"/><Relationship Id="rId713" Type="http://schemas.openxmlformats.org/officeDocument/2006/relationships/worksheet" Target="worksheets/sheet713.xml"/><Relationship Id="rId145" Type="http://schemas.openxmlformats.org/officeDocument/2006/relationships/worksheet" Target="worksheets/sheet145.xml"/><Relationship Id="rId352" Type="http://schemas.openxmlformats.org/officeDocument/2006/relationships/worksheet" Target="worksheets/sheet352.xml"/><Relationship Id="rId212" Type="http://schemas.openxmlformats.org/officeDocument/2006/relationships/worksheet" Target="worksheets/sheet212.xml"/><Relationship Id="rId657" Type="http://schemas.openxmlformats.org/officeDocument/2006/relationships/worksheet" Target="worksheets/sheet657.xml"/><Relationship Id="rId296" Type="http://schemas.openxmlformats.org/officeDocument/2006/relationships/worksheet" Target="worksheets/sheet296.xml"/><Relationship Id="rId517" Type="http://schemas.openxmlformats.org/officeDocument/2006/relationships/worksheet" Target="worksheets/sheet517.xml"/><Relationship Id="rId724" Type="http://schemas.openxmlformats.org/officeDocument/2006/relationships/worksheet" Target="worksheets/sheet724.xml"/><Relationship Id="rId60" Type="http://schemas.openxmlformats.org/officeDocument/2006/relationships/worksheet" Target="worksheets/sheet60.xml"/><Relationship Id="rId156" Type="http://schemas.openxmlformats.org/officeDocument/2006/relationships/worksheet" Target="worksheets/sheet156.xml"/><Relationship Id="rId363" Type="http://schemas.openxmlformats.org/officeDocument/2006/relationships/worksheet" Target="worksheets/sheet363.xml"/><Relationship Id="rId570" Type="http://schemas.openxmlformats.org/officeDocument/2006/relationships/worksheet" Target="worksheets/sheet570.xml"/><Relationship Id="rId223" Type="http://schemas.openxmlformats.org/officeDocument/2006/relationships/worksheet" Target="worksheets/sheet223.xml"/><Relationship Id="rId430" Type="http://schemas.openxmlformats.org/officeDocument/2006/relationships/worksheet" Target="worksheets/sheet430.xml"/><Relationship Id="rId668" Type="http://schemas.openxmlformats.org/officeDocument/2006/relationships/worksheet" Target="worksheets/sheet668.xml"/><Relationship Id="rId18" Type="http://schemas.openxmlformats.org/officeDocument/2006/relationships/worksheet" Target="worksheets/sheet18.xml"/><Relationship Id="rId528" Type="http://schemas.openxmlformats.org/officeDocument/2006/relationships/worksheet" Target="worksheets/sheet528.xml"/><Relationship Id="rId735" Type="http://schemas.openxmlformats.org/officeDocument/2006/relationships/worksheet" Target="worksheets/sheet735.xml"/><Relationship Id="rId167" Type="http://schemas.openxmlformats.org/officeDocument/2006/relationships/worksheet" Target="worksheets/sheet167.xml"/><Relationship Id="rId374" Type="http://schemas.openxmlformats.org/officeDocument/2006/relationships/worksheet" Target="worksheets/sheet374.xml"/><Relationship Id="rId581" Type="http://schemas.openxmlformats.org/officeDocument/2006/relationships/worksheet" Target="worksheets/sheet581.xml"/><Relationship Id="rId71" Type="http://schemas.openxmlformats.org/officeDocument/2006/relationships/worksheet" Target="worksheets/sheet71.xml"/><Relationship Id="rId234" Type="http://schemas.openxmlformats.org/officeDocument/2006/relationships/worksheet" Target="worksheets/sheet234.xml"/><Relationship Id="rId679" Type="http://schemas.openxmlformats.org/officeDocument/2006/relationships/worksheet" Target="worksheets/sheet679.xml"/><Relationship Id="rId2" Type="http://schemas.openxmlformats.org/officeDocument/2006/relationships/worksheet" Target="worksheets/sheet2.xml"/><Relationship Id="rId29" Type="http://schemas.openxmlformats.org/officeDocument/2006/relationships/worksheet" Target="worksheets/sheet29.xml"/><Relationship Id="rId441" Type="http://schemas.openxmlformats.org/officeDocument/2006/relationships/worksheet" Target="worksheets/sheet441.xml"/><Relationship Id="rId539" Type="http://schemas.openxmlformats.org/officeDocument/2006/relationships/worksheet" Target="worksheets/sheet539.xml"/><Relationship Id="rId746" Type="http://schemas.openxmlformats.org/officeDocument/2006/relationships/worksheet" Target="worksheets/sheet746.xml"/><Relationship Id="rId178" Type="http://schemas.openxmlformats.org/officeDocument/2006/relationships/worksheet" Target="worksheets/sheet178.xml"/><Relationship Id="rId301" Type="http://schemas.openxmlformats.org/officeDocument/2006/relationships/worksheet" Target="worksheets/sheet301.xml"/><Relationship Id="rId82" Type="http://schemas.openxmlformats.org/officeDocument/2006/relationships/worksheet" Target="worksheets/sheet82.xml"/><Relationship Id="rId385" Type="http://schemas.openxmlformats.org/officeDocument/2006/relationships/worksheet" Target="worksheets/sheet385.xml"/><Relationship Id="rId592" Type="http://schemas.openxmlformats.org/officeDocument/2006/relationships/worksheet" Target="worksheets/sheet592.xml"/><Relationship Id="rId606" Type="http://schemas.openxmlformats.org/officeDocument/2006/relationships/worksheet" Target="worksheets/sheet606.xml"/><Relationship Id="rId245" Type="http://schemas.openxmlformats.org/officeDocument/2006/relationships/worksheet" Target="worksheets/sheet245.xml"/><Relationship Id="rId452" Type="http://schemas.openxmlformats.org/officeDocument/2006/relationships/worksheet" Target="worksheets/sheet452.xml"/><Relationship Id="rId105" Type="http://schemas.openxmlformats.org/officeDocument/2006/relationships/worksheet" Target="worksheets/sheet105.xml"/><Relationship Id="rId312" Type="http://schemas.openxmlformats.org/officeDocument/2006/relationships/worksheet" Target="worksheets/sheet312.xml"/><Relationship Id="rId93" Type="http://schemas.openxmlformats.org/officeDocument/2006/relationships/worksheet" Target="worksheets/sheet93.xml"/><Relationship Id="rId189" Type="http://schemas.openxmlformats.org/officeDocument/2006/relationships/worksheet" Target="worksheets/sheet189.xml"/><Relationship Id="rId396" Type="http://schemas.openxmlformats.org/officeDocument/2006/relationships/worksheet" Target="worksheets/sheet396.xml"/><Relationship Id="rId617" Type="http://schemas.openxmlformats.org/officeDocument/2006/relationships/worksheet" Target="worksheets/sheet617.xml"/><Relationship Id="rId256" Type="http://schemas.openxmlformats.org/officeDocument/2006/relationships/worksheet" Target="worksheets/sheet256.xml"/><Relationship Id="rId463" Type="http://schemas.openxmlformats.org/officeDocument/2006/relationships/worksheet" Target="worksheets/sheet463.xml"/><Relationship Id="rId670" Type="http://schemas.openxmlformats.org/officeDocument/2006/relationships/worksheet" Target="worksheets/sheet670.xml"/><Relationship Id="rId116" Type="http://schemas.openxmlformats.org/officeDocument/2006/relationships/worksheet" Target="worksheets/sheet116.xml"/><Relationship Id="rId323" Type="http://schemas.openxmlformats.org/officeDocument/2006/relationships/worksheet" Target="worksheets/sheet323.xml"/><Relationship Id="rId530" Type="http://schemas.openxmlformats.org/officeDocument/2006/relationships/worksheet" Target="worksheets/sheet530.xml"/><Relationship Id="rId20" Type="http://schemas.openxmlformats.org/officeDocument/2006/relationships/worksheet" Target="worksheets/sheet20.xml"/><Relationship Id="rId628" Type="http://schemas.openxmlformats.org/officeDocument/2006/relationships/worksheet" Target="worksheets/sheet628.xml"/><Relationship Id="rId267" Type="http://schemas.openxmlformats.org/officeDocument/2006/relationships/worksheet" Target="worksheets/sheet267.xml"/><Relationship Id="rId474" Type="http://schemas.openxmlformats.org/officeDocument/2006/relationships/worksheet" Target="worksheets/sheet474.xml"/><Relationship Id="rId127" Type="http://schemas.openxmlformats.org/officeDocument/2006/relationships/worksheet" Target="worksheets/sheet127.xml"/><Relationship Id="rId681" Type="http://schemas.openxmlformats.org/officeDocument/2006/relationships/worksheet" Target="worksheets/sheet681.xml"/><Relationship Id="rId737" Type="http://schemas.openxmlformats.org/officeDocument/2006/relationships/worksheet" Target="worksheets/sheet737.xml"/><Relationship Id="rId31" Type="http://schemas.openxmlformats.org/officeDocument/2006/relationships/worksheet" Target="worksheets/sheet31.xml"/><Relationship Id="rId73" Type="http://schemas.openxmlformats.org/officeDocument/2006/relationships/worksheet" Target="worksheets/sheet73.xml"/><Relationship Id="rId169" Type="http://schemas.openxmlformats.org/officeDocument/2006/relationships/worksheet" Target="worksheets/sheet169.xml"/><Relationship Id="rId334" Type="http://schemas.openxmlformats.org/officeDocument/2006/relationships/worksheet" Target="worksheets/sheet334.xml"/><Relationship Id="rId376" Type="http://schemas.openxmlformats.org/officeDocument/2006/relationships/worksheet" Target="worksheets/sheet376.xml"/><Relationship Id="rId541" Type="http://schemas.openxmlformats.org/officeDocument/2006/relationships/worksheet" Target="worksheets/sheet541.xml"/><Relationship Id="rId583" Type="http://schemas.openxmlformats.org/officeDocument/2006/relationships/worksheet" Target="worksheets/sheet583.xml"/><Relationship Id="rId639" Type="http://schemas.openxmlformats.org/officeDocument/2006/relationships/worksheet" Target="worksheets/sheet639.xml"/><Relationship Id="rId4" Type="http://schemas.openxmlformats.org/officeDocument/2006/relationships/worksheet" Target="worksheets/sheet4.xml"/><Relationship Id="rId180" Type="http://schemas.openxmlformats.org/officeDocument/2006/relationships/worksheet" Target="worksheets/sheet180.xml"/><Relationship Id="rId236" Type="http://schemas.openxmlformats.org/officeDocument/2006/relationships/worksheet" Target="worksheets/sheet236.xml"/><Relationship Id="rId278" Type="http://schemas.openxmlformats.org/officeDocument/2006/relationships/worksheet" Target="worksheets/sheet278.xml"/><Relationship Id="rId401" Type="http://schemas.openxmlformats.org/officeDocument/2006/relationships/worksheet" Target="worksheets/sheet401.xml"/><Relationship Id="rId443" Type="http://schemas.openxmlformats.org/officeDocument/2006/relationships/worksheet" Target="worksheets/sheet443.xml"/><Relationship Id="rId650" Type="http://schemas.openxmlformats.org/officeDocument/2006/relationships/worksheet" Target="worksheets/sheet650.xml"/><Relationship Id="rId303" Type="http://schemas.openxmlformats.org/officeDocument/2006/relationships/worksheet" Target="worksheets/sheet303.xml"/><Relationship Id="rId485" Type="http://schemas.openxmlformats.org/officeDocument/2006/relationships/worksheet" Target="worksheets/sheet485.xml"/><Relationship Id="rId692" Type="http://schemas.openxmlformats.org/officeDocument/2006/relationships/worksheet" Target="worksheets/sheet692.xml"/><Relationship Id="rId706" Type="http://schemas.openxmlformats.org/officeDocument/2006/relationships/worksheet" Target="worksheets/sheet706.xml"/><Relationship Id="rId748" Type="http://schemas.openxmlformats.org/officeDocument/2006/relationships/pivotCacheDefinition" Target="pivotCache/pivotCacheDefinition1.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345" Type="http://schemas.openxmlformats.org/officeDocument/2006/relationships/worksheet" Target="worksheets/sheet345.xml"/><Relationship Id="rId387" Type="http://schemas.openxmlformats.org/officeDocument/2006/relationships/worksheet" Target="worksheets/sheet387.xml"/><Relationship Id="rId510" Type="http://schemas.openxmlformats.org/officeDocument/2006/relationships/worksheet" Target="worksheets/sheet510.xml"/><Relationship Id="rId552" Type="http://schemas.openxmlformats.org/officeDocument/2006/relationships/worksheet" Target="worksheets/sheet552.xml"/><Relationship Id="rId594" Type="http://schemas.openxmlformats.org/officeDocument/2006/relationships/worksheet" Target="worksheets/sheet594.xml"/><Relationship Id="rId608" Type="http://schemas.openxmlformats.org/officeDocument/2006/relationships/worksheet" Target="worksheets/sheet60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412" Type="http://schemas.openxmlformats.org/officeDocument/2006/relationships/worksheet" Target="worksheets/sheet412.xml"/><Relationship Id="rId107" Type="http://schemas.openxmlformats.org/officeDocument/2006/relationships/worksheet" Target="worksheets/sheet107.xml"/><Relationship Id="rId289" Type="http://schemas.openxmlformats.org/officeDocument/2006/relationships/worksheet" Target="worksheets/sheet289.xml"/><Relationship Id="rId454" Type="http://schemas.openxmlformats.org/officeDocument/2006/relationships/worksheet" Target="worksheets/sheet454.xml"/><Relationship Id="rId496" Type="http://schemas.openxmlformats.org/officeDocument/2006/relationships/worksheet" Target="worksheets/sheet496.xml"/><Relationship Id="rId661" Type="http://schemas.openxmlformats.org/officeDocument/2006/relationships/worksheet" Target="worksheets/sheet661.xml"/><Relationship Id="rId717" Type="http://schemas.openxmlformats.org/officeDocument/2006/relationships/worksheet" Target="worksheets/sheet717.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356" Type="http://schemas.openxmlformats.org/officeDocument/2006/relationships/worksheet" Target="worksheets/sheet356.xml"/><Relationship Id="rId398" Type="http://schemas.openxmlformats.org/officeDocument/2006/relationships/worksheet" Target="worksheets/sheet398.xml"/><Relationship Id="rId521" Type="http://schemas.openxmlformats.org/officeDocument/2006/relationships/worksheet" Target="worksheets/sheet521.xml"/><Relationship Id="rId563" Type="http://schemas.openxmlformats.org/officeDocument/2006/relationships/worksheet" Target="worksheets/sheet563.xml"/><Relationship Id="rId619" Type="http://schemas.openxmlformats.org/officeDocument/2006/relationships/worksheet" Target="worksheets/sheet619.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423" Type="http://schemas.openxmlformats.org/officeDocument/2006/relationships/worksheet" Target="worksheets/sheet423.xml"/><Relationship Id="rId258" Type="http://schemas.openxmlformats.org/officeDocument/2006/relationships/worksheet" Target="worksheets/sheet258.xml"/><Relationship Id="rId465" Type="http://schemas.openxmlformats.org/officeDocument/2006/relationships/worksheet" Target="worksheets/sheet465.xml"/><Relationship Id="rId630" Type="http://schemas.openxmlformats.org/officeDocument/2006/relationships/worksheet" Target="worksheets/sheet630.xml"/><Relationship Id="rId672" Type="http://schemas.openxmlformats.org/officeDocument/2006/relationships/worksheet" Target="worksheets/sheet672.xml"/><Relationship Id="rId728" Type="http://schemas.openxmlformats.org/officeDocument/2006/relationships/worksheet" Target="worksheets/sheet72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367" Type="http://schemas.openxmlformats.org/officeDocument/2006/relationships/worksheet" Target="worksheets/sheet367.xml"/><Relationship Id="rId532" Type="http://schemas.openxmlformats.org/officeDocument/2006/relationships/worksheet" Target="worksheets/sheet532.xml"/><Relationship Id="rId574" Type="http://schemas.openxmlformats.org/officeDocument/2006/relationships/worksheet" Target="worksheets/sheet574.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434" Type="http://schemas.openxmlformats.org/officeDocument/2006/relationships/worksheet" Target="worksheets/sheet434.xml"/><Relationship Id="rId476" Type="http://schemas.openxmlformats.org/officeDocument/2006/relationships/worksheet" Target="worksheets/sheet476.xml"/><Relationship Id="rId641" Type="http://schemas.openxmlformats.org/officeDocument/2006/relationships/worksheet" Target="worksheets/sheet641.xml"/><Relationship Id="rId683" Type="http://schemas.openxmlformats.org/officeDocument/2006/relationships/worksheet" Target="worksheets/sheet683.xml"/><Relationship Id="rId739" Type="http://schemas.openxmlformats.org/officeDocument/2006/relationships/worksheet" Target="worksheets/sheet73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501" Type="http://schemas.openxmlformats.org/officeDocument/2006/relationships/worksheet" Target="worksheets/sheet501.xml"/><Relationship Id="rId543" Type="http://schemas.openxmlformats.org/officeDocument/2006/relationships/worksheet" Target="worksheets/sheet543.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378" Type="http://schemas.openxmlformats.org/officeDocument/2006/relationships/worksheet" Target="worksheets/sheet378.xml"/><Relationship Id="rId403" Type="http://schemas.openxmlformats.org/officeDocument/2006/relationships/worksheet" Target="worksheets/sheet403.xml"/><Relationship Id="rId585" Type="http://schemas.openxmlformats.org/officeDocument/2006/relationships/worksheet" Target="worksheets/sheet585.xml"/><Relationship Id="rId750" Type="http://schemas.openxmlformats.org/officeDocument/2006/relationships/connections" Target="connections.xml"/><Relationship Id="rId6" Type="http://schemas.openxmlformats.org/officeDocument/2006/relationships/worksheet" Target="worksheets/sheet6.xml"/><Relationship Id="rId238" Type="http://schemas.openxmlformats.org/officeDocument/2006/relationships/worksheet" Target="worksheets/sheet238.xml"/><Relationship Id="rId445" Type="http://schemas.openxmlformats.org/officeDocument/2006/relationships/worksheet" Target="worksheets/sheet445.xml"/><Relationship Id="rId487" Type="http://schemas.openxmlformats.org/officeDocument/2006/relationships/worksheet" Target="worksheets/sheet487.xml"/><Relationship Id="rId610" Type="http://schemas.openxmlformats.org/officeDocument/2006/relationships/worksheet" Target="worksheets/sheet610.xml"/><Relationship Id="rId652" Type="http://schemas.openxmlformats.org/officeDocument/2006/relationships/worksheet" Target="worksheets/sheet652.xml"/><Relationship Id="rId694" Type="http://schemas.openxmlformats.org/officeDocument/2006/relationships/worksheet" Target="worksheets/sheet694.xml"/><Relationship Id="rId708" Type="http://schemas.openxmlformats.org/officeDocument/2006/relationships/worksheet" Target="worksheets/sheet708.xml"/><Relationship Id="rId291" Type="http://schemas.openxmlformats.org/officeDocument/2006/relationships/worksheet" Target="worksheets/sheet291.xml"/><Relationship Id="rId305" Type="http://schemas.openxmlformats.org/officeDocument/2006/relationships/worksheet" Target="worksheets/sheet305.xml"/><Relationship Id="rId347" Type="http://schemas.openxmlformats.org/officeDocument/2006/relationships/worksheet" Target="worksheets/sheet347.xml"/><Relationship Id="rId512" Type="http://schemas.openxmlformats.org/officeDocument/2006/relationships/worksheet" Target="worksheets/sheet512.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389" Type="http://schemas.openxmlformats.org/officeDocument/2006/relationships/worksheet" Target="worksheets/sheet389.xml"/><Relationship Id="rId554" Type="http://schemas.openxmlformats.org/officeDocument/2006/relationships/worksheet" Target="worksheets/sheet554.xml"/><Relationship Id="rId596" Type="http://schemas.openxmlformats.org/officeDocument/2006/relationships/worksheet" Target="worksheets/sheet596.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414" Type="http://schemas.openxmlformats.org/officeDocument/2006/relationships/worksheet" Target="worksheets/sheet414.xml"/><Relationship Id="rId456" Type="http://schemas.openxmlformats.org/officeDocument/2006/relationships/worksheet" Target="worksheets/sheet456.xml"/><Relationship Id="rId498" Type="http://schemas.openxmlformats.org/officeDocument/2006/relationships/worksheet" Target="worksheets/sheet498.xml"/><Relationship Id="rId621" Type="http://schemas.openxmlformats.org/officeDocument/2006/relationships/worksheet" Target="worksheets/sheet621.xml"/><Relationship Id="rId663" Type="http://schemas.openxmlformats.org/officeDocument/2006/relationships/worksheet" Target="worksheets/sheet663.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23" Type="http://schemas.openxmlformats.org/officeDocument/2006/relationships/worksheet" Target="worksheets/sheet523.xml"/><Relationship Id="rId719" Type="http://schemas.openxmlformats.org/officeDocument/2006/relationships/worksheet" Target="worksheets/sheet719.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358" Type="http://schemas.openxmlformats.org/officeDocument/2006/relationships/worksheet" Target="worksheets/sheet358.xml"/><Relationship Id="rId565" Type="http://schemas.openxmlformats.org/officeDocument/2006/relationships/worksheet" Target="worksheets/sheet565.xml"/><Relationship Id="rId730" Type="http://schemas.openxmlformats.org/officeDocument/2006/relationships/worksheet" Target="worksheets/sheet730.xml"/><Relationship Id="rId162" Type="http://schemas.openxmlformats.org/officeDocument/2006/relationships/worksheet" Target="worksheets/sheet162.xml"/><Relationship Id="rId218" Type="http://schemas.openxmlformats.org/officeDocument/2006/relationships/worksheet" Target="worksheets/sheet218.xml"/><Relationship Id="rId425" Type="http://schemas.openxmlformats.org/officeDocument/2006/relationships/worksheet" Target="worksheets/sheet425.xml"/><Relationship Id="rId467" Type="http://schemas.openxmlformats.org/officeDocument/2006/relationships/worksheet" Target="worksheets/sheet467.xml"/><Relationship Id="rId632" Type="http://schemas.openxmlformats.org/officeDocument/2006/relationships/worksheet" Target="worksheets/sheet632.xml"/><Relationship Id="rId271" Type="http://schemas.openxmlformats.org/officeDocument/2006/relationships/worksheet" Target="worksheets/sheet271.xml"/><Relationship Id="rId674" Type="http://schemas.openxmlformats.org/officeDocument/2006/relationships/worksheet" Target="worksheets/sheet674.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369" Type="http://schemas.openxmlformats.org/officeDocument/2006/relationships/worksheet" Target="worksheets/sheet369.xml"/><Relationship Id="rId534" Type="http://schemas.openxmlformats.org/officeDocument/2006/relationships/worksheet" Target="worksheets/sheet534.xml"/><Relationship Id="rId576" Type="http://schemas.openxmlformats.org/officeDocument/2006/relationships/worksheet" Target="worksheets/sheet576.xml"/><Relationship Id="rId741" Type="http://schemas.openxmlformats.org/officeDocument/2006/relationships/worksheet" Target="worksheets/sheet741.xml"/><Relationship Id="rId173" Type="http://schemas.openxmlformats.org/officeDocument/2006/relationships/worksheet" Target="worksheets/sheet173.xml"/><Relationship Id="rId229" Type="http://schemas.openxmlformats.org/officeDocument/2006/relationships/worksheet" Target="worksheets/sheet229.xml"/><Relationship Id="rId380" Type="http://schemas.openxmlformats.org/officeDocument/2006/relationships/worksheet" Target="worksheets/sheet380.xml"/><Relationship Id="rId436" Type="http://schemas.openxmlformats.org/officeDocument/2006/relationships/worksheet" Target="worksheets/sheet436.xml"/><Relationship Id="rId601" Type="http://schemas.openxmlformats.org/officeDocument/2006/relationships/worksheet" Target="worksheets/sheet601.xml"/><Relationship Id="rId643" Type="http://schemas.openxmlformats.org/officeDocument/2006/relationships/worksheet" Target="worksheets/sheet643.xml"/><Relationship Id="rId240" Type="http://schemas.openxmlformats.org/officeDocument/2006/relationships/worksheet" Target="worksheets/sheet240.xml"/><Relationship Id="rId478" Type="http://schemas.openxmlformats.org/officeDocument/2006/relationships/worksheet" Target="worksheets/sheet478.xml"/><Relationship Id="rId685" Type="http://schemas.openxmlformats.org/officeDocument/2006/relationships/worksheet" Target="worksheets/sheet685.xml"/><Relationship Id="rId35" Type="http://schemas.openxmlformats.org/officeDocument/2006/relationships/worksheet" Target="worksheets/sheet35.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38" Type="http://schemas.openxmlformats.org/officeDocument/2006/relationships/worksheet" Target="worksheets/sheet338.xml"/><Relationship Id="rId503" Type="http://schemas.openxmlformats.org/officeDocument/2006/relationships/worksheet" Target="worksheets/sheet503.xml"/><Relationship Id="rId545" Type="http://schemas.openxmlformats.org/officeDocument/2006/relationships/worksheet" Target="worksheets/sheet545.xml"/><Relationship Id="rId587" Type="http://schemas.openxmlformats.org/officeDocument/2006/relationships/worksheet" Target="worksheets/sheet587.xml"/><Relationship Id="rId710" Type="http://schemas.openxmlformats.org/officeDocument/2006/relationships/worksheet" Target="worksheets/sheet710.xml"/><Relationship Id="rId752" Type="http://schemas.openxmlformats.org/officeDocument/2006/relationships/sharedStrings" Target="sharedStrings.xml"/><Relationship Id="rId8" Type="http://schemas.openxmlformats.org/officeDocument/2006/relationships/worksheet" Target="worksheets/sheet8.xml"/><Relationship Id="rId142" Type="http://schemas.openxmlformats.org/officeDocument/2006/relationships/worksheet" Target="worksheets/sheet142.xml"/><Relationship Id="rId184" Type="http://schemas.openxmlformats.org/officeDocument/2006/relationships/worksheet" Target="worksheets/sheet184.xml"/><Relationship Id="rId391" Type="http://schemas.openxmlformats.org/officeDocument/2006/relationships/worksheet" Target="worksheets/sheet391.xml"/><Relationship Id="rId405" Type="http://schemas.openxmlformats.org/officeDocument/2006/relationships/worksheet" Target="worksheets/sheet405.xml"/><Relationship Id="rId447" Type="http://schemas.openxmlformats.org/officeDocument/2006/relationships/worksheet" Target="worksheets/sheet447.xml"/><Relationship Id="rId612" Type="http://schemas.openxmlformats.org/officeDocument/2006/relationships/worksheet" Target="worksheets/sheet612.xml"/><Relationship Id="rId251" Type="http://schemas.openxmlformats.org/officeDocument/2006/relationships/worksheet" Target="worksheets/sheet251.xml"/><Relationship Id="rId489" Type="http://schemas.openxmlformats.org/officeDocument/2006/relationships/worksheet" Target="worksheets/sheet489.xml"/><Relationship Id="rId654" Type="http://schemas.openxmlformats.org/officeDocument/2006/relationships/worksheet" Target="worksheets/sheet654.xml"/><Relationship Id="rId696" Type="http://schemas.openxmlformats.org/officeDocument/2006/relationships/worksheet" Target="worksheets/sheet696.xml"/><Relationship Id="rId46" Type="http://schemas.openxmlformats.org/officeDocument/2006/relationships/worksheet" Target="worksheets/sheet46.xml"/><Relationship Id="rId293" Type="http://schemas.openxmlformats.org/officeDocument/2006/relationships/worksheet" Target="worksheets/sheet293.xml"/><Relationship Id="rId307" Type="http://schemas.openxmlformats.org/officeDocument/2006/relationships/worksheet" Target="worksheets/sheet307.xml"/><Relationship Id="rId349" Type="http://schemas.openxmlformats.org/officeDocument/2006/relationships/worksheet" Target="worksheets/sheet349.xml"/><Relationship Id="rId514" Type="http://schemas.openxmlformats.org/officeDocument/2006/relationships/worksheet" Target="worksheets/sheet514.xml"/><Relationship Id="rId556" Type="http://schemas.openxmlformats.org/officeDocument/2006/relationships/worksheet" Target="worksheets/sheet556.xml"/><Relationship Id="rId721" Type="http://schemas.openxmlformats.org/officeDocument/2006/relationships/worksheet" Target="worksheets/sheet721.xml"/><Relationship Id="rId88" Type="http://schemas.openxmlformats.org/officeDocument/2006/relationships/worksheet" Target="worksheets/sheet88.xml"/><Relationship Id="rId111" Type="http://schemas.openxmlformats.org/officeDocument/2006/relationships/worksheet" Target="worksheets/sheet111.xml"/><Relationship Id="rId153" Type="http://schemas.openxmlformats.org/officeDocument/2006/relationships/worksheet" Target="worksheets/sheet153.xml"/><Relationship Id="rId195" Type="http://schemas.openxmlformats.org/officeDocument/2006/relationships/worksheet" Target="worksheets/sheet195.xml"/><Relationship Id="rId209" Type="http://schemas.openxmlformats.org/officeDocument/2006/relationships/worksheet" Target="worksheets/sheet209.xml"/><Relationship Id="rId360" Type="http://schemas.openxmlformats.org/officeDocument/2006/relationships/worksheet" Target="worksheets/sheet360.xml"/><Relationship Id="rId416" Type="http://schemas.openxmlformats.org/officeDocument/2006/relationships/worksheet" Target="worksheets/sheet416.xml"/><Relationship Id="rId598" Type="http://schemas.openxmlformats.org/officeDocument/2006/relationships/worksheet" Target="worksheets/sheet598.xml"/><Relationship Id="rId220" Type="http://schemas.openxmlformats.org/officeDocument/2006/relationships/worksheet" Target="worksheets/sheet220.xml"/><Relationship Id="rId458" Type="http://schemas.openxmlformats.org/officeDocument/2006/relationships/worksheet" Target="worksheets/sheet458.xml"/><Relationship Id="rId623" Type="http://schemas.openxmlformats.org/officeDocument/2006/relationships/worksheet" Target="worksheets/sheet623.xml"/><Relationship Id="rId665" Type="http://schemas.openxmlformats.org/officeDocument/2006/relationships/worksheet" Target="worksheets/sheet665.xml"/><Relationship Id="rId15" Type="http://schemas.openxmlformats.org/officeDocument/2006/relationships/worksheet" Target="worksheets/sheet15.xml"/><Relationship Id="rId57" Type="http://schemas.openxmlformats.org/officeDocument/2006/relationships/worksheet" Target="worksheets/sheet57.xml"/><Relationship Id="rId262" Type="http://schemas.openxmlformats.org/officeDocument/2006/relationships/worksheet" Target="worksheets/sheet262.xml"/><Relationship Id="rId318" Type="http://schemas.openxmlformats.org/officeDocument/2006/relationships/worksheet" Target="worksheets/sheet318.xml"/><Relationship Id="rId525" Type="http://schemas.openxmlformats.org/officeDocument/2006/relationships/worksheet" Target="worksheets/sheet525.xml"/><Relationship Id="rId567" Type="http://schemas.openxmlformats.org/officeDocument/2006/relationships/worksheet" Target="worksheets/sheet567.xml"/><Relationship Id="rId732" Type="http://schemas.openxmlformats.org/officeDocument/2006/relationships/worksheet" Target="worksheets/sheet732.xml"/><Relationship Id="rId99" Type="http://schemas.openxmlformats.org/officeDocument/2006/relationships/worksheet" Target="worksheets/sheet99.xml"/><Relationship Id="rId122" Type="http://schemas.openxmlformats.org/officeDocument/2006/relationships/worksheet" Target="worksheets/sheet122.xml"/><Relationship Id="rId164" Type="http://schemas.openxmlformats.org/officeDocument/2006/relationships/worksheet" Target="worksheets/sheet164.xml"/><Relationship Id="rId371" Type="http://schemas.openxmlformats.org/officeDocument/2006/relationships/worksheet" Target="worksheets/sheet371.xml"/><Relationship Id="rId427" Type="http://schemas.openxmlformats.org/officeDocument/2006/relationships/worksheet" Target="worksheets/sheet427.xml"/><Relationship Id="rId469" Type="http://schemas.openxmlformats.org/officeDocument/2006/relationships/worksheet" Target="worksheets/sheet469.xml"/><Relationship Id="rId634" Type="http://schemas.openxmlformats.org/officeDocument/2006/relationships/worksheet" Target="worksheets/sheet634.xml"/><Relationship Id="rId676" Type="http://schemas.openxmlformats.org/officeDocument/2006/relationships/worksheet" Target="worksheets/sheet676.xml"/><Relationship Id="rId26" Type="http://schemas.openxmlformats.org/officeDocument/2006/relationships/worksheet" Target="worksheets/sheet26.xml"/><Relationship Id="rId231" Type="http://schemas.openxmlformats.org/officeDocument/2006/relationships/worksheet" Target="worksheets/sheet231.xml"/><Relationship Id="rId273" Type="http://schemas.openxmlformats.org/officeDocument/2006/relationships/worksheet" Target="worksheets/sheet273.xml"/><Relationship Id="rId329" Type="http://schemas.openxmlformats.org/officeDocument/2006/relationships/worksheet" Target="worksheets/sheet329.xml"/><Relationship Id="rId480" Type="http://schemas.openxmlformats.org/officeDocument/2006/relationships/worksheet" Target="worksheets/sheet480.xml"/><Relationship Id="rId536" Type="http://schemas.openxmlformats.org/officeDocument/2006/relationships/worksheet" Target="worksheets/sheet536.xml"/><Relationship Id="rId701" Type="http://schemas.openxmlformats.org/officeDocument/2006/relationships/worksheet" Target="worksheets/sheet701.xml"/><Relationship Id="rId68" Type="http://schemas.openxmlformats.org/officeDocument/2006/relationships/worksheet" Target="worksheets/sheet68.xml"/><Relationship Id="rId133" Type="http://schemas.openxmlformats.org/officeDocument/2006/relationships/worksheet" Target="worksheets/sheet133.xml"/><Relationship Id="rId175" Type="http://schemas.openxmlformats.org/officeDocument/2006/relationships/worksheet" Target="worksheets/sheet175.xml"/><Relationship Id="rId340" Type="http://schemas.openxmlformats.org/officeDocument/2006/relationships/worksheet" Target="worksheets/sheet340.xml"/><Relationship Id="rId578" Type="http://schemas.openxmlformats.org/officeDocument/2006/relationships/worksheet" Target="worksheets/sheet578.xml"/><Relationship Id="rId743" Type="http://schemas.openxmlformats.org/officeDocument/2006/relationships/worksheet" Target="worksheets/sheet743.xml"/><Relationship Id="rId200" Type="http://schemas.openxmlformats.org/officeDocument/2006/relationships/worksheet" Target="worksheets/sheet200.xml"/><Relationship Id="rId382" Type="http://schemas.openxmlformats.org/officeDocument/2006/relationships/worksheet" Target="worksheets/sheet382.xml"/><Relationship Id="rId438" Type="http://schemas.openxmlformats.org/officeDocument/2006/relationships/worksheet" Target="worksheets/sheet438.xml"/><Relationship Id="rId603" Type="http://schemas.openxmlformats.org/officeDocument/2006/relationships/worksheet" Target="worksheets/sheet603.xml"/><Relationship Id="rId645" Type="http://schemas.openxmlformats.org/officeDocument/2006/relationships/worksheet" Target="worksheets/sheet645.xml"/><Relationship Id="rId687" Type="http://schemas.openxmlformats.org/officeDocument/2006/relationships/worksheet" Target="worksheets/sheet687.xml"/><Relationship Id="rId242" Type="http://schemas.openxmlformats.org/officeDocument/2006/relationships/worksheet" Target="worksheets/sheet242.xml"/><Relationship Id="rId284" Type="http://schemas.openxmlformats.org/officeDocument/2006/relationships/worksheet" Target="worksheets/sheet284.xml"/><Relationship Id="rId491" Type="http://schemas.openxmlformats.org/officeDocument/2006/relationships/worksheet" Target="worksheets/sheet491.xml"/><Relationship Id="rId505" Type="http://schemas.openxmlformats.org/officeDocument/2006/relationships/worksheet" Target="worksheets/sheet505.xml"/><Relationship Id="rId712" Type="http://schemas.openxmlformats.org/officeDocument/2006/relationships/worksheet" Target="worksheets/sheet712.xml"/><Relationship Id="rId37" Type="http://schemas.openxmlformats.org/officeDocument/2006/relationships/worksheet" Target="worksheets/sheet37.xml"/><Relationship Id="rId79" Type="http://schemas.openxmlformats.org/officeDocument/2006/relationships/worksheet" Target="worksheets/sheet79.xml"/><Relationship Id="rId102" Type="http://schemas.openxmlformats.org/officeDocument/2006/relationships/worksheet" Target="worksheets/sheet102.xml"/><Relationship Id="rId144" Type="http://schemas.openxmlformats.org/officeDocument/2006/relationships/worksheet" Target="worksheets/sheet144.xml"/><Relationship Id="rId547" Type="http://schemas.openxmlformats.org/officeDocument/2006/relationships/worksheet" Target="worksheets/sheet547.xml"/><Relationship Id="rId589" Type="http://schemas.openxmlformats.org/officeDocument/2006/relationships/worksheet" Target="worksheets/sheet589.xml"/><Relationship Id="rId754" Type="http://schemas.openxmlformats.org/officeDocument/2006/relationships/calcChain" Target="calcChain.xml"/><Relationship Id="rId90" Type="http://schemas.openxmlformats.org/officeDocument/2006/relationships/worksheet" Target="worksheets/sheet90.xml"/><Relationship Id="rId186" Type="http://schemas.openxmlformats.org/officeDocument/2006/relationships/worksheet" Target="worksheets/sheet186.xml"/><Relationship Id="rId351" Type="http://schemas.openxmlformats.org/officeDocument/2006/relationships/worksheet" Target="worksheets/sheet351.xml"/><Relationship Id="rId393" Type="http://schemas.openxmlformats.org/officeDocument/2006/relationships/worksheet" Target="worksheets/sheet393.xml"/><Relationship Id="rId407" Type="http://schemas.openxmlformats.org/officeDocument/2006/relationships/worksheet" Target="worksheets/sheet407.xml"/><Relationship Id="rId449" Type="http://schemas.openxmlformats.org/officeDocument/2006/relationships/worksheet" Target="worksheets/sheet449.xml"/><Relationship Id="rId614" Type="http://schemas.openxmlformats.org/officeDocument/2006/relationships/worksheet" Target="worksheets/sheet614.xml"/><Relationship Id="rId656" Type="http://schemas.openxmlformats.org/officeDocument/2006/relationships/worksheet" Target="worksheets/sheet656.xml"/><Relationship Id="rId211" Type="http://schemas.openxmlformats.org/officeDocument/2006/relationships/worksheet" Target="worksheets/sheet211.xml"/><Relationship Id="rId253" Type="http://schemas.openxmlformats.org/officeDocument/2006/relationships/worksheet" Target="worksheets/sheet253.xml"/><Relationship Id="rId295" Type="http://schemas.openxmlformats.org/officeDocument/2006/relationships/worksheet" Target="worksheets/sheet295.xml"/><Relationship Id="rId309" Type="http://schemas.openxmlformats.org/officeDocument/2006/relationships/worksheet" Target="worksheets/sheet309.xml"/><Relationship Id="rId460" Type="http://schemas.openxmlformats.org/officeDocument/2006/relationships/worksheet" Target="worksheets/sheet460.xml"/><Relationship Id="rId516" Type="http://schemas.openxmlformats.org/officeDocument/2006/relationships/worksheet" Target="worksheets/sheet516.xml"/><Relationship Id="rId698" Type="http://schemas.openxmlformats.org/officeDocument/2006/relationships/worksheet" Target="worksheets/sheet698.xml"/><Relationship Id="rId48" Type="http://schemas.openxmlformats.org/officeDocument/2006/relationships/worksheet" Target="worksheets/sheet48.xml"/><Relationship Id="rId113" Type="http://schemas.openxmlformats.org/officeDocument/2006/relationships/worksheet" Target="worksheets/sheet113.xml"/><Relationship Id="rId320" Type="http://schemas.openxmlformats.org/officeDocument/2006/relationships/worksheet" Target="worksheets/sheet320.xml"/><Relationship Id="rId558" Type="http://schemas.openxmlformats.org/officeDocument/2006/relationships/worksheet" Target="worksheets/sheet558.xml"/><Relationship Id="rId723" Type="http://schemas.openxmlformats.org/officeDocument/2006/relationships/worksheet" Target="worksheets/sheet723.xml"/><Relationship Id="rId155" Type="http://schemas.openxmlformats.org/officeDocument/2006/relationships/worksheet" Target="worksheets/sheet155.xml"/><Relationship Id="rId197" Type="http://schemas.openxmlformats.org/officeDocument/2006/relationships/worksheet" Target="worksheets/sheet197.xml"/><Relationship Id="rId362" Type="http://schemas.openxmlformats.org/officeDocument/2006/relationships/worksheet" Target="worksheets/sheet362.xml"/><Relationship Id="rId418" Type="http://schemas.openxmlformats.org/officeDocument/2006/relationships/worksheet" Target="worksheets/sheet418.xml"/><Relationship Id="rId625" Type="http://schemas.openxmlformats.org/officeDocument/2006/relationships/worksheet" Target="worksheets/sheet625.xml"/><Relationship Id="rId222" Type="http://schemas.openxmlformats.org/officeDocument/2006/relationships/worksheet" Target="worksheets/sheet222.xml"/><Relationship Id="rId264" Type="http://schemas.openxmlformats.org/officeDocument/2006/relationships/worksheet" Target="worksheets/sheet264.xml"/><Relationship Id="rId471" Type="http://schemas.openxmlformats.org/officeDocument/2006/relationships/worksheet" Target="worksheets/sheet471.xml"/><Relationship Id="rId667" Type="http://schemas.openxmlformats.org/officeDocument/2006/relationships/worksheet" Target="worksheets/sheet667.xml"/><Relationship Id="rId17" Type="http://schemas.openxmlformats.org/officeDocument/2006/relationships/worksheet" Target="worksheets/sheet17.xml"/><Relationship Id="rId59" Type="http://schemas.openxmlformats.org/officeDocument/2006/relationships/worksheet" Target="worksheets/sheet59.xml"/><Relationship Id="rId124" Type="http://schemas.openxmlformats.org/officeDocument/2006/relationships/worksheet" Target="worksheets/sheet124.xml"/><Relationship Id="rId527" Type="http://schemas.openxmlformats.org/officeDocument/2006/relationships/worksheet" Target="worksheets/sheet527.xml"/><Relationship Id="rId569" Type="http://schemas.openxmlformats.org/officeDocument/2006/relationships/worksheet" Target="worksheets/sheet569.xml"/><Relationship Id="rId734" Type="http://schemas.openxmlformats.org/officeDocument/2006/relationships/worksheet" Target="worksheets/sheet734.xml"/><Relationship Id="rId70" Type="http://schemas.openxmlformats.org/officeDocument/2006/relationships/worksheet" Target="worksheets/sheet70.xml"/><Relationship Id="rId166" Type="http://schemas.openxmlformats.org/officeDocument/2006/relationships/worksheet" Target="worksheets/sheet166.xml"/><Relationship Id="rId331" Type="http://schemas.openxmlformats.org/officeDocument/2006/relationships/worksheet" Target="worksheets/sheet331.xml"/><Relationship Id="rId373" Type="http://schemas.openxmlformats.org/officeDocument/2006/relationships/worksheet" Target="worksheets/sheet373.xml"/><Relationship Id="rId429" Type="http://schemas.openxmlformats.org/officeDocument/2006/relationships/worksheet" Target="worksheets/sheet429.xml"/><Relationship Id="rId580" Type="http://schemas.openxmlformats.org/officeDocument/2006/relationships/worksheet" Target="worksheets/sheet580.xml"/><Relationship Id="rId636" Type="http://schemas.openxmlformats.org/officeDocument/2006/relationships/worksheet" Target="worksheets/sheet636.xml"/><Relationship Id="rId1" Type="http://schemas.openxmlformats.org/officeDocument/2006/relationships/worksheet" Target="worksheets/sheet1.xml"/><Relationship Id="rId233" Type="http://schemas.openxmlformats.org/officeDocument/2006/relationships/worksheet" Target="worksheets/sheet233.xml"/><Relationship Id="rId440" Type="http://schemas.openxmlformats.org/officeDocument/2006/relationships/worksheet" Target="worksheets/sheet440.xml"/><Relationship Id="rId678" Type="http://schemas.openxmlformats.org/officeDocument/2006/relationships/worksheet" Target="worksheets/sheet678.xml"/><Relationship Id="rId28" Type="http://schemas.openxmlformats.org/officeDocument/2006/relationships/worksheet" Target="worksheets/sheet28.xml"/><Relationship Id="rId275" Type="http://schemas.openxmlformats.org/officeDocument/2006/relationships/worksheet" Target="worksheets/sheet275.xml"/><Relationship Id="rId300" Type="http://schemas.openxmlformats.org/officeDocument/2006/relationships/worksheet" Target="worksheets/sheet300.xml"/><Relationship Id="rId482" Type="http://schemas.openxmlformats.org/officeDocument/2006/relationships/worksheet" Target="worksheets/sheet482.xml"/><Relationship Id="rId538" Type="http://schemas.openxmlformats.org/officeDocument/2006/relationships/worksheet" Target="worksheets/sheet538.xml"/><Relationship Id="rId703" Type="http://schemas.openxmlformats.org/officeDocument/2006/relationships/worksheet" Target="worksheets/sheet703.xml"/><Relationship Id="rId745" Type="http://schemas.openxmlformats.org/officeDocument/2006/relationships/worksheet" Target="worksheets/sheet745.xml"/><Relationship Id="rId81" Type="http://schemas.openxmlformats.org/officeDocument/2006/relationships/worksheet" Target="worksheets/sheet81.xml"/><Relationship Id="rId135" Type="http://schemas.openxmlformats.org/officeDocument/2006/relationships/worksheet" Target="worksheets/sheet135.xml"/><Relationship Id="rId177" Type="http://schemas.openxmlformats.org/officeDocument/2006/relationships/worksheet" Target="worksheets/sheet177.xml"/><Relationship Id="rId342" Type="http://schemas.openxmlformats.org/officeDocument/2006/relationships/worksheet" Target="worksheets/sheet342.xml"/><Relationship Id="rId384" Type="http://schemas.openxmlformats.org/officeDocument/2006/relationships/worksheet" Target="worksheets/sheet384.xml"/><Relationship Id="rId591" Type="http://schemas.openxmlformats.org/officeDocument/2006/relationships/worksheet" Target="worksheets/sheet591.xml"/><Relationship Id="rId605" Type="http://schemas.openxmlformats.org/officeDocument/2006/relationships/worksheet" Target="worksheets/sheet605.xml"/><Relationship Id="rId202" Type="http://schemas.openxmlformats.org/officeDocument/2006/relationships/worksheet" Target="worksheets/sheet202.xml"/><Relationship Id="rId244" Type="http://schemas.openxmlformats.org/officeDocument/2006/relationships/worksheet" Target="worksheets/sheet244.xml"/><Relationship Id="rId647" Type="http://schemas.openxmlformats.org/officeDocument/2006/relationships/worksheet" Target="worksheets/sheet647.xml"/><Relationship Id="rId689" Type="http://schemas.openxmlformats.org/officeDocument/2006/relationships/worksheet" Target="worksheets/sheet689.xml"/><Relationship Id="rId39" Type="http://schemas.openxmlformats.org/officeDocument/2006/relationships/worksheet" Target="worksheets/sheet39.xml"/><Relationship Id="rId286" Type="http://schemas.openxmlformats.org/officeDocument/2006/relationships/worksheet" Target="worksheets/sheet286.xml"/><Relationship Id="rId451" Type="http://schemas.openxmlformats.org/officeDocument/2006/relationships/worksheet" Target="worksheets/sheet451.xml"/><Relationship Id="rId493" Type="http://schemas.openxmlformats.org/officeDocument/2006/relationships/worksheet" Target="worksheets/sheet493.xml"/><Relationship Id="rId507" Type="http://schemas.openxmlformats.org/officeDocument/2006/relationships/worksheet" Target="worksheets/sheet507.xml"/><Relationship Id="rId549" Type="http://schemas.openxmlformats.org/officeDocument/2006/relationships/worksheet" Target="worksheets/sheet549.xml"/><Relationship Id="rId714" Type="http://schemas.openxmlformats.org/officeDocument/2006/relationships/worksheet" Target="worksheets/sheet714.xml"/><Relationship Id="rId50" Type="http://schemas.openxmlformats.org/officeDocument/2006/relationships/worksheet" Target="worksheets/sheet50.xml"/><Relationship Id="rId104" Type="http://schemas.openxmlformats.org/officeDocument/2006/relationships/worksheet" Target="worksheets/sheet104.xml"/><Relationship Id="rId146" Type="http://schemas.openxmlformats.org/officeDocument/2006/relationships/worksheet" Target="worksheets/sheet146.xml"/><Relationship Id="rId188" Type="http://schemas.openxmlformats.org/officeDocument/2006/relationships/worksheet" Target="worksheets/sheet188.xml"/><Relationship Id="rId311" Type="http://schemas.openxmlformats.org/officeDocument/2006/relationships/worksheet" Target="worksheets/sheet311.xml"/><Relationship Id="rId353" Type="http://schemas.openxmlformats.org/officeDocument/2006/relationships/worksheet" Target="worksheets/sheet353.xml"/><Relationship Id="rId395" Type="http://schemas.openxmlformats.org/officeDocument/2006/relationships/worksheet" Target="worksheets/sheet395.xml"/><Relationship Id="rId409" Type="http://schemas.openxmlformats.org/officeDocument/2006/relationships/worksheet" Target="worksheets/sheet409.xml"/><Relationship Id="rId560" Type="http://schemas.openxmlformats.org/officeDocument/2006/relationships/worksheet" Target="worksheets/sheet560.xml"/><Relationship Id="rId92" Type="http://schemas.openxmlformats.org/officeDocument/2006/relationships/worksheet" Target="worksheets/sheet92.xml"/><Relationship Id="rId213" Type="http://schemas.openxmlformats.org/officeDocument/2006/relationships/worksheet" Target="worksheets/sheet213.xml"/><Relationship Id="rId420" Type="http://schemas.openxmlformats.org/officeDocument/2006/relationships/worksheet" Target="worksheets/sheet420.xml"/><Relationship Id="rId616" Type="http://schemas.openxmlformats.org/officeDocument/2006/relationships/worksheet" Target="worksheets/sheet616.xml"/><Relationship Id="rId658" Type="http://schemas.openxmlformats.org/officeDocument/2006/relationships/worksheet" Target="worksheets/sheet658.xml"/><Relationship Id="rId255" Type="http://schemas.openxmlformats.org/officeDocument/2006/relationships/worksheet" Target="worksheets/sheet255.xml"/><Relationship Id="rId297" Type="http://schemas.openxmlformats.org/officeDocument/2006/relationships/worksheet" Target="worksheets/sheet297.xml"/><Relationship Id="rId462" Type="http://schemas.openxmlformats.org/officeDocument/2006/relationships/worksheet" Target="worksheets/sheet462.xml"/><Relationship Id="rId518" Type="http://schemas.openxmlformats.org/officeDocument/2006/relationships/worksheet" Target="worksheets/sheet518.xml"/><Relationship Id="rId725" Type="http://schemas.openxmlformats.org/officeDocument/2006/relationships/worksheet" Target="worksheets/sheet725.xml"/><Relationship Id="rId115" Type="http://schemas.openxmlformats.org/officeDocument/2006/relationships/worksheet" Target="worksheets/sheet115.xml"/><Relationship Id="rId157" Type="http://schemas.openxmlformats.org/officeDocument/2006/relationships/worksheet" Target="worksheets/sheet157.xml"/><Relationship Id="rId322" Type="http://schemas.openxmlformats.org/officeDocument/2006/relationships/worksheet" Target="worksheets/sheet322.xml"/><Relationship Id="rId364" Type="http://schemas.openxmlformats.org/officeDocument/2006/relationships/worksheet" Target="worksheets/sheet364.xml"/><Relationship Id="rId61" Type="http://schemas.openxmlformats.org/officeDocument/2006/relationships/worksheet" Target="worksheets/sheet61.xml"/><Relationship Id="rId199" Type="http://schemas.openxmlformats.org/officeDocument/2006/relationships/worksheet" Target="worksheets/sheet199.xml"/><Relationship Id="rId571" Type="http://schemas.openxmlformats.org/officeDocument/2006/relationships/worksheet" Target="worksheets/sheet571.xml"/><Relationship Id="rId627" Type="http://schemas.openxmlformats.org/officeDocument/2006/relationships/worksheet" Target="worksheets/sheet627.xml"/><Relationship Id="rId669" Type="http://schemas.openxmlformats.org/officeDocument/2006/relationships/worksheet" Target="worksheets/sheet669.xml"/><Relationship Id="rId19" Type="http://schemas.openxmlformats.org/officeDocument/2006/relationships/worksheet" Target="worksheets/sheet19.xml"/><Relationship Id="rId224" Type="http://schemas.openxmlformats.org/officeDocument/2006/relationships/worksheet" Target="worksheets/sheet224.xml"/><Relationship Id="rId266" Type="http://schemas.openxmlformats.org/officeDocument/2006/relationships/worksheet" Target="worksheets/sheet266.xml"/><Relationship Id="rId431" Type="http://schemas.openxmlformats.org/officeDocument/2006/relationships/worksheet" Target="worksheets/sheet431.xml"/><Relationship Id="rId473" Type="http://schemas.openxmlformats.org/officeDocument/2006/relationships/worksheet" Target="worksheets/sheet473.xml"/><Relationship Id="rId529" Type="http://schemas.openxmlformats.org/officeDocument/2006/relationships/worksheet" Target="worksheets/sheet529.xml"/><Relationship Id="rId680" Type="http://schemas.openxmlformats.org/officeDocument/2006/relationships/worksheet" Target="worksheets/sheet680.xml"/><Relationship Id="rId736" Type="http://schemas.openxmlformats.org/officeDocument/2006/relationships/worksheet" Target="worksheets/sheet736.xml"/><Relationship Id="rId30" Type="http://schemas.openxmlformats.org/officeDocument/2006/relationships/worksheet" Target="worksheets/sheet30.xml"/><Relationship Id="rId126" Type="http://schemas.openxmlformats.org/officeDocument/2006/relationships/worksheet" Target="worksheets/sheet126.xml"/><Relationship Id="rId168" Type="http://schemas.openxmlformats.org/officeDocument/2006/relationships/worksheet" Target="worksheets/sheet168.xml"/><Relationship Id="rId333" Type="http://schemas.openxmlformats.org/officeDocument/2006/relationships/worksheet" Target="worksheets/sheet333.xml"/><Relationship Id="rId540" Type="http://schemas.openxmlformats.org/officeDocument/2006/relationships/worksheet" Target="worksheets/sheet540.xml"/><Relationship Id="rId72" Type="http://schemas.openxmlformats.org/officeDocument/2006/relationships/worksheet" Target="worksheets/sheet72.xml"/><Relationship Id="rId375" Type="http://schemas.openxmlformats.org/officeDocument/2006/relationships/worksheet" Target="worksheets/sheet375.xml"/><Relationship Id="rId582" Type="http://schemas.openxmlformats.org/officeDocument/2006/relationships/worksheet" Target="worksheets/sheet582.xml"/><Relationship Id="rId638" Type="http://schemas.openxmlformats.org/officeDocument/2006/relationships/worksheet" Target="worksheets/sheet638.xml"/><Relationship Id="rId3" Type="http://schemas.openxmlformats.org/officeDocument/2006/relationships/worksheet" Target="worksheets/sheet3.xml"/><Relationship Id="rId235" Type="http://schemas.openxmlformats.org/officeDocument/2006/relationships/worksheet" Target="worksheets/sheet235.xml"/><Relationship Id="rId277" Type="http://schemas.openxmlformats.org/officeDocument/2006/relationships/worksheet" Target="worksheets/sheet277.xml"/><Relationship Id="rId400" Type="http://schemas.openxmlformats.org/officeDocument/2006/relationships/worksheet" Target="worksheets/sheet400.xml"/><Relationship Id="rId442" Type="http://schemas.openxmlformats.org/officeDocument/2006/relationships/worksheet" Target="worksheets/sheet442.xml"/><Relationship Id="rId484" Type="http://schemas.openxmlformats.org/officeDocument/2006/relationships/worksheet" Target="worksheets/sheet484.xml"/><Relationship Id="rId705" Type="http://schemas.openxmlformats.org/officeDocument/2006/relationships/worksheet" Target="worksheets/sheet705.xml"/><Relationship Id="rId137" Type="http://schemas.openxmlformats.org/officeDocument/2006/relationships/worksheet" Target="worksheets/sheet137.xml"/><Relationship Id="rId302" Type="http://schemas.openxmlformats.org/officeDocument/2006/relationships/worksheet" Target="worksheets/sheet302.xml"/><Relationship Id="rId344" Type="http://schemas.openxmlformats.org/officeDocument/2006/relationships/worksheet" Target="worksheets/sheet344.xml"/><Relationship Id="rId691" Type="http://schemas.openxmlformats.org/officeDocument/2006/relationships/worksheet" Target="worksheets/sheet691.xml"/><Relationship Id="rId747" Type="http://schemas.openxmlformats.org/officeDocument/2006/relationships/worksheet" Target="worksheets/sheet747.xml"/><Relationship Id="rId41" Type="http://schemas.openxmlformats.org/officeDocument/2006/relationships/worksheet" Target="worksheets/sheet41.xml"/><Relationship Id="rId83" Type="http://schemas.openxmlformats.org/officeDocument/2006/relationships/worksheet" Target="worksheets/sheet83.xml"/><Relationship Id="rId179" Type="http://schemas.openxmlformats.org/officeDocument/2006/relationships/worksheet" Target="worksheets/sheet179.xml"/><Relationship Id="rId386" Type="http://schemas.openxmlformats.org/officeDocument/2006/relationships/worksheet" Target="worksheets/sheet386.xml"/><Relationship Id="rId551" Type="http://schemas.openxmlformats.org/officeDocument/2006/relationships/worksheet" Target="worksheets/sheet551.xml"/><Relationship Id="rId593" Type="http://schemas.openxmlformats.org/officeDocument/2006/relationships/worksheet" Target="worksheets/sheet593.xml"/><Relationship Id="rId607" Type="http://schemas.openxmlformats.org/officeDocument/2006/relationships/worksheet" Target="worksheets/sheet607.xml"/><Relationship Id="rId649" Type="http://schemas.openxmlformats.org/officeDocument/2006/relationships/worksheet" Target="worksheets/sheet649.xml"/><Relationship Id="rId190" Type="http://schemas.openxmlformats.org/officeDocument/2006/relationships/worksheet" Target="worksheets/sheet190.xml"/><Relationship Id="rId204" Type="http://schemas.openxmlformats.org/officeDocument/2006/relationships/worksheet" Target="worksheets/sheet204.xml"/><Relationship Id="rId246" Type="http://schemas.openxmlformats.org/officeDocument/2006/relationships/worksheet" Target="worksheets/sheet246.xml"/><Relationship Id="rId288" Type="http://schemas.openxmlformats.org/officeDocument/2006/relationships/worksheet" Target="worksheets/sheet288.xml"/><Relationship Id="rId411" Type="http://schemas.openxmlformats.org/officeDocument/2006/relationships/worksheet" Target="worksheets/sheet411.xml"/><Relationship Id="rId453" Type="http://schemas.openxmlformats.org/officeDocument/2006/relationships/worksheet" Target="worksheets/sheet453.xml"/><Relationship Id="rId509" Type="http://schemas.openxmlformats.org/officeDocument/2006/relationships/worksheet" Target="worksheets/sheet509.xml"/><Relationship Id="rId660" Type="http://schemas.openxmlformats.org/officeDocument/2006/relationships/worksheet" Target="worksheets/sheet660.xml"/><Relationship Id="rId106" Type="http://schemas.openxmlformats.org/officeDocument/2006/relationships/worksheet" Target="worksheets/sheet106.xml"/><Relationship Id="rId313" Type="http://schemas.openxmlformats.org/officeDocument/2006/relationships/worksheet" Target="worksheets/sheet313.xml"/><Relationship Id="rId495" Type="http://schemas.openxmlformats.org/officeDocument/2006/relationships/worksheet" Target="worksheets/sheet495.xml"/><Relationship Id="rId716" Type="http://schemas.openxmlformats.org/officeDocument/2006/relationships/worksheet" Target="worksheets/sheet716.xml"/><Relationship Id="rId10" Type="http://schemas.openxmlformats.org/officeDocument/2006/relationships/worksheet" Target="worksheets/sheet10.xml"/><Relationship Id="rId52" Type="http://schemas.openxmlformats.org/officeDocument/2006/relationships/worksheet" Target="worksheets/sheet52.xml"/><Relationship Id="rId94" Type="http://schemas.openxmlformats.org/officeDocument/2006/relationships/worksheet" Target="worksheets/sheet94.xml"/><Relationship Id="rId148" Type="http://schemas.openxmlformats.org/officeDocument/2006/relationships/worksheet" Target="worksheets/sheet148.xml"/><Relationship Id="rId355" Type="http://schemas.openxmlformats.org/officeDocument/2006/relationships/worksheet" Target="worksheets/sheet355.xml"/><Relationship Id="rId397" Type="http://schemas.openxmlformats.org/officeDocument/2006/relationships/worksheet" Target="worksheets/sheet397.xml"/><Relationship Id="rId520" Type="http://schemas.openxmlformats.org/officeDocument/2006/relationships/worksheet" Target="worksheets/sheet520.xml"/><Relationship Id="rId562" Type="http://schemas.openxmlformats.org/officeDocument/2006/relationships/worksheet" Target="worksheets/sheet562.xml"/><Relationship Id="rId618" Type="http://schemas.openxmlformats.org/officeDocument/2006/relationships/worksheet" Target="worksheets/sheet618.xml"/><Relationship Id="rId215" Type="http://schemas.openxmlformats.org/officeDocument/2006/relationships/worksheet" Target="worksheets/sheet215.xml"/><Relationship Id="rId257" Type="http://schemas.openxmlformats.org/officeDocument/2006/relationships/worksheet" Target="worksheets/sheet257.xml"/><Relationship Id="rId422" Type="http://schemas.openxmlformats.org/officeDocument/2006/relationships/worksheet" Target="worksheets/sheet422.xml"/><Relationship Id="rId464" Type="http://schemas.openxmlformats.org/officeDocument/2006/relationships/worksheet" Target="worksheets/sheet464.xml"/><Relationship Id="rId299" Type="http://schemas.openxmlformats.org/officeDocument/2006/relationships/worksheet" Target="worksheets/sheet299.xml"/><Relationship Id="rId727" Type="http://schemas.openxmlformats.org/officeDocument/2006/relationships/worksheet" Target="worksheets/sheet727.xml"/><Relationship Id="rId63" Type="http://schemas.openxmlformats.org/officeDocument/2006/relationships/worksheet" Target="worksheets/sheet63.xml"/><Relationship Id="rId159" Type="http://schemas.openxmlformats.org/officeDocument/2006/relationships/worksheet" Target="worksheets/sheet159.xml"/><Relationship Id="rId366" Type="http://schemas.openxmlformats.org/officeDocument/2006/relationships/worksheet" Target="worksheets/sheet366.xml"/><Relationship Id="rId573" Type="http://schemas.openxmlformats.org/officeDocument/2006/relationships/worksheet" Target="worksheets/sheet573.xml"/><Relationship Id="rId226" Type="http://schemas.openxmlformats.org/officeDocument/2006/relationships/worksheet" Target="worksheets/sheet226.xml"/><Relationship Id="rId433" Type="http://schemas.openxmlformats.org/officeDocument/2006/relationships/worksheet" Target="worksheets/sheet433.xml"/><Relationship Id="rId640" Type="http://schemas.openxmlformats.org/officeDocument/2006/relationships/worksheet" Target="worksheets/sheet640.xml"/><Relationship Id="rId738" Type="http://schemas.openxmlformats.org/officeDocument/2006/relationships/worksheet" Target="worksheets/sheet738.xml"/><Relationship Id="rId74" Type="http://schemas.openxmlformats.org/officeDocument/2006/relationships/worksheet" Target="worksheets/sheet74.xml"/><Relationship Id="rId377" Type="http://schemas.openxmlformats.org/officeDocument/2006/relationships/worksheet" Target="worksheets/sheet377.xml"/><Relationship Id="rId500" Type="http://schemas.openxmlformats.org/officeDocument/2006/relationships/worksheet" Target="worksheets/sheet500.xml"/><Relationship Id="rId584" Type="http://schemas.openxmlformats.org/officeDocument/2006/relationships/worksheet" Target="worksheets/sheet584.xml"/><Relationship Id="rId5" Type="http://schemas.openxmlformats.org/officeDocument/2006/relationships/worksheet" Target="worksheets/sheet5.xml"/><Relationship Id="rId237" Type="http://schemas.openxmlformats.org/officeDocument/2006/relationships/worksheet" Target="worksheets/sheet237.xml"/><Relationship Id="rId444" Type="http://schemas.openxmlformats.org/officeDocument/2006/relationships/worksheet" Target="worksheets/sheet444.xml"/><Relationship Id="rId651" Type="http://schemas.openxmlformats.org/officeDocument/2006/relationships/worksheet" Target="worksheets/sheet651.xml"/><Relationship Id="rId749" Type="http://schemas.openxmlformats.org/officeDocument/2006/relationships/theme" Target="theme/theme1.xml"/><Relationship Id="rId290" Type="http://schemas.openxmlformats.org/officeDocument/2006/relationships/worksheet" Target="worksheets/sheet290.xml"/><Relationship Id="rId304" Type="http://schemas.openxmlformats.org/officeDocument/2006/relationships/worksheet" Target="worksheets/sheet304.xml"/><Relationship Id="rId388" Type="http://schemas.openxmlformats.org/officeDocument/2006/relationships/worksheet" Target="worksheets/sheet388.xml"/><Relationship Id="rId511" Type="http://schemas.openxmlformats.org/officeDocument/2006/relationships/worksheet" Target="worksheets/sheet511.xml"/><Relationship Id="rId609" Type="http://schemas.openxmlformats.org/officeDocument/2006/relationships/worksheet" Target="worksheets/sheet609.xml"/><Relationship Id="rId85" Type="http://schemas.openxmlformats.org/officeDocument/2006/relationships/worksheet" Target="worksheets/sheet85.xml"/><Relationship Id="rId150" Type="http://schemas.openxmlformats.org/officeDocument/2006/relationships/worksheet" Target="worksheets/sheet150.xml"/><Relationship Id="rId595" Type="http://schemas.openxmlformats.org/officeDocument/2006/relationships/worksheet" Target="worksheets/sheet595.xml"/><Relationship Id="rId248" Type="http://schemas.openxmlformats.org/officeDocument/2006/relationships/worksheet" Target="worksheets/sheet248.xml"/><Relationship Id="rId455" Type="http://schemas.openxmlformats.org/officeDocument/2006/relationships/worksheet" Target="worksheets/sheet455.xml"/><Relationship Id="rId662" Type="http://schemas.openxmlformats.org/officeDocument/2006/relationships/worksheet" Target="worksheets/sheet662.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22" Type="http://schemas.openxmlformats.org/officeDocument/2006/relationships/worksheet" Target="worksheets/sheet522.xml"/><Relationship Id="rId96" Type="http://schemas.openxmlformats.org/officeDocument/2006/relationships/worksheet" Target="worksheets/sheet96.xml"/><Relationship Id="rId161" Type="http://schemas.openxmlformats.org/officeDocument/2006/relationships/worksheet" Target="worksheets/sheet161.xml"/><Relationship Id="rId399" Type="http://schemas.openxmlformats.org/officeDocument/2006/relationships/worksheet" Target="worksheets/sheet399.xml"/><Relationship Id="rId259" Type="http://schemas.openxmlformats.org/officeDocument/2006/relationships/worksheet" Target="worksheets/sheet259.xml"/><Relationship Id="rId466" Type="http://schemas.openxmlformats.org/officeDocument/2006/relationships/worksheet" Target="worksheets/sheet466.xml"/><Relationship Id="rId673" Type="http://schemas.openxmlformats.org/officeDocument/2006/relationships/worksheet" Target="worksheets/sheet673.xml"/><Relationship Id="rId23" Type="http://schemas.openxmlformats.org/officeDocument/2006/relationships/worksheet" Target="worksheets/sheet23.xml"/><Relationship Id="rId119" Type="http://schemas.openxmlformats.org/officeDocument/2006/relationships/worksheet" Target="worksheets/sheet119.xml"/><Relationship Id="rId326" Type="http://schemas.openxmlformats.org/officeDocument/2006/relationships/worksheet" Target="worksheets/sheet326.xml"/><Relationship Id="rId533" Type="http://schemas.openxmlformats.org/officeDocument/2006/relationships/worksheet" Target="worksheets/sheet533.xml"/><Relationship Id="rId740" Type="http://schemas.openxmlformats.org/officeDocument/2006/relationships/worksheet" Target="worksheets/sheet740.xml"/><Relationship Id="rId172" Type="http://schemas.openxmlformats.org/officeDocument/2006/relationships/worksheet" Target="worksheets/sheet172.xml"/><Relationship Id="rId477" Type="http://schemas.openxmlformats.org/officeDocument/2006/relationships/worksheet" Target="worksheets/sheet477.xml"/><Relationship Id="rId600" Type="http://schemas.openxmlformats.org/officeDocument/2006/relationships/worksheet" Target="worksheets/sheet600.xml"/><Relationship Id="rId684" Type="http://schemas.openxmlformats.org/officeDocument/2006/relationships/worksheet" Target="worksheets/sheet684.xml"/><Relationship Id="rId337" Type="http://schemas.openxmlformats.org/officeDocument/2006/relationships/worksheet" Target="worksheets/sheet337.xml"/><Relationship Id="rId34" Type="http://schemas.openxmlformats.org/officeDocument/2006/relationships/worksheet" Target="worksheets/sheet34.xml"/><Relationship Id="rId544" Type="http://schemas.openxmlformats.org/officeDocument/2006/relationships/worksheet" Target="worksheets/sheet544.xml"/><Relationship Id="rId751" Type="http://schemas.openxmlformats.org/officeDocument/2006/relationships/styles" Target="styles.xml"/><Relationship Id="rId183" Type="http://schemas.openxmlformats.org/officeDocument/2006/relationships/worksheet" Target="worksheets/sheet183.xml"/><Relationship Id="rId390" Type="http://schemas.openxmlformats.org/officeDocument/2006/relationships/worksheet" Target="worksheets/sheet390.xml"/><Relationship Id="rId404" Type="http://schemas.openxmlformats.org/officeDocument/2006/relationships/worksheet" Target="worksheets/sheet404.xml"/><Relationship Id="rId611" Type="http://schemas.openxmlformats.org/officeDocument/2006/relationships/worksheet" Target="worksheets/sheet611.xml"/><Relationship Id="rId250" Type="http://schemas.openxmlformats.org/officeDocument/2006/relationships/worksheet" Target="worksheets/sheet250.xml"/><Relationship Id="rId488" Type="http://schemas.openxmlformats.org/officeDocument/2006/relationships/worksheet" Target="worksheets/sheet488.xml"/><Relationship Id="rId695" Type="http://schemas.openxmlformats.org/officeDocument/2006/relationships/worksheet" Target="worksheets/sheet695.xml"/><Relationship Id="rId709" Type="http://schemas.openxmlformats.org/officeDocument/2006/relationships/worksheet" Target="worksheets/sheet709.xml"/><Relationship Id="rId45" Type="http://schemas.openxmlformats.org/officeDocument/2006/relationships/worksheet" Target="worksheets/sheet45.xml"/><Relationship Id="rId110" Type="http://schemas.openxmlformats.org/officeDocument/2006/relationships/worksheet" Target="worksheets/sheet110.xml"/><Relationship Id="rId348" Type="http://schemas.openxmlformats.org/officeDocument/2006/relationships/worksheet" Target="worksheets/sheet348.xml"/><Relationship Id="rId555" Type="http://schemas.openxmlformats.org/officeDocument/2006/relationships/worksheet" Target="worksheets/sheet555.xml"/><Relationship Id="rId194" Type="http://schemas.openxmlformats.org/officeDocument/2006/relationships/worksheet" Target="worksheets/sheet194.xml"/><Relationship Id="rId208" Type="http://schemas.openxmlformats.org/officeDocument/2006/relationships/worksheet" Target="worksheets/sheet208.xml"/><Relationship Id="rId415" Type="http://schemas.openxmlformats.org/officeDocument/2006/relationships/worksheet" Target="worksheets/sheet415.xml"/><Relationship Id="rId622" Type="http://schemas.openxmlformats.org/officeDocument/2006/relationships/worksheet" Target="worksheets/sheet622.xml"/><Relationship Id="rId261" Type="http://schemas.openxmlformats.org/officeDocument/2006/relationships/worksheet" Target="worksheets/sheet261.xml"/><Relationship Id="rId499" Type="http://schemas.openxmlformats.org/officeDocument/2006/relationships/worksheet" Target="worksheets/sheet499.xml"/><Relationship Id="rId56" Type="http://schemas.openxmlformats.org/officeDocument/2006/relationships/worksheet" Target="worksheets/sheet56.xml"/><Relationship Id="rId359" Type="http://schemas.openxmlformats.org/officeDocument/2006/relationships/worksheet" Target="worksheets/sheet359.xml"/><Relationship Id="rId566" Type="http://schemas.openxmlformats.org/officeDocument/2006/relationships/worksheet" Target="worksheets/sheet566.xml"/><Relationship Id="rId121" Type="http://schemas.openxmlformats.org/officeDocument/2006/relationships/worksheet" Target="worksheets/sheet121.xml"/><Relationship Id="rId219" Type="http://schemas.openxmlformats.org/officeDocument/2006/relationships/worksheet" Target="worksheets/sheet219.xml"/><Relationship Id="rId426" Type="http://schemas.openxmlformats.org/officeDocument/2006/relationships/worksheet" Target="worksheets/sheet426.xml"/><Relationship Id="rId633" Type="http://schemas.openxmlformats.org/officeDocument/2006/relationships/worksheet" Target="worksheets/sheet633.xml"/><Relationship Id="rId67" Type="http://schemas.openxmlformats.org/officeDocument/2006/relationships/worksheet" Target="worksheets/sheet67.xml"/><Relationship Id="rId272" Type="http://schemas.openxmlformats.org/officeDocument/2006/relationships/worksheet" Target="worksheets/sheet272.xml"/><Relationship Id="rId577" Type="http://schemas.openxmlformats.org/officeDocument/2006/relationships/worksheet" Target="worksheets/sheet577.xml"/><Relationship Id="rId700" Type="http://schemas.openxmlformats.org/officeDocument/2006/relationships/worksheet" Target="worksheets/sheet700.xml"/><Relationship Id="rId132" Type="http://schemas.openxmlformats.org/officeDocument/2006/relationships/worksheet" Target="worksheets/sheet132.xml"/><Relationship Id="rId437" Type="http://schemas.openxmlformats.org/officeDocument/2006/relationships/worksheet" Target="worksheets/sheet437.xml"/><Relationship Id="rId644" Type="http://schemas.openxmlformats.org/officeDocument/2006/relationships/worksheet" Target="worksheets/sheet644.xml"/><Relationship Id="rId283" Type="http://schemas.openxmlformats.org/officeDocument/2006/relationships/worksheet" Target="worksheets/sheet283.xml"/><Relationship Id="rId490" Type="http://schemas.openxmlformats.org/officeDocument/2006/relationships/worksheet" Target="worksheets/sheet490.xml"/><Relationship Id="rId504" Type="http://schemas.openxmlformats.org/officeDocument/2006/relationships/worksheet" Target="worksheets/sheet504.xml"/><Relationship Id="rId711" Type="http://schemas.openxmlformats.org/officeDocument/2006/relationships/worksheet" Target="worksheets/sheet711.xml"/><Relationship Id="rId78" Type="http://schemas.openxmlformats.org/officeDocument/2006/relationships/worksheet" Target="worksheets/sheet78.xml"/><Relationship Id="rId143" Type="http://schemas.openxmlformats.org/officeDocument/2006/relationships/worksheet" Target="worksheets/sheet143.xml"/><Relationship Id="rId350" Type="http://schemas.openxmlformats.org/officeDocument/2006/relationships/worksheet" Target="worksheets/sheet350.xml"/><Relationship Id="rId588" Type="http://schemas.openxmlformats.org/officeDocument/2006/relationships/worksheet" Target="worksheets/sheet588.xml"/><Relationship Id="rId9" Type="http://schemas.openxmlformats.org/officeDocument/2006/relationships/worksheet" Target="worksheets/sheet9.xml"/><Relationship Id="rId210" Type="http://schemas.openxmlformats.org/officeDocument/2006/relationships/worksheet" Target="worksheets/sheet210.xml"/><Relationship Id="rId448" Type="http://schemas.openxmlformats.org/officeDocument/2006/relationships/worksheet" Target="worksheets/sheet448.xml"/><Relationship Id="rId655" Type="http://schemas.openxmlformats.org/officeDocument/2006/relationships/worksheet" Target="worksheets/sheet655.xml"/><Relationship Id="rId294" Type="http://schemas.openxmlformats.org/officeDocument/2006/relationships/worksheet" Target="worksheets/sheet294.xml"/><Relationship Id="rId308" Type="http://schemas.openxmlformats.org/officeDocument/2006/relationships/worksheet" Target="worksheets/sheet308.xml"/><Relationship Id="rId515" Type="http://schemas.openxmlformats.org/officeDocument/2006/relationships/worksheet" Target="worksheets/sheet515.xml"/><Relationship Id="rId722" Type="http://schemas.openxmlformats.org/officeDocument/2006/relationships/worksheet" Target="worksheets/sheet722.xml"/><Relationship Id="rId89" Type="http://schemas.openxmlformats.org/officeDocument/2006/relationships/worksheet" Target="worksheets/sheet89.xml"/><Relationship Id="rId154" Type="http://schemas.openxmlformats.org/officeDocument/2006/relationships/worksheet" Target="worksheets/sheet154.xml"/><Relationship Id="rId361" Type="http://schemas.openxmlformats.org/officeDocument/2006/relationships/worksheet" Target="worksheets/sheet361.xml"/><Relationship Id="rId599" Type="http://schemas.openxmlformats.org/officeDocument/2006/relationships/worksheet" Target="worksheets/sheet599.xml"/><Relationship Id="rId459" Type="http://schemas.openxmlformats.org/officeDocument/2006/relationships/worksheet" Target="worksheets/sheet459.xml"/><Relationship Id="rId666" Type="http://schemas.openxmlformats.org/officeDocument/2006/relationships/worksheet" Target="worksheets/sheet666.xml"/><Relationship Id="rId16" Type="http://schemas.openxmlformats.org/officeDocument/2006/relationships/worksheet" Target="worksheets/sheet16.xml"/><Relationship Id="rId221" Type="http://schemas.openxmlformats.org/officeDocument/2006/relationships/worksheet" Target="worksheets/sheet221.xml"/><Relationship Id="rId319" Type="http://schemas.openxmlformats.org/officeDocument/2006/relationships/worksheet" Target="worksheets/sheet319.xml"/><Relationship Id="rId526" Type="http://schemas.openxmlformats.org/officeDocument/2006/relationships/worksheet" Target="worksheets/sheet526.xml"/><Relationship Id="rId733" Type="http://schemas.openxmlformats.org/officeDocument/2006/relationships/worksheet" Target="worksheets/sheet733.xml"/><Relationship Id="rId165" Type="http://schemas.openxmlformats.org/officeDocument/2006/relationships/worksheet" Target="worksheets/sheet165.xml"/><Relationship Id="rId372" Type="http://schemas.openxmlformats.org/officeDocument/2006/relationships/worksheet" Target="worksheets/sheet372.xml"/><Relationship Id="rId677" Type="http://schemas.openxmlformats.org/officeDocument/2006/relationships/worksheet" Target="worksheets/sheet677.xml"/><Relationship Id="rId232" Type="http://schemas.openxmlformats.org/officeDocument/2006/relationships/worksheet" Target="worksheets/sheet232.xml"/><Relationship Id="rId27" Type="http://schemas.openxmlformats.org/officeDocument/2006/relationships/worksheet" Target="worksheets/sheet27.xml"/><Relationship Id="rId537" Type="http://schemas.openxmlformats.org/officeDocument/2006/relationships/worksheet" Target="worksheets/sheet537.xml"/><Relationship Id="rId744" Type="http://schemas.openxmlformats.org/officeDocument/2006/relationships/worksheet" Target="worksheets/sheet744.xml"/><Relationship Id="rId80" Type="http://schemas.openxmlformats.org/officeDocument/2006/relationships/worksheet" Target="worksheets/sheet80.xml"/><Relationship Id="rId176" Type="http://schemas.openxmlformats.org/officeDocument/2006/relationships/worksheet" Target="worksheets/sheet176.xml"/><Relationship Id="rId383" Type="http://schemas.openxmlformats.org/officeDocument/2006/relationships/worksheet" Target="worksheets/sheet383.xml"/><Relationship Id="rId590" Type="http://schemas.openxmlformats.org/officeDocument/2006/relationships/worksheet" Target="worksheets/sheet590.xml"/><Relationship Id="rId604" Type="http://schemas.openxmlformats.org/officeDocument/2006/relationships/worksheet" Target="worksheets/sheet604.xml"/><Relationship Id="rId243" Type="http://schemas.openxmlformats.org/officeDocument/2006/relationships/worksheet" Target="worksheets/sheet243.xml"/><Relationship Id="rId450" Type="http://schemas.openxmlformats.org/officeDocument/2006/relationships/worksheet" Target="worksheets/sheet450.xml"/><Relationship Id="rId688" Type="http://schemas.openxmlformats.org/officeDocument/2006/relationships/worksheet" Target="worksheets/sheet688.xml"/><Relationship Id="rId38" Type="http://schemas.openxmlformats.org/officeDocument/2006/relationships/worksheet" Target="worksheets/sheet38.xml"/><Relationship Id="rId103" Type="http://schemas.openxmlformats.org/officeDocument/2006/relationships/worksheet" Target="worksheets/sheet103.xml"/><Relationship Id="rId310" Type="http://schemas.openxmlformats.org/officeDocument/2006/relationships/worksheet" Target="worksheets/sheet310.xml"/><Relationship Id="rId548" Type="http://schemas.openxmlformats.org/officeDocument/2006/relationships/worksheet" Target="worksheets/sheet548.xml"/><Relationship Id="rId755" Type="http://schemas.openxmlformats.org/officeDocument/2006/relationships/customXml" Target="../customXml/item1.xml"/><Relationship Id="rId91" Type="http://schemas.openxmlformats.org/officeDocument/2006/relationships/worksheet" Target="worksheets/sheet91.xml"/><Relationship Id="rId187" Type="http://schemas.openxmlformats.org/officeDocument/2006/relationships/worksheet" Target="worksheets/sheet187.xml"/><Relationship Id="rId394" Type="http://schemas.openxmlformats.org/officeDocument/2006/relationships/worksheet" Target="worksheets/sheet394.xml"/><Relationship Id="rId408" Type="http://schemas.openxmlformats.org/officeDocument/2006/relationships/worksheet" Target="worksheets/sheet408.xml"/><Relationship Id="rId615" Type="http://schemas.openxmlformats.org/officeDocument/2006/relationships/worksheet" Target="worksheets/sheet615.xml"/><Relationship Id="rId254" Type="http://schemas.openxmlformats.org/officeDocument/2006/relationships/worksheet" Target="worksheets/sheet254.xml"/><Relationship Id="rId699" Type="http://schemas.openxmlformats.org/officeDocument/2006/relationships/worksheet" Target="worksheets/sheet699.xml"/><Relationship Id="rId49" Type="http://schemas.openxmlformats.org/officeDocument/2006/relationships/worksheet" Target="worksheets/sheet49.xml"/><Relationship Id="rId114" Type="http://schemas.openxmlformats.org/officeDocument/2006/relationships/worksheet" Target="worksheets/sheet114.xml"/><Relationship Id="rId461" Type="http://schemas.openxmlformats.org/officeDocument/2006/relationships/worksheet" Target="worksheets/sheet461.xml"/><Relationship Id="rId559" Type="http://schemas.openxmlformats.org/officeDocument/2006/relationships/worksheet" Target="worksheets/sheet559.xml"/><Relationship Id="rId198" Type="http://schemas.openxmlformats.org/officeDocument/2006/relationships/worksheet" Target="worksheets/sheet198.xml"/><Relationship Id="rId321" Type="http://schemas.openxmlformats.org/officeDocument/2006/relationships/worksheet" Target="worksheets/sheet321.xml"/><Relationship Id="rId419" Type="http://schemas.openxmlformats.org/officeDocument/2006/relationships/worksheet" Target="worksheets/sheet419.xml"/><Relationship Id="rId626" Type="http://schemas.openxmlformats.org/officeDocument/2006/relationships/worksheet" Target="worksheets/sheet626.xml"/><Relationship Id="rId265" Type="http://schemas.openxmlformats.org/officeDocument/2006/relationships/worksheet" Target="worksheets/sheet265.xml"/><Relationship Id="rId472" Type="http://schemas.openxmlformats.org/officeDocument/2006/relationships/worksheet" Target="worksheets/sheet472.xml"/><Relationship Id="rId125" Type="http://schemas.openxmlformats.org/officeDocument/2006/relationships/worksheet" Target="worksheets/sheet125.xml"/><Relationship Id="rId332" Type="http://schemas.openxmlformats.org/officeDocument/2006/relationships/worksheet" Target="worksheets/sheet332.xml"/><Relationship Id="rId637" Type="http://schemas.openxmlformats.org/officeDocument/2006/relationships/worksheet" Target="worksheets/sheet637.xml"/><Relationship Id="rId276" Type="http://schemas.openxmlformats.org/officeDocument/2006/relationships/worksheet" Target="worksheets/sheet276.xml"/><Relationship Id="rId483" Type="http://schemas.openxmlformats.org/officeDocument/2006/relationships/worksheet" Target="worksheets/sheet483.xml"/><Relationship Id="rId690" Type="http://schemas.openxmlformats.org/officeDocument/2006/relationships/worksheet" Target="worksheets/sheet690.xml"/><Relationship Id="rId704" Type="http://schemas.openxmlformats.org/officeDocument/2006/relationships/worksheet" Target="worksheets/sheet704.xml"/><Relationship Id="rId40" Type="http://schemas.openxmlformats.org/officeDocument/2006/relationships/worksheet" Target="worksheets/sheet40.xml"/><Relationship Id="rId136" Type="http://schemas.openxmlformats.org/officeDocument/2006/relationships/worksheet" Target="worksheets/sheet136.xml"/><Relationship Id="rId343" Type="http://schemas.openxmlformats.org/officeDocument/2006/relationships/worksheet" Target="worksheets/sheet343.xml"/><Relationship Id="rId550" Type="http://schemas.openxmlformats.org/officeDocument/2006/relationships/worksheet" Target="worksheets/sheet550.xml"/><Relationship Id="rId203" Type="http://schemas.openxmlformats.org/officeDocument/2006/relationships/worksheet" Target="worksheets/sheet203.xml"/><Relationship Id="rId648" Type="http://schemas.openxmlformats.org/officeDocument/2006/relationships/worksheet" Target="worksheets/sheet648.xml"/><Relationship Id="rId287" Type="http://schemas.openxmlformats.org/officeDocument/2006/relationships/worksheet" Target="worksheets/sheet287.xml"/><Relationship Id="rId410" Type="http://schemas.openxmlformats.org/officeDocument/2006/relationships/worksheet" Target="worksheets/sheet410.xml"/><Relationship Id="rId494" Type="http://schemas.openxmlformats.org/officeDocument/2006/relationships/worksheet" Target="worksheets/sheet494.xml"/><Relationship Id="rId508" Type="http://schemas.openxmlformats.org/officeDocument/2006/relationships/worksheet" Target="worksheets/sheet508.xml"/><Relationship Id="rId715" Type="http://schemas.openxmlformats.org/officeDocument/2006/relationships/worksheet" Target="worksheets/sheet715.xml"/><Relationship Id="rId147" Type="http://schemas.openxmlformats.org/officeDocument/2006/relationships/worksheet" Target="worksheets/sheet147.xml"/><Relationship Id="rId354" Type="http://schemas.openxmlformats.org/officeDocument/2006/relationships/worksheet" Target="worksheets/sheet354.xml"/><Relationship Id="rId51" Type="http://schemas.openxmlformats.org/officeDocument/2006/relationships/worksheet" Target="worksheets/sheet51.xml"/><Relationship Id="rId561" Type="http://schemas.openxmlformats.org/officeDocument/2006/relationships/worksheet" Target="worksheets/sheet561.xml"/><Relationship Id="rId659" Type="http://schemas.openxmlformats.org/officeDocument/2006/relationships/worksheet" Target="worksheets/sheet659.xml"/><Relationship Id="rId214" Type="http://schemas.openxmlformats.org/officeDocument/2006/relationships/worksheet" Target="worksheets/sheet214.xml"/><Relationship Id="rId298" Type="http://schemas.openxmlformats.org/officeDocument/2006/relationships/worksheet" Target="worksheets/sheet298.xml"/><Relationship Id="rId421" Type="http://schemas.openxmlformats.org/officeDocument/2006/relationships/worksheet" Target="worksheets/sheet421.xml"/><Relationship Id="rId519" Type="http://schemas.openxmlformats.org/officeDocument/2006/relationships/worksheet" Target="worksheets/sheet519.xml"/><Relationship Id="rId158" Type="http://schemas.openxmlformats.org/officeDocument/2006/relationships/worksheet" Target="worksheets/sheet158.xml"/><Relationship Id="rId726" Type="http://schemas.openxmlformats.org/officeDocument/2006/relationships/worksheet" Target="worksheets/sheet726.xml"/><Relationship Id="rId62" Type="http://schemas.openxmlformats.org/officeDocument/2006/relationships/worksheet" Target="worksheets/sheet62.xml"/><Relationship Id="rId365" Type="http://schemas.openxmlformats.org/officeDocument/2006/relationships/worksheet" Target="worksheets/sheet365.xml"/><Relationship Id="rId572" Type="http://schemas.openxmlformats.org/officeDocument/2006/relationships/worksheet" Target="worksheets/sheet572.xml"/><Relationship Id="rId225" Type="http://schemas.openxmlformats.org/officeDocument/2006/relationships/worksheet" Target="worksheets/sheet225.xml"/><Relationship Id="rId432" Type="http://schemas.openxmlformats.org/officeDocument/2006/relationships/worksheet" Target="worksheets/sheet43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4.xml"/></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ustomXml" Target="../ink/ink5.xml"/></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customXml" Target="../ink/ink6.xml"/></Relationships>
</file>

<file path=xl/drawings/_rels/drawing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customXml" Target="../ink/ink7.xml"/></Relationships>
</file>

<file path=xl/drawings/_rels/drawing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customXml" Target="../ink/ink8.xml"/></Relationships>
</file>

<file path=xl/drawings/_rels/drawing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customXml" Target="../ink/ink9.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customXml" Target="../ink/ink10.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ustomXml" Target="../ink/ink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10.png"/><Relationship Id="rId1" Type="http://schemas.openxmlformats.org/officeDocument/2006/relationships/customXml" Target="../ink/ink12.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11.png"/><Relationship Id="rId1" Type="http://schemas.openxmlformats.org/officeDocument/2006/relationships/customXml" Target="../ink/ink13.xml"/></Relationships>
</file>

<file path=xl/drawings/_rels/drawing14.xml.rels><?xml version="1.0" encoding="UTF-8" standalone="yes"?>
<Relationships xmlns="http://schemas.openxmlformats.org/package/2006/relationships"><Relationship Id="rId2" Type="http://schemas.openxmlformats.org/officeDocument/2006/relationships/image" Target="../media/image112.png"/><Relationship Id="rId1" Type="http://schemas.openxmlformats.org/officeDocument/2006/relationships/customXml" Target="../ink/ink14.xml"/></Relationships>
</file>

<file path=xl/drawings/_rels/drawing15.xml.rels><?xml version="1.0" encoding="UTF-8" standalone="yes"?>
<Relationships xmlns="http://schemas.openxmlformats.org/package/2006/relationships"><Relationship Id="rId2" Type="http://schemas.openxmlformats.org/officeDocument/2006/relationships/image" Target="../media/image112.png"/><Relationship Id="rId1" Type="http://schemas.openxmlformats.org/officeDocument/2006/relationships/customXml" Target="../ink/ink15.xml"/></Relationships>
</file>

<file path=xl/drawings/_rels/drawing16.xml.rels><?xml version="1.0" encoding="UTF-8" standalone="yes"?>
<Relationships xmlns="http://schemas.openxmlformats.org/package/2006/relationships"><Relationship Id="rId2" Type="http://schemas.openxmlformats.org/officeDocument/2006/relationships/image" Target="../media/image1120.png"/><Relationship Id="rId1" Type="http://schemas.openxmlformats.org/officeDocument/2006/relationships/customXml" Target="../ink/ink16.xml"/></Relationships>
</file>

<file path=xl/drawings/_rels/drawing17.xml.rels><?xml version="1.0" encoding="UTF-8" standalone="yes"?>
<Relationships xmlns="http://schemas.openxmlformats.org/package/2006/relationships"><Relationship Id="rId2" Type="http://schemas.openxmlformats.org/officeDocument/2006/relationships/image" Target="../media/image1121.png"/><Relationship Id="rId1" Type="http://schemas.openxmlformats.org/officeDocument/2006/relationships/customXml" Target="../ink/ink17.xml"/></Relationships>
</file>

<file path=xl/drawings/_rels/drawing18.xml.rels><?xml version="1.0" encoding="UTF-8" standalone="yes"?>
<Relationships xmlns="http://schemas.openxmlformats.org/package/2006/relationships"><Relationship Id="rId2" Type="http://schemas.openxmlformats.org/officeDocument/2006/relationships/image" Target="../media/image1122.png"/><Relationship Id="rId1" Type="http://schemas.openxmlformats.org/officeDocument/2006/relationships/customXml" Target="../ink/ink18.xml"/></Relationships>
</file>

<file path=xl/drawings/_rels/drawing19.xml.rels><?xml version="1.0" encoding="UTF-8" standalone="yes"?>
<Relationships xmlns="http://schemas.openxmlformats.org/package/2006/relationships"><Relationship Id="rId2" Type="http://schemas.openxmlformats.org/officeDocument/2006/relationships/image" Target="../media/image1123.png"/><Relationship Id="rId1" Type="http://schemas.openxmlformats.org/officeDocument/2006/relationships/customXml" Target="../ink/ink19.xml"/></Relationships>
</file>

<file path=xl/drawings/_rels/drawing20.xml.rels><?xml version="1.0" encoding="UTF-8" standalone="yes"?>
<Relationships xmlns="http://schemas.openxmlformats.org/package/2006/relationships"><Relationship Id="rId2" Type="http://schemas.openxmlformats.org/officeDocument/2006/relationships/image" Target="../media/image1126.png"/><Relationship Id="rId1" Type="http://schemas.openxmlformats.org/officeDocument/2006/relationships/customXml" Target="../ink/ink20.xml"/></Relationships>
</file>

<file path=xl/drawings/_rels/drawing21.xml.rels><?xml version="1.0" encoding="UTF-8" standalone="yes"?>
<Relationships xmlns="http://schemas.openxmlformats.org/package/2006/relationships"><Relationship Id="rId2" Type="http://schemas.openxmlformats.org/officeDocument/2006/relationships/image" Target="../media/image1124.png"/><Relationship Id="rId1" Type="http://schemas.openxmlformats.org/officeDocument/2006/relationships/customXml" Target="../ink/ink21.xml"/></Relationships>
</file>

<file path=xl/drawings/_rels/drawing22.xml.rels><?xml version="1.0" encoding="UTF-8" standalone="yes"?>
<Relationships xmlns="http://schemas.openxmlformats.org/package/2006/relationships"><Relationship Id="rId2" Type="http://schemas.openxmlformats.org/officeDocument/2006/relationships/image" Target="../media/image1125.png"/><Relationship Id="rId1" Type="http://schemas.openxmlformats.org/officeDocument/2006/relationships/customXml" Target="../ink/ink22.xml"/></Relationships>
</file>

<file path=xl/drawings/_rels/drawing23.xml.rels><?xml version="1.0" encoding="UTF-8" standalone="yes"?>
<Relationships xmlns="http://schemas.openxmlformats.org/package/2006/relationships"><Relationship Id="rId2" Type="http://schemas.openxmlformats.org/officeDocument/2006/relationships/image" Target="../media/image1126.png"/><Relationship Id="rId1" Type="http://schemas.openxmlformats.org/officeDocument/2006/relationships/customXml" Target="../ink/ink23.xml"/></Relationships>
</file>

<file path=xl/drawings/_rels/drawing24.xml.rels><?xml version="1.0" encoding="UTF-8" standalone="yes"?>
<Relationships xmlns="http://schemas.openxmlformats.org/package/2006/relationships"><Relationship Id="rId2" Type="http://schemas.openxmlformats.org/officeDocument/2006/relationships/image" Target="../media/image1127.png"/><Relationship Id="rId1" Type="http://schemas.openxmlformats.org/officeDocument/2006/relationships/customXml" Target="../ink/ink24.xml"/></Relationships>
</file>

<file path=xl/drawings/_rels/drawing25.xml.rels><?xml version="1.0" encoding="UTF-8" standalone="yes"?>
<Relationships xmlns="http://schemas.openxmlformats.org/package/2006/relationships"><Relationship Id="rId2" Type="http://schemas.openxmlformats.org/officeDocument/2006/relationships/image" Target="../media/image1128.png"/><Relationship Id="rId1" Type="http://schemas.openxmlformats.org/officeDocument/2006/relationships/customXml" Target="../ink/ink25.xml"/></Relationships>
</file>

<file path=xl/drawings/_rels/drawing26.xml.rels><?xml version="1.0" encoding="UTF-8" standalone="yes"?>
<Relationships xmlns="http://schemas.openxmlformats.org/package/2006/relationships"><Relationship Id="rId2" Type="http://schemas.openxmlformats.org/officeDocument/2006/relationships/image" Target="../media/image1129.png"/><Relationship Id="rId1" Type="http://schemas.openxmlformats.org/officeDocument/2006/relationships/customXml" Target="../ink/ink26.xml"/></Relationships>
</file>

<file path=xl/drawings/_rels/drawing27.xml.rels><?xml version="1.0" encoding="UTF-8" standalone="yes"?>
<Relationships xmlns="http://schemas.openxmlformats.org/package/2006/relationships"><Relationship Id="rId2" Type="http://schemas.openxmlformats.org/officeDocument/2006/relationships/image" Target="../media/image11210.png"/><Relationship Id="rId1" Type="http://schemas.openxmlformats.org/officeDocument/2006/relationships/customXml" Target="../ink/ink27.xml"/></Relationships>
</file>

<file path=xl/drawings/_rels/drawing28.xml.rels><?xml version="1.0" encoding="UTF-8" standalone="yes"?>
<Relationships xmlns="http://schemas.openxmlformats.org/package/2006/relationships"><Relationship Id="rId2" Type="http://schemas.openxmlformats.org/officeDocument/2006/relationships/image" Target="../media/image11211.png"/><Relationship Id="rId1" Type="http://schemas.openxmlformats.org/officeDocument/2006/relationships/customXml" Target="../ink/ink28.xml"/></Relationships>
</file>

<file path=xl/drawings/_rels/drawing29.xml.rels><?xml version="1.0" encoding="UTF-8" standalone="yes"?>
<Relationships xmlns="http://schemas.openxmlformats.org/package/2006/relationships"><Relationship Id="rId2" Type="http://schemas.openxmlformats.org/officeDocument/2006/relationships/image" Target="../media/image11212.png"/><Relationship Id="rId1" Type="http://schemas.openxmlformats.org/officeDocument/2006/relationships/customXml" Target="../ink/ink29.xml"/></Relationships>
</file>

<file path=xl/drawings/_rels/drawing30.xml.rels><?xml version="1.0" encoding="UTF-8" standalone="yes"?>
<Relationships xmlns="http://schemas.openxmlformats.org/package/2006/relationships"><Relationship Id="rId2" Type="http://schemas.openxmlformats.org/officeDocument/2006/relationships/image" Target="../media/image11212.png"/><Relationship Id="rId1" Type="http://schemas.openxmlformats.org/officeDocument/2006/relationships/customXml" Target="../ink/ink30.xml"/></Relationships>
</file>

<file path=xl/drawings/_rels/drawing31.xml.rels><?xml version="1.0" encoding="UTF-8" standalone="yes"?>
<Relationships xmlns="http://schemas.openxmlformats.org/package/2006/relationships"><Relationship Id="rId2" Type="http://schemas.openxmlformats.org/officeDocument/2006/relationships/image" Target="../media/image11213.png"/><Relationship Id="rId1" Type="http://schemas.openxmlformats.org/officeDocument/2006/relationships/customXml" Target="../ink/ink31.xml"/></Relationships>
</file>

<file path=xl/drawings/_rels/drawing32.xml.rels><?xml version="1.0" encoding="UTF-8" standalone="yes"?>
<Relationships xmlns="http://schemas.openxmlformats.org/package/2006/relationships"><Relationship Id="rId2" Type="http://schemas.openxmlformats.org/officeDocument/2006/relationships/image" Target="../media/image11214.png"/><Relationship Id="rId1" Type="http://schemas.openxmlformats.org/officeDocument/2006/relationships/customXml" Target="../ink/ink32.xml"/></Relationships>
</file>

<file path=xl/drawings/_rels/drawing33.xml.rels><?xml version="1.0" encoding="UTF-8" standalone="yes"?>
<Relationships xmlns="http://schemas.openxmlformats.org/package/2006/relationships"><Relationship Id="rId2" Type="http://schemas.openxmlformats.org/officeDocument/2006/relationships/image" Target="../media/image11215.png"/><Relationship Id="rId1" Type="http://schemas.openxmlformats.org/officeDocument/2006/relationships/customXml" Target="../ink/ink33.xml"/></Relationships>
</file>

<file path=xl/drawings/_rels/drawing34.xml.rels><?xml version="1.0" encoding="UTF-8" standalone="yes"?>
<Relationships xmlns="http://schemas.openxmlformats.org/package/2006/relationships"><Relationship Id="rId2" Type="http://schemas.openxmlformats.org/officeDocument/2006/relationships/image" Target="../media/image11216.png"/><Relationship Id="rId1" Type="http://schemas.openxmlformats.org/officeDocument/2006/relationships/customXml" Target="../ink/ink34.xml"/></Relationships>
</file>

<file path=xl/drawings/_rels/drawing35.xml.rels><?xml version="1.0" encoding="UTF-8" standalone="yes"?>
<Relationships xmlns="http://schemas.openxmlformats.org/package/2006/relationships"><Relationship Id="rId2" Type="http://schemas.openxmlformats.org/officeDocument/2006/relationships/image" Target="../media/image11217.png"/><Relationship Id="rId1" Type="http://schemas.openxmlformats.org/officeDocument/2006/relationships/customXml" Target="../ink/ink35.xml"/></Relationships>
</file>

<file path=xl/drawings/_rels/drawing36.xml.rels><?xml version="1.0" encoding="UTF-8" standalone="yes"?>
<Relationships xmlns="http://schemas.openxmlformats.org/package/2006/relationships"><Relationship Id="rId2" Type="http://schemas.openxmlformats.org/officeDocument/2006/relationships/image" Target="../media/image11218.png"/><Relationship Id="rId1" Type="http://schemas.openxmlformats.org/officeDocument/2006/relationships/customXml" Target="../ink/ink36.xml"/></Relationships>
</file>

<file path=xl/drawings/_rels/drawing37.xml.rels><?xml version="1.0" encoding="UTF-8" standalone="yes"?>
<Relationships xmlns="http://schemas.openxmlformats.org/package/2006/relationships"><Relationship Id="rId2" Type="http://schemas.openxmlformats.org/officeDocument/2006/relationships/image" Target="../media/image11219.png"/><Relationship Id="rId1" Type="http://schemas.openxmlformats.org/officeDocument/2006/relationships/customXml" Target="../ink/ink37.xml"/></Relationships>
</file>

<file path=xl/drawings/_rels/drawing38.xml.rels><?xml version="1.0" encoding="UTF-8" standalone="yes"?>
<Relationships xmlns="http://schemas.openxmlformats.org/package/2006/relationships"><Relationship Id="rId2" Type="http://schemas.openxmlformats.org/officeDocument/2006/relationships/image" Target="../media/image11220.png"/><Relationship Id="rId1" Type="http://schemas.openxmlformats.org/officeDocument/2006/relationships/customXml" Target="../ink/ink38.xml"/></Relationships>
</file>

<file path=xl/drawings/_rels/drawing39.xml.rels><?xml version="1.0" encoding="UTF-8" standalone="yes"?>
<Relationships xmlns="http://schemas.openxmlformats.org/package/2006/relationships"><Relationship Id="rId2" Type="http://schemas.openxmlformats.org/officeDocument/2006/relationships/image" Target="../media/image11221.png"/><Relationship Id="rId1" Type="http://schemas.openxmlformats.org/officeDocument/2006/relationships/customXml" Target="../ink/ink39.xml"/></Relationships>
</file>

<file path=xl/drawings/_rels/drawing40.xml.rels><?xml version="1.0" encoding="UTF-8" standalone="yes"?>
<Relationships xmlns="http://schemas.openxmlformats.org/package/2006/relationships"><Relationship Id="rId2" Type="http://schemas.openxmlformats.org/officeDocument/2006/relationships/image" Target="../media/image11222.png"/><Relationship Id="rId1" Type="http://schemas.openxmlformats.org/officeDocument/2006/relationships/customXml" Target="../ink/ink40.xml"/></Relationships>
</file>

<file path=xl/drawings/_rels/drawing41.xml.rels><?xml version="1.0" encoding="UTF-8" standalone="yes"?>
<Relationships xmlns="http://schemas.openxmlformats.org/package/2006/relationships"><Relationship Id="rId2" Type="http://schemas.openxmlformats.org/officeDocument/2006/relationships/image" Target="../media/image11223.png"/><Relationship Id="rId1" Type="http://schemas.openxmlformats.org/officeDocument/2006/relationships/customXml" Target="../ink/ink41.xml"/></Relationships>
</file>

<file path=xl/drawings/_rels/drawing42.xml.rels><?xml version="1.0" encoding="UTF-8" standalone="yes"?>
<Relationships xmlns="http://schemas.openxmlformats.org/package/2006/relationships"><Relationship Id="rId2" Type="http://schemas.openxmlformats.org/officeDocument/2006/relationships/image" Target="../media/image11223.png"/><Relationship Id="rId1" Type="http://schemas.openxmlformats.org/officeDocument/2006/relationships/customXml" Target="../ink/ink42.xml"/></Relationships>
</file>

<file path=xl/drawings/_rels/drawing43.xml.rels><?xml version="1.0" encoding="UTF-8" standalone="yes"?>
<Relationships xmlns="http://schemas.openxmlformats.org/package/2006/relationships"><Relationship Id="rId2" Type="http://schemas.openxmlformats.org/officeDocument/2006/relationships/image" Target="../media/image112230.png"/><Relationship Id="rId1" Type="http://schemas.openxmlformats.org/officeDocument/2006/relationships/customXml" Target="../ink/ink43.xml"/></Relationships>
</file>

<file path=xl/drawings/_rels/drawing44.xml.rels><?xml version="1.0" encoding="UTF-8" standalone="yes"?>
<Relationships xmlns="http://schemas.openxmlformats.org/package/2006/relationships"><Relationship Id="rId2" Type="http://schemas.openxmlformats.org/officeDocument/2006/relationships/image" Target="../media/image112231.png"/><Relationship Id="rId1" Type="http://schemas.openxmlformats.org/officeDocument/2006/relationships/customXml" Target="../ink/ink44.xml"/></Relationships>
</file>

<file path=xl/drawings/_rels/drawing45.xml.rels><?xml version="1.0" encoding="UTF-8" standalone="yes"?>
<Relationships xmlns="http://schemas.openxmlformats.org/package/2006/relationships"><Relationship Id="rId2" Type="http://schemas.openxmlformats.org/officeDocument/2006/relationships/image" Target="../media/image112232.png"/><Relationship Id="rId1" Type="http://schemas.openxmlformats.org/officeDocument/2006/relationships/customXml" Target="../ink/ink45.xml"/></Relationships>
</file>

<file path=xl/drawings/_rels/drawing46.xml.rels><?xml version="1.0" encoding="UTF-8" standalone="yes"?>
<Relationships xmlns="http://schemas.openxmlformats.org/package/2006/relationships"><Relationship Id="rId2" Type="http://schemas.openxmlformats.org/officeDocument/2006/relationships/image" Target="../media/image112233.png"/><Relationship Id="rId1" Type="http://schemas.openxmlformats.org/officeDocument/2006/relationships/customXml" Target="../ink/ink46.xml"/></Relationships>
</file>

<file path=xl/drawings/_rels/drawing47.xml.rels><?xml version="1.0" encoding="UTF-8" standalone="yes"?>
<Relationships xmlns="http://schemas.openxmlformats.org/package/2006/relationships"><Relationship Id="rId2" Type="http://schemas.openxmlformats.org/officeDocument/2006/relationships/image" Target="../media/image112234.png"/><Relationship Id="rId1" Type="http://schemas.openxmlformats.org/officeDocument/2006/relationships/customXml" Target="../ink/ink47.xml"/></Relationships>
</file>

<file path=xl/drawings/_rels/drawing48.xml.rels><?xml version="1.0" encoding="UTF-8" standalone="yes"?>
<Relationships xmlns="http://schemas.openxmlformats.org/package/2006/relationships"><Relationship Id="rId2" Type="http://schemas.openxmlformats.org/officeDocument/2006/relationships/image" Target="../media/image112235.png"/><Relationship Id="rId1" Type="http://schemas.openxmlformats.org/officeDocument/2006/relationships/customXml" Target="../ink/ink48.xml"/></Relationships>
</file>

<file path=xl/drawings/_rels/drawing49.xml.rels><?xml version="1.0" encoding="UTF-8" standalone="yes"?>
<Relationships xmlns="http://schemas.openxmlformats.org/package/2006/relationships"><Relationship Id="rId2" Type="http://schemas.openxmlformats.org/officeDocument/2006/relationships/image" Target="../media/image112236.png"/><Relationship Id="rId1" Type="http://schemas.openxmlformats.org/officeDocument/2006/relationships/customXml" Target="../ink/ink49.xml"/></Relationships>
</file>

<file path=xl/drawings/_rels/drawing50.xml.rels><?xml version="1.0" encoding="UTF-8" standalone="yes"?>
<Relationships xmlns="http://schemas.openxmlformats.org/package/2006/relationships"><Relationship Id="rId2" Type="http://schemas.openxmlformats.org/officeDocument/2006/relationships/image" Target="../media/image112237.png"/><Relationship Id="rId1" Type="http://schemas.openxmlformats.org/officeDocument/2006/relationships/customXml" Target="../ink/ink50.xml"/></Relationships>
</file>

<file path=xl/drawings/_rels/drawing51.xml.rels><?xml version="1.0" encoding="UTF-8" standalone="yes"?>
<Relationships xmlns="http://schemas.openxmlformats.org/package/2006/relationships"><Relationship Id="rId2" Type="http://schemas.openxmlformats.org/officeDocument/2006/relationships/image" Target="../media/image112238.png"/><Relationship Id="rId1" Type="http://schemas.openxmlformats.org/officeDocument/2006/relationships/customXml" Target="../ink/ink51.xml"/></Relationships>
</file>

<file path=xl/drawings/_rels/drawing52.xml.rels><?xml version="1.0" encoding="UTF-8" standalone="yes"?>
<Relationships xmlns="http://schemas.openxmlformats.org/package/2006/relationships"><Relationship Id="rId2" Type="http://schemas.openxmlformats.org/officeDocument/2006/relationships/image" Target="../media/image112239.png"/><Relationship Id="rId1" Type="http://schemas.openxmlformats.org/officeDocument/2006/relationships/customXml" Target="../ink/ink52.xml"/></Relationships>
</file>

<file path=xl/drawings/_rels/drawing53.xml.rels><?xml version="1.0" encoding="UTF-8" standalone="yes"?>
<Relationships xmlns="http://schemas.openxmlformats.org/package/2006/relationships"><Relationship Id="rId2" Type="http://schemas.openxmlformats.org/officeDocument/2006/relationships/image" Target="../media/image1122310.png"/><Relationship Id="rId1" Type="http://schemas.openxmlformats.org/officeDocument/2006/relationships/customXml" Target="../ink/ink53.xml"/></Relationships>
</file>

<file path=xl/drawings/_rels/drawing54.xml.rels><?xml version="1.0" encoding="UTF-8" standalone="yes"?>
<Relationships xmlns="http://schemas.openxmlformats.org/package/2006/relationships"><Relationship Id="rId2" Type="http://schemas.openxmlformats.org/officeDocument/2006/relationships/image" Target="../media/image1122311.png"/><Relationship Id="rId1" Type="http://schemas.openxmlformats.org/officeDocument/2006/relationships/customXml" Target="../ink/ink54.xml"/></Relationships>
</file>

<file path=xl/drawings/_rels/drawing55.xml.rels><?xml version="1.0" encoding="UTF-8" standalone="yes"?>
<Relationships xmlns="http://schemas.openxmlformats.org/package/2006/relationships"><Relationship Id="rId2" Type="http://schemas.openxmlformats.org/officeDocument/2006/relationships/image" Target="../media/image1122312.png"/><Relationship Id="rId1" Type="http://schemas.openxmlformats.org/officeDocument/2006/relationships/customXml" Target="../ink/ink55.xml"/></Relationships>
</file>

<file path=xl/drawings/_rels/drawing56.xml.rels><?xml version="1.0" encoding="UTF-8" standalone="yes"?>
<Relationships xmlns="http://schemas.openxmlformats.org/package/2006/relationships"><Relationship Id="rId2" Type="http://schemas.openxmlformats.org/officeDocument/2006/relationships/image" Target="../media/image1122313.png"/><Relationship Id="rId1" Type="http://schemas.openxmlformats.org/officeDocument/2006/relationships/customXml" Target="../ink/ink56.xml"/></Relationships>
</file>

<file path=xl/drawings/_rels/drawing57.xml.rels><?xml version="1.0" encoding="UTF-8" standalone="yes"?>
<Relationships xmlns="http://schemas.openxmlformats.org/package/2006/relationships"><Relationship Id="rId2" Type="http://schemas.openxmlformats.org/officeDocument/2006/relationships/image" Target="../media/image1122314.png"/><Relationship Id="rId1" Type="http://schemas.openxmlformats.org/officeDocument/2006/relationships/customXml" Target="../ink/ink57.xml"/></Relationships>
</file>

<file path=xl/drawings/_rels/drawing58.xml.rels><?xml version="1.0" encoding="UTF-8" standalone="yes"?>
<Relationships xmlns="http://schemas.openxmlformats.org/package/2006/relationships"><Relationship Id="rId2" Type="http://schemas.openxmlformats.org/officeDocument/2006/relationships/image" Target="../media/image1122315.png"/><Relationship Id="rId1" Type="http://schemas.openxmlformats.org/officeDocument/2006/relationships/customXml" Target="../ink/ink58.xml"/></Relationships>
</file>

<file path=xl/drawings/_rels/drawing59.xml.rels><?xml version="1.0" encoding="UTF-8" standalone="yes"?>
<Relationships xmlns="http://schemas.openxmlformats.org/package/2006/relationships"><Relationship Id="rId2" Type="http://schemas.openxmlformats.org/officeDocument/2006/relationships/image" Target="../media/image1122316.png"/><Relationship Id="rId1" Type="http://schemas.openxmlformats.org/officeDocument/2006/relationships/customXml" Target="../ink/ink59.xml"/></Relationships>
</file>

<file path=xl/drawings/_rels/drawing60.xml.rels><?xml version="1.0" encoding="UTF-8" standalone="yes"?>
<Relationships xmlns="http://schemas.openxmlformats.org/package/2006/relationships"><Relationship Id="rId2" Type="http://schemas.openxmlformats.org/officeDocument/2006/relationships/image" Target="../media/image1122317.png"/><Relationship Id="rId1" Type="http://schemas.openxmlformats.org/officeDocument/2006/relationships/customXml" Target="../ink/ink60.xml"/></Relationships>
</file>

<file path=xl/drawings/_rels/drawing61.xml.rels><?xml version="1.0" encoding="UTF-8" standalone="yes"?>
<Relationships xmlns="http://schemas.openxmlformats.org/package/2006/relationships"><Relationship Id="rId2" Type="http://schemas.openxmlformats.org/officeDocument/2006/relationships/image" Target="../media/image1122318.png"/><Relationship Id="rId1" Type="http://schemas.openxmlformats.org/officeDocument/2006/relationships/customXml" Target="../ink/ink61.xml"/></Relationships>
</file>

<file path=xl/drawings/_rels/drawing62.xml.rels><?xml version="1.0" encoding="UTF-8" standalone="yes"?>
<Relationships xmlns="http://schemas.openxmlformats.org/package/2006/relationships"><Relationship Id="rId2" Type="http://schemas.openxmlformats.org/officeDocument/2006/relationships/image" Target="../media/image1122319.png"/><Relationship Id="rId1" Type="http://schemas.openxmlformats.org/officeDocument/2006/relationships/customXml" Target="../ink/ink62.xml"/></Relationships>
</file>

<file path=xl/drawings/_rels/drawing63.xml.rels><?xml version="1.0" encoding="UTF-8" standalone="yes"?>
<Relationships xmlns="http://schemas.openxmlformats.org/package/2006/relationships"><Relationship Id="rId2" Type="http://schemas.openxmlformats.org/officeDocument/2006/relationships/image" Target="../media/image1122320.png"/><Relationship Id="rId1" Type="http://schemas.openxmlformats.org/officeDocument/2006/relationships/customXml" Target="../ink/ink63.xml"/></Relationships>
</file>

<file path=xl/drawings/_rels/drawing64.xml.rels><?xml version="1.0" encoding="UTF-8" standalone="yes"?>
<Relationships xmlns="http://schemas.openxmlformats.org/package/2006/relationships"><Relationship Id="rId2" Type="http://schemas.openxmlformats.org/officeDocument/2006/relationships/image" Target="../media/image1122321.png"/><Relationship Id="rId1" Type="http://schemas.openxmlformats.org/officeDocument/2006/relationships/customXml" Target="../ink/ink64.xml"/></Relationships>
</file>

<file path=xl/drawings/_rels/drawing65.xml.rels><?xml version="1.0" encoding="UTF-8" standalone="yes"?>
<Relationships xmlns="http://schemas.openxmlformats.org/package/2006/relationships"><Relationship Id="rId2" Type="http://schemas.openxmlformats.org/officeDocument/2006/relationships/image" Target="../media/image1122322.png"/><Relationship Id="rId1" Type="http://schemas.openxmlformats.org/officeDocument/2006/relationships/customXml" Target="../ink/ink65.xml"/></Relationships>
</file>

<file path=xl/drawings/_rels/drawing66.xml.rels><?xml version="1.0" encoding="UTF-8" standalone="yes"?>
<Relationships xmlns="http://schemas.openxmlformats.org/package/2006/relationships"><Relationship Id="rId2" Type="http://schemas.openxmlformats.org/officeDocument/2006/relationships/image" Target="../media/image1122323.png"/><Relationship Id="rId1" Type="http://schemas.openxmlformats.org/officeDocument/2006/relationships/customXml" Target="../ink/ink66.xml"/></Relationships>
</file>

<file path=xl/drawings/_rels/drawing67.xml.rels><?xml version="1.0" encoding="UTF-8" standalone="yes"?>
<Relationships xmlns="http://schemas.openxmlformats.org/package/2006/relationships"><Relationship Id="rId2" Type="http://schemas.openxmlformats.org/officeDocument/2006/relationships/image" Target="../media/image1122324.png"/><Relationship Id="rId1" Type="http://schemas.openxmlformats.org/officeDocument/2006/relationships/customXml" Target="../ink/ink67.xml"/></Relationships>
</file>

<file path=xl/drawings/_rels/drawing68.xml.rels><?xml version="1.0" encoding="UTF-8" standalone="yes"?>
<Relationships xmlns="http://schemas.openxmlformats.org/package/2006/relationships"><Relationship Id="rId2" Type="http://schemas.openxmlformats.org/officeDocument/2006/relationships/image" Target="../media/image1122325.png"/><Relationship Id="rId1" Type="http://schemas.openxmlformats.org/officeDocument/2006/relationships/customXml" Target="../ink/ink68.xml"/></Relationships>
</file>

<file path=xl/drawings/_rels/drawing69.xml.rels><?xml version="1.0" encoding="UTF-8" standalone="yes"?>
<Relationships xmlns="http://schemas.openxmlformats.org/package/2006/relationships"><Relationship Id="rId2" Type="http://schemas.openxmlformats.org/officeDocument/2006/relationships/image" Target="../media/image1122326.png"/><Relationship Id="rId1" Type="http://schemas.openxmlformats.org/officeDocument/2006/relationships/customXml" Target="../ink/ink69.xml"/></Relationships>
</file>

<file path=xl/drawings/_rels/drawing70.xml.rels><?xml version="1.0" encoding="UTF-8" standalone="yes"?>
<Relationships xmlns="http://schemas.openxmlformats.org/package/2006/relationships"><Relationship Id="rId2" Type="http://schemas.openxmlformats.org/officeDocument/2006/relationships/image" Target="../media/image1122327.png"/><Relationship Id="rId1" Type="http://schemas.openxmlformats.org/officeDocument/2006/relationships/customXml" Target="../ink/ink70.xml"/></Relationships>
</file>

<file path=xl/drawings/drawing1.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D3BAA15-9A80-4689-9D9B-350A48C4ED0C}"/>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4D3BAA15-9A80-4689-9D9B-350A48C4ED0C}"/>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0625A4A-7589-472B-9738-B11288B62C76}"/>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B46BDCE-8167-4861-A36E-2B4D8E1687A8}"/>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A30A037-53C0-4FAE-B2F0-7E31984B4F82}"/>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EEDAE3D-5B64-45DF-B8DC-DDE0EB338163}"/>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325D0CD-3408-4FFC-AFB5-0AFE3F3D66EA}"/>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0658EA9-5230-4106-917A-8170018D8AE5}"/>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994D5E8-582D-47AF-A464-7BDD2C331F3E}"/>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6027D17-3C8E-447C-A511-437CE1704701}"/>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DDEFE40-77B5-4FF7-A9AB-59A88E969DD6}"/>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FF4E058-6E54-4DC1-9ED7-134B76EDFEF0}"/>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98BBBB1-A8B5-4168-A07A-432A9A9BB441}"/>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D990378-5EF5-4F89-BBB0-4FEE3ED57EBA}"/>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1533BA0-6E70-41AF-9EE4-1CDB6FCFD8EE}"/>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96E3AF9-8CF0-40A9-9E81-F52B9A592F1B}"/>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6.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5D15E10-9A1A-4BE3-88C1-A029F8340E91}"/>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B148A44-EA09-4E85-AA6C-DE66DB782D6B}"/>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BE96FE5-7186-4EDE-82BC-B149079FF1DE}"/>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A9261D8-C4BB-46C4-9A4B-76095EC53D74}"/>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0.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6B9F3A7-1954-4C69-9CB1-D0E5CDD52A01}"/>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6BEAB6C-ED02-4CC9-8F7B-A4017601FA85}"/>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59E670C-F1D8-4AD1-ABBD-C5AB628E6318}"/>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3.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2DC4020-7A90-4FEA-A429-7CD7A63F5290}"/>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4.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6E8F304-9F48-4C4C-9D4D-ABA9D838D49B}"/>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5.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7F6F62-C29D-4E2F-9E7F-A9B50BBEC59B}"/>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6.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A074FFC-315F-4A34-B8DC-0B1F662BD999}"/>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7.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9E5458B-C969-439F-B882-B7000A213571}"/>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8.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38DB302-0E45-4511-8007-5DA5C7B27E83}"/>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29.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66135D0-5C3E-4123-99D4-9D764E0B25C5}"/>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0.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FACE487-6A4B-4672-8B4A-CA1688AA59D2}"/>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1.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DC6F8F6-7496-4A9A-867A-F2B075BF2CFD}"/>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2.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1CC4A83-52E4-4FA4-8009-2E8E282C204C}"/>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3.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900742A-57F1-409F-9FAA-6473F97D7C48}"/>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4.xml><?xml version="1.0" encoding="utf-8"?>
<xdr:wsDr xmlns:xdr="http://schemas.openxmlformats.org/drawingml/2006/spreadsheetDrawing" xmlns:a="http://schemas.openxmlformats.org/drawingml/2006/main">
  <xdr:twoCellAnchor editAs="oneCell">
    <xdr:from>
      <xdr:col>6</xdr:col>
      <xdr:colOff>402060</xdr:colOff>
      <xdr:row>20</xdr:row>
      <xdr:rowOff>55860</xdr:rowOff>
    </xdr:from>
    <xdr:to>
      <xdr:col>6</xdr:col>
      <xdr:colOff>402420</xdr:colOff>
      <xdr:row>20</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D09772D-F0CD-4485-9FA4-465570EE84F9}"/>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5.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D972FF4-051D-4C83-A636-939839B8EE72}"/>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6.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713B8CC-7FC7-4EE8-AB8A-3DDA22A013D2}"/>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7.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8E756DE-74FA-4269-A20F-D9FC99954D2B}"/>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8.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C9D22DE-37C7-48DE-A2B4-537382D48194}"/>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39.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AD7C12B-4FDD-43DA-956B-9945980CB164}"/>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0.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C120446-3BAD-4D71-8D36-9517FAE278F8}"/>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1.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999F75D-C403-4416-99E5-69FB99F8CFE3}"/>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2.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C1B6B70-AB78-49D7-B98B-EFEC2B4FCE5E}"/>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3.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AD69FC6-3538-4744-9D74-286706547D15}"/>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4.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233C407-F96B-4B6B-B660-BA52F7EE8B47}"/>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5.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D71C9CC-DBEC-43BC-B04A-9D0B92180E77}"/>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6.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596099A-914F-4F32-9A33-8C1B0D1C8035}"/>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7.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227A64D-7CD0-4506-9009-CB5F0C8935A1}"/>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8.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D37E9E8-A03A-420C-A2F6-9F5A3175BA75}"/>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49.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929E4C4-FC93-4EEE-A8F1-2E332C99E0D7}"/>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0.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F2B9F28-79AC-4CA8-9ACA-28EAE04FF796}"/>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1.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4E34F74-11BB-418D-93E3-1E172C08465B}"/>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2.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8A4D45F-91E4-45B0-B09F-0014C31ADFE5}"/>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3.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7DC4951-40B6-41E7-9ACA-CE977B852A58}"/>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4.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579C573-EE59-43D7-8842-534F5CEEABBA}"/>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5.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F564AA7-5FC8-4114-97FF-B9AD5008CFB0}"/>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6.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5C5E86A-9257-4EB4-A7D1-5FC2EB790B41}"/>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7.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2876CCE-AF53-4070-BA82-D9887DD506C3}"/>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8.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996DD67-90F2-4F93-BB28-296249B2067A}"/>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59.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8670CFB-FFE6-436A-A703-D00B94799B65}"/>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0.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48770E2-C064-4581-B1D6-2DA30AFDA472}"/>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1.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89AEA5F-73A1-40F2-9DBA-E01CFDCF26B9}"/>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2.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94ADC80-09C5-4B0E-9B9E-DD5130B69FD6}"/>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3.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97BC00A-A6AA-443A-A9B0-F99D45D9065D}"/>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4.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F4507AE-2B11-481B-8E61-22A3F76D4F05}"/>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5.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612F8C7-5B3A-438A-A54A-4FDCA2C7509D}"/>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6.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D5BEC40-3C54-4825-8E21-9BB47F481AD9}"/>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7.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1B88C5F-630D-4998-888D-5B7AF68AA1DD}"/>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8.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62FA07D-A21D-4E27-AAA9-22540EB11A6C}"/>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69.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F3E2073-25BF-494D-9B2D-BF0CD60763AB}"/>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drawings/drawing70.xml><?xml version="1.0" encoding="utf-8"?>
<xdr:wsDr xmlns:xdr="http://schemas.openxmlformats.org/drawingml/2006/spreadsheetDrawing" xmlns:a="http://schemas.openxmlformats.org/drawingml/2006/main">
  <xdr:twoCellAnchor editAs="oneCell">
    <xdr:from>
      <xdr:col>6</xdr:col>
      <xdr:colOff>402060</xdr:colOff>
      <xdr:row>21</xdr:row>
      <xdr:rowOff>55860</xdr:rowOff>
    </xdr:from>
    <xdr:to>
      <xdr:col>6</xdr:col>
      <xdr:colOff>402420</xdr:colOff>
      <xdr:row>21</xdr:row>
      <xdr:rowOff>56220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42C1E45-B553-40DC-A098-4488B1705819}"/>
                </a:ext>
              </a:extLst>
            </xdr14:cNvPr>
            <xdr14:cNvContentPartPr/>
          </xdr14:nvContentPartPr>
          <xdr14:nvPr macro=""/>
          <xdr14:xfrm>
            <a:off x="8174460" y="3957300"/>
            <a:ext cx="360" cy="360"/>
          </xdr14:xfrm>
        </xdr:contentPart>
      </mc:Choice>
      <mc:Fallback xmlns="">
        <xdr:pic>
          <xdr:nvPicPr>
            <xdr:cNvPr id="2" name="Ink 1">
              <a:extLst>
                <a:ext uri="{FF2B5EF4-FFF2-40B4-BE49-F238E27FC236}">
                  <a16:creationId xmlns:a16="http://schemas.microsoft.com/office/drawing/2014/main" id="{34EA8E32-DF41-B325-E990-EED45372A608}"/>
                </a:ext>
              </a:extLst>
            </xdr:cNvPr>
            <xdr:cNvPicPr/>
          </xdr:nvPicPr>
          <xdr:blipFill>
            <a:blip xmlns:r="http://schemas.openxmlformats.org/officeDocument/2006/relationships" r:embed="rId2"/>
            <a:stretch>
              <a:fillRect/>
            </a:stretch>
          </xdr:blipFill>
          <xdr:spPr>
            <a:xfrm>
              <a:off x="8165820" y="394866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7-21T10:17:18.553"/>
    </inkml:context>
    <inkml:brush xml:id="br0">
      <inkml:brushProperty name="width" value="0.05" units="cm"/>
      <inkml:brushProperty name="height" value="0.05" units="cm"/>
    </inkml:brush>
  </inkml:definitions>
  <inkml:trace contextRef="#ctx0" brushRef="#br0">1 1 20423</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7-22T07:50:09.753"/>
    </inkml:context>
    <inkml:brush xml:id="br0">
      <inkml:brushProperty name="width" value="0.05" units="cm"/>
      <inkml:brushProperty name="height" value="0.05" units="cm"/>
    </inkml:brush>
  </inkml:definitions>
  <inkml:trace contextRef="#ctx0" brushRef="#br0">1 1 20423</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7-25T09:05:22.702"/>
    </inkml:context>
    <inkml:brush xml:id="br0">
      <inkml:brushProperty name="width" value="0.05" units="cm"/>
      <inkml:brushProperty name="height" value="0.05" units="cm"/>
    </inkml:brush>
  </inkml:definitions>
  <inkml:trace contextRef="#ctx0" brushRef="#br0">1 1 20423</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7-26T10:28:43.431"/>
    </inkml:context>
    <inkml:brush xml:id="br0">
      <inkml:brushProperty name="width" value="0.05" units="cm"/>
      <inkml:brushProperty name="height" value="0.05" units="cm"/>
    </inkml:brush>
  </inkml:definitions>
  <inkml:trace contextRef="#ctx0" brushRef="#br0">1 1 20423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7-27T08:58:24.698"/>
    </inkml:context>
    <inkml:brush xml:id="br0">
      <inkml:brushProperty name="width" value="0.05" units="cm"/>
      <inkml:brushProperty name="height" value="0.05" units="cm"/>
    </inkml:brush>
  </inkml:definitions>
  <inkml:trace contextRef="#ctx0" brushRef="#br0">1 1 20423</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7-28T07:08:29.519"/>
    </inkml:context>
    <inkml:brush xml:id="br0">
      <inkml:brushProperty name="width" value="0.05" units="cm"/>
      <inkml:brushProperty name="height" value="0.05" units="cm"/>
    </inkml:brush>
  </inkml:definitions>
  <inkml:trace contextRef="#ctx0" brushRef="#br0">1 1 20423</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7-28T23:01:32.445"/>
    </inkml:context>
    <inkml:brush xml:id="br0">
      <inkml:brushProperty name="width" value="0.05" units="cm"/>
      <inkml:brushProperty name="height" value="0.05" units="cm"/>
    </inkml:brush>
  </inkml:definitions>
  <inkml:trace contextRef="#ctx0" brushRef="#br0">1 1 20423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7-31T22:30:05.934"/>
    </inkml:context>
    <inkml:brush xml:id="br0">
      <inkml:brushProperty name="width" value="0.05" units="cm"/>
      <inkml:brushProperty name="height" value="0.05" units="cm"/>
    </inkml:brush>
  </inkml:definitions>
  <inkml:trace contextRef="#ctx0" brushRef="#br0">1 1 20423</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08T09:36:44.105"/>
    </inkml:context>
    <inkml:brush xml:id="br0">
      <inkml:brushProperty name="width" value="0.05" units="cm"/>
      <inkml:brushProperty name="height" value="0.05" units="cm"/>
    </inkml:brush>
  </inkml:definitions>
  <inkml:trace contextRef="#ctx0" brushRef="#br0">1 1 20423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09T09:21:58.920"/>
    </inkml:context>
    <inkml:brush xml:id="br0">
      <inkml:brushProperty name="width" value="0.05" units="cm"/>
      <inkml:brushProperty name="height" value="0.05" units="cm"/>
    </inkml:brush>
  </inkml:definitions>
  <inkml:trace contextRef="#ctx0" brushRef="#br0">1 1 20423</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10T12:00:21.244"/>
    </inkml:context>
    <inkml:brush xml:id="br0">
      <inkml:brushProperty name="width" value="0.05" units="cm"/>
      <inkml:brushProperty name="height" value="0.05" units="cm"/>
    </inkml:brush>
  </inkml:definitions>
  <inkml:trace contextRef="#ctx0" brushRef="#br0">1 1 20423</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11T11:26:58.808"/>
    </inkml:context>
    <inkml:brush xml:id="br0">
      <inkml:brushProperty name="width" value="0.05" units="cm"/>
      <inkml:brushProperty name="height" value="0.05" units="cm"/>
    </inkml:brush>
  </inkml:definitions>
  <inkml:trace contextRef="#ctx0" brushRef="#br0">1 1 20423</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15T10:24:50.674"/>
    </inkml:context>
    <inkml:brush xml:id="br0">
      <inkml:brushProperty name="width" value="0.05" units="cm"/>
      <inkml:brushProperty name="height" value="0.05" units="cm"/>
    </inkml:brush>
  </inkml:definitions>
  <inkml:trace contextRef="#ctx0" brushRef="#br0">1 1 20423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15T09:45:05.696"/>
    </inkml:context>
    <inkml:brush xml:id="br0">
      <inkml:brushProperty name="width" value="0.05" units="cm"/>
      <inkml:brushProperty name="height" value="0.05" units="cm"/>
    </inkml:brush>
  </inkml:definitions>
  <inkml:trace contextRef="#ctx0" brushRef="#br0">1 1 20423</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16T10:10:11.775"/>
    </inkml:context>
    <inkml:brush xml:id="br0">
      <inkml:brushProperty name="width" value="0.05" units="cm"/>
      <inkml:brushProperty name="height" value="0.05" units="cm"/>
    </inkml:brush>
  </inkml:definitions>
  <inkml:trace contextRef="#ctx0" brushRef="#br0">1 1 20423</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17T06:00:38.869"/>
    </inkml:context>
    <inkml:brush xml:id="br0">
      <inkml:brushProperty name="width" value="0.05" units="cm"/>
      <inkml:brushProperty name="height" value="0.05" units="cm"/>
    </inkml:brush>
  </inkml:definitions>
  <inkml:trace contextRef="#ctx0" brushRef="#br0">1 1 20423</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18T07:32:54.077"/>
    </inkml:context>
    <inkml:brush xml:id="br0">
      <inkml:brushProperty name="width" value="0.05" units="cm"/>
      <inkml:brushProperty name="height" value="0.05" units="cm"/>
    </inkml:brush>
  </inkml:definitions>
  <inkml:trace contextRef="#ctx0" brushRef="#br0">1 1 20423</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19T08:37:11.215"/>
    </inkml:context>
    <inkml:brush xml:id="br0">
      <inkml:brushProperty name="width" value="0.05" units="cm"/>
      <inkml:brushProperty name="height" value="0.05" units="cm"/>
    </inkml:brush>
  </inkml:definitions>
  <inkml:trace contextRef="#ctx0" brushRef="#br0">1 1 20423</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22T10:28:33.453"/>
    </inkml:context>
    <inkml:brush xml:id="br0">
      <inkml:brushProperty name="width" value="0.05" units="cm"/>
      <inkml:brushProperty name="height" value="0.05" units="cm"/>
    </inkml:brush>
  </inkml:definitions>
  <inkml:trace contextRef="#ctx0" brushRef="#br0">1 1 20423</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25T10:00:29.250"/>
    </inkml:context>
    <inkml:brush xml:id="br0">
      <inkml:brushProperty name="width" value="0.05" units="cm"/>
      <inkml:brushProperty name="height" value="0.05" units="cm"/>
    </inkml:brush>
  </inkml:definitions>
  <inkml:trace contextRef="#ctx0" brushRef="#br0">1 1 20423</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23T10:38:11.310"/>
    </inkml:context>
    <inkml:brush xml:id="br0">
      <inkml:brushProperty name="width" value="0.05" units="cm"/>
      <inkml:brushProperty name="height" value="0.05" units="cm"/>
    </inkml:brush>
  </inkml:definitions>
  <inkml:trace contextRef="#ctx0" brushRef="#br0">1 1 20423</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24T08:18:00.288"/>
    </inkml:context>
    <inkml:brush xml:id="br0">
      <inkml:brushProperty name="width" value="0.05" units="cm"/>
      <inkml:brushProperty name="height" value="0.05" units="cm"/>
    </inkml:brush>
  </inkml:definitions>
  <inkml:trace contextRef="#ctx0" brushRef="#br0">1 1 20423</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25T10:00:46.141"/>
    </inkml:context>
    <inkml:brush xml:id="br0">
      <inkml:brushProperty name="width" value="0.05" units="cm"/>
      <inkml:brushProperty name="height" value="0.05" units="cm"/>
    </inkml:brush>
  </inkml:definitions>
  <inkml:trace contextRef="#ctx0" brushRef="#br0">1 1 20423</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26T10:23:54.653"/>
    </inkml:context>
    <inkml:brush xml:id="br0">
      <inkml:brushProperty name="width" value="0.05" units="cm"/>
      <inkml:brushProperty name="height" value="0.05" units="cm"/>
    </inkml:brush>
  </inkml:definitions>
  <inkml:trace contextRef="#ctx0" brushRef="#br0">1 1 20423</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29T07:01:37.113"/>
    </inkml:context>
    <inkml:brush xml:id="br0">
      <inkml:brushProperty name="width" value="0.05" units="cm"/>
      <inkml:brushProperty name="height" value="0.05" units="cm"/>
    </inkml:brush>
  </inkml:definitions>
  <inkml:trace contextRef="#ctx0" brushRef="#br0">1 1 20423</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30T06:46:12.549"/>
    </inkml:context>
    <inkml:brush xml:id="br0">
      <inkml:brushProperty name="width" value="0.05" units="cm"/>
      <inkml:brushProperty name="height" value="0.05" units="cm"/>
    </inkml:brush>
  </inkml:definitions>
  <inkml:trace contextRef="#ctx0" brushRef="#br0">1 1 20423</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31T07:13:12.877"/>
    </inkml:context>
    <inkml:brush xml:id="br0">
      <inkml:brushProperty name="width" value="0.05" units="cm"/>
      <inkml:brushProperty name="height" value="0.05" units="cm"/>
    </inkml:brush>
  </inkml:definitions>
  <inkml:trace contextRef="#ctx0" brushRef="#br0">1 1 20423</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01T05:31:09.495"/>
    </inkml:context>
    <inkml:brush xml:id="br0">
      <inkml:brushProperty name="width" value="0.05" units="cm"/>
      <inkml:brushProperty name="height" value="0.05" units="cm"/>
    </inkml:brush>
  </inkml:definitions>
  <inkml:trace contextRef="#ctx0" brushRef="#br0">1 1 20423</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06T11:02:08.160"/>
    </inkml:context>
    <inkml:brush xml:id="br0">
      <inkml:brushProperty name="width" value="0.05" units="cm"/>
      <inkml:brushProperty name="height" value="0.05" units="cm"/>
    </inkml:brush>
  </inkml:definitions>
  <inkml:trace contextRef="#ctx0" brushRef="#br0">1 1 20423</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06T11:02:28.840"/>
    </inkml:context>
    <inkml:brush xml:id="br0">
      <inkml:brushProperty name="width" value="0.05" units="cm"/>
      <inkml:brushProperty name="height" value="0.05" units="cm"/>
    </inkml:brush>
  </inkml:definitions>
  <inkml:trace contextRef="#ctx0" brushRef="#br0">1 1 20423</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07T07:51:07.547"/>
    </inkml:context>
    <inkml:brush xml:id="br0">
      <inkml:brushProperty name="width" value="0.05" units="cm"/>
      <inkml:brushProperty name="height" value="0.05" units="cm"/>
    </inkml:brush>
  </inkml:definitions>
  <inkml:trace contextRef="#ctx0" brushRef="#br0">1 1 20423</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08T07:21:39.950"/>
    </inkml:context>
    <inkml:brush xml:id="br0">
      <inkml:brushProperty name="width" value="0.05" units="cm"/>
      <inkml:brushProperty name="height" value="0.05" units="cm"/>
    </inkml:brush>
  </inkml:definitions>
  <inkml:trace contextRef="#ctx0" brushRef="#br0">1 1 20423</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09T06:01:25.528"/>
    </inkml:context>
    <inkml:brush xml:id="br0">
      <inkml:brushProperty name="width" value="0.05" units="cm"/>
      <inkml:brushProperty name="height" value="0.05" units="cm"/>
    </inkml:brush>
  </inkml:definitions>
  <inkml:trace contextRef="#ctx0" brushRef="#br0">1 1 20423</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12T08:12:38.857"/>
    </inkml:context>
    <inkml:brush xml:id="br0">
      <inkml:brushProperty name="width" value="0.05" units="cm"/>
      <inkml:brushProperty name="height" value="0.05" units="cm"/>
    </inkml:brush>
  </inkml:definitions>
  <inkml:trace contextRef="#ctx0" brushRef="#br0">1 1 20423</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12T21:12:49.767"/>
    </inkml:context>
    <inkml:brush xml:id="br0">
      <inkml:brushProperty name="width" value="0.05" units="cm"/>
      <inkml:brushProperty name="height" value="0.05" units="cm"/>
    </inkml:brush>
  </inkml:definitions>
  <inkml:trace contextRef="#ctx0" brushRef="#br0">1 1 20423</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14T08:11:58.944"/>
    </inkml:context>
    <inkml:brush xml:id="br0">
      <inkml:brushProperty name="width" value="0.05" units="cm"/>
      <inkml:brushProperty name="height" value="0.05" units="cm"/>
    </inkml:brush>
  </inkml:definitions>
  <inkml:trace contextRef="#ctx0" brushRef="#br0">1 1 20423</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15T08:55:38.159"/>
    </inkml:context>
    <inkml:brush xml:id="br0">
      <inkml:brushProperty name="width" value="0.05" units="cm"/>
      <inkml:brushProperty name="height" value="0.05" units="cm"/>
    </inkml:brush>
  </inkml:definitions>
  <inkml:trace contextRef="#ctx0" brushRef="#br0">1 1 20423</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16T09:22:25.378"/>
    </inkml:context>
    <inkml:brush xml:id="br0">
      <inkml:brushProperty name="width" value="0.05" units="cm"/>
      <inkml:brushProperty name="height" value="0.05" units="cm"/>
    </inkml:brush>
  </inkml:definitions>
  <inkml:trace contextRef="#ctx0" brushRef="#br0">1 1 20423</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19T10:27:57.618"/>
    </inkml:context>
    <inkml:brush xml:id="br0">
      <inkml:brushProperty name="width" value="0.05" units="cm"/>
      <inkml:brushProperty name="height" value="0.05" units="cm"/>
    </inkml:brush>
  </inkml:definitions>
  <inkml:trace contextRef="#ctx0" brushRef="#br0">1 1 20423</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20T05:56:49.950"/>
    </inkml:context>
    <inkml:brush xml:id="br0">
      <inkml:brushProperty name="width" value="0.05" units="cm"/>
      <inkml:brushProperty name="height" value="0.05" units="cm"/>
    </inkml:brush>
  </inkml:definitions>
  <inkml:trace contextRef="#ctx0" brushRef="#br0">1 1 20423</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21T16:46:19.212"/>
    </inkml:context>
    <inkml:brush xml:id="br0">
      <inkml:brushProperty name="width" value="0.05" units="cm"/>
      <inkml:brushProperty name="height" value="0.05" units="cm"/>
    </inkml:brush>
  </inkml:definitions>
  <inkml:trace contextRef="#ctx0" brushRef="#br0">1 1 20423</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23T07:44:25.152"/>
    </inkml:context>
    <inkml:brush xml:id="br0">
      <inkml:brushProperty name="width" value="0.05" units="cm"/>
      <inkml:brushProperty name="height" value="0.05" units="cm"/>
    </inkml:brush>
  </inkml:definitions>
  <inkml:trace contextRef="#ctx0" brushRef="#br0">1 1 20423</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25T17:27:41.545"/>
    </inkml:context>
    <inkml:brush xml:id="br0">
      <inkml:brushProperty name="width" value="0.05" units="cm"/>
      <inkml:brushProperty name="height" value="0.05" units="cm"/>
    </inkml:brush>
  </inkml:definitions>
  <inkml:trace contextRef="#ctx0" brushRef="#br0">1 1 20423</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27T07:48:58.024"/>
    </inkml:context>
    <inkml:brush xml:id="br0">
      <inkml:brushProperty name="width" value="0.05" units="cm"/>
      <inkml:brushProperty name="height" value="0.05" units="cm"/>
    </inkml:brush>
  </inkml:definitions>
  <inkml:trace contextRef="#ctx0" brushRef="#br0">1 1 20423</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28T07:55:58.694"/>
    </inkml:context>
    <inkml:brush xml:id="br0">
      <inkml:brushProperty name="width" value="0.05" units="cm"/>
      <inkml:brushProperty name="height" value="0.05" units="cm"/>
    </inkml:brush>
  </inkml:definitions>
  <inkml:trace contextRef="#ctx0" brushRef="#br0">1 1 20423</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29T07:34:18.700"/>
    </inkml:context>
    <inkml:brush xml:id="br0">
      <inkml:brushProperty name="width" value="0.05" units="cm"/>
      <inkml:brushProperty name="height" value="0.05" units="cm"/>
    </inkml:brush>
  </inkml:definitions>
  <inkml:trace contextRef="#ctx0" brushRef="#br0">1 1 20423</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9-30T06:11:31.173"/>
    </inkml:context>
    <inkml:brush xml:id="br0">
      <inkml:brushProperty name="width" value="0.05" units="cm"/>
      <inkml:brushProperty name="height" value="0.05" units="cm"/>
    </inkml:brush>
  </inkml:definitions>
  <inkml:trace contextRef="#ctx0" brushRef="#br0">1 1 20423</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2T18:37:32.809"/>
    </inkml:context>
    <inkml:brush xml:id="br0">
      <inkml:brushProperty name="width" value="0.05" units="cm"/>
      <inkml:brushProperty name="height" value="0.05" units="cm"/>
    </inkml:brush>
  </inkml:definitions>
  <inkml:trace contextRef="#ctx0" brushRef="#br0">1 1 20423</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4T07:00:13.223"/>
    </inkml:context>
    <inkml:brush xml:id="br0">
      <inkml:brushProperty name="width" value="0.05" units="cm"/>
      <inkml:brushProperty name="height" value="0.05" units="cm"/>
    </inkml:brush>
  </inkml:definitions>
  <inkml:trace contextRef="#ctx0" brushRef="#br0">1 1 20423</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5T05:35:13.705"/>
    </inkml:context>
    <inkml:brush xml:id="br0">
      <inkml:brushProperty name="width" value="0.05" units="cm"/>
      <inkml:brushProperty name="height" value="0.05" units="cm"/>
    </inkml:brush>
  </inkml:definitions>
  <inkml:trace contextRef="#ctx0" brushRef="#br0">1 1 20423</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6T08:23:11.226"/>
    </inkml:context>
    <inkml:brush xml:id="br0">
      <inkml:brushProperty name="width" value="0.05" units="cm"/>
      <inkml:brushProperty name="height" value="0.05" units="cm"/>
    </inkml:brush>
  </inkml:definitions>
  <inkml:trace contextRef="#ctx0" brushRef="#br0">1 1 20423</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7T08:26:45.189"/>
    </inkml:context>
    <inkml:brush xml:id="br0">
      <inkml:brushProperty name="width" value="0.05" units="cm"/>
      <inkml:brushProperty name="height" value="0.05" units="cm"/>
    </inkml:brush>
  </inkml:definitions>
  <inkml:trace contextRef="#ctx0" brushRef="#br0">1 1 20423</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9T17:49:39.545"/>
    </inkml:context>
    <inkml:brush xml:id="br0">
      <inkml:brushProperty name="width" value="0.05" units="cm"/>
      <inkml:brushProperty name="height" value="0.05" units="cm"/>
    </inkml:brush>
  </inkml:definitions>
  <inkml:trace contextRef="#ctx0" brushRef="#br0">1 1 20423</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11T06:44:24.110"/>
    </inkml:context>
    <inkml:brush xml:id="br0">
      <inkml:brushProperty name="width" value="0.05" units="cm"/>
      <inkml:brushProperty name="height" value="0.05" units="cm"/>
    </inkml:brush>
  </inkml:definitions>
  <inkml:trace contextRef="#ctx0" brushRef="#br0">1 1 20423</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12T06:44:26.217"/>
    </inkml:context>
    <inkml:brush xml:id="br0">
      <inkml:brushProperty name="width" value="0.05" units="cm"/>
      <inkml:brushProperty name="height" value="0.05" units="cm"/>
    </inkml:brush>
  </inkml:definitions>
  <inkml:trace contextRef="#ctx0" brushRef="#br0">1 1 20423</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13T06:12:35.475"/>
    </inkml:context>
    <inkml:brush xml:id="br0">
      <inkml:brushProperty name="width" value="0.05" units="cm"/>
      <inkml:brushProperty name="height" value="0.05" units="cm"/>
    </inkml:brush>
  </inkml:definitions>
  <inkml:trace contextRef="#ctx0" brushRef="#br0">1 1 20423</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13T22:13:50.576"/>
    </inkml:context>
    <inkml:brush xml:id="br0">
      <inkml:brushProperty name="width" value="0.05" units="cm"/>
      <inkml:brushProperty name="height" value="0.05" units="cm"/>
    </inkml:brush>
  </inkml:definitions>
  <inkml:trace contextRef="#ctx0" brushRef="#br0">1 1 20423</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15T10:32:55.006"/>
    </inkml:context>
    <inkml:brush xml:id="br0">
      <inkml:brushProperty name="width" value="0.05" units="cm"/>
      <inkml:brushProperty name="height" value="0.05" units="cm"/>
    </inkml:brush>
  </inkml:definitions>
  <inkml:trace contextRef="#ctx0" brushRef="#br0">1 1 20423</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18T10:33:07.420"/>
    </inkml:context>
    <inkml:brush xml:id="br0">
      <inkml:brushProperty name="width" value="0.05" units="cm"/>
      <inkml:brushProperty name="height" value="0.05" units="cm"/>
    </inkml:brush>
  </inkml:definitions>
  <inkml:trace contextRef="#ctx0" brushRef="#br0">1 1 20423</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19T07:44:40.500"/>
    </inkml:context>
    <inkml:brush xml:id="br0">
      <inkml:brushProperty name="width" value="0.05" units="cm"/>
      <inkml:brushProperty name="height" value="0.05" units="cm"/>
    </inkml:brush>
  </inkml:definitions>
  <inkml:trace contextRef="#ctx0" brushRef="#br0">1 1 20423</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20T04:16:11.564"/>
    </inkml:context>
    <inkml:brush xml:id="br0">
      <inkml:brushProperty name="width" value="0.05" units="cm"/>
      <inkml:brushProperty name="height" value="0.05" units="cm"/>
    </inkml:brush>
  </inkml:definitions>
  <inkml:trace contextRef="#ctx0" brushRef="#br0">1 1 20423</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21T08:56:44.204"/>
    </inkml:context>
    <inkml:brush xml:id="br0">
      <inkml:brushProperty name="width" value="0.05" units="cm"/>
      <inkml:brushProperty name="height" value="0.05" units="cm"/>
    </inkml:brush>
  </inkml:definitions>
  <inkml:trace contextRef="#ctx0" brushRef="#br0">1 1 20423</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22T08:11:59.588"/>
    </inkml:context>
    <inkml:brush xml:id="br0">
      <inkml:brushProperty name="width" value="0.05" units="cm"/>
      <inkml:brushProperty name="height" value="0.05" units="cm"/>
    </inkml:brush>
  </inkml:definitions>
  <inkml:trace contextRef="#ctx0" brushRef="#br0">1 1 20423</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25T06:26:49.405"/>
    </inkml:context>
    <inkml:brush xml:id="br0">
      <inkml:brushProperty name="width" value="0.05" units="cm"/>
      <inkml:brushProperty name="height" value="0.05" units="cm"/>
    </inkml:brush>
  </inkml:definitions>
  <inkml:trace contextRef="#ctx0" brushRef="#br0">1 1 20423</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26T05:27:56.868"/>
    </inkml:context>
    <inkml:brush xml:id="br0">
      <inkml:brushProperty name="width" value="0.05" units="cm"/>
      <inkml:brushProperty name="height" value="0.05" units="cm"/>
    </inkml:brush>
  </inkml:definitions>
  <inkml:trace contextRef="#ctx0" brushRef="#br0">1 1 20423</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27T05:21:44.151"/>
    </inkml:context>
    <inkml:brush xml:id="br0">
      <inkml:brushProperty name="width" value="0.05" units="cm"/>
      <inkml:brushProperty name="height" value="0.05" units="cm"/>
    </inkml:brush>
  </inkml:definitions>
  <inkml:trace contextRef="#ctx0" brushRef="#br0">1 1 20423</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31T09:09:34.028"/>
    </inkml:context>
    <inkml:brush xml:id="br0">
      <inkml:brushProperty name="width" value="0.05" units="cm"/>
      <inkml:brushProperty name="height" value="0.05" units="cm"/>
    </inkml:brush>
  </inkml:definitions>
  <inkml:trace contextRef="#ctx0" brushRef="#br0">1 1 20423</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1-01T08:52:58.677"/>
    </inkml:context>
    <inkml:brush xml:id="br0">
      <inkml:brushProperty name="width" value="0.05" units="cm"/>
      <inkml:brushProperty name="height" value="0.05" units="cm"/>
    </inkml:brush>
  </inkml:definitions>
  <inkml:trace contextRef="#ctx0" brushRef="#br0">1 1 20423</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1-03T07:38:09.738"/>
    </inkml:context>
    <inkml:brush xml:id="br0">
      <inkml:brushProperty name="width" value="0.05" units="cm"/>
      <inkml:brushProperty name="height" value="0.05" units="cm"/>
    </inkml:brush>
  </inkml:definitions>
  <inkml:trace contextRef="#ctx0" brushRef="#br0">1 1 20423</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1-04T09:17:39.953"/>
    </inkml:context>
    <inkml:brush xml:id="br0">
      <inkml:brushProperty name="width" value="0.05" units="cm"/>
      <inkml:brushProperty name="height" value="0.05" units="cm"/>
    </inkml:brush>
  </inkml:definitions>
  <inkml:trace contextRef="#ctx0" brushRef="#br0">1 1 20423</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velve" refreshedDate="44931.440873611115" createdVersion="6" refreshedVersion="8" minRefreshableVersion="3" recordCount="11589" xr:uid="{00000000-000A-0000-FFFF-FFFF55000000}">
  <cacheSource type="worksheet">
    <worksheetSource name="July2020"/>
  </cacheSource>
  <cacheFields count="9">
    <cacheField name="BDC LIST" numFmtId="0">
      <sharedItems count="18">
        <s v="Alfa Petroleum"/>
        <s v="Astra Oil Services Limited"/>
        <s v="Blue Ocean"/>
        <s v="BOST"/>
        <s v="Chase Petroleum"/>
        <s v="Cirrus"/>
        <s v="Eagle Petroleum"/>
        <s v="Fuel Trade"/>
        <s v="Goenergy"/>
        <s v="Juwel"/>
        <s v="Lemla Petroleum "/>
        <s v="Maranatha"/>
        <s v="Sage"/>
        <s v="Vihama"/>
        <s v="Dominion International Petroleum Ltd"/>
        <s v="Glorymay Petroleum Company Ltd"/>
        <s v="Matrix Gas Ghana Limited"/>
        <s v="SA Energy Limited"/>
      </sharedItems>
    </cacheField>
    <cacheField name="KSI_AGO" numFmtId="0">
      <sharedItems containsString="0" containsBlank="1" containsNumber="1" containsInteger="1" minValue="45000" maxValue="2655000"/>
    </cacheField>
    <cacheField name="KSI_PMS" numFmtId="0">
      <sharedItems containsString="0" containsBlank="1" containsNumber="1" containsInteger="1" minValue="36000" maxValue="2022500"/>
    </cacheField>
    <cacheField name="BUIPE_AGO" numFmtId="0">
      <sharedItems containsString="0" containsBlank="1" containsNumber="1" containsInteger="1" minValue="45000" maxValue="1391000"/>
    </cacheField>
    <cacheField name="BUIPE_PMS" numFmtId="0">
      <sharedItems containsString="0" containsBlank="1" containsNumber="1" containsInteger="1" minValue="45000" maxValue="1436500"/>
    </cacheField>
    <cacheField name="AKOSOMBO_AGO" numFmtId="0">
      <sharedItems containsString="0" containsBlank="1" containsNumber="1" containsInteger="1" minValue="45000" maxValue="1080000"/>
    </cacheField>
    <cacheField name="DATE" numFmtId="0">
      <sharedItems containsDate="1" containsString="0" containsBlank="1" containsMixedTypes="1" minDate="2020-01-01T00:00:00" maxDate="2020-07-02T00:00:00" count="739">
        <d v="2020-01-03T00:00:00"/>
        <d v="2020-01-06T00:00:00"/>
        <d v="2020-01-08T00:00:00"/>
        <d v="2020-01-09T00:00:00"/>
        <d v="2020-01-10T00:00:00"/>
        <d v="2020-01-13T00:00:00"/>
        <d v="2020-01-14T00:00:00"/>
        <d v="2020-01-15T00:00:00"/>
        <d v="2020-01-16T00:00:00"/>
        <d v="2020-01-17T00:00:00"/>
        <d v="2020-01-20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7T00:00:00"/>
        <d v="2020-02-18T00:00:00"/>
        <d v="2020-02-19T00:00:00"/>
        <d v="2020-02-20T00:00:00"/>
        <d v="2020-02-21T00:00:00"/>
        <d v="2020-02-24T00:00:00"/>
        <d v="2020-02-25T00:00:00"/>
        <d v="2020-02-26T00:00:00"/>
        <d v="2020-02-27T00:00:00"/>
        <d v="2020-02-28T00:00:00"/>
        <d v="2020-03-02T00:00:00"/>
        <d v="2020-03-03T00:00:00"/>
        <d v="2020-03-04T00:00:00"/>
        <d v="2020-03-05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4T00:00:00"/>
        <d v="2020-04-15T00:00:00"/>
        <d v="2020-04-16T00:00:00"/>
        <d v="2020-04-17T00:00:00"/>
        <d v="2020-04-20T00:00:00"/>
        <d v="2020-04-21T00:00:00"/>
        <d v="2020-04-22T00:00:00"/>
        <d v="2020-04-23T00:00:00"/>
        <d v="2020-04-24T00:00:00"/>
        <d v="2020-04-27T00:00:00"/>
        <d v="2020-04-28T00:00:00"/>
        <d v="2020-04-29T00:00:00"/>
        <d v="2020-04-30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2T00:00:00"/>
        <d v="2020-06-23T00:00:00"/>
        <d v="2020-06-24T00:00:00"/>
        <d v="2020-06-25T00:00:00"/>
        <d v="2020-06-26T00:00:00"/>
        <d v="2020-06-29T00:00:00"/>
        <d v="2020-06-30T00:00:00"/>
        <d v="2020-07-02T00:00:00"/>
        <d v="2020-07-03T00:00:00"/>
        <d v="2020-07-06T00:00:00"/>
        <d v="2020-07-07T00:00:00"/>
        <d v="2020-07-08T00:00:00"/>
        <d v="2020-07-09T00:00:00"/>
        <d v="2020-07-10T00:00:00"/>
        <d v="2020-07-11T00:00:00"/>
        <d v="2020-07-13T00:00:00"/>
        <d v="2020-07-14T00:00:00"/>
        <d v="2020-07-15T00:00:00"/>
        <d v="2020-07-16T00:00:00"/>
        <d v="2020-07-17T00:00:00"/>
        <d v="2020-07-20T00:00:00"/>
        <d v="2020-07-21T00:00:00"/>
        <d v="2020-07-22T00:00:00"/>
        <d v="2020-07-23T00:00:00"/>
        <d v="2020-07-24T00:00:00"/>
        <d v="2020-07-25T00:00:00"/>
        <d v="2020-07-27T00:00:00"/>
        <d v="2020-07-28T00:00:00"/>
        <d v="2020-07-29T00:00:00"/>
        <d v="2020-07-30T00:00:00"/>
        <d v="2020-08-05T00:00:00"/>
        <d v="2020-08-06T00:00:00"/>
        <d v="2020-08-07T00:00:00"/>
        <d v="2020-08-08T00:00:00"/>
        <d v="2020-08-10T00:00:00"/>
        <d v="2020-08-11T00:00:00"/>
        <d v="2020-08-12T00:00:00"/>
        <d v="2020-08-13T00:00:00"/>
        <d v="2020-08-14T00:00:00"/>
        <d v="2020-08-15T00:00:00"/>
        <d v="2020-08-17T00:00:00"/>
        <d v="2020-08-18T00:00:00"/>
        <d v="2020-08-19T00:00:00"/>
        <d v="2020-08-20T00:00:00"/>
        <d v="2020-08-21T00:00:00"/>
        <d v="2020-08-22T00:00:00"/>
        <d v="2020-08-24T00:00:00"/>
        <d v="2020-08-25T00:00:00"/>
        <d v="2020-08-26T00:00:00"/>
        <d v="2020-08-27T00:00:00"/>
        <d v="2020-08-28T00:00:00"/>
        <d v="2020-08-31T00:00:00"/>
        <d v="2020-09-01T00:00:00"/>
        <d v="2020-09-02T00:00:00"/>
        <d v="2020-09-03T00:00:00"/>
        <d v="2020-09-04T00:00:00"/>
        <d v="2020-09-05T00:00:00"/>
        <d v="2020-09-07T00:00:00"/>
        <d v="2020-09-08T00:00:00"/>
        <d v="2020-09-09T00:00:00"/>
        <d v="2020-09-10T00:00:00"/>
        <d v="2020-09-11T00:00:00"/>
        <d v="2020-09-14T00:00:00"/>
        <d v="2020-09-15T00:00:00"/>
        <d v="2020-09-16T00:00:00"/>
        <d v="2020-09-17T00:00:00"/>
        <d v="2020-09-18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3T00:00:00"/>
        <d v="2020-10-26T00:00:00"/>
        <d v="2020-10-27T00:00:00"/>
        <d v="2020-10-28T00:00:00"/>
        <d v="2020-10-29T00:00:00"/>
        <d v="2020-10-30T00:00:00"/>
        <d v="2020-11-02T00:00:00"/>
        <d v="2020-11-03T00:00:00"/>
        <d v="2020-11-04T00:00:00"/>
        <d v="2020-11-05T00:00:00"/>
        <d v="2020-11-06T00:00:00"/>
        <d v="2020-11-07T00:00:00"/>
        <d v="2020-11-09T00:00:00"/>
        <d v="2020-11-10T00:00:00"/>
        <d v="2020-11-11T00:00:00"/>
        <d v="2020-11-12T00:00:00"/>
        <d v="2020-11-13T00:00:00"/>
        <d v="2020-11-14T00:00:00"/>
        <d v="2020-11-16T00:00:00"/>
        <d v="2020-11-17T00:00:00"/>
        <d v="2020-11-18T00:00:00"/>
        <d v="2020-11-19T00:00:00"/>
        <d v="2020-11-20T00:00:00"/>
        <d v="2020-11-21T00:00:00"/>
        <d v="2020-11-23T00:00:00"/>
        <d v="2020-11-24T00:00:00"/>
        <d v="2020-11-25T00:00:00"/>
        <d v="2020-11-26T00:00:00"/>
        <d v="2020-11-27T00:00:00"/>
        <d v="2020-11-30T00:00:00"/>
        <d v="2020-12-01T00:00:00"/>
        <d v="2020-12-02T00:00:00"/>
        <d v="2020-12-03T00:00:00"/>
        <d v="2020-12-04T00:00:00"/>
        <d v="2020-12-05T00:00:00"/>
        <d v="2020-12-08T00:00:00"/>
        <d v="2020-12-09T00:00:00"/>
        <d v="2020-12-10T00:00:00"/>
        <d v="2020-12-11T00:00:00"/>
        <d v="2020-12-14T00:00:00"/>
        <d v="2020-12-15T00:00:00"/>
        <d v="2020-12-16T00:00:00"/>
        <d v="2020-12-17T00:00:00"/>
        <d v="2020-12-18T00:00:00"/>
        <d v="2020-12-21T00:00:00"/>
        <d v="2020-12-22T00:00:00"/>
        <d v="2020-12-23T00:00:00"/>
        <d v="2020-12-24T00:00:00"/>
        <d v="2020-12-29T00:00:00"/>
        <d v="2020-12-30T00:00:00"/>
        <d v="2020-12-31T00:00:00"/>
        <n v="44200"/>
        <n v="44201"/>
        <n v="44202"/>
        <n v="44204"/>
        <n v="44205"/>
        <n v="44207"/>
        <n v="44208"/>
        <n v="44209"/>
        <n v="44210"/>
        <n v="44211"/>
        <n v="44212"/>
        <n v="44214"/>
        <n v="44215"/>
        <n v="44216"/>
        <n v="44217"/>
        <n v="44218"/>
        <n v="44221"/>
        <n v="44222"/>
        <n v="44223"/>
        <n v="44224"/>
        <n v="44225"/>
        <n v="44228"/>
        <n v="44229"/>
        <n v="44230"/>
        <n v="44231"/>
        <n v="44232"/>
        <n v="44235"/>
        <n v="44236"/>
        <n v="44237"/>
        <n v="44238"/>
        <n v="44239"/>
        <n v="44240"/>
        <n v="44242"/>
        <n v="44243"/>
        <n v="44244"/>
        <n v="44245"/>
        <n v="44246"/>
        <n v="44249"/>
        <n v="44250"/>
        <n v="44251"/>
        <n v="44252"/>
        <n v="44253"/>
        <n v="44254"/>
        <n v="44256"/>
        <n v="44257"/>
        <n v="44258"/>
        <n v="44259"/>
        <n v="44260"/>
        <n v="44265"/>
        <n v="44266"/>
        <n v="44267"/>
        <n v="44270"/>
        <n v="44271"/>
        <n v="44272"/>
        <n v="44273"/>
        <n v="44274"/>
        <n v="44277"/>
        <n v="44278"/>
        <n v="44279"/>
        <n v="44280"/>
        <n v="44281"/>
        <n v="44284"/>
        <n v="44285"/>
        <n v="44286"/>
        <n v="44287"/>
        <n v="44292"/>
        <n v="44293"/>
        <n v="44294"/>
        <n v="44295"/>
        <n v="44296"/>
        <n v="44298"/>
        <n v="44299"/>
        <n v="44300"/>
        <n v="44301"/>
        <n v="44302"/>
        <n v="44303"/>
        <n v="44305"/>
        <n v="44306"/>
        <n v="44307"/>
        <n v="44308"/>
        <n v="44309"/>
        <n v="44312"/>
        <n v="44313"/>
        <n v="44314"/>
        <n v="44315"/>
        <n v="44316"/>
        <n v="44321"/>
        <n v="44322"/>
        <n v="44323"/>
        <n v="44326"/>
        <n v="44327"/>
        <n v="44328"/>
        <n v="44330"/>
        <n v="44333"/>
        <n v="44334"/>
        <n v="44335"/>
        <n v="44336"/>
        <n v="44337"/>
        <n v="44340"/>
        <n v="44341"/>
        <n v="44342"/>
        <n v="44343"/>
        <n v="44344"/>
        <n v="44347"/>
        <n v="44348"/>
        <n v="44349"/>
        <n v="44350"/>
        <n v="44351"/>
        <n v="44354"/>
        <n v="44355"/>
        <n v="44356"/>
        <n v="44357"/>
        <n v="44358"/>
        <n v="44361"/>
        <n v="44362"/>
        <n v="44363"/>
        <n v="44364"/>
        <n v="44365"/>
        <n v="44368"/>
        <n v="44369"/>
        <n v="44370"/>
        <n v="44371"/>
        <n v="44372"/>
        <n v="44375"/>
        <n v="44376"/>
        <n v="44377"/>
        <n v="44379"/>
        <n v="44382"/>
        <n v="44383"/>
        <n v="44384"/>
        <n v="44385"/>
        <n v="44386"/>
        <n v="44389"/>
        <n v="44390"/>
        <n v="44391"/>
        <n v="44392"/>
        <n v="44393"/>
        <n v="44396"/>
        <n v="44398"/>
        <n v="44399"/>
        <n v="44400"/>
        <n v="44403"/>
        <n v="44404"/>
        <n v="44405"/>
        <n v="44406"/>
        <n v="44407"/>
        <n v="44410"/>
        <n v="44411"/>
        <n v="44413"/>
        <n v="44414"/>
        <n v="44417"/>
        <n v="44418"/>
        <n v="44419"/>
        <n v="44420"/>
        <n v="44421"/>
        <n v="44424"/>
        <n v="44425"/>
        <n v="44426"/>
        <n v="44427"/>
        <n v="44428"/>
        <n v="44431"/>
        <n v="44432"/>
        <n v="44433"/>
        <n v="44434"/>
        <n v="44435"/>
        <n v="44438"/>
        <n v="44439"/>
        <n v="44441"/>
        <n v="44445"/>
        <n v="44446"/>
        <n v="44447"/>
        <n v="44448"/>
        <n v="44449"/>
        <n v="44452"/>
        <n v="44453"/>
        <n v="44454"/>
        <n v="44455"/>
        <n v="44456"/>
        <n v="44459"/>
        <n v="44461"/>
        <n v="44462"/>
        <n v="44463"/>
        <n v="44466"/>
        <n v="44467"/>
        <n v="44468"/>
        <n v="44469"/>
        <n v="44473"/>
        <n v="44474"/>
        <n v="44475"/>
        <n v="44476"/>
        <n v="44477"/>
        <n v="44480"/>
        <n v="44481"/>
        <n v="44482"/>
        <n v="44483"/>
        <n v="44484"/>
        <n v="44489"/>
        <n v="44490"/>
        <n v="44491"/>
        <n v="44494"/>
        <n v="44495"/>
        <n v="44496"/>
        <n v="44497"/>
        <n v="44498"/>
        <n v="44502"/>
        <n v="44503"/>
        <n v="44504"/>
        <n v="44505"/>
        <n v="44508"/>
        <n v="44509"/>
        <n v="44510"/>
        <n v="44511"/>
        <n v="44512"/>
        <n v="44515"/>
        <n v="44516"/>
        <n v="44517"/>
        <n v="44518"/>
        <n v="44519"/>
        <n v="44522"/>
        <n v="44523"/>
        <n v="44524"/>
        <n v="44525"/>
        <n v="44526"/>
        <n v="44529"/>
        <n v="44530"/>
        <n v="44532"/>
        <n v="44536"/>
        <n v="44537"/>
        <n v="44538"/>
        <n v="44539"/>
        <n v="44540"/>
        <n v="44543"/>
        <n v="44544"/>
        <n v="44545"/>
        <n v="44546"/>
        <n v="44547"/>
        <n v="44550"/>
        <n v="44551"/>
        <n v="44552"/>
        <n v="44553"/>
        <n v="44554"/>
        <n v="44559"/>
        <n v="44560"/>
        <n v="44561"/>
        <n v="44565"/>
        <n v="44566"/>
        <n v="44567"/>
        <n v="44571"/>
        <n v="44572"/>
        <n v="44573"/>
        <n v="44574"/>
        <n v="44575"/>
        <n v="44578"/>
        <n v="44579"/>
        <n v="44580"/>
        <n v="44581"/>
        <n v="44582"/>
        <n v="44585"/>
        <n v="44586"/>
        <n v="44587"/>
        <n v="44588"/>
        <n v="44589"/>
        <n v="44592"/>
        <n v="44594"/>
        <n v="44595"/>
        <n v="44596"/>
        <n v="44599"/>
        <n v="44600"/>
        <n v="44601"/>
        <n v="44602"/>
        <n v="44603"/>
        <n v="44606"/>
        <n v="44607"/>
        <n v="44608"/>
        <n v="44609"/>
        <n v="44610"/>
        <n v="44614"/>
        <n v="44615"/>
        <n v="44617"/>
        <n v="44620"/>
        <n v="44621"/>
        <n v="44622"/>
        <n v="44623"/>
        <n v="44624"/>
        <n v="44628"/>
        <n v="44629"/>
        <n v="44630"/>
        <n v="44631"/>
        <n v="44634"/>
        <n v="44635"/>
        <n v="44636"/>
        <n v="44637"/>
        <n v="44638"/>
        <n v="44641"/>
        <n v="44642"/>
        <n v="44643"/>
        <n v="44644"/>
        <n v="44645"/>
        <n v="44648"/>
        <n v="44649"/>
        <n v="44650"/>
        <n v="44651"/>
        <n v="44655"/>
        <n v="44656"/>
        <n v="44657"/>
        <n v="44658"/>
        <n v="44659"/>
        <n v="44662"/>
        <n v="44663"/>
        <n v="44664"/>
        <n v="44665"/>
        <n v="44670"/>
        <n v="44671"/>
        <n v="44672"/>
        <n v="44673"/>
        <n v="44676"/>
        <n v="44677"/>
        <n v="44678"/>
        <n v="44679"/>
        <n v="44680"/>
        <n v="44685"/>
        <n v="44686"/>
        <n v="44687"/>
        <n v="44690"/>
        <n v="44691"/>
        <n v="44692"/>
        <n v="44693"/>
        <n v="44694"/>
        <n v="44697"/>
        <n v="44698"/>
        <n v="44699"/>
        <n v="44700"/>
        <n v="44701"/>
        <n v="44704"/>
        <n v="44706"/>
        <n v="44707"/>
        <n v="44708"/>
        <n v="44711"/>
        <n v="44712"/>
        <n v="44713"/>
        <n v="44714"/>
        <n v="44715"/>
        <n v="44718"/>
        <n v="44719"/>
        <n v="44720"/>
        <n v="44721"/>
        <n v="44722"/>
        <n v="44725"/>
        <n v="44726"/>
        <n v="44727"/>
        <n v="44728"/>
        <n v="44729"/>
        <n v="44732"/>
        <n v="44733"/>
        <n v="44734"/>
        <n v="44735"/>
        <n v="44736"/>
        <n v="44739"/>
        <n v="44740"/>
        <n v="44741"/>
        <n v="44742"/>
        <n v="44746"/>
        <n v="44747"/>
        <n v="44748"/>
        <n v="44749"/>
        <n v="44750"/>
        <n v="44754"/>
        <n v="44755"/>
        <n v="44756"/>
        <n v="44757"/>
        <n v="44760"/>
        <n v="44761"/>
        <n v="44762"/>
        <n v="44763"/>
        <n v="44764"/>
        <n v="44767"/>
        <n v="44768"/>
        <n v="44769"/>
        <n v="44770"/>
        <n v="44771"/>
        <n v="44778"/>
        <n v="44781"/>
        <n v="44782"/>
        <n v="44783"/>
        <n v="44784"/>
        <n v="44785"/>
        <n v="44788"/>
        <n v="44789"/>
        <n v="44790"/>
        <n v="44791"/>
        <n v="44792"/>
        <n v="44795"/>
        <n v="44796"/>
        <n v="44797"/>
        <n v="44798"/>
        <n v="44799"/>
        <n v="44802"/>
        <n v="44803"/>
        <n v="44804"/>
        <n v="44806"/>
        <n v="44809"/>
        <n v="44810"/>
        <n v="44811"/>
        <n v="44812"/>
        <n v="44816"/>
        <n v="44817"/>
        <n v="44819"/>
        <n v="44820"/>
        <n v="44823"/>
        <n v="44824"/>
        <n v="44826"/>
        <n v="44827"/>
        <n v="44830"/>
        <n v="44831"/>
        <n v="44832"/>
        <n v="44833"/>
        <n v="44834"/>
        <n v="44837"/>
        <n v="44838"/>
        <n v="44839"/>
        <n v="44840"/>
        <n v="44841"/>
        <n v="44844"/>
        <n v="44846"/>
        <n v="44847"/>
        <n v="44848"/>
        <n v="44851"/>
        <n v="44852"/>
        <n v="44853"/>
        <n v="44854"/>
        <n v="44855"/>
        <n v="44858"/>
        <n v="44859"/>
        <n v="44860"/>
        <n v="44862"/>
        <n v="44865"/>
        <n v="44867"/>
        <n v="44868"/>
        <n v="44869"/>
        <n v="44872"/>
        <n v="44873"/>
        <n v="44874"/>
        <n v="44875"/>
        <n v="44876"/>
        <n v="44879"/>
        <n v="44880"/>
        <n v="44881"/>
        <n v="44882"/>
        <n v="44883"/>
        <n v="44886"/>
        <n v="44887"/>
        <n v="44888"/>
        <n v="44889"/>
        <n v="44890"/>
        <n v="44893"/>
        <n v="44894"/>
        <n v="44895"/>
        <n v="44896"/>
        <n v="44900"/>
        <n v="44901"/>
        <n v="44902"/>
        <n v="44903"/>
        <n v="44904"/>
        <n v="44907"/>
        <n v="44908"/>
        <n v="44909"/>
        <n v="44910"/>
        <n v="44911"/>
        <n v="44914"/>
        <n v="44915"/>
        <n v="44916"/>
        <n v="44917"/>
        <n v="44918"/>
        <n v="44923"/>
        <n v="44924"/>
        <n v="44925"/>
        <n v="44929"/>
        <m u="1"/>
        <n v="44576" u="1"/>
        <d v="2020-01-01T00:00:00" u="1"/>
        <n v="44709" u="1"/>
        <d v="2020-07-01T00:00:00" u="1"/>
      </sharedItems>
    </cacheField>
    <cacheField name="Year" numFmtId="0">
      <sharedItems containsSemiMixedTypes="0" containsString="0" containsNumber="1" containsInteger="1" minValue="2020" maxValue="2023" count="4">
        <n v="2020"/>
        <n v="2021"/>
        <n v="2022"/>
        <n v="2023"/>
      </sharedItems>
    </cacheField>
    <cacheField name="Month Name" numFmtId="0">
      <sharedItems containsBlank="1" count="13">
        <s v="January"/>
        <s v="February"/>
        <s v="March"/>
        <s v="April"/>
        <s v="May"/>
        <s v="June"/>
        <s v="July"/>
        <s v="August"/>
        <s v="September"/>
        <s v="October"/>
        <s v="November"/>
        <s v="December"/>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89">
  <r>
    <x v="0"/>
    <m/>
    <m/>
    <m/>
    <m/>
    <m/>
    <x v="0"/>
    <x v="0"/>
    <x v="0"/>
  </r>
  <r>
    <x v="1"/>
    <m/>
    <m/>
    <m/>
    <m/>
    <m/>
    <x v="0"/>
    <x v="0"/>
    <x v="0"/>
  </r>
  <r>
    <x v="2"/>
    <m/>
    <m/>
    <m/>
    <m/>
    <m/>
    <x v="0"/>
    <x v="0"/>
    <x v="0"/>
  </r>
  <r>
    <x v="3"/>
    <m/>
    <m/>
    <m/>
    <m/>
    <m/>
    <x v="0"/>
    <x v="0"/>
    <x v="0"/>
  </r>
  <r>
    <x v="4"/>
    <m/>
    <n v="54000"/>
    <m/>
    <m/>
    <m/>
    <x v="0"/>
    <x v="0"/>
    <x v="0"/>
  </r>
  <r>
    <x v="5"/>
    <m/>
    <m/>
    <m/>
    <m/>
    <m/>
    <x v="0"/>
    <x v="0"/>
    <x v="0"/>
  </r>
  <r>
    <x v="6"/>
    <m/>
    <m/>
    <m/>
    <m/>
    <m/>
    <x v="0"/>
    <x v="0"/>
    <x v="0"/>
  </r>
  <r>
    <x v="7"/>
    <m/>
    <m/>
    <m/>
    <m/>
    <m/>
    <x v="0"/>
    <x v="0"/>
    <x v="0"/>
  </r>
  <r>
    <x v="8"/>
    <m/>
    <m/>
    <m/>
    <m/>
    <m/>
    <x v="0"/>
    <x v="0"/>
    <x v="0"/>
  </r>
  <r>
    <x v="9"/>
    <n v="784000"/>
    <n v="801000"/>
    <m/>
    <m/>
    <m/>
    <x v="0"/>
    <x v="0"/>
    <x v="0"/>
  </r>
  <r>
    <x v="10"/>
    <m/>
    <m/>
    <m/>
    <m/>
    <m/>
    <x v="0"/>
    <x v="0"/>
    <x v="0"/>
  </r>
  <r>
    <x v="11"/>
    <m/>
    <m/>
    <m/>
    <m/>
    <m/>
    <x v="0"/>
    <x v="0"/>
    <x v="0"/>
  </r>
  <r>
    <x v="12"/>
    <m/>
    <m/>
    <m/>
    <m/>
    <m/>
    <x v="0"/>
    <x v="0"/>
    <x v="0"/>
  </r>
  <r>
    <x v="13"/>
    <m/>
    <m/>
    <m/>
    <m/>
    <m/>
    <x v="0"/>
    <x v="0"/>
    <x v="0"/>
  </r>
  <r>
    <x v="0"/>
    <m/>
    <m/>
    <m/>
    <m/>
    <m/>
    <x v="1"/>
    <x v="0"/>
    <x v="0"/>
  </r>
  <r>
    <x v="1"/>
    <m/>
    <m/>
    <m/>
    <m/>
    <m/>
    <x v="1"/>
    <x v="0"/>
    <x v="0"/>
  </r>
  <r>
    <x v="2"/>
    <m/>
    <m/>
    <m/>
    <m/>
    <m/>
    <x v="1"/>
    <x v="0"/>
    <x v="0"/>
  </r>
  <r>
    <x v="3"/>
    <m/>
    <m/>
    <m/>
    <m/>
    <m/>
    <x v="1"/>
    <x v="0"/>
    <x v="0"/>
  </r>
  <r>
    <x v="4"/>
    <m/>
    <n v="54000"/>
    <m/>
    <m/>
    <m/>
    <x v="1"/>
    <x v="0"/>
    <x v="0"/>
  </r>
  <r>
    <x v="5"/>
    <m/>
    <m/>
    <m/>
    <m/>
    <m/>
    <x v="1"/>
    <x v="0"/>
    <x v="0"/>
  </r>
  <r>
    <x v="6"/>
    <m/>
    <m/>
    <m/>
    <m/>
    <m/>
    <x v="1"/>
    <x v="0"/>
    <x v="0"/>
  </r>
  <r>
    <x v="7"/>
    <m/>
    <m/>
    <m/>
    <m/>
    <m/>
    <x v="1"/>
    <x v="0"/>
    <x v="0"/>
  </r>
  <r>
    <x v="8"/>
    <m/>
    <m/>
    <m/>
    <m/>
    <m/>
    <x v="1"/>
    <x v="0"/>
    <x v="0"/>
  </r>
  <r>
    <x v="9"/>
    <n v="784000"/>
    <n v="801000"/>
    <m/>
    <m/>
    <m/>
    <x v="1"/>
    <x v="0"/>
    <x v="0"/>
  </r>
  <r>
    <x v="10"/>
    <m/>
    <m/>
    <m/>
    <m/>
    <m/>
    <x v="1"/>
    <x v="0"/>
    <x v="0"/>
  </r>
  <r>
    <x v="11"/>
    <m/>
    <m/>
    <m/>
    <m/>
    <m/>
    <x v="1"/>
    <x v="0"/>
    <x v="0"/>
  </r>
  <r>
    <x v="12"/>
    <m/>
    <m/>
    <m/>
    <m/>
    <m/>
    <x v="1"/>
    <x v="0"/>
    <x v="0"/>
  </r>
  <r>
    <x v="13"/>
    <m/>
    <m/>
    <m/>
    <m/>
    <m/>
    <x v="1"/>
    <x v="0"/>
    <x v="0"/>
  </r>
  <r>
    <x v="0"/>
    <m/>
    <m/>
    <m/>
    <m/>
    <m/>
    <x v="2"/>
    <x v="0"/>
    <x v="0"/>
  </r>
  <r>
    <x v="1"/>
    <m/>
    <m/>
    <m/>
    <m/>
    <m/>
    <x v="2"/>
    <x v="0"/>
    <x v="0"/>
  </r>
  <r>
    <x v="2"/>
    <n v="1657000"/>
    <n v="594000"/>
    <m/>
    <m/>
    <m/>
    <x v="2"/>
    <x v="0"/>
    <x v="0"/>
  </r>
  <r>
    <x v="3"/>
    <m/>
    <m/>
    <m/>
    <m/>
    <m/>
    <x v="2"/>
    <x v="0"/>
    <x v="0"/>
  </r>
  <r>
    <x v="4"/>
    <m/>
    <n v="54000"/>
    <m/>
    <m/>
    <m/>
    <x v="2"/>
    <x v="0"/>
    <x v="0"/>
  </r>
  <r>
    <x v="5"/>
    <m/>
    <n v="299000"/>
    <m/>
    <m/>
    <m/>
    <x v="2"/>
    <x v="0"/>
    <x v="0"/>
  </r>
  <r>
    <x v="6"/>
    <m/>
    <n v="49500"/>
    <m/>
    <m/>
    <m/>
    <x v="2"/>
    <x v="0"/>
    <x v="0"/>
  </r>
  <r>
    <x v="7"/>
    <m/>
    <m/>
    <m/>
    <m/>
    <m/>
    <x v="2"/>
    <x v="0"/>
    <x v="0"/>
  </r>
  <r>
    <x v="8"/>
    <m/>
    <m/>
    <m/>
    <m/>
    <m/>
    <x v="2"/>
    <x v="0"/>
    <x v="0"/>
  </r>
  <r>
    <x v="9"/>
    <n v="299000"/>
    <n v="752000"/>
    <m/>
    <m/>
    <m/>
    <x v="2"/>
    <x v="0"/>
    <x v="0"/>
  </r>
  <r>
    <x v="10"/>
    <m/>
    <m/>
    <m/>
    <m/>
    <m/>
    <x v="2"/>
    <x v="0"/>
    <x v="0"/>
  </r>
  <r>
    <x v="11"/>
    <m/>
    <m/>
    <m/>
    <m/>
    <m/>
    <x v="2"/>
    <x v="0"/>
    <x v="0"/>
  </r>
  <r>
    <x v="12"/>
    <m/>
    <m/>
    <m/>
    <m/>
    <m/>
    <x v="2"/>
    <x v="0"/>
    <x v="0"/>
  </r>
  <r>
    <x v="13"/>
    <m/>
    <m/>
    <m/>
    <m/>
    <m/>
    <x v="2"/>
    <x v="0"/>
    <x v="0"/>
  </r>
  <r>
    <x v="0"/>
    <m/>
    <m/>
    <m/>
    <m/>
    <m/>
    <x v="3"/>
    <x v="0"/>
    <x v="0"/>
  </r>
  <r>
    <x v="1"/>
    <m/>
    <m/>
    <m/>
    <m/>
    <m/>
    <x v="3"/>
    <x v="0"/>
    <x v="0"/>
  </r>
  <r>
    <x v="2"/>
    <n v="1323000"/>
    <n v="54000"/>
    <m/>
    <m/>
    <m/>
    <x v="3"/>
    <x v="0"/>
    <x v="0"/>
  </r>
  <r>
    <x v="3"/>
    <m/>
    <m/>
    <m/>
    <m/>
    <m/>
    <x v="3"/>
    <x v="0"/>
    <x v="0"/>
  </r>
  <r>
    <x v="4"/>
    <m/>
    <m/>
    <m/>
    <m/>
    <m/>
    <x v="3"/>
    <x v="0"/>
    <x v="0"/>
  </r>
  <r>
    <x v="5"/>
    <m/>
    <n v="481500"/>
    <m/>
    <m/>
    <m/>
    <x v="3"/>
    <x v="0"/>
    <x v="0"/>
  </r>
  <r>
    <x v="6"/>
    <m/>
    <m/>
    <m/>
    <m/>
    <m/>
    <x v="3"/>
    <x v="0"/>
    <x v="0"/>
  </r>
  <r>
    <x v="7"/>
    <m/>
    <m/>
    <m/>
    <m/>
    <m/>
    <x v="3"/>
    <x v="0"/>
    <x v="0"/>
  </r>
  <r>
    <x v="8"/>
    <m/>
    <m/>
    <m/>
    <m/>
    <m/>
    <x v="3"/>
    <x v="0"/>
    <x v="0"/>
  </r>
  <r>
    <x v="9"/>
    <m/>
    <n v="1561500"/>
    <m/>
    <m/>
    <m/>
    <x v="3"/>
    <x v="0"/>
    <x v="0"/>
  </r>
  <r>
    <x v="10"/>
    <m/>
    <m/>
    <m/>
    <m/>
    <m/>
    <x v="3"/>
    <x v="0"/>
    <x v="0"/>
  </r>
  <r>
    <x v="11"/>
    <m/>
    <m/>
    <m/>
    <m/>
    <m/>
    <x v="3"/>
    <x v="0"/>
    <x v="0"/>
  </r>
  <r>
    <x v="12"/>
    <m/>
    <m/>
    <m/>
    <m/>
    <m/>
    <x v="3"/>
    <x v="0"/>
    <x v="0"/>
  </r>
  <r>
    <x v="13"/>
    <m/>
    <m/>
    <m/>
    <m/>
    <m/>
    <x v="3"/>
    <x v="0"/>
    <x v="0"/>
  </r>
  <r>
    <x v="0"/>
    <m/>
    <m/>
    <m/>
    <m/>
    <m/>
    <x v="4"/>
    <x v="0"/>
    <x v="0"/>
  </r>
  <r>
    <x v="1"/>
    <m/>
    <m/>
    <m/>
    <m/>
    <m/>
    <x v="4"/>
    <x v="0"/>
    <x v="0"/>
  </r>
  <r>
    <x v="2"/>
    <n v="94500"/>
    <n v="572000"/>
    <m/>
    <m/>
    <m/>
    <x v="4"/>
    <x v="0"/>
    <x v="0"/>
  </r>
  <r>
    <x v="3"/>
    <m/>
    <m/>
    <m/>
    <m/>
    <m/>
    <x v="4"/>
    <x v="0"/>
    <x v="0"/>
  </r>
  <r>
    <x v="4"/>
    <m/>
    <m/>
    <m/>
    <m/>
    <m/>
    <x v="4"/>
    <x v="0"/>
    <x v="0"/>
  </r>
  <r>
    <x v="5"/>
    <m/>
    <n v="162000"/>
    <m/>
    <m/>
    <m/>
    <x v="4"/>
    <x v="0"/>
    <x v="0"/>
  </r>
  <r>
    <x v="6"/>
    <m/>
    <m/>
    <m/>
    <m/>
    <m/>
    <x v="4"/>
    <x v="0"/>
    <x v="0"/>
  </r>
  <r>
    <x v="7"/>
    <m/>
    <m/>
    <m/>
    <m/>
    <m/>
    <x v="4"/>
    <x v="0"/>
    <x v="0"/>
  </r>
  <r>
    <x v="8"/>
    <m/>
    <m/>
    <m/>
    <m/>
    <m/>
    <x v="4"/>
    <x v="0"/>
    <x v="0"/>
  </r>
  <r>
    <x v="9"/>
    <m/>
    <n v="945000"/>
    <m/>
    <m/>
    <m/>
    <x v="4"/>
    <x v="0"/>
    <x v="0"/>
  </r>
  <r>
    <x v="10"/>
    <m/>
    <m/>
    <m/>
    <m/>
    <m/>
    <x v="4"/>
    <x v="0"/>
    <x v="0"/>
  </r>
  <r>
    <x v="11"/>
    <m/>
    <m/>
    <m/>
    <m/>
    <m/>
    <x v="4"/>
    <x v="0"/>
    <x v="0"/>
  </r>
  <r>
    <x v="12"/>
    <m/>
    <m/>
    <m/>
    <m/>
    <m/>
    <x v="4"/>
    <x v="0"/>
    <x v="0"/>
  </r>
  <r>
    <x v="13"/>
    <m/>
    <m/>
    <m/>
    <m/>
    <m/>
    <x v="4"/>
    <x v="0"/>
    <x v="0"/>
  </r>
  <r>
    <x v="0"/>
    <m/>
    <m/>
    <m/>
    <m/>
    <m/>
    <x v="5"/>
    <x v="0"/>
    <x v="0"/>
  </r>
  <r>
    <x v="1"/>
    <m/>
    <m/>
    <m/>
    <m/>
    <m/>
    <x v="5"/>
    <x v="0"/>
    <x v="0"/>
  </r>
  <r>
    <x v="2"/>
    <m/>
    <m/>
    <m/>
    <m/>
    <m/>
    <x v="5"/>
    <x v="0"/>
    <x v="0"/>
  </r>
  <r>
    <x v="3"/>
    <m/>
    <m/>
    <m/>
    <m/>
    <m/>
    <x v="5"/>
    <x v="0"/>
    <x v="0"/>
  </r>
  <r>
    <x v="4"/>
    <n v="54000"/>
    <n v="54000"/>
    <m/>
    <m/>
    <m/>
    <x v="5"/>
    <x v="0"/>
    <x v="0"/>
  </r>
  <r>
    <x v="5"/>
    <m/>
    <m/>
    <m/>
    <m/>
    <m/>
    <x v="5"/>
    <x v="0"/>
    <x v="0"/>
  </r>
  <r>
    <x v="6"/>
    <m/>
    <m/>
    <m/>
    <m/>
    <m/>
    <x v="5"/>
    <x v="0"/>
    <x v="0"/>
  </r>
  <r>
    <x v="7"/>
    <m/>
    <m/>
    <m/>
    <m/>
    <m/>
    <x v="5"/>
    <x v="0"/>
    <x v="0"/>
  </r>
  <r>
    <x v="8"/>
    <m/>
    <m/>
    <m/>
    <m/>
    <m/>
    <x v="5"/>
    <x v="0"/>
    <x v="0"/>
  </r>
  <r>
    <x v="9"/>
    <m/>
    <n v="1634000"/>
    <m/>
    <n v="749000"/>
    <m/>
    <x v="5"/>
    <x v="0"/>
    <x v="0"/>
  </r>
  <r>
    <x v="10"/>
    <m/>
    <m/>
    <m/>
    <m/>
    <m/>
    <x v="5"/>
    <x v="0"/>
    <x v="0"/>
  </r>
  <r>
    <x v="11"/>
    <m/>
    <m/>
    <m/>
    <m/>
    <m/>
    <x v="5"/>
    <x v="0"/>
    <x v="0"/>
  </r>
  <r>
    <x v="12"/>
    <m/>
    <m/>
    <m/>
    <m/>
    <m/>
    <x v="5"/>
    <x v="0"/>
    <x v="0"/>
  </r>
  <r>
    <x v="13"/>
    <m/>
    <m/>
    <m/>
    <m/>
    <m/>
    <x v="5"/>
    <x v="0"/>
    <x v="0"/>
  </r>
  <r>
    <x v="0"/>
    <m/>
    <m/>
    <m/>
    <m/>
    <m/>
    <x v="6"/>
    <x v="0"/>
    <x v="0"/>
  </r>
  <r>
    <x v="1"/>
    <m/>
    <m/>
    <m/>
    <m/>
    <m/>
    <x v="6"/>
    <x v="0"/>
    <x v="0"/>
  </r>
  <r>
    <x v="2"/>
    <m/>
    <m/>
    <m/>
    <m/>
    <m/>
    <x v="6"/>
    <x v="0"/>
    <x v="0"/>
  </r>
  <r>
    <x v="3"/>
    <m/>
    <m/>
    <m/>
    <m/>
    <m/>
    <x v="6"/>
    <x v="0"/>
    <x v="0"/>
  </r>
  <r>
    <x v="4"/>
    <m/>
    <n v="162000"/>
    <m/>
    <m/>
    <m/>
    <x v="6"/>
    <x v="0"/>
    <x v="0"/>
  </r>
  <r>
    <x v="5"/>
    <m/>
    <m/>
    <m/>
    <m/>
    <m/>
    <x v="6"/>
    <x v="0"/>
    <x v="0"/>
  </r>
  <r>
    <x v="6"/>
    <m/>
    <m/>
    <m/>
    <m/>
    <m/>
    <x v="6"/>
    <x v="0"/>
    <x v="0"/>
  </r>
  <r>
    <x v="7"/>
    <m/>
    <m/>
    <m/>
    <m/>
    <m/>
    <x v="6"/>
    <x v="0"/>
    <x v="0"/>
  </r>
  <r>
    <x v="8"/>
    <m/>
    <m/>
    <m/>
    <m/>
    <m/>
    <x v="6"/>
    <x v="0"/>
    <x v="0"/>
  </r>
  <r>
    <x v="9"/>
    <n v="1269000"/>
    <n v="1642500"/>
    <n v="1269000"/>
    <n v="536000"/>
    <m/>
    <x v="6"/>
    <x v="0"/>
    <x v="0"/>
  </r>
  <r>
    <x v="10"/>
    <m/>
    <m/>
    <m/>
    <m/>
    <m/>
    <x v="6"/>
    <x v="0"/>
    <x v="0"/>
  </r>
  <r>
    <x v="11"/>
    <m/>
    <m/>
    <m/>
    <m/>
    <m/>
    <x v="6"/>
    <x v="0"/>
    <x v="0"/>
  </r>
  <r>
    <x v="12"/>
    <m/>
    <m/>
    <m/>
    <m/>
    <m/>
    <x v="6"/>
    <x v="0"/>
    <x v="0"/>
  </r>
  <r>
    <x v="13"/>
    <m/>
    <m/>
    <m/>
    <m/>
    <m/>
    <x v="6"/>
    <x v="0"/>
    <x v="0"/>
  </r>
  <r>
    <x v="0"/>
    <m/>
    <m/>
    <m/>
    <m/>
    <m/>
    <x v="7"/>
    <x v="0"/>
    <x v="0"/>
  </r>
  <r>
    <x v="1"/>
    <m/>
    <m/>
    <m/>
    <m/>
    <m/>
    <x v="7"/>
    <x v="0"/>
    <x v="0"/>
  </r>
  <r>
    <x v="2"/>
    <m/>
    <m/>
    <m/>
    <m/>
    <m/>
    <x v="7"/>
    <x v="0"/>
    <x v="0"/>
  </r>
  <r>
    <x v="3"/>
    <m/>
    <m/>
    <m/>
    <m/>
    <m/>
    <x v="7"/>
    <x v="0"/>
    <x v="0"/>
  </r>
  <r>
    <x v="4"/>
    <m/>
    <m/>
    <m/>
    <m/>
    <m/>
    <x v="7"/>
    <x v="0"/>
    <x v="0"/>
  </r>
  <r>
    <x v="5"/>
    <m/>
    <n v="216000"/>
    <m/>
    <n v="162000"/>
    <m/>
    <x v="7"/>
    <x v="0"/>
    <x v="0"/>
  </r>
  <r>
    <x v="6"/>
    <m/>
    <n v="306000"/>
    <m/>
    <m/>
    <m/>
    <x v="7"/>
    <x v="0"/>
    <x v="0"/>
  </r>
  <r>
    <x v="7"/>
    <m/>
    <m/>
    <m/>
    <m/>
    <m/>
    <x v="7"/>
    <x v="0"/>
    <x v="0"/>
  </r>
  <r>
    <x v="8"/>
    <n v="992000"/>
    <n v="870000"/>
    <n v="798000"/>
    <n v="320000"/>
    <m/>
    <x v="7"/>
    <x v="0"/>
    <x v="0"/>
  </r>
  <r>
    <x v="9"/>
    <n v="472500"/>
    <n v="206000"/>
    <m/>
    <n v="54000"/>
    <m/>
    <x v="7"/>
    <x v="0"/>
    <x v="0"/>
  </r>
  <r>
    <x v="10"/>
    <m/>
    <m/>
    <m/>
    <m/>
    <m/>
    <x v="7"/>
    <x v="0"/>
    <x v="0"/>
  </r>
  <r>
    <x v="11"/>
    <m/>
    <m/>
    <m/>
    <m/>
    <m/>
    <x v="7"/>
    <x v="0"/>
    <x v="0"/>
  </r>
  <r>
    <x v="12"/>
    <m/>
    <m/>
    <m/>
    <m/>
    <m/>
    <x v="7"/>
    <x v="0"/>
    <x v="0"/>
  </r>
  <r>
    <x v="13"/>
    <m/>
    <m/>
    <m/>
    <m/>
    <m/>
    <x v="7"/>
    <x v="0"/>
    <x v="0"/>
  </r>
  <r>
    <x v="0"/>
    <m/>
    <m/>
    <m/>
    <m/>
    <m/>
    <x v="8"/>
    <x v="0"/>
    <x v="0"/>
  </r>
  <r>
    <x v="1"/>
    <m/>
    <m/>
    <m/>
    <m/>
    <m/>
    <x v="8"/>
    <x v="0"/>
    <x v="0"/>
  </r>
  <r>
    <x v="2"/>
    <m/>
    <m/>
    <m/>
    <m/>
    <m/>
    <x v="8"/>
    <x v="0"/>
    <x v="0"/>
  </r>
  <r>
    <x v="3"/>
    <m/>
    <m/>
    <m/>
    <m/>
    <m/>
    <x v="8"/>
    <x v="0"/>
    <x v="0"/>
  </r>
  <r>
    <x v="4"/>
    <n v="472000"/>
    <m/>
    <m/>
    <m/>
    <m/>
    <x v="8"/>
    <x v="0"/>
    <x v="0"/>
  </r>
  <r>
    <x v="5"/>
    <m/>
    <m/>
    <m/>
    <m/>
    <m/>
    <x v="8"/>
    <x v="0"/>
    <x v="0"/>
  </r>
  <r>
    <x v="6"/>
    <m/>
    <n v="216000"/>
    <m/>
    <m/>
    <m/>
    <x v="8"/>
    <x v="0"/>
    <x v="0"/>
  </r>
  <r>
    <x v="7"/>
    <m/>
    <m/>
    <m/>
    <m/>
    <m/>
    <x v="8"/>
    <x v="0"/>
    <x v="0"/>
  </r>
  <r>
    <x v="8"/>
    <m/>
    <n v="698000"/>
    <n v="162000"/>
    <n v="270000"/>
    <m/>
    <x v="8"/>
    <x v="0"/>
    <x v="0"/>
  </r>
  <r>
    <x v="9"/>
    <m/>
    <m/>
    <m/>
    <m/>
    <m/>
    <x v="8"/>
    <x v="0"/>
    <x v="0"/>
  </r>
  <r>
    <x v="10"/>
    <m/>
    <m/>
    <m/>
    <m/>
    <m/>
    <x v="8"/>
    <x v="0"/>
    <x v="0"/>
  </r>
  <r>
    <x v="11"/>
    <m/>
    <m/>
    <m/>
    <m/>
    <m/>
    <x v="8"/>
    <x v="0"/>
    <x v="0"/>
  </r>
  <r>
    <x v="12"/>
    <n v="432000"/>
    <n v="529000"/>
    <m/>
    <n v="108000"/>
    <m/>
    <x v="8"/>
    <x v="0"/>
    <x v="0"/>
  </r>
  <r>
    <x v="13"/>
    <n v="270000"/>
    <m/>
    <n v="216000"/>
    <m/>
    <m/>
    <x v="8"/>
    <x v="0"/>
    <x v="0"/>
  </r>
  <r>
    <x v="0"/>
    <m/>
    <m/>
    <m/>
    <m/>
    <m/>
    <x v="9"/>
    <x v="0"/>
    <x v="0"/>
  </r>
  <r>
    <x v="1"/>
    <m/>
    <m/>
    <m/>
    <m/>
    <m/>
    <x v="9"/>
    <x v="0"/>
    <x v="0"/>
  </r>
  <r>
    <x v="2"/>
    <m/>
    <m/>
    <m/>
    <m/>
    <m/>
    <x v="9"/>
    <x v="0"/>
    <x v="0"/>
  </r>
  <r>
    <x v="3"/>
    <m/>
    <m/>
    <m/>
    <m/>
    <m/>
    <x v="9"/>
    <x v="0"/>
    <x v="0"/>
  </r>
  <r>
    <x v="4"/>
    <n v="369500"/>
    <m/>
    <m/>
    <m/>
    <m/>
    <x v="9"/>
    <x v="0"/>
    <x v="0"/>
  </r>
  <r>
    <x v="5"/>
    <m/>
    <n v="216000"/>
    <m/>
    <m/>
    <m/>
    <x v="9"/>
    <x v="0"/>
    <x v="0"/>
  </r>
  <r>
    <x v="6"/>
    <m/>
    <n v="154000"/>
    <m/>
    <m/>
    <m/>
    <x v="9"/>
    <x v="0"/>
    <x v="0"/>
  </r>
  <r>
    <x v="7"/>
    <m/>
    <m/>
    <m/>
    <m/>
    <m/>
    <x v="9"/>
    <x v="0"/>
    <x v="0"/>
  </r>
  <r>
    <x v="8"/>
    <m/>
    <n v="891000"/>
    <m/>
    <m/>
    <m/>
    <x v="9"/>
    <x v="0"/>
    <x v="0"/>
  </r>
  <r>
    <x v="9"/>
    <m/>
    <m/>
    <m/>
    <m/>
    <m/>
    <x v="9"/>
    <x v="0"/>
    <x v="0"/>
  </r>
  <r>
    <x v="10"/>
    <m/>
    <m/>
    <m/>
    <m/>
    <m/>
    <x v="9"/>
    <x v="0"/>
    <x v="0"/>
  </r>
  <r>
    <x v="11"/>
    <m/>
    <m/>
    <m/>
    <m/>
    <m/>
    <x v="9"/>
    <x v="0"/>
    <x v="0"/>
  </r>
  <r>
    <x v="12"/>
    <n v="54000"/>
    <m/>
    <m/>
    <m/>
    <m/>
    <x v="9"/>
    <x v="0"/>
    <x v="0"/>
  </r>
  <r>
    <x v="13"/>
    <n v="594000"/>
    <m/>
    <n v="374000"/>
    <m/>
    <m/>
    <x v="9"/>
    <x v="0"/>
    <x v="0"/>
  </r>
  <r>
    <x v="0"/>
    <m/>
    <m/>
    <m/>
    <m/>
    <m/>
    <x v="10"/>
    <x v="0"/>
    <x v="0"/>
  </r>
  <r>
    <x v="1"/>
    <m/>
    <m/>
    <m/>
    <m/>
    <m/>
    <x v="10"/>
    <x v="0"/>
    <x v="0"/>
  </r>
  <r>
    <x v="2"/>
    <m/>
    <n v="579000"/>
    <m/>
    <m/>
    <m/>
    <x v="10"/>
    <x v="0"/>
    <x v="0"/>
  </r>
  <r>
    <x v="3"/>
    <m/>
    <m/>
    <m/>
    <m/>
    <m/>
    <x v="10"/>
    <x v="0"/>
    <x v="0"/>
  </r>
  <r>
    <x v="4"/>
    <n v="419500"/>
    <n v="97000"/>
    <m/>
    <m/>
    <n v="581500"/>
    <x v="10"/>
    <x v="0"/>
    <x v="0"/>
  </r>
  <r>
    <x v="5"/>
    <m/>
    <n v="797000"/>
    <m/>
    <n v="108000"/>
    <m/>
    <x v="10"/>
    <x v="0"/>
    <x v="0"/>
  </r>
  <r>
    <x v="6"/>
    <m/>
    <n v="157500"/>
    <m/>
    <m/>
    <m/>
    <x v="10"/>
    <x v="0"/>
    <x v="0"/>
  </r>
  <r>
    <x v="7"/>
    <m/>
    <m/>
    <m/>
    <m/>
    <m/>
    <x v="10"/>
    <x v="0"/>
    <x v="0"/>
  </r>
  <r>
    <x v="8"/>
    <n v="54000"/>
    <m/>
    <m/>
    <n v="270000"/>
    <m/>
    <x v="10"/>
    <x v="0"/>
    <x v="0"/>
  </r>
  <r>
    <x v="9"/>
    <n v="99000"/>
    <m/>
    <m/>
    <n v="108000"/>
    <m/>
    <x v="10"/>
    <x v="0"/>
    <x v="0"/>
  </r>
  <r>
    <x v="10"/>
    <m/>
    <m/>
    <m/>
    <m/>
    <m/>
    <x v="10"/>
    <x v="0"/>
    <x v="0"/>
  </r>
  <r>
    <x v="11"/>
    <m/>
    <m/>
    <m/>
    <m/>
    <m/>
    <x v="10"/>
    <x v="0"/>
    <x v="0"/>
  </r>
  <r>
    <x v="12"/>
    <n v="374000"/>
    <m/>
    <m/>
    <m/>
    <m/>
    <x v="10"/>
    <x v="0"/>
    <x v="0"/>
  </r>
  <r>
    <x v="13"/>
    <n v="425000"/>
    <m/>
    <n v="207000"/>
    <n v="108000"/>
    <m/>
    <x v="10"/>
    <x v="0"/>
    <x v="0"/>
  </r>
  <r>
    <x v="0"/>
    <m/>
    <m/>
    <m/>
    <m/>
    <m/>
    <x v="11"/>
    <x v="0"/>
    <x v="0"/>
  </r>
  <r>
    <x v="1"/>
    <m/>
    <m/>
    <m/>
    <m/>
    <m/>
    <x v="11"/>
    <x v="0"/>
    <x v="0"/>
  </r>
  <r>
    <x v="2"/>
    <m/>
    <n v="729000"/>
    <m/>
    <m/>
    <m/>
    <x v="11"/>
    <x v="0"/>
    <x v="0"/>
  </r>
  <r>
    <x v="3"/>
    <m/>
    <m/>
    <m/>
    <m/>
    <m/>
    <x v="11"/>
    <x v="0"/>
    <x v="0"/>
  </r>
  <r>
    <x v="4"/>
    <n v="950500"/>
    <m/>
    <m/>
    <m/>
    <n v="415000"/>
    <x v="11"/>
    <x v="0"/>
    <x v="0"/>
  </r>
  <r>
    <x v="5"/>
    <m/>
    <n v="320000"/>
    <m/>
    <m/>
    <m/>
    <x v="11"/>
    <x v="0"/>
    <x v="0"/>
  </r>
  <r>
    <x v="6"/>
    <m/>
    <n v="162000"/>
    <m/>
    <m/>
    <m/>
    <x v="11"/>
    <x v="0"/>
    <x v="0"/>
  </r>
  <r>
    <x v="7"/>
    <m/>
    <m/>
    <m/>
    <m/>
    <m/>
    <x v="11"/>
    <x v="0"/>
    <x v="0"/>
  </r>
  <r>
    <x v="8"/>
    <m/>
    <m/>
    <m/>
    <m/>
    <m/>
    <x v="11"/>
    <x v="0"/>
    <x v="0"/>
  </r>
  <r>
    <x v="9"/>
    <n v="207000"/>
    <m/>
    <m/>
    <m/>
    <m/>
    <x v="11"/>
    <x v="0"/>
    <x v="0"/>
  </r>
  <r>
    <x v="10"/>
    <m/>
    <m/>
    <m/>
    <m/>
    <m/>
    <x v="11"/>
    <x v="0"/>
    <x v="0"/>
  </r>
  <r>
    <x v="11"/>
    <m/>
    <m/>
    <m/>
    <m/>
    <m/>
    <x v="11"/>
    <x v="0"/>
    <x v="0"/>
  </r>
  <r>
    <x v="12"/>
    <m/>
    <m/>
    <m/>
    <m/>
    <m/>
    <x v="11"/>
    <x v="0"/>
    <x v="0"/>
  </r>
  <r>
    <x v="13"/>
    <n v="578000"/>
    <n v="420500"/>
    <m/>
    <n v="851500"/>
    <m/>
    <x v="11"/>
    <x v="0"/>
    <x v="0"/>
  </r>
  <r>
    <x v="0"/>
    <m/>
    <m/>
    <m/>
    <m/>
    <m/>
    <x v="12"/>
    <x v="0"/>
    <x v="0"/>
  </r>
  <r>
    <x v="1"/>
    <m/>
    <m/>
    <m/>
    <m/>
    <m/>
    <x v="12"/>
    <x v="0"/>
    <x v="0"/>
  </r>
  <r>
    <x v="2"/>
    <m/>
    <n v="362000"/>
    <m/>
    <m/>
    <m/>
    <x v="12"/>
    <x v="0"/>
    <x v="0"/>
  </r>
  <r>
    <x v="3"/>
    <m/>
    <m/>
    <m/>
    <m/>
    <m/>
    <x v="12"/>
    <x v="0"/>
    <x v="0"/>
  </r>
  <r>
    <x v="4"/>
    <n v="756000"/>
    <m/>
    <m/>
    <m/>
    <n v="503000"/>
    <x v="12"/>
    <x v="0"/>
    <x v="0"/>
  </r>
  <r>
    <x v="5"/>
    <m/>
    <n v="104000"/>
    <m/>
    <m/>
    <m/>
    <x v="12"/>
    <x v="0"/>
    <x v="0"/>
  </r>
  <r>
    <x v="6"/>
    <m/>
    <m/>
    <m/>
    <m/>
    <m/>
    <x v="12"/>
    <x v="0"/>
    <x v="0"/>
  </r>
  <r>
    <x v="7"/>
    <m/>
    <m/>
    <m/>
    <m/>
    <m/>
    <x v="12"/>
    <x v="0"/>
    <x v="0"/>
  </r>
  <r>
    <x v="8"/>
    <m/>
    <m/>
    <m/>
    <n v="153000"/>
    <m/>
    <x v="12"/>
    <x v="0"/>
    <x v="0"/>
  </r>
  <r>
    <x v="9"/>
    <n v="50000"/>
    <n v="320000"/>
    <m/>
    <n v="212000"/>
    <m/>
    <x v="12"/>
    <x v="0"/>
    <x v="0"/>
  </r>
  <r>
    <x v="10"/>
    <m/>
    <m/>
    <m/>
    <m/>
    <m/>
    <x v="12"/>
    <x v="0"/>
    <x v="0"/>
  </r>
  <r>
    <x v="11"/>
    <m/>
    <m/>
    <m/>
    <m/>
    <m/>
    <x v="12"/>
    <x v="0"/>
    <x v="0"/>
  </r>
  <r>
    <x v="12"/>
    <n v="153000"/>
    <m/>
    <m/>
    <m/>
    <m/>
    <x v="12"/>
    <x v="0"/>
    <x v="0"/>
  </r>
  <r>
    <x v="13"/>
    <n v="54000"/>
    <n v="693000"/>
    <m/>
    <m/>
    <m/>
    <x v="12"/>
    <x v="0"/>
    <x v="0"/>
  </r>
  <r>
    <x v="0"/>
    <m/>
    <m/>
    <m/>
    <m/>
    <m/>
    <x v="13"/>
    <x v="0"/>
    <x v="0"/>
  </r>
  <r>
    <x v="1"/>
    <m/>
    <m/>
    <m/>
    <m/>
    <m/>
    <x v="13"/>
    <x v="0"/>
    <x v="0"/>
  </r>
  <r>
    <x v="2"/>
    <m/>
    <n v="751500"/>
    <m/>
    <m/>
    <m/>
    <x v="13"/>
    <x v="0"/>
    <x v="0"/>
  </r>
  <r>
    <x v="3"/>
    <m/>
    <m/>
    <m/>
    <m/>
    <m/>
    <x v="13"/>
    <x v="0"/>
    <x v="0"/>
  </r>
  <r>
    <x v="4"/>
    <m/>
    <m/>
    <m/>
    <m/>
    <m/>
    <x v="13"/>
    <x v="0"/>
    <x v="0"/>
  </r>
  <r>
    <x v="5"/>
    <m/>
    <n v="104000"/>
    <m/>
    <m/>
    <m/>
    <x v="13"/>
    <x v="0"/>
    <x v="0"/>
  </r>
  <r>
    <x v="6"/>
    <m/>
    <m/>
    <m/>
    <m/>
    <m/>
    <x v="13"/>
    <x v="0"/>
    <x v="0"/>
  </r>
  <r>
    <x v="7"/>
    <m/>
    <m/>
    <m/>
    <m/>
    <m/>
    <x v="13"/>
    <x v="0"/>
    <x v="0"/>
  </r>
  <r>
    <x v="8"/>
    <m/>
    <n v="103500"/>
    <m/>
    <n v="680000"/>
    <m/>
    <x v="13"/>
    <x v="0"/>
    <x v="0"/>
  </r>
  <r>
    <x v="9"/>
    <m/>
    <n v="157500"/>
    <m/>
    <m/>
    <m/>
    <x v="13"/>
    <x v="0"/>
    <x v="0"/>
  </r>
  <r>
    <x v="10"/>
    <m/>
    <m/>
    <m/>
    <m/>
    <m/>
    <x v="13"/>
    <x v="0"/>
    <x v="0"/>
  </r>
  <r>
    <x v="11"/>
    <m/>
    <m/>
    <m/>
    <m/>
    <m/>
    <x v="13"/>
    <x v="0"/>
    <x v="0"/>
  </r>
  <r>
    <x v="12"/>
    <m/>
    <m/>
    <n v="431000"/>
    <m/>
    <m/>
    <x v="13"/>
    <x v="0"/>
    <x v="0"/>
  </r>
  <r>
    <x v="13"/>
    <m/>
    <n v="748000"/>
    <m/>
    <m/>
    <m/>
    <x v="13"/>
    <x v="0"/>
    <x v="0"/>
  </r>
  <r>
    <x v="0"/>
    <m/>
    <m/>
    <m/>
    <m/>
    <m/>
    <x v="14"/>
    <x v="0"/>
    <x v="0"/>
  </r>
  <r>
    <x v="1"/>
    <m/>
    <m/>
    <m/>
    <m/>
    <m/>
    <x v="14"/>
    <x v="0"/>
    <x v="0"/>
  </r>
  <r>
    <x v="2"/>
    <m/>
    <m/>
    <m/>
    <m/>
    <m/>
    <x v="14"/>
    <x v="0"/>
    <x v="0"/>
  </r>
  <r>
    <x v="3"/>
    <m/>
    <m/>
    <m/>
    <m/>
    <m/>
    <x v="14"/>
    <x v="0"/>
    <x v="0"/>
  </r>
  <r>
    <x v="4"/>
    <n v="450000"/>
    <m/>
    <m/>
    <m/>
    <m/>
    <x v="14"/>
    <x v="0"/>
    <x v="0"/>
  </r>
  <r>
    <x v="5"/>
    <m/>
    <m/>
    <m/>
    <m/>
    <m/>
    <x v="14"/>
    <x v="0"/>
    <x v="0"/>
  </r>
  <r>
    <x v="6"/>
    <m/>
    <m/>
    <m/>
    <m/>
    <m/>
    <x v="14"/>
    <x v="0"/>
    <x v="0"/>
  </r>
  <r>
    <x v="7"/>
    <m/>
    <m/>
    <m/>
    <m/>
    <m/>
    <x v="14"/>
    <x v="0"/>
    <x v="0"/>
  </r>
  <r>
    <x v="8"/>
    <m/>
    <m/>
    <m/>
    <n v="1088500"/>
    <m/>
    <x v="14"/>
    <x v="0"/>
    <x v="0"/>
  </r>
  <r>
    <x v="9"/>
    <m/>
    <m/>
    <m/>
    <m/>
    <m/>
    <x v="14"/>
    <x v="0"/>
    <x v="0"/>
  </r>
  <r>
    <x v="10"/>
    <m/>
    <m/>
    <m/>
    <m/>
    <m/>
    <x v="14"/>
    <x v="0"/>
    <x v="0"/>
  </r>
  <r>
    <x v="11"/>
    <m/>
    <m/>
    <m/>
    <m/>
    <m/>
    <x v="14"/>
    <x v="0"/>
    <x v="0"/>
  </r>
  <r>
    <x v="12"/>
    <n v="755500"/>
    <m/>
    <m/>
    <m/>
    <m/>
    <x v="14"/>
    <x v="0"/>
    <x v="0"/>
  </r>
  <r>
    <x v="13"/>
    <m/>
    <m/>
    <m/>
    <m/>
    <m/>
    <x v="14"/>
    <x v="0"/>
    <x v="0"/>
  </r>
  <r>
    <x v="0"/>
    <m/>
    <m/>
    <m/>
    <m/>
    <m/>
    <x v="15"/>
    <x v="0"/>
    <x v="0"/>
  </r>
  <r>
    <x v="1"/>
    <m/>
    <m/>
    <m/>
    <m/>
    <m/>
    <x v="15"/>
    <x v="0"/>
    <x v="0"/>
  </r>
  <r>
    <x v="2"/>
    <m/>
    <n v="207000"/>
    <m/>
    <m/>
    <m/>
    <x v="15"/>
    <x v="0"/>
    <x v="0"/>
  </r>
  <r>
    <x v="3"/>
    <m/>
    <m/>
    <m/>
    <m/>
    <m/>
    <x v="15"/>
    <x v="0"/>
    <x v="0"/>
  </r>
  <r>
    <x v="4"/>
    <m/>
    <m/>
    <m/>
    <m/>
    <m/>
    <x v="15"/>
    <x v="0"/>
    <x v="0"/>
  </r>
  <r>
    <x v="5"/>
    <m/>
    <n v="154000"/>
    <m/>
    <m/>
    <m/>
    <x v="15"/>
    <x v="0"/>
    <x v="0"/>
  </r>
  <r>
    <x v="6"/>
    <m/>
    <m/>
    <m/>
    <m/>
    <m/>
    <x v="15"/>
    <x v="0"/>
    <x v="0"/>
  </r>
  <r>
    <x v="7"/>
    <m/>
    <m/>
    <m/>
    <m/>
    <m/>
    <x v="15"/>
    <x v="0"/>
    <x v="0"/>
  </r>
  <r>
    <x v="8"/>
    <m/>
    <n v="692000"/>
    <n v="212000"/>
    <m/>
    <m/>
    <x v="15"/>
    <x v="0"/>
    <x v="0"/>
  </r>
  <r>
    <x v="9"/>
    <m/>
    <m/>
    <n v="162000"/>
    <m/>
    <m/>
    <x v="15"/>
    <x v="0"/>
    <x v="0"/>
  </r>
  <r>
    <x v="10"/>
    <m/>
    <m/>
    <m/>
    <m/>
    <m/>
    <x v="15"/>
    <x v="0"/>
    <x v="0"/>
  </r>
  <r>
    <x v="11"/>
    <m/>
    <m/>
    <m/>
    <m/>
    <m/>
    <x v="15"/>
    <x v="0"/>
    <x v="0"/>
  </r>
  <r>
    <x v="12"/>
    <m/>
    <n v="108000"/>
    <m/>
    <m/>
    <m/>
    <x v="15"/>
    <x v="0"/>
    <x v="0"/>
  </r>
  <r>
    <x v="13"/>
    <m/>
    <n v="263000"/>
    <m/>
    <m/>
    <m/>
    <x v="15"/>
    <x v="0"/>
    <x v="0"/>
  </r>
  <r>
    <x v="0"/>
    <m/>
    <m/>
    <m/>
    <m/>
    <m/>
    <x v="16"/>
    <x v="0"/>
    <x v="0"/>
  </r>
  <r>
    <x v="1"/>
    <m/>
    <m/>
    <m/>
    <m/>
    <m/>
    <x v="16"/>
    <x v="0"/>
    <x v="0"/>
  </r>
  <r>
    <x v="2"/>
    <m/>
    <n v="216000"/>
    <m/>
    <m/>
    <m/>
    <x v="16"/>
    <x v="0"/>
    <x v="0"/>
  </r>
  <r>
    <x v="3"/>
    <m/>
    <m/>
    <m/>
    <m/>
    <m/>
    <x v="16"/>
    <x v="0"/>
    <x v="0"/>
  </r>
  <r>
    <x v="4"/>
    <m/>
    <m/>
    <m/>
    <m/>
    <m/>
    <x v="16"/>
    <x v="0"/>
    <x v="0"/>
  </r>
  <r>
    <x v="5"/>
    <m/>
    <n v="155000"/>
    <m/>
    <m/>
    <m/>
    <x v="16"/>
    <x v="0"/>
    <x v="0"/>
  </r>
  <r>
    <x v="6"/>
    <m/>
    <n v="270000"/>
    <m/>
    <m/>
    <m/>
    <x v="16"/>
    <x v="0"/>
    <x v="0"/>
  </r>
  <r>
    <x v="7"/>
    <m/>
    <m/>
    <m/>
    <m/>
    <m/>
    <x v="16"/>
    <x v="0"/>
    <x v="0"/>
  </r>
  <r>
    <x v="8"/>
    <m/>
    <n v="216000"/>
    <m/>
    <m/>
    <m/>
    <x v="16"/>
    <x v="0"/>
    <x v="0"/>
  </r>
  <r>
    <x v="9"/>
    <m/>
    <n v="432000"/>
    <m/>
    <n v="914000"/>
    <m/>
    <x v="16"/>
    <x v="0"/>
    <x v="0"/>
  </r>
  <r>
    <x v="10"/>
    <m/>
    <m/>
    <m/>
    <m/>
    <m/>
    <x v="16"/>
    <x v="0"/>
    <x v="0"/>
  </r>
  <r>
    <x v="11"/>
    <m/>
    <m/>
    <m/>
    <m/>
    <m/>
    <x v="16"/>
    <x v="0"/>
    <x v="0"/>
  </r>
  <r>
    <x v="12"/>
    <m/>
    <m/>
    <m/>
    <m/>
    <m/>
    <x v="16"/>
    <x v="0"/>
    <x v="0"/>
  </r>
  <r>
    <x v="13"/>
    <m/>
    <n v="424000"/>
    <m/>
    <m/>
    <m/>
    <x v="16"/>
    <x v="0"/>
    <x v="0"/>
  </r>
  <r>
    <x v="0"/>
    <m/>
    <m/>
    <m/>
    <m/>
    <m/>
    <x v="17"/>
    <x v="0"/>
    <x v="0"/>
  </r>
  <r>
    <x v="1"/>
    <m/>
    <m/>
    <m/>
    <m/>
    <m/>
    <x v="17"/>
    <x v="0"/>
    <x v="0"/>
  </r>
  <r>
    <x v="2"/>
    <m/>
    <n v="352000"/>
    <m/>
    <m/>
    <m/>
    <x v="17"/>
    <x v="0"/>
    <x v="0"/>
  </r>
  <r>
    <x v="3"/>
    <m/>
    <m/>
    <m/>
    <m/>
    <m/>
    <x v="17"/>
    <x v="0"/>
    <x v="0"/>
  </r>
  <r>
    <x v="4"/>
    <m/>
    <m/>
    <m/>
    <m/>
    <m/>
    <x v="17"/>
    <x v="0"/>
    <x v="0"/>
  </r>
  <r>
    <x v="5"/>
    <m/>
    <n v="216000"/>
    <m/>
    <m/>
    <m/>
    <x v="17"/>
    <x v="0"/>
    <x v="0"/>
  </r>
  <r>
    <x v="6"/>
    <n v="698000"/>
    <n v="157000"/>
    <n v="270000"/>
    <m/>
    <m/>
    <x v="17"/>
    <x v="0"/>
    <x v="0"/>
  </r>
  <r>
    <x v="7"/>
    <m/>
    <m/>
    <m/>
    <m/>
    <m/>
    <x v="17"/>
    <x v="0"/>
    <x v="0"/>
  </r>
  <r>
    <x v="8"/>
    <m/>
    <n v="532000"/>
    <m/>
    <m/>
    <m/>
    <x v="17"/>
    <x v="0"/>
    <x v="0"/>
  </r>
  <r>
    <x v="9"/>
    <m/>
    <n v="162000"/>
    <m/>
    <n v="744000"/>
    <m/>
    <x v="17"/>
    <x v="0"/>
    <x v="0"/>
  </r>
  <r>
    <x v="10"/>
    <m/>
    <m/>
    <m/>
    <m/>
    <m/>
    <x v="17"/>
    <x v="0"/>
    <x v="0"/>
  </r>
  <r>
    <x v="11"/>
    <m/>
    <m/>
    <m/>
    <m/>
    <m/>
    <x v="17"/>
    <x v="0"/>
    <x v="0"/>
  </r>
  <r>
    <x v="12"/>
    <m/>
    <m/>
    <m/>
    <m/>
    <m/>
    <x v="17"/>
    <x v="0"/>
    <x v="0"/>
  </r>
  <r>
    <x v="13"/>
    <n v="684000"/>
    <n v="370000"/>
    <n v="270000"/>
    <m/>
    <m/>
    <x v="17"/>
    <x v="0"/>
    <x v="0"/>
  </r>
  <r>
    <x v="0"/>
    <m/>
    <m/>
    <m/>
    <m/>
    <m/>
    <x v="18"/>
    <x v="0"/>
    <x v="0"/>
  </r>
  <r>
    <x v="1"/>
    <m/>
    <m/>
    <m/>
    <m/>
    <m/>
    <x v="18"/>
    <x v="0"/>
    <x v="0"/>
  </r>
  <r>
    <x v="2"/>
    <m/>
    <n v="54000"/>
    <m/>
    <m/>
    <m/>
    <x v="18"/>
    <x v="0"/>
    <x v="0"/>
  </r>
  <r>
    <x v="3"/>
    <m/>
    <m/>
    <m/>
    <m/>
    <m/>
    <x v="18"/>
    <x v="0"/>
    <x v="0"/>
  </r>
  <r>
    <x v="4"/>
    <n v="50000"/>
    <m/>
    <m/>
    <m/>
    <m/>
    <x v="18"/>
    <x v="0"/>
    <x v="0"/>
  </r>
  <r>
    <x v="5"/>
    <m/>
    <n v="135000"/>
    <n v="200000"/>
    <m/>
    <m/>
    <x v="18"/>
    <x v="0"/>
    <x v="0"/>
  </r>
  <r>
    <x v="6"/>
    <m/>
    <n v="144000"/>
    <n v="104000"/>
    <m/>
    <m/>
    <x v="18"/>
    <x v="0"/>
    <x v="0"/>
  </r>
  <r>
    <x v="7"/>
    <m/>
    <m/>
    <m/>
    <m/>
    <m/>
    <x v="18"/>
    <x v="0"/>
    <x v="0"/>
  </r>
  <r>
    <x v="8"/>
    <n v="320000"/>
    <n v="539500"/>
    <n v="216000"/>
    <n v="54000"/>
    <m/>
    <x v="18"/>
    <x v="0"/>
    <x v="0"/>
  </r>
  <r>
    <x v="9"/>
    <n v="378000"/>
    <n v="431000"/>
    <n v="270000"/>
    <n v="797000"/>
    <n v="502000"/>
    <x v="18"/>
    <x v="0"/>
    <x v="0"/>
  </r>
  <r>
    <x v="10"/>
    <m/>
    <m/>
    <m/>
    <m/>
    <m/>
    <x v="18"/>
    <x v="0"/>
    <x v="0"/>
  </r>
  <r>
    <x v="11"/>
    <m/>
    <m/>
    <m/>
    <m/>
    <m/>
    <x v="18"/>
    <x v="0"/>
    <x v="0"/>
  </r>
  <r>
    <x v="12"/>
    <m/>
    <m/>
    <m/>
    <m/>
    <m/>
    <x v="18"/>
    <x v="0"/>
    <x v="0"/>
  </r>
  <r>
    <x v="13"/>
    <n v="54000"/>
    <n v="311000"/>
    <n v="216000"/>
    <m/>
    <m/>
    <x v="18"/>
    <x v="0"/>
    <x v="0"/>
  </r>
  <r>
    <x v="0"/>
    <m/>
    <m/>
    <m/>
    <m/>
    <m/>
    <x v="19"/>
    <x v="0"/>
    <x v="0"/>
  </r>
  <r>
    <x v="1"/>
    <m/>
    <m/>
    <m/>
    <m/>
    <m/>
    <x v="19"/>
    <x v="0"/>
    <x v="0"/>
  </r>
  <r>
    <x v="2"/>
    <m/>
    <n v="362000"/>
    <m/>
    <m/>
    <m/>
    <x v="19"/>
    <x v="0"/>
    <x v="0"/>
  </r>
  <r>
    <x v="3"/>
    <m/>
    <m/>
    <m/>
    <m/>
    <m/>
    <x v="19"/>
    <x v="0"/>
    <x v="0"/>
  </r>
  <r>
    <x v="4"/>
    <n v="307000"/>
    <m/>
    <m/>
    <m/>
    <m/>
    <x v="19"/>
    <x v="0"/>
    <x v="0"/>
  </r>
  <r>
    <x v="5"/>
    <n v="47000"/>
    <n v="205000"/>
    <n v="162000"/>
    <m/>
    <m/>
    <x v="19"/>
    <x v="0"/>
    <x v="0"/>
  </r>
  <r>
    <x v="6"/>
    <n v="108000"/>
    <m/>
    <m/>
    <m/>
    <m/>
    <x v="19"/>
    <x v="0"/>
    <x v="0"/>
  </r>
  <r>
    <x v="7"/>
    <m/>
    <m/>
    <m/>
    <m/>
    <m/>
    <x v="19"/>
    <x v="0"/>
    <x v="0"/>
  </r>
  <r>
    <x v="8"/>
    <n v="205000"/>
    <n v="418500"/>
    <n v="199000"/>
    <m/>
    <n v="412000"/>
    <x v="19"/>
    <x v="0"/>
    <x v="0"/>
  </r>
  <r>
    <x v="9"/>
    <n v="139000"/>
    <n v="344000"/>
    <n v="374000"/>
    <n v="432000"/>
    <n v="158000"/>
    <x v="19"/>
    <x v="0"/>
    <x v="0"/>
  </r>
  <r>
    <x v="10"/>
    <m/>
    <m/>
    <m/>
    <m/>
    <m/>
    <x v="19"/>
    <x v="0"/>
    <x v="0"/>
  </r>
  <r>
    <x v="11"/>
    <m/>
    <m/>
    <m/>
    <m/>
    <m/>
    <x v="19"/>
    <x v="0"/>
    <x v="0"/>
  </r>
  <r>
    <x v="12"/>
    <m/>
    <m/>
    <m/>
    <m/>
    <m/>
    <x v="19"/>
    <x v="0"/>
    <x v="0"/>
  </r>
  <r>
    <x v="13"/>
    <n v="99000"/>
    <n v="378000"/>
    <n v="108000"/>
    <m/>
    <m/>
    <x v="19"/>
    <x v="0"/>
    <x v="0"/>
  </r>
  <r>
    <x v="0"/>
    <m/>
    <m/>
    <m/>
    <m/>
    <m/>
    <x v="20"/>
    <x v="0"/>
    <x v="1"/>
  </r>
  <r>
    <x v="1"/>
    <m/>
    <m/>
    <m/>
    <m/>
    <m/>
    <x v="20"/>
    <x v="0"/>
    <x v="1"/>
  </r>
  <r>
    <x v="2"/>
    <m/>
    <m/>
    <m/>
    <m/>
    <m/>
    <x v="20"/>
    <x v="0"/>
    <x v="1"/>
  </r>
  <r>
    <x v="3"/>
    <m/>
    <m/>
    <m/>
    <m/>
    <m/>
    <x v="20"/>
    <x v="0"/>
    <x v="1"/>
  </r>
  <r>
    <x v="4"/>
    <n v="162000"/>
    <m/>
    <n v="54000"/>
    <m/>
    <m/>
    <x v="20"/>
    <x v="0"/>
    <x v="1"/>
  </r>
  <r>
    <x v="5"/>
    <m/>
    <n v="54000"/>
    <n v="54000"/>
    <m/>
    <n v="100000"/>
    <x v="20"/>
    <x v="0"/>
    <x v="1"/>
  </r>
  <r>
    <x v="6"/>
    <m/>
    <m/>
    <m/>
    <m/>
    <m/>
    <x v="20"/>
    <x v="0"/>
    <x v="1"/>
  </r>
  <r>
    <x v="7"/>
    <m/>
    <m/>
    <m/>
    <m/>
    <m/>
    <x v="20"/>
    <x v="0"/>
    <x v="1"/>
  </r>
  <r>
    <x v="8"/>
    <m/>
    <n v="162000"/>
    <n v="54000"/>
    <m/>
    <n v="54000"/>
    <x v="20"/>
    <x v="0"/>
    <x v="1"/>
  </r>
  <r>
    <x v="9"/>
    <m/>
    <m/>
    <n v="108000"/>
    <m/>
    <m/>
    <x v="20"/>
    <x v="0"/>
    <x v="1"/>
  </r>
  <r>
    <x v="10"/>
    <m/>
    <m/>
    <m/>
    <m/>
    <m/>
    <x v="20"/>
    <x v="0"/>
    <x v="1"/>
  </r>
  <r>
    <x v="11"/>
    <m/>
    <m/>
    <m/>
    <m/>
    <m/>
    <x v="20"/>
    <x v="0"/>
    <x v="1"/>
  </r>
  <r>
    <x v="12"/>
    <m/>
    <m/>
    <m/>
    <m/>
    <m/>
    <x v="20"/>
    <x v="0"/>
    <x v="1"/>
  </r>
  <r>
    <x v="13"/>
    <m/>
    <m/>
    <m/>
    <m/>
    <m/>
    <x v="20"/>
    <x v="0"/>
    <x v="1"/>
  </r>
  <r>
    <x v="0"/>
    <m/>
    <m/>
    <m/>
    <m/>
    <m/>
    <x v="21"/>
    <x v="0"/>
    <x v="1"/>
  </r>
  <r>
    <x v="1"/>
    <m/>
    <m/>
    <m/>
    <m/>
    <m/>
    <x v="21"/>
    <x v="0"/>
    <x v="1"/>
  </r>
  <r>
    <x v="2"/>
    <m/>
    <n v="320000"/>
    <n v="216000"/>
    <m/>
    <m/>
    <x v="21"/>
    <x v="0"/>
    <x v="1"/>
  </r>
  <r>
    <x v="3"/>
    <m/>
    <m/>
    <m/>
    <m/>
    <m/>
    <x v="21"/>
    <x v="0"/>
    <x v="1"/>
  </r>
  <r>
    <x v="4"/>
    <n v="162000"/>
    <m/>
    <n v="265500"/>
    <m/>
    <m/>
    <x v="21"/>
    <x v="0"/>
    <x v="1"/>
  </r>
  <r>
    <x v="5"/>
    <m/>
    <n v="99000"/>
    <n v="54000"/>
    <m/>
    <n v="99000"/>
    <x v="21"/>
    <x v="0"/>
    <x v="1"/>
  </r>
  <r>
    <x v="6"/>
    <m/>
    <m/>
    <n v="50000"/>
    <m/>
    <m/>
    <x v="21"/>
    <x v="0"/>
    <x v="1"/>
  </r>
  <r>
    <x v="7"/>
    <m/>
    <m/>
    <m/>
    <m/>
    <m/>
    <x v="21"/>
    <x v="0"/>
    <x v="1"/>
  </r>
  <r>
    <x v="8"/>
    <n v="162000"/>
    <n v="481500"/>
    <n v="265500"/>
    <m/>
    <m/>
    <x v="21"/>
    <x v="0"/>
    <x v="1"/>
  </r>
  <r>
    <x v="9"/>
    <n v="162000"/>
    <n v="486000"/>
    <n v="162000"/>
    <m/>
    <n v="305500"/>
    <x v="21"/>
    <x v="0"/>
    <x v="1"/>
  </r>
  <r>
    <x v="10"/>
    <m/>
    <m/>
    <m/>
    <m/>
    <m/>
    <x v="21"/>
    <x v="0"/>
    <x v="1"/>
  </r>
  <r>
    <x v="11"/>
    <m/>
    <m/>
    <m/>
    <m/>
    <m/>
    <x v="21"/>
    <x v="0"/>
    <x v="1"/>
  </r>
  <r>
    <x v="12"/>
    <n v="216000"/>
    <m/>
    <n v="315000"/>
    <m/>
    <m/>
    <x v="21"/>
    <x v="0"/>
    <x v="1"/>
  </r>
  <r>
    <x v="13"/>
    <n v="54000"/>
    <n v="369000"/>
    <m/>
    <m/>
    <m/>
    <x v="21"/>
    <x v="0"/>
    <x v="1"/>
  </r>
  <r>
    <x v="0"/>
    <m/>
    <m/>
    <m/>
    <m/>
    <m/>
    <x v="22"/>
    <x v="0"/>
    <x v="1"/>
  </r>
  <r>
    <x v="1"/>
    <m/>
    <m/>
    <m/>
    <m/>
    <m/>
    <x v="22"/>
    <x v="0"/>
    <x v="1"/>
  </r>
  <r>
    <x v="2"/>
    <m/>
    <n v="204000"/>
    <m/>
    <m/>
    <m/>
    <x v="22"/>
    <x v="0"/>
    <x v="1"/>
  </r>
  <r>
    <x v="3"/>
    <m/>
    <m/>
    <m/>
    <m/>
    <n v="108000"/>
    <x v="22"/>
    <x v="0"/>
    <x v="1"/>
  </r>
  <r>
    <x v="4"/>
    <n v="208000"/>
    <m/>
    <n v="198000"/>
    <m/>
    <m/>
    <x v="22"/>
    <x v="0"/>
    <x v="1"/>
  </r>
  <r>
    <x v="5"/>
    <n v="153000"/>
    <n v="45000"/>
    <m/>
    <m/>
    <m/>
    <x v="22"/>
    <x v="0"/>
    <x v="1"/>
  </r>
  <r>
    <x v="6"/>
    <m/>
    <m/>
    <m/>
    <m/>
    <m/>
    <x v="22"/>
    <x v="0"/>
    <x v="1"/>
  </r>
  <r>
    <x v="7"/>
    <m/>
    <m/>
    <m/>
    <m/>
    <m/>
    <x v="22"/>
    <x v="0"/>
    <x v="1"/>
  </r>
  <r>
    <x v="8"/>
    <n v="316000"/>
    <n v="68000"/>
    <n v="162000"/>
    <m/>
    <m/>
    <x v="22"/>
    <x v="0"/>
    <x v="1"/>
  </r>
  <r>
    <x v="9"/>
    <n v="378000"/>
    <n v="558000"/>
    <n v="54000"/>
    <m/>
    <m/>
    <x v="22"/>
    <x v="0"/>
    <x v="1"/>
  </r>
  <r>
    <x v="10"/>
    <m/>
    <m/>
    <m/>
    <m/>
    <m/>
    <x v="22"/>
    <x v="0"/>
    <x v="1"/>
  </r>
  <r>
    <x v="11"/>
    <m/>
    <m/>
    <m/>
    <m/>
    <m/>
    <x v="22"/>
    <x v="0"/>
    <x v="1"/>
  </r>
  <r>
    <x v="12"/>
    <n v="378000"/>
    <m/>
    <n v="270000"/>
    <m/>
    <m/>
    <x v="22"/>
    <x v="0"/>
    <x v="1"/>
  </r>
  <r>
    <x v="13"/>
    <n v="158000"/>
    <n v="320000"/>
    <n v="54000"/>
    <m/>
    <m/>
    <x v="22"/>
    <x v="0"/>
    <x v="1"/>
  </r>
  <r>
    <x v="0"/>
    <m/>
    <m/>
    <m/>
    <m/>
    <m/>
    <x v="23"/>
    <x v="0"/>
    <x v="1"/>
  </r>
  <r>
    <x v="1"/>
    <m/>
    <m/>
    <m/>
    <m/>
    <m/>
    <x v="23"/>
    <x v="0"/>
    <x v="1"/>
  </r>
  <r>
    <x v="2"/>
    <n v="216000"/>
    <n v="54000"/>
    <n v="162000"/>
    <m/>
    <m/>
    <x v="23"/>
    <x v="0"/>
    <x v="1"/>
  </r>
  <r>
    <x v="3"/>
    <m/>
    <m/>
    <m/>
    <m/>
    <m/>
    <x v="23"/>
    <x v="0"/>
    <x v="1"/>
  </r>
  <r>
    <x v="4"/>
    <n v="54000"/>
    <m/>
    <n v="212000"/>
    <m/>
    <m/>
    <x v="23"/>
    <x v="0"/>
    <x v="1"/>
  </r>
  <r>
    <x v="5"/>
    <n v="252000"/>
    <m/>
    <m/>
    <m/>
    <m/>
    <x v="23"/>
    <x v="0"/>
    <x v="1"/>
  </r>
  <r>
    <x v="6"/>
    <n v="101000"/>
    <n v="108000"/>
    <m/>
    <m/>
    <m/>
    <x v="23"/>
    <x v="0"/>
    <x v="1"/>
  </r>
  <r>
    <x v="7"/>
    <m/>
    <m/>
    <m/>
    <m/>
    <m/>
    <x v="23"/>
    <x v="0"/>
    <x v="1"/>
  </r>
  <r>
    <x v="8"/>
    <n v="419000"/>
    <n v="54000"/>
    <n v="50000"/>
    <m/>
    <m/>
    <x v="23"/>
    <x v="0"/>
    <x v="1"/>
  </r>
  <r>
    <x v="9"/>
    <n v="519000"/>
    <n v="1576500"/>
    <m/>
    <m/>
    <m/>
    <x v="23"/>
    <x v="0"/>
    <x v="1"/>
  </r>
  <r>
    <x v="10"/>
    <m/>
    <m/>
    <m/>
    <m/>
    <m/>
    <x v="23"/>
    <x v="0"/>
    <x v="1"/>
  </r>
  <r>
    <x v="11"/>
    <m/>
    <m/>
    <m/>
    <m/>
    <m/>
    <x v="23"/>
    <x v="0"/>
    <x v="1"/>
  </r>
  <r>
    <x v="12"/>
    <n v="320000"/>
    <n v="54000"/>
    <m/>
    <m/>
    <m/>
    <x v="23"/>
    <x v="0"/>
    <x v="1"/>
  </r>
  <r>
    <x v="13"/>
    <n v="212000"/>
    <m/>
    <n v="162000"/>
    <m/>
    <m/>
    <x v="23"/>
    <x v="0"/>
    <x v="1"/>
  </r>
  <r>
    <x v="0"/>
    <m/>
    <m/>
    <m/>
    <m/>
    <m/>
    <x v="24"/>
    <x v="0"/>
    <x v="1"/>
  </r>
  <r>
    <x v="1"/>
    <m/>
    <m/>
    <m/>
    <m/>
    <m/>
    <x v="24"/>
    <x v="0"/>
    <x v="1"/>
  </r>
  <r>
    <x v="2"/>
    <n v="47000"/>
    <n v="428000"/>
    <n v="270000"/>
    <n v="161000"/>
    <m/>
    <x v="24"/>
    <x v="0"/>
    <x v="1"/>
  </r>
  <r>
    <x v="3"/>
    <m/>
    <m/>
    <m/>
    <m/>
    <m/>
    <x v="24"/>
    <x v="0"/>
    <x v="1"/>
  </r>
  <r>
    <x v="4"/>
    <n v="263000"/>
    <n v="378000"/>
    <n v="162000"/>
    <n v="374000"/>
    <m/>
    <x v="24"/>
    <x v="0"/>
    <x v="1"/>
  </r>
  <r>
    <x v="5"/>
    <n v="108000"/>
    <n v="54000"/>
    <m/>
    <m/>
    <m/>
    <x v="24"/>
    <x v="0"/>
    <x v="1"/>
  </r>
  <r>
    <x v="6"/>
    <n v="104000"/>
    <n v="252000"/>
    <n v="158000"/>
    <m/>
    <m/>
    <x v="24"/>
    <x v="0"/>
    <x v="1"/>
  </r>
  <r>
    <x v="7"/>
    <m/>
    <m/>
    <m/>
    <m/>
    <m/>
    <x v="24"/>
    <x v="0"/>
    <x v="1"/>
  </r>
  <r>
    <x v="8"/>
    <n v="315000"/>
    <m/>
    <m/>
    <m/>
    <m/>
    <x v="24"/>
    <x v="0"/>
    <x v="1"/>
  </r>
  <r>
    <x v="9"/>
    <n v="378000"/>
    <n v="155000"/>
    <m/>
    <n v="108000"/>
    <m/>
    <x v="24"/>
    <x v="0"/>
    <x v="1"/>
  </r>
  <r>
    <x v="10"/>
    <m/>
    <m/>
    <m/>
    <m/>
    <m/>
    <x v="24"/>
    <x v="0"/>
    <x v="1"/>
  </r>
  <r>
    <x v="11"/>
    <m/>
    <m/>
    <m/>
    <m/>
    <m/>
    <x v="24"/>
    <x v="0"/>
    <x v="1"/>
  </r>
  <r>
    <x v="12"/>
    <n v="266000"/>
    <m/>
    <n v="216000"/>
    <m/>
    <m/>
    <x v="24"/>
    <x v="0"/>
    <x v="1"/>
  </r>
  <r>
    <x v="13"/>
    <n v="54000"/>
    <m/>
    <n v="162000"/>
    <m/>
    <m/>
    <x v="24"/>
    <x v="0"/>
    <x v="1"/>
  </r>
  <r>
    <x v="0"/>
    <m/>
    <m/>
    <m/>
    <m/>
    <m/>
    <x v="25"/>
    <x v="0"/>
    <x v="1"/>
  </r>
  <r>
    <x v="1"/>
    <m/>
    <m/>
    <m/>
    <m/>
    <m/>
    <x v="25"/>
    <x v="0"/>
    <x v="1"/>
  </r>
  <r>
    <x v="2"/>
    <n v="324000"/>
    <n v="428000"/>
    <n v="108000"/>
    <n v="365000"/>
    <m/>
    <x v="25"/>
    <x v="0"/>
    <x v="1"/>
  </r>
  <r>
    <x v="3"/>
    <m/>
    <m/>
    <m/>
    <m/>
    <m/>
    <x v="25"/>
    <x v="0"/>
    <x v="1"/>
  </r>
  <r>
    <x v="4"/>
    <n v="99500"/>
    <n v="421000"/>
    <n v="107500"/>
    <n v="366000"/>
    <m/>
    <x v="25"/>
    <x v="0"/>
    <x v="1"/>
  </r>
  <r>
    <x v="5"/>
    <n v="416000"/>
    <m/>
    <m/>
    <m/>
    <m/>
    <x v="25"/>
    <x v="0"/>
    <x v="1"/>
  </r>
  <r>
    <x v="6"/>
    <n v="305000"/>
    <m/>
    <n v="150000"/>
    <m/>
    <m/>
    <x v="25"/>
    <x v="0"/>
    <x v="1"/>
  </r>
  <r>
    <x v="7"/>
    <m/>
    <m/>
    <m/>
    <m/>
    <m/>
    <x v="25"/>
    <x v="0"/>
    <x v="1"/>
  </r>
  <r>
    <x v="8"/>
    <n v="54000"/>
    <m/>
    <m/>
    <m/>
    <m/>
    <x v="25"/>
    <x v="0"/>
    <x v="1"/>
  </r>
  <r>
    <x v="9"/>
    <n v="464000"/>
    <n v="462000"/>
    <m/>
    <n v="324000"/>
    <m/>
    <x v="25"/>
    <x v="0"/>
    <x v="1"/>
  </r>
  <r>
    <x v="10"/>
    <m/>
    <m/>
    <m/>
    <m/>
    <m/>
    <x v="25"/>
    <x v="0"/>
    <x v="1"/>
  </r>
  <r>
    <x v="11"/>
    <m/>
    <m/>
    <m/>
    <m/>
    <m/>
    <x v="25"/>
    <x v="0"/>
    <x v="1"/>
  </r>
  <r>
    <x v="12"/>
    <n v="50000"/>
    <m/>
    <m/>
    <m/>
    <m/>
    <x v="25"/>
    <x v="0"/>
    <x v="1"/>
  </r>
  <r>
    <x v="13"/>
    <n v="108000"/>
    <m/>
    <m/>
    <m/>
    <m/>
    <x v="25"/>
    <x v="0"/>
    <x v="1"/>
  </r>
  <r>
    <x v="0"/>
    <m/>
    <m/>
    <m/>
    <m/>
    <m/>
    <x v="26"/>
    <x v="0"/>
    <x v="1"/>
  </r>
  <r>
    <x v="1"/>
    <m/>
    <m/>
    <m/>
    <m/>
    <m/>
    <x v="26"/>
    <x v="0"/>
    <x v="1"/>
  </r>
  <r>
    <x v="2"/>
    <m/>
    <n v="689500"/>
    <m/>
    <n v="423000"/>
    <m/>
    <x v="26"/>
    <x v="0"/>
    <x v="1"/>
  </r>
  <r>
    <x v="3"/>
    <m/>
    <m/>
    <m/>
    <m/>
    <m/>
    <x v="26"/>
    <x v="0"/>
    <x v="1"/>
  </r>
  <r>
    <x v="4"/>
    <m/>
    <n v="428000"/>
    <m/>
    <n v="162000"/>
    <m/>
    <x v="26"/>
    <x v="0"/>
    <x v="1"/>
  </r>
  <r>
    <x v="5"/>
    <n v="162000"/>
    <m/>
    <m/>
    <m/>
    <m/>
    <x v="26"/>
    <x v="0"/>
    <x v="1"/>
  </r>
  <r>
    <x v="6"/>
    <n v="216000"/>
    <m/>
    <m/>
    <m/>
    <m/>
    <x v="26"/>
    <x v="0"/>
    <x v="1"/>
  </r>
  <r>
    <x v="7"/>
    <m/>
    <m/>
    <m/>
    <m/>
    <m/>
    <x v="26"/>
    <x v="0"/>
    <x v="1"/>
  </r>
  <r>
    <x v="8"/>
    <m/>
    <m/>
    <m/>
    <m/>
    <m/>
    <x v="26"/>
    <x v="0"/>
    <x v="1"/>
  </r>
  <r>
    <x v="9"/>
    <n v="478000"/>
    <n v="422500"/>
    <m/>
    <n v="432000"/>
    <m/>
    <x v="26"/>
    <x v="0"/>
    <x v="1"/>
  </r>
  <r>
    <x v="10"/>
    <m/>
    <m/>
    <m/>
    <m/>
    <m/>
    <x v="26"/>
    <x v="0"/>
    <x v="1"/>
  </r>
  <r>
    <x v="11"/>
    <m/>
    <m/>
    <m/>
    <m/>
    <m/>
    <x v="26"/>
    <x v="0"/>
    <x v="1"/>
  </r>
  <r>
    <x v="12"/>
    <n v="108000"/>
    <m/>
    <m/>
    <m/>
    <m/>
    <x v="26"/>
    <x v="0"/>
    <x v="1"/>
  </r>
  <r>
    <x v="13"/>
    <n v="47000"/>
    <m/>
    <m/>
    <m/>
    <m/>
    <x v="26"/>
    <x v="0"/>
    <x v="1"/>
  </r>
  <r>
    <x v="0"/>
    <m/>
    <n v="513000"/>
    <m/>
    <n v="266000"/>
    <m/>
    <x v="27"/>
    <x v="0"/>
    <x v="1"/>
  </r>
  <r>
    <x v="1"/>
    <m/>
    <m/>
    <m/>
    <m/>
    <m/>
    <x v="27"/>
    <x v="0"/>
    <x v="1"/>
  </r>
  <r>
    <x v="2"/>
    <n v="412000"/>
    <n v="307000"/>
    <m/>
    <n v="324000"/>
    <m/>
    <x v="27"/>
    <x v="0"/>
    <x v="1"/>
  </r>
  <r>
    <x v="3"/>
    <m/>
    <m/>
    <m/>
    <m/>
    <m/>
    <x v="27"/>
    <x v="0"/>
    <x v="1"/>
  </r>
  <r>
    <x v="4"/>
    <m/>
    <n v="887000"/>
    <m/>
    <m/>
    <m/>
    <x v="27"/>
    <x v="0"/>
    <x v="1"/>
  </r>
  <r>
    <x v="5"/>
    <n v="54000"/>
    <m/>
    <m/>
    <m/>
    <m/>
    <x v="27"/>
    <x v="0"/>
    <x v="1"/>
  </r>
  <r>
    <x v="6"/>
    <n v="54000"/>
    <m/>
    <m/>
    <m/>
    <m/>
    <x v="27"/>
    <x v="0"/>
    <x v="1"/>
  </r>
  <r>
    <x v="7"/>
    <m/>
    <m/>
    <m/>
    <m/>
    <m/>
    <x v="27"/>
    <x v="0"/>
    <x v="1"/>
  </r>
  <r>
    <x v="8"/>
    <m/>
    <m/>
    <m/>
    <m/>
    <m/>
    <x v="27"/>
    <x v="0"/>
    <x v="1"/>
  </r>
  <r>
    <x v="9"/>
    <n v="324000"/>
    <m/>
    <m/>
    <n v="477500"/>
    <m/>
    <x v="27"/>
    <x v="0"/>
    <x v="1"/>
  </r>
  <r>
    <x v="10"/>
    <m/>
    <m/>
    <m/>
    <m/>
    <m/>
    <x v="27"/>
    <x v="0"/>
    <x v="1"/>
  </r>
  <r>
    <x v="11"/>
    <m/>
    <m/>
    <m/>
    <m/>
    <m/>
    <x v="27"/>
    <x v="0"/>
    <x v="1"/>
  </r>
  <r>
    <x v="12"/>
    <m/>
    <m/>
    <m/>
    <m/>
    <m/>
    <x v="27"/>
    <x v="0"/>
    <x v="1"/>
  </r>
  <r>
    <x v="13"/>
    <n v="54000"/>
    <m/>
    <m/>
    <m/>
    <m/>
    <x v="27"/>
    <x v="0"/>
    <x v="1"/>
  </r>
  <r>
    <x v="0"/>
    <m/>
    <n v="306000"/>
    <m/>
    <n v="212000"/>
    <m/>
    <x v="28"/>
    <x v="0"/>
    <x v="1"/>
  </r>
  <r>
    <x v="1"/>
    <m/>
    <m/>
    <m/>
    <m/>
    <m/>
    <x v="28"/>
    <x v="0"/>
    <x v="1"/>
  </r>
  <r>
    <x v="2"/>
    <m/>
    <n v="459000"/>
    <m/>
    <n v="482000"/>
    <m/>
    <x v="28"/>
    <x v="0"/>
    <x v="1"/>
  </r>
  <r>
    <x v="3"/>
    <m/>
    <m/>
    <m/>
    <m/>
    <m/>
    <x v="28"/>
    <x v="0"/>
    <x v="1"/>
  </r>
  <r>
    <x v="4"/>
    <m/>
    <n v="324000"/>
    <m/>
    <m/>
    <m/>
    <x v="28"/>
    <x v="0"/>
    <x v="1"/>
  </r>
  <r>
    <x v="5"/>
    <m/>
    <m/>
    <m/>
    <m/>
    <m/>
    <x v="28"/>
    <x v="0"/>
    <x v="1"/>
  </r>
  <r>
    <x v="6"/>
    <m/>
    <m/>
    <m/>
    <m/>
    <m/>
    <x v="28"/>
    <x v="0"/>
    <x v="1"/>
  </r>
  <r>
    <x v="7"/>
    <m/>
    <m/>
    <m/>
    <m/>
    <m/>
    <x v="28"/>
    <x v="0"/>
    <x v="1"/>
  </r>
  <r>
    <x v="8"/>
    <m/>
    <m/>
    <m/>
    <m/>
    <m/>
    <x v="28"/>
    <x v="0"/>
    <x v="1"/>
  </r>
  <r>
    <x v="9"/>
    <m/>
    <n v="424000"/>
    <m/>
    <n v="315000"/>
    <m/>
    <x v="28"/>
    <x v="0"/>
    <x v="1"/>
  </r>
  <r>
    <x v="10"/>
    <m/>
    <m/>
    <m/>
    <m/>
    <m/>
    <x v="28"/>
    <x v="0"/>
    <x v="1"/>
  </r>
  <r>
    <x v="11"/>
    <m/>
    <m/>
    <m/>
    <m/>
    <m/>
    <x v="28"/>
    <x v="0"/>
    <x v="1"/>
  </r>
  <r>
    <x v="12"/>
    <m/>
    <m/>
    <m/>
    <m/>
    <m/>
    <x v="28"/>
    <x v="0"/>
    <x v="1"/>
  </r>
  <r>
    <x v="13"/>
    <m/>
    <m/>
    <m/>
    <m/>
    <m/>
    <x v="28"/>
    <x v="0"/>
    <x v="1"/>
  </r>
  <r>
    <x v="0"/>
    <m/>
    <n v="146000"/>
    <m/>
    <m/>
    <m/>
    <x v="29"/>
    <x v="0"/>
    <x v="1"/>
  </r>
  <r>
    <x v="1"/>
    <m/>
    <m/>
    <m/>
    <m/>
    <m/>
    <x v="29"/>
    <x v="0"/>
    <x v="1"/>
  </r>
  <r>
    <x v="2"/>
    <m/>
    <n v="324000"/>
    <m/>
    <n v="104000"/>
    <m/>
    <x v="29"/>
    <x v="0"/>
    <x v="1"/>
  </r>
  <r>
    <x v="3"/>
    <m/>
    <m/>
    <m/>
    <m/>
    <m/>
    <x v="29"/>
    <x v="0"/>
    <x v="1"/>
  </r>
  <r>
    <x v="4"/>
    <m/>
    <n v="317000"/>
    <m/>
    <m/>
    <m/>
    <x v="29"/>
    <x v="0"/>
    <x v="1"/>
  </r>
  <r>
    <x v="5"/>
    <m/>
    <m/>
    <m/>
    <m/>
    <m/>
    <x v="29"/>
    <x v="0"/>
    <x v="1"/>
  </r>
  <r>
    <x v="6"/>
    <m/>
    <m/>
    <m/>
    <m/>
    <m/>
    <x v="29"/>
    <x v="0"/>
    <x v="1"/>
  </r>
  <r>
    <x v="7"/>
    <m/>
    <m/>
    <m/>
    <m/>
    <m/>
    <x v="29"/>
    <x v="0"/>
    <x v="1"/>
  </r>
  <r>
    <x v="8"/>
    <m/>
    <m/>
    <m/>
    <m/>
    <m/>
    <x v="29"/>
    <x v="0"/>
    <x v="1"/>
  </r>
  <r>
    <x v="9"/>
    <m/>
    <n v="324000"/>
    <m/>
    <n v="911000"/>
    <m/>
    <x v="29"/>
    <x v="0"/>
    <x v="1"/>
  </r>
  <r>
    <x v="10"/>
    <m/>
    <m/>
    <m/>
    <m/>
    <m/>
    <x v="29"/>
    <x v="0"/>
    <x v="1"/>
  </r>
  <r>
    <x v="11"/>
    <m/>
    <m/>
    <m/>
    <m/>
    <m/>
    <x v="29"/>
    <x v="0"/>
    <x v="1"/>
  </r>
  <r>
    <x v="12"/>
    <m/>
    <m/>
    <m/>
    <m/>
    <m/>
    <x v="29"/>
    <x v="0"/>
    <x v="1"/>
  </r>
  <r>
    <x v="13"/>
    <m/>
    <m/>
    <m/>
    <m/>
    <m/>
    <x v="29"/>
    <x v="0"/>
    <x v="1"/>
  </r>
  <r>
    <x v="0"/>
    <m/>
    <n v="207000"/>
    <m/>
    <m/>
    <m/>
    <x v="30"/>
    <x v="0"/>
    <x v="1"/>
  </r>
  <r>
    <x v="1"/>
    <m/>
    <m/>
    <m/>
    <m/>
    <m/>
    <x v="30"/>
    <x v="0"/>
    <x v="1"/>
  </r>
  <r>
    <x v="2"/>
    <m/>
    <n v="423000"/>
    <m/>
    <m/>
    <m/>
    <x v="30"/>
    <x v="0"/>
    <x v="1"/>
  </r>
  <r>
    <x v="3"/>
    <m/>
    <m/>
    <m/>
    <m/>
    <m/>
    <x v="30"/>
    <x v="0"/>
    <x v="1"/>
  </r>
  <r>
    <x v="4"/>
    <m/>
    <n v="108000"/>
    <m/>
    <n v="50000"/>
    <m/>
    <x v="30"/>
    <x v="0"/>
    <x v="1"/>
  </r>
  <r>
    <x v="5"/>
    <m/>
    <m/>
    <m/>
    <m/>
    <m/>
    <x v="30"/>
    <x v="0"/>
    <x v="1"/>
  </r>
  <r>
    <x v="6"/>
    <m/>
    <m/>
    <m/>
    <m/>
    <m/>
    <x v="30"/>
    <x v="0"/>
    <x v="1"/>
  </r>
  <r>
    <x v="7"/>
    <m/>
    <m/>
    <m/>
    <m/>
    <m/>
    <x v="30"/>
    <x v="0"/>
    <x v="1"/>
  </r>
  <r>
    <x v="8"/>
    <m/>
    <m/>
    <m/>
    <m/>
    <m/>
    <x v="30"/>
    <x v="0"/>
    <x v="1"/>
  </r>
  <r>
    <x v="9"/>
    <m/>
    <n v="207000"/>
    <m/>
    <n v="216000"/>
    <m/>
    <x v="30"/>
    <x v="0"/>
    <x v="1"/>
  </r>
  <r>
    <x v="10"/>
    <m/>
    <m/>
    <m/>
    <m/>
    <m/>
    <x v="30"/>
    <x v="0"/>
    <x v="1"/>
  </r>
  <r>
    <x v="11"/>
    <m/>
    <m/>
    <m/>
    <m/>
    <m/>
    <x v="30"/>
    <x v="0"/>
    <x v="1"/>
  </r>
  <r>
    <x v="12"/>
    <m/>
    <m/>
    <m/>
    <m/>
    <m/>
    <x v="30"/>
    <x v="0"/>
    <x v="1"/>
  </r>
  <r>
    <x v="13"/>
    <m/>
    <m/>
    <m/>
    <m/>
    <m/>
    <x v="30"/>
    <x v="0"/>
    <x v="1"/>
  </r>
  <r>
    <x v="0"/>
    <m/>
    <n v="378000"/>
    <m/>
    <m/>
    <m/>
    <x v="31"/>
    <x v="0"/>
    <x v="1"/>
  </r>
  <r>
    <x v="1"/>
    <m/>
    <m/>
    <m/>
    <m/>
    <m/>
    <x v="31"/>
    <x v="0"/>
    <x v="1"/>
  </r>
  <r>
    <x v="2"/>
    <m/>
    <n v="644000"/>
    <m/>
    <n v="54000"/>
    <m/>
    <x v="31"/>
    <x v="0"/>
    <x v="1"/>
  </r>
  <r>
    <x v="3"/>
    <m/>
    <m/>
    <m/>
    <m/>
    <m/>
    <x v="31"/>
    <x v="0"/>
    <x v="1"/>
  </r>
  <r>
    <x v="4"/>
    <m/>
    <n v="265000"/>
    <m/>
    <m/>
    <m/>
    <x v="31"/>
    <x v="0"/>
    <x v="1"/>
  </r>
  <r>
    <x v="5"/>
    <m/>
    <m/>
    <m/>
    <m/>
    <m/>
    <x v="31"/>
    <x v="0"/>
    <x v="1"/>
  </r>
  <r>
    <x v="6"/>
    <m/>
    <m/>
    <m/>
    <m/>
    <m/>
    <x v="31"/>
    <x v="0"/>
    <x v="1"/>
  </r>
  <r>
    <x v="7"/>
    <m/>
    <m/>
    <m/>
    <m/>
    <m/>
    <x v="31"/>
    <x v="0"/>
    <x v="1"/>
  </r>
  <r>
    <x v="8"/>
    <m/>
    <m/>
    <m/>
    <m/>
    <m/>
    <x v="31"/>
    <x v="0"/>
    <x v="1"/>
  </r>
  <r>
    <x v="9"/>
    <m/>
    <n v="531000"/>
    <m/>
    <n v="216000"/>
    <m/>
    <x v="31"/>
    <x v="0"/>
    <x v="1"/>
  </r>
  <r>
    <x v="10"/>
    <m/>
    <m/>
    <m/>
    <m/>
    <m/>
    <x v="31"/>
    <x v="0"/>
    <x v="1"/>
  </r>
  <r>
    <x v="11"/>
    <m/>
    <m/>
    <m/>
    <m/>
    <m/>
    <x v="31"/>
    <x v="0"/>
    <x v="1"/>
  </r>
  <r>
    <x v="12"/>
    <m/>
    <m/>
    <m/>
    <m/>
    <m/>
    <x v="31"/>
    <x v="0"/>
    <x v="1"/>
  </r>
  <r>
    <x v="13"/>
    <m/>
    <m/>
    <m/>
    <m/>
    <m/>
    <x v="31"/>
    <x v="0"/>
    <x v="1"/>
  </r>
  <r>
    <x v="0"/>
    <m/>
    <n v="352000"/>
    <m/>
    <m/>
    <m/>
    <x v="32"/>
    <x v="0"/>
    <x v="1"/>
  </r>
  <r>
    <x v="1"/>
    <m/>
    <m/>
    <m/>
    <m/>
    <m/>
    <x v="32"/>
    <x v="0"/>
    <x v="1"/>
  </r>
  <r>
    <x v="2"/>
    <m/>
    <n v="792000"/>
    <m/>
    <m/>
    <m/>
    <x v="32"/>
    <x v="0"/>
    <x v="1"/>
  </r>
  <r>
    <x v="3"/>
    <m/>
    <m/>
    <m/>
    <m/>
    <m/>
    <x v="32"/>
    <x v="0"/>
    <x v="1"/>
  </r>
  <r>
    <x v="4"/>
    <m/>
    <n v="50000"/>
    <m/>
    <m/>
    <m/>
    <x v="32"/>
    <x v="0"/>
    <x v="1"/>
  </r>
  <r>
    <x v="5"/>
    <m/>
    <m/>
    <m/>
    <m/>
    <m/>
    <x v="32"/>
    <x v="0"/>
    <x v="1"/>
  </r>
  <r>
    <x v="6"/>
    <m/>
    <m/>
    <m/>
    <m/>
    <m/>
    <x v="32"/>
    <x v="0"/>
    <x v="1"/>
  </r>
  <r>
    <x v="7"/>
    <m/>
    <m/>
    <m/>
    <m/>
    <m/>
    <x v="32"/>
    <x v="0"/>
    <x v="1"/>
  </r>
  <r>
    <x v="8"/>
    <m/>
    <m/>
    <m/>
    <m/>
    <m/>
    <x v="32"/>
    <x v="0"/>
    <x v="1"/>
  </r>
  <r>
    <x v="9"/>
    <m/>
    <n v="738500"/>
    <m/>
    <n v="54000"/>
    <m/>
    <x v="32"/>
    <x v="0"/>
    <x v="1"/>
  </r>
  <r>
    <x v="10"/>
    <m/>
    <m/>
    <m/>
    <m/>
    <m/>
    <x v="32"/>
    <x v="0"/>
    <x v="1"/>
  </r>
  <r>
    <x v="11"/>
    <m/>
    <m/>
    <m/>
    <m/>
    <m/>
    <x v="32"/>
    <x v="0"/>
    <x v="1"/>
  </r>
  <r>
    <x v="12"/>
    <m/>
    <m/>
    <m/>
    <m/>
    <m/>
    <x v="32"/>
    <x v="0"/>
    <x v="1"/>
  </r>
  <r>
    <x v="13"/>
    <m/>
    <m/>
    <m/>
    <m/>
    <m/>
    <x v="32"/>
    <x v="0"/>
    <x v="1"/>
  </r>
  <r>
    <x v="0"/>
    <m/>
    <n v="47000"/>
    <m/>
    <m/>
    <m/>
    <x v="33"/>
    <x v="0"/>
    <x v="1"/>
  </r>
  <r>
    <x v="1"/>
    <m/>
    <m/>
    <m/>
    <m/>
    <m/>
    <x v="33"/>
    <x v="0"/>
    <x v="1"/>
  </r>
  <r>
    <x v="2"/>
    <n v="500000"/>
    <n v="1440000"/>
    <m/>
    <n v="54000"/>
    <m/>
    <x v="33"/>
    <x v="0"/>
    <x v="1"/>
  </r>
  <r>
    <x v="3"/>
    <m/>
    <m/>
    <m/>
    <m/>
    <m/>
    <x v="33"/>
    <x v="0"/>
    <x v="1"/>
  </r>
  <r>
    <x v="4"/>
    <m/>
    <n v="45000"/>
    <m/>
    <n v="95000"/>
    <m/>
    <x v="33"/>
    <x v="0"/>
    <x v="1"/>
  </r>
  <r>
    <x v="5"/>
    <m/>
    <m/>
    <m/>
    <m/>
    <m/>
    <x v="33"/>
    <x v="0"/>
    <x v="1"/>
  </r>
  <r>
    <x v="6"/>
    <m/>
    <m/>
    <m/>
    <m/>
    <m/>
    <x v="33"/>
    <x v="0"/>
    <x v="1"/>
  </r>
  <r>
    <x v="7"/>
    <m/>
    <m/>
    <m/>
    <m/>
    <m/>
    <x v="33"/>
    <x v="0"/>
    <x v="1"/>
  </r>
  <r>
    <x v="8"/>
    <m/>
    <m/>
    <m/>
    <m/>
    <m/>
    <x v="33"/>
    <x v="0"/>
    <x v="1"/>
  </r>
  <r>
    <x v="9"/>
    <m/>
    <m/>
    <m/>
    <n v="54000"/>
    <m/>
    <x v="33"/>
    <x v="0"/>
    <x v="1"/>
  </r>
  <r>
    <x v="10"/>
    <m/>
    <m/>
    <m/>
    <m/>
    <m/>
    <x v="33"/>
    <x v="0"/>
    <x v="1"/>
  </r>
  <r>
    <x v="11"/>
    <m/>
    <m/>
    <m/>
    <m/>
    <m/>
    <x v="33"/>
    <x v="0"/>
    <x v="1"/>
  </r>
  <r>
    <x v="12"/>
    <m/>
    <m/>
    <m/>
    <m/>
    <m/>
    <x v="33"/>
    <x v="0"/>
    <x v="1"/>
  </r>
  <r>
    <x v="13"/>
    <m/>
    <n v="54000"/>
    <m/>
    <m/>
    <m/>
    <x v="33"/>
    <x v="0"/>
    <x v="1"/>
  </r>
  <r>
    <x v="0"/>
    <m/>
    <m/>
    <m/>
    <m/>
    <m/>
    <x v="34"/>
    <x v="0"/>
    <x v="1"/>
  </r>
  <r>
    <x v="1"/>
    <m/>
    <m/>
    <m/>
    <m/>
    <m/>
    <x v="34"/>
    <x v="0"/>
    <x v="1"/>
  </r>
  <r>
    <x v="2"/>
    <m/>
    <m/>
    <m/>
    <m/>
    <m/>
    <x v="34"/>
    <x v="0"/>
    <x v="1"/>
  </r>
  <r>
    <x v="3"/>
    <m/>
    <m/>
    <m/>
    <m/>
    <m/>
    <x v="34"/>
    <x v="0"/>
    <x v="1"/>
  </r>
  <r>
    <x v="4"/>
    <m/>
    <n v="45000"/>
    <m/>
    <m/>
    <m/>
    <x v="34"/>
    <x v="0"/>
    <x v="1"/>
  </r>
  <r>
    <x v="5"/>
    <n v="50000"/>
    <m/>
    <m/>
    <m/>
    <m/>
    <x v="34"/>
    <x v="0"/>
    <x v="1"/>
  </r>
  <r>
    <x v="6"/>
    <m/>
    <m/>
    <m/>
    <m/>
    <m/>
    <x v="34"/>
    <x v="0"/>
    <x v="1"/>
  </r>
  <r>
    <x v="7"/>
    <m/>
    <m/>
    <m/>
    <m/>
    <m/>
    <x v="34"/>
    <x v="0"/>
    <x v="1"/>
  </r>
  <r>
    <x v="8"/>
    <m/>
    <m/>
    <m/>
    <m/>
    <m/>
    <x v="34"/>
    <x v="0"/>
    <x v="1"/>
  </r>
  <r>
    <x v="9"/>
    <m/>
    <m/>
    <m/>
    <m/>
    <m/>
    <x v="34"/>
    <x v="0"/>
    <x v="1"/>
  </r>
  <r>
    <x v="10"/>
    <m/>
    <m/>
    <m/>
    <m/>
    <m/>
    <x v="34"/>
    <x v="0"/>
    <x v="1"/>
  </r>
  <r>
    <x v="11"/>
    <m/>
    <m/>
    <m/>
    <m/>
    <m/>
    <x v="34"/>
    <x v="0"/>
    <x v="1"/>
  </r>
  <r>
    <x v="12"/>
    <m/>
    <m/>
    <m/>
    <m/>
    <m/>
    <x v="34"/>
    <x v="0"/>
    <x v="1"/>
  </r>
  <r>
    <x v="13"/>
    <m/>
    <n v="1318000"/>
    <m/>
    <n v="702000"/>
    <m/>
    <x v="34"/>
    <x v="0"/>
    <x v="1"/>
  </r>
  <r>
    <x v="0"/>
    <m/>
    <m/>
    <m/>
    <m/>
    <m/>
    <x v="35"/>
    <x v="0"/>
    <x v="1"/>
  </r>
  <r>
    <x v="1"/>
    <m/>
    <m/>
    <m/>
    <m/>
    <m/>
    <x v="35"/>
    <x v="0"/>
    <x v="1"/>
  </r>
  <r>
    <x v="2"/>
    <m/>
    <m/>
    <m/>
    <m/>
    <m/>
    <x v="35"/>
    <x v="0"/>
    <x v="1"/>
  </r>
  <r>
    <x v="3"/>
    <m/>
    <n v="1206500"/>
    <m/>
    <n v="540000"/>
    <m/>
    <x v="35"/>
    <x v="0"/>
    <x v="1"/>
  </r>
  <r>
    <x v="4"/>
    <m/>
    <m/>
    <m/>
    <m/>
    <m/>
    <x v="35"/>
    <x v="0"/>
    <x v="1"/>
  </r>
  <r>
    <x v="5"/>
    <m/>
    <m/>
    <m/>
    <m/>
    <m/>
    <x v="35"/>
    <x v="0"/>
    <x v="1"/>
  </r>
  <r>
    <x v="6"/>
    <m/>
    <m/>
    <m/>
    <m/>
    <m/>
    <x v="35"/>
    <x v="0"/>
    <x v="1"/>
  </r>
  <r>
    <x v="7"/>
    <m/>
    <m/>
    <m/>
    <m/>
    <m/>
    <x v="35"/>
    <x v="0"/>
    <x v="1"/>
  </r>
  <r>
    <x v="8"/>
    <m/>
    <m/>
    <m/>
    <m/>
    <m/>
    <x v="35"/>
    <x v="0"/>
    <x v="1"/>
  </r>
  <r>
    <x v="9"/>
    <m/>
    <m/>
    <m/>
    <m/>
    <m/>
    <x v="35"/>
    <x v="0"/>
    <x v="1"/>
  </r>
  <r>
    <x v="10"/>
    <m/>
    <m/>
    <m/>
    <m/>
    <m/>
    <x v="35"/>
    <x v="0"/>
    <x v="1"/>
  </r>
  <r>
    <x v="11"/>
    <m/>
    <m/>
    <m/>
    <m/>
    <m/>
    <x v="35"/>
    <x v="0"/>
    <x v="1"/>
  </r>
  <r>
    <x v="12"/>
    <m/>
    <m/>
    <m/>
    <m/>
    <m/>
    <x v="35"/>
    <x v="0"/>
    <x v="1"/>
  </r>
  <r>
    <x v="13"/>
    <m/>
    <n v="476500"/>
    <m/>
    <n v="270000"/>
    <m/>
    <x v="35"/>
    <x v="0"/>
    <x v="1"/>
  </r>
  <r>
    <x v="0"/>
    <m/>
    <m/>
    <m/>
    <m/>
    <m/>
    <x v="36"/>
    <x v="0"/>
    <x v="1"/>
  </r>
  <r>
    <x v="1"/>
    <m/>
    <m/>
    <m/>
    <m/>
    <m/>
    <x v="36"/>
    <x v="0"/>
    <x v="1"/>
  </r>
  <r>
    <x v="2"/>
    <n v="810000"/>
    <m/>
    <n v="648000"/>
    <m/>
    <m/>
    <x v="36"/>
    <x v="0"/>
    <x v="1"/>
  </r>
  <r>
    <x v="3"/>
    <m/>
    <n v="1782000"/>
    <m/>
    <n v="270000"/>
    <m/>
    <x v="36"/>
    <x v="0"/>
    <x v="1"/>
  </r>
  <r>
    <x v="4"/>
    <m/>
    <m/>
    <m/>
    <m/>
    <m/>
    <x v="36"/>
    <x v="0"/>
    <x v="1"/>
  </r>
  <r>
    <x v="5"/>
    <n v="54000"/>
    <m/>
    <m/>
    <m/>
    <m/>
    <x v="36"/>
    <x v="0"/>
    <x v="1"/>
  </r>
  <r>
    <x v="6"/>
    <m/>
    <m/>
    <m/>
    <m/>
    <m/>
    <x v="36"/>
    <x v="0"/>
    <x v="1"/>
  </r>
  <r>
    <x v="7"/>
    <m/>
    <m/>
    <m/>
    <m/>
    <m/>
    <x v="36"/>
    <x v="0"/>
    <x v="1"/>
  </r>
  <r>
    <x v="8"/>
    <m/>
    <m/>
    <m/>
    <m/>
    <m/>
    <x v="36"/>
    <x v="0"/>
    <x v="1"/>
  </r>
  <r>
    <x v="9"/>
    <m/>
    <n v="54000"/>
    <m/>
    <m/>
    <m/>
    <x v="36"/>
    <x v="0"/>
    <x v="1"/>
  </r>
  <r>
    <x v="10"/>
    <m/>
    <m/>
    <m/>
    <m/>
    <m/>
    <x v="36"/>
    <x v="0"/>
    <x v="1"/>
  </r>
  <r>
    <x v="11"/>
    <m/>
    <m/>
    <m/>
    <m/>
    <m/>
    <x v="36"/>
    <x v="0"/>
    <x v="1"/>
  </r>
  <r>
    <x v="12"/>
    <m/>
    <m/>
    <m/>
    <m/>
    <m/>
    <x v="36"/>
    <x v="0"/>
    <x v="1"/>
  </r>
  <r>
    <x v="13"/>
    <m/>
    <n v="50000"/>
    <m/>
    <m/>
    <m/>
    <x v="36"/>
    <x v="0"/>
    <x v="1"/>
  </r>
  <r>
    <x v="0"/>
    <m/>
    <m/>
    <m/>
    <m/>
    <m/>
    <x v="37"/>
    <x v="0"/>
    <x v="1"/>
  </r>
  <r>
    <x v="1"/>
    <m/>
    <m/>
    <m/>
    <m/>
    <m/>
    <x v="37"/>
    <x v="0"/>
    <x v="1"/>
  </r>
  <r>
    <x v="2"/>
    <n v="1754500"/>
    <m/>
    <n v="648000"/>
    <m/>
    <m/>
    <x v="37"/>
    <x v="0"/>
    <x v="1"/>
  </r>
  <r>
    <x v="3"/>
    <m/>
    <m/>
    <m/>
    <n v="189500"/>
    <m/>
    <x v="37"/>
    <x v="0"/>
    <x v="1"/>
  </r>
  <r>
    <x v="4"/>
    <m/>
    <m/>
    <m/>
    <m/>
    <m/>
    <x v="37"/>
    <x v="0"/>
    <x v="1"/>
  </r>
  <r>
    <x v="5"/>
    <m/>
    <n v="162000"/>
    <m/>
    <n v="324000"/>
    <m/>
    <x v="37"/>
    <x v="0"/>
    <x v="1"/>
  </r>
  <r>
    <x v="6"/>
    <m/>
    <n v="423000"/>
    <m/>
    <m/>
    <m/>
    <x v="37"/>
    <x v="0"/>
    <x v="1"/>
  </r>
  <r>
    <x v="7"/>
    <m/>
    <m/>
    <m/>
    <m/>
    <m/>
    <x v="37"/>
    <x v="0"/>
    <x v="1"/>
  </r>
  <r>
    <x v="8"/>
    <m/>
    <m/>
    <m/>
    <m/>
    <m/>
    <x v="37"/>
    <x v="0"/>
    <x v="1"/>
  </r>
  <r>
    <x v="9"/>
    <m/>
    <m/>
    <m/>
    <m/>
    <m/>
    <x v="37"/>
    <x v="0"/>
    <x v="1"/>
  </r>
  <r>
    <x v="10"/>
    <m/>
    <m/>
    <m/>
    <m/>
    <m/>
    <x v="37"/>
    <x v="0"/>
    <x v="1"/>
  </r>
  <r>
    <x v="11"/>
    <m/>
    <m/>
    <m/>
    <m/>
    <m/>
    <x v="37"/>
    <x v="0"/>
    <x v="1"/>
  </r>
  <r>
    <x v="12"/>
    <m/>
    <m/>
    <m/>
    <m/>
    <m/>
    <x v="37"/>
    <x v="0"/>
    <x v="1"/>
  </r>
  <r>
    <x v="13"/>
    <m/>
    <m/>
    <m/>
    <m/>
    <m/>
    <x v="37"/>
    <x v="0"/>
    <x v="1"/>
  </r>
  <r>
    <x v="0"/>
    <m/>
    <m/>
    <m/>
    <m/>
    <m/>
    <x v="38"/>
    <x v="0"/>
    <x v="1"/>
  </r>
  <r>
    <x v="1"/>
    <m/>
    <m/>
    <m/>
    <m/>
    <m/>
    <x v="38"/>
    <x v="0"/>
    <x v="1"/>
  </r>
  <r>
    <x v="2"/>
    <n v="1265000"/>
    <m/>
    <n v="636000"/>
    <m/>
    <m/>
    <x v="38"/>
    <x v="0"/>
    <x v="1"/>
  </r>
  <r>
    <x v="3"/>
    <m/>
    <m/>
    <m/>
    <m/>
    <m/>
    <x v="38"/>
    <x v="0"/>
    <x v="1"/>
  </r>
  <r>
    <x v="4"/>
    <m/>
    <m/>
    <m/>
    <m/>
    <m/>
    <x v="38"/>
    <x v="0"/>
    <x v="1"/>
  </r>
  <r>
    <x v="5"/>
    <m/>
    <n v="664000"/>
    <m/>
    <n v="311500"/>
    <m/>
    <x v="38"/>
    <x v="0"/>
    <x v="1"/>
  </r>
  <r>
    <x v="6"/>
    <m/>
    <n v="639500"/>
    <m/>
    <m/>
    <m/>
    <x v="38"/>
    <x v="0"/>
    <x v="1"/>
  </r>
  <r>
    <x v="7"/>
    <m/>
    <m/>
    <m/>
    <m/>
    <m/>
    <x v="38"/>
    <x v="0"/>
    <x v="1"/>
  </r>
  <r>
    <x v="8"/>
    <m/>
    <m/>
    <m/>
    <m/>
    <m/>
    <x v="38"/>
    <x v="0"/>
    <x v="1"/>
  </r>
  <r>
    <x v="9"/>
    <n v="851000"/>
    <m/>
    <n v="212000"/>
    <m/>
    <m/>
    <x v="38"/>
    <x v="0"/>
    <x v="1"/>
  </r>
  <r>
    <x v="10"/>
    <m/>
    <m/>
    <m/>
    <m/>
    <m/>
    <x v="38"/>
    <x v="0"/>
    <x v="1"/>
  </r>
  <r>
    <x v="11"/>
    <m/>
    <m/>
    <m/>
    <m/>
    <m/>
    <x v="38"/>
    <x v="0"/>
    <x v="1"/>
  </r>
  <r>
    <x v="12"/>
    <m/>
    <n v="424000"/>
    <m/>
    <m/>
    <m/>
    <x v="38"/>
    <x v="0"/>
    <x v="1"/>
  </r>
  <r>
    <x v="13"/>
    <m/>
    <m/>
    <m/>
    <m/>
    <m/>
    <x v="38"/>
    <x v="0"/>
    <x v="1"/>
  </r>
  <r>
    <x v="0"/>
    <m/>
    <n v="50000"/>
    <m/>
    <m/>
    <m/>
    <x v="39"/>
    <x v="0"/>
    <x v="1"/>
  </r>
  <r>
    <x v="1"/>
    <m/>
    <m/>
    <m/>
    <m/>
    <m/>
    <x v="39"/>
    <x v="0"/>
    <x v="1"/>
  </r>
  <r>
    <x v="2"/>
    <n v="953000"/>
    <m/>
    <n v="528000"/>
    <m/>
    <m/>
    <x v="39"/>
    <x v="0"/>
    <x v="1"/>
  </r>
  <r>
    <x v="3"/>
    <m/>
    <m/>
    <m/>
    <m/>
    <m/>
    <x v="39"/>
    <x v="0"/>
    <x v="1"/>
  </r>
  <r>
    <x v="4"/>
    <m/>
    <m/>
    <m/>
    <n v="478000"/>
    <m/>
    <x v="39"/>
    <x v="0"/>
    <x v="1"/>
  </r>
  <r>
    <x v="5"/>
    <m/>
    <n v="968000"/>
    <m/>
    <n v="150000"/>
    <m/>
    <x v="39"/>
    <x v="0"/>
    <x v="1"/>
  </r>
  <r>
    <x v="6"/>
    <m/>
    <n v="108000"/>
    <m/>
    <m/>
    <m/>
    <x v="39"/>
    <x v="0"/>
    <x v="1"/>
  </r>
  <r>
    <x v="7"/>
    <m/>
    <m/>
    <m/>
    <m/>
    <m/>
    <x v="39"/>
    <x v="0"/>
    <x v="1"/>
  </r>
  <r>
    <x v="8"/>
    <m/>
    <m/>
    <m/>
    <m/>
    <m/>
    <x v="39"/>
    <x v="0"/>
    <x v="1"/>
  </r>
  <r>
    <x v="9"/>
    <n v="1330000"/>
    <m/>
    <n v="158000"/>
    <m/>
    <m/>
    <x v="39"/>
    <x v="0"/>
    <x v="1"/>
  </r>
  <r>
    <x v="10"/>
    <m/>
    <m/>
    <m/>
    <m/>
    <m/>
    <x v="39"/>
    <x v="0"/>
    <x v="1"/>
  </r>
  <r>
    <x v="11"/>
    <m/>
    <m/>
    <m/>
    <m/>
    <m/>
    <x v="39"/>
    <x v="0"/>
    <x v="1"/>
  </r>
  <r>
    <x v="12"/>
    <m/>
    <n v="108000"/>
    <m/>
    <m/>
    <m/>
    <x v="39"/>
    <x v="0"/>
    <x v="1"/>
  </r>
  <r>
    <x v="13"/>
    <m/>
    <m/>
    <m/>
    <m/>
    <m/>
    <x v="39"/>
    <x v="0"/>
    <x v="1"/>
  </r>
  <r>
    <x v="0"/>
    <m/>
    <m/>
    <m/>
    <m/>
    <m/>
    <x v="40"/>
    <x v="0"/>
    <x v="2"/>
  </r>
  <r>
    <x v="1"/>
    <m/>
    <m/>
    <m/>
    <m/>
    <m/>
    <x v="40"/>
    <x v="0"/>
    <x v="2"/>
  </r>
  <r>
    <x v="2"/>
    <m/>
    <n v="162000"/>
    <m/>
    <m/>
    <m/>
    <x v="40"/>
    <x v="0"/>
    <x v="2"/>
  </r>
  <r>
    <x v="3"/>
    <m/>
    <m/>
    <m/>
    <m/>
    <m/>
    <x v="40"/>
    <x v="0"/>
    <x v="2"/>
  </r>
  <r>
    <x v="4"/>
    <m/>
    <m/>
    <m/>
    <m/>
    <m/>
    <x v="40"/>
    <x v="0"/>
    <x v="2"/>
  </r>
  <r>
    <x v="5"/>
    <m/>
    <m/>
    <m/>
    <m/>
    <m/>
    <x v="40"/>
    <x v="0"/>
    <x v="2"/>
  </r>
  <r>
    <x v="6"/>
    <m/>
    <m/>
    <m/>
    <m/>
    <m/>
    <x v="40"/>
    <x v="0"/>
    <x v="2"/>
  </r>
  <r>
    <x v="7"/>
    <m/>
    <m/>
    <m/>
    <m/>
    <m/>
    <x v="40"/>
    <x v="0"/>
    <x v="2"/>
  </r>
  <r>
    <x v="8"/>
    <n v="731500"/>
    <m/>
    <n v="270000"/>
    <m/>
    <m/>
    <x v="40"/>
    <x v="0"/>
    <x v="2"/>
  </r>
  <r>
    <x v="9"/>
    <m/>
    <m/>
    <m/>
    <m/>
    <m/>
    <x v="40"/>
    <x v="0"/>
    <x v="2"/>
  </r>
  <r>
    <x v="10"/>
    <m/>
    <m/>
    <m/>
    <m/>
    <m/>
    <x v="40"/>
    <x v="0"/>
    <x v="2"/>
  </r>
  <r>
    <x v="11"/>
    <m/>
    <m/>
    <m/>
    <m/>
    <m/>
    <x v="40"/>
    <x v="0"/>
    <x v="2"/>
  </r>
  <r>
    <x v="12"/>
    <m/>
    <m/>
    <m/>
    <m/>
    <m/>
    <x v="40"/>
    <x v="0"/>
    <x v="2"/>
  </r>
  <r>
    <x v="13"/>
    <n v="162000"/>
    <n v="108000"/>
    <n v="216000"/>
    <m/>
    <m/>
    <x v="40"/>
    <x v="0"/>
    <x v="2"/>
  </r>
  <r>
    <x v="0"/>
    <m/>
    <m/>
    <m/>
    <m/>
    <m/>
    <x v="41"/>
    <x v="0"/>
    <x v="2"/>
  </r>
  <r>
    <x v="1"/>
    <m/>
    <m/>
    <m/>
    <m/>
    <m/>
    <x v="41"/>
    <x v="0"/>
    <x v="2"/>
  </r>
  <r>
    <x v="2"/>
    <n v="54000"/>
    <n v="914000"/>
    <m/>
    <m/>
    <m/>
    <x v="41"/>
    <x v="0"/>
    <x v="2"/>
  </r>
  <r>
    <x v="3"/>
    <m/>
    <m/>
    <m/>
    <m/>
    <m/>
    <x v="41"/>
    <x v="0"/>
    <x v="2"/>
  </r>
  <r>
    <x v="4"/>
    <m/>
    <m/>
    <m/>
    <m/>
    <m/>
    <x v="41"/>
    <x v="0"/>
    <x v="2"/>
  </r>
  <r>
    <x v="5"/>
    <m/>
    <m/>
    <m/>
    <m/>
    <m/>
    <x v="41"/>
    <x v="0"/>
    <x v="2"/>
  </r>
  <r>
    <x v="6"/>
    <m/>
    <m/>
    <m/>
    <m/>
    <m/>
    <x v="41"/>
    <x v="0"/>
    <x v="2"/>
  </r>
  <r>
    <x v="7"/>
    <m/>
    <m/>
    <m/>
    <m/>
    <m/>
    <x v="41"/>
    <x v="0"/>
    <x v="2"/>
  </r>
  <r>
    <x v="8"/>
    <n v="403000"/>
    <m/>
    <n v="424000"/>
    <m/>
    <m/>
    <x v="41"/>
    <x v="0"/>
    <x v="2"/>
  </r>
  <r>
    <x v="9"/>
    <n v="478000"/>
    <m/>
    <n v="270000"/>
    <m/>
    <m/>
    <x v="41"/>
    <x v="0"/>
    <x v="2"/>
  </r>
  <r>
    <x v="10"/>
    <m/>
    <m/>
    <m/>
    <m/>
    <m/>
    <x v="41"/>
    <x v="0"/>
    <x v="2"/>
  </r>
  <r>
    <x v="11"/>
    <m/>
    <m/>
    <m/>
    <m/>
    <m/>
    <x v="41"/>
    <x v="0"/>
    <x v="2"/>
  </r>
  <r>
    <x v="12"/>
    <m/>
    <m/>
    <m/>
    <m/>
    <m/>
    <x v="41"/>
    <x v="0"/>
    <x v="2"/>
  </r>
  <r>
    <x v="13"/>
    <n v="347000"/>
    <m/>
    <n v="324000"/>
    <m/>
    <m/>
    <x v="41"/>
    <x v="0"/>
    <x v="2"/>
  </r>
  <r>
    <x v="0"/>
    <m/>
    <m/>
    <m/>
    <m/>
    <m/>
    <x v="42"/>
    <x v="0"/>
    <x v="2"/>
  </r>
  <r>
    <x v="1"/>
    <m/>
    <m/>
    <m/>
    <m/>
    <m/>
    <x v="42"/>
    <x v="0"/>
    <x v="2"/>
  </r>
  <r>
    <x v="2"/>
    <n v="258000"/>
    <n v="719000"/>
    <m/>
    <m/>
    <m/>
    <x v="42"/>
    <x v="0"/>
    <x v="2"/>
  </r>
  <r>
    <x v="3"/>
    <m/>
    <m/>
    <m/>
    <m/>
    <m/>
    <x v="42"/>
    <x v="0"/>
    <x v="2"/>
  </r>
  <r>
    <x v="4"/>
    <n v="266000"/>
    <n v="819000"/>
    <n v="108000"/>
    <m/>
    <m/>
    <x v="42"/>
    <x v="0"/>
    <x v="2"/>
  </r>
  <r>
    <x v="5"/>
    <m/>
    <m/>
    <m/>
    <m/>
    <m/>
    <x v="42"/>
    <x v="0"/>
    <x v="2"/>
  </r>
  <r>
    <x v="6"/>
    <m/>
    <m/>
    <m/>
    <m/>
    <m/>
    <x v="42"/>
    <x v="0"/>
    <x v="2"/>
  </r>
  <r>
    <x v="7"/>
    <m/>
    <m/>
    <m/>
    <m/>
    <m/>
    <x v="42"/>
    <x v="0"/>
    <x v="2"/>
  </r>
  <r>
    <x v="8"/>
    <n v="473500"/>
    <m/>
    <n v="374000"/>
    <m/>
    <m/>
    <x v="42"/>
    <x v="0"/>
    <x v="2"/>
  </r>
  <r>
    <x v="9"/>
    <n v="378000"/>
    <m/>
    <n v="216000"/>
    <m/>
    <m/>
    <x v="42"/>
    <x v="0"/>
    <x v="2"/>
  </r>
  <r>
    <x v="10"/>
    <m/>
    <m/>
    <m/>
    <m/>
    <m/>
    <x v="42"/>
    <x v="0"/>
    <x v="2"/>
  </r>
  <r>
    <x v="11"/>
    <m/>
    <m/>
    <m/>
    <m/>
    <m/>
    <x v="42"/>
    <x v="0"/>
    <x v="2"/>
  </r>
  <r>
    <x v="12"/>
    <m/>
    <m/>
    <m/>
    <m/>
    <m/>
    <x v="42"/>
    <x v="0"/>
    <x v="2"/>
  </r>
  <r>
    <x v="13"/>
    <n v="270000"/>
    <m/>
    <n v="216000"/>
    <m/>
    <m/>
    <x v="42"/>
    <x v="0"/>
    <x v="2"/>
  </r>
  <r>
    <x v="0"/>
    <m/>
    <m/>
    <m/>
    <m/>
    <m/>
    <x v="43"/>
    <x v="0"/>
    <x v="2"/>
  </r>
  <r>
    <x v="1"/>
    <m/>
    <m/>
    <m/>
    <m/>
    <m/>
    <x v="43"/>
    <x v="0"/>
    <x v="2"/>
  </r>
  <r>
    <x v="2"/>
    <m/>
    <n v="153000"/>
    <m/>
    <m/>
    <m/>
    <x v="43"/>
    <x v="0"/>
    <x v="2"/>
  </r>
  <r>
    <x v="3"/>
    <m/>
    <n v="1758500"/>
    <m/>
    <m/>
    <m/>
    <x v="43"/>
    <x v="0"/>
    <x v="2"/>
  </r>
  <r>
    <x v="4"/>
    <n v="162000"/>
    <n v="90000"/>
    <n v="162000"/>
    <m/>
    <m/>
    <x v="43"/>
    <x v="0"/>
    <x v="2"/>
  </r>
  <r>
    <x v="5"/>
    <m/>
    <m/>
    <m/>
    <m/>
    <m/>
    <x v="43"/>
    <x v="0"/>
    <x v="2"/>
  </r>
  <r>
    <x v="6"/>
    <n v="162000"/>
    <m/>
    <n v="266000"/>
    <m/>
    <m/>
    <x v="43"/>
    <x v="0"/>
    <x v="2"/>
  </r>
  <r>
    <x v="7"/>
    <m/>
    <m/>
    <m/>
    <m/>
    <m/>
    <x v="43"/>
    <x v="0"/>
    <x v="2"/>
  </r>
  <r>
    <x v="8"/>
    <n v="99500"/>
    <m/>
    <n v="378000"/>
    <m/>
    <m/>
    <x v="43"/>
    <x v="0"/>
    <x v="2"/>
  </r>
  <r>
    <x v="9"/>
    <n v="153000"/>
    <m/>
    <n v="324000"/>
    <m/>
    <m/>
    <x v="43"/>
    <x v="0"/>
    <x v="2"/>
  </r>
  <r>
    <x v="10"/>
    <m/>
    <m/>
    <m/>
    <m/>
    <m/>
    <x v="43"/>
    <x v="0"/>
    <x v="2"/>
  </r>
  <r>
    <x v="11"/>
    <m/>
    <m/>
    <m/>
    <m/>
    <m/>
    <x v="43"/>
    <x v="0"/>
    <x v="2"/>
  </r>
  <r>
    <x v="12"/>
    <m/>
    <n v="216000"/>
    <m/>
    <m/>
    <m/>
    <x v="43"/>
    <x v="0"/>
    <x v="2"/>
  </r>
  <r>
    <x v="13"/>
    <n v="1015000"/>
    <m/>
    <n v="54000"/>
    <m/>
    <m/>
    <x v="43"/>
    <x v="0"/>
    <x v="2"/>
  </r>
  <r>
    <x v="0"/>
    <m/>
    <m/>
    <m/>
    <m/>
    <m/>
    <x v="44"/>
    <x v="0"/>
    <x v="2"/>
  </r>
  <r>
    <x v="1"/>
    <m/>
    <m/>
    <m/>
    <m/>
    <m/>
    <x v="44"/>
    <x v="0"/>
    <x v="2"/>
  </r>
  <r>
    <x v="2"/>
    <m/>
    <n v="914000"/>
    <m/>
    <m/>
    <m/>
    <x v="44"/>
    <x v="0"/>
    <x v="2"/>
  </r>
  <r>
    <x v="3"/>
    <m/>
    <n v="239500"/>
    <m/>
    <m/>
    <m/>
    <x v="44"/>
    <x v="0"/>
    <x v="2"/>
  </r>
  <r>
    <x v="4"/>
    <m/>
    <m/>
    <n v="54000"/>
    <m/>
    <m/>
    <x v="44"/>
    <x v="0"/>
    <x v="2"/>
  </r>
  <r>
    <x v="5"/>
    <m/>
    <m/>
    <m/>
    <m/>
    <m/>
    <x v="44"/>
    <x v="0"/>
    <x v="2"/>
  </r>
  <r>
    <x v="6"/>
    <n v="252000"/>
    <m/>
    <n v="162000"/>
    <m/>
    <m/>
    <x v="44"/>
    <x v="0"/>
    <x v="2"/>
  </r>
  <r>
    <x v="7"/>
    <m/>
    <m/>
    <m/>
    <m/>
    <m/>
    <x v="44"/>
    <x v="0"/>
    <x v="2"/>
  </r>
  <r>
    <x v="8"/>
    <n v="696000"/>
    <m/>
    <n v="378000"/>
    <m/>
    <m/>
    <x v="44"/>
    <x v="0"/>
    <x v="2"/>
  </r>
  <r>
    <x v="9"/>
    <n v="737500"/>
    <m/>
    <n v="324000"/>
    <m/>
    <m/>
    <x v="44"/>
    <x v="0"/>
    <x v="2"/>
  </r>
  <r>
    <x v="10"/>
    <m/>
    <m/>
    <m/>
    <m/>
    <m/>
    <x v="44"/>
    <x v="0"/>
    <x v="2"/>
  </r>
  <r>
    <x v="11"/>
    <m/>
    <m/>
    <m/>
    <m/>
    <m/>
    <x v="44"/>
    <x v="0"/>
    <x v="2"/>
  </r>
  <r>
    <x v="12"/>
    <m/>
    <m/>
    <m/>
    <m/>
    <m/>
    <x v="44"/>
    <x v="0"/>
    <x v="2"/>
  </r>
  <r>
    <x v="13"/>
    <m/>
    <n v="413000"/>
    <m/>
    <n v="374000"/>
    <m/>
    <x v="44"/>
    <x v="0"/>
    <x v="2"/>
  </r>
  <r>
    <x v="0"/>
    <m/>
    <m/>
    <m/>
    <m/>
    <m/>
    <x v="45"/>
    <x v="0"/>
    <x v="2"/>
  </r>
  <r>
    <x v="1"/>
    <m/>
    <m/>
    <m/>
    <m/>
    <m/>
    <x v="45"/>
    <x v="0"/>
    <x v="2"/>
  </r>
  <r>
    <x v="2"/>
    <n v="270000"/>
    <n v="531500"/>
    <n v="315000"/>
    <m/>
    <m/>
    <x v="45"/>
    <x v="0"/>
    <x v="2"/>
  </r>
  <r>
    <x v="3"/>
    <m/>
    <m/>
    <m/>
    <n v="1328000"/>
    <m/>
    <x v="45"/>
    <x v="0"/>
    <x v="2"/>
  </r>
  <r>
    <x v="4"/>
    <n v="428000"/>
    <n v="45000"/>
    <m/>
    <m/>
    <m/>
    <x v="45"/>
    <x v="0"/>
    <x v="2"/>
  </r>
  <r>
    <x v="5"/>
    <m/>
    <m/>
    <m/>
    <m/>
    <m/>
    <x v="45"/>
    <x v="0"/>
    <x v="2"/>
  </r>
  <r>
    <x v="6"/>
    <n v="211500"/>
    <m/>
    <m/>
    <m/>
    <m/>
    <x v="45"/>
    <x v="0"/>
    <x v="2"/>
  </r>
  <r>
    <x v="7"/>
    <m/>
    <m/>
    <m/>
    <m/>
    <m/>
    <x v="45"/>
    <x v="0"/>
    <x v="2"/>
  </r>
  <r>
    <x v="8"/>
    <n v="254000"/>
    <m/>
    <m/>
    <m/>
    <m/>
    <x v="45"/>
    <x v="0"/>
    <x v="2"/>
  </r>
  <r>
    <x v="9"/>
    <n v="207000"/>
    <m/>
    <n v="432000"/>
    <m/>
    <m/>
    <x v="45"/>
    <x v="0"/>
    <x v="2"/>
  </r>
  <r>
    <x v="10"/>
    <m/>
    <m/>
    <m/>
    <m/>
    <m/>
    <x v="45"/>
    <x v="0"/>
    <x v="2"/>
  </r>
  <r>
    <x v="11"/>
    <m/>
    <m/>
    <m/>
    <m/>
    <m/>
    <x v="45"/>
    <x v="0"/>
    <x v="2"/>
  </r>
  <r>
    <x v="12"/>
    <n v="108000"/>
    <m/>
    <m/>
    <m/>
    <m/>
    <x v="45"/>
    <x v="0"/>
    <x v="2"/>
  </r>
  <r>
    <x v="13"/>
    <m/>
    <n v="569000"/>
    <m/>
    <m/>
    <m/>
    <x v="45"/>
    <x v="0"/>
    <x v="2"/>
  </r>
  <r>
    <x v="0"/>
    <m/>
    <m/>
    <m/>
    <n v="581000"/>
    <m/>
    <x v="46"/>
    <x v="0"/>
    <x v="2"/>
  </r>
  <r>
    <x v="1"/>
    <m/>
    <m/>
    <m/>
    <m/>
    <m/>
    <x v="46"/>
    <x v="0"/>
    <x v="2"/>
  </r>
  <r>
    <x v="2"/>
    <n v="477000"/>
    <n v="482000"/>
    <n v="108000"/>
    <m/>
    <m/>
    <x v="46"/>
    <x v="0"/>
    <x v="2"/>
  </r>
  <r>
    <x v="3"/>
    <m/>
    <m/>
    <m/>
    <m/>
    <m/>
    <x v="46"/>
    <x v="0"/>
    <x v="2"/>
  </r>
  <r>
    <x v="4"/>
    <n v="479000"/>
    <m/>
    <m/>
    <m/>
    <m/>
    <x v="46"/>
    <x v="0"/>
    <x v="2"/>
  </r>
  <r>
    <x v="5"/>
    <m/>
    <m/>
    <m/>
    <m/>
    <m/>
    <x v="46"/>
    <x v="0"/>
    <x v="2"/>
  </r>
  <r>
    <x v="6"/>
    <n v="266000"/>
    <m/>
    <m/>
    <m/>
    <m/>
    <x v="46"/>
    <x v="0"/>
    <x v="2"/>
  </r>
  <r>
    <x v="7"/>
    <m/>
    <m/>
    <m/>
    <m/>
    <m/>
    <x v="46"/>
    <x v="0"/>
    <x v="2"/>
  </r>
  <r>
    <x v="8"/>
    <n v="586000"/>
    <m/>
    <m/>
    <m/>
    <m/>
    <x v="46"/>
    <x v="0"/>
    <x v="2"/>
  </r>
  <r>
    <x v="9"/>
    <n v="270000"/>
    <n v="582000"/>
    <n v="532000"/>
    <n v="324000"/>
    <m/>
    <x v="46"/>
    <x v="0"/>
    <x v="2"/>
  </r>
  <r>
    <x v="10"/>
    <m/>
    <m/>
    <m/>
    <m/>
    <m/>
    <x v="46"/>
    <x v="0"/>
    <x v="2"/>
  </r>
  <r>
    <x v="11"/>
    <m/>
    <m/>
    <m/>
    <m/>
    <m/>
    <x v="46"/>
    <x v="0"/>
    <x v="2"/>
  </r>
  <r>
    <x v="12"/>
    <n v="108000"/>
    <m/>
    <m/>
    <m/>
    <m/>
    <x v="46"/>
    <x v="0"/>
    <x v="2"/>
  </r>
  <r>
    <x v="13"/>
    <m/>
    <n v="470000"/>
    <m/>
    <n v="54000"/>
    <m/>
    <x v="46"/>
    <x v="0"/>
    <x v="2"/>
  </r>
  <r>
    <x v="0"/>
    <m/>
    <m/>
    <m/>
    <m/>
    <m/>
    <x v="47"/>
    <x v="0"/>
    <x v="2"/>
  </r>
  <r>
    <x v="1"/>
    <m/>
    <m/>
    <m/>
    <m/>
    <m/>
    <x v="47"/>
    <x v="0"/>
    <x v="2"/>
  </r>
  <r>
    <x v="2"/>
    <n v="632500"/>
    <n v="295000"/>
    <n v="108000"/>
    <m/>
    <m/>
    <x v="47"/>
    <x v="0"/>
    <x v="2"/>
  </r>
  <r>
    <x v="3"/>
    <m/>
    <n v="640000"/>
    <m/>
    <n v="468000"/>
    <m/>
    <x v="47"/>
    <x v="0"/>
    <x v="2"/>
  </r>
  <r>
    <x v="4"/>
    <n v="245000"/>
    <m/>
    <n v="162000"/>
    <m/>
    <m/>
    <x v="47"/>
    <x v="0"/>
    <x v="2"/>
  </r>
  <r>
    <x v="5"/>
    <m/>
    <m/>
    <m/>
    <n v="50000"/>
    <m/>
    <x v="47"/>
    <x v="0"/>
    <x v="2"/>
  </r>
  <r>
    <x v="6"/>
    <m/>
    <n v="108000"/>
    <m/>
    <m/>
    <m/>
    <x v="47"/>
    <x v="0"/>
    <x v="2"/>
  </r>
  <r>
    <x v="7"/>
    <m/>
    <m/>
    <m/>
    <m/>
    <m/>
    <x v="47"/>
    <x v="0"/>
    <x v="2"/>
  </r>
  <r>
    <x v="8"/>
    <n v="478000"/>
    <m/>
    <n v="215000"/>
    <m/>
    <m/>
    <x v="47"/>
    <x v="0"/>
    <x v="2"/>
  </r>
  <r>
    <x v="9"/>
    <n v="216000"/>
    <n v="207000"/>
    <n v="582000"/>
    <n v="414000"/>
    <m/>
    <x v="47"/>
    <x v="0"/>
    <x v="2"/>
  </r>
  <r>
    <x v="10"/>
    <m/>
    <m/>
    <m/>
    <m/>
    <m/>
    <x v="47"/>
    <x v="0"/>
    <x v="2"/>
  </r>
  <r>
    <x v="11"/>
    <m/>
    <m/>
    <m/>
    <m/>
    <m/>
    <x v="47"/>
    <x v="0"/>
    <x v="2"/>
  </r>
  <r>
    <x v="12"/>
    <n v="108000"/>
    <m/>
    <m/>
    <m/>
    <m/>
    <x v="47"/>
    <x v="0"/>
    <x v="2"/>
  </r>
  <r>
    <x v="13"/>
    <m/>
    <n v="162000"/>
    <n v="100000"/>
    <n v="108000"/>
    <m/>
    <x v="47"/>
    <x v="0"/>
    <x v="2"/>
  </r>
  <r>
    <x v="0"/>
    <m/>
    <m/>
    <m/>
    <m/>
    <m/>
    <x v="48"/>
    <x v="0"/>
    <x v="2"/>
  </r>
  <r>
    <x v="1"/>
    <m/>
    <m/>
    <m/>
    <m/>
    <m/>
    <x v="48"/>
    <x v="0"/>
    <x v="2"/>
  </r>
  <r>
    <x v="2"/>
    <n v="324000"/>
    <m/>
    <m/>
    <m/>
    <m/>
    <x v="48"/>
    <x v="0"/>
    <x v="2"/>
  </r>
  <r>
    <x v="3"/>
    <m/>
    <n v="162000"/>
    <m/>
    <n v="622000"/>
    <m/>
    <x v="48"/>
    <x v="0"/>
    <x v="2"/>
  </r>
  <r>
    <x v="4"/>
    <n v="162000"/>
    <m/>
    <m/>
    <m/>
    <m/>
    <x v="48"/>
    <x v="0"/>
    <x v="2"/>
  </r>
  <r>
    <x v="5"/>
    <m/>
    <m/>
    <m/>
    <m/>
    <m/>
    <x v="48"/>
    <x v="0"/>
    <x v="2"/>
  </r>
  <r>
    <x v="6"/>
    <n v="108000"/>
    <m/>
    <m/>
    <m/>
    <m/>
    <x v="48"/>
    <x v="0"/>
    <x v="2"/>
  </r>
  <r>
    <x v="7"/>
    <m/>
    <m/>
    <m/>
    <m/>
    <m/>
    <x v="48"/>
    <x v="0"/>
    <x v="2"/>
  </r>
  <r>
    <x v="8"/>
    <n v="54000"/>
    <m/>
    <m/>
    <m/>
    <m/>
    <x v="48"/>
    <x v="0"/>
    <x v="2"/>
  </r>
  <r>
    <x v="9"/>
    <n v="265500"/>
    <m/>
    <n v="968000"/>
    <n v="378000"/>
    <m/>
    <x v="48"/>
    <x v="0"/>
    <x v="2"/>
  </r>
  <r>
    <x v="10"/>
    <m/>
    <m/>
    <m/>
    <m/>
    <m/>
    <x v="48"/>
    <x v="0"/>
    <x v="2"/>
  </r>
  <r>
    <x v="11"/>
    <m/>
    <m/>
    <m/>
    <m/>
    <m/>
    <x v="48"/>
    <x v="0"/>
    <x v="2"/>
  </r>
  <r>
    <x v="12"/>
    <n v="162000"/>
    <m/>
    <m/>
    <m/>
    <m/>
    <x v="48"/>
    <x v="0"/>
    <x v="2"/>
  </r>
  <r>
    <x v="13"/>
    <n v="523000"/>
    <m/>
    <n v="45000"/>
    <m/>
    <m/>
    <x v="48"/>
    <x v="0"/>
    <x v="2"/>
  </r>
  <r>
    <x v="0"/>
    <m/>
    <m/>
    <m/>
    <m/>
    <m/>
    <x v="49"/>
    <x v="0"/>
    <x v="2"/>
  </r>
  <r>
    <x v="1"/>
    <m/>
    <m/>
    <m/>
    <m/>
    <m/>
    <x v="49"/>
    <x v="0"/>
    <x v="2"/>
  </r>
  <r>
    <x v="2"/>
    <n v="371000"/>
    <m/>
    <m/>
    <m/>
    <m/>
    <x v="49"/>
    <x v="0"/>
    <x v="2"/>
  </r>
  <r>
    <x v="3"/>
    <m/>
    <n v="698000"/>
    <m/>
    <m/>
    <m/>
    <x v="49"/>
    <x v="0"/>
    <x v="2"/>
  </r>
  <r>
    <x v="4"/>
    <m/>
    <m/>
    <m/>
    <m/>
    <m/>
    <x v="49"/>
    <x v="0"/>
    <x v="2"/>
  </r>
  <r>
    <x v="5"/>
    <m/>
    <m/>
    <m/>
    <m/>
    <m/>
    <x v="49"/>
    <x v="0"/>
    <x v="2"/>
  </r>
  <r>
    <x v="6"/>
    <m/>
    <n v="253000"/>
    <m/>
    <m/>
    <m/>
    <x v="49"/>
    <x v="0"/>
    <x v="2"/>
  </r>
  <r>
    <x v="7"/>
    <m/>
    <m/>
    <m/>
    <m/>
    <m/>
    <x v="49"/>
    <x v="0"/>
    <x v="2"/>
  </r>
  <r>
    <x v="8"/>
    <n v="266000"/>
    <m/>
    <n v="378000"/>
    <m/>
    <m/>
    <x v="49"/>
    <x v="0"/>
    <x v="2"/>
  </r>
  <r>
    <x v="9"/>
    <n v="428000"/>
    <n v="410000"/>
    <n v="108000"/>
    <m/>
    <m/>
    <x v="49"/>
    <x v="0"/>
    <x v="2"/>
  </r>
  <r>
    <x v="10"/>
    <m/>
    <m/>
    <m/>
    <m/>
    <m/>
    <x v="49"/>
    <x v="0"/>
    <x v="2"/>
  </r>
  <r>
    <x v="11"/>
    <m/>
    <m/>
    <m/>
    <m/>
    <m/>
    <x v="49"/>
    <x v="0"/>
    <x v="2"/>
  </r>
  <r>
    <x v="12"/>
    <m/>
    <m/>
    <m/>
    <m/>
    <m/>
    <x v="49"/>
    <x v="0"/>
    <x v="2"/>
  </r>
  <r>
    <x v="13"/>
    <n v="422500"/>
    <n v="270000"/>
    <m/>
    <m/>
    <m/>
    <x v="49"/>
    <x v="0"/>
    <x v="2"/>
  </r>
  <r>
    <x v="0"/>
    <m/>
    <m/>
    <m/>
    <m/>
    <m/>
    <x v="50"/>
    <x v="0"/>
    <x v="2"/>
  </r>
  <r>
    <x v="1"/>
    <m/>
    <m/>
    <m/>
    <m/>
    <m/>
    <x v="50"/>
    <x v="0"/>
    <x v="2"/>
  </r>
  <r>
    <x v="2"/>
    <n v="517000"/>
    <m/>
    <m/>
    <m/>
    <m/>
    <x v="50"/>
    <x v="0"/>
    <x v="2"/>
  </r>
  <r>
    <x v="3"/>
    <m/>
    <n v="162000"/>
    <m/>
    <m/>
    <m/>
    <x v="50"/>
    <x v="0"/>
    <x v="2"/>
  </r>
  <r>
    <x v="4"/>
    <n v="216000"/>
    <m/>
    <m/>
    <m/>
    <m/>
    <x v="50"/>
    <x v="0"/>
    <x v="2"/>
  </r>
  <r>
    <x v="5"/>
    <m/>
    <m/>
    <m/>
    <m/>
    <m/>
    <x v="50"/>
    <x v="0"/>
    <x v="2"/>
  </r>
  <r>
    <x v="6"/>
    <n v="54000"/>
    <n v="460000"/>
    <m/>
    <m/>
    <m/>
    <x v="50"/>
    <x v="0"/>
    <x v="2"/>
  </r>
  <r>
    <x v="7"/>
    <m/>
    <m/>
    <m/>
    <m/>
    <m/>
    <x v="50"/>
    <x v="0"/>
    <x v="2"/>
  </r>
  <r>
    <x v="8"/>
    <n v="324000"/>
    <m/>
    <n v="802000"/>
    <m/>
    <m/>
    <x v="50"/>
    <x v="0"/>
    <x v="2"/>
  </r>
  <r>
    <x v="9"/>
    <n v="47000"/>
    <n v="890500"/>
    <n v="108000"/>
    <m/>
    <m/>
    <x v="50"/>
    <x v="0"/>
    <x v="2"/>
  </r>
  <r>
    <x v="10"/>
    <m/>
    <m/>
    <m/>
    <m/>
    <m/>
    <x v="50"/>
    <x v="0"/>
    <x v="2"/>
  </r>
  <r>
    <x v="11"/>
    <m/>
    <m/>
    <m/>
    <m/>
    <m/>
    <x v="50"/>
    <x v="0"/>
    <x v="2"/>
  </r>
  <r>
    <x v="12"/>
    <n v="108000"/>
    <m/>
    <m/>
    <m/>
    <m/>
    <x v="50"/>
    <x v="0"/>
    <x v="2"/>
  </r>
  <r>
    <x v="13"/>
    <n v="216000"/>
    <n v="378000"/>
    <m/>
    <n v="54000"/>
    <m/>
    <x v="50"/>
    <x v="0"/>
    <x v="2"/>
  </r>
  <r>
    <x v="0"/>
    <m/>
    <m/>
    <m/>
    <m/>
    <m/>
    <x v="51"/>
    <x v="0"/>
    <x v="2"/>
  </r>
  <r>
    <x v="1"/>
    <m/>
    <m/>
    <m/>
    <m/>
    <m/>
    <x v="51"/>
    <x v="0"/>
    <x v="2"/>
  </r>
  <r>
    <x v="2"/>
    <n v="771500"/>
    <m/>
    <m/>
    <m/>
    <m/>
    <x v="51"/>
    <x v="0"/>
    <x v="2"/>
  </r>
  <r>
    <x v="3"/>
    <m/>
    <m/>
    <m/>
    <m/>
    <m/>
    <x v="51"/>
    <x v="0"/>
    <x v="2"/>
  </r>
  <r>
    <x v="4"/>
    <n v="324000"/>
    <m/>
    <m/>
    <m/>
    <m/>
    <x v="51"/>
    <x v="0"/>
    <x v="2"/>
  </r>
  <r>
    <x v="5"/>
    <m/>
    <m/>
    <m/>
    <m/>
    <m/>
    <x v="51"/>
    <x v="0"/>
    <x v="2"/>
  </r>
  <r>
    <x v="6"/>
    <n v="108000"/>
    <n v="108000"/>
    <m/>
    <m/>
    <m/>
    <x v="51"/>
    <x v="0"/>
    <x v="2"/>
  </r>
  <r>
    <x v="7"/>
    <m/>
    <m/>
    <m/>
    <m/>
    <m/>
    <x v="51"/>
    <x v="0"/>
    <x v="2"/>
  </r>
  <r>
    <x v="8"/>
    <n v="428000"/>
    <m/>
    <n v="266000"/>
    <m/>
    <m/>
    <x v="51"/>
    <x v="0"/>
    <x v="2"/>
  </r>
  <r>
    <x v="9"/>
    <n v="795000"/>
    <n v="806000"/>
    <m/>
    <m/>
    <m/>
    <x v="51"/>
    <x v="0"/>
    <x v="2"/>
  </r>
  <r>
    <x v="10"/>
    <m/>
    <m/>
    <m/>
    <m/>
    <m/>
    <x v="51"/>
    <x v="0"/>
    <x v="2"/>
  </r>
  <r>
    <x v="11"/>
    <m/>
    <m/>
    <m/>
    <m/>
    <m/>
    <x v="51"/>
    <x v="0"/>
    <x v="2"/>
  </r>
  <r>
    <x v="12"/>
    <m/>
    <m/>
    <m/>
    <m/>
    <m/>
    <x v="51"/>
    <x v="0"/>
    <x v="2"/>
  </r>
  <r>
    <x v="13"/>
    <n v="108000"/>
    <n v="343000"/>
    <m/>
    <m/>
    <m/>
    <x v="51"/>
    <x v="0"/>
    <x v="2"/>
  </r>
  <r>
    <x v="0"/>
    <m/>
    <m/>
    <m/>
    <m/>
    <m/>
    <x v="52"/>
    <x v="0"/>
    <x v="2"/>
  </r>
  <r>
    <x v="1"/>
    <m/>
    <m/>
    <m/>
    <m/>
    <m/>
    <x v="52"/>
    <x v="0"/>
    <x v="2"/>
  </r>
  <r>
    <x v="2"/>
    <n v="410000"/>
    <m/>
    <m/>
    <m/>
    <m/>
    <x v="52"/>
    <x v="0"/>
    <x v="2"/>
  </r>
  <r>
    <x v="3"/>
    <m/>
    <m/>
    <m/>
    <m/>
    <m/>
    <x v="52"/>
    <x v="0"/>
    <x v="2"/>
  </r>
  <r>
    <x v="4"/>
    <m/>
    <m/>
    <m/>
    <m/>
    <m/>
    <x v="52"/>
    <x v="0"/>
    <x v="2"/>
  </r>
  <r>
    <x v="5"/>
    <m/>
    <m/>
    <m/>
    <m/>
    <m/>
    <x v="52"/>
    <x v="0"/>
    <x v="2"/>
  </r>
  <r>
    <x v="6"/>
    <m/>
    <m/>
    <m/>
    <m/>
    <m/>
    <x v="52"/>
    <x v="0"/>
    <x v="2"/>
  </r>
  <r>
    <x v="7"/>
    <m/>
    <m/>
    <m/>
    <m/>
    <m/>
    <x v="52"/>
    <x v="0"/>
    <x v="2"/>
  </r>
  <r>
    <x v="8"/>
    <n v="432000"/>
    <m/>
    <m/>
    <m/>
    <m/>
    <x v="52"/>
    <x v="0"/>
    <x v="2"/>
  </r>
  <r>
    <x v="9"/>
    <n v="683000"/>
    <n v="572000"/>
    <n v="590000"/>
    <m/>
    <m/>
    <x v="52"/>
    <x v="0"/>
    <x v="2"/>
  </r>
  <r>
    <x v="10"/>
    <m/>
    <m/>
    <m/>
    <m/>
    <m/>
    <x v="52"/>
    <x v="0"/>
    <x v="2"/>
  </r>
  <r>
    <x v="11"/>
    <m/>
    <m/>
    <m/>
    <m/>
    <m/>
    <x v="52"/>
    <x v="0"/>
    <x v="2"/>
  </r>
  <r>
    <x v="12"/>
    <m/>
    <m/>
    <m/>
    <m/>
    <m/>
    <x v="52"/>
    <x v="0"/>
    <x v="2"/>
  </r>
  <r>
    <x v="13"/>
    <m/>
    <m/>
    <m/>
    <m/>
    <m/>
    <x v="52"/>
    <x v="0"/>
    <x v="2"/>
  </r>
  <r>
    <x v="0"/>
    <m/>
    <m/>
    <m/>
    <m/>
    <m/>
    <x v="53"/>
    <x v="0"/>
    <x v="2"/>
  </r>
  <r>
    <x v="1"/>
    <m/>
    <m/>
    <m/>
    <m/>
    <m/>
    <x v="53"/>
    <x v="0"/>
    <x v="2"/>
  </r>
  <r>
    <x v="2"/>
    <n v="270000"/>
    <m/>
    <m/>
    <m/>
    <m/>
    <x v="53"/>
    <x v="0"/>
    <x v="2"/>
  </r>
  <r>
    <x v="3"/>
    <m/>
    <m/>
    <m/>
    <m/>
    <m/>
    <x v="53"/>
    <x v="0"/>
    <x v="2"/>
  </r>
  <r>
    <x v="4"/>
    <m/>
    <m/>
    <m/>
    <m/>
    <m/>
    <x v="53"/>
    <x v="0"/>
    <x v="2"/>
  </r>
  <r>
    <x v="5"/>
    <m/>
    <m/>
    <m/>
    <m/>
    <m/>
    <x v="53"/>
    <x v="0"/>
    <x v="2"/>
  </r>
  <r>
    <x v="6"/>
    <m/>
    <m/>
    <m/>
    <m/>
    <m/>
    <x v="53"/>
    <x v="0"/>
    <x v="2"/>
  </r>
  <r>
    <x v="7"/>
    <m/>
    <m/>
    <m/>
    <m/>
    <m/>
    <x v="53"/>
    <x v="0"/>
    <x v="2"/>
  </r>
  <r>
    <x v="8"/>
    <n v="261000"/>
    <m/>
    <m/>
    <m/>
    <m/>
    <x v="53"/>
    <x v="0"/>
    <x v="2"/>
  </r>
  <r>
    <x v="9"/>
    <n v="479000"/>
    <n v="689000"/>
    <n v="906000"/>
    <n v="54000"/>
    <m/>
    <x v="53"/>
    <x v="0"/>
    <x v="2"/>
  </r>
  <r>
    <x v="10"/>
    <m/>
    <m/>
    <m/>
    <m/>
    <m/>
    <x v="53"/>
    <x v="0"/>
    <x v="2"/>
  </r>
  <r>
    <x v="11"/>
    <m/>
    <m/>
    <m/>
    <m/>
    <m/>
    <x v="53"/>
    <x v="0"/>
    <x v="2"/>
  </r>
  <r>
    <x v="12"/>
    <m/>
    <m/>
    <m/>
    <m/>
    <m/>
    <x v="53"/>
    <x v="0"/>
    <x v="2"/>
  </r>
  <r>
    <x v="13"/>
    <m/>
    <m/>
    <m/>
    <m/>
    <m/>
    <x v="53"/>
    <x v="0"/>
    <x v="2"/>
  </r>
  <r>
    <x v="0"/>
    <m/>
    <m/>
    <m/>
    <m/>
    <m/>
    <x v="54"/>
    <x v="0"/>
    <x v="2"/>
  </r>
  <r>
    <x v="1"/>
    <m/>
    <m/>
    <m/>
    <m/>
    <m/>
    <x v="54"/>
    <x v="0"/>
    <x v="2"/>
  </r>
  <r>
    <x v="2"/>
    <n v="730000"/>
    <m/>
    <m/>
    <m/>
    <m/>
    <x v="54"/>
    <x v="0"/>
    <x v="2"/>
  </r>
  <r>
    <x v="3"/>
    <m/>
    <n v="207000"/>
    <m/>
    <m/>
    <m/>
    <x v="54"/>
    <x v="0"/>
    <x v="2"/>
  </r>
  <r>
    <x v="4"/>
    <m/>
    <m/>
    <m/>
    <m/>
    <m/>
    <x v="54"/>
    <x v="0"/>
    <x v="2"/>
  </r>
  <r>
    <x v="5"/>
    <m/>
    <m/>
    <m/>
    <m/>
    <m/>
    <x v="54"/>
    <x v="0"/>
    <x v="2"/>
  </r>
  <r>
    <x v="6"/>
    <n v="162000"/>
    <m/>
    <m/>
    <m/>
    <m/>
    <x v="54"/>
    <x v="0"/>
    <x v="2"/>
  </r>
  <r>
    <x v="7"/>
    <m/>
    <m/>
    <m/>
    <m/>
    <m/>
    <x v="54"/>
    <x v="0"/>
    <x v="2"/>
  </r>
  <r>
    <x v="8"/>
    <n v="324000"/>
    <m/>
    <m/>
    <m/>
    <m/>
    <x v="54"/>
    <x v="0"/>
    <x v="2"/>
  </r>
  <r>
    <x v="9"/>
    <n v="108000"/>
    <n v="324000"/>
    <m/>
    <m/>
    <m/>
    <x v="54"/>
    <x v="0"/>
    <x v="2"/>
  </r>
  <r>
    <x v="10"/>
    <m/>
    <m/>
    <m/>
    <m/>
    <m/>
    <x v="54"/>
    <x v="0"/>
    <x v="2"/>
  </r>
  <r>
    <x v="11"/>
    <m/>
    <m/>
    <m/>
    <m/>
    <m/>
    <x v="54"/>
    <x v="0"/>
    <x v="2"/>
  </r>
  <r>
    <x v="12"/>
    <m/>
    <m/>
    <m/>
    <m/>
    <m/>
    <x v="54"/>
    <x v="0"/>
    <x v="2"/>
  </r>
  <r>
    <x v="13"/>
    <m/>
    <m/>
    <m/>
    <m/>
    <m/>
    <x v="54"/>
    <x v="0"/>
    <x v="2"/>
  </r>
  <r>
    <x v="0"/>
    <m/>
    <m/>
    <m/>
    <m/>
    <m/>
    <x v="55"/>
    <x v="0"/>
    <x v="2"/>
  </r>
  <r>
    <x v="1"/>
    <m/>
    <m/>
    <m/>
    <m/>
    <m/>
    <x v="55"/>
    <x v="0"/>
    <x v="2"/>
  </r>
  <r>
    <x v="2"/>
    <n v="909500"/>
    <m/>
    <m/>
    <m/>
    <m/>
    <x v="55"/>
    <x v="0"/>
    <x v="2"/>
  </r>
  <r>
    <x v="3"/>
    <m/>
    <m/>
    <m/>
    <m/>
    <m/>
    <x v="55"/>
    <x v="0"/>
    <x v="2"/>
  </r>
  <r>
    <x v="4"/>
    <n v="216000"/>
    <m/>
    <m/>
    <m/>
    <m/>
    <x v="55"/>
    <x v="0"/>
    <x v="2"/>
  </r>
  <r>
    <x v="5"/>
    <m/>
    <m/>
    <m/>
    <m/>
    <m/>
    <x v="55"/>
    <x v="0"/>
    <x v="2"/>
  </r>
  <r>
    <x v="6"/>
    <n v="90000"/>
    <m/>
    <m/>
    <m/>
    <m/>
    <x v="55"/>
    <x v="0"/>
    <x v="2"/>
  </r>
  <r>
    <x v="7"/>
    <m/>
    <m/>
    <m/>
    <m/>
    <m/>
    <x v="55"/>
    <x v="0"/>
    <x v="2"/>
  </r>
  <r>
    <x v="8"/>
    <m/>
    <m/>
    <m/>
    <m/>
    <m/>
    <x v="55"/>
    <x v="0"/>
    <x v="2"/>
  </r>
  <r>
    <x v="9"/>
    <n v="693500"/>
    <m/>
    <m/>
    <m/>
    <m/>
    <x v="55"/>
    <x v="0"/>
    <x v="2"/>
  </r>
  <r>
    <x v="10"/>
    <m/>
    <m/>
    <m/>
    <m/>
    <m/>
    <x v="55"/>
    <x v="0"/>
    <x v="2"/>
  </r>
  <r>
    <x v="11"/>
    <m/>
    <m/>
    <m/>
    <m/>
    <m/>
    <x v="55"/>
    <x v="0"/>
    <x v="2"/>
  </r>
  <r>
    <x v="12"/>
    <m/>
    <m/>
    <m/>
    <m/>
    <m/>
    <x v="55"/>
    <x v="0"/>
    <x v="2"/>
  </r>
  <r>
    <x v="13"/>
    <m/>
    <m/>
    <m/>
    <m/>
    <m/>
    <x v="55"/>
    <x v="0"/>
    <x v="2"/>
  </r>
  <r>
    <x v="0"/>
    <m/>
    <m/>
    <m/>
    <m/>
    <m/>
    <x v="56"/>
    <x v="0"/>
    <x v="2"/>
  </r>
  <r>
    <x v="1"/>
    <m/>
    <m/>
    <m/>
    <m/>
    <m/>
    <x v="56"/>
    <x v="0"/>
    <x v="2"/>
  </r>
  <r>
    <x v="2"/>
    <n v="730000"/>
    <m/>
    <m/>
    <m/>
    <m/>
    <x v="56"/>
    <x v="0"/>
    <x v="2"/>
  </r>
  <r>
    <x v="3"/>
    <m/>
    <m/>
    <m/>
    <m/>
    <m/>
    <x v="56"/>
    <x v="0"/>
    <x v="2"/>
  </r>
  <r>
    <x v="4"/>
    <m/>
    <m/>
    <m/>
    <m/>
    <m/>
    <x v="56"/>
    <x v="0"/>
    <x v="2"/>
  </r>
  <r>
    <x v="5"/>
    <m/>
    <m/>
    <m/>
    <m/>
    <m/>
    <x v="56"/>
    <x v="0"/>
    <x v="2"/>
  </r>
  <r>
    <x v="6"/>
    <m/>
    <m/>
    <m/>
    <m/>
    <m/>
    <x v="56"/>
    <x v="0"/>
    <x v="2"/>
  </r>
  <r>
    <x v="7"/>
    <m/>
    <m/>
    <m/>
    <m/>
    <m/>
    <x v="56"/>
    <x v="0"/>
    <x v="2"/>
  </r>
  <r>
    <x v="8"/>
    <m/>
    <m/>
    <m/>
    <m/>
    <m/>
    <x v="56"/>
    <x v="0"/>
    <x v="2"/>
  </r>
  <r>
    <x v="9"/>
    <n v="864000"/>
    <m/>
    <m/>
    <m/>
    <m/>
    <x v="56"/>
    <x v="0"/>
    <x v="2"/>
  </r>
  <r>
    <x v="10"/>
    <m/>
    <m/>
    <m/>
    <m/>
    <m/>
    <x v="56"/>
    <x v="0"/>
    <x v="2"/>
  </r>
  <r>
    <x v="11"/>
    <m/>
    <m/>
    <m/>
    <m/>
    <m/>
    <x v="56"/>
    <x v="0"/>
    <x v="2"/>
  </r>
  <r>
    <x v="12"/>
    <m/>
    <m/>
    <m/>
    <m/>
    <m/>
    <x v="56"/>
    <x v="0"/>
    <x v="2"/>
  </r>
  <r>
    <x v="13"/>
    <n v="270000"/>
    <m/>
    <n v="540000"/>
    <m/>
    <m/>
    <x v="56"/>
    <x v="0"/>
    <x v="2"/>
  </r>
  <r>
    <x v="0"/>
    <m/>
    <m/>
    <m/>
    <m/>
    <m/>
    <x v="57"/>
    <x v="0"/>
    <x v="2"/>
  </r>
  <r>
    <x v="1"/>
    <m/>
    <m/>
    <m/>
    <m/>
    <m/>
    <x v="57"/>
    <x v="0"/>
    <x v="2"/>
  </r>
  <r>
    <x v="2"/>
    <n v="504500"/>
    <m/>
    <m/>
    <m/>
    <m/>
    <x v="57"/>
    <x v="0"/>
    <x v="2"/>
  </r>
  <r>
    <x v="3"/>
    <m/>
    <m/>
    <m/>
    <m/>
    <m/>
    <x v="57"/>
    <x v="0"/>
    <x v="2"/>
  </r>
  <r>
    <x v="4"/>
    <m/>
    <m/>
    <m/>
    <m/>
    <m/>
    <x v="57"/>
    <x v="0"/>
    <x v="2"/>
  </r>
  <r>
    <x v="5"/>
    <m/>
    <m/>
    <m/>
    <m/>
    <m/>
    <x v="57"/>
    <x v="0"/>
    <x v="2"/>
  </r>
  <r>
    <x v="6"/>
    <m/>
    <m/>
    <m/>
    <m/>
    <m/>
    <x v="57"/>
    <x v="0"/>
    <x v="2"/>
  </r>
  <r>
    <x v="7"/>
    <m/>
    <m/>
    <m/>
    <m/>
    <m/>
    <x v="57"/>
    <x v="0"/>
    <x v="2"/>
  </r>
  <r>
    <x v="8"/>
    <n v="378000"/>
    <m/>
    <n v="162000"/>
    <m/>
    <m/>
    <x v="57"/>
    <x v="0"/>
    <x v="2"/>
  </r>
  <r>
    <x v="9"/>
    <n v="351500"/>
    <m/>
    <n v="162000"/>
    <m/>
    <m/>
    <x v="57"/>
    <x v="0"/>
    <x v="2"/>
  </r>
  <r>
    <x v="10"/>
    <m/>
    <m/>
    <m/>
    <m/>
    <m/>
    <x v="57"/>
    <x v="0"/>
    <x v="2"/>
  </r>
  <r>
    <x v="11"/>
    <m/>
    <m/>
    <m/>
    <m/>
    <m/>
    <x v="57"/>
    <x v="0"/>
    <x v="2"/>
  </r>
  <r>
    <x v="12"/>
    <n v="254000"/>
    <m/>
    <n v="54000"/>
    <m/>
    <m/>
    <x v="57"/>
    <x v="0"/>
    <x v="2"/>
  </r>
  <r>
    <x v="13"/>
    <n v="256000"/>
    <m/>
    <n v="324000"/>
    <m/>
    <m/>
    <x v="57"/>
    <x v="0"/>
    <x v="2"/>
  </r>
  <r>
    <x v="0"/>
    <m/>
    <m/>
    <m/>
    <m/>
    <m/>
    <x v="58"/>
    <x v="0"/>
    <x v="2"/>
  </r>
  <r>
    <x v="1"/>
    <m/>
    <m/>
    <m/>
    <m/>
    <m/>
    <x v="58"/>
    <x v="0"/>
    <x v="2"/>
  </r>
  <r>
    <x v="2"/>
    <n v="432000"/>
    <m/>
    <m/>
    <m/>
    <m/>
    <x v="58"/>
    <x v="0"/>
    <x v="2"/>
  </r>
  <r>
    <x v="3"/>
    <m/>
    <n v="432000"/>
    <m/>
    <m/>
    <m/>
    <x v="58"/>
    <x v="0"/>
    <x v="2"/>
  </r>
  <r>
    <x v="4"/>
    <m/>
    <m/>
    <m/>
    <m/>
    <m/>
    <x v="58"/>
    <x v="0"/>
    <x v="2"/>
  </r>
  <r>
    <x v="5"/>
    <m/>
    <m/>
    <m/>
    <m/>
    <m/>
    <x v="58"/>
    <x v="0"/>
    <x v="2"/>
  </r>
  <r>
    <x v="6"/>
    <n v="162000"/>
    <m/>
    <m/>
    <m/>
    <m/>
    <x v="58"/>
    <x v="0"/>
    <x v="2"/>
  </r>
  <r>
    <x v="7"/>
    <m/>
    <m/>
    <m/>
    <m/>
    <m/>
    <x v="58"/>
    <x v="0"/>
    <x v="2"/>
  </r>
  <r>
    <x v="8"/>
    <n v="378000"/>
    <m/>
    <n v="432000"/>
    <m/>
    <m/>
    <x v="58"/>
    <x v="0"/>
    <x v="2"/>
  </r>
  <r>
    <x v="9"/>
    <n v="101000"/>
    <m/>
    <n v="428000"/>
    <m/>
    <m/>
    <x v="58"/>
    <x v="0"/>
    <x v="2"/>
  </r>
  <r>
    <x v="10"/>
    <m/>
    <m/>
    <m/>
    <m/>
    <m/>
    <x v="58"/>
    <x v="0"/>
    <x v="2"/>
  </r>
  <r>
    <x v="11"/>
    <m/>
    <m/>
    <m/>
    <m/>
    <m/>
    <x v="58"/>
    <x v="0"/>
    <x v="2"/>
  </r>
  <r>
    <x v="12"/>
    <n v="216000"/>
    <m/>
    <n v="108000"/>
    <m/>
    <m/>
    <x v="58"/>
    <x v="0"/>
    <x v="2"/>
  </r>
  <r>
    <x v="13"/>
    <n v="360000"/>
    <m/>
    <n v="54000"/>
    <m/>
    <m/>
    <x v="58"/>
    <x v="0"/>
    <x v="2"/>
  </r>
  <r>
    <x v="0"/>
    <m/>
    <m/>
    <m/>
    <m/>
    <m/>
    <x v="59"/>
    <x v="0"/>
    <x v="2"/>
  </r>
  <r>
    <x v="1"/>
    <m/>
    <m/>
    <m/>
    <m/>
    <m/>
    <x v="59"/>
    <x v="0"/>
    <x v="2"/>
  </r>
  <r>
    <x v="2"/>
    <n v="162000"/>
    <m/>
    <m/>
    <m/>
    <m/>
    <x v="59"/>
    <x v="0"/>
    <x v="2"/>
  </r>
  <r>
    <x v="3"/>
    <m/>
    <n v="216000"/>
    <m/>
    <m/>
    <m/>
    <x v="59"/>
    <x v="0"/>
    <x v="2"/>
  </r>
  <r>
    <x v="4"/>
    <m/>
    <m/>
    <m/>
    <m/>
    <m/>
    <x v="59"/>
    <x v="0"/>
    <x v="2"/>
  </r>
  <r>
    <x v="5"/>
    <n v="216000"/>
    <m/>
    <n v="216000"/>
    <m/>
    <m/>
    <x v="59"/>
    <x v="0"/>
    <x v="2"/>
  </r>
  <r>
    <x v="6"/>
    <m/>
    <m/>
    <m/>
    <m/>
    <m/>
    <x v="59"/>
    <x v="0"/>
    <x v="2"/>
  </r>
  <r>
    <x v="7"/>
    <m/>
    <m/>
    <m/>
    <m/>
    <m/>
    <x v="59"/>
    <x v="0"/>
    <x v="2"/>
  </r>
  <r>
    <x v="8"/>
    <n v="270000"/>
    <m/>
    <n v="324000"/>
    <m/>
    <m/>
    <x v="59"/>
    <x v="0"/>
    <x v="2"/>
  </r>
  <r>
    <x v="9"/>
    <n v="376000"/>
    <m/>
    <n v="482000"/>
    <m/>
    <m/>
    <x v="59"/>
    <x v="0"/>
    <x v="2"/>
  </r>
  <r>
    <x v="10"/>
    <m/>
    <m/>
    <m/>
    <m/>
    <m/>
    <x v="59"/>
    <x v="0"/>
    <x v="2"/>
  </r>
  <r>
    <x v="11"/>
    <m/>
    <m/>
    <m/>
    <m/>
    <m/>
    <x v="59"/>
    <x v="0"/>
    <x v="2"/>
  </r>
  <r>
    <x v="12"/>
    <n v="162000"/>
    <m/>
    <m/>
    <m/>
    <m/>
    <x v="59"/>
    <x v="0"/>
    <x v="2"/>
  </r>
  <r>
    <x v="13"/>
    <n v="315000"/>
    <m/>
    <m/>
    <m/>
    <m/>
    <x v="59"/>
    <x v="0"/>
    <x v="2"/>
  </r>
  <r>
    <x v="0"/>
    <m/>
    <m/>
    <m/>
    <m/>
    <m/>
    <x v="60"/>
    <x v="0"/>
    <x v="2"/>
  </r>
  <r>
    <x v="1"/>
    <m/>
    <m/>
    <m/>
    <m/>
    <m/>
    <x v="60"/>
    <x v="0"/>
    <x v="2"/>
  </r>
  <r>
    <x v="2"/>
    <n v="316000"/>
    <m/>
    <m/>
    <m/>
    <m/>
    <x v="60"/>
    <x v="0"/>
    <x v="2"/>
  </r>
  <r>
    <x v="3"/>
    <m/>
    <n v="144000"/>
    <m/>
    <m/>
    <m/>
    <x v="60"/>
    <x v="0"/>
    <x v="2"/>
  </r>
  <r>
    <x v="4"/>
    <m/>
    <m/>
    <m/>
    <m/>
    <m/>
    <x v="60"/>
    <x v="0"/>
    <x v="2"/>
  </r>
  <r>
    <x v="5"/>
    <n v="270000"/>
    <m/>
    <n v="216000"/>
    <m/>
    <m/>
    <x v="60"/>
    <x v="0"/>
    <x v="2"/>
  </r>
  <r>
    <x v="6"/>
    <m/>
    <m/>
    <m/>
    <m/>
    <m/>
    <x v="60"/>
    <x v="0"/>
    <x v="2"/>
  </r>
  <r>
    <x v="7"/>
    <m/>
    <m/>
    <m/>
    <m/>
    <m/>
    <x v="60"/>
    <x v="0"/>
    <x v="2"/>
  </r>
  <r>
    <x v="8"/>
    <n v="378000"/>
    <m/>
    <m/>
    <m/>
    <m/>
    <x v="60"/>
    <x v="0"/>
    <x v="2"/>
  </r>
  <r>
    <x v="9"/>
    <n v="432000"/>
    <m/>
    <n v="478000"/>
    <m/>
    <m/>
    <x v="60"/>
    <x v="0"/>
    <x v="2"/>
  </r>
  <r>
    <x v="10"/>
    <m/>
    <m/>
    <m/>
    <m/>
    <m/>
    <x v="60"/>
    <x v="0"/>
    <x v="2"/>
  </r>
  <r>
    <x v="11"/>
    <m/>
    <m/>
    <m/>
    <m/>
    <m/>
    <x v="60"/>
    <x v="0"/>
    <x v="2"/>
  </r>
  <r>
    <x v="12"/>
    <n v="378000"/>
    <m/>
    <m/>
    <m/>
    <m/>
    <x v="60"/>
    <x v="0"/>
    <x v="2"/>
  </r>
  <r>
    <x v="13"/>
    <n v="482000"/>
    <m/>
    <n v="54000"/>
    <m/>
    <m/>
    <x v="60"/>
    <x v="0"/>
    <x v="2"/>
  </r>
  <r>
    <x v="0"/>
    <m/>
    <m/>
    <m/>
    <m/>
    <m/>
    <x v="61"/>
    <x v="0"/>
    <x v="3"/>
  </r>
  <r>
    <x v="1"/>
    <m/>
    <m/>
    <m/>
    <m/>
    <m/>
    <x v="61"/>
    <x v="0"/>
    <x v="3"/>
  </r>
  <r>
    <x v="2"/>
    <m/>
    <m/>
    <m/>
    <m/>
    <m/>
    <x v="61"/>
    <x v="0"/>
    <x v="3"/>
  </r>
  <r>
    <x v="3"/>
    <m/>
    <m/>
    <m/>
    <m/>
    <m/>
    <x v="61"/>
    <x v="0"/>
    <x v="3"/>
  </r>
  <r>
    <x v="4"/>
    <m/>
    <m/>
    <m/>
    <m/>
    <m/>
    <x v="61"/>
    <x v="0"/>
    <x v="3"/>
  </r>
  <r>
    <x v="5"/>
    <m/>
    <m/>
    <m/>
    <m/>
    <m/>
    <x v="61"/>
    <x v="0"/>
    <x v="3"/>
  </r>
  <r>
    <x v="6"/>
    <m/>
    <m/>
    <m/>
    <m/>
    <m/>
    <x v="61"/>
    <x v="0"/>
    <x v="3"/>
  </r>
  <r>
    <x v="7"/>
    <m/>
    <m/>
    <m/>
    <m/>
    <m/>
    <x v="61"/>
    <x v="0"/>
    <x v="3"/>
  </r>
  <r>
    <x v="8"/>
    <n v="162000"/>
    <m/>
    <m/>
    <m/>
    <m/>
    <x v="61"/>
    <x v="0"/>
    <x v="3"/>
  </r>
  <r>
    <x v="9"/>
    <n v="153000"/>
    <m/>
    <m/>
    <m/>
    <m/>
    <x v="61"/>
    <x v="0"/>
    <x v="3"/>
  </r>
  <r>
    <x v="10"/>
    <m/>
    <m/>
    <m/>
    <m/>
    <m/>
    <x v="61"/>
    <x v="0"/>
    <x v="3"/>
  </r>
  <r>
    <x v="11"/>
    <m/>
    <m/>
    <m/>
    <m/>
    <m/>
    <x v="61"/>
    <x v="0"/>
    <x v="3"/>
  </r>
  <r>
    <x v="12"/>
    <m/>
    <m/>
    <m/>
    <m/>
    <m/>
    <x v="61"/>
    <x v="0"/>
    <x v="3"/>
  </r>
  <r>
    <x v="13"/>
    <m/>
    <m/>
    <m/>
    <m/>
    <m/>
    <x v="61"/>
    <x v="0"/>
    <x v="3"/>
  </r>
  <r>
    <x v="0"/>
    <m/>
    <m/>
    <m/>
    <m/>
    <m/>
    <x v="62"/>
    <x v="0"/>
    <x v="3"/>
  </r>
  <r>
    <x v="1"/>
    <m/>
    <m/>
    <m/>
    <m/>
    <m/>
    <x v="62"/>
    <x v="0"/>
    <x v="3"/>
  </r>
  <r>
    <x v="2"/>
    <n v="590000"/>
    <m/>
    <m/>
    <m/>
    <m/>
    <x v="62"/>
    <x v="0"/>
    <x v="3"/>
  </r>
  <r>
    <x v="3"/>
    <m/>
    <m/>
    <m/>
    <m/>
    <m/>
    <x v="62"/>
    <x v="0"/>
    <x v="3"/>
  </r>
  <r>
    <x v="4"/>
    <m/>
    <m/>
    <m/>
    <m/>
    <m/>
    <x v="62"/>
    <x v="0"/>
    <x v="3"/>
  </r>
  <r>
    <x v="5"/>
    <n v="270000"/>
    <m/>
    <n v="162000"/>
    <m/>
    <m/>
    <x v="62"/>
    <x v="0"/>
    <x v="3"/>
  </r>
  <r>
    <x v="6"/>
    <m/>
    <m/>
    <m/>
    <m/>
    <m/>
    <x v="62"/>
    <x v="0"/>
    <x v="3"/>
  </r>
  <r>
    <x v="7"/>
    <m/>
    <m/>
    <m/>
    <m/>
    <m/>
    <x v="62"/>
    <x v="0"/>
    <x v="3"/>
  </r>
  <r>
    <x v="8"/>
    <n v="482000"/>
    <m/>
    <n v="54000"/>
    <m/>
    <m/>
    <x v="62"/>
    <x v="0"/>
    <x v="3"/>
  </r>
  <r>
    <x v="9"/>
    <n v="524000"/>
    <m/>
    <m/>
    <m/>
    <m/>
    <x v="62"/>
    <x v="0"/>
    <x v="3"/>
  </r>
  <r>
    <x v="10"/>
    <m/>
    <m/>
    <m/>
    <m/>
    <m/>
    <x v="62"/>
    <x v="0"/>
    <x v="3"/>
  </r>
  <r>
    <x v="11"/>
    <m/>
    <m/>
    <m/>
    <m/>
    <m/>
    <x v="62"/>
    <x v="0"/>
    <x v="3"/>
  </r>
  <r>
    <x v="12"/>
    <n v="212000"/>
    <m/>
    <n v="104000"/>
    <m/>
    <m/>
    <x v="62"/>
    <x v="0"/>
    <x v="3"/>
  </r>
  <r>
    <x v="13"/>
    <n v="500500"/>
    <m/>
    <m/>
    <m/>
    <m/>
    <x v="62"/>
    <x v="0"/>
    <x v="3"/>
  </r>
  <r>
    <x v="0"/>
    <m/>
    <m/>
    <m/>
    <m/>
    <m/>
    <x v="63"/>
    <x v="0"/>
    <x v="3"/>
  </r>
  <r>
    <x v="1"/>
    <m/>
    <m/>
    <m/>
    <m/>
    <m/>
    <x v="63"/>
    <x v="0"/>
    <x v="3"/>
  </r>
  <r>
    <x v="2"/>
    <n v="270000"/>
    <m/>
    <m/>
    <m/>
    <m/>
    <x v="63"/>
    <x v="0"/>
    <x v="3"/>
  </r>
  <r>
    <x v="3"/>
    <m/>
    <m/>
    <m/>
    <m/>
    <m/>
    <x v="63"/>
    <x v="0"/>
    <x v="3"/>
  </r>
  <r>
    <x v="4"/>
    <n v="54000"/>
    <m/>
    <n v="1071000"/>
    <m/>
    <m/>
    <x v="63"/>
    <x v="0"/>
    <x v="3"/>
  </r>
  <r>
    <x v="5"/>
    <n v="157500"/>
    <m/>
    <m/>
    <m/>
    <m/>
    <x v="63"/>
    <x v="0"/>
    <x v="3"/>
  </r>
  <r>
    <x v="6"/>
    <m/>
    <m/>
    <n v="486000"/>
    <m/>
    <m/>
    <x v="63"/>
    <x v="0"/>
    <x v="3"/>
  </r>
  <r>
    <x v="7"/>
    <m/>
    <m/>
    <m/>
    <m/>
    <m/>
    <x v="63"/>
    <x v="0"/>
    <x v="3"/>
  </r>
  <r>
    <x v="8"/>
    <m/>
    <m/>
    <m/>
    <m/>
    <m/>
    <x v="63"/>
    <x v="0"/>
    <x v="3"/>
  </r>
  <r>
    <x v="9"/>
    <n v="207000"/>
    <m/>
    <m/>
    <m/>
    <m/>
    <x v="63"/>
    <x v="0"/>
    <x v="3"/>
  </r>
  <r>
    <x v="10"/>
    <m/>
    <m/>
    <m/>
    <m/>
    <m/>
    <x v="63"/>
    <x v="0"/>
    <x v="3"/>
  </r>
  <r>
    <x v="11"/>
    <m/>
    <m/>
    <m/>
    <m/>
    <m/>
    <x v="63"/>
    <x v="0"/>
    <x v="3"/>
  </r>
  <r>
    <x v="12"/>
    <n v="162000"/>
    <m/>
    <m/>
    <m/>
    <m/>
    <x v="63"/>
    <x v="0"/>
    <x v="3"/>
  </r>
  <r>
    <x v="13"/>
    <n v="207000"/>
    <m/>
    <m/>
    <m/>
    <m/>
    <x v="63"/>
    <x v="0"/>
    <x v="3"/>
  </r>
  <r>
    <x v="0"/>
    <m/>
    <m/>
    <m/>
    <m/>
    <m/>
    <x v="64"/>
    <x v="0"/>
    <x v="3"/>
  </r>
  <r>
    <x v="1"/>
    <m/>
    <m/>
    <m/>
    <m/>
    <m/>
    <x v="64"/>
    <x v="0"/>
    <x v="3"/>
  </r>
  <r>
    <x v="2"/>
    <m/>
    <m/>
    <m/>
    <m/>
    <m/>
    <x v="64"/>
    <x v="0"/>
    <x v="3"/>
  </r>
  <r>
    <x v="3"/>
    <m/>
    <m/>
    <m/>
    <m/>
    <m/>
    <x v="64"/>
    <x v="0"/>
    <x v="3"/>
  </r>
  <r>
    <x v="4"/>
    <n v="698000"/>
    <m/>
    <n v="108000"/>
    <m/>
    <m/>
    <x v="64"/>
    <x v="0"/>
    <x v="3"/>
  </r>
  <r>
    <x v="5"/>
    <n v="531000"/>
    <m/>
    <m/>
    <m/>
    <m/>
    <x v="64"/>
    <x v="0"/>
    <x v="3"/>
  </r>
  <r>
    <x v="6"/>
    <n v="374000"/>
    <m/>
    <n v="108000"/>
    <m/>
    <m/>
    <x v="64"/>
    <x v="0"/>
    <x v="3"/>
  </r>
  <r>
    <x v="7"/>
    <m/>
    <m/>
    <m/>
    <m/>
    <m/>
    <x v="64"/>
    <x v="0"/>
    <x v="3"/>
  </r>
  <r>
    <x v="8"/>
    <m/>
    <m/>
    <m/>
    <m/>
    <m/>
    <x v="64"/>
    <x v="0"/>
    <x v="3"/>
  </r>
  <r>
    <x v="9"/>
    <n v="378000"/>
    <m/>
    <m/>
    <m/>
    <m/>
    <x v="64"/>
    <x v="0"/>
    <x v="3"/>
  </r>
  <r>
    <x v="10"/>
    <m/>
    <m/>
    <m/>
    <m/>
    <m/>
    <x v="64"/>
    <x v="0"/>
    <x v="3"/>
  </r>
  <r>
    <x v="11"/>
    <m/>
    <m/>
    <m/>
    <m/>
    <m/>
    <x v="64"/>
    <x v="0"/>
    <x v="3"/>
  </r>
  <r>
    <x v="12"/>
    <n v="54000"/>
    <m/>
    <m/>
    <m/>
    <m/>
    <x v="64"/>
    <x v="0"/>
    <x v="3"/>
  </r>
  <r>
    <x v="13"/>
    <n v="432000"/>
    <n v="104000"/>
    <m/>
    <m/>
    <m/>
    <x v="64"/>
    <x v="0"/>
    <x v="3"/>
  </r>
  <r>
    <x v="0"/>
    <m/>
    <m/>
    <m/>
    <m/>
    <m/>
    <x v="65"/>
    <x v="0"/>
    <x v="3"/>
  </r>
  <r>
    <x v="1"/>
    <m/>
    <m/>
    <m/>
    <m/>
    <m/>
    <x v="65"/>
    <x v="0"/>
    <x v="3"/>
  </r>
  <r>
    <x v="2"/>
    <m/>
    <m/>
    <m/>
    <m/>
    <m/>
    <x v="65"/>
    <x v="0"/>
    <x v="3"/>
  </r>
  <r>
    <x v="3"/>
    <m/>
    <n v="149000"/>
    <m/>
    <n v="54000"/>
    <m/>
    <x v="65"/>
    <x v="0"/>
    <x v="3"/>
  </r>
  <r>
    <x v="4"/>
    <n v="583000"/>
    <m/>
    <m/>
    <m/>
    <m/>
    <x v="65"/>
    <x v="0"/>
    <x v="3"/>
  </r>
  <r>
    <x v="5"/>
    <n v="252000"/>
    <n v="432000"/>
    <m/>
    <n v="797000"/>
    <m/>
    <x v="65"/>
    <x v="0"/>
    <x v="3"/>
  </r>
  <r>
    <x v="6"/>
    <n v="477000"/>
    <m/>
    <m/>
    <m/>
    <m/>
    <x v="65"/>
    <x v="0"/>
    <x v="3"/>
  </r>
  <r>
    <x v="7"/>
    <m/>
    <m/>
    <m/>
    <m/>
    <m/>
    <x v="65"/>
    <x v="0"/>
    <x v="3"/>
  </r>
  <r>
    <x v="8"/>
    <m/>
    <m/>
    <m/>
    <m/>
    <m/>
    <x v="65"/>
    <x v="0"/>
    <x v="3"/>
  </r>
  <r>
    <x v="9"/>
    <n v="108000"/>
    <m/>
    <m/>
    <m/>
    <m/>
    <x v="65"/>
    <x v="0"/>
    <x v="3"/>
  </r>
  <r>
    <x v="10"/>
    <m/>
    <m/>
    <m/>
    <m/>
    <m/>
    <x v="65"/>
    <x v="0"/>
    <x v="3"/>
  </r>
  <r>
    <x v="11"/>
    <m/>
    <m/>
    <m/>
    <m/>
    <m/>
    <x v="65"/>
    <x v="0"/>
    <x v="3"/>
  </r>
  <r>
    <x v="12"/>
    <m/>
    <m/>
    <m/>
    <m/>
    <m/>
    <x v="65"/>
    <x v="0"/>
    <x v="3"/>
  </r>
  <r>
    <x v="13"/>
    <n v="594000"/>
    <m/>
    <m/>
    <m/>
    <m/>
    <x v="65"/>
    <x v="0"/>
    <x v="3"/>
  </r>
  <r>
    <x v="0"/>
    <m/>
    <m/>
    <m/>
    <m/>
    <m/>
    <x v="66"/>
    <x v="0"/>
    <x v="3"/>
  </r>
  <r>
    <x v="1"/>
    <m/>
    <m/>
    <m/>
    <m/>
    <m/>
    <x v="66"/>
    <x v="0"/>
    <x v="3"/>
  </r>
  <r>
    <x v="2"/>
    <m/>
    <m/>
    <m/>
    <m/>
    <m/>
    <x v="66"/>
    <x v="0"/>
    <x v="3"/>
  </r>
  <r>
    <x v="3"/>
    <m/>
    <n v="1208000"/>
    <m/>
    <n v="1177000"/>
    <m/>
    <x v="66"/>
    <x v="0"/>
    <x v="3"/>
  </r>
  <r>
    <x v="4"/>
    <n v="752000"/>
    <n v="144000"/>
    <m/>
    <n v="270000"/>
    <m/>
    <x v="66"/>
    <x v="0"/>
    <x v="3"/>
  </r>
  <r>
    <x v="5"/>
    <n v="103000"/>
    <m/>
    <m/>
    <m/>
    <m/>
    <x v="66"/>
    <x v="0"/>
    <x v="3"/>
  </r>
  <r>
    <x v="6"/>
    <n v="486000"/>
    <m/>
    <m/>
    <m/>
    <m/>
    <x v="66"/>
    <x v="0"/>
    <x v="3"/>
  </r>
  <r>
    <x v="7"/>
    <m/>
    <m/>
    <m/>
    <m/>
    <m/>
    <x v="66"/>
    <x v="0"/>
    <x v="3"/>
  </r>
  <r>
    <x v="8"/>
    <m/>
    <m/>
    <m/>
    <m/>
    <m/>
    <x v="66"/>
    <x v="0"/>
    <x v="3"/>
  </r>
  <r>
    <x v="9"/>
    <m/>
    <m/>
    <m/>
    <m/>
    <m/>
    <x v="66"/>
    <x v="0"/>
    <x v="3"/>
  </r>
  <r>
    <x v="10"/>
    <m/>
    <m/>
    <m/>
    <m/>
    <m/>
    <x v="66"/>
    <x v="0"/>
    <x v="3"/>
  </r>
  <r>
    <x v="11"/>
    <m/>
    <m/>
    <m/>
    <m/>
    <m/>
    <x v="66"/>
    <x v="0"/>
    <x v="3"/>
  </r>
  <r>
    <x v="12"/>
    <n v="158000"/>
    <m/>
    <m/>
    <m/>
    <m/>
    <x v="66"/>
    <x v="0"/>
    <x v="3"/>
  </r>
  <r>
    <x v="13"/>
    <n v="216000"/>
    <m/>
    <m/>
    <m/>
    <m/>
    <x v="66"/>
    <x v="0"/>
    <x v="3"/>
  </r>
  <r>
    <x v="0"/>
    <m/>
    <m/>
    <m/>
    <m/>
    <m/>
    <x v="67"/>
    <x v="0"/>
    <x v="3"/>
  </r>
  <r>
    <x v="1"/>
    <m/>
    <m/>
    <m/>
    <m/>
    <m/>
    <x v="67"/>
    <x v="0"/>
    <x v="3"/>
  </r>
  <r>
    <x v="2"/>
    <n v="135000"/>
    <m/>
    <n v="324000"/>
    <m/>
    <m/>
    <x v="67"/>
    <x v="0"/>
    <x v="3"/>
  </r>
  <r>
    <x v="3"/>
    <m/>
    <n v="578000"/>
    <m/>
    <n v="216000"/>
    <m/>
    <x v="67"/>
    <x v="0"/>
    <x v="3"/>
  </r>
  <r>
    <x v="4"/>
    <n v="162000"/>
    <n v="216000"/>
    <m/>
    <n v="911000"/>
    <m/>
    <x v="67"/>
    <x v="0"/>
    <x v="3"/>
  </r>
  <r>
    <x v="5"/>
    <m/>
    <n v="522000"/>
    <m/>
    <m/>
    <m/>
    <x v="67"/>
    <x v="0"/>
    <x v="3"/>
  </r>
  <r>
    <x v="6"/>
    <n v="54000"/>
    <m/>
    <m/>
    <m/>
    <m/>
    <x v="67"/>
    <x v="0"/>
    <x v="3"/>
  </r>
  <r>
    <x v="7"/>
    <m/>
    <m/>
    <m/>
    <m/>
    <m/>
    <x v="67"/>
    <x v="0"/>
    <x v="3"/>
  </r>
  <r>
    <x v="8"/>
    <m/>
    <m/>
    <m/>
    <m/>
    <m/>
    <x v="67"/>
    <x v="0"/>
    <x v="3"/>
  </r>
  <r>
    <x v="9"/>
    <n v="486000"/>
    <m/>
    <m/>
    <m/>
    <m/>
    <x v="67"/>
    <x v="0"/>
    <x v="3"/>
  </r>
  <r>
    <x v="10"/>
    <m/>
    <m/>
    <m/>
    <m/>
    <m/>
    <x v="67"/>
    <x v="0"/>
    <x v="3"/>
  </r>
  <r>
    <x v="11"/>
    <m/>
    <m/>
    <m/>
    <m/>
    <m/>
    <x v="67"/>
    <x v="0"/>
    <x v="3"/>
  </r>
  <r>
    <x v="12"/>
    <n v="316000"/>
    <m/>
    <m/>
    <m/>
    <m/>
    <x v="67"/>
    <x v="0"/>
    <x v="3"/>
  </r>
  <r>
    <x v="13"/>
    <n v="54000"/>
    <n v="45000"/>
    <m/>
    <n v="54000"/>
    <m/>
    <x v="67"/>
    <x v="0"/>
    <x v="3"/>
  </r>
  <r>
    <x v="0"/>
    <m/>
    <m/>
    <m/>
    <m/>
    <m/>
    <x v="68"/>
    <x v="0"/>
    <x v="3"/>
  </r>
  <r>
    <x v="1"/>
    <m/>
    <m/>
    <m/>
    <m/>
    <m/>
    <x v="68"/>
    <x v="0"/>
    <x v="3"/>
  </r>
  <r>
    <x v="2"/>
    <n v="1004000"/>
    <m/>
    <n v="586000"/>
    <n v="270000"/>
    <m/>
    <x v="68"/>
    <x v="0"/>
    <x v="3"/>
  </r>
  <r>
    <x v="3"/>
    <m/>
    <n v="482000"/>
    <m/>
    <n v="50000"/>
    <m/>
    <x v="68"/>
    <x v="0"/>
    <x v="3"/>
  </r>
  <r>
    <x v="4"/>
    <m/>
    <n v="104000"/>
    <m/>
    <m/>
    <m/>
    <x v="68"/>
    <x v="0"/>
    <x v="3"/>
  </r>
  <r>
    <x v="5"/>
    <m/>
    <n v="253000"/>
    <m/>
    <m/>
    <m/>
    <x v="68"/>
    <x v="0"/>
    <x v="3"/>
  </r>
  <r>
    <x v="6"/>
    <m/>
    <m/>
    <m/>
    <m/>
    <m/>
    <x v="68"/>
    <x v="0"/>
    <x v="3"/>
  </r>
  <r>
    <x v="7"/>
    <m/>
    <m/>
    <m/>
    <m/>
    <m/>
    <x v="68"/>
    <x v="0"/>
    <x v="3"/>
  </r>
  <r>
    <x v="8"/>
    <m/>
    <n v="266000"/>
    <n v="50000"/>
    <n v="432000"/>
    <m/>
    <x v="68"/>
    <x v="0"/>
    <x v="3"/>
  </r>
  <r>
    <x v="9"/>
    <n v="108000"/>
    <m/>
    <m/>
    <m/>
    <m/>
    <x v="68"/>
    <x v="0"/>
    <x v="3"/>
  </r>
  <r>
    <x v="10"/>
    <m/>
    <m/>
    <m/>
    <m/>
    <m/>
    <x v="68"/>
    <x v="0"/>
    <x v="3"/>
  </r>
  <r>
    <x v="11"/>
    <m/>
    <m/>
    <m/>
    <m/>
    <m/>
    <x v="68"/>
    <x v="0"/>
    <x v="3"/>
  </r>
  <r>
    <x v="12"/>
    <m/>
    <m/>
    <m/>
    <m/>
    <m/>
    <x v="68"/>
    <x v="0"/>
    <x v="3"/>
  </r>
  <r>
    <x v="13"/>
    <m/>
    <m/>
    <m/>
    <m/>
    <m/>
    <x v="68"/>
    <x v="0"/>
    <x v="3"/>
  </r>
  <r>
    <x v="0"/>
    <m/>
    <m/>
    <m/>
    <m/>
    <m/>
    <x v="69"/>
    <x v="0"/>
    <x v="3"/>
  </r>
  <r>
    <x v="1"/>
    <m/>
    <m/>
    <m/>
    <m/>
    <m/>
    <x v="69"/>
    <x v="0"/>
    <x v="3"/>
  </r>
  <r>
    <x v="2"/>
    <n v="730000"/>
    <n v="54000"/>
    <m/>
    <n v="216000"/>
    <m/>
    <x v="69"/>
    <x v="0"/>
    <x v="3"/>
  </r>
  <r>
    <x v="3"/>
    <m/>
    <n v="486000"/>
    <m/>
    <m/>
    <m/>
    <x v="69"/>
    <x v="0"/>
    <x v="3"/>
  </r>
  <r>
    <x v="4"/>
    <m/>
    <n v="419000"/>
    <m/>
    <m/>
    <m/>
    <x v="69"/>
    <x v="0"/>
    <x v="3"/>
  </r>
  <r>
    <x v="5"/>
    <m/>
    <m/>
    <m/>
    <m/>
    <m/>
    <x v="69"/>
    <x v="0"/>
    <x v="3"/>
  </r>
  <r>
    <x v="6"/>
    <m/>
    <m/>
    <m/>
    <m/>
    <m/>
    <x v="69"/>
    <x v="0"/>
    <x v="3"/>
  </r>
  <r>
    <x v="7"/>
    <m/>
    <m/>
    <m/>
    <m/>
    <m/>
    <x v="69"/>
    <x v="0"/>
    <x v="3"/>
  </r>
  <r>
    <x v="8"/>
    <m/>
    <n v="263000"/>
    <n v="54000"/>
    <n v="486000"/>
    <m/>
    <x v="69"/>
    <x v="0"/>
    <x v="3"/>
  </r>
  <r>
    <x v="9"/>
    <n v="485000"/>
    <m/>
    <n v="909000"/>
    <m/>
    <m/>
    <x v="69"/>
    <x v="0"/>
    <x v="3"/>
  </r>
  <r>
    <x v="10"/>
    <m/>
    <m/>
    <m/>
    <m/>
    <m/>
    <x v="69"/>
    <x v="0"/>
    <x v="3"/>
  </r>
  <r>
    <x v="11"/>
    <m/>
    <m/>
    <m/>
    <m/>
    <m/>
    <x v="69"/>
    <x v="0"/>
    <x v="3"/>
  </r>
  <r>
    <x v="12"/>
    <n v="108000"/>
    <m/>
    <m/>
    <m/>
    <m/>
    <x v="69"/>
    <x v="0"/>
    <x v="3"/>
  </r>
  <r>
    <x v="13"/>
    <m/>
    <m/>
    <n v="54000"/>
    <m/>
    <m/>
    <x v="69"/>
    <x v="0"/>
    <x v="3"/>
  </r>
  <r>
    <x v="0"/>
    <m/>
    <m/>
    <m/>
    <m/>
    <m/>
    <x v="70"/>
    <x v="0"/>
    <x v="3"/>
  </r>
  <r>
    <x v="1"/>
    <m/>
    <m/>
    <m/>
    <m/>
    <m/>
    <x v="70"/>
    <x v="0"/>
    <x v="3"/>
  </r>
  <r>
    <x v="2"/>
    <n v="261000"/>
    <n v="527000"/>
    <n v="45000"/>
    <n v="374000"/>
    <m/>
    <x v="70"/>
    <x v="0"/>
    <x v="3"/>
  </r>
  <r>
    <x v="3"/>
    <m/>
    <n v="806500"/>
    <m/>
    <m/>
    <m/>
    <x v="70"/>
    <x v="0"/>
    <x v="3"/>
  </r>
  <r>
    <x v="4"/>
    <n v="50000"/>
    <m/>
    <m/>
    <n v="99000"/>
    <m/>
    <x v="70"/>
    <x v="0"/>
    <x v="3"/>
  </r>
  <r>
    <x v="5"/>
    <m/>
    <n v="54000"/>
    <m/>
    <n v="108000"/>
    <m/>
    <x v="70"/>
    <x v="0"/>
    <x v="3"/>
  </r>
  <r>
    <x v="6"/>
    <m/>
    <m/>
    <m/>
    <m/>
    <m/>
    <x v="70"/>
    <x v="0"/>
    <x v="3"/>
  </r>
  <r>
    <x v="7"/>
    <m/>
    <m/>
    <m/>
    <m/>
    <m/>
    <x v="70"/>
    <x v="0"/>
    <x v="3"/>
  </r>
  <r>
    <x v="8"/>
    <m/>
    <n v="315000"/>
    <m/>
    <n v="54000"/>
    <m/>
    <x v="70"/>
    <x v="0"/>
    <x v="3"/>
  </r>
  <r>
    <x v="9"/>
    <m/>
    <n v="108000"/>
    <m/>
    <m/>
    <m/>
    <x v="70"/>
    <x v="0"/>
    <x v="3"/>
  </r>
  <r>
    <x v="10"/>
    <m/>
    <m/>
    <m/>
    <m/>
    <m/>
    <x v="70"/>
    <x v="0"/>
    <x v="3"/>
  </r>
  <r>
    <x v="11"/>
    <m/>
    <m/>
    <m/>
    <m/>
    <m/>
    <x v="70"/>
    <x v="0"/>
    <x v="3"/>
  </r>
  <r>
    <x v="12"/>
    <n v="54000"/>
    <m/>
    <m/>
    <m/>
    <m/>
    <x v="70"/>
    <x v="0"/>
    <x v="3"/>
  </r>
  <r>
    <x v="13"/>
    <m/>
    <m/>
    <m/>
    <m/>
    <m/>
    <x v="70"/>
    <x v="0"/>
    <x v="3"/>
  </r>
  <r>
    <x v="0"/>
    <m/>
    <m/>
    <m/>
    <m/>
    <m/>
    <x v="71"/>
    <x v="0"/>
    <x v="3"/>
  </r>
  <r>
    <x v="1"/>
    <m/>
    <m/>
    <m/>
    <m/>
    <m/>
    <x v="71"/>
    <x v="0"/>
    <x v="3"/>
  </r>
  <r>
    <x v="2"/>
    <m/>
    <n v="152000"/>
    <m/>
    <m/>
    <m/>
    <x v="71"/>
    <x v="0"/>
    <x v="3"/>
  </r>
  <r>
    <x v="3"/>
    <m/>
    <n v="216000"/>
    <m/>
    <m/>
    <m/>
    <x v="71"/>
    <x v="0"/>
    <x v="3"/>
  </r>
  <r>
    <x v="4"/>
    <m/>
    <n v="104000"/>
    <m/>
    <n v="540000"/>
    <m/>
    <x v="71"/>
    <x v="0"/>
    <x v="3"/>
  </r>
  <r>
    <x v="5"/>
    <m/>
    <n v="95000"/>
    <m/>
    <n v="427000"/>
    <m/>
    <x v="71"/>
    <x v="0"/>
    <x v="3"/>
  </r>
  <r>
    <x v="6"/>
    <m/>
    <m/>
    <m/>
    <m/>
    <m/>
    <x v="71"/>
    <x v="0"/>
    <x v="3"/>
  </r>
  <r>
    <x v="7"/>
    <m/>
    <m/>
    <m/>
    <m/>
    <m/>
    <x v="71"/>
    <x v="0"/>
    <x v="3"/>
  </r>
  <r>
    <x v="8"/>
    <m/>
    <n v="432000"/>
    <m/>
    <m/>
    <m/>
    <x v="71"/>
    <x v="0"/>
    <x v="3"/>
  </r>
  <r>
    <x v="9"/>
    <m/>
    <n v="270000"/>
    <m/>
    <n v="576000"/>
    <m/>
    <x v="71"/>
    <x v="0"/>
    <x v="3"/>
  </r>
  <r>
    <x v="10"/>
    <m/>
    <m/>
    <m/>
    <m/>
    <m/>
    <x v="71"/>
    <x v="0"/>
    <x v="3"/>
  </r>
  <r>
    <x v="11"/>
    <m/>
    <m/>
    <m/>
    <m/>
    <m/>
    <x v="71"/>
    <x v="0"/>
    <x v="3"/>
  </r>
  <r>
    <x v="12"/>
    <m/>
    <n v="104000"/>
    <m/>
    <m/>
    <m/>
    <x v="71"/>
    <x v="0"/>
    <x v="3"/>
  </r>
  <r>
    <x v="13"/>
    <m/>
    <m/>
    <m/>
    <m/>
    <m/>
    <x v="71"/>
    <x v="0"/>
    <x v="3"/>
  </r>
  <r>
    <x v="0"/>
    <m/>
    <m/>
    <m/>
    <m/>
    <m/>
    <x v="72"/>
    <x v="0"/>
    <x v="3"/>
  </r>
  <r>
    <x v="1"/>
    <m/>
    <m/>
    <m/>
    <m/>
    <m/>
    <x v="72"/>
    <x v="0"/>
    <x v="3"/>
  </r>
  <r>
    <x v="2"/>
    <m/>
    <n v="286000"/>
    <m/>
    <m/>
    <m/>
    <x v="72"/>
    <x v="0"/>
    <x v="3"/>
  </r>
  <r>
    <x v="3"/>
    <m/>
    <n v="54000"/>
    <m/>
    <m/>
    <m/>
    <x v="72"/>
    <x v="0"/>
    <x v="3"/>
  </r>
  <r>
    <x v="4"/>
    <m/>
    <n v="162000"/>
    <m/>
    <m/>
    <m/>
    <x v="72"/>
    <x v="0"/>
    <x v="3"/>
  </r>
  <r>
    <x v="5"/>
    <n v="1001000"/>
    <n v="216000"/>
    <n v="698000"/>
    <m/>
    <m/>
    <x v="72"/>
    <x v="0"/>
    <x v="3"/>
  </r>
  <r>
    <x v="6"/>
    <m/>
    <n v="270000"/>
    <m/>
    <m/>
    <m/>
    <x v="72"/>
    <x v="0"/>
    <x v="3"/>
  </r>
  <r>
    <x v="7"/>
    <m/>
    <m/>
    <m/>
    <m/>
    <m/>
    <x v="72"/>
    <x v="0"/>
    <x v="3"/>
  </r>
  <r>
    <x v="8"/>
    <m/>
    <n v="423000"/>
    <m/>
    <n v="482000"/>
    <m/>
    <x v="72"/>
    <x v="0"/>
    <x v="3"/>
  </r>
  <r>
    <x v="9"/>
    <m/>
    <n v="249000"/>
    <m/>
    <n v="270000"/>
    <m/>
    <x v="72"/>
    <x v="0"/>
    <x v="3"/>
  </r>
  <r>
    <x v="10"/>
    <m/>
    <m/>
    <m/>
    <m/>
    <m/>
    <x v="72"/>
    <x v="0"/>
    <x v="3"/>
  </r>
  <r>
    <x v="11"/>
    <m/>
    <m/>
    <m/>
    <m/>
    <m/>
    <x v="72"/>
    <x v="0"/>
    <x v="3"/>
  </r>
  <r>
    <x v="12"/>
    <m/>
    <n v="270000"/>
    <m/>
    <m/>
    <m/>
    <x v="72"/>
    <x v="0"/>
    <x v="3"/>
  </r>
  <r>
    <x v="13"/>
    <m/>
    <m/>
    <n v="54000"/>
    <m/>
    <m/>
    <x v="72"/>
    <x v="0"/>
    <x v="3"/>
  </r>
  <r>
    <x v="0"/>
    <m/>
    <m/>
    <m/>
    <m/>
    <m/>
    <x v="73"/>
    <x v="0"/>
    <x v="3"/>
  </r>
  <r>
    <x v="1"/>
    <m/>
    <m/>
    <m/>
    <m/>
    <m/>
    <x v="73"/>
    <x v="0"/>
    <x v="3"/>
  </r>
  <r>
    <x v="2"/>
    <m/>
    <m/>
    <m/>
    <m/>
    <m/>
    <x v="73"/>
    <x v="0"/>
    <x v="3"/>
  </r>
  <r>
    <x v="3"/>
    <m/>
    <m/>
    <m/>
    <m/>
    <m/>
    <x v="73"/>
    <x v="0"/>
    <x v="3"/>
  </r>
  <r>
    <x v="4"/>
    <m/>
    <n v="216000"/>
    <m/>
    <m/>
    <m/>
    <x v="73"/>
    <x v="0"/>
    <x v="3"/>
  </r>
  <r>
    <x v="5"/>
    <n v="586000"/>
    <n v="162000"/>
    <n v="50000"/>
    <n v="263000"/>
    <m/>
    <x v="73"/>
    <x v="0"/>
    <x v="3"/>
  </r>
  <r>
    <x v="6"/>
    <m/>
    <n v="108000"/>
    <m/>
    <m/>
    <m/>
    <x v="73"/>
    <x v="0"/>
    <x v="3"/>
  </r>
  <r>
    <x v="7"/>
    <m/>
    <m/>
    <m/>
    <m/>
    <m/>
    <x v="73"/>
    <x v="0"/>
    <x v="3"/>
  </r>
  <r>
    <x v="8"/>
    <n v="270000"/>
    <n v="150000"/>
    <m/>
    <n v="1230000"/>
    <m/>
    <x v="73"/>
    <x v="0"/>
    <x v="3"/>
  </r>
  <r>
    <x v="9"/>
    <m/>
    <n v="212000"/>
    <m/>
    <m/>
    <m/>
    <x v="73"/>
    <x v="0"/>
    <x v="3"/>
  </r>
  <r>
    <x v="10"/>
    <m/>
    <m/>
    <m/>
    <m/>
    <m/>
    <x v="73"/>
    <x v="0"/>
    <x v="3"/>
  </r>
  <r>
    <x v="11"/>
    <m/>
    <m/>
    <m/>
    <m/>
    <m/>
    <x v="73"/>
    <x v="0"/>
    <x v="3"/>
  </r>
  <r>
    <x v="12"/>
    <m/>
    <n v="316000"/>
    <m/>
    <m/>
    <m/>
    <x v="73"/>
    <x v="0"/>
    <x v="3"/>
  </r>
  <r>
    <x v="13"/>
    <m/>
    <m/>
    <m/>
    <m/>
    <m/>
    <x v="73"/>
    <x v="0"/>
    <x v="3"/>
  </r>
  <r>
    <x v="0"/>
    <m/>
    <m/>
    <m/>
    <m/>
    <m/>
    <x v="74"/>
    <x v="0"/>
    <x v="3"/>
  </r>
  <r>
    <x v="1"/>
    <m/>
    <m/>
    <m/>
    <m/>
    <m/>
    <x v="74"/>
    <x v="0"/>
    <x v="3"/>
  </r>
  <r>
    <x v="2"/>
    <m/>
    <m/>
    <m/>
    <n v="47000"/>
    <m/>
    <x v="74"/>
    <x v="0"/>
    <x v="3"/>
  </r>
  <r>
    <x v="3"/>
    <m/>
    <m/>
    <m/>
    <m/>
    <m/>
    <x v="74"/>
    <x v="0"/>
    <x v="3"/>
  </r>
  <r>
    <x v="4"/>
    <m/>
    <n v="378000"/>
    <m/>
    <m/>
    <m/>
    <x v="74"/>
    <x v="0"/>
    <x v="3"/>
  </r>
  <r>
    <x v="5"/>
    <m/>
    <n v="211000"/>
    <m/>
    <m/>
    <m/>
    <x v="74"/>
    <x v="0"/>
    <x v="3"/>
  </r>
  <r>
    <x v="6"/>
    <n v="54000"/>
    <n v="162000"/>
    <m/>
    <m/>
    <m/>
    <x v="74"/>
    <x v="0"/>
    <x v="3"/>
  </r>
  <r>
    <x v="7"/>
    <m/>
    <m/>
    <m/>
    <m/>
    <m/>
    <x v="74"/>
    <x v="0"/>
    <x v="3"/>
  </r>
  <r>
    <x v="8"/>
    <n v="54000"/>
    <n v="432000"/>
    <m/>
    <n v="644000"/>
    <m/>
    <x v="74"/>
    <x v="0"/>
    <x v="3"/>
  </r>
  <r>
    <x v="9"/>
    <m/>
    <n v="378000"/>
    <m/>
    <m/>
    <m/>
    <x v="74"/>
    <x v="0"/>
    <x v="3"/>
  </r>
  <r>
    <x v="10"/>
    <m/>
    <m/>
    <m/>
    <m/>
    <m/>
    <x v="74"/>
    <x v="0"/>
    <x v="3"/>
  </r>
  <r>
    <x v="11"/>
    <m/>
    <m/>
    <m/>
    <m/>
    <m/>
    <x v="74"/>
    <x v="0"/>
    <x v="3"/>
  </r>
  <r>
    <x v="12"/>
    <m/>
    <n v="153000"/>
    <m/>
    <n v="162000"/>
    <m/>
    <x v="74"/>
    <x v="0"/>
    <x v="3"/>
  </r>
  <r>
    <x v="13"/>
    <m/>
    <m/>
    <m/>
    <m/>
    <m/>
    <x v="74"/>
    <x v="0"/>
    <x v="3"/>
  </r>
  <r>
    <x v="0"/>
    <m/>
    <m/>
    <m/>
    <m/>
    <m/>
    <x v="75"/>
    <x v="0"/>
    <x v="3"/>
  </r>
  <r>
    <x v="1"/>
    <m/>
    <m/>
    <m/>
    <m/>
    <m/>
    <x v="75"/>
    <x v="0"/>
    <x v="3"/>
  </r>
  <r>
    <x v="2"/>
    <m/>
    <m/>
    <n v="411000"/>
    <n v="92000"/>
    <m/>
    <x v="75"/>
    <x v="0"/>
    <x v="3"/>
  </r>
  <r>
    <x v="3"/>
    <m/>
    <m/>
    <m/>
    <m/>
    <m/>
    <x v="75"/>
    <x v="0"/>
    <x v="3"/>
  </r>
  <r>
    <x v="4"/>
    <m/>
    <n v="510000"/>
    <m/>
    <m/>
    <m/>
    <x v="75"/>
    <x v="0"/>
    <x v="3"/>
  </r>
  <r>
    <x v="5"/>
    <m/>
    <n v="518000"/>
    <m/>
    <m/>
    <m/>
    <x v="75"/>
    <x v="0"/>
    <x v="3"/>
  </r>
  <r>
    <x v="6"/>
    <m/>
    <n v="266000"/>
    <m/>
    <m/>
    <m/>
    <x v="75"/>
    <x v="0"/>
    <x v="3"/>
  </r>
  <r>
    <x v="7"/>
    <m/>
    <m/>
    <m/>
    <m/>
    <m/>
    <x v="75"/>
    <x v="0"/>
    <x v="3"/>
  </r>
  <r>
    <x v="8"/>
    <n v="270000"/>
    <n v="618000"/>
    <n v="702000"/>
    <n v="50000"/>
    <m/>
    <x v="75"/>
    <x v="0"/>
    <x v="3"/>
  </r>
  <r>
    <x v="9"/>
    <m/>
    <n v="465000"/>
    <m/>
    <m/>
    <m/>
    <x v="75"/>
    <x v="0"/>
    <x v="3"/>
  </r>
  <r>
    <x v="10"/>
    <m/>
    <m/>
    <m/>
    <m/>
    <m/>
    <x v="75"/>
    <x v="0"/>
    <x v="3"/>
  </r>
  <r>
    <x v="11"/>
    <m/>
    <m/>
    <m/>
    <m/>
    <m/>
    <x v="75"/>
    <x v="0"/>
    <x v="3"/>
  </r>
  <r>
    <x v="12"/>
    <m/>
    <m/>
    <m/>
    <n v="54000"/>
    <m/>
    <x v="75"/>
    <x v="0"/>
    <x v="3"/>
  </r>
  <r>
    <x v="13"/>
    <m/>
    <m/>
    <m/>
    <m/>
    <m/>
    <x v="75"/>
    <x v="0"/>
    <x v="3"/>
  </r>
  <r>
    <x v="0"/>
    <m/>
    <m/>
    <m/>
    <m/>
    <m/>
    <x v="76"/>
    <x v="0"/>
    <x v="3"/>
  </r>
  <r>
    <x v="1"/>
    <m/>
    <m/>
    <m/>
    <m/>
    <m/>
    <x v="76"/>
    <x v="0"/>
    <x v="3"/>
  </r>
  <r>
    <x v="2"/>
    <n v="643500"/>
    <n v="518000"/>
    <n v="536000"/>
    <m/>
    <m/>
    <x v="76"/>
    <x v="0"/>
    <x v="3"/>
  </r>
  <r>
    <x v="3"/>
    <m/>
    <m/>
    <m/>
    <m/>
    <m/>
    <x v="76"/>
    <x v="0"/>
    <x v="3"/>
  </r>
  <r>
    <x v="4"/>
    <m/>
    <n v="54000"/>
    <m/>
    <m/>
    <m/>
    <x v="76"/>
    <x v="0"/>
    <x v="3"/>
  </r>
  <r>
    <x v="5"/>
    <m/>
    <n v="315000"/>
    <m/>
    <m/>
    <m/>
    <x v="76"/>
    <x v="0"/>
    <x v="3"/>
  </r>
  <r>
    <x v="6"/>
    <m/>
    <n v="211500"/>
    <m/>
    <m/>
    <m/>
    <x v="76"/>
    <x v="0"/>
    <x v="3"/>
  </r>
  <r>
    <x v="7"/>
    <m/>
    <m/>
    <m/>
    <m/>
    <m/>
    <x v="76"/>
    <x v="0"/>
    <x v="3"/>
  </r>
  <r>
    <x v="8"/>
    <n v="477000"/>
    <n v="108000"/>
    <n v="266000"/>
    <n v="47000"/>
    <m/>
    <x v="76"/>
    <x v="0"/>
    <x v="3"/>
  </r>
  <r>
    <x v="9"/>
    <n v="486000"/>
    <n v="418000"/>
    <m/>
    <m/>
    <m/>
    <x v="76"/>
    <x v="0"/>
    <x v="3"/>
  </r>
  <r>
    <x v="10"/>
    <m/>
    <m/>
    <m/>
    <m/>
    <m/>
    <x v="76"/>
    <x v="0"/>
    <x v="3"/>
  </r>
  <r>
    <x v="11"/>
    <m/>
    <m/>
    <m/>
    <m/>
    <m/>
    <x v="76"/>
    <x v="0"/>
    <x v="3"/>
  </r>
  <r>
    <x v="12"/>
    <m/>
    <n v="153000"/>
    <m/>
    <m/>
    <m/>
    <x v="76"/>
    <x v="0"/>
    <x v="3"/>
  </r>
  <r>
    <x v="13"/>
    <m/>
    <m/>
    <m/>
    <m/>
    <m/>
    <x v="76"/>
    <x v="0"/>
    <x v="3"/>
  </r>
  <r>
    <x v="0"/>
    <m/>
    <m/>
    <m/>
    <m/>
    <m/>
    <x v="77"/>
    <x v="0"/>
    <x v="3"/>
  </r>
  <r>
    <x v="1"/>
    <m/>
    <m/>
    <m/>
    <m/>
    <m/>
    <x v="77"/>
    <x v="0"/>
    <x v="3"/>
  </r>
  <r>
    <x v="2"/>
    <n v="1176000"/>
    <n v="577000"/>
    <n v="50000"/>
    <m/>
    <m/>
    <x v="77"/>
    <x v="0"/>
    <x v="3"/>
  </r>
  <r>
    <x v="3"/>
    <m/>
    <m/>
    <m/>
    <m/>
    <m/>
    <x v="77"/>
    <x v="0"/>
    <x v="3"/>
  </r>
  <r>
    <x v="4"/>
    <m/>
    <m/>
    <m/>
    <m/>
    <m/>
    <x v="77"/>
    <x v="0"/>
    <x v="3"/>
  </r>
  <r>
    <x v="5"/>
    <m/>
    <n v="104000"/>
    <m/>
    <m/>
    <m/>
    <x v="77"/>
    <x v="0"/>
    <x v="3"/>
  </r>
  <r>
    <x v="6"/>
    <m/>
    <n v="260000"/>
    <m/>
    <m/>
    <m/>
    <x v="77"/>
    <x v="0"/>
    <x v="3"/>
  </r>
  <r>
    <x v="7"/>
    <m/>
    <m/>
    <m/>
    <m/>
    <m/>
    <x v="77"/>
    <x v="0"/>
    <x v="3"/>
  </r>
  <r>
    <x v="8"/>
    <n v="144000"/>
    <n v="918000"/>
    <m/>
    <m/>
    <m/>
    <x v="77"/>
    <x v="0"/>
    <x v="3"/>
  </r>
  <r>
    <x v="9"/>
    <n v="324000"/>
    <n v="589000"/>
    <m/>
    <m/>
    <m/>
    <x v="77"/>
    <x v="0"/>
    <x v="3"/>
  </r>
  <r>
    <x v="10"/>
    <m/>
    <m/>
    <m/>
    <m/>
    <m/>
    <x v="77"/>
    <x v="0"/>
    <x v="3"/>
  </r>
  <r>
    <x v="11"/>
    <m/>
    <m/>
    <m/>
    <m/>
    <m/>
    <x v="77"/>
    <x v="0"/>
    <x v="3"/>
  </r>
  <r>
    <x v="12"/>
    <m/>
    <m/>
    <m/>
    <m/>
    <m/>
    <x v="77"/>
    <x v="0"/>
    <x v="3"/>
  </r>
  <r>
    <x v="13"/>
    <m/>
    <m/>
    <m/>
    <m/>
    <m/>
    <x v="77"/>
    <x v="0"/>
    <x v="3"/>
  </r>
  <r>
    <x v="0"/>
    <m/>
    <m/>
    <m/>
    <m/>
    <m/>
    <x v="78"/>
    <x v="0"/>
    <x v="3"/>
  </r>
  <r>
    <x v="1"/>
    <m/>
    <m/>
    <m/>
    <m/>
    <m/>
    <x v="78"/>
    <x v="0"/>
    <x v="3"/>
  </r>
  <r>
    <x v="2"/>
    <n v="593000"/>
    <n v="465000"/>
    <m/>
    <m/>
    <m/>
    <x v="78"/>
    <x v="0"/>
    <x v="3"/>
  </r>
  <r>
    <x v="3"/>
    <m/>
    <m/>
    <m/>
    <m/>
    <m/>
    <x v="78"/>
    <x v="0"/>
    <x v="3"/>
  </r>
  <r>
    <x v="4"/>
    <m/>
    <m/>
    <m/>
    <m/>
    <m/>
    <x v="78"/>
    <x v="0"/>
    <x v="3"/>
  </r>
  <r>
    <x v="5"/>
    <m/>
    <n v="162000"/>
    <m/>
    <m/>
    <m/>
    <x v="78"/>
    <x v="0"/>
    <x v="3"/>
  </r>
  <r>
    <x v="6"/>
    <m/>
    <n v="100000"/>
    <m/>
    <m/>
    <m/>
    <x v="78"/>
    <x v="0"/>
    <x v="3"/>
  </r>
  <r>
    <x v="7"/>
    <m/>
    <m/>
    <m/>
    <m/>
    <m/>
    <x v="78"/>
    <x v="0"/>
    <x v="3"/>
  </r>
  <r>
    <x v="8"/>
    <n v="108000"/>
    <n v="1080000"/>
    <m/>
    <m/>
    <m/>
    <x v="78"/>
    <x v="0"/>
    <x v="3"/>
  </r>
  <r>
    <x v="9"/>
    <n v="909000"/>
    <n v="516000"/>
    <n v="756000"/>
    <m/>
    <m/>
    <x v="78"/>
    <x v="0"/>
    <x v="3"/>
  </r>
  <r>
    <x v="10"/>
    <m/>
    <m/>
    <m/>
    <m/>
    <m/>
    <x v="78"/>
    <x v="0"/>
    <x v="3"/>
  </r>
  <r>
    <x v="11"/>
    <m/>
    <m/>
    <m/>
    <m/>
    <m/>
    <x v="78"/>
    <x v="0"/>
    <x v="3"/>
  </r>
  <r>
    <x v="12"/>
    <m/>
    <m/>
    <n v="54000"/>
    <m/>
    <m/>
    <x v="78"/>
    <x v="0"/>
    <x v="3"/>
  </r>
  <r>
    <x v="13"/>
    <m/>
    <m/>
    <n v="54000"/>
    <m/>
    <m/>
    <x v="78"/>
    <x v="0"/>
    <x v="3"/>
  </r>
  <r>
    <x v="0"/>
    <m/>
    <m/>
    <m/>
    <m/>
    <m/>
    <x v="79"/>
    <x v="0"/>
    <x v="3"/>
  </r>
  <r>
    <x v="1"/>
    <m/>
    <m/>
    <m/>
    <m/>
    <m/>
    <x v="79"/>
    <x v="0"/>
    <x v="3"/>
  </r>
  <r>
    <x v="2"/>
    <m/>
    <n v="162000"/>
    <m/>
    <m/>
    <m/>
    <x v="79"/>
    <x v="0"/>
    <x v="3"/>
  </r>
  <r>
    <x v="3"/>
    <m/>
    <m/>
    <m/>
    <m/>
    <m/>
    <x v="79"/>
    <x v="0"/>
    <x v="3"/>
  </r>
  <r>
    <x v="4"/>
    <m/>
    <m/>
    <m/>
    <m/>
    <m/>
    <x v="79"/>
    <x v="0"/>
    <x v="3"/>
  </r>
  <r>
    <x v="5"/>
    <m/>
    <m/>
    <m/>
    <m/>
    <m/>
    <x v="79"/>
    <x v="0"/>
    <x v="3"/>
  </r>
  <r>
    <x v="6"/>
    <m/>
    <m/>
    <m/>
    <m/>
    <m/>
    <x v="79"/>
    <x v="0"/>
    <x v="3"/>
  </r>
  <r>
    <x v="7"/>
    <m/>
    <m/>
    <m/>
    <m/>
    <m/>
    <x v="79"/>
    <x v="0"/>
    <x v="3"/>
  </r>
  <r>
    <x v="8"/>
    <m/>
    <n v="1769000"/>
    <m/>
    <m/>
    <m/>
    <x v="79"/>
    <x v="0"/>
    <x v="3"/>
  </r>
  <r>
    <x v="9"/>
    <n v="1234000"/>
    <n v="108000"/>
    <n v="196000"/>
    <m/>
    <m/>
    <x v="79"/>
    <x v="0"/>
    <x v="3"/>
  </r>
  <r>
    <x v="10"/>
    <m/>
    <m/>
    <m/>
    <m/>
    <m/>
    <x v="79"/>
    <x v="0"/>
    <x v="3"/>
  </r>
  <r>
    <x v="11"/>
    <m/>
    <m/>
    <m/>
    <m/>
    <m/>
    <x v="79"/>
    <x v="0"/>
    <x v="3"/>
  </r>
  <r>
    <x v="12"/>
    <m/>
    <m/>
    <m/>
    <m/>
    <m/>
    <x v="79"/>
    <x v="0"/>
    <x v="3"/>
  </r>
  <r>
    <x v="13"/>
    <n v="796000"/>
    <m/>
    <n v="320000"/>
    <m/>
    <m/>
    <x v="79"/>
    <x v="0"/>
    <x v="3"/>
  </r>
  <r>
    <x v="0"/>
    <m/>
    <m/>
    <m/>
    <m/>
    <m/>
    <x v="80"/>
    <x v="0"/>
    <x v="3"/>
  </r>
  <r>
    <x v="1"/>
    <m/>
    <m/>
    <m/>
    <m/>
    <m/>
    <x v="80"/>
    <x v="0"/>
    <x v="3"/>
  </r>
  <r>
    <x v="2"/>
    <m/>
    <n v="50000"/>
    <m/>
    <m/>
    <m/>
    <x v="80"/>
    <x v="0"/>
    <x v="3"/>
  </r>
  <r>
    <x v="3"/>
    <m/>
    <m/>
    <m/>
    <m/>
    <m/>
    <x v="80"/>
    <x v="0"/>
    <x v="3"/>
  </r>
  <r>
    <x v="4"/>
    <m/>
    <m/>
    <m/>
    <m/>
    <m/>
    <x v="80"/>
    <x v="0"/>
    <x v="3"/>
  </r>
  <r>
    <x v="5"/>
    <m/>
    <n v="108000"/>
    <m/>
    <m/>
    <m/>
    <x v="80"/>
    <x v="0"/>
    <x v="3"/>
  </r>
  <r>
    <x v="6"/>
    <m/>
    <n v="262000"/>
    <m/>
    <m/>
    <m/>
    <x v="80"/>
    <x v="0"/>
    <x v="3"/>
  </r>
  <r>
    <x v="7"/>
    <m/>
    <m/>
    <m/>
    <m/>
    <m/>
    <x v="80"/>
    <x v="0"/>
    <x v="3"/>
  </r>
  <r>
    <x v="8"/>
    <m/>
    <n v="153000"/>
    <m/>
    <m/>
    <m/>
    <x v="80"/>
    <x v="0"/>
    <x v="3"/>
  </r>
  <r>
    <x v="9"/>
    <n v="799000"/>
    <n v="108000"/>
    <n v="99000"/>
    <m/>
    <m/>
    <x v="80"/>
    <x v="0"/>
    <x v="3"/>
  </r>
  <r>
    <x v="10"/>
    <m/>
    <m/>
    <m/>
    <m/>
    <m/>
    <x v="80"/>
    <x v="0"/>
    <x v="3"/>
  </r>
  <r>
    <x v="11"/>
    <m/>
    <m/>
    <m/>
    <m/>
    <m/>
    <x v="80"/>
    <x v="0"/>
    <x v="3"/>
  </r>
  <r>
    <x v="12"/>
    <m/>
    <m/>
    <m/>
    <m/>
    <m/>
    <x v="80"/>
    <x v="0"/>
    <x v="3"/>
  </r>
  <r>
    <x v="13"/>
    <m/>
    <m/>
    <n v="158000"/>
    <m/>
    <m/>
    <x v="80"/>
    <x v="0"/>
    <x v="3"/>
  </r>
  <r>
    <x v="0"/>
    <m/>
    <m/>
    <m/>
    <m/>
    <m/>
    <x v="81"/>
    <x v="0"/>
    <x v="4"/>
  </r>
  <r>
    <x v="1"/>
    <m/>
    <m/>
    <m/>
    <m/>
    <m/>
    <x v="81"/>
    <x v="0"/>
    <x v="4"/>
  </r>
  <r>
    <x v="2"/>
    <m/>
    <n v="162000"/>
    <m/>
    <m/>
    <m/>
    <x v="81"/>
    <x v="0"/>
    <x v="4"/>
  </r>
  <r>
    <x v="3"/>
    <m/>
    <m/>
    <m/>
    <m/>
    <m/>
    <x v="81"/>
    <x v="0"/>
    <x v="4"/>
  </r>
  <r>
    <x v="4"/>
    <m/>
    <m/>
    <m/>
    <m/>
    <m/>
    <x v="81"/>
    <x v="0"/>
    <x v="4"/>
  </r>
  <r>
    <x v="5"/>
    <m/>
    <m/>
    <m/>
    <m/>
    <m/>
    <x v="81"/>
    <x v="0"/>
    <x v="4"/>
  </r>
  <r>
    <x v="6"/>
    <n v="135000"/>
    <n v="743000"/>
    <m/>
    <m/>
    <m/>
    <x v="81"/>
    <x v="0"/>
    <x v="4"/>
  </r>
  <r>
    <x v="7"/>
    <m/>
    <m/>
    <m/>
    <m/>
    <m/>
    <x v="81"/>
    <x v="0"/>
    <x v="4"/>
  </r>
  <r>
    <x v="8"/>
    <m/>
    <m/>
    <m/>
    <m/>
    <m/>
    <x v="81"/>
    <x v="0"/>
    <x v="4"/>
  </r>
  <r>
    <x v="9"/>
    <n v="721000"/>
    <m/>
    <m/>
    <n v="519000"/>
    <m/>
    <x v="81"/>
    <x v="0"/>
    <x v="4"/>
  </r>
  <r>
    <x v="10"/>
    <m/>
    <m/>
    <m/>
    <m/>
    <m/>
    <x v="81"/>
    <x v="0"/>
    <x v="4"/>
  </r>
  <r>
    <x v="11"/>
    <m/>
    <m/>
    <m/>
    <m/>
    <m/>
    <x v="81"/>
    <x v="0"/>
    <x v="4"/>
  </r>
  <r>
    <x v="12"/>
    <m/>
    <m/>
    <m/>
    <m/>
    <m/>
    <x v="81"/>
    <x v="0"/>
    <x v="4"/>
  </r>
  <r>
    <x v="13"/>
    <m/>
    <m/>
    <m/>
    <m/>
    <m/>
    <x v="81"/>
    <x v="0"/>
    <x v="4"/>
  </r>
  <r>
    <x v="0"/>
    <m/>
    <m/>
    <m/>
    <m/>
    <m/>
    <x v="82"/>
    <x v="0"/>
    <x v="4"/>
  </r>
  <r>
    <x v="1"/>
    <m/>
    <m/>
    <m/>
    <m/>
    <m/>
    <x v="82"/>
    <x v="0"/>
    <x v="4"/>
  </r>
  <r>
    <x v="2"/>
    <m/>
    <m/>
    <m/>
    <m/>
    <m/>
    <x v="82"/>
    <x v="0"/>
    <x v="4"/>
  </r>
  <r>
    <x v="3"/>
    <m/>
    <m/>
    <m/>
    <m/>
    <m/>
    <x v="82"/>
    <x v="0"/>
    <x v="4"/>
  </r>
  <r>
    <x v="4"/>
    <m/>
    <m/>
    <m/>
    <m/>
    <m/>
    <x v="82"/>
    <x v="0"/>
    <x v="4"/>
  </r>
  <r>
    <x v="5"/>
    <m/>
    <m/>
    <m/>
    <m/>
    <m/>
    <x v="82"/>
    <x v="0"/>
    <x v="4"/>
  </r>
  <r>
    <x v="6"/>
    <m/>
    <m/>
    <m/>
    <m/>
    <m/>
    <x v="82"/>
    <x v="0"/>
    <x v="4"/>
  </r>
  <r>
    <x v="7"/>
    <m/>
    <m/>
    <m/>
    <m/>
    <m/>
    <x v="82"/>
    <x v="0"/>
    <x v="4"/>
  </r>
  <r>
    <x v="8"/>
    <m/>
    <m/>
    <m/>
    <m/>
    <m/>
    <x v="82"/>
    <x v="0"/>
    <x v="4"/>
  </r>
  <r>
    <x v="9"/>
    <n v="1337000"/>
    <n v="1540000"/>
    <n v="756000"/>
    <n v="432000"/>
    <m/>
    <x v="82"/>
    <x v="0"/>
    <x v="4"/>
  </r>
  <r>
    <x v="10"/>
    <m/>
    <m/>
    <m/>
    <m/>
    <m/>
    <x v="82"/>
    <x v="0"/>
    <x v="4"/>
  </r>
  <r>
    <x v="11"/>
    <m/>
    <m/>
    <m/>
    <m/>
    <m/>
    <x v="82"/>
    <x v="0"/>
    <x v="4"/>
  </r>
  <r>
    <x v="12"/>
    <m/>
    <m/>
    <m/>
    <m/>
    <m/>
    <x v="82"/>
    <x v="0"/>
    <x v="4"/>
  </r>
  <r>
    <x v="13"/>
    <n v="270000"/>
    <m/>
    <n v="54000"/>
    <m/>
    <m/>
    <x v="82"/>
    <x v="0"/>
    <x v="4"/>
  </r>
  <r>
    <x v="0"/>
    <m/>
    <m/>
    <m/>
    <m/>
    <m/>
    <x v="83"/>
    <x v="0"/>
    <x v="4"/>
  </r>
  <r>
    <x v="1"/>
    <m/>
    <m/>
    <m/>
    <m/>
    <m/>
    <x v="83"/>
    <x v="0"/>
    <x v="4"/>
  </r>
  <r>
    <x v="2"/>
    <n v="54000"/>
    <n v="50000"/>
    <m/>
    <m/>
    <m/>
    <x v="83"/>
    <x v="0"/>
    <x v="4"/>
  </r>
  <r>
    <x v="3"/>
    <m/>
    <m/>
    <m/>
    <m/>
    <m/>
    <x v="83"/>
    <x v="0"/>
    <x v="4"/>
  </r>
  <r>
    <x v="4"/>
    <m/>
    <n v="963000"/>
    <m/>
    <n v="752000"/>
    <m/>
    <x v="83"/>
    <x v="0"/>
    <x v="4"/>
  </r>
  <r>
    <x v="5"/>
    <m/>
    <n v="135000"/>
    <m/>
    <m/>
    <m/>
    <x v="83"/>
    <x v="0"/>
    <x v="4"/>
  </r>
  <r>
    <x v="6"/>
    <m/>
    <m/>
    <m/>
    <m/>
    <m/>
    <x v="83"/>
    <x v="0"/>
    <x v="4"/>
  </r>
  <r>
    <x v="7"/>
    <m/>
    <m/>
    <m/>
    <m/>
    <m/>
    <x v="83"/>
    <x v="0"/>
    <x v="4"/>
  </r>
  <r>
    <x v="8"/>
    <m/>
    <m/>
    <m/>
    <m/>
    <m/>
    <x v="83"/>
    <x v="0"/>
    <x v="4"/>
  </r>
  <r>
    <x v="9"/>
    <n v="1535500"/>
    <n v="365000"/>
    <n v="100000"/>
    <n v="92000"/>
    <m/>
    <x v="83"/>
    <x v="0"/>
    <x v="4"/>
  </r>
  <r>
    <x v="10"/>
    <m/>
    <m/>
    <m/>
    <m/>
    <m/>
    <x v="83"/>
    <x v="0"/>
    <x v="4"/>
  </r>
  <r>
    <x v="11"/>
    <m/>
    <m/>
    <m/>
    <m/>
    <m/>
    <x v="83"/>
    <x v="0"/>
    <x v="4"/>
  </r>
  <r>
    <x v="12"/>
    <m/>
    <m/>
    <m/>
    <m/>
    <m/>
    <x v="83"/>
    <x v="0"/>
    <x v="4"/>
  </r>
  <r>
    <x v="13"/>
    <m/>
    <m/>
    <m/>
    <m/>
    <m/>
    <x v="83"/>
    <x v="0"/>
    <x v="4"/>
  </r>
  <r>
    <x v="0"/>
    <m/>
    <m/>
    <m/>
    <m/>
    <m/>
    <x v="84"/>
    <x v="0"/>
    <x v="4"/>
  </r>
  <r>
    <x v="1"/>
    <m/>
    <m/>
    <m/>
    <m/>
    <m/>
    <x v="84"/>
    <x v="0"/>
    <x v="4"/>
  </r>
  <r>
    <x v="2"/>
    <m/>
    <m/>
    <m/>
    <m/>
    <m/>
    <x v="84"/>
    <x v="0"/>
    <x v="4"/>
  </r>
  <r>
    <x v="3"/>
    <m/>
    <m/>
    <m/>
    <m/>
    <m/>
    <x v="84"/>
    <x v="0"/>
    <x v="4"/>
  </r>
  <r>
    <x v="4"/>
    <m/>
    <n v="1006000"/>
    <m/>
    <m/>
    <m/>
    <x v="84"/>
    <x v="0"/>
    <x v="4"/>
  </r>
  <r>
    <x v="5"/>
    <m/>
    <m/>
    <m/>
    <m/>
    <m/>
    <x v="84"/>
    <x v="0"/>
    <x v="4"/>
  </r>
  <r>
    <x v="6"/>
    <m/>
    <n v="104000"/>
    <m/>
    <m/>
    <m/>
    <x v="84"/>
    <x v="0"/>
    <x v="4"/>
  </r>
  <r>
    <x v="7"/>
    <m/>
    <m/>
    <m/>
    <m/>
    <m/>
    <x v="84"/>
    <x v="0"/>
    <x v="4"/>
  </r>
  <r>
    <x v="8"/>
    <m/>
    <m/>
    <m/>
    <m/>
    <m/>
    <x v="84"/>
    <x v="0"/>
    <x v="4"/>
  </r>
  <r>
    <x v="9"/>
    <m/>
    <n v="92000"/>
    <m/>
    <m/>
    <m/>
    <x v="84"/>
    <x v="0"/>
    <x v="4"/>
  </r>
  <r>
    <x v="10"/>
    <m/>
    <m/>
    <m/>
    <m/>
    <m/>
    <x v="84"/>
    <x v="0"/>
    <x v="4"/>
  </r>
  <r>
    <x v="11"/>
    <m/>
    <n v="162000"/>
    <m/>
    <m/>
    <m/>
    <x v="84"/>
    <x v="0"/>
    <x v="4"/>
  </r>
  <r>
    <x v="12"/>
    <m/>
    <m/>
    <m/>
    <n v="190000"/>
    <m/>
    <x v="84"/>
    <x v="0"/>
    <x v="4"/>
  </r>
  <r>
    <x v="13"/>
    <m/>
    <m/>
    <m/>
    <m/>
    <m/>
    <x v="84"/>
    <x v="0"/>
    <x v="4"/>
  </r>
  <r>
    <x v="0"/>
    <m/>
    <m/>
    <m/>
    <m/>
    <m/>
    <x v="85"/>
    <x v="0"/>
    <x v="4"/>
  </r>
  <r>
    <x v="1"/>
    <m/>
    <m/>
    <m/>
    <m/>
    <m/>
    <x v="85"/>
    <x v="0"/>
    <x v="4"/>
  </r>
  <r>
    <x v="2"/>
    <m/>
    <m/>
    <m/>
    <m/>
    <m/>
    <x v="85"/>
    <x v="0"/>
    <x v="4"/>
  </r>
  <r>
    <x v="3"/>
    <m/>
    <n v="1563000"/>
    <m/>
    <n v="1134000"/>
    <m/>
    <x v="85"/>
    <x v="0"/>
    <x v="4"/>
  </r>
  <r>
    <x v="4"/>
    <m/>
    <m/>
    <m/>
    <m/>
    <m/>
    <x v="85"/>
    <x v="0"/>
    <x v="4"/>
  </r>
  <r>
    <x v="5"/>
    <m/>
    <m/>
    <m/>
    <m/>
    <m/>
    <x v="85"/>
    <x v="0"/>
    <x v="4"/>
  </r>
  <r>
    <x v="6"/>
    <m/>
    <m/>
    <m/>
    <m/>
    <m/>
    <x v="85"/>
    <x v="0"/>
    <x v="4"/>
  </r>
  <r>
    <x v="7"/>
    <m/>
    <m/>
    <m/>
    <m/>
    <m/>
    <x v="85"/>
    <x v="0"/>
    <x v="4"/>
  </r>
  <r>
    <x v="8"/>
    <m/>
    <m/>
    <m/>
    <m/>
    <m/>
    <x v="85"/>
    <x v="0"/>
    <x v="4"/>
  </r>
  <r>
    <x v="9"/>
    <m/>
    <m/>
    <m/>
    <m/>
    <m/>
    <x v="85"/>
    <x v="0"/>
    <x v="4"/>
  </r>
  <r>
    <x v="10"/>
    <m/>
    <m/>
    <m/>
    <m/>
    <m/>
    <x v="85"/>
    <x v="0"/>
    <x v="4"/>
  </r>
  <r>
    <x v="11"/>
    <m/>
    <m/>
    <m/>
    <m/>
    <m/>
    <x v="85"/>
    <x v="0"/>
    <x v="4"/>
  </r>
  <r>
    <x v="12"/>
    <m/>
    <m/>
    <m/>
    <m/>
    <m/>
    <x v="85"/>
    <x v="0"/>
    <x v="4"/>
  </r>
  <r>
    <x v="13"/>
    <m/>
    <m/>
    <m/>
    <m/>
    <m/>
    <x v="85"/>
    <x v="0"/>
    <x v="4"/>
  </r>
  <r>
    <x v="0"/>
    <m/>
    <m/>
    <m/>
    <m/>
    <m/>
    <x v="86"/>
    <x v="0"/>
    <x v="4"/>
  </r>
  <r>
    <x v="1"/>
    <m/>
    <m/>
    <m/>
    <m/>
    <m/>
    <x v="86"/>
    <x v="0"/>
    <x v="4"/>
  </r>
  <r>
    <x v="2"/>
    <m/>
    <m/>
    <m/>
    <m/>
    <m/>
    <x v="86"/>
    <x v="0"/>
    <x v="4"/>
  </r>
  <r>
    <x v="3"/>
    <n v="1080000"/>
    <n v="693000"/>
    <n v="216000"/>
    <n v="884500"/>
    <m/>
    <x v="86"/>
    <x v="0"/>
    <x v="4"/>
  </r>
  <r>
    <x v="4"/>
    <m/>
    <m/>
    <m/>
    <m/>
    <m/>
    <x v="86"/>
    <x v="0"/>
    <x v="4"/>
  </r>
  <r>
    <x v="5"/>
    <m/>
    <m/>
    <m/>
    <m/>
    <m/>
    <x v="86"/>
    <x v="0"/>
    <x v="4"/>
  </r>
  <r>
    <x v="6"/>
    <m/>
    <m/>
    <m/>
    <m/>
    <m/>
    <x v="86"/>
    <x v="0"/>
    <x v="4"/>
  </r>
  <r>
    <x v="7"/>
    <m/>
    <m/>
    <m/>
    <m/>
    <m/>
    <x v="86"/>
    <x v="0"/>
    <x v="4"/>
  </r>
  <r>
    <x v="8"/>
    <m/>
    <m/>
    <m/>
    <m/>
    <m/>
    <x v="86"/>
    <x v="0"/>
    <x v="4"/>
  </r>
  <r>
    <x v="9"/>
    <m/>
    <n v="428000"/>
    <m/>
    <m/>
    <m/>
    <x v="86"/>
    <x v="0"/>
    <x v="4"/>
  </r>
  <r>
    <x v="10"/>
    <m/>
    <m/>
    <m/>
    <m/>
    <m/>
    <x v="86"/>
    <x v="0"/>
    <x v="4"/>
  </r>
  <r>
    <x v="11"/>
    <m/>
    <m/>
    <m/>
    <m/>
    <m/>
    <x v="86"/>
    <x v="0"/>
    <x v="4"/>
  </r>
  <r>
    <x v="12"/>
    <m/>
    <m/>
    <m/>
    <m/>
    <m/>
    <x v="86"/>
    <x v="0"/>
    <x v="4"/>
  </r>
  <r>
    <x v="13"/>
    <m/>
    <m/>
    <m/>
    <m/>
    <m/>
    <x v="86"/>
    <x v="0"/>
    <x v="4"/>
  </r>
  <r>
    <x v="0"/>
    <m/>
    <m/>
    <m/>
    <m/>
    <m/>
    <x v="87"/>
    <x v="0"/>
    <x v="4"/>
  </r>
  <r>
    <x v="1"/>
    <m/>
    <m/>
    <m/>
    <m/>
    <m/>
    <x v="87"/>
    <x v="0"/>
    <x v="4"/>
  </r>
  <r>
    <x v="2"/>
    <m/>
    <m/>
    <m/>
    <m/>
    <m/>
    <x v="87"/>
    <x v="0"/>
    <x v="4"/>
  </r>
  <r>
    <x v="3"/>
    <n v="1221000"/>
    <n v="624000"/>
    <n v="862000"/>
    <n v="324000"/>
    <m/>
    <x v="87"/>
    <x v="0"/>
    <x v="4"/>
  </r>
  <r>
    <x v="4"/>
    <m/>
    <m/>
    <m/>
    <m/>
    <m/>
    <x v="87"/>
    <x v="0"/>
    <x v="4"/>
  </r>
  <r>
    <x v="5"/>
    <m/>
    <m/>
    <m/>
    <m/>
    <m/>
    <x v="87"/>
    <x v="0"/>
    <x v="4"/>
  </r>
  <r>
    <x v="6"/>
    <m/>
    <m/>
    <m/>
    <m/>
    <m/>
    <x v="87"/>
    <x v="0"/>
    <x v="4"/>
  </r>
  <r>
    <x v="7"/>
    <m/>
    <m/>
    <m/>
    <m/>
    <m/>
    <x v="87"/>
    <x v="0"/>
    <x v="4"/>
  </r>
  <r>
    <x v="8"/>
    <m/>
    <m/>
    <m/>
    <m/>
    <m/>
    <x v="87"/>
    <x v="0"/>
    <x v="4"/>
  </r>
  <r>
    <x v="9"/>
    <m/>
    <n v="320000"/>
    <m/>
    <m/>
    <m/>
    <x v="87"/>
    <x v="0"/>
    <x v="4"/>
  </r>
  <r>
    <x v="10"/>
    <m/>
    <m/>
    <m/>
    <m/>
    <m/>
    <x v="87"/>
    <x v="0"/>
    <x v="4"/>
  </r>
  <r>
    <x v="11"/>
    <m/>
    <n v="90000"/>
    <m/>
    <m/>
    <m/>
    <x v="87"/>
    <x v="0"/>
    <x v="4"/>
  </r>
  <r>
    <x v="12"/>
    <m/>
    <m/>
    <m/>
    <m/>
    <m/>
    <x v="87"/>
    <x v="0"/>
    <x v="4"/>
  </r>
  <r>
    <x v="13"/>
    <m/>
    <m/>
    <m/>
    <m/>
    <m/>
    <x v="87"/>
    <x v="0"/>
    <x v="4"/>
  </r>
  <r>
    <x v="0"/>
    <m/>
    <m/>
    <m/>
    <m/>
    <m/>
    <x v="88"/>
    <x v="0"/>
    <x v="4"/>
  </r>
  <r>
    <x v="1"/>
    <m/>
    <m/>
    <m/>
    <m/>
    <m/>
    <x v="88"/>
    <x v="0"/>
    <x v="4"/>
  </r>
  <r>
    <x v="2"/>
    <n v="162000"/>
    <n v="150000"/>
    <n v="150000"/>
    <m/>
    <n v="516000"/>
    <x v="88"/>
    <x v="0"/>
    <x v="4"/>
  </r>
  <r>
    <x v="3"/>
    <n v="747000"/>
    <n v="567000"/>
    <n v="801000"/>
    <m/>
    <m/>
    <x v="88"/>
    <x v="0"/>
    <x v="4"/>
  </r>
  <r>
    <x v="4"/>
    <m/>
    <m/>
    <m/>
    <m/>
    <m/>
    <x v="88"/>
    <x v="0"/>
    <x v="4"/>
  </r>
  <r>
    <x v="5"/>
    <m/>
    <m/>
    <m/>
    <m/>
    <m/>
    <x v="88"/>
    <x v="0"/>
    <x v="4"/>
  </r>
  <r>
    <x v="6"/>
    <m/>
    <m/>
    <m/>
    <m/>
    <m/>
    <x v="88"/>
    <x v="0"/>
    <x v="4"/>
  </r>
  <r>
    <x v="7"/>
    <m/>
    <m/>
    <m/>
    <m/>
    <m/>
    <x v="88"/>
    <x v="0"/>
    <x v="4"/>
  </r>
  <r>
    <x v="8"/>
    <m/>
    <m/>
    <m/>
    <m/>
    <m/>
    <x v="88"/>
    <x v="0"/>
    <x v="4"/>
  </r>
  <r>
    <x v="9"/>
    <m/>
    <n v="752000"/>
    <m/>
    <m/>
    <m/>
    <x v="88"/>
    <x v="0"/>
    <x v="4"/>
  </r>
  <r>
    <x v="10"/>
    <m/>
    <m/>
    <m/>
    <m/>
    <m/>
    <x v="88"/>
    <x v="0"/>
    <x v="4"/>
  </r>
  <r>
    <x v="11"/>
    <m/>
    <m/>
    <m/>
    <m/>
    <m/>
    <x v="88"/>
    <x v="0"/>
    <x v="4"/>
  </r>
  <r>
    <x v="12"/>
    <m/>
    <m/>
    <m/>
    <m/>
    <m/>
    <x v="88"/>
    <x v="0"/>
    <x v="4"/>
  </r>
  <r>
    <x v="13"/>
    <m/>
    <m/>
    <m/>
    <m/>
    <m/>
    <x v="88"/>
    <x v="0"/>
    <x v="4"/>
  </r>
  <r>
    <x v="0"/>
    <m/>
    <m/>
    <m/>
    <m/>
    <m/>
    <x v="89"/>
    <x v="0"/>
    <x v="4"/>
  </r>
  <r>
    <x v="1"/>
    <m/>
    <m/>
    <m/>
    <m/>
    <m/>
    <x v="89"/>
    <x v="0"/>
    <x v="4"/>
  </r>
  <r>
    <x v="2"/>
    <n v="748000"/>
    <n v="1111500"/>
    <m/>
    <m/>
    <n v="531000"/>
    <x v="89"/>
    <x v="0"/>
    <x v="4"/>
  </r>
  <r>
    <x v="3"/>
    <n v="594000"/>
    <n v="428000"/>
    <n v="594000"/>
    <n v="644000"/>
    <m/>
    <x v="89"/>
    <x v="0"/>
    <x v="4"/>
  </r>
  <r>
    <x v="4"/>
    <m/>
    <m/>
    <m/>
    <n v="47000"/>
    <m/>
    <x v="89"/>
    <x v="0"/>
    <x v="4"/>
  </r>
  <r>
    <x v="5"/>
    <m/>
    <m/>
    <m/>
    <m/>
    <m/>
    <x v="89"/>
    <x v="0"/>
    <x v="4"/>
  </r>
  <r>
    <x v="6"/>
    <m/>
    <m/>
    <m/>
    <m/>
    <m/>
    <x v="89"/>
    <x v="0"/>
    <x v="4"/>
  </r>
  <r>
    <x v="7"/>
    <m/>
    <m/>
    <m/>
    <m/>
    <m/>
    <x v="89"/>
    <x v="0"/>
    <x v="4"/>
  </r>
  <r>
    <x v="8"/>
    <m/>
    <m/>
    <m/>
    <m/>
    <m/>
    <x v="89"/>
    <x v="0"/>
    <x v="4"/>
  </r>
  <r>
    <x v="9"/>
    <m/>
    <m/>
    <m/>
    <m/>
    <m/>
    <x v="89"/>
    <x v="0"/>
    <x v="4"/>
  </r>
  <r>
    <x v="10"/>
    <m/>
    <m/>
    <m/>
    <m/>
    <m/>
    <x v="89"/>
    <x v="0"/>
    <x v="4"/>
  </r>
  <r>
    <x v="11"/>
    <m/>
    <m/>
    <m/>
    <m/>
    <m/>
    <x v="89"/>
    <x v="0"/>
    <x v="4"/>
  </r>
  <r>
    <x v="12"/>
    <m/>
    <m/>
    <m/>
    <m/>
    <m/>
    <x v="89"/>
    <x v="0"/>
    <x v="4"/>
  </r>
  <r>
    <x v="13"/>
    <m/>
    <m/>
    <m/>
    <m/>
    <m/>
    <x v="89"/>
    <x v="0"/>
    <x v="4"/>
  </r>
  <r>
    <x v="0"/>
    <m/>
    <m/>
    <m/>
    <m/>
    <m/>
    <x v="90"/>
    <x v="0"/>
    <x v="4"/>
  </r>
  <r>
    <x v="1"/>
    <m/>
    <m/>
    <m/>
    <m/>
    <m/>
    <x v="90"/>
    <x v="0"/>
    <x v="4"/>
  </r>
  <r>
    <x v="2"/>
    <n v="477000"/>
    <n v="734000"/>
    <m/>
    <m/>
    <n v="378000"/>
    <x v="90"/>
    <x v="0"/>
    <x v="4"/>
  </r>
  <r>
    <x v="3"/>
    <n v="53500"/>
    <n v="108000"/>
    <n v="374000"/>
    <m/>
    <m/>
    <x v="90"/>
    <x v="0"/>
    <x v="4"/>
  </r>
  <r>
    <x v="4"/>
    <m/>
    <m/>
    <m/>
    <m/>
    <m/>
    <x v="90"/>
    <x v="0"/>
    <x v="4"/>
  </r>
  <r>
    <x v="5"/>
    <m/>
    <n v="47000"/>
    <m/>
    <m/>
    <m/>
    <x v="90"/>
    <x v="0"/>
    <x v="4"/>
  </r>
  <r>
    <x v="6"/>
    <m/>
    <m/>
    <n v="104000"/>
    <m/>
    <m/>
    <x v="90"/>
    <x v="0"/>
    <x v="4"/>
  </r>
  <r>
    <x v="7"/>
    <m/>
    <m/>
    <m/>
    <m/>
    <m/>
    <x v="90"/>
    <x v="0"/>
    <x v="4"/>
  </r>
  <r>
    <x v="8"/>
    <m/>
    <m/>
    <m/>
    <m/>
    <m/>
    <x v="90"/>
    <x v="0"/>
    <x v="4"/>
  </r>
  <r>
    <x v="9"/>
    <m/>
    <m/>
    <n v="756000"/>
    <m/>
    <m/>
    <x v="90"/>
    <x v="0"/>
    <x v="4"/>
  </r>
  <r>
    <x v="10"/>
    <m/>
    <m/>
    <m/>
    <m/>
    <m/>
    <x v="90"/>
    <x v="0"/>
    <x v="4"/>
  </r>
  <r>
    <x v="11"/>
    <m/>
    <n v="45000"/>
    <m/>
    <m/>
    <m/>
    <x v="90"/>
    <x v="0"/>
    <x v="4"/>
  </r>
  <r>
    <x v="12"/>
    <m/>
    <m/>
    <m/>
    <m/>
    <m/>
    <x v="90"/>
    <x v="0"/>
    <x v="4"/>
  </r>
  <r>
    <x v="13"/>
    <m/>
    <m/>
    <m/>
    <m/>
    <m/>
    <x v="90"/>
    <x v="0"/>
    <x v="4"/>
  </r>
  <r>
    <x v="0"/>
    <m/>
    <m/>
    <m/>
    <m/>
    <m/>
    <x v="91"/>
    <x v="0"/>
    <x v="4"/>
  </r>
  <r>
    <x v="1"/>
    <m/>
    <m/>
    <m/>
    <m/>
    <m/>
    <x v="91"/>
    <x v="0"/>
    <x v="4"/>
  </r>
  <r>
    <x v="2"/>
    <n v="846000"/>
    <m/>
    <m/>
    <m/>
    <n v="270000"/>
    <x v="91"/>
    <x v="0"/>
    <x v="4"/>
  </r>
  <r>
    <x v="3"/>
    <n v="162000"/>
    <m/>
    <n v="108000"/>
    <m/>
    <m/>
    <x v="91"/>
    <x v="0"/>
    <x v="4"/>
  </r>
  <r>
    <x v="4"/>
    <m/>
    <m/>
    <m/>
    <m/>
    <m/>
    <x v="91"/>
    <x v="0"/>
    <x v="4"/>
  </r>
  <r>
    <x v="5"/>
    <m/>
    <m/>
    <m/>
    <m/>
    <m/>
    <x v="91"/>
    <x v="0"/>
    <x v="4"/>
  </r>
  <r>
    <x v="6"/>
    <n v="486000"/>
    <m/>
    <n v="108000"/>
    <m/>
    <m/>
    <x v="91"/>
    <x v="0"/>
    <x v="4"/>
  </r>
  <r>
    <x v="7"/>
    <m/>
    <m/>
    <m/>
    <m/>
    <m/>
    <x v="91"/>
    <x v="0"/>
    <x v="4"/>
  </r>
  <r>
    <x v="8"/>
    <m/>
    <m/>
    <m/>
    <m/>
    <m/>
    <x v="91"/>
    <x v="0"/>
    <x v="4"/>
  </r>
  <r>
    <x v="9"/>
    <m/>
    <m/>
    <n v="108000"/>
    <m/>
    <m/>
    <x v="91"/>
    <x v="0"/>
    <x v="4"/>
  </r>
  <r>
    <x v="10"/>
    <m/>
    <m/>
    <m/>
    <m/>
    <m/>
    <x v="91"/>
    <x v="0"/>
    <x v="4"/>
  </r>
  <r>
    <x v="11"/>
    <m/>
    <m/>
    <m/>
    <m/>
    <m/>
    <x v="91"/>
    <x v="0"/>
    <x v="4"/>
  </r>
  <r>
    <x v="12"/>
    <n v="374000"/>
    <m/>
    <n v="216000"/>
    <m/>
    <m/>
    <x v="91"/>
    <x v="0"/>
    <x v="4"/>
  </r>
  <r>
    <x v="13"/>
    <m/>
    <m/>
    <m/>
    <m/>
    <m/>
    <x v="91"/>
    <x v="0"/>
    <x v="4"/>
  </r>
  <r>
    <x v="0"/>
    <m/>
    <m/>
    <m/>
    <m/>
    <m/>
    <x v="92"/>
    <x v="0"/>
    <x v="4"/>
  </r>
  <r>
    <x v="1"/>
    <m/>
    <m/>
    <m/>
    <m/>
    <m/>
    <x v="92"/>
    <x v="0"/>
    <x v="4"/>
  </r>
  <r>
    <x v="2"/>
    <n v="809500"/>
    <m/>
    <n v="104000"/>
    <m/>
    <m/>
    <x v="92"/>
    <x v="0"/>
    <x v="4"/>
  </r>
  <r>
    <x v="3"/>
    <m/>
    <m/>
    <m/>
    <m/>
    <m/>
    <x v="92"/>
    <x v="0"/>
    <x v="4"/>
  </r>
  <r>
    <x v="4"/>
    <m/>
    <m/>
    <m/>
    <m/>
    <m/>
    <x v="92"/>
    <x v="0"/>
    <x v="4"/>
  </r>
  <r>
    <x v="5"/>
    <m/>
    <m/>
    <m/>
    <m/>
    <m/>
    <x v="92"/>
    <x v="0"/>
    <x v="4"/>
  </r>
  <r>
    <x v="6"/>
    <n v="108000"/>
    <m/>
    <m/>
    <m/>
    <m/>
    <x v="92"/>
    <x v="0"/>
    <x v="4"/>
  </r>
  <r>
    <x v="7"/>
    <m/>
    <m/>
    <m/>
    <m/>
    <m/>
    <x v="92"/>
    <x v="0"/>
    <x v="4"/>
  </r>
  <r>
    <x v="8"/>
    <n v="533000"/>
    <m/>
    <n v="747000"/>
    <m/>
    <m/>
    <x v="92"/>
    <x v="0"/>
    <x v="4"/>
  </r>
  <r>
    <x v="9"/>
    <m/>
    <m/>
    <m/>
    <m/>
    <m/>
    <x v="92"/>
    <x v="0"/>
    <x v="4"/>
  </r>
  <r>
    <x v="10"/>
    <m/>
    <m/>
    <m/>
    <m/>
    <m/>
    <x v="92"/>
    <x v="0"/>
    <x v="4"/>
  </r>
  <r>
    <x v="11"/>
    <m/>
    <m/>
    <n v="54000"/>
    <m/>
    <m/>
    <x v="92"/>
    <x v="0"/>
    <x v="4"/>
  </r>
  <r>
    <x v="12"/>
    <m/>
    <m/>
    <n v="162000"/>
    <m/>
    <m/>
    <x v="92"/>
    <x v="0"/>
    <x v="4"/>
  </r>
  <r>
    <x v="13"/>
    <m/>
    <m/>
    <m/>
    <m/>
    <m/>
    <x v="92"/>
    <x v="0"/>
    <x v="4"/>
  </r>
  <r>
    <x v="0"/>
    <m/>
    <m/>
    <m/>
    <m/>
    <m/>
    <x v="93"/>
    <x v="0"/>
    <x v="4"/>
  </r>
  <r>
    <x v="1"/>
    <m/>
    <m/>
    <m/>
    <m/>
    <m/>
    <x v="93"/>
    <x v="0"/>
    <x v="4"/>
  </r>
  <r>
    <x v="2"/>
    <n v="2655000"/>
    <m/>
    <n v="45000"/>
    <m/>
    <m/>
    <x v="93"/>
    <x v="0"/>
    <x v="4"/>
  </r>
  <r>
    <x v="3"/>
    <n v="142000"/>
    <m/>
    <m/>
    <m/>
    <m/>
    <x v="93"/>
    <x v="0"/>
    <x v="4"/>
  </r>
  <r>
    <x v="4"/>
    <m/>
    <m/>
    <m/>
    <m/>
    <m/>
    <x v="93"/>
    <x v="0"/>
    <x v="4"/>
  </r>
  <r>
    <x v="5"/>
    <m/>
    <m/>
    <m/>
    <m/>
    <m/>
    <x v="93"/>
    <x v="0"/>
    <x v="4"/>
  </r>
  <r>
    <x v="6"/>
    <n v="216000"/>
    <m/>
    <m/>
    <m/>
    <m/>
    <x v="93"/>
    <x v="0"/>
    <x v="4"/>
  </r>
  <r>
    <x v="7"/>
    <m/>
    <m/>
    <m/>
    <m/>
    <m/>
    <x v="93"/>
    <x v="0"/>
    <x v="4"/>
  </r>
  <r>
    <x v="8"/>
    <n v="270000"/>
    <m/>
    <n v="54000"/>
    <m/>
    <m/>
    <x v="93"/>
    <x v="0"/>
    <x v="4"/>
  </r>
  <r>
    <x v="9"/>
    <m/>
    <m/>
    <n v="216000"/>
    <m/>
    <m/>
    <x v="93"/>
    <x v="0"/>
    <x v="4"/>
  </r>
  <r>
    <x v="10"/>
    <m/>
    <m/>
    <m/>
    <m/>
    <m/>
    <x v="93"/>
    <x v="0"/>
    <x v="4"/>
  </r>
  <r>
    <x v="11"/>
    <m/>
    <n v="532000"/>
    <m/>
    <n v="365000"/>
    <m/>
    <x v="93"/>
    <x v="0"/>
    <x v="4"/>
  </r>
  <r>
    <x v="12"/>
    <m/>
    <m/>
    <n v="54000"/>
    <m/>
    <m/>
    <x v="93"/>
    <x v="0"/>
    <x v="4"/>
  </r>
  <r>
    <x v="13"/>
    <n v="590000"/>
    <m/>
    <n v="263000"/>
    <m/>
    <m/>
    <x v="93"/>
    <x v="0"/>
    <x v="4"/>
  </r>
  <r>
    <x v="0"/>
    <m/>
    <m/>
    <m/>
    <m/>
    <m/>
    <x v="94"/>
    <x v="0"/>
    <x v="4"/>
  </r>
  <r>
    <x v="1"/>
    <m/>
    <m/>
    <m/>
    <m/>
    <m/>
    <x v="94"/>
    <x v="0"/>
    <x v="4"/>
  </r>
  <r>
    <x v="2"/>
    <n v="216000"/>
    <m/>
    <m/>
    <m/>
    <m/>
    <x v="94"/>
    <x v="0"/>
    <x v="4"/>
  </r>
  <r>
    <x v="3"/>
    <m/>
    <m/>
    <n v="45000"/>
    <m/>
    <m/>
    <x v="94"/>
    <x v="0"/>
    <x v="4"/>
  </r>
  <r>
    <x v="4"/>
    <m/>
    <m/>
    <m/>
    <m/>
    <m/>
    <x v="94"/>
    <x v="0"/>
    <x v="4"/>
  </r>
  <r>
    <x v="5"/>
    <m/>
    <m/>
    <m/>
    <m/>
    <m/>
    <x v="94"/>
    <x v="0"/>
    <x v="4"/>
  </r>
  <r>
    <x v="6"/>
    <m/>
    <m/>
    <m/>
    <m/>
    <m/>
    <x v="94"/>
    <x v="0"/>
    <x v="4"/>
  </r>
  <r>
    <x v="7"/>
    <m/>
    <m/>
    <m/>
    <m/>
    <m/>
    <x v="94"/>
    <x v="0"/>
    <x v="4"/>
  </r>
  <r>
    <x v="8"/>
    <n v="162000"/>
    <m/>
    <n v="427500"/>
    <m/>
    <m/>
    <x v="94"/>
    <x v="0"/>
    <x v="4"/>
  </r>
  <r>
    <x v="9"/>
    <n v="324000"/>
    <m/>
    <n v="486000"/>
    <m/>
    <m/>
    <x v="94"/>
    <x v="0"/>
    <x v="4"/>
  </r>
  <r>
    <x v="10"/>
    <m/>
    <m/>
    <m/>
    <m/>
    <m/>
    <x v="94"/>
    <x v="0"/>
    <x v="4"/>
  </r>
  <r>
    <x v="11"/>
    <m/>
    <n v="1049000"/>
    <m/>
    <m/>
    <m/>
    <x v="94"/>
    <x v="0"/>
    <x v="4"/>
  </r>
  <r>
    <x v="12"/>
    <m/>
    <m/>
    <n v="108000"/>
    <m/>
    <m/>
    <x v="94"/>
    <x v="0"/>
    <x v="4"/>
  </r>
  <r>
    <x v="13"/>
    <n v="158000"/>
    <m/>
    <n v="266000"/>
    <m/>
    <m/>
    <x v="94"/>
    <x v="0"/>
    <x v="4"/>
  </r>
  <r>
    <x v="0"/>
    <m/>
    <m/>
    <m/>
    <m/>
    <m/>
    <x v="95"/>
    <x v="0"/>
    <x v="4"/>
  </r>
  <r>
    <x v="1"/>
    <m/>
    <m/>
    <m/>
    <m/>
    <m/>
    <x v="95"/>
    <x v="0"/>
    <x v="4"/>
  </r>
  <r>
    <x v="2"/>
    <n v="324000"/>
    <m/>
    <m/>
    <m/>
    <m/>
    <x v="95"/>
    <x v="0"/>
    <x v="4"/>
  </r>
  <r>
    <x v="3"/>
    <m/>
    <n v="629000"/>
    <m/>
    <n v="535000"/>
    <m/>
    <x v="95"/>
    <x v="0"/>
    <x v="4"/>
  </r>
  <r>
    <x v="4"/>
    <m/>
    <m/>
    <m/>
    <m/>
    <m/>
    <x v="95"/>
    <x v="0"/>
    <x v="4"/>
  </r>
  <r>
    <x v="5"/>
    <m/>
    <m/>
    <m/>
    <m/>
    <m/>
    <x v="95"/>
    <x v="0"/>
    <x v="4"/>
  </r>
  <r>
    <x v="6"/>
    <n v="45000"/>
    <m/>
    <m/>
    <m/>
    <m/>
    <x v="95"/>
    <x v="0"/>
    <x v="4"/>
  </r>
  <r>
    <x v="7"/>
    <m/>
    <m/>
    <m/>
    <m/>
    <m/>
    <x v="95"/>
    <x v="0"/>
    <x v="4"/>
  </r>
  <r>
    <x v="8"/>
    <n v="427000"/>
    <m/>
    <n v="270000"/>
    <m/>
    <m/>
    <x v="95"/>
    <x v="0"/>
    <x v="4"/>
  </r>
  <r>
    <x v="9"/>
    <n v="455000"/>
    <n v="50000"/>
    <n v="478000"/>
    <m/>
    <m/>
    <x v="95"/>
    <x v="0"/>
    <x v="4"/>
  </r>
  <r>
    <x v="10"/>
    <m/>
    <m/>
    <m/>
    <m/>
    <m/>
    <x v="95"/>
    <x v="0"/>
    <x v="4"/>
  </r>
  <r>
    <x v="11"/>
    <m/>
    <n v="216000"/>
    <m/>
    <m/>
    <m/>
    <x v="95"/>
    <x v="0"/>
    <x v="4"/>
  </r>
  <r>
    <x v="12"/>
    <m/>
    <m/>
    <m/>
    <m/>
    <m/>
    <x v="95"/>
    <x v="0"/>
    <x v="4"/>
  </r>
  <r>
    <x v="13"/>
    <n v="162000"/>
    <m/>
    <n v="162000"/>
    <m/>
    <m/>
    <x v="95"/>
    <x v="0"/>
    <x v="4"/>
  </r>
  <r>
    <x v="0"/>
    <m/>
    <m/>
    <m/>
    <m/>
    <m/>
    <x v="96"/>
    <x v="0"/>
    <x v="4"/>
  </r>
  <r>
    <x v="1"/>
    <m/>
    <m/>
    <m/>
    <m/>
    <m/>
    <x v="96"/>
    <x v="0"/>
    <x v="4"/>
  </r>
  <r>
    <x v="2"/>
    <n v="158000"/>
    <m/>
    <m/>
    <m/>
    <m/>
    <x v="96"/>
    <x v="0"/>
    <x v="4"/>
  </r>
  <r>
    <x v="3"/>
    <m/>
    <n v="590000"/>
    <m/>
    <n v="486000"/>
    <m/>
    <x v="96"/>
    <x v="0"/>
    <x v="4"/>
  </r>
  <r>
    <x v="4"/>
    <m/>
    <m/>
    <m/>
    <m/>
    <m/>
    <x v="96"/>
    <x v="0"/>
    <x v="4"/>
  </r>
  <r>
    <x v="5"/>
    <m/>
    <m/>
    <m/>
    <m/>
    <m/>
    <x v="96"/>
    <x v="0"/>
    <x v="4"/>
  </r>
  <r>
    <x v="6"/>
    <m/>
    <m/>
    <m/>
    <m/>
    <m/>
    <x v="96"/>
    <x v="0"/>
    <x v="4"/>
  </r>
  <r>
    <x v="7"/>
    <m/>
    <m/>
    <m/>
    <m/>
    <m/>
    <x v="96"/>
    <x v="0"/>
    <x v="4"/>
  </r>
  <r>
    <x v="8"/>
    <n v="262000"/>
    <m/>
    <m/>
    <m/>
    <m/>
    <x v="96"/>
    <x v="0"/>
    <x v="4"/>
  </r>
  <r>
    <x v="9"/>
    <n v="162000"/>
    <n v="683000"/>
    <n v="263000"/>
    <n v="378000"/>
    <m/>
    <x v="96"/>
    <x v="0"/>
    <x v="4"/>
  </r>
  <r>
    <x v="10"/>
    <n v="540000"/>
    <m/>
    <n v="378000"/>
    <m/>
    <m/>
    <x v="96"/>
    <x v="0"/>
    <x v="4"/>
  </r>
  <r>
    <x v="11"/>
    <m/>
    <m/>
    <m/>
    <n v="94000"/>
    <m/>
    <x v="96"/>
    <x v="0"/>
    <x v="4"/>
  </r>
  <r>
    <x v="12"/>
    <m/>
    <m/>
    <m/>
    <m/>
    <m/>
    <x v="96"/>
    <x v="0"/>
    <x v="4"/>
  </r>
  <r>
    <x v="13"/>
    <m/>
    <m/>
    <m/>
    <m/>
    <m/>
    <x v="96"/>
    <x v="0"/>
    <x v="4"/>
  </r>
  <r>
    <x v="0"/>
    <m/>
    <m/>
    <m/>
    <m/>
    <m/>
    <x v="97"/>
    <x v="0"/>
    <x v="4"/>
  </r>
  <r>
    <x v="1"/>
    <m/>
    <m/>
    <m/>
    <m/>
    <m/>
    <x v="97"/>
    <x v="0"/>
    <x v="4"/>
  </r>
  <r>
    <x v="2"/>
    <m/>
    <m/>
    <m/>
    <m/>
    <m/>
    <x v="97"/>
    <x v="0"/>
    <x v="4"/>
  </r>
  <r>
    <x v="3"/>
    <m/>
    <n v="216000"/>
    <m/>
    <n v="432000"/>
    <m/>
    <x v="97"/>
    <x v="0"/>
    <x v="4"/>
  </r>
  <r>
    <x v="4"/>
    <m/>
    <n v="45000"/>
    <m/>
    <m/>
    <m/>
    <x v="97"/>
    <x v="0"/>
    <x v="4"/>
  </r>
  <r>
    <x v="5"/>
    <m/>
    <n v="54000"/>
    <m/>
    <n v="162000"/>
    <m/>
    <x v="97"/>
    <x v="0"/>
    <x v="4"/>
  </r>
  <r>
    <x v="6"/>
    <m/>
    <m/>
    <m/>
    <m/>
    <m/>
    <x v="97"/>
    <x v="0"/>
    <x v="4"/>
  </r>
  <r>
    <x v="7"/>
    <m/>
    <m/>
    <m/>
    <m/>
    <m/>
    <x v="97"/>
    <x v="0"/>
    <x v="4"/>
  </r>
  <r>
    <x v="8"/>
    <m/>
    <m/>
    <m/>
    <m/>
    <m/>
    <x v="97"/>
    <x v="0"/>
    <x v="4"/>
  </r>
  <r>
    <x v="9"/>
    <m/>
    <n v="923000"/>
    <n v="257000"/>
    <n v="482000"/>
    <m/>
    <x v="97"/>
    <x v="0"/>
    <x v="4"/>
  </r>
  <r>
    <x v="10"/>
    <m/>
    <m/>
    <n v="108000"/>
    <m/>
    <m/>
    <x v="97"/>
    <x v="0"/>
    <x v="4"/>
  </r>
  <r>
    <x v="11"/>
    <m/>
    <m/>
    <m/>
    <m/>
    <m/>
    <x v="97"/>
    <x v="0"/>
    <x v="4"/>
  </r>
  <r>
    <x v="12"/>
    <m/>
    <m/>
    <m/>
    <m/>
    <m/>
    <x v="97"/>
    <x v="0"/>
    <x v="4"/>
  </r>
  <r>
    <x v="13"/>
    <m/>
    <m/>
    <m/>
    <m/>
    <m/>
    <x v="97"/>
    <x v="0"/>
    <x v="4"/>
  </r>
  <r>
    <x v="0"/>
    <m/>
    <m/>
    <m/>
    <m/>
    <m/>
    <x v="98"/>
    <x v="0"/>
    <x v="4"/>
  </r>
  <r>
    <x v="1"/>
    <m/>
    <m/>
    <m/>
    <m/>
    <m/>
    <x v="98"/>
    <x v="0"/>
    <x v="4"/>
  </r>
  <r>
    <x v="2"/>
    <n v="374000"/>
    <m/>
    <m/>
    <m/>
    <m/>
    <x v="98"/>
    <x v="0"/>
    <x v="4"/>
  </r>
  <r>
    <x v="3"/>
    <m/>
    <m/>
    <m/>
    <m/>
    <m/>
    <x v="98"/>
    <x v="0"/>
    <x v="4"/>
  </r>
  <r>
    <x v="4"/>
    <m/>
    <m/>
    <m/>
    <m/>
    <m/>
    <x v="98"/>
    <x v="0"/>
    <x v="4"/>
  </r>
  <r>
    <x v="5"/>
    <m/>
    <n v="531000"/>
    <m/>
    <n v="639000"/>
    <m/>
    <x v="98"/>
    <x v="0"/>
    <x v="4"/>
  </r>
  <r>
    <x v="6"/>
    <m/>
    <m/>
    <n v="104000"/>
    <m/>
    <m/>
    <x v="98"/>
    <x v="0"/>
    <x v="4"/>
  </r>
  <r>
    <x v="7"/>
    <m/>
    <m/>
    <m/>
    <m/>
    <m/>
    <x v="98"/>
    <x v="0"/>
    <x v="4"/>
  </r>
  <r>
    <x v="8"/>
    <n v="918000"/>
    <m/>
    <m/>
    <m/>
    <m/>
    <x v="98"/>
    <x v="0"/>
    <x v="4"/>
  </r>
  <r>
    <x v="9"/>
    <n v="365000"/>
    <n v="774000"/>
    <n v="324000"/>
    <n v="313000"/>
    <m/>
    <x v="98"/>
    <x v="0"/>
    <x v="4"/>
  </r>
  <r>
    <x v="10"/>
    <m/>
    <m/>
    <m/>
    <m/>
    <m/>
    <x v="98"/>
    <x v="0"/>
    <x v="4"/>
  </r>
  <r>
    <x v="11"/>
    <m/>
    <n v="95000"/>
    <m/>
    <m/>
    <m/>
    <x v="98"/>
    <x v="0"/>
    <x v="4"/>
  </r>
  <r>
    <x v="12"/>
    <m/>
    <m/>
    <m/>
    <m/>
    <m/>
    <x v="98"/>
    <x v="0"/>
    <x v="4"/>
  </r>
  <r>
    <x v="13"/>
    <m/>
    <m/>
    <n v="54000"/>
    <m/>
    <m/>
    <x v="98"/>
    <x v="0"/>
    <x v="4"/>
  </r>
  <r>
    <x v="0"/>
    <m/>
    <m/>
    <m/>
    <m/>
    <m/>
    <x v="99"/>
    <x v="0"/>
    <x v="4"/>
  </r>
  <r>
    <x v="1"/>
    <m/>
    <m/>
    <m/>
    <m/>
    <m/>
    <x v="99"/>
    <x v="0"/>
    <x v="4"/>
  </r>
  <r>
    <x v="2"/>
    <n v="158000"/>
    <m/>
    <m/>
    <m/>
    <m/>
    <x v="99"/>
    <x v="0"/>
    <x v="4"/>
  </r>
  <r>
    <x v="3"/>
    <m/>
    <m/>
    <m/>
    <m/>
    <m/>
    <x v="99"/>
    <x v="0"/>
    <x v="4"/>
  </r>
  <r>
    <x v="4"/>
    <n v="428000"/>
    <m/>
    <n v="420000"/>
    <m/>
    <m/>
    <x v="99"/>
    <x v="0"/>
    <x v="4"/>
  </r>
  <r>
    <x v="5"/>
    <m/>
    <n v="424000"/>
    <m/>
    <n v="54000"/>
    <m/>
    <x v="99"/>
    <x v="0"/>
    <x v="4"/>
  </r>
  <r>
    <x v="6"/>
    <m/>
    <m/>
    <n v="54000"/>
    <m/>
    <m/>
    <x v="99"/>
    <x v="0"/>
    <x v="4"/>
  </r>
  <r>
    <x v="7"/>
    <m/>
    <m/>
    <m/>
    <m/>
    <m/>
    <x v="99"/>
    <x v="0"/>
    <x v="4"/>
  </r>
  <r>
    <x v="8"/>
    <m/>
    <m/>
    <m/>
    <m/>
    <m/>
    <x v="99"/>
    <x v="0"/>
    <x v="4"/>
  </r>
  <r>
    <x v="9"/>
    <n v="780000"/>
    <n v="948000"/>
    <n v="482000"/>
    <n v="690500"/>
    <m/>
    <x v="99"/>
    <x v="0"/>
    <x v="4"/>
  </r>
  <r>
    <x v="10"/>
    <m/>
    <m/>
    <m/>
    <m/>
    <m/>
    <x v="99"/>
    <x v="0"/>
    <x v="4"/>
  </r>
  <r>
    <x v="11"/>
    <m/>
    <n v="54000"/>
    <m/>
    <m/>
    <m/>
    <x v="99"/>
    <x v="0"/>
    <x v="4"/>
  </r>
  <r>
    <x v="12"/>
    <m/>
    <m/>
    <m/>
    <m/>
    <m/>
    <x v="99"/>
    <x v="0"/>
    <x v="4"/>
  </r>
  <r>
    <x v="13"/>
    <m/>
    <m/>
    <n v="54000"/>
    <m/>
    <m/>
    <x v="99"/>
    <x v="0"/>
    <x v="4"/>
  </r>
  <r>
    <x v="0"/>
    <m/>
    <m/>
    <m/>
    <m/>
    <m/>
    <x v="100"/>
    <x v="0"/>
    <x v="5"/>
  </r>
  <r>
    <x v="1"/>
    <m/>
    <m/>
    <m/>
    <m/>
    <m/>
    <x v="100"/>
    <x v="0"/>
    <x v="5"/>
  </r>
  <r>
    <x v="2"/>
    <n v="145000"/>
    <m/>
    <m/>
    <m/>
    <m/>
    <x v="100"/>
    <x v="0"/>
    <x v="5"/>
  </r>
  <r>
    <x v="3"/>
    <m/>
    <m/>
    <m/>
    <m/>
    <m/>
    <x v="100"/>
    <x v="0"/>
    <x v="5"/>
  </r>
  <r>
    <x v="4"/>
    <n v="859000"/>
    <n v="855000"/>
    <n v="54000"/>
    <n v="315000"/>
    <m/>
    <x v="100"/>
    <x v="0"/>
    <x v="5"/>
  </r>
  <r>
    <x v="5"/>
    <m/>
    <m/>
    <m/>
    <n v="54000"/>
    <m/>
    <x v="100"/>
    <x v="0"/>
    <x v="5"/>
  </r>
  <r>
    <x v="6"/>
    <m/>
    <m/>
    <m/>
    <m/>
    <m/>
    <x v="100"/>
    <x v="0"/>
    <x v="5"/>
  </r>
  <r>
    <x v="7"/>
    <m/>
    <m/>
    <m/>
    <m/>
    <m/>
    <x v="100"/>
    <x v="0"/>
    <x v="5"/>
  </r>
  <r>
    <x v="8"/>
    <m/>
    <m/>
    <m/>
    <m/>
    <m/>
    <x v="100"/>
    <x v="0"/>
    <x v="5"/>
  </r>
  <r>
    <x v="9"/>
    <n v="423000"/>
    <n v="216000"/>
    <n v="216000"/>
    <n v="533000"/>
    <m/>
    <x v="100"/>
    <x v="0"/>
    <x v="5"/>
  </r>
  <r>
    <x v="10"/>
    <m/>
    <m/>
    <m/>
    <m/>
    <m/>
    <x v="100"/>
    <x v="0"/>
    <x v="5"/>
  </r>
  <r>
    <x v="11"/>
    <m/>
    <m/>
    <m/>
    <m/>
    <m/>
    <x v="100"/>
    <x v="0"/>
    <x v="5"/>
  </r>
  <r>
    <x v="12"/>
    <m/>
    <m/>
    <m/>
    <m/>
    <m/>
    <x v="100"/>
    <x v="0"/>
    <x v="5"/>
  </r>
  <r>
    <x v="13"/>
    <m/>
    <m/>
    <m/>
    <m/>
    <m/>
    <x v="100"/>
    <x v="0"/>
    <x v="5"/>
  </r>
  <r>
    <x v="0"/>
    <m/>
    <m/>
    <m/>
    <m/>
    <m/>
    <x v="101"/>
    <x v="0"/>
    <x v="5"/>
  </r>
  <r>
    <x v="1"/>
    <m/>
    <m/>
    <m/>
    <m/>
    <m/>
    <x v="101"/>
    <x v="0"/>
    <x v="5"/>
  </r>
  <r>
    <x v="2"/>
    <m/>
    <m/>
    <m/>
    <m/>
    <m/>
    <x v="101"/>
    <x v="0"/>
    <x v="5"/>
  </r>
  <r>
    <x v="3"/>
    <m/>
    <m/>
    <m/>
    <m/>
    <m/>
    <x v="101"/>
    <x v="0"/>
    <x v="5"/>
  </r>
  <r>
    <x v="4"/>
    <m/>
    <n v="702000"/>
    <n v="94000"/>
    <n v="103500"/>
    <m/>
    <x v="101"/>
    <x v="0"/>
    <x v="5"/>
  </r>
  <r>
    <x v="5"/>
    <m/>
    <m/>
    <m/>
    <m/>
    <m/>
    <x v="101"/>
    <x v="0"/>
    <x v="5"/>
  </r>
  <r>
    <x v="6"/>
    <m/>
    <m/>
    <m/>
    <m/>
    <m/>
    <x v="101"/>
    <x v="0"/>
    <x v="5"/>
  </r>
  <r>
    <x v="7"/>
    <m/>
    <m/>
    <m/>
    <m/>
    <m/>
    <x v="101"/>
    <x v="0"/>
    <x v="5"/>
  </r>
  <r>
    <x v="8"/>
    <m/>
    <m/>
    <m/>
    <m/>
    <m/>
    <x v="101"/>
    <x v="0"/>
    <x v="5"/>
  </r>
  <r>
    <x v="9"/>
    <n v="535500"/>
    <n v="594000"/>
    <n v="45000"/>
    <n v="756000"/>
    <m/>
    <x v="101"/>
    <x v="0"/>
    <x v="5"/>
  </r>
  <r>
    <x v="10"/>
    <m/>
    <m/>
    <m/>
    <m/>
    <m/>
    <x v="101"/>
    <x v="0"/>
    <x v="5"/>
  </r>
  <r>
    <x v="11"/>
    <m/>
    <n v="54000"/>
    <m/>
    <m/>
    <m/>
    <x v="101"/>
    <x v="0"/>
    <x v="5"/>
  </r>
  <r>
    <x v="12"/>
    <m/>
    <m/>
    <m/>
    <m/>
    <m/>
    <x v="101"/>
    <x v="0"/>
    <x v="5"/>
  </r>
  <r>
    <x v="13"/>
    <m/>
    <m/>
    <m/>
    <m/>
    <m/>
    <x v="101"/>
    <x v="0"/>
    <x v="5"/>
  </r>
  <r>
    <x v="0"/>
    <m/>
    <m/>
    <m/>
    <m/>
    <m/>
    <x v="102"/>
    <x v="0"/>
    <x v="5"/>
  </r>
  <r>
    <x v="1"/>
    <m/>
    <m/>
    <m/>
    <m/>
    <m/>
    <x v="102"/>
    <x v="0"/>
    <x v="5"/>
  </r>
  <r>
    <x v="2"/>
    <m/>
    <m/>
    <m/>
    <m/>
    <m/>
    <x v="102"/>
    <x v="0"/>
    <x v="5"/>
  </r>
  <r>
    <x v="3"/>
    <m/>
    <m/>
    <m/>
    <m/>
    <m/>
    <x v="102"/>
    <x v="0"/>
    <x v="5"/>
  </r>
  <r>
    <x v="4"/>
    <m/>
    <n v="104000"/>
    <m/>
    <m/>
    <m/>
    <x v="102"/>
    <x v="0"/>
    <x v="5"/>
  </r>
  <r>
    <x v="5"/>
    <m/>
    <m/>
    <m/>
    <m/>
    <m/>
    <x v="102"/>
    <x v="0"/>
    <x v="5"/>
  </r>
  <r>
    <x v="6"/>
    <m/>
    <n v="963000"/>
    <m/>
    <m/>
    <m/>
    <x v="102"/>
    <x v="0"/>
    <x v="5"/>
  </r>
  <r>
    <x v="7"/>
    <m/>
    <m/>
    <m/>
    <m/>
    <m/>
    <x v="102"/>
    <x v="0"/>
    <x v="5"/>
  </r>
  <r>
    <x v="8"/>
    <m/>
    <n v="567000"/>
    <m/>
    <n v="423000"/>
    <m/>
    <x v="102"/>
    <x v="0"/>
    <x v="5"/>
  </r>
  <r>
    <x v="9"/>
    <n v="108000"/>
    <m/>
    <n v="45000"/>
    <m/>
    <m/>
    <x v="102"/>
    <x v="0"/>
    <x v="5"/>
  </r>
  <r>
    <x v="10"/>
    <m/>
    <m/>
    <m/>
    <m/>
    <m/>
    <x v="102"/>
    <x v="0"/>
    <x v="5"/>
  </r>
  <r>
    <x v="11"/>
    <m/>
    <m/>
    <m/>
    <m/>
    <m/>
    <x v="102"/>
    <x v="0"/>
    <x v="5"/>
  </r>
  <r>
    <x v="12"/>
    <m/>
    <m/>
    <m/>
    <m/>
    <m/>
    <x v="102"/>
    <x v="0"/>
    <x v="5"/>
  </r>
  <r>
    <x v="13"/>
    <m/>
    <m/>
    <m/>
    <m/>
    <m/>
    <x v="102"/>
    <x v="0"/>
    <x v="5"/>
  </r>
  <r>
    <x v="0"/>
    <m/>
    <m/>
    <m/>
    <m/>
    <m/>
    <x v="103"/>
    <x v="0"/>
    <x v="5"/>
  </r>
  <r>
    <x v="1"/>
    <m/>
    <m/>
    <m/>
    <m/>
    <m/>
    <x v="103"/>
    <x v="0"/>
    <x v="5"/>
  </r>
  <r>
    <x v="2"/>
    <m/>
    <m/>
    <m/>
    <m/>
    <m/>
    <x v="103"/>
    <x v="0"/>
    <x v="5"/>
  </r>
  <r>
    <x v="3"/>
    <m/>
    <m/>
    <m/>
    <m/>
    <m/>
    <x v="103"/>
    <x v="0"/>
    <x v="5"/>
  </r>
  <r>
    <x v="4"/>
    <m/>
    <n v="639000"/>
    <m/>
    <n v="582000"/>
    <m/>
    <x v="103"/>
    <x v="0"/>
    <x v="5"/>
  </r>
  <r>
    <x v="5"/>
    <n v="54000"/>
    <m/>
    <m/>
    <m/>
    <m/>
    <x v="103"/>
    <x v="0"/>
    <x v="5"/>
  </r>
  <r>
    <x v="6"/>
    <m/>
    <n v="481000"/>
    <m/>
    <m/>
    <m/>
    <x v="103"/>
    <x v="0"/>
    <x v="5"/>
  </r>
  <r>
    <x v="7"/>
    <m/>
    <m/>
    <m/>
    <m/>
    <m/>
    <x v="103"/>
    <x v="0"/>
    <x v="5"/>
  </r>
  <r>
    <x v="8"/>
    <m/>
    <n v="618000"/>
    <m/>
    <n v="378000"/>
    <m/>
    <x v="103"/>
    <x v="0"/>
    <x v="5"/>
  </r>
  <r>
    <x v="9"/>
    <m/>
    <m/>
    <m/>
    <m/>
    <m/>
    <x v="103"/>
    <x v="0"/>
    <x v="5"/>
  </r>
  <r>
    <x v="10"/>
    <m/>
    <m/>
    <m/>
    <m/>
    <m/>
    <x v="103"/>
    <x v="0"/>
    <x v="5"/>
  </r>
  <r>
    <x v="11"/>
    <m/>
    <m/>
    <m/>
    <m/>
    <m/>
    <x v="103"/>
    <x v="0"/>
    <x v="5"/>
  </r>
  <r>
    <x v="12"/>
    <m/>
    <m/>
    <m/>
    <m/>
    <m/>
    <x v="103"/>
    <x v="0"/>
    <x v="5"/>
  </r>
  <r>
    <x v="13"/>
    <m/>
    <m/>
    <m/>
    <m/>
    <m/>
    <x v="103"/>
    <x v="0"/>
    <x v="5"/>
  </r>
  <r>
    <x v="0"/>
    <m/>
    <m/>
    <m/>
    <m/>
    <m/>
    <x v="104"/>
    <x v="0"/>
    <x v="5"/>
  </r>
  <r>
    <x v="1"/>
    <m/>
    <m/>
    <m/>
    <m/>
    <m/>
    <x v="104"/>
    <x v="0"/>
    <x v="5"/>
  </r>
  <r>
    <x v="2"/>
    <m/>
    <m/>
    <m/>
    <m/>
    <m/>
    <x v="104"/>
    <x v="0"/>
    <x v="5"/>
  </r>
  <r>
    <x v="3"/>
    <m/>
    <m/>
    <m/>
    <m/>
    <m/>
    <x v="104"/>
    <x v="0"/>
    <x v="5"/>
  </r>
  <r>
    <x v="4"/>
    <m/>
    <n v="259000"/>
    <m/>
    <n v="432000"/>
    <m/>
    <x v="104"/>
    <x v="0"/>
    <x v="5"/>
  </r>
  <r>
    <x v="5"/>
    <m/>
    <m/>
    <m/>
    <m/>
    <m/>
    <x v="104"/>
    <x v="0"/>
    <x v="5"/>
  </r>
  <r>
    <x v="6"/>
    <m/>
    <n v="261000"/>
    <m/>
    <m/>
    <m/>
    <x v="104"/>
    <x v="0"/>
    <x v="5"/>
  </r>
  <r>
    <x v="7"/>
    <m/>
    <m/>
    <m/>
    <m/>
    <m/>
    <x v="104"/>
    <x v="0"/>
    <x v="5"/>
  </r>
  <r>
    <x v="8"/>
    <m/>
    <n v="324000"/>
    <m/>
    <n v="585000"/>
    <m/>
    <x v="104"/>
    <x v="0"/>
    <x v="5"/>
  </r>
  <r>
    <x v="9"/>
    <m/>
    <n v="261000"/>
    <m/>
    <n v="415000"/>
    <m/>
    <x v="104"/>
    <x v="0"/>
    <x v="5"/>
  </r>
  <r>
    <x v="10"/>
    <m/>
    <m/>
    <m/>
    <m/>
    <m/>
    <x v="104"/>
    <x v="0"/>
    <x v="5"/>
  </r>
  <r>
    <x v="11"/>
    <m/>
    <m/>
    <m/>
    <m/>
    <m/>
    <x v="104"/>
    <x v="0"/>
    <x v="5"/>
  </r>
  <r>
    <x v="12"/>
    <m/>
    <m/>
    <m/>
    <m/>
    <m/>
    <x v="104"/>
    <x v="0"/>
    <x v="5"/>
  </r>
  <r>
    <x v="13"/>
    <m/>
    <m/>
    <m/>
    <m/>
    <m/>
    <x v="104"/>
    <x v="0"/>
    <x v="5"/>
  </r>
  <r>
    <x v="0"/>
    <m/>
    <m/>
    <m/>
    <m/>
    <m/>
    <x v="105"/>
    <x v="0"/>
    <x v="5"/>
  </r>
  <r>
    <x v="1"/>
    <m/>
    <m/>
    <m/>
    <m/>
    <m/>
    <x v="105"/>
    <x v="0"/>
    <x v="5"/>
  </r>
  <r>
    <x v="2"/>
    <m/>
    <m/>
    <m/>
    <m/>
    <m/>
    <x v="105"/>
    <x v="0"/>
    <x v="5"/>
  </r>
  <r>
    <x v="3"/>
    <m/>
    <m/>
    <m/>
    <m/>
    <m/>
    <x v="105"/>
    <x v="0"/>
    <x v="5"/>
  </r>
  <r>
    <x v="4"/>
    <m/>
    <n v="477000"/>
    <m/>
    <n v="324000"/>
    <m/>
    <x v="105"/>
    <x v="0"/>
    <x v="5"/>
  </r>
  <r>
    <x v="5"/>
    <m/>
    <m/>
    <m/>
    <m/>
    <m/>
    <x v="105"/>
    <x v="0"/>
    <x v="5"/>
  </r>
  <r>
    <x v="6"/>
    <m/>
    <n v="148500"/>
    <m/>
    <m/>
    <m/>
    <x v="105"/>
    <x v="0"/>
    <x v="5"/>
  </r>
  <r>
    <x v="7"/>
    <m/>
    <n v="216000"/>
    <m/>
    <m/>
    <m/>
    <x v="105"/>
    <x v="0"/>
    <x v="5"/>
  </r>
  <r>
    <x v="8"/>
    <m/>
    <n v="629500"/>
    <m/>
    <n v="378000"/>
    <m/>
    <x v="105"/>
    <x v="0"/>
    <x v="5"/>
  </r>
  <r>
    <x v="9"/>
    <m/>
    <n v="432000"/>
    <m/>
    <n v="317000"/>
    <m/>
    <x v="105"/>
    <x v="0"/>
    <x v="5"/>
  </r>
  <r>
    <x v="10"/>
    <m/>
    <m/>
    <m/>
    <m/>
    <m/>
    <x v="105"/>
    <x v="0"/>
    <x v="5"/>
  </r>
  <r>
    <x v="11"/>
    <m/>
    <m/>
    <m/>
    <m/>
    <m/>
    <x v="105"/>
    <x v="0"/>
    <x v="5"/>
  </r>
  <r>
    <x v="12"/>
    <m/>
    <m/>
    <m/>
    <m/>
    <m/>
    <x v="105"/>
    <x v="0"/>
    <x v="5"/>
  </r>
  <r>
    <x v="13"/>
    <m/>
    <m/>
    <m/>
    <m/>
    <m/>
    <x v="105"/>
    <x v="0"/>
    <x v="5"/>
  </r>
  <r>
    <x v="0"/>
    <m/>
    <m/>
    <m/>
    <m/>
    <m/>
    <x v="106"/>
    <x v="0"/>
    <x v="5"/>
  </r>
  <r>
    <x v="1"/>
    <m/>
    <m/>
    <m/>
    <m/>
    <m/>
    <x v="106"/>
    <x v="0"/>
    <x v="5"/>
  </r>
  <r>
    <x v="2"/>
    <m/>
    <m/>
    <n v="898000"/>
    <m/>
    <m/>
    <x v="106"/>
    <x v="0"/>
    <x v="5"/>
  </r>
  <r>
    <x v="3"/>
    <m/>
    <m/>
    <m/>
    <m/>
    <m/>
    <x v="106"/>
    <x v="0"/>
    <x v="5"/>
  </r>
  <r>
    <x v="4"/>
    <m/>
    <n v="414000"/>
    <m/>
    <n v="266000"/>
    <m/>
    <x v="106"/>
    <x v="0"/>
    <x v="5"/>
  </r>
  <r>
    <x v="5"/>
    <m/>
    <m/>
    <m/>
    <m/>
    <m/>
    <x v="106"/>
    <x v="0"/>
    <x v="5"/>
  </r>
  <r>
    <x v="6"/>
    <m/>
    <m/>
    <m/>
    <m/>
    <m/>
    <x v="106"/>
    <x v="0"/>
    <x v="5"/>
  </r>
  <r>
    <x v="7"/>
    <m/>
    <n v="513000"/>
    <m/>
    <m/>
    <m/>
    <x v="106"/>
    <x v="0"/>
    <x v="5"/>
  </r>
  <r>
    <x v="8"/>
    <m/>
    <n v="536000"/>
    <m/>
    <n v="104000"/>
    <m/>
    <x v="106"/>
    <x v="0"/>
    <x v="5"/>
  </r>
  <r>
    <x v="9"/>
    <m/>
    <n v="423000"/>
    <m/>
    <n v="432000"/>
    <m/>
    <x v="106"/>
    <x v="0"/>
    <x v="5"/>
  </r>
  <r>
    <x v="10"/>
    <m/>
    <m/>
    <m/>
    <m/>
    <m/>
    <x v="106"/>
    <x v="0"/>
    <x v="5"/>
  </r>
  <r>
    <x v="11"/>
    <m/>
    <m/>
    <m/>
    <m/>
    <m/>
    <x v="106"/>
    <x v="0"/>
    <x v="5"/>
  </r>
  <r>
    <x v="12"/>
    <m/>
    <m/>
    <m/>
    <m/>
    <m/>
    <x v="106"/>
    <x v="0"/>
    <x v="5"/>
  </r>
  <r>
    <x v="13"/>
    <m/>
    <m/>
    <m/>
    <m/>
    <m/>
    <x v="106"/>
    <x v="0"/>
    <x v="5"/>
  </r>
  <r>
    <x v="0"/>
    <m/>
    <m/>
    <m/>
    <m/>
    <m/>
    <x v="107"/>
    <x v="0"/>
    <x v="5"/>
  </r>
  <r>
    <x v="1"/>
    <m/>
    <m/>
    <m/>
    <m/>
    <m/>
    <x v="107"/>
    <x v="0"/>
    <x v="5"/>
  </r>
  <r>
    <x v="2"/>
    <m/>
    <m/>
    <n v="50000"/>
    <m/>
    <m/>
    <x v="107"/>
    <x v="0"/>
    <x v="5"/>
  </r>
  <r>
    <x v="3"/>
    <m/>
    <m/>
    <m/>
    <m/>
    <m/>
    <x v="107"/>
    <x v="0"/>
    <x v="5"/>
  </r>
  <r>
    <x v="4"/>
    <m/>
    <n v="365000"/>
    <m/>
    <n v="259000"/>
    <m/>
    <x v="107"/>
    <x v="0"/>
    <x v="5"/>
  </r>
  <r>
    <x v="5"/>
    <m/>
    <m/>
    <m/>
    <n v="45000"/>
    <m/>
    <x v="107"/>
    <x v="0"/>
    <x v="5"/>
  </r>
  <r>
    <x v="6"/>
    <m/>
    <m/>
    <m/>
    <m/>
    <m/>
    <x v="107"/>
    <x v="0"/>
    <x v="5"/>
  </r>
  <r>
    <x v="7"/>
    <m/>
    <n v="200000"/>
    <m/>
    <m/>
    <m/>
    <x v="107"/>
    <x v="0"/>
    <x v="5"/>
  </r>
  <r>
    <x v="8"/>
    <m/>
    <n v="639500"/>
    <m/>
    <n v="108000"/>
    <m/>
    <x v="107"/>
    <x v="0"/>
    <x v="5"/>
  </r>
  <r>
    <x v="9"/>
    <m/>
    <n v="162000"/>
    <m/>
    <n v="270000"/>
    <m/>
    <x v="107"/>
    <x v="0"/>
    <x v="5"/>
  </r>
  <r>
    <x v="10"/>
    <m/>
    <m/>
    <m/>
    <m/>
    <m/>
    <x v="107"/>
    <x v="0"/>
    <x v="5"/>
  </r>
  <r>
    <x v="11"/>
    <m/>
    <m/>
    <m/>
    <m/>
    <m/>
    <x v="107"/>
    <x v="0"/>
    <x v="5"/>
  </r>
  <r>
    <x v="12"/>
    <m/>
    <n v="419000"/>
    <m/>
    <n v="428000"/>
    <m/>
    <x v="107"/>
    <x v="0"/>
    <x v="5"/>
  </r>
  <r>
    <x v="13"/>
    <m/>
    <m/>
    <m/>
    <m/>
    <m/>
    <x v="107"/>
    <x v="0"/>
    <x v="5"/>
  </r>
  <r>
    <x v="0"/>
    <m/>
    <m/>
    <m/>
    <m/>
    <m/>
    <x v="108"/>
    <x v="0"/>
    <x v="5"/>
  </r>
  <r>
    <x v="1"/>
    <m/>
    <m/>
    <m/>
    <m/>
    <m/>
    <x v="108"/>
    <x v="0"/>
    <x v="5"/>
  </r>
  <r>
    <x v="2"/>
    <m/>
    <n v="162000"/>
    <m/>
    <n v="428000"/>
    <m/>
    <x v="108"/>
    <x v="0"/>
    <x v="5"/>
  </r>
  <r>
    <x v="3"/>
    <m/>
    <m/>
    <m/>
    <m/>
    <m/>
    <x v="108"/>
    <x v="0"/>
    <x v="5"/>
  </r>
  <r>
    <x v="4"/>
    <m/>
    <n v="216000"/>
    <m/>
    <n v="108000"/>
    <m/>
    <x v="108"/>
    <x v="0"/>
    <x v="5"/>
  </r>
  <r>
    <x v="5"/>
    <m/>
    <m/>
    <m/>
    <m/>
    <m/>
    <x v="108"/>
    <x v="0"/>
    <x v="5"/>
  </r>
  <r>
    <x v="6"/>
    <m/>
    <m/>
    <m/>
    <m/>
    <m/>
    <x v="108"/>
    <x v="0"/>
    <x v="5"/>
  </r>
  <r>
    <x v="7"/>
    <m/>
    <n v="369500"/>
    <m/>
    <m/>
    <m/>
    <x v="108"/>
    <x v="0"/>
    <x v="5"/>
  </r>
  <r>
    <x v="8"/>
    <m/>
    <n v="627500"/>
    <m/>
    <m/>
    <m/>
    <x v="108"/>
    <x v="0"/>
    <x v="5"/>
  </r>
  <r>
    <x v="9"/>
    <m/>
    <n v="643500"/>
    <m/>
    <m/>
    <m/>
    <x v="108"/>
    <x v="0"/>
    <x v="5"/>
  </r>
  <r>
    <x v="10"/>
    <m/>
    <m/>
    <m/>
    <m/>
    <m/>
    <x v="108"/>
    <x v="0"/>
    <x v="5"/>
  </r>
  <r>
    <x v="11"/>
    <m/>
    <m/>
    <m/>
    <m/>
    <m/>
    <x v="108"/>
    <x v="0"/>
    <x v="5"/>
  </r>
  <r>
    <x v="12"/>
    <m/>
    <n v="207000"/>
    <m/>
    <n v="54000"/>
    <m/>
    <x v="108"/>
    <x v="0"/>
    <x v="5"/>
  </r>
  <r>
    <x v="13"/>
    <m/>
    <m/>
    <m/>
    <m/>
    <m/>
    <x v="108"/>
    <x v="0"/>
    <x v="5"/>
  </r>
  <r>
    <x v="0"/>
    <m/>
    <m/>
    <m/>
    <m/>
    <m/>
    <x v="109"/>
    <x v="0"/>
    <x v="5"/>
  </r>
  <r>
    <x v="1"/>
    <m/>
    <m/>
    <m/>
    <m/>
    <m/>
    <x v="109"/>
    <x v="0"/>
    <x v="5"/>
  </r>
  <r>
    <x v="2"/>
    <m/>
    <n v="378000"/>
    <m/>
    <m/>
    <m/>
    <x v="109"/>
    <x v="0"/>
    <x v="5"/>
  </r>
  <r>
    <x v="3"/>
    <m/>
    <m/>
    <m/>
    <m/>
    <m/>
    <x v="109"/>
    <x v="0"/>
    <x v="5"/>
  </r>
  <r>
    <x v="4"/>
    <m/>
    <n v="312000"/>
    <m/>
    <m/>
    <m/>
    <x v="109"/>
    <x v="0"/>
    <x v="5"/>
  </r>
  <r>
    <x v="5"/>
    <m/>
    <m/>
    <m/>
    <m/>
    <m/>
    <x v="109"/>
    <x v="0"/>
    <x v="5"/>
  </r>
  <r>
    <x v="6"/>
    <m/>
    <m/>
    <m/>
    <m/>
    <m/>
    <x v="109"/>
    <x v="0"/>
    <x v="5"/>
  </r>
  <r>
    <x v="7"/>
    <m/>
    <n v="207000"/>
    <m/>
    <m/>
    <m/>
    <x v="109"/>
    <x v="0"/>
    <x v="5"/>
  </r>
  <r>
    <x v="8"/>
    <m/>
    <m/>
    <m/>
    <m/>
    <m/>
    <x v="109"/>
    <x v="0"/>
    <x v="5"/>
  </r>
  <r>
    <x v="9"/>
    <m/>
    <n v="414500"/>
    <m/>
    <m/>
    <m/>
    <x v="109"/>
    <x v="0"/>
    <x v="5"/>
  </r>
  <r>
    <x v="10"/>
    <m/>
    <m/>
    <m/>
    <m/>
    <m/>
    <x v="109"/>
    <x v="0"/>
    <x v="5"/>
  </r>
  <r>
    <x v="11"/>
    <m/>
    <m/>
    <m/>
    <m/>
    <m/>
    <x v="109"/>
    <x v="0"/>
    <x v="5"/>
  </r>
  <r>
    <x v="12"/>
    <m/>
    <m/>
    <m/>
    <m/>
    <m/>
    <x v="109"/>
    <x v="0"/>
    <x v="5"/>
  </r>
  <r>
    <x v="13"/>
    <m/>
    <m/>
    <m/>
    <m/>
    <m/>
    <x v="109"/>
    <x v="0"/>
    <x v="5"/>
  </r>
  <r>
    <x v="0"/>
    <m/>
    <m/>
    <m/>
    <m/>
    <m/>
    <x v="110"/>
    <x v="0"/>
    <x v="5"/>
  </r>
  <r>
    <x v="1"/>
    <m/>
    <m/>
    <m/>
    <m/>
    <m/>
    <x v="110"/>
    <x v="0"/>
    <x v="5"/>
  </r>
  <r>
    <x v="2"/>
    <m/>
    <n v="594000"/>
    <m/>
    <n v="108000"/>
    <m/>
    <x v="110"/>
    <x v="0"/>
    <x v="5"/>
  </r>
  <r>
    <x v="3"/>
    <m/>
    <m/>
    <m/>
    <m/>
    <m/>
    <x v="110"/>
    <x v="0"/>
    <x v="5"/>
  </r>
  <r>
    <x v="4"/>
    <m/>
    <n v="266000"/>
    <m/>
    <m/>
    <m/>
    <x v="110"/>
    <x v="0"/>
    <x v="5"/>
  </r>
  <r>
    <x v="5"/>
    <m/>
    <m/>
    <m/>
    <m/>
    <m/>
    <x v="110"/>
    <x v="0"/>
    <x v="5"/>
  </r>
  <r>
    <x v="6"/>
    <m/>
    <m/>
    <m/>
    <m/>
    <m/>
    <x v="110"/>
    <x v="0"/>
    <x v="5"/>
  </r>
  <r>
    <x v="7"/>
    <m/>
    <n v="643000"/>
    <m/>
    <m/>
    <m/>
    <x v="110"/>
    <x v="0"/>
    <x v="5"/>
  </r>
  <r>
    <x v="8"/>
    <n v="810000"/>
    <n v="269500"/>
    <n v="810000"/>
    <m/>
    <m/>
    <x v="110"/>
    <x v="0"/>
    <x v="5"/>
  </r>
  <r>
    <x v="9"/>
    <m/>
    <n v="162000"/>
    <m/>
    <n v="54000"/>
    <m/>
    <x v="110"/>
    <x v="0"/>
    <x v="5"/>
  </r>
  <r>
    <x v="10"/>
    <m/>
    <m/>
    <m/>
    <m/>
    <m/>
    <x v="110"/>
    <x v="0"/>
    <x v="5"/>
  </r>
  <r>
    <x v="11"/>
    <m/>
    <m/>
    <m/>
    <m/>
    <m/>
    <x v="110"/>
    <x v="0"/>
    <x v="5"/>
  </r>
  <r>
    <x v="12"/>
    <m/>
    <n v="261000"/>
    <m/>
    <n v="108000"/>
    <m/>
    <x v="110"/>
    <x v="0"/>
    <x v="5"/>
  </r>
  <r>
    <x v="13"/>
    <n v="639000"/>
    <m/>
    <n v="432000"/>
    <m/>
    <m/>
    <x v="110"/>
    <x v="0"/>
    <x v="5"/>
  </r>
  <r>
    <x v="0"/>
    <m/>
    <m/>
    <m/>
    <m/>
    <m/>
    <x v="111"/>
    <x v="0"/>
    <x v="5"/>
  </r>
  <r>
    <x v="1"/>
    <m/>
    <m/>
    <m/>
    <m/>
    <m/>
    <x v="111"/>
    <x v="0"/>
    <x v="5"/>
  </r>
  <r>
    <x v="2"/>
    <m/>
    <n v="108000"/>
    <n v="50000"/>
    <n v="432000"/>
    <m/>
    <x v="111"/>
    <x v="0"/>
    <x v="5"/>
  </r>
  <r>
    <x v="3"/>
    <m/>
    <m/>
    <m/>
    <m/>
    <m/>
    <x v="111"/>
    <x v="0"/>
    <x v="5"/>
  </r>
  <r>
    <x v="4"/>
    <m/>
    <m/>
    <m/>
    <m/>
    <m/>
    <x v="111"/>
    <x v="0"/>
    <x v="5"/>
  </r>
  <r>
    <x v="5"/>
    <m/>
    <m/>
    <m/>
    <n v="45000"/>
    <m/>
    <x v="111"/>
    <x v="0"/>
    <x v="5"/>
  </r>
  <r>
    <x v="6"/>
    <m/>
    <m/>
    <m/>
    <m/>
    <m/>
    <x v="111"/>
    <x v="0"/>
    <x v="5"/>
  </r>
  <r>
    <x v="7"/>
    <m/>
    <m/>
    <m/>
    <m/>
    <m/>
    <x v="111"/>
    <x v="0"/>
    <x v="5"/>
  </r>
  <r>
    <x v="8"/>
    <n v="135000"/>
    <n v="108000"/>
    <n v="45000"/>
    <m/>
    <m/>
    <x v="111"/>
    <x v="0"/>
    <x v="5"/>
  </r>
  <r>
    <x v="9"/>
    <m/>
    <m/>
    <n v="95000"/>
    <m/>
    <m/>
    <x v="111"/>
    <x v="0"/>
    <x v="5"/>
  </r>
  <r>
    <x v="10"/>
    <m/>
    <m/>
    <m/>
    <m/>
    <m/>
    <x v="111"/>
    <x v="0"/>
    <x v="5"/>
  </r>
  <r>
    <x v="11"/>
    <m/>
    <m/>
    <m/>
    <m/>
    <m/>
    <x v="111"/>
    <x v="0"/>
    <x v="5"/>
  </r>
  <r>
    <x v="12"/>
    <m/>
    <m/>
    <m/>
    <n v="108000"/>
    <m/>
    <x v="111"/>
    <x v="0"/>
    <x v="5"/>
  </r>
  <r>
    <x v="13"/>
    <n v="647500"/>
    <m/>
    <n v="749000"/>
    <m/>
    <m/>
    <x v="111"/>
    <x v="0"/>
    <x v="5"/>
  </r>
  <r>
    <x v="0"/>
    <m/>
    <m/>
    <m/>
    <m/>
    <m/>
    <x v="112"/>
    <x v="0"/>
    <x v="5"/>
  </r>
  <r>
    <x v="1"/>
    <m/>
    <m/>
    <m/>
    <m/>
    <m/>
    <x v="112"/>
    <x v="0"/>
    <x v="5"/>
  </r>
  <r>
    <x v="2"/>
    <m/>
    <n v="50000"/>
    <n v="45000"/>
    <m/>
    <m/>
    <x v="112"/>
    <x v="0"/>
    <x v="5"/>
  </r>
  <r>
    <x v="3"/>
    <m/>
    <m/>
    <m/>
    <m/>
    <m/>
    <x v="112"/>
    <x v="0"/>
    <x v="5"/>
  </r>
  <r>
    <x v="4"/>
    <m/>
    <m/>
    <m/>
    <m/>
    <m/>
    <x v="112"/>
    <x v="0"/>
    <x v="5"/>
  </r>
  <r>
    <x v="5"/>
    <n v="270000"/>
    <n v="45000"/>
    <m/>
    <m/>
    <m/>
    <x v="112"/>
    <x v="0"/>
    <x v="5"/>
  </r>
  <r>
    <x v="6"/>
    <n v="789500"/>
    <m/>
    <n v="106000"/>
    <m/>
    <m/>
    <x v="112"/>
    <x v="0"/>
    <x v="5"/>
  </r>
  <r>
    <x v="7"/>
    <m/>
    <n v="153000"/>
    <m/>
    <m/>
    <m/>
    <x v="112"/>
    <x v="0"/>
    <x v="5"/>
  </r>
  <r>
    <x v="8"/>
    <m/>
    <n v="216000"/>
    <n v="144000"/>
    <m/>
    <m/>
    <x v="112"/>
    <x v="0"/>
    <x v="5"/>
  </r>
  <r>
    <x v="9"/>
    <n v="54000"/>
    <m/>
    <n v="320000"/>
    <n v="54000"/>
    <m/>
    <x v="112"/>
    <x v="0"/>
    <x v="5"/>
  </r>
  <r>
    <x v="10"/>
    <m/>
    <m/>
    <m/>
    <m/>
    <m/>
    <x v="112"/>
    <x v="0"/>
    <x v="5"/>
  </r>
  <r>
    <x v="11"/>
    <m/>
    <m/>
    <m/>
    <m/>
    <m/>
    <x v="112"/>
    <x v="0"/>
    <x v="5"/>
  </r>
  <r>
    <x v="12"/>
    <n v="416500"/>
    <n v="211500"/>
    <n v="108000"/>
    <n v="54000"/>
    <m/>
    <x v="112"/>
    <x v="0"/>
    <x v="5"/>
  </r>
  <r>
    <x v="13"/>
    <m/>
    <m/>
    <m/>
    <m/>
    <m/>
    <x v="112"/>
    <x v="0"/>
    <x v="5"/>
  </r>
  <r>
    <x v="0"/>
    <m/>
    <m/>
    <m/>
    <m/>
    <m/>
    <x v="113"/>
    <x v="0"/>
    <x v="5"/>
  </r>
  <r>
    <x v="1"/>
    <m/>
    <m/>
    <m/>
    <m/>
    <m/>
    <x v="113"/>
    <x v="0"/>
    <x v="5"/>
  </r>
  <r>
    <x v="2"/>
    <m/>
    <m/>
    <m/>
    <m/>
    <m/>
    <x v="113"/>
    <x v="0"/>
    <x v="5"/>
  </r>
  <r>
    <x v="3"/>
    <m/>
    <n v="540000"/>
    <m/>
    <n v="1436500"/>
    <m/>
    <x v="113"/>
    <x v="0"/>
    <x v="5"/>
  </r>
  <r>
    <x v="4"/>
    <m/>
    <m/>
    <m/>
    <m/>
    <m/>
    <x v="113"/>
    <x v="0"/>
    <x v="5"/>
  </r>
  <r>
    <x v="5"/>
    <n v="374000"/>
    <m/>
    <n v="270000"/>
    <m/>
    <m/>
    <x v="113"/>
    <x v="0"/>
    <x v="5"/>
  </r>
  <r>
    <x v="6"/>
    <n v="432000"/>
    <n v="54000"/>
    <n v="108000"/>
    <m/>
    <m/>
    <x v="113"/>
    <x v="0"/>
    <x v="5"/>
  </r>
  <r>
    <x v="7"/>
    <m/>
    <n v="50000"/>
    <m/>
    <m/>
    <m/>
    <x v="113"/>
    <x v="0"/>
    <x v="5"/>
  </r>
  <r>
    <x v="8"/>
    <m/>
    <m/>
    <m/>
    <m/>
    <m/>
    <x v="113"/>
    <x v="0"/>
    <x v="5"/>
  </r>
  <r>
    <x v="9"/>
    <m/>
    <m/>
    <m/>
    <m/>
    <m/>
    <x v="113"/>
    <x v="0"/>
    <x v="5"/>
  </r>
  <r>
    <x v="10"/>
    <n v="270000"/>
    <m/>
    <n v="162000"/>
    <m/>
    <m/>
    <x v="113"/>
    <x v="0"/>
    <x v="5"/>
  </r>
  <r>
    <x v="11"/>
    <m/>
    <m/>
    <m/>
    <m/>
    <m/>
    <x v="113"/>
    <x v="0"/>
    <x v="5"/>
  </r>
  <r>
    <x v="12"/>
    <n v="293000"/>
    <n v="108000"/>
    <n v="211500"/>
    <m/>
    <m/>
    <x v="113"/>
    <x v="0"/>
    <x v="5"/>
  </r>
  <r>
    <x v="13"/>
    <m/>
    <m/>
    <m/>
    <m/>
    <m/>
    <x v="113"/>
    <x v="0"/>
    <x v="5"/>
  </r>
  <r>
    <x v="0"/>
    <m/>
    <m/>
    <m/>
    <m/>
    <m/>
    <x v="114"/>
    <x v="0"/>
    <x v="5"/>
  </r>
  <r>
    <x v="1"/>
    <m/>
    <m/>
    <m/>
    <m/>
    <m/>
    <x v="114"/>
    <x v="0"/>
    <x v="5"/>
  </r>
  <r>
    <x v="2"/>
    <m/>
    <m/>
    <m/>
    <n v="54000"/>
    <m/>
    <x v="114"/>
    <x v="0"/>
    <x v="5"/>
  </r>
  <r>
    <x v="3"/>
    <n v="527000"/>
    <n v="626000"/>
    <n v="594000"/>
    <n v="526000"/>
    <m/>
    <x v="114"/>
    <x v="0"/>
    <x v="5"/>
  </r>
  <r>
    <x v="4"/>
    <m/>
    <m/>
    <m/>
    <m/>
    <m/>
    <x v="114"/>
    <x v="0"/>
    <x v="5"/>
  </r>
  <r>
    <x v="5"/>
    <m/>
    <m/>
    <n v="54000"/>
    <m/>
    <m/>
    <x v="114"/>
    <x v="0"/>
    <x v="5"/>
  </r>
  <r>
    <x v="6"/>
    <m/>
    <n v="571500"/>
    <m/>
    <m/>
    <m/>
    <x v="114"/>
    <x v="0"/>
    <x v="5"/>
  </r>
  <r>
    <x v="7"/>
    <m/>
    <n v="158000"/>
    <m/>
    <m/>
    <m/>
    <x v="114"/>
    <x v="0"/>
    <x v="5"/>
  </r>
  <r>
    <x v="8"/>
    <m/>
    <m/>
    <m/>
    <m/>
    <m/>
    <x v="114"/>
    <x v="0"/>
    <x v="5"/>
  </r>
  <r>
    <x v="9"/>
    <m/>
    <m/>
    <n v="212000"/>
    <m/>
    <m/>
    <x v="114"/>
    <x v="0"/>
    <x v="5"/>
  </r>
  <r>
    <x v="10"/>
    <n v="108000"/>
    <m/>
    <m/>
    <m/>
    <m/>
    <x v="114"/>
    <x v="0"/>
    <x v="5"/>
  </r>
  <r>
    <x v="11"/>
    <m/>
    <m/>
    <m/>
    <m/>
    <m/>
    <x v="114"/>
    <x v="0"/>
    <x v="5"/>
  </r>
  <r>
    <x v="12"/>
    <n v="45000"/>
    <n v="54000"/>
    <m/>
    <m/>
    <m/>
    <x v="114"/>
    <x v="0"/>
    <x v="5"/>
  </r>
  <r>
    <x v="13"/>
    <m/>
    <m/>
    <m/>
    <m/>
    <m/>
    <x v="114"/>
    <x v="0"/>
    <x v="5"/>
  </r>
  <r>
    <x v="0"/>
    <m/>
    <m/>
    <m/>
    <m/>
    <m/>
    <x v="115"/>
    <x v="0"/>
    <x v="5"/>
  </r>
  <r>
    <x v="1"/>
    <m/>
    <m/>
    <m/>
    <m/>
    <m/>
    <x v="115"/>
    <x v="0"/>
    <x v="5"/>
  </r>
  <r>
    <x v="2"/>
    <m/>
    <n v="535500"/>
    <m/>
    <n v="313000"/>
    <m/>
    <x v="115"/>
    <x v="0"/>
    <x v="5"/>
  </r>
  <r>
    <x v="3"/>
    <n v="578000"/>
    <n v="785000"/>
    <n v="860000"/>
    <m/>
    <m/>
    <x v="115"/>
    <x v="0"/>
    <x v="5"/>
  </r>
  <r>
    <x v="4"/>
    <m/>
    <m/>
    <m/>
    <m/>
    <m/>
    <x v="115"/>
    <x v="0"/>
    <x v="5"/>
  </r>
  <r>
    <x v="5"/>
    <m/>
    <m/>
    <m/>
    <m/>
    <m/>
    <x v="115"/>
    <x v="0"/>
    <x v="5"/>
  </r>
  <r>
    <x v="6"/>
    <m/>
    <n v="482000"/>
    <n v="54000"/>
    <m/>
    <m/>
    <x v="115"/>
    <x v="0"/>
    <x v="5"/>
  </r>
  <r>
    <x v="7"/>
    <m/>
    <m/>
    <m/>
    <m/>
    <m/>
    <x v="115"/>
    <x v="0"/>
    <x v="5"/>
  </r>
  <r>
    <x v="8"/>
    <m/>
    <m/>
    <m/>
    <m/>
    <m/>
    <x v="115"/>
    <x v="0"/>
    <x v="5"/>
  </r>
  <r>
    <x v="9"/>
    <m/>
    <m/>
    <m/>
    <m/>
    <m/>
    <x v="115"/>
    <x v="0"/>
    <x v="5"/>
  </r>
  <r>
    <x v="10"/>
    <n v="257000"/>
    <m/>
    <m/>
    <m/>
    <m/>
    <x v="115"/>
    <x v="0"/>
    <x v="5"/>
  </r>
  <r>
    <x v="11"/>
    <m/>
    <m/>
    <m/>
    <m/>
    <m/>
    <x v="115"/>
    <x v="0"/>
    <x v="5"/>
  </r>
  <r>
    <x v="12"/>
    <m/>
    <n v="299000"/>
    <m/>
    <m/>
    <m/>
    <x v="115"/>
    <x v="0"/>
    <x v="5"/>
  </r>
  <r>
    <x v="13"/>
    <m/>
    <m/>
    <m/>
    <m/>
    <m/>
    <x v="115"/>
    <x v="0"/>
    <x v="5"/>
  </r>
  <r>
    <x v="0"/>
    <m/>
    <m/>
    <m/>
    <m/>
    <m/>
    <x v="116"/>
    <x v="0"/>
    <x v="5"/>
  </r>
  <r>
    <x v="1"/>
    <m/>
    <m/>
    <m/>
    <m/>
    <m/>
    <x v="116"/>
    <x v="0"/>
    <x v="5"/>
  </r>
  <r>
    <x v="2"/>
    <m/>
    <m/>
    <n v="50000"/>
    <m/>
    <m/>
    <x v="116"/>
    <x v="0"/>
    <x v="5"/>
  </r>
  <r>
    <x v="3"/>
    <n v="638000"/>
    <m/>
    <n v="324000"/>
    <m/>
    <m/>
    <x v="116"/>
    <x v="0"/>
    <x v="5"/>
  </r>
  <r>
    <x v="4"/>
    <m/>
    <m/>
    <m/>
    <m/>
    <m/>
    <x v="116"/>
    <x v="0"/>
    <x v="5"/>
  </r>
  <r>
    <x v="5"/>
    <m/>
    <m/>
    <m/>
    <m/>
    <m/>
    <x v="116"/>
    <x v="0"/>
    <x v="5"/>
  </r>
  <r>
    <x v="6"/>
    <m/>
    <n v="54000"/>
    <m/>
    <m/>
    <m/>
    <x v="116"/>
    <x v="0"/>
    <x v="5"/>
  </r>
  <r>
    <x v="7"/>
    <m/>
    <m/>
    <m/>
    <m/>
    <m/>
    <x v="116"/>
    <x v="0"/>
    <x v="5"/>
  </r>
  <r>
    <x v="8"/>
    <m/>
    <m/>
    <m/>
    <m/>
    <m/>
    <x v="116"/>
    <x v="0"/>
    <x v="5"/>
  </r>
  <r>
    <x v="9"/>
    <n v="302000"/>
    <m/>
    <n v="208000"/>
    <m/>
    <m/>
    <x v="116"/>
    <x v="0"/>
    <x v="5"/>
  </r>
  <r>
    <x v="10"/>
    <n v="324000"/>
    <m/>
    <n v="108000"/>
    <m/>
    <m/>
    <x v="116"/>
    <x v="0"/>
    <x v="5"/>
  </r>
  <r>
    <x v="11"/>
    <m/>
    <m/>
    <m/>
    <m/>
    <m/>
    <x v="116"/>
    <x v="0"/>
    <x v="5"/>
  </r>
  <r>
    <x v="12"/>
    <m/>
    <n v="54000"/>
    <m/>
    <m/>
    <m/>
    <x v="116"/>
    <x v="0"/>
    <x v="5"/>
  </r>
  <r>
    <x v="13"/>
    <m/>
    <m/>
    <m/>
    <m/>
    <m/>
    <x v="116"/>
    <x v="0"/>
    <x v="5"/>
  </r>
  <r>
    <x v="0"/>
    <m/>
    <m/>
    <m/>
    <m/>
    <m/>
    <x v="117"/>
    <x v="0"/>
    <x v="5"/>
  </r>
  <r>
    <x v="1"/>
    <m/>
    <m/>
    <m/>
    <m/>
    <m/>
    <x v="117"/>
    <x v="0"/>
    <x v="5"/>
  </r>
  <r>
    <x v="2"/>
    <m/>
    <n v="108000"/>
    <n v="108000"/>
    <m/>
    <m/>
    <x v="117"/>
    <x v="0"/>
    <x v="5"/>
  </r>
  <r>
    <x v="3"/>
    <n v="622000"/>
    <n v="45000"/>
    <n v="216000"/>
    <m/>
    <m/>
    <x v="117"/>
    <x v="0"/>
    <x v="5"/>
  </r>
  <r>
    <x v="4"/>
    <m/>
    <m/>
    <m/>
    <m/>
    <m/>
    <x v="117"/>
    <x v="0"/>
    <x v="5"/>
  </r>
  <r>
    <x v="5"/>
    <m/>
    <m/>
    <m/>
    <m/>
    <m/>
    <x v="117"/>
    <x v="0"/>
    <x v="5"/>
  </r>
  <r>
    <x v="6"/>
    <m/>
    <m/>
    <m/>
    <m/>
    <m/>
    <x v="117"/>
    <x v="0"/>
    <x v="5"/>
  </r>
  <r>
    <x v="7"/>
    <m/>
    <m/>
    <m/>
    <m/>
    <m/>
    <x v="117"/>
    <x v="0"/>
    <x v="5"/>
  </r>
  <r>
    <x v="8"/>
    <m/>
    <m/>
    <m/>
    <m/>
    <m/>
    <x v="117"/>
    <x v="0"/>
    <x v="5"/>
  </r>
  <r>
    <x v="9"/>
    <n v="315000"/>
    <m/>
    <m/>
    <m/>
    <m/>
    <x v="117"/>
    <x v="0"/>
    <x v="5"/>
  </r>
  <r>
    <x v="10"/>
    <n v="424000"/>
    <m/>
    <n v="216000"/>
    <m/>
    <m/>
    <x v="117"/>
    <x v="0"/>
    <x v="5"/>
  </r>
  <r>
    <x v="11"/>
    <m/>
    <m/>
    <m/>
    <m/>
    <m/>
    <x v="117"/>
    <x v="0"/>
    <x v="5"/>
  </r>
  <r>
    <x v="12"/>
    <m/>
    <m/>
    <m/>
    <m/>
    <m/>
    <x v="117"/>
    <x v="0"/>
    <x v="5"/>
  </r>
  <r>
    <x v="13"/>
    <m/>
    <m/>
    <m/>
    <m/>
    <m/>
    <x v="117"/>
    <x v="0"/>
    <x v="5"/>
  </r>
  <r>
    <x v="0"/>
    <m/>
    <m/>
    <m/>
    <m/>
    <m/>
    <x v="118"/>
    <x v="0"/>
    <x v="5"/>
  </r>
  <r>
    <x v="1"/>
    <m/>
    <m/>
    <m/>
    <m/>
    <m/>
    <x v="118"/>
    <x v="0"/>
    <x v="5"/>
  </r>
  <r>
    <x v="2"/>
    <m/>
    <m/>
    <n v="108000"/>
    <m/>
    <m/>
    <x v="118"/>
    <x v="0"/>
    <x v="5"/>
  </r>
  <r>
    <x v="3"/>
    <n v="733500"/>
    <m/>
    <n v="108000"/>
    <m/>
    <m/>
    <x v="118"/>
    <x v="0"/>
    <x v="5"/>
  </r>
  <r>
    <x v="4"/>
    <m/>
    <m/>
    <m/>
    <m/>
    <m/>
    <x v="118"/>
    <x v="0"/>
    <x v="5"/>
  </r>
  <r>
    <x v="5"/>
    <m/>
    <m/>
    <m/>
    <m/>
    <m/>
    <x v="118"/>
    <x v="0"/>
    <x v="5"/>
  </r>
  <r>
    <x v="6"/>
    <m/>
    <m/>
    <m/>
    <m/>
    <m/>
    <x v="118"/>
    <x v="0"/>
    <x v="5"/>
  </r>
  <r>
    <x v="7"/>
    <m/>
    <m/>
    <m/>
    <m/>
    <m/>
    <x v="118"/>
    <x v="0"/>
    <x v="5"/>
  </r>
  <r>
    <x v="8"/>
    <m/>
    <m/>
    <m/>
    <m/>
    <m/>
    <x v="118"/>
    <x v="0"/>
    <x v="5"/>
  </r>
  <r>
    <x v="9"/>
    <n v="309500"/>
    <m/>
    <n v="108000"/>
    <m/>
    <m/>
    <x v="118"/>
    <x v="0"/>
    <x v="5"/>
  </r>
  <r>
    <x v="10"/>
    <n v="477000"/>
    <m/>
    <n v="99000"/>
    <m/>
    <m/>
    <x v="118"/>
    <x v="0"/>
    <x v="5"/>
  </r>
  <r>
    <x v="11"/>
    <m/>
    <m/>
    <m/>
    <m/>
    <m/>
    <x v="118"/>
    <x v="0"/>
    <x v="5"/>
  </r>
  <r>
    <x v="12"/>
    <m/>
    <m/>
    <m/>
    <m/>
    <m/>
    <x v="118"/>
    <x v="0"/>
    <x v="5"/>
  </r>
  <r>
    <x v="13"/>
    <m/>
    <m/>
    <m/>
    <m/>
    <m/>
    <x v="118"/>
    <x v="0"/>
    <x v="5"/>
  </r>
  <r>
    <x v="0"/>
    <m/>
    <m/>
    <m/>
    <m/>
    <m/>
    <x v="119"/>
    <x v="0"/>
    <x v="5"/>
  </r>
  <r>
    <x v="1"/>
    <m/>
    <m/>
    <m/>
    <m/>
    <m/>
    <x v="119"/>
    <x v="0"/>
    <x v="5"/>
  </r>
  <r>
    <x v="2"/>
    <m/>
    <m/>
    <n v="54000"/>
    <m/>
    <m/>
    <x v="119"/>
    <x v="0"/>
    <x v="5"/>
  </r>
  <r>
    <x v="3"/>
    <n v="901000"/>
    <m/>
    <n v="324000"/>
    <m/>
    <m/>
    <x v="119"/>
    <x v="0"/>
    <x v="5"/>
  </r>
  <r>
    <x v="4"/>
    <n v="270000"/>
    <m/>
    <m/>
    <m/>
    <m/>
    <x v="119"/>
    <x v="0"/>
    <x v="5"/>
  </r>
  <r>
    <x v="5"/>
    <m/>
    <m/>
    <m/>
    <m/>
    <m/>
    <x v="119"/>
    <x v="0"/>
    <x v="5"/>
  </r>
  <r>
    <x v="6"/>
    <m/>
    <n v="1387000"/>
    <m/>
    <m/>
    <m/>
    <x v="119"/>
    <x v="0"/>
    <x v="5"/>
  </r>
  <r>
    <x v="7"/>
    <m/>
    <m/>
    <m/>
    <m/>
    <m/>
    <x v="119"/>
    <x v="0"/>
    <x v="5"/>
  </r>
  <r>
    <x v="8"/>
    <m/>
    <m/>
    <m/>
    <m/>
    <m/>
    <x v="119"/>
    <x v="0"/>
    <x v="5"/>
  </r>
  <r>
    <x v="9"/>
    <m/>
    <m/>
    <m/>
    <m/>
    <m/>
    <x v="119"/>
    <x v="0"/>
    <x v="5"/>
  </r>
  <r>
    <x v="10"/>
    <n v="540000"/>
    <m/>
    <n v="216000"/>
    <m/>
    <m/>
    <x v="119"/>
    <x v="0"/>
    <x v="5"/>
  </r>
  <r>
    <x v="11"/>
    <m/>
    <m/>
    <m/>
    <m/>
    <m/>
    <x v="119"/>
    <x v="0"/>
    <x v="5"/>
  </r>
  <r>
    <x v="12"/>
    <m/>
    <m/>
    <m/>
    <m/>
    <m/>
    <x v="119"/>
    <x v="0"/>
    <x v="5"/>
  </r>
  <r>
    <x v="13"/>
    <m/>
    <m/>
    <m/>
    <m/>
    <m/>
    <x v="119"/>
    <x v="0"/>
    <x v="5"/>
  </r>
  <r>
    <x v="0"/>
    <m/>
    <m/>
    <m/>
    <m/>
    <m/>
    <x v="120"/>
    <x v="0"/>
    <x v="5"/>
  </r>
  <r>
    <x v="1"/>
    <m/>
    <m/>
    <m/>
    <m/>
    <m/>
    <x v="120"/>
    <x v="0"/>
    <x v="5"/>
  </r>
  <r>
    <x v="2"/>
    <m/>
    <m/>
    <n v="216000"/>
    <m/>
    <m/>
    <x v="120"/>
    <x v="0"/>
    <x v="5"/>
  </r>
  <r>
    <x v="3"/>
    <n v="486000"/>
    <m/>
    <n v="216000"/>
    <m/>
    <m/>
    <x v="120"/>
    <x v="0"/>
    <x v="5"/>
  </r>
  <r>
    <x v="4"/>
    <n v="162000"/>
    <m/>
    <m/>
    <m/>
    <m/>
    <x v="120"/>
    <x v="0"/>
    <x v="5"/>
  </r>
  <r>
    <x v="5"/>
    <m/>
    <m/>
    <m/>
    <m/>
    <m/>
    <x v="120"/>
    <x v="0"/>
    <x v="5"/>
  </r>
  <r>
    <x v="6"/>
    <n v="54000"/>
    <m/>
    <m/>
    <m/>
    <m/>
    <x v="120"/>
    <x v="0"/>
    <x v="5"/>
  </r>
  <r>
    <x v="7"/>
    <m/>
    <m/>
    <m/>
    <m/>
    <m/>
    <x v="120"/>
    <x v="0"/>
    <x v="5"/>
  </r>
  <r>
    <x v="8"/>
    <m/>
    <m/>
    <m/>
    <m/>
    <m/>
    <x v="120"/>
    <x v="0"/>
    <x v="5"/>
  </r>
  <r>
    <x v="9"/>
    <m/>
    <m/>
    <m/>
    <m/>
    <m/>
    <x v="120"/>
    <x v="0"/>
    <x v="5"/>
  </r>
  <r>
    <x v="10"/>
    <n v="153000"/>
    <m/>
    <n v="1130000"/>
    <m/>
    <m/>
    <x v="120"/>
    <x v="0"/>
    <x v="5"/>
  </r>
  <r>
    <x v="11"/>
    <m/>
    <m/>
    <m/>
    <m/>
    <m/>
    <x v="120"/>
    <x v="0"/>
    <x v="5"/>
  </r>
  <r>
    <x v="12"/>
    <m/>
    <m/>
    <m/>
    <m/>
    <m/>
    <x v="120"/>
    <x v="0"/>
    <x v="5"/>
  </r>
  <r>
    <x v="13"/>
    <m/>
    <m/>
    <m/>
    <m/>
    <m/>
    <x v="120"/>
    <x v="0"/>
    <x v="5"/>
  </r>
  <r>
    <x v="0"/>
    <m/>
    <m/>
    <m/>
    <m/>
    <m/>
    <x v="121"/>
    <x v="0"/>
    <x v="5"/>
  </r>
  <r>
    <x v="1"/>
    <m/>
    <m/>
    <m/>
    <m/>
    <m/>
    <x v="121"/>
    <x v="0"/>
    <x v="5"/>
  </r>
  <r>
    <x v="2"/>
    <m/>
    <m/>
    <n v="360000"/>
    <m/>
    <m/>
    <x v="121"/>
    <x v="0"/>
    <x v="5"/>
  </r>
  <r>
    <x v="3"/>
    <m/>
    <m/>
    <n v="162000"/>
    <m/>
    <m/>
    <x v="121"/>
    <x v="0"/>
    <x v="5"/>
  </r>
  <r>
    <x v="4"/>
    <m/>
    <m/>
    <n v="199000"/>
    <m/>
    <m/>
    <x v="121"/>
    <x v="0"/>
    <x v="5"/>
  </r>
  <r>
    <x v="5"/>
    <m/>
    <m/>
    <n v="54000"/>
    <m/>
    <m/>
    <x v="121"/>
    <x v="0"/>
    <x v="5"/>
  </r>
  <r>
    <x v="6"/>
    <m/>
    <m/>
    <m/>
    <m/>
    <m/>
    <x v="121"/>
    <x v="0"/>
    <x v="5"/>
  </r>
  <r>
    <x v="7"/>
    <m/>
    <m/>
    <m/>
    <m/>
    <m/>
    <x v="121"/>
    <x v="0"/>
    <x v="5"/>
  </r>
  <r>
    <x v="8"/>
    <m/>
    <m/>
    <m/>
    <m/>
    <m/>
    <x v="121"/>
    <x v="0"/>
    <x v="5"/>
  </r>
  <r>
    <x v="9"/>
    <m/>
    <m/>
    <m/>
    <m/>
    <m/>
    <x v="121"/>
    <x v="0"/>
    <x v="5"/>
  </r>
  <r>
    <x v="10"/>
    <n v="1180000"/>
    <m/>
    <n v="270000"/>
    <m/>
    <m/>
    <x v="121"/>
    <x v="0"/>
    <x v="5"/>
  </r>
  <r>
    <x v="11"/>
    <m/>
    <m/>
    <m/>
    <m/>
    <m/>
    <x v="121"/>
    <x v="0"/>
    <x v="5"/>
  </r>
  <r>
    <x v="12"/>
    <m/>
    <m/>
    <n v="50000"/>
    <m/>
    <m/>
    <x v="121"/>
    <x v="0"/>
    <x v="5"/>
  </r>
  <r>
    <x v="13"/>
    <m/>
    <m/>
    <m/>
    <m/>
    <m/>
    <x v="121"/>
    <x v="0"/>
    <x v="5"/>
  </r>
  <r>
    <x v="0"/>
    <m/>
    <m/>
    <m/>
    <m/>
    <m/>
    <x v="122"/>
    <x v="0"/>
    <x v="5"/>
  </r>
  <r>
    <x v="1"/>
    <m/>
    <m/>
    <m/>
    <m/>
    <m/>
    <x v="122"/>
    <x v="0"/>
    <x v="5"/>
  </r>
  <r>
    <x v="2"/>
    <m/>
    <m/>
    <n v="54000"/>
    <m/>
    <m/>
    <x v="122"/>
    <x v="0"/>
    <x v="5"/>
  </r>
  <r>
    <x v="3"/>
    <m/>
    <n v="644000"/>
    <n v="162000"/>
    <n v="270000"/>
    <m/>
    <x v="122"/>
    <x v="0"/>
    <x v="5"/>
  </r>
  <r>
    <x v="4"/>
    <m/>
    <m/>
    <m/>
    <n v="162000"/>
    <m/>
    <x v="122"/>
    <x v="0"/>
    <x v="5"/>
  </r>
  <r>
    <x v="5"/>
    <m/>
    <m/>
    <n v="108000"/>
    <m/>
    <m/>
    <x v="122"/>
    <x v="0"/>
    <x v="5"/>
  </r>
  <r>
    <x v="6"/>
    <m/>
    <m/>
    <m/>
    <m/>
    <m/>
    <x v="122"/>
    <x v="0"/>
    <x v="5"/>
  </r>
  <r>
    <x v="7"/>
    <m/>
    <m/>
    <m/>
    <m/>
    <m/>
    <x v="122"/>
    <x v="0"/>
    <x v="5"/>
  </r>
  <r>
    <x v="8"/>
    <m/>
    <m/>
    <m/>
    <m/>
    <m/>
    <x v="122"/>
    <x v="0"/>
    <x v="5"/>
  </r>
  <r>
    <x v="9"/>
    <m/>
    <m/>
    <m/>
    <m/>
    <m/>
    <x v="122"/>
    <x v="0"/>
    <x v="5"/>
  </r>
  <r>
    <x v="10"/>
    <m/>
    <m/>
    <n v="162000"/>
    <m/>
    <m/>
    <x v="122"/>
    <x v="0"/>
    <x v="5"/>
  </r>
  <r>
    <x v="11"/>
    <m/>
    <m/>
    <m/>
    <m/>
    <m/>
    <x v="122"/>
    <x v="0"/>
    <x v="5"/>
  </r>
  <r>
    <x v="12"/>
    <m/>
    <m/>
    <m/>
    <m/>
    <m/>
    <x v="122"/>
    <x v="0"/>
    <x v="5"/>
  </r>
  <r>
    <x v="13"/>
    <m/>
    <m/>
    <m/>
    <m/>
    <m/>
    <x v="122"/>
    <x v="0"/>
    <x v="5"/>
  </r>
  <r>
    <x v="0"/>
    <m/>
    <m/>
    <m/>
    <m/>
    <m/>
    <x v="123"/>
    <x v="0"/>
    <x v="5"/>
  </r>
  <r>
    <x v="1"/>
    <m/>
    <m/>
    <m/>
    <m/>
    <m/>
    <x v="123"/>
    <x v="0"/>
    <x v="5"/>
  </r>
  <r>
    <x v="2"/>
    <m/>
    <m/>
    <m/>
    <m/>
    <m/>
    <x v="123"/>
    <x v="0"/>
    <x v="5"/>
  </r>
  <r>
    <x v="3"/>
    <m/>
    <n v="573000"/>
    <m/>
    <n v="477000"/>
    <m/>
    <x v="123"/>
    <x v="0"/>
    <x v="5"/>
  </r>
  <r>
    <x v="4"/>
    <m/>
    <m/>
    <m/>
    <n v="216000"/>
    <m/>
    <x v="123"/>
    <x v="0"/>
    <x v="5"/>
  </r>
  <r>
    <x v="5"/>
    <m/>
    <m/>
    <m/>
    <m/>
    <m/>
    <x v="123"/>
    <x v="0"/>
    <x v="5"/>
  </r>
  <r>
    <x v="6"/>
    <m/>
    <m/>
    <m/>
    <m/>
    <m/>
    <x v="123"/>
    <x v="0"/>
    <x v="5"/>
  </r>
  <r>
    <x v="7"/>
    <m/>
    <m/>
    <m/>
    <m/>
    <m/>
    <x v="123"/>
    <x v="0"/>
    <x v="5"/>
  </r>
  <r>
    <x v="8"/>
    <m/>
    <m/>
    <m/>
    <m/>
    <m/>
    <x v="123"/>
    <x v="0"/>
    <x v="5"/>
  </r>
  <r>
    <x v="9"/>
    <n v="536000"/>
    <m/>
    <m/>
    <m/>
    <m/>
    <x v="123"/>
    <x v="0"/>
    <x v="5"/>
  </r>
  <r>
    <x v="10"/>
    <m/>
    <m/>
    <m/>
    <m/>
    <m/>
    <x v="123"/>
    <x v="0"/>
    <x v="5"/>
  </r>
  <r>
    <x v="11"/>
    <m/>
    <m/>
    <m/>
    <m/>
    <m/>
    <x v="123"/>
    <x v="0"/>
    <x v="5"/>
  </r>
  <r>
    <x v="12"/>
    <m/>
    <m/>
    <m/>
    <m/>
    <m/>
    <x v="123"/>
    <x v="0"/>
    <x v="5"/>
  </r>
  <r>
    <x v="13"/>
    <m/>
    <m/>
    <m/>
    <m/>
    <m/>
    <x v="123"/>
    <x v="0"/>
    <x v="5"/>
  </r>
  <r>
    <x v="0"/>
    <m/>
    <m/>
    <m/>
    <m/>
    <m/>
    <x v="124"/>
    <x v="0"/>
    <x v="6"/>
  </r>
  <r>
    <x v="2"/>
    <n v="270000"/>
    <n v="108000"/>
    <n v="162000"/>
    <m/>
    <m/>
    <x v="124"/>
    <x v="0"/>
    <x v="6"/>
  </r>
  <r>
    <x v="3"/>
    <m/>
    <n v="54000"/>
    <m/>
    <n v="108000"/>
    <m/>
    <x v="124"/>
    <x v="0"/>
    <x v="6"/>
  </r>
  <r>
    <x v="4"/>
    <m/>
    <m/>
    <m/>
    <n v="108000"/>
    <m/>
    <x v="124"/>
    <x v="0"/>
    <x v="6"/>
  </r>
  <r>
    <x v="5"/>
    <m/>
    <n v="369000"/>
    <m/>
    <n v="108000"/>
    <m/>
    <x v="124"/>
    <x v="0"/>
    <x v="6"/>
  </r>
  <r>
    <x v="6"/>
    <m/>
    <m/>
    <m/>
    <m/>
    <m/>
    <x v="124"/>
    <x v="0"/>
    <x v="6"/>
  </r>
  <r>
    <x v="7"/>
    <m/>
    <m/>
    <m/>
    <m/>
    <m/>
    <x v="124"/>
    <x v="0"/>
    <x v="6"/>
  </r>
  <r>
    <x v="8"/>
    <n v="324000"/>
    <n v="54000"/>
    <n v="216000"/>
    <m/>
    <m/>
    <x v="124"/>
    <x v="0"/>
    <x v="6"/>
  </r>
  <r>
    <x v="9"/>
    <n v="955000"/>
    <n v="427500"/>
    <n v="486000"/>
    <n v="108000"/>
    <m/>
    <x v="124"/>
    <x v="0"/>
    <x v="6"/>
  </r>
  <r>
    <x v="10"/>
    <m/>
    <m/>
    <m/>
    <m/>
    <m/>
    <x v="124"/>
    <x v="0"/>
    <x v="6"/>
  </r>
  <r>
    <x v="11"/>
    <m/>
    <m/>
    <m/>
    <m/>
    <m/>
    <x v="124"/>
    <x v="0"/>
    <x v="6"/>
  </r>
  <r>
    <x v="12"/>
    <m/>
    <m/>
    <m/>
    <m/>
    <m/>
    <x v="124"/>
    <x v="0"/>
    <x v="6"/>
  </r>
  <r>
    <x v="13"/>
    <m/>
    <m/>
    <m/>
    <m/>
    <m/>
    <x v="124"/>
    <x v="0"/>
    <x v="6"/>
  </r>
  <r>
    <x v="0"/>
    <m/>
    <m/>
    <m/>
    <m/>
    <m/>
    <x v="125"/>
    <x v="0"/>
    <x v="6"/>
  </r>
  <r>
    <x v="2"/>
    <n v="320000"/>
    <n v="293000"/>
    <n v="261000"/>
    <n v="54000"/>
    <m/>
    <x v="125"/>
    <x v="0"/>
    <x v="6"/>
  </r>
  <r>
    <x v="3"/>
    <m/>
    <m/>
    <m/>
    <n v="270000"/>
    <m/>
    <x v="125"/>
    <x v="0"/>
    <x v="6"/>
  </r>
  <r>
    <x v="4"/>
    <m/>
    <m/>
    <m/>
    <n v="50000"/>
    <m/>
    <x v="125"/>
    <x v="0"/>
    <x v="6"/>
  </r>
  <r>
    <x v="5"/>
    <n v="54000"/>
    <n v="247500"/>
    <m/>
    <n v="50000"/>
    <m/>
    <x v="125"/>
    <x v="0"/>
    <x v="6"/>
  </r>
  <r>
    <x v="6"/>
    <m/>
    <m/>
    <m/>
    <m/>
    <m/>
    <x v="125"/>
    <x v="0"/>
    <x v="6"/>
  </r>
  <r>
    <x v="7"/>
    <m/>
    <m/>
    <m/>
    <m/>
    <m/>
    <x v="125"/>
    <x v="0"/>
    <x v="6"/>
  </r>
  <r>
    <x v="8"/>
    <n v="585000"/>
    <m/>
    <n v="153000"/>
    <m/>
    <m/>
    <x v="125"/>
    <x v="0"/>
    <x v="6"/>
  </r>
  <r>
    <x v="9"/>
    <n v="423000"/>
    <n v="311000"/>
    <n v="162000"/>
    <n v="54000"/>
    <m/>
    <x v="125"/>
    <x v="0"/>
    <x v="6"/>
  </r>
  <r>
    <x v="10"/>
    <m/>
    <m/>
    <m/>
    <m/>
    <m/>
    <x v="125"/>
    <x v="0"/>
    <x v="6"/>
  </r>
  <r>
    <x v="11"/>
    <m/>
    <m/>
    <m/>
    <m/>
    <m/>
    <x v="125"/>
    <x v="0"/>
    <x v="6"/>
  </r>
  <r>
    <x v="12"/>
    <m/>
    <m/>
    <m/>
    <m/>
    <m/>
    <x v="125"/>
    <x v="0"/>
    <x v="6"/>
  </r>
  <r>
    <x v="13"/>
    <m/>
    <m/>
    <m/>
    <m/>
    <m/>
    <x v="125"/>
    <x v="0"/>
    <x v="6"/>
  </r>
  <r>
    <x v="0"/>
    <m/>
    <m/>
    <m/>
    <m/>
    <m/>
    <x v="126"/>
    <x v="0"/>
    <x v="6"/>
  </r>
  <r>
    <x v="2"/>
    <n v="428000"/>
    <n v="362000"/>
    <n v="270000"/>
    <n v="54000"/>
    <m/>
    <x v="126"/>
    <x v="0"/>
    <x v="6"/>
  </r>
  <r>
    <x v="3"/>
    <m/>
    <m/>
    <m/>
    <n v="162000"/>
    <m/>
    <x v="126"/>
    <x v="0"/>
    <x v="6"/>
  </r>
  <r>
    <x v="4"/>
    <m/>
    <m/>
    <m/>
    <m/>
    <m/>
    <x v="126"/>
    <x v="0"/>
    <x v="6"/>
  </r>
  <r>
    <x v="5"/>
    <m/>
    <n v="265500"/>
    <m/>
    <m/>
    <m/>
    <x v="126"/>
    <x v="0"/>
    <x v="6"/>
  </r>
  <r>
    <x v="6"/>
    <n v="54000"/>
    <m/>
    <m/>
    <m/>
    <m/>
    <x v="126"/>
    <x v="0"/>
    <x v="6"/>
  </r>
  <r>
    <x v="7"/>
    <m/>
    <m/>
    <m/>
    <m/>
    <m/>
    <x v="126"/>
    <x v="0"/>
    <x v="6"/>
  </r>
  <r>
    <x v="8"/>
    <n v="482000"/>
    <m/>
    <n v="378000"/>
    <m/>
    <m/>
    <x v="126"/>
    <x v="0"/>
    <x v="6"/>
  </r>
  <r>
    <x v="9"/>
    <n v="324000"/>
    <n v="370000"/>
    <n v="209000"/>
    <n v="54000"/>
    <m/>
    <x v="126"/>
    <x v="0"/>
    <x v="6"/>
  </r>
  <r>
    <x v="10"/>
    <m/>
    <m/>
    <m/>
    <m/>
    <m/>
    <x v="126"/>
    <x v="0"/>
    <x v="6"/>
  </r>
  <r>
    <x v="11"/>
    <m/>
    <m/>
    <m/>
    <m/>
    <m/>
    <x v="126"/>
    <x v="0"/>
    <x v="6"/>
  </r>
  <r>
    <x v="12"/>
    <m/>
    <m/>
    <m/>
    <m/>
    <m/>
    <x v="126"/>
    <x v="0"/>
    <x v="6"/>
  </r>
  <r>
    <x v="13"/>
    <m/>
    <m/>
    <m/>
    <m/>
    <m/>
    <x v="126"/>
    <x v="0"/>
    <x v="6"/>
  </r>
  <r>
    <x v="0"/>
    <m/>
    <m/>
    <m/>
    <m/>
    <m/>
    <x v="127"/>
    <x v="0"/>
    <x v="6"/>
  </r>
  <r>
    <x v="2"/>
    <n v="735500"/>
    <n v="162000"/>
    <n v="324000"/>
    <n v="162000"/>
    <m/>
    <x v="127"/>
    <x v="0"/>
    <x v="6"/>
  </r>
  <r>
    <x v="3"/>
    <m/>
    <m/>
    <m/>
    <n v="270000"/>
    <m/>
    <x v="127"/>
    <x v="0"/>
    <x v="6"/>
  </r>
  <r>
    <x v="4"/>
    <m/>
    <m/>
    <m/>
    <m/>
    <m/>
    <x v="127"/>
    <x v="0"/>
    <x v="6"/>
  </r>
  <r>
    <x v="5"/>
    <m/>
    <n v="311000"/>
    <m/>
    <n v="50000"/>
    <m/>
    <x v="127"/>
    <x v="0"/>
    <x v="6"/>
  </r>
  <r>
    <x v="6"/>
    <m/>
    <m/>
    <m/>
    <m/>
    <m/>
    <x v="127"/>
    <x v="0"/>
    <x v="6"/>
  </r>
  <r>
    <x v="7"/>
    <m/>
    <m/>
    <m/>
    <m/>
    <m/>
    <x v="127"/>
    <x v="0"/>
    <x v="6"/>
  </r>
  <r>
    <x v="8"/>
    <n v="377000"/>
    <m/>
    <n v="162000"/>
    <m/>
    <m/>
    <x v="127"/>
    <x v="0"/>
    <x v="6"/>
  </r>
  <r>
    <x v="9"/>
    <n v="486000"/>
    <n v="316000"/>
    <n v="378000"/>
    <n v="108000"/>
    <m/>
    <x v="127"/>
    <x v="0"/>
    <x v="6"/>
  </r>
  <r>
    <x v="10"/>
    <m/>
    <m/>
    <m/>
    <m/>
    <m/>
    <x v="127"/>
    <x v="0"/>
    <x v="6"/>
  </r>
  <r>
    <x v="11"/>
    <m/>
    <m/>
    <m/>
    <m/>
    <m/>
    <x v="127"/>
    <x v="0"/>
    <x v="6"/>
  </r>
  <r>
    <x v="12"/>
    <m/>
    <m/>
    <m/>
    <m/>
    <m/>
    <x v="127"/>
    <x v="0"/>
    <x v="6"/>
  </r>
  <r>
    <x v="13"/>
    <m/>
    <m/>
    <m/>
    <m/>
    <m/>
    <x v="127"/>
    <x v="0"/>
    <x v="6"/>
  </r>
  <r>
    <x v="0"/>
    <m/>
    <m/>
    <m/>
    <m/>
    <m/>
    <x v="128"/>
    <x v="0"/>
    <x v="6"/>
  </r>
  <r>
    <x v="2"/>
    <n v="702000"/>
    <n v="99000"/>
    <n v="376000"/>
    <n v="108000"/>
    <m/>
    <x v="128"/>
    <x v="0"/>
    <x v="6"/>
  </r>
  <r>
    <x v="3"/>
    <m/>
    <m/>
    <m/>
    <n v="432000"/>
    <m/>
    <x v="128"/>
    <x v="0"/>
    <x v="6"/>
  </r>
  <r>
    <x v="4"/>
    <m/>
    <n v="108000"/>
    <m/>
    <n v="162000"/>
    <m/>
    <x v="128"/>
    <x v="0"/>
    <x v="6"/>
  </r>
  <r>
    <x v="5"/>
    <m/>
    <n v="99000"/>
    <m/>
    <n v="95000"/>
    <m/>
    <x v="128"/>
    <x v="0"/>
    <x v="6"/>
  </r>
  <r>
    <x v="6"/>
    <m/>
    <m/>
    <m/>
    <m/>
    <m/>
    <x v="128"/>
    <x v="0"/>
    <x v="6"/>
  </r>
  <r>
    <x v="7"/>
    <m/>
    <m/>
    <m/>
    <m/>
    <m/>
    <x v="128"/>
    <x v="0"/>
    <x v="6"/>
  </r>
  <r>
    <x v="8"/>
    <n v="216000"/>
    <m/>
    <m/>
    <m/>
    <m/>
    <x v="128"/>
    <x v="0"/>
    <x v="6"/>
  </r>
  <r>
    <x v="9"/>
    <n v="799000"/>
    <n v="54000"/>
    <n v="477000"/>
    <n v="153000"/>
    <m/>
    <x v="128"/>
    <x v="0"/>
    <x v="6"/>
  </r>
  <r>
    <x v="10"/>
    <m/>
    <m/>
    <m/>
    <m/>
    <m/>
    <x v="128"/>
    <x v="0"/>
    <x v="6"/>
  </r>
  <r>
    <x v="11"/>
    <m/>
    <n v="108000"/>
    <m/>
    <m/>
    <m/>
    <x v="128"/>
    <x v="0"/>
    <x v="6"/>
  </r>
  <r>
    <x v="12"/>
    <m/>
    <m/>
    <m/>
    <m/>
    <m/>
    <x v="128"/>
    <x v="0"/>
    <x v="6"/>
  </r>
  <r>
    <x v="13"/>
    <m/>
    <m/>
    <m/>
    <m/>
    <m/>
    <x v="128"/>
    <x v="0"/>
    <x v="6"/>
  </r>
  <r>
    <x v="0"/>
    <m/>
    <m/>
    <m/>
    <m/>
    <m/>
    <x v="129"/>
    <x v="0"/>
    <x v="6"/>
  </r>
  <r>
    <x v="2"/>
    <n v="689000"/>
    <n v="54000"/>
    <n v="261000"/>
    <n v="108000"/>
    <m/>
    <x v="129"/>
    <x v="0"/>
    <x v="6"/>
  </r>
  <r>
    <x v="3"/>
    <m/>
    <m/>
    <m/>
    <n v="270000"/>
    <m/>
    <x v="129"/>
    <x v="0"/>
    <x v="6"/>
  </r>
  <r>
    <x v="4"/>
    <n v="414000"/>
    <n v="108000"/>
    <m/>
    <n v="108000"/>
    <m/>
    <x v="129"/>
    <x v="0"/>
    <x v="6"/>
  </r>
  <r>
    <x v="5"/>
    <m/>
    <n v="162000"/>
    <m/>
    <n v="108000"/>
    <m/>
    <x v="129"/>
    <x v="0"/>
    <x v="6"/>
  </r>
  <r>
    <x v="6"/>
    <m/>
    <n v="108000"/>
    <m/>
    <m/>
    <m/>
    <x v="129"/>
    <x v="0"/>
    <x v="6"/>
  </r>
  <r>
    <x v="7"/>
    <m/>
    <m/>
    <m/>
    <m/>
    <m/>
    <x v="129"/>
    <x v="0"/>
    <x v="6"/>
  </r>
  <r>
    <x v="8"/>
    <m/>
    <n v="432000"/>
    <m/>
    <m/>
    <m/>
    <x v="129"/>
    <x v="0"/>
    <x v="6"/>
  </r>
  <r>
    <x v="9"/>
    <n v="572500"/>
    <n v="203000"/>
    <n v="486000"/>
    <n v="54000"/>
    <m/>
    <x v="129"/>
    <x v="0"/>
    <x v="6"/>
  </r>
  <r>
    <x v="10"/>
    <n v="108000"/>
    <m/>
    <n v="54000"/>
    <m/>
    <m/>
    <x v="129"/>
    <x v="0"/>
    <x v="6"/>
  </r>
  <r>
    <x v="11"/>
    <m/>
    <n v="104000"/>
    <m/>
    <m/>
    <m/>
    <x v="129"/>
    <x v="0"/>
    <x v="6"/>
  </r>
  <r>
    <x v="12"/>
    <m/>
    <m/>
    <m/>
    <m/>
    <m/>
    <x v="129"/>
    <x v="0"/>
    <x v="6"/>
  </r>
  <r>
    <x v="13"/>
    <m/>
    <m/>
    <m/>
    <m/>
    <m/>
    <x v="129"/>
    <x v="0"/>
    <x v="6"/>
  </r>
  <r>
    <x v="0"/>
    <m/>
    <m/>
    <m/>
    <m/>
    <m/>
    <x v="130"/>
    <x v="0"/>
    <x v="6"/>
  </r>
  <r>
    <x v="2"/>
    <n v="54000"/>
    <n v="270000"/>
    <n v="209000"/>
    <n v="162000"/>
    <m/>
    <x v="130"/>
    <x v="0"/>
    <x v="6"/>
  </r>
  <r>
    <x v="3"/>
    <n v="478000"/>
    <m/>
    <m/>
    <n v="324000"/>
    <n v="150000"/>
    <x v="130"/>
    <x v="0"/>
    <x v="6"/>
  </r>
  <r>
    <x v="4"/>
    <n v="162000"/>
    <n v="266000"/>
    <n v="216000"/>
    <n v="216000"/>
    <n v="270000"/>
    <x v="130"/>
    <x v="0"/>
    <x v="6"/>
  </r>
  <r>
    <x v="5"/>
    <m/>
    <n v="45000"/>
    <m/>
    <n v="378000"/>
    <m/>
    <x v="130"/>
    <x v="0"/>
    <x v="6"/>
  </r>
  <r>
    <x v="6"/>
    <m/>
    <n v="103000"/>
    <n v="54000"/>
    <m/>
    <m/>
    <x v="130"/>
    <x v="0"/>
    <x v="6"/>
  </r>
  <r>
    <x v="7"/>
    <m/>
    <m/>
    <m/>
    <m/>
    <m/>
    <x v="130"/>
    <x v="0"/>
    <x v="6"/>
  </r>
  <r>
    <x v="8"/>
    <m/>
    <n v="554000"/>
    <m/>
    <m/>
    <m/>
    <x v="130"/>
    <x v="0"/>
    <x v="6"/>
  </r>
  <r>
    <x v="9"/>
    <n v="99000"/>
    <m/>
    <n v="432000"/>
    <n v="108000"/>
    <m/>
    <x v="130"/>
    <x v="0"/>
    <x v="6"/>
  </r>
  <r>
    <x v="10"/>
    <n v="428000"/>
    <m/>
    <n v="108000"/>
    <m/>
    <m/>
    <x v="130"/>
    <x v="0"/>
    <x v="6"/>
  </r>
  <r>
    <x v="11"/>
    <m/>
    <n v="54000"/>
    <m/>
    <m/>
    <m/>
    <x v="130"/>
    <x v="0"/>
    <x v="6"/>
  </r>
  <r>
    <x v="12"/>
    <m/>
    <m/>
    <m/>
    <m/>
    <m/>
    <x v="130"/>
    <x v="0"/>
    <x v="6"/>
  </r>
  <r>
    <x v="13"/>
    <m/>
    <m/>
    <m/>
    <m/>
    <m/>
    <x v="130"/>
    <x v="0"/>
    <x v="6"/>
  </r>
  <r>
    <x v="0"/>
    <m/>
    <m/>
    <m/>
    <m/>
    <m/>
    <x v="131"/>
    <x v="0"/>
    <x v="6"/>
  </r>
  <r>
    <x v="2"/>
    <n v="162000"/>
    <n v="378000"/>
    <m/>
    <n v="54000"/>
    <m/>
    <x v="131"/>
    <x v="0"/>
    <x v="6"/>
  </r>
  <r>
    <x v="3"/>
    <n v="486000"/>
    <m/>
    <n v="324000"/>
    <n v="320000"/>
    <n v="633000"/>
    <x v="131"/>
    <x v="0"/>
    <x v="6"/>
  </r>
  <r>
    <x v="4"/>
    <n v="270000"/>
    <n v="216000"/>
    <n v="54000"/>
    <n v="162000"/>
    <m/>
    <x v="131"/>
    <x v="0"/>
    <x v="6"/>
  </r>
  <r>
    <x v="5"/>
    <m/>
    <m/>
    <m/>
    <n v="162000"/>
    <m/>
    <x v="131"/>
    <x v="0"/>
    <x v="6"/>
  </r>
  <r>
    <x v="6"/>
    <m/>
    <n v="54000"/>
    <m/>
    <m/>
    <m/>
    <x v="131"/>
    <x v="0"/>
    <x v="6"/>
  </r>
  <r>
    <x v="7"/>
    <m/>
    <m/>
    <m/>
    <m/>
    <m/>
    <x v="131"/>
    <x v="0"/>
    <x v="6"/>
  </r>
  <r>
    <x v="8"/>
    <m/>
    <m/>
    <m/>
    <m/>
    <m/>
    <x v="131"/>
    <x v="0"/>
    <x v="6"/>
  </r>
  <r>
    <x v="9"/>
    <n v="54000"/>
    <n v="211500"/>
    <n v="108000"/>
    <n v="162000"/>
    <m/>
    <x v="131"/>
    <x v="0"/>
    <x v="6"/>
  </r>
  <r>
    <x v="10"/>
    <n v="216000"/>
    <m/>
    <n v="212000"/>
    <m/>
    <m/>
    <x v="131"/>
    <x v="0"/>
    <x v="6"/>
  </r>
  <r>
    <x v="11"/>
    <m/>
    <n v="104000"/>
    <m/>
    <m/>
    <m/>
    <x v="131"/>
    <x v="0"/>
    <x v="6"/>
  </r>
  <r>
    <x v="12"/>
    <m/>
    <m/>
    <m/>
    <m/>
    <m/>
    <x v="131"/>
    <x v="0"/>
    <x v="6"/>
  </r>
  <r>
    <x v="13"/>
    <m/>
    <n v="216000"/>
    <m/>
    <n v="162000"/>
    <m/>
    <x v="131"/>
    <x v="0"/>
    <x v="6"/>
  </r>
  <r>
    <x v="0"/>
    <m/>
    <m/>
    <m/>
    <m/>
    <m/>
    <x v="132"/>
    <x v="0"/>
    <x v="6"/>
  </r>
  <r>
    <x v="2"/>
    <n v="260000"/>
    <n v="215500"/>
    <m/>
    <m/>
    <m/>
    <x v="132"/>
    <x v="0"/>
    <x v="6"/>
  </r>
  <r>
    <x v="3"/>
    <n v="428000"/>
    <m/>
    <n v="432000"/>
    <n v="428000"/>
    <n v="162000"/>
    <x v="132"/>
    <x v="0"/>
    <x v="6"/>
  </r>
  <r>
    <x v="4"/>
    <n v="161500"/>
    <n v="216000"/>
    <n v="108000"/>
    <n v="158000"/>
    <m/>
    <x v="132"/>
    <x v="0"/>
    <x v="6"/>
  </r>
  <r>
    <x v="5"/>
    <m/>
    <m/>
    <m/>
    <n v="216000"/>
    <m/>
    <x v="132"/>
    <x v="0"/>
    <x v="6"/>
  </r>
  <r>
    <x v="6"/>
    <m/>
    <m/>
    <m/>
    <m/>
    <m/>
    <x v="132"/>
    <x v="0"/>
    <x v="6"/>
  </r>
  <r>
    <x v="7"/>
    <m/>
    <m/>
    <m/>
    <m/>
    <m/>
    <x v="132"/>
    <x v="0"/>
    <x v="6"/>
  </r>
  <r>
    <x v="8"/>
    <m/>
    <m/>
    <m/>
    <m/>
    <m/>
    <x v="132"/>
    <x v="0"/>
    <x v="6"/>
  </r>
  <r>
    <x v="9"/>
    <n v="216000"/>
    <n v="468000"/>
    <m/>
    <m/>
    <m/>
    <x v="132"/>
    <x v="0"/>
    <x v="6"/>
  </r>
  <r>
    <x v="10"/>
    <n v="207000"/>
    <m/>
    <n v="630000"/>
    <m/>
    <m/>
    <x v="132"/>
    <x v="0"/>
    <x v="6"/>
  </r>
  <r>
    <x v="11"/>
    <m/>
    <m/>
    <m/>
    <m/>
    <m/>
    <x v="132"/>
    <x v="0"/>
    <x v="6"/>
  </r>
  <r>
    <x v="12"/>
    <m/>
    <m/>
    <m/>
    <m/>
    <m/>
    <x v="132"/>
    <x v="0"/>
    <x v="6"/>
  </r>
  <r>
    <x v="13"/>
    <m/>
    <n v="216000"/>
    <m/>
    <n v="215000"/>
    <m/>
    <x v="132"/>
    <x v="0"/>
    <x v="6"/>
  </r>
  <r>
    <x v="0"/>
    <m/>
    <m/>
    <m/>
    <m/>
    <m/>
    <x v="133"/>
    <x v="0"/>
    <x v="6"/>
  </r>
  <r>
    <x v="2"/>
    <m/>
    <n v="252000"/>
    <m/>
    <m/>
    <m/>
    <x v="133"/>
    <x v="0"/>
    <x v="6"/>
  </r>
  <r>
    <x v="3"/>
    <n v="1116000"/>
    <m/>
    <n v="54000"/>
    <n v="54000"/>
    <n v="54000"/>
    <x v="133"/>
    <x v="0"/>
    <x v="6"/>
  </r>
  <r>
    <x v="4"/>
    <n v="54000"/>
    <n v="304000"/>
    <m/>
    <m/>
    <n v="47000"/>
    <x v="133"/>
    <x v="0"/>
    <x v="6"/>
  </r>
  <r>
    <x v="5"/>
    <m/>
    <m/>
    <m/>
    <n v="378000"/>
    <m/>
    <x v="133"/>
    <x v="0"/>
    <x v="6"/>
  </r>
  <r>
    <x v="6"/>
    <m/>
    <n v="54000"/>
    <m/>
    <m/>
    <m/>
    <x v="133"/>
    <x v="0"/>
    <x v="6"/>
  </r>
  <r>
    <x v="7"/>
    <m/>
    <m/>
    <m/>
    <m/>
    <m/>
    <x v="133"/>
    <x v="0"/>
    <x v="6"/>
  </r>
  <r>
    <x v="8"/>
    <m/>
    <m/>
    <m/>
    <m/>
    <m/>
    <x v="133"/>
    <x v="0"/>
    <x v="6"/>
  </r>
  <r>
    <x v="9"/>
    <m/>
    <n v="428000"/>
    <n v="162000"/>
    <n v="378000"/>
    <m/>
    <x v="133"/>
    <x v="0"/>
    <x v="6"/>
  </r>
  <r>
    <x v="10"/>
    <n v="427500"/>
    <m/>
    <n v="486000"/>
    <m/>
    <m/>
    <x v="133"/>
    <x v="0"/>
    <x v="6"/>
  </r>
  <r>
    <x v="11"/>
    <m/>
    <n v="54000"/>
    <m/>
    <m/>
    <m/>
    <x v="133"/>
    <x v="0"/>
    <x v="6"/>
  </r>
  <r>
    <x v="12"/>
    <m/>
    <m/>
    <m/>
    <m/>
    <m/>
    <x v="133"/>
    <x v="0"/>
    <x v="6"/>
  </r>
  <r>
    <x v="13"/>
    <m/>
    <n v="324000"/>
    <m/>
    <n v="108000"/>
    <m/>
    <x v="133"/>
    <x v="0"/>
    <x v="6"/>
  </r>
  <r>
    <x v="0"/>
    <m/>
    <m/>
    <m/>
    <m/>
    <m/>
    <x v="134"/>
    <x v="0"/>
    <x v="6"/>
  </r>
  <r>
    <x v="2"/>
    <n v="54000"/>
    <n v="302000"/>
    <m/>
    <n v="54000"/>
    <m/>
    <x v="134"/>
    <x v="0"/>
    <x v="6"/>
  </r>
  <r>
    <x v="3"/>
    <n v="486000"/>
    <m/>
    <n v="145000"/>
    <n v="162000"/>
    <m/>
    <x v="134"/>
    <x v="0"/>
    <x v="6"/>
  </r>
  <r>
    <x v="4"/>
    <n v="162000"/>
    <n v="208000"/>
    <n v="50000"/>
    <n v="270000"/>
    <n v="90000"/>
    <x v="134"/>
    <x v="0"/>
    <x v="6"/>
  </r>
  <r>
    <x v="5"/>
    <m/>
    <m/>
    <m/>
    <n v="265500"/>
    <m/>
    <x v="134"/>
    <x v="0"/>
    <x v="6"/>
  </r>
  <r>
    <x v="6"/>
    <m/>
    <m/>
    <m/>
    <m/>
    <m/>
    <x v="134"/>
    <x v="0"/>
    <x v="6"/>
  </r>
  <r>
    <x v="7"/>
    <m/>
    <m/>
    <m/>
    <m/>
    <m/>
    <x v="134"/>
    <x v="0"/>
    <x v="6"/>
  </r>
  <r>
    <x v="8"/>
    <m/>
    <m/>
    <m/>
    <m/>
    <m/>
    <x v="134"/>
    <x v="0"/>
    <x v="6"/>
  </r>
  <r>
    <x v="9"/>
    <n v="423000"/>
    <n v="261000"/>
    <n v="422500"/>
    <n v="320000"/>
    <n v="378000"/>
    <x v="134"/>
    <x v="0"/>
    <x v="6"/>
  </r>
  <r>
    <x v="10"/>
    <n v="536000"/>
    <m/>
    <m/>
    <m/>
    <m/>
    <x v="134"/>
    <x v="0"/>
    <x v="6"/>
  </r>
  <r>
    <x v="11"/>
    <m/>
    <n v="54000"/>
    <m/>
    <m/>
    <m/>
    <x v="134"/>
    <x v="0"/>
    <x v="6"/>
  </r>
  <r>
    <x v="12"/>
    <m/>
    <m/>
    <m/>
    <m/>
    <m/>
    <x v="134"/>
    <x v="0"/>
    <x v="6"/>
  </r>
  <r>
    <x v="13"/>
    <m/>
    <n v="306000"/>
    <m/>
    <n v="216000"/>
    <m/>
    <x v="134"/>
    <x v="0"/>
    <x v="6"/>
  </r>
  <r>
    <x v="0"/>
    <m/>
    <m/>
    <m/>
    <m/>
    <m/>
    <x v="135"/>
    <x v="0"/>
    <x v="6"/>
  </r>
  <r>
    <x v="2"/>
    <m/>
    <n v="405500"/>
    <m/>
    <n v="54000"/>
    <m/>
    <x v="135"/>
    <x v="0"/>
    <x v="6"/>
  </r>
  <r>
    <x v="3"/>
    <n v="474500"/>
    <m/>
    <m/>
    <m/>
    <n v="50000"/>
    <x v="135"/>
    <x v="0"/>
    <x v="6"/>
  </r>
  <r>
    <x v="4"/>
    <m/>
    <n v="311000"/>
    <m/>
    <n v="212000"/>
    <m/>
    <x v="135"/>
    <x v="0"/>
    <x v="6"/>
  </r>
  <r>
    <x v="5"/>
    <m/>
    <m/>
    <n v="324000"/>
    <n v="162000"/>
    <m/>
    <x v="135"/>
    <x v="0"/>
    <x v="6"/>
  </r>
  <r>
    <x v="6"/>
    <n v="148500"/>
    <m/>
    <n v="374000"/>
    <m/>
    <m/>
    <x v="135"/>
    <x v="0"/>
    <x v="6"/>
  </r>
  <r>
    <x v="7"/>
    <m/>
    <m/>
    <m/>
    <m/>
    <m/>
    <x v="135"/>
    <x v="0"/>
    <x v="6"/>
  </r>
  <r>
    <x v="8"/>
    <n v="268000"/>
    <m/>
    <n v="432000"/>
    <m/>
    <m/>
    <x v="135"/>
    <x v="0"/>
    <x v="6"/>
  </r>
  <r>
    <x v="9"/>
    <m/>
    <n v="540000"/>
    <n v="45000"/>
    <n v="154000"/>
    <n v="377500"/>
    <x v="135"/>
    <x v="0"/>
    <x v="6"/>
  </r>
  <r>
    <x v="10"/>
    <n v="360000"/>
    <m/>
    <m/>
    <m/>
    <m/>
    <x v="135"/>
    <x v="0"/>
    <x v="6"/>
  </r>
  <r>
    <x v="11"/>
    <m/>
    <m/>
    <m/>
    <m/>
    <m/>
    <x v="135"/>
    <x v="0"/>
    <x v="6"/>
  </r>
  <r>
    <x v="12"/>
    <m/>
    <m/>
    <m/>
    <m/>
    <m/>
    <x v="135"/>
    <x v="0"/>
    <x v="6"/>
  </r>
  <r>
    <x v="13"/>
    <m/>
    <n v="373500"/>
    <m/>
    <n v="162000"/>
    <m/>
    <x v="135"/>
    <x v="0"/>
    <x v="6"/>
  </r>
  <r>
    <x v="0"/>
    <m/>
    <m/>
    <m/>
    <m/>
    <m/>
    <x v="136"/>
    <x v="0"/>
    <x v="6"/>
  </r>
  <r>
    <x v="2"/>
    <m/>
    <m/>
    <m/>
    <m/>
    <m/>
    <x v="136"/>
    <x v="0"/>
    <x v="6"/>
  </r>
  <r>
    <x v="3"/>
    <n v="432000"/>
    <m/>
    <m/>
    <m/>
    <n v="99500"/>
    <x v="136"/>
    <x v="0"/>
    <x v="6"/>
  </r>
  <r>
    <x v="4"/>
    <m/>
    <n v="320000"/>
    <m/>
    <n v="594000"/>
    <n v="45000"/>
    <x v="136"/>
    <x v="0"/>
    <x v="6"/>
  </r>
  <r>
    <x v="5"/>
    <m/>
    <m/>
    <n v="378000"/>
    <m/>
    <m/>
    <x v="136"/>
    <x v="0"/>
    <x v="6"/>
  </r>
  <r>
    <x v="6"/>
    <n v="162000"/>
    <m/>
    <m/>
    <m/>
    <m/>
    <x v="136"/>
    <x v="0"/>
    <x v="6"/>
  </r>
  <r>
    <x v="7"/>
    <m/>
    <m/>
    <m/>
    <m/>
    <m/>
    <x v="136"/>
    <x v="0"/>
    <x v="6"/>
  </r>
  <r>
    <x v="8"/>
    <n v="315000"/>
    <m/>
    <n v="324000"/>
    <m/>
    <m/>
    <x v="136"/>
    <x v="0"/>
    <x v="6"/>
  </r>
  <r>
    <x v="9"/>
    <n v="216000"/>
    <n v="481500"/>
    <n v="324000"/>
    <n v="108000"/>
    <n v="108000"/>
    <x v="136"/>
    <x v="0"/>
    <x v="6"/>
  </r>
  <r>
    <x v="10"/>
    <m/>
    <m/>
    <m/>
    <m/>
    <m/>
    <x v="136"/>
    <x v="0"/>
    <x v="6"/>
  </r>
  <r>
    <x v="11"/>
    <m/>
    <m/>
    <m/>
    <m/>
    <m/>
    <x v="136"/>
    <x v="0"/>
    <x v="6"/>
  </r>
  <r>
    <x v="12"/>
    <m/>
    <m/>
    <m/>
    <m/>
    <m/>
    <x v="136"/>
    <x v="0"/>
    <x v="6"/>
  </r>
  <r>
    <x v="13"/>
    <n v="157000"/>
    <n v="635000"/>
    <n v="324000"/>
    <m/>
    <m/>
    <x v="136"/>
    <x v="0"/>
    <x v="6"/>
  </r>
  <r>
    <x v="0"/>
    <m/>
    <m/>
    <m/>
    <m/>
    <m/>
    <x v="137"/>
    <x v="0"/>
    <x v="6"/>
  </r>
  <r>
    <x v="2"/>
    <n v="108000"/>
    <m/>
    <n v="378000"/>
    <m/>
    <m/>
    <x v="137"/>
    <x v="0"/>
    <x v="6"/>
  </r>
  <r>
    <x v="3"/>
    <n v="270000"/>
    <m/>
    <m/>
    <m/>
    <n v="50000"/>
    <x v="137"/>
    <x v="0"/>
    <x v="6"/>
  </r>
  <r>
    <x v="4"/>
    <m/>
    <n v="477500"/>
    <m/>
    <m/>
    <n v="47000"/>
    <x v="137"/>
    <x v="0"/>
    <x v="6"/>
  </r>
  <r>
    <x v="5"/>
    <m/>
    <m/>
    <n v="324000"/>
    <m/>
    <m/>
    <x v="137"/>
    <x v="0"/>
    <x v="6"/>
  </r>
  <r>
    <x v="6"/>
    <n v="162000"/>
    <m/>
    <n v="162000"/>
    <m/>
    <m/>
    <x v="137"/>
    <x v="0"/>
    <x v="6"/>
  </r>
  <r>
    <x v="7"/>
    <m/>
    <m/>
    <m/>
    <m/>
    <m/>
    <x v="137"/>
    <x v="0"/>
    <x v="6"/>
  </r>
  <r>
    <x v="8"/>
    <n v="153000"/>
    <m/>
    <n v="162000"/>
    <m/>
    <m/>
    <x v="137"/>
    <x v="0"/>
    <x v="6"/>
  </r>
  <r>
    <x v="9"/>
    <n v="360000"/>
    <n v="712000"/>
    <n v="216000"/>
    <m/>
    <n v="135000"/>
    <x v="137"/>
    <x v="0"/>
    <x v="6"/>
  </r>
  <r>
    <x v="10"/>
    <m/>
    <m/>
    <m/>
    <m/>
    <m/>
    <x v="137"/>
    <x v="0"/>
    <x v="6"/>
  </r>
  <r>
    <x v="11"/>
    <m/>
    <n v="689000"/>
    <m/>
    <n v="266000"/>
    <m/>
    <x v="137"/>
    <x v="0"/>
    <x v="6"/>
  </r>
  <r>
    <x v="12"/>
    <m/>
    <m/>
    <m/>
    <m/>
    <m/>
    <x v="137"/>
    <x v="0"/>
    <x v="6"/>
  </r>
  <r>
    <x v="13"/>
    <n v="261000"/>
    <n v="369000"/>
    <n v="270000"/>
    <m/>
    <m/>
    <x v="137"/>
    <x v="0"/>
    <x v="6"/>
  </r>
  <r>
    <x v="0"/>
    <m/>
    <m/>
    <m/>
    <m/>
    <m/>
    <x v="138"/>
    <x v="0"/>
    <x v="6"/>
  </r>
  <r>
    <x v="2"/>
    <n v="212000"/>
    <m/>
    <n v="748000"/>
    <m/>
    <m/>
    <x v="138"/>
    <x v="0"/>
    <x v="6"/>
  </r>
  <r>
    <x v="3"/>
    <n v="216000"/>
    <m/>
    <m/>
    <m/>
    <m/>
    <x v="138"/>
    <x v="0"/>
    <x v="6"/>
  </r>
  <r>
    <x v="4"/>
    <n v="216000"/>
    <n v="311000"/>
    <n v="54000"/>
    <m/>
    <m/>
    <x v="138"/>
    <x v="0"/>
    <x v="6"/>
  </r>
  <r>
    <x v="5"/>
    <m/>
    <m/>
    <n v="154000"/>
    <m/>
    <m/>
    <x v="138"/>
    <x v="0"/>
    <x v="6"/>
  </r>
  <r>
    <x v="6"/>
    <n v="54000"/>
    <m/>
    <m/>
    <m/>
    <m/>
    <x v="138"/>
    <x v="0"/>
    <x v="6"/>
  </r>
  <r>
    <x v="7"/>
    <m/>
    <m/>
    <m/>
    <m/>
    <m/>
    <x v="138"/>
    <x v="0"/>
    <x v="6"/>
  </r>
  <r>
    <x v="8"/>
    <n v="212000"/>
    <n v="315000"/>
    <m/>
    <m/>
    <m/>
    <x v="138"/>
    <x v="0"/>
    <x v="6"/>
  </r>
  <r>
    <x v="9"/>
    <n v="324000"/>
    <n v="633000"/>
    <m/>
    <m/>
    <m/>
    <x v="138"/>
    <x v="0"/>
    <x v="6"/>
  </r>
  <r>
    <x v="10"/>
    <m/>
    <m/>
    <m/>
    <m/>
    <m/>
    <x v="138"/>
    <x v="0"/>
    <x v="6"/>
  </r>
  <r>
    <x v="11"/>
    <m/>
    <n v="423000"/>
    <m/>
    <m/>
    <m/>
    <x v="138"/>
    <x v="0"/>
    <x v="6"/>
  </r>
  <r>
    <x v="12"/>
    <m/>
    <m/>
    <m/>
    <m/>
    <m/>
    <x v="138"/>
    <x v="0"/>
    <x v="6"/>
  </r>
  <r>
    <x v="13"/>
    <n v="108000"/>
    <m/>
    <n v="378000"/>
    <m/>
    <m/>
    <x v="138"/>
    <x v="0"/>
    <x v="6"/>
  </r>
  <r>
    <x v="0"/>
    <m/>
    <m/>
    <m/>
    <m/>
    <m/>
    <x v="139"/>
    <x v="0"/>
    <x v="6"/>
  </r>
  <r>
    <x v="2"/>
    <n v="54000"/>
    <m/>
    <n v="473000"/>
    <m/>
    <m/>
    <x v="139"/>
    <x v="0"/>
    <x v="6"/>
  </r>
  <r>
    <x v="3"/>
    <n v="162000"/>
    <m/>
    <m/>
    <m/>
    <m/>
    <x v="139"/>
    <x v="0"/>
    <x v="6"/>
  </r>
  <r>
    <x v="4"/>
    <n v="324000"/>
    <n v="108000"/>
    <n v="424000"/>
    <m/>
    <m/>
    <x v="139"/>
    <x v="0"/>
    <x v="6"/>
  </r>
  <r>
    <x v="5"/>
    <m/>
    <m/>
    <m/>
    <m/>
    <m/>
    <x v="139"/>
    <x v="0"/>
    <x v="6"/>
  </r>
  <r>
    <x v="6"/>
    <m/>
    <m/>
    <m/>
    <m/>
    <m/>
    <x v="139"/>
    <x v="0"/>
    <x v="6"/>
  </r>
  <r>
    <x v="7"/>
    <m/>
    <n v="184500"/>
    <m/>
    <m/>
    <m/>
    <x v="139"/>
    <x v="0"/>
    <x v="6"/>
  </r>
  <r>
    <x v="8"/>
    <n v="204500"/>
    <m/>
    <m/>
    <m/>
    <m/>
    <x v="139"/>
    <x v="0"/>
    <x v="6"/>
  </r>
  <r>
    <x v="9"/>
    <n v="212000"/>
    <n v="526500"/>
    <m/>
    <m/>
    <m/>
    <x v="139"/>
    <x v="0"/>
    <x v="6"/>
  </r>
  <r>
    <x v="10"/>
    <m/>
    <m/>
    <m/>
    <m/>
    <m/>
    <x v="139"/>
    <x v="0"/>
    <x v="6"/>
  </r>
  <r>
    <x v="11"/>
    <m/>
    <n v="486000"/>
    <m/>
    <m/>
    <m/>
    <x v="139"/>
    <x v="0"/>
    <x v="6"/>
  </r>
  <r>
    <x v="12"/>
    <m/>
    <m/>
    <m/>
    <m/>
    <m/>
    <x v="139"/>
    <x v="0"/>
    <x v="6"/>
  </r>
  <r>
    <x v="13"/>
    <n v="49500"/>
    <m/>
    <n v="378000"/>
    <m/>
    <m/>
    <x v="139"/>
    <x v="0"/>
    <x v="6"/>
  </r>
  <r>
    <x v="0"/>
    <m/>
    <m/>
    <m/>
    <m/>
    <m/>
    <x v="140"/>
    <x v="0"/>
    <x v="6"/>
  </r>
  <r>
    <x v="2"/>
    <n v="45000"/>
    <m/>
    <n v="532000"/>
    <m/>
    <m/>
    <x v="140"/>
    <x v="0"/>
    <x v="6"/>
  </r>
  <r>
    <x v="3"/>
    <n v="324000"/>
    <m/>
    <m/>
    <m/>
    <m/>
    <x v="140"/>
    <x v="0"/>
    <x v="6"/>
  </r>
  <r>
    <x v="4"/>
    <n v="45000"/>
    <m/>
    <n v="216000"/>
    <m/>
    <m/>
    <x v="140"/>
    <x v="0"/>
    <x v="6"/>
  </r>
  <r>
    <x v="5"/>
    <m/>
    <m/>
    <m/>
    <m/>
    <m/>
    <x v="140"/>
    <x v="0"/>
    <x v="6"/>
  </r>
  <r>
    <x v="6"/>
    <m/>
    <m/>
    <m/>
    <m/>
    <m/>
    <x v="140"/>
    <x v="0"/>
    <x v="6"/>
  </r>
  <r>
    <x v="7"/>
    <m/>
    <m/>
    <m/>
    <m/>
    <m/>
    <x v="140"/>
    <x v="0"/>
    <x v="6"/>
  </r>
  <r>
    <x v="8"/>
    <m/>
    <m/>
    <m/>
    <m/>
    <m/>
    <x v="140"/>
    <x v="0"/>
    <x v="6"/>
  </r>
  <r>
    <x v="9"/>
    <m/>
    <m/>
    <n v="208000"/>
    <m/>
    <m/>
    <x v="140"/>
    <x v="0"/>
    <x v="6"/>
  </r>
  <r>
    <x v="10"/>
    <m/>
    <m/>
    <m/>
    <m/>
    <m/>
    <x v="140"/>
    <x v="0"/>
    <x v="6"/>
  </r>
  <r>
    <x v="11"/>
    <m/>
    <m/>
    <m/>
    <m/>
    <m/>
    <x v="140"/>
    <x v="0"/>
    <x v="6"/>
  </r>
  <r>
    <x v="12"/>
    <m/>
    <m/>
    <m/>
    <m/>
    <m/>
    <x v="140"/>
    <x v="0"/>
    <x v="6"/>
  </r>
  <r>
    <x v="13"/>
    <m/>
    <m/>
    <m/>
    <m/>
    <m/>
    <x v="140"/>
    <x v="0"/>
    <x v="6"/>
  </r>
  <r>
    <x v="0"/>
    <m/>
    <m/>
    <m/>
    <m/>
    <m/>
    <x v="141"/>
    <x v="0"/>
    <x v="6"/>
  </r>
  <r>
    <x v="2"/>
    <n v="162000"/>
    <n v="47000"/>
    <n v="270000"/>
    <m/>
    <m/>
    <x v="141"/>
    <x v="0"/>
    <x v="6"/>
  </r>
  <r>
    <x v="3"/>
    <n v="162000"/>
    <m/>
    <n v="45000"/>
    <m/>
    <m/>
    <x v="141"/>
    <x v="0"/>
    <x v="6"/>
  </r>
  <r>
    <x v="4"/>
    <n v="153000"/>
    <m/>
    <m/>
    <n v="162000"/>
    <m/>
    <x v="141"/>
    <x v="0"/>
    <x v="6"/>
  </r>
  <r>
    <x v="5"/>
    <m/>
    <m/>
    <m/>
    <m/>
    <m/>
    <x v="141"/>
    <x v="0"/>
    <x v="6"/>
  </r>
  <r>
    <x v="6"/>
    <m/>
    <n v="50000"/>
    <m/>
    <m/>
    <m/>
    <x v="141"/>
    <x v="0"/>
    <x v="6"/>
  </r>
  <r>
    <x v="7"/>
    <m/>
    <m/>
    <m/>
    <m/>
    <m/>
    <x v="141"/>
    <x v="0"/>
    <x v="6"/>
  </r>
  <r>
    <x v="8"/>
    <n v="108000"/>
    <n v="360000"/>
    <n v="324000"/>
    <m/>
    <m/>
    <x v="141"/>
    <x v="0"/>
    <x v="6"/>
  </r>
  <r>
    <x v="9"/>
    <n v="216000"/>
    <n v="486000"/>
    <n v="216000"/>
    <m/>
    <m/>
    <x v="141"/>
    <x v="0"/>
    <x v="6"/>
  </r>
  <r>
    <x v="10"/>
    <n v="216000"/>
    <m/>
    <m/>
    <m/>
    <m/>
    <x v="141"/>
    <x v="0"/>
    <x v="6"/>
  </r>
  <r>
    <x v="11"/>
    <m/>
    <n v="324000"/>
    <m/>
    <n v="324000"/>
    <m/>
    <x v="141"/>
    <x v="0"/>
    <x v="6"/>
  </r>
  <r>
    <x v="12"/>
    <m/>
    <m/>
    <m/>
    <m/>
    <m/>
    <x v="141"/>
    <x v="0"/>
    <x v="6"/>
  </r>
  <r>
    <x v="13"/>
    <n v="104000"/>
    <m/>
    <m/>
    <m/>
    <m/>
    <x v="141"/>
    <x v="0"/>
    <x v="6"/>
  </r>
  <r>
    <x v="0"/>
    <m/>
    <m/>
    <m/>
    <m/>
    <m/>
    <x v="142"/>
    <x v="0"/>
    <x v="6"/>
  </r>
  <r>
    <x v="2"/>
    <n v="208000"/>
    <n v="45000"/>
    <n v="320000"/>
    <m/>
    <m/>
    <x v="142"/>
    <x v="0"/>
    <x v="6"/>
  </r>
  <r>
    <x v="3"/>
    <n v="162000"/>
    <m/>
    <m/>
    <n v="50000"/>
    <m/>
    <x v="142"/>
    <x v="0"/>
    <x v="6"/>
  </r>
  <r>
    <x v="4"/>
    <n v="45000"/>
    <n v="377500"/>
    <m/>
    <m/>
    <m/>
    <x v="142"/>
    <x v="0"/>
    <x v="6"/>
  </r>
  <r>
    <x v="5"/>
    <m/>
    <m/>
    <n v="47000"/>
    <m/>
    <m/>
    <x v="142"/>
    <x v="0"/>
    <x v="6"/>
  </r>
  <r>
    <x v="6"/>
    <n v="54000"/>
    <m/>
    <n v="54000"/>
    <m/>
    <m/>
    <x v="142"/>
    <x v="0"/>
    <x v="6"/>
  </r>
  <r>
    <x v="7"/>
    <m/>
    <n v="314000"/>
    <m/>
    <m/>
    <m/>
    <x v="142"/>
    <x v="0"/>
    <x v="6"/>
  </r>
  <r>
    <x v="8"/>
    <n v="54000"/>
    <n v="269000"/>
    <n v="378000"/>
    <m/>
    <m/>
    <x v="142"/>
    <x v="0"/>
    <x v="6"/>
  </r>
  <r>
    <x v="9"/>
    <n v="485500"/>
    <n v="216000"/>
    <n v="320000"/>
    <n v="50000"/>
    <m/>
    <x v="142"/>
    <x v="0"/>
    <x v="6"/>
  </r>
  <r>
    <x v="10"/>
    <m/>
    <m/>
    <m/>
    <m/>
    <m/>
    <x v="142"/>
    <x v="0"/>
    <x v="6"/>
  </r>
  <r>
    <x v="11"/>
    <m/>
    <n v="54000"/>
    <m/>
    <m/>
    <m/>
    <x v="142"/>
    <x v="0"/>
    <x v="6"/>
  </r>
  <r>
    <x v="12"/>
    <n v="158000"/>
    <m/>
    <n v="216000"/>
    <m/>
    <m/>
    <x v="142"/>
    <x v="0"/>
    <x v="6"/>
  </r>
  <r>
    <x v="13"/>
    <n v="154000"/>
    <m/>
    <n v="270000"/>
    <m/>
    <m/>
    <x v="142"/>
    <x v="0"/>
    <x v="6"/>
  </r>
  <r>
    <x v="0"/>
    <m/>
    <m/>
    <m/>
    <m/>
    <m/>
    <x v="143"/>
    <x v="0"/>
    <x v="6"/>
  </r>
  <r>
    <x v="2"/>
    <n v="270000"/>
    <m/>
    <m/>
    <m/>
    <m/>
    <x v="143"/>
    <x v="0"/>
    <x v="6"/>
  </r>
  <r>
    <x v="3"/>
    <n v="378000"/>
    <m/>
    <m/>
    <m/>
    <m/>
    <x v="143"/>
    <x v="0"/>
    <x v="6"/>
  </r>
  <r>
    <x v="4"/>
    <n v="378000"/>
    <m/>
    <m/>
    <m/>
    <m/>
    <x v="143"/>
    <x v="0"/>
    <x v="6"/>
  </r>
  <r>
    <x v="5"/>
    <m/>
    <m/>
    <m/>
    <m/>
    <m/>
    <x v="143"/>
    <x v="0"/>
    <x v="6"/>
  </r>
  <r>
    <x v="6"/>
    <m/>
    <m/>
    <m/>
    <m/>
    <m/>
    <x v="143"/>
    <x v="0"/>
    <x v="6"/>
  </r>
  <r>
    <x v="7"/>
    <m/>
    <n v="54000"/>
    <m/>
    <m/>
    <m/>
    <x v="143"/>
    <x v="0"/>
    <x v="6"/>
  </r>
  <r>
    <x v="8"/>
    <n v="162000"/>
    <n v="1183500"/>
    <m/>
    <m/>
    <m/>
    <x v="143"/>
    <x v="0"/>
    <x v="6"/>
  </r>
  <r>
    <x v="9"/>
    <n v="540000"/>
    <m/>
    <m/>
    <m/>
    <m/>
    <x v="143"/>
    <x v="0"/>
    <x v="6"/>
  </r>
  <r>
    <x v="10"/>
    <m/>
    <m/>
    <m/>
    <m/>
    <m/>
    <x v="143"/>
    <x v="0"/>
    <x v="6"/>
  </r>
  <r>
    <x v="11"/>
    <m/>
    <n v="50000"/>
    <m/>
    <m/>
    <m/>
    <x v="143"/>
    <x v="0"/>
    <x v="6"/>
  </r>
  <r>
    <x v="12"/>
    <n v="202500"/>
    <m/>
    <m/>
    <m/>
    <m/>
    <x v="143"/>
    <x v="0"/>
    <x v="6"/>
  </r>
  <r>
    <x v="13"/>
    <n v="260500"/>
    <m/>
    <m/>
    <m/>
    <m/>
    <x v="143"/>
    <x v="0"/>
    <x v="6"/>
  </r>
  <r>
    <x v="0"/>
    <m/>
    <m/>
    <m/>
    <m/>
    <m/>
    <x v="144"/>
    <x v="0"/>
    <x v="6"/>
  </r>
  <r>
    <x v="2"/>
    <n v="212000"/>
    <m/>
    <n v="162000"/>
    <m/>
    <m/>
    <x v="144"/>
    <x v="0"/>
    <x v="6"/>
  </r>
  <r>
    <x v="3"/>
    <n v="324000"/>
    <m/>
    <m/>
    <m/>
    <m/>
    <x v="144"/>
    <x v="0"/>
    <x v="6"/>
  </r>
  <r>
    <x v="4"/>
    <n v="216000"/>
    <n v="576000"/>
    <m/>
    <m/>
    <m/>
    <x v="144"/>
    <x v="0"/>
    <x v="6"/>
  </r>
  <r>
    <x v="5"/>
    <m/>
    <m/>
    <m/>
    <m/>
    <m/>
    <x v="144"/>
    <x v="0"/>
    <x v="6"/>
  </r>
  <r>
    <x v="6"/>
    <m/>
    <m/>
    <m/>
    <m/>
    <m/>
    <x v="144"/>
    <x v="0"/>
    <x v="6"/>
  </r>
  <r>
    <x v="7"/>
    <m/>
    <n v="481500"/>
    <m/>
    <m/>
    <m/>
    <x v="144"/>
    <x v="0"/>
    <x v="6"/>
  </r>
  <r>
    <x v="8"/>
    <n v="216000"/>
    <n v="54000"/>
    <n v="270000"/>
    <m/>
    <m/>
    <x v="144"/>
    <x v="0"/>
    <x v="6"/>
  </r>
  <r>
    <x v="9"/>
    <n v="270000"/>
    <n v="54000"/>
    <n v="162000"/>
    <m/>
    <m/>
    <x v="144"/>
    <x v="0"/>
    <x v="6"/>
  </r>
  <r>
    <x v="10"/>
    <m/>
    <m/>
    <m/>
    <m/>
    <m/>
    <x v="144"/>
    <x v="0"/>
    <x v="6"/>
  </r>
  <r>
    <x v="11"/>
    <m/>
    <m/>
    <m/>
    <n v="270000"/>
    <m/>
    <x v="144"/>
    <x v="0"/>
    <x v="6"/>
  </r>
  <r>
    <x v="12"/>
    <n v="45000"/>
    <m/>
    <n v="212000"/>
    <m/>
    <m/>
    <x v="144"/>
    <x v="0"/>
    <x v="6"/>
  </r>
  <r>
    <x v="13"/>
    <n v="108000"/>
    <m/>
    <n v="209000"/>
    <m/>
    <m/>
    <x v="144"/>
    <x v="0"/>
    <x v="6"/>
  </r>
  <r>
    <x v="0"/>
    <m/>
    <m/>
    <m/>
    <m/>
    <m/>
    <x v="145"/>
    <x v="0"/>
    <x v="6"/>
  </r>
  <r>
    <x v="2"/>
    <n v="647000"/>
    <m/>
    <m/>
    <m/>
    <m/>
    <x v="145"/>
    <x v="0"/>
    <x v="6"/>
  </r>
  <r>
    <x v="3"/>
    <m/>
    <m/>
    <m/>
    <m/>
    <m/>
    <x v="145"/>
    <x v="0"/>
    <x v="6"/>
  </r>
  <r>
    <x v="4"/>
    <n v="324000"/>
    <m/>
    <m/>
    <m/>
    <m/>
    <x v="145"/>
    <x v="0"/>
    <x v="6"/>
  </r>
  <r>
    <x v="5"/>
    <m/>
    <m/>
    <m/>
    <m/>
    <m/>
    <x v="145"/>
    <x v="0"/>
    <x v="6"/>
  </r>
  <r>
    <x v="6"/>
    <m/>
    <m/>
    <m/>
    <m/>
    <m/>
    <x v="145"/>
    <x v="0"/>
    <x v="6"/>
  </r>
  <r>
    <x v="7"/>
    <m/>
    <n v="54000"/>
    <m/>
    <m/>
    <m/>
    <x v="145"/>
    <x v="0"/>
    <x v="6"/>
  </r>
  <r>
    <x v="8"/>
    <n v="432000"/>
    <n v="774000"/>
    <m/>
    <n v="108000"/>
    <m/>
    <x v="145"/>
    <x v="0"/>
    <x v="6"/>
  </r>
  <r>
    <x v="9"/>
    <n v="527000"/>
    <m/>
    <m/>
    <m/>
    <m/>
    <x v="145"/>
    <x v="0"/>
    <x v="6"/>
  </r>
  <r>
    <x v="10"/>
    <m/>
    <m/>
    <m/>
    <m/>
    <m/>
    <x v="145"/>
    <x v="0"/>
    <x v="6"/>
  </r>
  <r>
    <x v="11"/>
    <m/>
    <m/>
    <m/>
    <m/>
    <m/>
    <x v="145"/>
    <x v="0"/>
    <x v="6"/>
  </r>
  <r>
    <x v="12"/>
    <n v="162000"/>
    <m/>
    <m/>
    <m/>
    <m/>
    <x v="145"/>
    <x v="0"/>
    <x v="6"/>
  </r>
  <r>
    <x v="13"/>
    <n v="261000"/>
    <m/>
    <m/>
    <n v="54000"/>
    <m/>
    <x v="145"/>
    <x v="0"/>
    <x v="6"/>
  </r>
  <r>
    <x v="0"/>
    <m/>
    <m/>
    <m/>
    <m/>
    <m/>
    <x v="146"/>
    <x v="0"/>
    <x v="6"/>
  </r>
  <r>
    <x v="2"/>
    <n v="1234500"/>
    <m/>
    <m/>
    <m/>
    <m/>
    <x v="146"/>
    <x v="0"/>
    <x v="6"/>
  </r>
  <r>
    <x v="3"/>
    <m/>
    <m/>
    <m/>
    <m/>
    <m/>
    <x v="146"/>
    <x v="0"/>
    <x v="6"/>
  </r>
  <r>
    <x v="4"/>
    <n v="54000"/>
    <m/>
    <m/>
    <m/>
    <m/>
    <x v="146"/>
    <x v="0"/>
    <x v="6"/>
  </r>
  <r>
    <x v="5"/>
    <m/>
    <m/>
    <m/>
    <m/>
    <m/>
    <x v="146"/>
    <x v="0"/>
    <x v="6"/>
  </r>
  <r>
    <x v="6"/>
    <m/>
    <m/>
    <m/>
    <m/>
    <m/>
    <x v="146"/>
    <x v="0"/>
    <x v="6"/>
  </r>
  <r>
    <x v="7"/>
    <m/>
    <n v="54000"/>
    <m/>
    <m/>
    <m/>
    <x v="146"/>
    <x v="0"/>
    <x v="6"/>
  </r>
  <r>
    <x v="8"/>
    <m/>
    <n v="270000"/>
    <m/>
    <n v="590000"/>
    <m/>
    <x v="146"/>
    <x v="0"/>
    <x v="6"/>
  </r>
  <r>
    <x v="9"/>
    <n v="1269500"/>
    <m/>
    <m/>
    <m/>
    <m/>
    <x v="146"/>
    <x v="0"/>
    <x v="6"/>
  </r>
  <r>
    <x v="10"/>
    <m/>
    <m/>
    <m/>
    <m/>
    <m/>
    <x v="146"/>
    <x v="0"/>
    <x v="6"/>
  </r>
  <r>
    <x v="11"/>
    <m/>
    <m/>
    <m/>
    <n v="478000"/>
    <m/>
    <x v="146"/>
    <x v="0"/>
    <x v="6"/>
  </r>
  <r>
    <x v="12"/>
    <n v="108000"/>
    <m/>
    <m/>
    <m/>
    <m/>
    <x v="146"/>
    <x v="0"/>
    <x v="6"/>
  </r>
  <r>
    <x v="13"/>
    <n v="378000"/>
    <m/>
    <m/>
    <m/>
    <m/>
    <x v="146"/>
    <x v="0"/>
    <x v="6"/>
  </r>
  <r>
    <x v="0"/>
    <m/>
    <m/>
    <m/>
    <m/>
    <m/>
    <x v="147"/>
    <x v="0"/>
    <x v="7"/>
  </r>
  <r>
    <x v="2"/>
    <n v="478000"/>
    <m/>
    <n v="54000"/>
    <m/>
    <m/>
    <x v="147"/>
    <x v="0"/>
    <x v="7"/>
  </r>
  <r>
    <x v="3"/>
    <m/>
    <m/>
    <m/>
    <m/>
    <m/>
    <x v="147"/>
    <x v="0"/>
    <x v="7"/>
  </r>
  <r>
    <x v="4"/>
    <m/>
    <n v="756000"/>
    <m/>
    <n v="90000"/>
    <m/>
    <x v="147"/>
    <x v="0"/>
    <x v="7"/>
  </r>
  <r>
    <x v="5"/>
    <m/>
    <m/>
    <m/>
    <m/>
    <m/>
    <x v="147"/>
    <x v="0"/>
    <x v="7"/>
  </r>
  <r>
    <x v="6"/>
    <n v="319500"/>
    <n v="158000"/>
    <m/>
    <m/>
    <m/>
    <x v="147"/>
    <x v="0"/>
    <x v="7"/>
  </r>
  <r>
    <x v="7"/>
    <m/>
    <m/>
    <m/>
    <m/>
    <m/>
    <x v="147"/>
    <x v="0"/>
    <x v="7"/>
  </r>
  <r>
    <x v="8"/>
    <n v="316000"/>
    <m/>
    <m/>
    <m/>
    <m/>
    <x v="147"/>
    <x v="0"/>
    <x v="7"/>
  </r>
  <r>
    <x v="9"/>
    <n v="527000"/>
    <m/>
    <n v="54000"/>
    <m/>
    <m/>
    <x v="147"/>
    <x v="0"/>
    <x v="7"/>
  </r>
  <r>
    <x v="10"/>
    <m/>
    <m/>
    <m/>
    <m/>
    <m/>
    <x v="147"/>
    <x v="0"/>
    <x v="7"/>
  </r>
  <r>
    <x v="11"/>
    <m/>
    <m/>
    <m/>
    <m/>
    <m/>
    <x v="147"/>
    <x v="0"/>
    <x v="7"/>
  </r>
  <r>
    <x v="12"/>
    <m/>
    <m/>
    <m/>
    <m/>
    <m/>
    <x v="147"/>
    <x v="0"/>
    <x v="7"/>
  </r>
  <r>
    <x v="13"/>
    <n v="539500"/>
    <m/>
    <n v="162000"/>
    <m/>
    <m/>
    <x v="147"/>
    <x v="0"/>
    <x v="7"/>
  </r>
  <r>
    <x v="0"/>
    <m/>
    <m/>
    <m/>
    <m/>
    <m/>
    <x v="148"/>
    <x v="0"/>
    <x v="7"/>
  </r>
  <r>
    <x v="2"/>
    <n v="796500"/>
    <m/>
    <n v="54000"/>
    <m/>
    <n v="524000"/>
    <x v="148"/>
    <x v="0"/>
    <x v="7"/>
  </r>
  <r>
    <x v="3"/>
    <m/>
    <m/>
    <m/>
    <m/>
    <m/>
    <x v="148"/>
    <x v="0"/>
    <x v="7"/>
  </r>
  <r>
    <x v="4"/>
    <m/>
    <m/>
    <m/>
    <n v="90000"/>
    <m/>
    <x v="148"/>
    <x v="0"/>
    <x v="7"/>
  </r>
  <r>
    <x v="5"/>
    <m/>
    <m/>
    <m/>
    <n v="802000"/>
    <m/>
    <x v="148"/>
    <x v="0"/>
    <x v="7"/>
  </r>
  <r>
    <x v="6"/>
    <n v="162000"/>
    <m/>
    <m/>
    <m/>
    <m/>
    <x v="148"/>
    <x v="0"/>
    <x v="7"/>
  </r>
  <r>
    <x v="7"/>
    <m/>
    <m/>
    <m/>
    <m/>
    <m/>
    <x v="148"/>
    <x v="0"/>
    <x v="7"/>
  </r>
  <r>
    <x v="8"/>
    <n v="315000"/>
    <m/>
    <m/>
    <m/>
    <m/>
    <x v="148"/>
    <x v="0"/>
    <x v="7"/>
  </r>
  <r>
    <x v="9"/>
    <n v="432000"/>
    <m/>
    <n v="216000"/>
    <m/>
    <m/>
    <x v="148"/>
    <x v="0"/>
    <x v="7"/>
  </r>
  <r>
    <x v="10"/>
    <m/>
    <m/>
    <m/>
    <m/>
    <m/>
    <x v="148"/>
    <x v="0"/>
    <x v="7"/>
  </r>
  <r>
    <x v="11"/>
    <m/>
    <m/>
    <m/>
    <m/>
    <m/>
    <x v="148"/>
    <x v="0"/>
    <x v="7"/>
  </r>
  <r>
    <x v="12"/>
    <m/>
    <m/>
    <m/>
    <m/>
    <m/>
    <x v="148"/>
    <x v="0"/>
    <x v="7"/>
  </r>
  <r>
    <x v="13"/>
    <n v="324000"/>
    <m/>
    <n v="108000"/>
    <m/>
    <m/>
    <x v="148"/>
    <x v="0"/>
    <x v="7"/>
  </r>
  <r>
    <x v="0"/>
    <n v="270000"/>
    <m/>
    <m/>
    <m/>
    <m/>
    <x v="149"/>
    <x v="0"/>
    <x v="7"/>
  </r>
  <r>
    <x v="2"/>
    <n v="432000"/>
    <m/>
    <n v="698000"/>
    <m/>
    <n v="536000"/>
    <x v="149"/>
    <x v="0"/>
    <x v="7"/>
  </r>
  <r>
    <x v="3"/>
    <m/>
    <m/>
    <m/>
    <m/>
    <m/>
    <x v="149"/>
    <x v="0"/>
    <x v="7"/>
  </r>
  <r>
    <x v="4"/>
    <m/>
    <n v="108000"/>
    <m/>
    <m/>
    <m/>
    <x v="149"/>
    <x v="0"/>
    <x v="7"/>
  </r>
  <r>
    <x v="5"/>
    <m/>
    <m/>
    <m/>
    <m/>
    <m/>
    <x v="149"/>
    <x v="0"/>
    <x v="7"/>
  </r>
  <r>
    <x v="6"/>
    <m/>
    <n v="90000"/>
    <m/>
    <m/>
    <m/>
    <x v="149"/>
    <x v="0"/>
    <x v="7"/>
  </r>
  <r>
    <x v="7"/>
    <m/>
    <m/>
    <m/>
    <m/>
    <m/>
    <x v="149"/>
    <x v="0"/>
    <x v="7"/>
  </r>
  <r>
    <x v="8"/>
    <n v="212000"/>
    <n v="423000"/>
    <m/>
    <n v="54000"/>
    <m/>
    <x v="149"/>
    <x v="0"/>
    <x v="7"/>
  </r>
  <r>
    <x v="9"/>
    <n v="270000"/>
    <m/>
    <m/>
    <m/>
    <m/>
    <x v="149"/>
    <x v="0"/>
    <x v="7"/>
  </r>
  <r>
    <x v="10"/>
    <m/>
    <m/>
    <m/>
    <m/>
    <m/>
    <x v="149"/>
    <x v="0"/>
    <x v="7"/>
  </r>
  <r>
    <x v="11"/>
    <m/>
    <m/>
    <m/>
    <n v="162000"/>
    <m/>
    <x v="149"/>
    <x v="0"/>
    <x v="7"/>
  </r>
  <r>
    <x v="12"/>
    <n v="49500"/>
    <m/>
    <m/>
    <m/>
    <m/>
    <x v="149"/>
    <x v="0"/>
    <x v="7"/>
  </r>
  <r>
    <x v="13"/>
    <n v="206500"/>
    <n v="477000"/>
    <m/>
    <n v="374000"/>
    <m/>
    <x v="149"/>
    <x v="0"/>
    <x v="7"/>
  </r>
  <r>
    <x v="0"/>
    <n v="270000"/>
    <m/>
    <m/>
    <m/>
    <m/>
    <x v="150"/>
    <x v="0"/>
    <x v="7"/>
  </r>
  <r>
    <x v="2"/>
    <n v="324000"/>
    <m/>
    <n v="378000"/>
    <m/>
    <n v="481500"/>
    <x v="150"/>
    <x v="0"/>
    <x v="7"/>
  </r>
  <r>
    <x v="3"/>
    <m/>
    <m/>
    <m/>
    <m/>
    <m/>
    <x v="150"/>
    <x v="0"/>
    <x v="7"/>
  </r>
  <r>
    <x v="4"/>
    <m/>
    <m/>
    <m/>
    <m/>
    <m/>
    <x v="150"/>
    <x v="0"/>
    <x v="7"/>
  </r>
  <r>
    <x v="5"/>
    <m/>
    <m/>
    <m/>
    <n v="108000"/>
    <m/>
    <x v="150"/>
    <x v="0"/>
    <x v="7"/>
  </r>
  <r>
    <x v="6"/>
    <n v="216000"/>
    <m/>
    <m/>
    <m/>
    <m/>
    <x v="150"/>
    <x v="0"/>
    <x v="7"/>
  </r>
  <r>
    <x v="7"/>
    <m/>
    <m/>
    <m/>
    <m/>
    <m/>
    <x v="150"/>
    <x v="0"/>
    <x v="7"/>
  </r>
  <r>
    <x v="8"/>
    <n v="324000"/>
    <m/>
    <m/>
    <n v="162000"/>
    <m/>
    <x v="150"/>
    <x v="0"/>
    <x v="7"/>
  </r>
  <r>
    <x v="9"/>
    <n v="324000"/>
    <n v="270000"/>
    <n v="324000"/>
    <m/>
    <m/>
    <x v="150"/>
    <x v="0"/>
    <x v="7"/>
  </r>
  <r>
    <x v="10"/>
    <m/>
    <m/>
    <m/>
    <m/>
    <m/>
    <x v="150"/>
    <x v="0"/>
    <x v="7"/>
  </r>
  <r>
    <x v="11"/>
    <m/>
    <m/>
    <m/>
    <m/>
    <m/>
    <x v="150"/>
    <x v="0"/>
    <x v="7"/>
  </r>
  <r>
    <x v="12"/>
    <m/>
    <m/>
    <m/>
    <m/>
    <m/>
    <x v="150"/>
    <x v="0"/>
    <x v="7"/>
  </r>
  <r>
    <x v="13"/>
    <m/>
    <n v="265000"/>
    <m/>
    <n v="432000"/>
    <m/>
    <x v="150"/>
    <x v="0"/>
    <x v="7"/>
  </r>
  <r>
    <x v="0"/>
    <n v="162000"/>
    <m/>
    <m/>
    <m/>
    <m/>
    <x v="151"/>
    <x v="0"/>
    <x v="7"/>
  </r>
  <r>
    <x v="1"/>
    <n v="312500"/>
    <m/>
    <m/>
    <m/>
    <m/>
    <x v="151"/>
    <x v="0"/>
    <x v="7"/>
  </r>
  <r>
    <x v="2"/>
    <n v="270000"/>
    <m/>
    <n v="477000"/>
    <m/>
    <n v="536000"/>
    <x v="151"/>
    <x v="0"/>
    <x v="7"/>
  </r>
  <r>
    <x v="3"/>
    <m/>
    <m/>
    <m/>
    <m/>
    <m/>
    <x v="151"/>
    <x v="0"/>
    <x v="7"/>
  </r>
  <r>
    <x v="4"/>
    <m/>
    <m/>
    <m/>
    <n v="45000"/>
    <m/>
    <x v="151"/>
    <x v="0"/>
    <x v="7"/>
  </r>
  <r>
    <x v="5"/>
    <m/>
    <m/>
    <m/>
    <n v="378000"/>
    <m/>
    <x v="151"/>
    <x v="0"/>
    <x v="7"/>
  </r>
  <r>
    <x v="6"/>
    <n v="54000"/>
    <m/>
    <m/>
    <m/>
    <m/>
    <x v="151"/>
    <x v="0"/>
    <x v="7"/>
  </r>
  <r>
    <x v="7"/>
    <m/>
    <m/>
    <m/>
    <m/>
    <m/>
    <x v="151"/>
    <x v="0"/>
    <x v="7"/>
  </r>
  <r>
    <x v="8"/>
    <n v="270000"/>
    <m/>
    <m/>
    <n v="54000"/>
    <m/>
    <x v="151"/>
    <x v="0"/>
    <x v="7"/>
  </r>
  <r>
    <x v="9"/>
    <n v="261000"/>
    <n v="524000"/>
    <n v="162000"/>
    <m/>
    <m/>
    <x v="151"/>
    <x v="0"/>
    <x v="7"/>
  </r>
  <r>
    <x v="10"/>
    <n v="162000"/>
    <m/>
    <m/>
    <m/>
    <m/>
    <x v="151"/>
    <x v="0"/>
    <x v="7"/>
  </r>
  <r>
    <x v="11"/>
    <m/>
    <m/>
    <m/>
    <m/>
    <m/>
    <x v="151"/>
    <x v="0"/>
    <x v="7"/>
  </r>
  <r>
    <x v="12"/>
    <m/>
    <m/>
    <m/>
    <m/>
    <m/>
    <x v="151"/>
    <x v="0"/>
    <x v="7"/>
  </r>
  <r>
    <x v="13"/>
    <m/>
    <n v="360000"/>
    <m/>
    <m/>
    <m/>
    <x v="151"/>
    <x v="0"/>
    <x v="7"/>
  </r>
  <r>
    <x v="0"/>
    <m/>
    <m/>
    <m/>
    <m/>
    <m/>
    <x v="152"/>
    <x v="0"/>
    <x v="7"/>
  </r>
  <r>
    <x v="1"/>
    <n v="256500"/>
    <m/>
    <m/>
    <m/>
    <m/>
    <x v="152"/>
    <x v="0"/>
    <x v="7"/>
  </r>
  <r>
    <x v="2"/>
    <n v="202500"/>
    <m/>
    <n v="432000"/>
    <m/>
    <n v="324000"/>
    <x v="152"/>
    <x v="0"/>
    <x v="7"/>
  </r>
  <r>
    <x v="3"/>
    <m/>
    <m/>
    <m/>
    <m/>
    <m/>
    <x v="152"/>
    <x v="0"/>
    <x v="7"/>
  </r>
  <r>
    <x v="4"/>
    <m/>
    <m/>
    <m/>
    <m/>
    <m/>
    <x v="152"/>
    <x v="0"/>
    <x v="7"/>
  </r>
  <r>
    <x v="5"/>
    <m/>
    <m/>
    <m/>
    <n v="162000"/>
    <m/>
    <x v="152"/>
    <x v="0"/>
    <x v="7"/>
  </r>
  <r>
    <x v="6"/>
    <n v="108000"/>
    <m/>
    <m/>
    <m/>
    <m/>
    <x v="152"/>
    <x v="0"/>
    <x v="7"/>
  </r>
  <r>
    <x v="7"/>
    <m/>
    <m/>
    <m/>
    <m/>
    <m/>
    <x v="152"/>
    <x v="0"/>
    <x v="7"/>
  </r>
  <r>
    <x v="8"/>
    <n v="315000"/>
    <m/>
    <m/>
    <m/>
    <m/>
    <x v="152"/>
    <x v="0"/>
    <x v="7"/>
  </r>
  <r>
    <x v="9"/>
    <n v="324000"/>
    <n v="913500"/>
    <n v="374000"/>
    <n v="216000"/>
    <m/>
    <x v="152"/>
    <x v="0"/>
    <x v="7"/>
  </r>
  <r>
    <x v="10"/>
    <n v="216000"/>
    <m/>
    <m/>
    <m/>
    <m/>
    <x v="152"/>
    <x v="0"/>
    <x v="7"/>
  </r>
  <r>
    <x v="11"/>
    <m/>
    <m/>
    <m/>
    <m/>
    <m/>
    <x v="152"/>
    <x v="0"/>
    <x v="7"/>
  </r>
  <r>
    <x v="12"/>
    <m/>
    <m/>
    <m/>
    <m/>
    <m/>
    <x v="152"/>
    <x v="0"/>
    <x v="7"/>
  </r>
  <r>
    <x v="13"/>
    <n v="162000"/>
    <m/>
    <m/>
    <m/>
    <m/>
    <x v="152"/>
    <x v="0"/>
    <x v="7"/>
  </r>
  <r>
    <x v="0"/>
    <m/>
    <m/>
    <m/>
    <m/>
    <m/>
    <x v="153"/>
    <x v="0"/>
    <x v="7"/>
  </r>
  <r>
    <x v="1"/>
    <n v="162000"/>
    <m/>
    <m/>
    <m/>
    <m/>
    <x v="153"/>
    <x v="0"/>
    <x v="7"/>
  </r>
  <r>
    <x v="2"/>
    <n v="211500"/>
    <m/>
    <n v="513000"/>
    <m/>
    <n v="198000"/>
    <x v="153"/>
    <x v="0"/>
    <x v="7"/>
  </r>
  <r>
    <x v="3"/>
    <m/>
    <m/>
    <m/>
    <m/>
    <m/>
    <x v="153"/>
    <x v="0"/>
    <x v="7"/>
  </r>
  <r>
    <x v="4"/>
    <m/>
    <m/>
    <m/>
    <m/>
    <m/>
    <x v="153"/>
    <x v="0"/>
    <x v="7"/>
  </r>
  <r>
    <x v="5"/>
    <m/>
    <n v="324000"/>
    <m/>
    <m/>
    <m/>
    <x v="153"/>
    <x v="0"/>
    <x v="7"/>
  </r>
  <r>
    <x v="6"/>
    <m/>
    <m/>
    <m/>
    <m/>
    <m/>
    <x v="153"/>
    <x v="0"/>
    <x v="7"/>
  </r>
  <r>
    <x v="7"/>
    <m/>
    <n v="459000"/>
    <m/>
    <m/>
    <m/>
    <x v="153"/>
    <x v="0"/>
    <x v="7"/>
  </r>
  <r>
    <x v="8"/>
    <n v="162000"/>
    <n v="414000"/>
    <n v="423000"/>
    <m/>
    <m/>
    <x v="153"/>
    <x v="0"/>
    <x v="7"/>
  </r>
  <r>
    <x v="9"/>
    <n v="266000"/>
    <n v="459000"/>
    <n v="262000"/>
    <m/>
    <m/>
    <x v="153"/>
    <x v="0"/>
    <x v="7"/>
  </r>
  <r>
    <x v="10"/>
    <n v="157500"/>
    <m/>
    <m/>
    <m/>
    <m/>
    <x v="153"/>
    <x v="0"/>
    <x v="7"/>
  </r>
  <r>
    <x v="11"/>
    <m/>
    <m/>
    <m/>
    <m/>
    <m/>
    <x v="153"/>
    <x v="0"/>
    <x v="7"/>
  </r>
  <r>
    <x v="12"/>
    <m/>
    <m/>
    <m/>
    <m/>
    <m/>
    <x v="153"/>
    <x v="0"/>
    <x v="7"/>
  </r>
  <r>
    <x v="13"/>
    <m/>
    <m/>
    <m/>
    <m/>
    <m/>
    <x v="153"/>
    <x v="0"/>
    <x v="7"/>
  </r>
  <r>
    <x v="0"/>
    <m/>
    <m/>
    <m/>
    <m/>
    <m/>
    <x v="154"/>
    <x v="0"/>
    <x v="7"/>
  </r>
  <r>
    <x v="1"/>
    <n v="162000"/>
    <n v="162000"/>
    <m/>
    <m/>
    <m/>
    <x v="154"/>
    <x v="0"/>
    <x v="7"/>
  </r>
  <r>
    <x v="2"/>
    <n v="270000"/>
    <m/>
    <m/>
    <m/>
    <m/>
    <x v="154"/>
    <x v="0"/>
    <x v="7"/>
  </r>
  <r>
    <x v="3"/>
    <n v="216000"/>
    <m/>
    <m/>
    <m/>
    <m/>
    <x v="154"/>
    <x v="0"/>
    <x v="7"/>
  </r>
  <r>
    <x v="4"/>
    <m/>
    <m/>
    <m/>
    <m/>
    <m/>
    <x v="154"/>
    <x v="0"/>
    <x v="7"/>
  </r>
  <r>
    <x v="5"/>
    <m/>
    <n v="585000"/>
    <m/>
    <m/>
    <m/>
    <x v="154"/>
    <x v="0"/>
    <x v="7"/>
  </r>
  <r>
    <x v="6"/>
    <m/>
    <m/>
    <m/>
    <m/>
    <m/>
    <x v="154"/>
    <x v="0"/>
    <x v="7"/>
  </r>
  <r>
    <x v="7"/>
    <m/>
    <n v="216000"/>
    <m/>
    <m/>
    <m/>
    <x v="154"/>
    <x v="0"/>
    <x v="7"/>
  </r>
  <r>
    <x v="8"/>
    <n v="315000"/>
    <m/>
    <n v="378000"/>
    <m/>
    <m/>
    <x v="154"/>
    <x v="0"/>
    <x v="7"/>
  </r>
  <r>
    <x v="9"/>
    <n v="216000"/>
    <n v="324000"/>
    <n v="864000"/>
    <m/>
    <m/>
    <x v="154"/>
    <x v="0"/>
    <x v="7"/>
  </r>
  <r>
    <x v="10"/>
    <n v="216000"/>
    <m/>
    <m/>
    <m/>
    <m/>
    <x v="154"/>
    <x v="0"/>
    <x v="7"/>
  </r>
  <r>
    <x v="11"/>
    <m/>
    <m/>
    <m/>
    <m/>
    <m/>
    <x v="154"/>
    <x v="0"/>
    <x v="7"/>
  </r>
  <r>
    <x v="12"/>
    <m/>
    <m/>
    <m/>
    <m/>
    <m/>
    <x v="154"/>
    <x v="0"/>
    <x v="7"/>
  </r>
  <r>
    <x v="13"/>
    <m/>
    <m/>
    <m/>
    <m/>
    <m/>
    <x v="154"/>
    <x v="0"/>
    <x v="7"/>
  </r>
  <r>
    <x v="0"/>
    <n v="162000"/>
    <m/>
    <m/>
    <m/>
    <m/>
    <x v="155"/>
    <x v="0"/>
    <x v="7"/>
  </r>
  <r>
    <x v="1"/>
    <n v="103500"/>
    <n v="154000"/>
    <m/>
    <m/>
    <m/>
    <x v="155"/>
    <x v="0"/>
    <x v="7"/>
  </r>
  <r>
    <x v="2"/>
    <n v="216000"/>
    <m/>
    <m/>
    <m/>
    <m/>
    <x v="155"/>
    <x v="0"/>
    <x v="7"/>
  </r>
  <r>
    <x v="3"/>
    <n v="378000"/>
    <m/>
    <m/>
    <m/>
    <m/>
    <x v="155"/>
    <x v="0"/>
    <x v="7"/>
  </r>
  <r>
    <x v="4"/>
    <m/>
    <n v="144000"/>
    <m/>
    <m/>
    <m/>
    <x v="155"/>
    <x v="0"/>
    <x v="7"/>
  </r>
  <r>
    <x v="5"/>
    <m/>
    <n v="162000"/>
    <m/>
    <n v="162000"/>
    <m/>
    <x v="155"/>
    <x v="0"/>
    <x v="7"/>
  </r>
  <r>
    <x v="6"/>
    <m/>
    <n v="54000"/>
    <n v="162000"/>
    <n v="162000"/>
    <m/>
    <x v="155"/>
    <x v="0"/>
    <x v="7"/>
  </r>
  <r>
    <x v="7"/>
    <m/>
    <n v="270000"/>
    <m/>
    <m/>
    <m/>
    <x v="155"/>
    <x v="0"/>
    <x v="7"/>
  </r>
  <r>
    <x v="8"/>
    <n v="320000"/>
    <n v="738000"/>
    <n v="162000"/>
    <m/>
    <m/>
    <x v="155"/>
    <x v="0"/>
    <x v="7"/>
  </r>
  <r>
    <x v="9"/>
    <n v="580500"/>
    <n v="100000"/>
    <n v="576000"/>
    <m/>
    <m/>
    <x v="155"/>
    <x v="0"/>
    <x v="7"/>
  </r>
  <r>
    <x v="10"/>
    <m/>
    <m/>
    <n v="108000"/>
    <m/>
    <m/>
    <x v="155"/>
    <x v="0"/>
    <x v="7"/>
  </r>
  <r>
    <x v="11"/>
    <m/>
    <m/>
    <m/>
    <m/>
    <m/>
    <x v="155"/>
    <x v="0"/>
    <x v="7"/>
  </r>
  <r>
    <x v="12"/>
    <m/>
    <m/>
    <m/>
    <m/>
    <m/>
    <x v="155"/>
    <x v="0"/>
    <x v="7"/>
  </r>
  <r>
    <x v="13"/>
    <n v="104000"/>
    <n v="108000"/>
    <m/>
    <n v="45000"/>
    <m/>
    <x v="155"/>
    <x v="0"/>
    <x v="7"/>
  </r>
  <r>
    <x v="0"/>
    <m/>
    <m/>
    <m/>
    <m/>
    <m/>
    <x v="156"/>
    <x v="0"/>
    <x v="7"/>
  </r>
  <r>
    <x v="1"/>
    <n v="108000"/>
    <n v="320000"/>
    <m/>
    <m/>
    <m/>
    <x v="156"/>
    <x v="0"/>
    <x v="7"/>
  </r>
  <r>
    <x v="2"/>
    <n v="270000"/>
    <m/>
    <m/>
    <n v="90000"/>
    <m/>
    <x v="156"/>
    <x v="0"/>
    <x v="7"/>
  </r>
  <r>
    <x v="3"/>
    <n v="263000"/>
    <m/>
    <m/>
    <m/>
    <n v="108000"/>
    <x v="156"/>
    <x v="0"/>
    <x v="7"/>
  </r>
  <r>
    <x v="4"/>
    <n v="108000"/>
    <m/>
    <m/>
    <n v="45000"/>
    <m/>
    <x v="156"/>
    <x v="0"/>
    <x v="7"/>
  </r>
  <r>
    <x v="5"/>
    <n v="216000"/>
    <n v="428000"/>
    <n v="590000"/>
    <n v="594000"/>
    <m/>
    <x v="156"/>
    <x v="0"/>
    <x v="7"/>
  </r>
  <r>
    <x v="6"/>
    <n v="216000"/>
    <n v="309000"/>
    <m/>
    <n v="216000"/>
    <m/>
    <x v="156"/>
    <x v="0"/>
    <x v="7"/>
  </r>
  <r>
    <x v="7"/>
    <m/>
    <m/>
    <m/>
    <m/>
    <m/>
    <x v="156"/>
    <x v="0"/>
    <x v="7"/>
  </r>
  <r>
    <x v="8"/>
    <m/>
    <m/>
    <m/>
    <m/>
    <m/>
    <x v="156"/>
    <x v="0"/>
    <x v="7"/>
  </r>
  <r>
    <x v="9"/>
    <n v="378000"/>
    <n v="262000"/>
    <n v="216000"/>
    <m/>
    <m/>
    <x v="156"/>
    <x v="0"/>
    <x v="7"/>
  </r>
  <r>
    <x v="10"/>
    <n v="108000"/>
    <m/>
    <m/>
    <m/>
    <m/>
    <x v="156"/>
    <x v="0"/>
    <x v="7"/>
  </r>
  <r>
    <x v="11"/>
    <n v="108000"/>
    <m/>
    <m/>
    <m/>
    <m/>
    <x v="156"/>
    <x v="0"/>
    <x v="7"/>
  </r>
  <r>
    <x v="12"/>
    <m/>
    <m/>
    <m/>
    <m/>
    <m/>
    <x v="156"/>
    <x v="0"/>
    <x v="7"/>
  </r>
  <r>
    <x v="13"/>
    <m/>
    <n v="54000"/>
    <m/>
    <m/>
    <m/>
    <x v="156"/>
    <x v="0"/>
    <x v="7"/>
  </r>
  <r>
    <x v="0"/>
    <m/>
    <m/>
    <m/>
    <m/>
    <m/>
    <x v="157"/>
    <x v="0"/>
    <x v="7"/>
  </r>
  <r>
    <x v="1"/>
    <m/>
    <n v="266000"/>
    <m/>
    <m/>
    <m/>
    <x v="157"/>
    <x v="0"/>
    <x v="7"/>
  </r>
  <r>
    <x v="2"/>
    <n v="215000"/>
    <m/>
    <m/>
    <m/>
    <m/>
    <x v="157"/>
    <x v="0"/>
    <x v="7"/>
  </r>
  <r>
    <x v="3"/>
    <n v="316000"/>
    <m/>
    <m/>
    <m/>
    <n v="378000"/>
    <x v="157"/>
    <x v="0"/>
    <x v="7"/>
  </r>
  <r>
    <x v="4"/>
    <m/>
    <m/>
    <m/>
    <m/>
    <m/>
    <x v="157"/>
    <x v="0"/>
    <x v="7"/>
  </r>
  <r>
    <x v="5"/>
    <n v="108000"/>
    <n v="540000"/>
    <n v="216000"/>
    <n v="432000"/>
    <m/>
    <x v="157"/>
    <x v="0"/>
    <x v="7"/>
  </r>
  <r>
    <x v="6"/>
    <n v="152500"/>
    <n v="585000"/>
    <m/>
    <n v="162000"/>
    <m/>
    <x v="157"/>
    <x v="0"/>
    <x v="7"/>
  </r>
  <r>
    <x v="7"/>
    <m/>
    <m/>
    <m/>
    <m/>
    <m/>
    <x v="157"/>
    <x v="0"/>
    <x v="7"/>
  </r>
  <r>
    <x v="8"/>
    <m/>
    <m/>
    <m/>
    <m/>
    <m/>
    <x v="157"/>
    <x v="0"/>
    <x v="7"/>
  </r>
  <r>
    <x v="9"/>
    <n v="378000"/>
    <n v="369500"/>
    <m/>
    <m/>
    <m/>
    <x v="157"/>
    <x v="0"/>
    <x v="7"/>
  </r>
  <r>
    <x v="10"/>
    <n v="216000"/>
    <m/>
    <m/>
    <m/>
    <m/>
    <x v="157"/>
    <x v="0"/>
    <x v="7"/>
  </r>
  <r>
    <x v="11"/>
    <n v="153000"/>
    <m/>
    <m/>
    <m/>
    <m/>
    <x v="157"/>
    <x v="0"/>
    <x v="7"/>
  </r>
  <r>
    <x v="12"/>
    <m/>
    <m/>
    <m/>
    <m/>
    <m/>
    <x v="157"/>
    <x v="0"/>
    <x v="7"/>
  </r>
  <r>
    <x v="13"/>
    <n v="162000"/>
    <m/>
    <m/>
    <m/>
    <m/>
    <x v="157"/>
    <x v="0"/>
    <x v="7"/>
  </r>
  <r>
    <x v="0"/>
    <m/>
    <m/>
    <m/>
    <m/>
    <m/>
    <x v="158"/>
    <x v="0"/>
    <x v="7"/>
  </r>
  <r>
    <x v="1"/>
    <m/>
    <m/>
    <m/>
    <m/>
    <m/>
    <x v="158"/>
    <x v="0"/>
    <x v="7"/>
  </r>
  <r>
    <x v="2"/>
    <m/>
    <n v="162000"/>
    <m/>
    <m/>
    <m/>
    <x v="158"/>
    <x v="0"/>
    <x v="7"/>
  </r>
  <r>
    <x v="3"/>
    <n v="216000"/>
    <m/>
    <m/>
    <m/>
    <n v="590000"/>
    <x v="158"/>
    <x v="0"/>
    <x v="7"/>
  </r>
  <r>
    <x v="4"/>
    <m/>
    <n v="106000"/>
    <m/>
    <m/>
    <m/>
    <x v="158"/>
    <x v="0"/>
    <x v="7"/>
  </r>
  <r>
    <x v="5"/>
    <n v="324000"/>
    <n v="369000"/>
    <m/>
    <m/>
    <m/>
    <x v="158"/>
    <x v="0"/>
    <x v="7"/>
  </r>
  <r>
    <x v="6"/>
    <n v="162000"/>
    <n v="216000"/>
    <m/>
    <n v="54000"/>
    <m/>
    <x v="158"/>
    <x v="0"/>
    <x v="7"/>
  </r>
  <r>
    <x v="7"/>
    <m/>
    <n v="54000"/>
    <m/>
    <m/>
    <m/>
    <x v="158"/>
    <x v="0"/>
    <x v="7"/>
  </r>
  <r>
    <x v="8"/>
    <n v="324000"/>
    <m/>
    <m/>
    <m/>
    <m/>
    <x v="158"/>
    <x v="0"/>
    <x v="7"/>
  </r>
  <r>
    <x v="9"/>
    <n v="207000"/>
    <n v="914000"/>
    <n v="216000"/>
    <m/>
    <m/>
    <x v="158"/>
    <x v="0"/>
    <x v="7"/>
  </r>
  <r>
    <x v="10"/>
    <n v="216000"/>
    <m/>
    <m/>
    <m/>
    <m/>
    <x v="158"/>
    <x v="0"/>
    <x v="7"/>
  </r>
  <r>
    <x v="11"/>
    <n v="162000"/>
    <m/>
    <m/>
    <m/>
    <m/>
    <x v="158"/>
    <x v="0"/>
    <x v="7"/>
  </r>
  <r>
    <x v="12"/>
    <m/>
    <m/>
    <m/>
    <m/>
    <m/>
    <x v="158"/>
    <x v="0"/>
    <x v="7"/>
  </r>
  <r>
    <x v="13"/>
    <n v="162000"/>
    <m/>
    <m/>
    <m/>
    <m/>
    <x v="158"/>
    <x v="0"/>
    <x v="7"/>
  </r>
  <r>
    <x v="0"/>
    <m/>
    <m/>
    <m/>
    <m/>
    <m/>
    <x v="159"/>
    <x v="0"/>
    <x v="7"/>
  </r>
  <r>
    <x v="1"/>
    <m/>
    <m/>
    <m/>
    <m/>
    <m/>
    <x v="159"/>
    <x v="0"/>
    <x v="7"/>
  </r>
  <r>
    <x v="2"/>
    <n v="108000"/>
    <n v="257000"/>
    <m/>
    <n v="100000"/>
    <m/>
    <x v="159"/>
    <x v="0"/>
    <x v="7"/>
  </r>
  <r>
    <x v="3"/>
    <n v="198500"/>
    <m/>
    <m/>
    <m/>
    <n v="270000"/>
    <x v="159"/>
    <x v="0"/>
    <x v="7"/>
  </r>
  <r>
    <x v="4"/>
    <n v="108000"/>
    <n v="270000"/>
    <m/>
    <m/>
    <m/>
    <x v="159"/>
    <x v="0"/>
    <x v="7"/>
  </r>
  <r>
    <x v="5"/>
    <n v="54000"/>
    <m/>
    <m/>
    <m/>
    <m/>
    <x v="159"/>
    <x v="0"/>
    <x v="7"/>
  </r>
  <r>
    <x v="6"/>
    <n v="54000"/>
    <n v="108000"/>
    <m/>
    <m/>
    <m/>
    <x v="159"/>
    <x v="0"/>
    <x v="7"/>
  </r>
  <r>
    <x v="7"/>
    <m/>
    <m/>
    <m/>
    <m/>
    <m/>
    <x v="159"/>
    <x v="0"/>
    <x v="7"/>
  </r>
  <r>
    <x v="8"/>
    <n v="108000"/>
    <m/>
    <m/>
    <m/>
    <m/>
    <x v="159"/>
    <x v="0"/>
    <x v="7"/>
  </r>
  <r>
    <x v="9"/>
    <n v="266000"/>
    <n v="266000"/>
    <n v="806000"/>
    <m/>
    <m/>
    <x v="159"/>
    <x v="0"/>
    <x v="7"/>
  </r>
  <r>
    <x v="10"/>
    <n v="216000"/>
    <m/>
    <m/>
    <m/>
    <m/>
    <x v="159"/>
    <x v="0"/>
    <x v="7"/>
  </r>
  <r>
    <x v="11"/>
    <n v="45000"/>
    <n v="211000"/>
    <m/>
    <n v="54000"/>
    <m/>
    <x v="159"/>
    <x v="0"/>
    <x v="7"/>
  </r>
  <r>
    <x v="12"/>
    <m/>
    <m/>
    <m/>
    <m/>
    <m/>
    <x v="159"/>
    <x v="0"/>
    <x v="7"/>
  </r>
  <r>
    <x v="13"/>
    <n v="216000"/>
    <m/>
    <n v="100000"/>
    <m/>
    <m/>
    <x v="159"/>
    <x v="0"/>
    <x v="7"/>
  </r>
  <r>
    <x v="0"/>
    <m/>
    <m/>
    <m/>
    <m/>
    <m/>
    <x v="160"/>
    <x v="0"/>
    <x v="7"/>
  </r>
  <r>
    <x v="1"/>
    <n v="95000"/>
    <n v="94500"/>
    <m/>
    <m/>
    <m/>
    <x v="160"/>
    <x v="0"/>
    <x v="7"/>
  </r>
  <r>
    <x v="2"/>
    <n v="162000"/>
    <n v="103500"/>
    <m/>
    <m/>
    <m/>
    <x v="160"/>
    <x v="0"/>
    <x v="7"/>
  </r>
  <r>
    <x v="3"/>
    <n v="423000"/>
    <m/>
    <m/>
    <m/>
    <n v="263000"/>
    <x v="160"/>
    <x v="0"/>
    <x v="7"/>
  </r>
  <r>
    <x v="4"/>
    <n v="212000"/>
    <n v="212000"/>
    <m/>
    <n v="216000"/>
    <m/>
    <x v="160"/>
    <x v="0"/>
    <x v="7"/>
  </r>
  <r>
    <x v="5"/>
    <n v="54000"/>
    <n v="45000"/>
    <m/>
    <m/>
    <m/>
    <x v="160"/>
    <x v="0"/>
    <x v="7"/>
  </r>
  <r>
    <x v="6"/>
    <n v="212000"/>
    <m/>
    <n v="50000"/>
    <m/>
    <m/>
    <x v="160"/>
    <x v="0"/>
    <x v="7"/>
  </r>
  <r>
    <x v="7"/>
    <m/>
    <m/>
    <m/>
    <m/>
    <m/>
    <x v="160"/>
    <x v="0"/>
    <x v="7"/>
  </r>
  <r>
    <x v="8"/>
    <n v="54000"/>
    <m/>
    <m/>
    <n v="270000"/>
    <m/>
    <x v="160"/>
    <x v="0"/>
    <x v="7"/>
  </r>
  <r>
    <x v="9"/>
    <n v="270000"/>
    <n v="162000"/>
    <n v="216000"/>
    <m/>
    <m/>
    <x v="160"/>
    <x v="0"/>
    <x v="7"/>
  </r>
  <r>
    <x v="10"/>
    <n v="216000"/>
    <m/>
    <m/>
    <m/>
    <m/>
    <x v="160"/>
    <x v="0"/>
    <x v="7"/>
  </r>
  <r>
    <x v="11"/>
    <n v="103500"/>
    <n v="108000"/>
    <m/>
    <n v="54000"/>
    <m/>
    <x v="160"/>
    <x v="0"/>
    <x v="7"/>
  </r>
  <r>
    <x v="12"/>
    <m/>
    <m/>
    <m/>
    <m/>
    <m/>
    <x v="160"/>
    <x v="0"/>
    <x v="7"/>
  </r>
  <r>
    <x v="13"/>
    <n v="99000"/>
    <m/>
    <n v="45000"/>
    <m/>
    <m/>
    <x v="160"/>
    <x v="0"/>
    <x v="7"/>
  </r>
  <r>
    <x v="0"/>
    <n v="45000"/>
    <m/>
    <m/>
    <m/>
    <m/>
    <x v="161"/>
    <x v="0"/>
    <x v="7"/>
  </r>
  <r>
    <x v="1"/>
    <m/>
    <m/>
    <m/>
    <m/>
    <m/>
    <x v="161"/>
    <x v="0"/>
    <x v="7"/>
  </r>
  <r>
    <x v="2"/>
    <n v="270000"/>
    <n v="104000"/>
    <m/>
    <m/>
    <m/>
    <x v="161"/>
    <x v="0"/>
    <x v="7"/>
  </r>
  <r>
    <x v="3"/>
    <n v="432000"/>
    <m/>
    <m/>
    <m/>
    <m/>
    <x v="161"/>
    <x v="0"/>
    <x v="7"/>
  </r>
  <r>
    <x v="4"/>
    <n v="265000"/>
    <n v="162000"/>
    <m/>
    <n v="270000"/>
    <m/>
    <x v="161"/>
    <x v="0"/>
    <x v="7"/>
  </r>
  <r>
    <x v="5"/>
    <n v="378000"/>
    <n v="45000"/>
    <m/>
    <m/>
    <m/>
    <x v="161"/>
    <x v="0"/>
    <x v="7"/>
  </r>
  <r>
    <x v="6"/>
    <n v="270000"/>
    <m/>
    <m/>
    <m/>
    <m/>
    <x v="161"/>
    <x v="0"/>
    <x v="7"/>
  </r>
  <r>
    <x v="7"/>
    <m/>
    <m/>
    <m/>
    <m/>
    <m/>
    <x v="161"/>
    <x v="0"/>
    <x v="7"/>
  </r>
  <r>
    <x v="8"/>
    <m/>
    <n v="432000"/>
    <m/>
    <n v="324000"/>
    <m/>
    <x v="161"/>
    <x v="0"/>
    <x v="7"/>
  </r>
  <r>
    <x v="9"/>
    <n v="216000"/>
    <n v="54000"/>
    <m/>
    <m/>
    <m/>
    <x v="161"/>
    <x v="0"/>
    <x v="7"/>
  </r>
  <r>
    <x v="10"/>
    <n v="270000"/>
    <m/>
    <m/>
    <m/>
    <m/>
    <x v="161"/>
    <x v="0"/>
    <x v="7"/>
  </r>
  <r>
    <x v="11"/>
    <n v="270000"/>
    <n v="158000"/>
    <m/>
    <n v="216000"/>
    <m/>
    <x v="161"/>
    <x v="0"/>
    <x v="7"/>
  </r>
  <r>
    <x v="12"/>
    <m/>
    <m/>
    <m/>
    <m/>
    <m/>
    <x v="161"/>
    <x v="0"/>
    <x v="7"/>
  </r>
  <r>
    <x v="13"/>
    <n v="1615000"/>
    <m/>
    <m/>
    <m/>
    <m/>
    <x v="161"/>
    <x v="0"/>
    <x v="7"/>
  </r>
  <r>
    <x v="0"/>
    <m/>
    <m/>
    <m/>
    <m/>
    <m/>
    <x v="162"/>
    <x v="0"/>
    <x v="7"/>
  </r>
  <r>
    <x v="1"/>
    <m/>
    <m/>
    <m/>
    <m/>
    <m/>
    <x v="162"/>
    <x v="0"/>
    <x v="7"/>
  </r>
  <r>
    <x v="2"/>
    <n v="162000"/>
    <n v="373000"/>
    <m/>
    <m/>
    <m/>
    <x v="162"/>
    <x v="0"/>
    <x v="7"/>
  </r>
  <r>
    <x v="3"/>
    <n v="324000"/>
    <m/>
    <m/>
    <m/>
    <m/>
    <x v="162"/>
    <x v="0"/>
    <x v="7"/>
  </r>
  <r>
    <x v="4"/>
    <n v="162000"/>
    <n v="214000"/>
    <m/>
    <n v="270000"/>
    <m/>
    <x v="162"/>
    <x v="0"/>
    <x v="7"/>
  </r>
  <r>
    <x v="5"/>
    <n v="270000"/>
    <n v="324000"/>
    <m/>
    <n v="486000"/>
    <m/>
    <x v="162"/>
    <x v="0"/>
    <x v="7"/>
  </r>
  <r>
    <x v="6"/>
    <n v="162000"/>
    <m/>
    <m/>
    <m/>
    <m/>
    <x v="162"/>
    <x v="0"/>
    <x v="7"/>
  </r>
  <r>
    <x v="7"/>
    <m/>
    <m/>
    <m/>
    <m/>
    <m/>
    <x v="162"/>
    <x v="0"/>
    <x v="7"/>
  </r>
  <r>
    <x v="8"/>
    <m/>
    <m/>
    <m/>
    <n v="270000"/>
    <m/>
    <x v="162"/>
    <x v="0"/>
    <x v="7"/>
  </r>
  <r>
    <x v="9"/>
    <n v="315000"/>
    <n v="153000"/>
    <m/>
    <m/>
    <m/>
    <x v="162"/>
    <x v="0"/>
    <x v="7"/>
  </r>
  <r>
    <x v="10"/>
    <n v="486000"/>
    <m/>
    <m/>
    <m/>
    <m/>
    <x v="162"/>
    <x v="0"/>
    <x v="7"/>
  </r>
  <r>
    <x v="11"/>
    <n v="162000"/>
    <n v="108000"/>
    <m/>
    <n v="162000"/>
    <m/>
    <x v="162"/>
    <x v="0"/>
    <x v="7"/>
  </r>
  <r>
    <x v="12"/>
    <m/>
    <m/>
    <m/>
    <m/>
    <m/>
    <x v="162"/>
    <x v="0"/>
    <x v="7"/>
  </r>
  <r>
    <x v="13"/>
    <n v="266000"/>
    <m/>
    <m/>
    <m/>
    <m/>
    <x v="162"/>
    <x v="0"/>
    <x v="7"/>
  </r>
  <r>
    <x v="0"/>
    <m/>
    <m/>
    <m/>
    <m/>
    <m/>
    <x v="163"/>
    <x v="0"/>
    <x v="7"/>
  </r>
  <r>
    <x v="1"/>
    <m/>
    <m/>
    <m/>
    <m/>
    <m/>
    <x v="163"/>
    <x v="0"/>
    <x v="7"/>
  </r>
  <r>
    <x v="2"/>
    <n v="311000"/>
    <n v="302000"/>
    <m/>
    <m/>
    <m/>
    <x v="163"/>
    <x v="0"/>
    <x v="7"/>
  </r>
  <r>
    <x v="3"/>
    <n v="270000"/>
    <m/>
    <m/>
    <m/>
    <n v="252000"/>
    <x v="163"/>
    <x v="0"/>
    <x v="7"/>
  </r>
  <r>
    <x v="4"/>
    <n v="108000"/>
    <n v="207000"/>
    <m/>
    <n v="54000"/>
    <m/>
    <x v="163"/>
    <x v="0"/>
    <x v="7"/>
  </r>
  <r>
    <x v="5"/>
    <n v="216000"/>
    <n v="216000"/>
    <m/>
    <n v="108000"/>
    <m/>
    <x v="163"/>
    <x v="0"/>
    <x v="7"/>
  </r>
  <r>
    <x v="6"/>
    <m/>
    <m/>
    <n v="45000"/>
    <m/>
    <m/>
    <x v="163"/>
    <x v="0"/>
    <x v="7"/>
  </r>
  <r>
    <x v="7"/>
    <m/>
    <m/>
    <m/>
    <m/>
    <m/>
    <x v="163"/>
    <x v="0"/>
    <x v="7"/>
  </r>
  <r>
    <x v="8"/>
    <m/>
    <m/>
    <m/>
    <m/>
    <m/>
    <x v="163"/>
    <x v="0"/>
    <x v="7"/>
  </r>
  <r>
    <x v="9"/>
    <n v="368500"/>
    <n v="216000"/>
    <m/>
    <m/>
    <m/>
    <x v="163"/>
    <x v="0"/>
    <x v="7"/>
  </r>
  <r>
    <x v="10"/>
    <n v="319500"/>
    <m/>
    <m/>
    <m/>
    <m/>
    <x v="163"/>
    <x v="0"/>
    <x v="7"/>
  </r>
  <r>
    <x v="11"/>
    <m/>
    <n v="205000"/>
    <m/>
    <n v="162000"/>
    <m/>
    <x v="163"/>
    <x v="0"/>
    <x v="7"/>
  </r>
  <r>
    <x v="12"/>
    <m/>
    <m/>
    <m/>
    <m/>
    <m/>
    <x v="163"/>
    <x v="0"/>
    <x v="7"/>
  </r>
  <r>
    <x v="13"/>
    <n v="162000"/>
    <m/>
    <m/>
    <m/>
    <m/>
    <x v="163"/>
    <x v="0"/>
    <x v="7"/>
  </r>
  <r>
    <x v="0"/>
    <n v="90000"/>
    <m/>
    <m/>
    <m/>
    <m/>
    <x v="164"/>
    <x v="0"/>
    <x v="7"/>
  </r>
  <r>
    <x v="1"/>
    <m/>
    <m/>
    <m/>
    <m/>
    <m/>
    <x v="164"/>
    <x v="0"/>
    <x v="7"/>
  </r>
  <r>
    <x v="2"/>
    <n v="477000"/>
    <n v="270000"/>
    <m/>
    <m/>
    <m/>
    <x v="164"/>
    <x v="0"/>
    <x v="7"/>
  </r>
  <r>
    <x v="3"/>
    <n v="54000"/>
    <m/>
    <m/>
    <m/>
    <n v="137000"/>
    <x v="164"/>
    <x v="0"/>
    <x v="7"/>
  </r>
  <r>
    <x v="4"/>
    <n v="154000"/>
    <n v="270000"/>
    <m/>
    <m/>
    <m/>
    <x v="164"/>
    <x v="0"/>
    <x v="7"/>
  </r>
  <r>
    <x v="5"/>
    <n v="378000"/>
    <n v="428000"/>
    <n v="45000"/>
    <n v="1292000"/>
    <m/>
    <x v="164"/>
    <x v="0"/>
    <x v="7"/>
  </r>
  <r>
    <x v="6"/>
    <m/>
    <m/>
    <m/>
    <m/>
    <m/>
    <x v="164"/>
    <x v="0"/>
    <x v="7"/>
  </r>
  <r>
    <x v="7"/>
    <m/>
    <m/>
    <m/>
    <m/>
    <m/>
    <x v="164"/>
    <x v="0"/>
    <x v="7"/>
  </r>
  <r>
    <x v="8"/>
    <m/>
    <m/>
    <m/>
    <m/>
    <m/>
    <x v="164"/>
    <x v="0"/>
    <x v="7"/>
  </r>
  <r>
    <x v="9"/>
    <n v="742500"/>
    <m/>
    <m/>
    <m/>
    <m/>
    <x v="164"/>
    <x v="0"/>
    <x v="7"/>
  </r>
  <r>
    <x v="10"/>
    <n v="580500"/>
    <m/>
    <m/>
    <m/>
    <m/>
    <x v="164"/>
    <x v="0"/>
    <x v="7"/>
  </r>
  <r>
    <x v="11"/>
    <m/>
    <n v="216000"/>
    <m/>
    <m/>
    <m/>
    <x v="164"/>
    <x v="0"/>
    <x v="7"/>
  </r>
  <r>
    <x v="12"/>
    <m/>
    <m/>
    <m/>
    <m/>
    <m/>
    <x v="164"/>
    <x v="0"/>
    <x v="7"/>
  </r>
  <r>
    <x v="13"/>
    <n v="162000"/>
    <m/>
    <m/>
    <m/>
    <m/>
    <x v="164"/>
    <x v="0"/>
    <x v="7"/>
  </r>
  <r>
    <x v="0"/>
    <m/>
    <m/>
    <m/>
    <m/>
    <m/>
    <x v="165"/>
    <x v="0"/>
    <x v="7"/>
  </r>
  <r>
    <x v="1"/>
    <m/>
    <m/>
    <m/>
    <m/>
    <m/>
    <x v="165"/>
    <x v="0"/>
    <x v="7"/>
  </r>
  <r>
    <x v="2"/>
    <n v="320000"/>
    <n v="103500"/>
    <m/>
    <m/>
    <m/>
    <x v="165"/>
    <x v="0"/>
    <x v="7"/>
  </r>
  <r>
    <x v="3"/>
    <m/>
    <m/>
    <m/>
    <m/>
    <m/>
    <x v="165"/>
    <x v="0"/>
    <x v="7"/>
  </r>
  <r>
    <x v="4"/>
    <n v="45000"/>
    <n v="432000"/>
    <m/>
    <m/>
    <m/>
    <x v="165"/>
    <x v="0"/>
    <x v="7"/>
  </r>
  <r>
    <x v="5"/>
    <n v="324000"/>
    <n v="1279000"/>
    <n v="95000"/>
    <n v="104000"/>
    <m/>
    <x v="165"/>
    <x v="0"/>
    <x v="7"/>
  </r>
  <r>
    <x v="6"/>
    <n v="108000"/>
    <n v="45000"/>
    <n v="95000"/>
    <m/>
    <n v="540000"/>
    <x v="165"/>
    <x v="0"/>
    <x v="7"/>
  </r>
  <r>
    <x v="7"/>
    <m/>
    <m/>
    <m/>
    <m/>
    <m/>
    <x v="165"/>
    <x v="0"/>
    <x v="7"/>
  </r>
  <r>
    <x v="8"/>
    <m/>
    <m/>
    <m/>
    <m/>
    <m/>
    <x v="165"/>
    <x v="0"/>
    <x v="7"/>
  </r>
  <r>
    <x v="9"/>
    <n v="702000"/>
    <m/>
    <m/>
    <m/>
    <m/>
    <x v="165"/>
    <x v="0"/>
    <x v="7"/>
  </r>
  <r>
    <x v="10"/>
    <n v="585000"/>
    <m/>
    <m/>
    <m/>
    <m/>
    <x v="165"/>
    <x v="0"/>
    <x v="7"/>
  </r>
  <r>
    <x v="11"/>
    <m/>
    <m/>
    <m/>
    <n v="50000"/>
    <m/>
    <x v="165"/>
    <x v="0"/>
    <x v="7"/>
  </r>
  <r>
    <x v="12"/>
    <m/>
    <m/>
    <m/>
    <m/>
    <m/>
    <x v="165"/>
    <x v="0"/>
    <x v="7"/>
  </r>
  <r>
    <x v="13"/>
    <n v="54000"/>
    <n v="743000"/>
    <m/>
    <m/>
    <m/>
    <x v="165"/>
    <x v="0"/>
    <x v="7"/>
  </r>
  <r>
    <x v="0"/>
    <m/>
    <m/>
    <m/>
    <m/>
    <m/>
    <x v="166"/>
    <x v="0"/>
    <x v="7"/>
  </r>
  <r>
    <x v="1"/>
    <m/>
    <m/>
    <m/>
    <n v="200000"/>
    <m/>
    <x v="166"/>
    <x v="0"/>
    <x v="7"/>
  </r>
  <r>
    <x v="2"/>
    <n v="108000"/>
    <n v="270000"/>
    <m/>
    <m/>
    <m/>
    <x v="166"/>
    <x v="0"/>
    <x v="7"/>
  </r>
  <r>
    <x v="3"/>
    <n v="53500"/>
    <m/>
    <m/>
    <m/>
    <m/>
    <x v="166"/>
    <x v="0"/>
    <x v="7"/>
  </r>
  <r>
    <x v="4"/>
    <n v="45000"/>
    <n v="216000"/>
    <m/>
    <m/>
    <m/>
    <x v="166"/>
    <x v="0"/>
    <x v="7"/>
  </r>
  <r>
    <x v="5"/>
    <m/>
    <n v="162000"/>
    <m/>
    <n v="99000"/>
    <m/>
    <x v="166"/>
    <x v="0"/>
    <x v="7"/>
  </r>
  <r>
    <x v="6"/>
    <n v="162000"/>
    <m/>
    <m/>
    <m/>
    <n v="54000"/>
    <x v="166"/>
    <x v="0"/>
    <x v="7"/>
  </r>
  <r>
    <x v="7"/>
    <m/>
    <m/>
    <m/>
    <m/>
    <m/>
    <x v="166"/>
    <x v="0"/>
    <x v="7"/>
  </r>
  <r>
    <x v="8"/>
    <m/>
    <m/>
    <m/>
    <n v="135000"/>
    <m/>
    <x v="166"/>
    <x v="0"/>
    <x v="7"/>
  </r>
  <r>
    <x v="9"/>
    <n v="360500"/>
    <n v="1345500"/>
    <m/>
    <m/>
    <m/>
    <x v="166"/>
    <x v="0"/>
    <x v="7"/>
  </r>
  <r>
    <x v="10"/>
    <n v="378000"/>
    <m/>
    <m/>
    <m/>
    <m/>
    <x v="166"/>
    <x v="0"/>
    <x v="7"/>
  </r>
  <r>
    <x v="11"/>
    <n v="100000"/>
    <n v="249000"/>
    <m/>
    <m/>
    <m/>
    <x v="166"/>
    <x v="0"/>
    <x v="7"/>
  </r>
  <r>
    <x v="12"/>
    <m/>
    <m/>
    <m/>
    <m/>
    <m/>
    <x v="166"/>
    <x v="0"/>
    <x v="7"/>
  </r>
  <r>
    <x v="13"/>
    <m/>
    <m/>
    <n v="50000"/>
    <m/>
    <m/>
    <x v="166"/>
    <x v="0"/>
    <x v="7"/>
  </r>
  <r>
    <x v="0"/>
    <m/>
    <m/>
    <m/>
    <m/>
    <m/>
    <x v="167"/>
    <x v="0"/>
    <x v="7"/>
  </r>
  <r>
    <x v="1"/>
    <m/>
    <m/>
    <m/>
    <n v="100000"/>
    <m/>
    <x v="167"/>
    <x v="0"/>
    <x v="7"/>
  </r>
  <r>
    <x v="2"/>
    <n v="270000"/>
    <m/>
    <m/>
    <m/>
    <m/>
    <x v="167"/>
    <x v="0"/>
    <x v="7"/>
  </r>
  <r>
    <x v="3"/>
    <m/>
    <m/>
    <m/>
    <m/>
    <m/>
    <x v="167"/>
    <x v="0"/>
    <x v="7"/>
  </r>
  <r>
    <x v="4"/>
    <n v="266000"/>
    <n v="161000"/>
    <m/>
    <m/>
    <m/>
    <x v="167"/>
    <x v="0"/>
    <x v="7"/>
  </r>
  <r>
    <x v="5"/>
    <n v="162000"/>
    <m/>
    <m/>
    <m/>
    <m/>
    <x v="167"/>
    <x v="0"/>
    <x v="7"/>
  </r>
  <r>
    <x v="6"/>
    <n v="162000"/>
    <m/>
    <m/>
    <m/>
    <m/>
    <x v="167"/>
    <x v="0"/>
    <x v="7"/>
  </r>
  <r>
    <x v="7"/>
    <m/>
    <m/>
    <m/>
    <m/>
    <m/>
    <x v="167"/>
    <x v="0"/>
    <x v="7"/>
  </r>
  <r>
    <x v="8"/>
    <m/>
    <m/>
    <m/>
    <m/>
    <m/>
    <x v="167"/>
    <x v="0"/>
    <x v="7"/>
  </r>
  <r>
    <x v="9"/>
    <n v="216000"/>
    <n v="1179500"/>
    <m/>
    <m/>
    <m/>
    <x v="167"/>
    <x v="0"/>
    <x v="7"/>
  </r>
  <r>
    <x v="10"/>
    <n v="270000"/>
    <m/>
    <m/>
    <m/>
    <m/>
    <x v="167"/>
    <x v="0"/>
    <x v="7"/>
  </r>
  <r>
    <x v="11"/>
    <m/>
    <m/>
    <m/>
    <m/>
    <m/>
    <x v="167"/>
    <x v="0"/>
    <x v="7"/>
  </r>
  <r>
    <x v="12"/>
    <m/>
    <m/>
    <m/>
    <m/>
    <m/>
    <x v="167"/>
    <x v="0"/>
    <x v="7"/>
  </r>
  <r>
    <x v="13"/>
    <m/>
    <m/>
    <m/>
    <m/>
    <m/>
    <x v="167"/>
    <x v="0"/>
    <x v="7"/>
  </r>
  <r>
    <x v="0"/>
    <m/>
    <m/>
    <m/>
    <m/>
    <m/>
    <x v="168"/>
    <x v="0"/>
    <x v="7"/>
  </r>
  <r>
    <x v="1"/>
    <m/>
    <m/>
    <m/>
    <m/>
    <m/>
    <x v="168"/>
    <x v="0"/>
    <x v="7"/>
  </r>
  <r>
    <x v="2"/>
    <n v="378000"/>
    <m/>
    <m/>
    <m/>
    <m/>
    <x v="168"/>
    <x v="0"/>
    <x v="7"/>
  </r>
  <r>
    <x v="3"/>
    <m/>
    <m/>
    <m/>
    <m/>
    <m/>
    <x v="168"/>
    <x v="0"/>
    <x v="7"/>
  </r>
  <r>
    <x v="4"/>
    <n v="319500"/>
    <m/>
    <m/>
    <m/>
    <m/>
    <x v="168"/>
    <x v="0"/>
    <x v="7"/>
  </r>
  <r>
    <x v="5"/>
    <n v="49500"/>
    <n v="108000"/>
    <m/>
    <n v="324000"/>
    <m/>
    <x v="168"/>
    <x v="0"/>
    <x v="7"/>
  </r>
  <r>
    <x v="6"/>
    <n v="215500"/>
    <n v="265500"/>
    <m/>
    <n v="162000"/>
    <m/>
    <x v="168"/>
    <x v="0"/>
    <x v="7"/>
  </r>
  <r>
    <x v="7"/>
    <m/>
    <m/>
    <m/>
    <m/>
    <m/>
    <x v="168"/>
    <x v="0"/>
    <x v="7"/>
  </r>
  <r>
    <x v="8"/>
    <m/>
    <n v="378000"/>
    <m/>
    <m/>
    <m/>
    <x v="168"/>
    <x v="0"/>
    <x v="7"/>
  </r>
  <r>
    <x v="9"/>
    <n v="432000"/>
    <n v="324000"/>
    <m/>
    <m/>
    <m/>
    <x v="168"/>
    <x v="0"/>
    <x v="7"/>
  </r>
  <r>
    <x v="10"/>
    <n v="324000"/>
    <m/>
    <m/>
    <m/>
    <m/>
    <x v="168"/>
    <x v="0"/>
    <x v="7"/>
  </r>
  <r>
    <x v="11"/>
    <m/>
    <m/>
    <m/>
    <m/>
    <m/>
    <x v="168"/>
    <x v="0"/>
    <x v="7"/>
  </r>
  <r>
    <x v="12"/>
    <n v="432000"/>
    <m/>
    <n v="162000"/>
    <m/>
    <m/>
    <x v="168"/>
    <x v="0"/>
    <x v="7"/>
  </r>
  <r>
    <x v="13"/>
    <m/>
    <m/>
    <m/>
    <m/>
    <m/>
    <x v="168"/>
    <x v="0"/>
    <x v="7"/>
  </r>
  <r>
    <x v="0"/>
    <m/>
    <m/>
    <m/>
    <m/>
    <m/>
    <x v="169"/>
    <x v="0"/>
    <x v="8"/>
  </r>
  <r>
    <x v="1"/>
    <m/>
    <m/>
    <m/>
    <m/>
    <m/>
    <x v="169"/>
    <x v="0"/>
    <x v="8"/>
  </r>
  <r>
    <x v="2"/>
    <n v="216000"/>
    <m/>
    <m/>
    <m/>
    <m/>
    <x v="169"/>
    <x v="0"/>
    <x v="8"/>
  </r>
  <r>
    <x v="3"/>
    <m/>
    <m/>
    <m/>
    <m/>
    <m/>
    <x v="169"/>
    <x v="0"/>
    <x v="8"/>
  </r>
  <r>
    <x v="4"/>
    <m/>
    <m/>
    <m/>
    <m/>
    <m/>
    <x v="169"/>
    <x v="0"/>
    <x v="8"/>
  </r>
  <r>
    <x v="5"/>
    <m/>
    <n v="54000"/>
    <m/>
    <m/>
    <m/>
    <x v="169"/>
    <x v="0"/>
    <x v="8"/>
  </r>
  <r>
    <x v="6"/>
    <m/>
    <n v="162000"/>
    <m/>
    <n v="108000"/>
    <m/>
    <x v="169"/>
    <x v="0"/>
    <x v="8"/>
  </r>
  <r>
    <x v="7"/>
    <m/>
    <m/>
    <m/>
    <m/>
    <m/>
    <x v="169"/>
    <x v="0"/>
    <x v="8"/>
  </r>
  <r>
    <x v="8"/>
    <m/>
    <m/>
    <m/>
    <m/>
    <m/>
    <x v="169"/>
    <x v="0"/>
    <x v="8"/>
  </r>
  <r>
    <x v="9"/>
    <n v="216000"/>
    <m/>
    <m/>
    <m/>
    <m/>
    <x v="169"/>
    <x v="0"/>
    <x v="8"/>
  </r>
  <r>
    <x v="10"/>
    <n v="216000"/>
    <m/>
    <m/>
    <m/>
    <m/>
    <x v="169"/>
    <x v="0"/>
    <x v="8"/>
  </r>
  <r>
    <x v="11"/>
    <m/>
    <m/>
    <m/>
    <m/>
    <m/>
    <x v="169"/>
    <x v="0"/>
    <x v="8"/>
  </r>
  <r>
    <x v="12"/>
    <m/>
    <m/>
    <m/>
    <m/>
    <m/>
    <x v="169"/>
    <x v="0"/>
    <x v="8"/>
  </r>
  <r>
    <x v="13"/>
    <m/>
    <m/>
    <m/>
    <m/>
    <m/>
    <x v="169"/>
    <x v="0"/>
    <x v="8"/>
  </r>
  <r>
    <x v="0"/>
    <m/>
    <m/>
    <m/>
    <m/>
    <m/>
    <x v="170"/>
    <x v="0"/>
    <x v="8"/>
  </r>
  <r>
    <x v="1"/>
    <m/>
    <m/>
    <m/>
    <m/>
    <m/>
    <x v="170"/>
    <x v="0"/>
    <x v="8"/>
  </r>
  <r>
    <x v="2"/>
    <n v="526500"/>
    <m/>
    <m/>
    <m/>
    <m/>
    <x v="170"/>
    <x v="0"/>
    <x v="8"/>
  </r>
  <r>
    <x v="3"/>
    <m/>
    <m/>
    <m/>
    <m/>
    <m/>
    <x v="170"/>
    <x v="0"/>
    <x v="8"/>
  </r>
  <r>
    <x v="4"/>
    <n v="378000"/>
    <m/>
    <m/>
    <m/>
    <m/>
    <x v="170"/>
    <x v="0"/>
    <x v="8"/>
  </r>
  <r>
    <x v="5"/>
    <m/>
    <n v="216000"/>
    <m/>
    <n v="198000"/>
    <m/>
    <x v="170"/>
    <x v="0"/>
    <x v="8"/>
  </r>
  <r>
    <x v="6"/>
    <n v="216000"/>
    <n v="157500"/>
    <m/>
    <m/>
    <m/>
    <x v="170"/>
    <x v="0"/>
    <x v="8"/>
  </r>
  <r>
    <x v="7"/>
    <m/>
    <m/>
    <m/>
    <m/>
    <m/>
    <x v="170"/>
    <x v="0"/>
    <x v="8"/>
  </r>
  <r>
    <x v="8"/>
    <m/>
    <m/>
    <m/>
    <m/>
    <m/>
    <x v="170"/>
    <x v="0"/>
    <x v="8"/>
  </r>
  <r>
    <x v="9"/>
    <n v="693000"/>
    <m/>
    <m/>
    <m/>
    <m/>
    <x v="170"/>
    <x v="0"/>
    <x v="8"/>
  </r>
  <r>
    <x v="10"/>
    <n v="486000"/>
    <m/>
    <m/>
    <m/>
    <m/>
    <x v="170"/>
    <x v="0"/>
    <x v="8"/>
  </r>
  <r>
    <x v="11"/>
    <m/>
    <m/>
    <m/>
    <m/>
    <m/>
    <x v="170"/>
    <x v="0"/>
    <x v="8"/>
  </r>
  <r>
    <x v="12"/>
    <n v="319500"/>
    <m/>
    <n v="45000"/>
    <m/>
    <m/>
    <x v="170"/>
    <x v="0"/>
    <x v="8"/>
  </r>
  <r>
    <x v="13"/>
    <m/>
    <n v="162000"/>
    <m/>
    <n v="594000"/>
    <m/>
    <x v="170"/>
    <x v="0"/>
    <x v="8"/>
  </r>
  <r>
    <x v="0"/>
    <m/>
    <m/>
    <m/>
    <m/>
    <m/>
    <x v="171"/>
    <x v="0"/>
    <x v="8"/>
  </r>
  <r>
    <x v="1"/>
    <m/>
    <m/>
    <m/>
    <m/>
    <m/>
    <x v="171"/>
    <x v="0"/>
    <x v="8"/>
  </r>
  <r>
    <x v="2"/>
    <n v="158000"/>
    <m/>
    <m/>
    <m/>
    <m/>
    <x v="171"/>
    <x v="0"/>
    <x v="8"/>
  </r>
  <r>
    <x v="1"/>
    <m/>
    <m/>
    <m/>
    <m/>
    <m/>
    <x v="171"/>
    <x v="0"/>
    <x v="8"/>
  </r>
  <r>
    <x v="3"/>
    <m/>
    <m/>
    <m/>
    <m/>
    <m/>
    <x v="171"/>
    <x v="0"/>
    <x v="8"/>
  </r>
  <r>
    <x v="4"/>
    <n v="216000"/>
    <m/>
    <n v="968000"/>
    <m/>
    <m/>
    <x v="171"/>
    <x v="0"/>
    <x v="8"/>
  </r>
  <r>
    <x v="5"/>
    <m/>
    <n v="207000"/>
    <m/>
    <m/>
    <m/>
    <x v="171"/>
    <x v="0"/>
    <x v="8"/>
  </r>
  <r>
    <x v="6"/>
    <n v="103500"/>
    <n v="324000"/>
    <m/>
    <n v="108000"/>
    <m/>
    <x v="171"/>
    <x v="0"/>
    <x v="8"/>
  </r>
  <r>
    <x v="7"/>
    <m/>
    <m/>
    <m/>
    <m/>
    <m/>
    <x v="171"/>
    <x v="0"/>
    <x v="8"/>
  </r>
  <r>
    <x v="8"/>
    <m/>
    <m/>
    <m/>
    <m/>
    <m/>
    <x v="171"/>
    <x v="0"/>
    <x v="8"/>
  </r>
  <r>
    <x v="9"/>
    <n v="216000"/>
    <n v="54000"/>
    <m/>
    <m/>
    <m/>
    <x v="171"/>
    <x v="0"/>
    <x v="8"/>
  </r>
  <r>
    <x v="10"/>
    <n v="319500"/>
    <m/>
    <m/>
    <m/>
    <m/>
    <x v="171"/>
    <x v="0"/>
    <x v="8"/>
  </r>
  <r>
    <x v="11"/>
    <m/>
    <m/>
    <m/>
    <m/>
    <m/>
    <x v="171"/>
    <x v="0"/>
    <x v="8"/>
  </r>
  <r>
    <x v="12"/>
    <n v="103500"/>
    <m/>
    <m/>
    <m/>
    <m/>
    <x v="171"/>
    <x v="0"/>
    <x v="8"/>
  </r>
  <r>
    <x v="13"/>
    <m/>
    <n v="426000"/>
    <m/>
    <n v="54000"/>
    <m/>
    <x v="171"/>
    <x v="0"/>
    <x v="8"/>
  </r>
  <r>
    <x v="0"/>
    <m/>
    <m/>
    <m/>
    <m/>
    <m/>
    <x v="172"/>
    <x v="0"/>
    <x v="8"/>
  </r>
  <r>
    <x v="1"/>
    <m/>
    <m/>
    <m/>
    <m/>
    <m/>
    <x v="172"/>
    <x v="0"/>
    <x v="8"/>
  </r>
  <r>
    <x v="2"/>
    <n v="216000"/>
    <n v="54000"/>
    <m/>
    <m/>
    <m/>
    <x v="172"/>
    <x v="0"/>
    <x v="8"/>
  </r>
  <r>
    <x v="3"/>
    <m/>
    <m/>
    <m/>
    <m/>
    <m/>
    <x v="172"/>
    <x v="0"/>
    <x v="8"/>
  </r>
  <r>
    <x v="4"/>
    <n v="211500"/>
    <n v="142000"/>
    <n v="216000"/>
    <m/>
    <m/>
    <x v="172"/>
    <x v="0"/>
    <x v="8"/>
  </r>
  <r>
    <x v="5"/>
    <m/>
    <n v="144000"/>
    <m/>
    <n v="212000"/>
    <m/>
    <x v="172"/>
    <x v="0"/>
    <x v="8"/>
  </r>
  <r>
    <x v="6"/>
    <n v="108000"/>
    <n v="324000"/>
    <m/>
    <n v="108000"/>
    <m/>
    <x v="172"/>
    <x v="0"/>
    <x v="8"/>
  </r>
  <r>
    <x v="7"/>
    <m/>
    <m/>
    <m/>
    <m/>
    <m/>
    <x v="172"/>
    <x v="0"/>
    <x v="8"/>
  </r>
  <r>
    <x v="8"/>
    <n v="693000"/>
    <n v="306000"/>
    <n v="360000"/>
    <n v="257000"/>
    <m/>
    <x v="172"/>
    <x v="0"/>
    <x v="8"/>
  </r>
  <r>
    <x v="9"/>
    <n v="432000"/>
    <m/>
    <m/>
    <m/>
    <m/>
    <x v="172"/>
    <x v="0"/>
    <x v="8"/>
  </r>
  <r>
    <x v="10"/>
    <n v="265500"/>
    <m/>
    <m/>
    <m/>
    <m/>
    <x v="172"/>
    <x v="0"/>
    <x v="8"/>
  </r>
  <r>
    <x v="11"/>
    <m/>
    <m/>
    <m/>
    <m/>
    <m/>
    <x v="172"/>
    <x v="0"/>
    <x v="8"/>
  </r>
  <r>
    <x v="12"/>
    <n v="108000"/>
    <m/>
    <m/>
    <m/>
    <m/>
    <x v="172"/>
    <x v="0"/>
    <x v="8"/>
  </r>
  <r>
    <x v="13"/>
    <m/>
    <n v="378000"/>
    <m/>
    <m/>
    <m/>
    <x v="172"/>
    <x v="0"/>
    <x v="8"/>
  </r>
  <r>
    <x v="0"/>
    <m/>
    <m/>
    <n v="1391000"/>
    <m/>
    <m/>
    <x v="173"/>
    <x v="0"/>
    <x v="8"/>
  </r>
  <r>
    <x v="1"/>
    <m/>
    <n v="909000"/>
    <m/>
    <m/>
    <m/>
    <x v="173"/>
    <x v="0"/>
    <x v="8"/>
  </r>
  <r>
    <x v="2"/>
    <n v="54000"/>
    <m/>
    <m/>
    <m/>
    <m/>
    <x v="173"/>
    <x v="0"/>
    <x v="8"/>
  </r>
  <r>
    <x v="3"/>
    <m/>
    <m/>
    <m/>
    <m/>
    <m/>
    <x v="173"/>
    <x v="0"/>
    <x v="8"/>
  </r>
  <r>
    <x v="4"/>
    <n v="104000"/>
    <m/>
    <m/>
    <m/>
    <m/>
    <x v="173"/>
    <x v="0"/>
    <x v="8"/>
  </r>
  <r>
    <x v="5"/>
    <m/>
    <n v="95000"/>
    <m/>
    <n v="90000"/>
    <m/>
    <x v="173"/>
    <x v="0"/>
    <x v="8"/>
  </r>
  <r>
    <x v="6"/>
    <m/>
    <n v="540000"/>
    <m/>
    <m/>
    <m/>
    <x v="173"/>
    <x v="0"/>
    <x v="8"/>
  </r>
  <r>
    <x v="7"/>
    <m/>
    <m/>
    <m/>
    <m/>
    <m/>
    <x v="173"/>
    <x v="0"/>
    <x v="8"/>
  </r>
  <r>
    <x v="8"/>
    <n v="99000"/>
    <n v="140000"/>
    <m/>
    <m/>
    <m/>
    <x v="173"/>
    <x v="0"/>
    <x v="8"/>
  </r>
  <r>
    <x v="9"/>
    <n v="162000"/>
    <m/>
    <m/>
    <m/>
    <m/>
    <x v="173"/>
    <x v="0"/>
    <x v="8"/>
  </r>
  <r>
    <x v="10"/>
    <n v="162000"/>
    <m/>
    <m/>
    <m/>
    <m/>
    <x v="173"/>
    <x v="0"/>
    <x v="8"/>
  </r>
  <r>
    <x v="11"/>
    <n v="45000"/>
    <m/>
    <m/>
    <m/>
    <m/>
    <x v="173"/>
    <x v="0"/>
    <x v="8"/>
  </r>
  <r>
    <x v="12"/>
    <m/>
    <m/>
    <m/>
    <m/>
    <m/>
    <x v="173"/>
    <x v="0"/>
    <x v="8"/>
  </r>
  <r>
    <x v="13"/>
    <n v="216000"/>
    <n v="428000"/>
    <n v="324000"/>
    <m/>
    <m/>
    <x v="173"/>
    <x v="0"/>
    <x v="8"/>
  </r>
  <r>
    <x v="0"/>
    <m/>
    <m/>
    <m/>
    <m/>
    <m/>
    <x v="174"/>
    <x v="0"/>
    <x v="8"/>
  </r>
  <r>
    <x v="1"/>
    <m/>
    <n v="90000"/>
    <m/>
    <m/>
    <m/>
    <x v="174"/>
    <x v="0"/>
    <x v="8"/>
  </r>
  <r>
    <x v="2"/>
    <n v="432000"/>
    <m/>
    <m/>
    <m/>
    <m/>
    <x v="174"/>
    <x v="0"/>
    <x v="8"/>
  </r>
  <r>
    <x v="3"/>
    <m/>
    <m/>
    <m/>
    <m/>
    <m/>
    <x v="174"/>
    <x v="0"/>
    <x v="8"/>
  </r>
  <r>
    <x v="4"/>
    <n v="378000"/>
    <m/>
    <m/>
    <m/>
    <m/>
    <x v="174"/>
    <x v="0"/>
    <x v="8"/>
  </r>
  <r>
    <x v="5"/>
    <m/>
    <m/>
    <m/>
    <m/>
    <m/>
    <x v="174"/>
    <x v="0"/>
    <x v="8"/>
  </r>
  <r>
    <x v="6"/>
    <m/>
    <n v="103500"/>
    <m/>
    <m/>
    <m/>
    <x v="174"/>
    <x v="0"/>
    <x v="8"/>
  </r>
  <r>
    <x v="7"/>
    <m/>
    <m/>
    <m/>
    <m/>
    <m/>
    <x v="174"/>
    <x v="0"/>
    <x v="8"/>
  </r>
  <r>
    <x v="8"/>
    <n v="473000"/>
    <n v="54000"/>
    <n v="216000"/>
    <n v="243000"/>
    <m/>
    <x v="174"/>
    <x v="0"/>
    <x v="8"/>
  </r>
  <r>
    <x v="9"/>
    <n v="415000"/>
    <m/>
    <m/>
    <m/>
    <m/>
    <x v="174"/>
    <x v="0"/>
    <x v="8"/>
  </r>
  <r>
    <x v="10"/>
    <n v="369500"/>
    <m/>
    <m/>
    <m/>
    <m/>
    <x v="174"/>
    <x v="0"/>
    <x v="8"/>
  </r>
  <r>
    <x v="11"/>
    <m/>
    <m/>
    <m/>
    <m/>
    <m/>
    <x v="174"/>
    <x v="0"/>
    <x v="8"/>
  </r>
  <r>
    <x v="12"/>
    <m/>
    <m/>
    <m/>
    <m/>
    <m/>
    <x v="174"/>
    <x v="0"/>
    <x v="8"/>
  </r>
  <r>
    <x v="13"/>
    <m/>
    <m/>
    <m/>
    <m/>
    <m/>
    <x v="174"/>
    <x v="0"/>
    <x v="8"/>
  </r>
  <r>
    <x v="0"/>
    <m/>
    <m/>
    <m/>
    <m/>
    <m/>
    <x v="175"/>
    <x v="0"/>
    <x v="8"/>
  </r>
  <r>
    <x v="1"/>
    <m/>
    <m/>
    <m/>
    <m/>
    <m/>
    <x v="175"/>
    <x v="0"/>
    <x v="8"/>
  </r>
  <r>
    <x v="2"/>
    <n v="702000"/>
    <m/>
    <m/>
    <m/>
    <m/>
    <x v="175"/>
    <x v="0"/>
    <x v="8"/>
  </r>
  <r>
    <x v="3"/>
    <m/>
    <n v="892000"/>
    <m/>
    <n v="594000"/>
    <m/>
    <x v="175"/>
    <x v="0"/>
    <x v="8"/>
  </r>
  <r>
    <x v="4"/>
    <n v="374000"/>
    <m/>
    <m/>
    <m/>
    <m/>
    <x v="175"/>
    <x v="0"/>
    <x v="8"/>
  </r>
  <r>
    <x v="5"/>
    <m/>
    <m/>
    <m/>
    <m/>
    <m/>
    <x v="175"/>
    <x v="0"/>
    <x v="8"/>
  </r>
  <r>
    <x v="6"/>
    <m/>
    <m/>
    <m/>
    <m/>
    <m/>
    <x v="175"/>
    <x v="0"/>
    <x v="8"/>
  </r>
  <r>
    <x v="7"/>
    <m/>
    <m/>
    <m/>
    <m/>
    <m/>
    <x v="175"/>
    <x v="0"/>
    <x v="8"/>
  </r>
  <r>
    <x v="8"/>
    <n v="257000"/>
    <m/>
    <n v="153000"/>
    <m/>
    <m/>
    <x v="175"/>
    <x v="0"/>
    <x v="8"/>
  </r>
  <r>
    <x v="9"/>
    <n v="482000"/>
    <m/>
    <m/>
    <m/>
    <m/>
    <x v="175"/>
    <x v="0"/>
    <x v="8"/>
  </r>
  <r>
    <x v="10"/>
    <n v="324000"/>
    <m/>
    <m/>
    <m/>
    <m/>
    <x v="175"/>
    <x v="0"/>
    <x v="8"/>
  </r>
  <r>
    <x v="11"/>
    <m/>
    <m/>
    <m/>
    <m/>
    <m/>
    <x v="175"/>
    <x v="0"/>
    <x v="8"/>
  </r>
  <r>
    <x v="12"/>
    <n v="99000"/>
    <m/>
    <m/>
    <m/>
    <m/>
    <x v="175"/>
    <x v="0"/>
    <x v="8"/>
  </r>
  <r>
    <x v="13"/>
    <m/>
    <m/>
    <m/>
    <m/>
    <m/>
    <x v="175"/>
    <x v="0"/>
    <x v="8"/>
  </r>
  <r>
    <x v="0"/>
    <m/>
    <m/>
    <m/>
    <m/>
    <m/>
    <x v="176"/>
    <x v="0"/>
    <x v="8"/>
  </r>
  <r>
    <x v="1"/>
    <m/>
    <m/>
    <m/>
    <m/>
    <m/>
    <x v="176"/>
    <x v="0"/>
    <x v="8"/>
  </r>
  <r>
    <x v="2"/>
    <n v="432000"/>
    <m/>
    <m/>
    <m/>
    <m/>
    <x v="176"/>
    <x v="0"/>
    <x v="8"/>
  </r>
  <r>
    <x v="3"/>
    <m/>
    <n v="374000"/>
    <m/>
    <n v="797000"/>
    <m/>
    <x v="176"/>
    <x v="0"/>
    <x v="8"/>
  </r>
  <r>
    <x v="4"/>
    <n v="245000"/>
    <m/>
    <m/>
    <m/>
    <m/>
    <x v="176"/>
    <x v="0"/>
    <x v="8"/>
  </r>
  <r>
    <x v="5"/>
    <n v="95000"/>
    <m/>
    <m/>
    <m/>
    <m/>
    <x v="176"/>
    <x v="0"/>
    <x v="8"/>
  </r>
  <r>
    <x v="6"/>
    <n v="216000"/>
    <m/>
    <m/>
    <m/>
    <m/>
    <x v="176"/>
    <x v="0"/>
    <x v="8"/>
  </r>
  <r>
    <x v="7"/>
    <m/>
    <m/>
    <m/>
    <m/>
    <m/>
    <x v="176"/>
    <x v="0"/>
    <x v="8"/>
  </r>
  <r>
    <x v="8"/>
    <n v="486000"/>
    <m/>
    <m/>
    <m/>
    <m/>
    <x v="176"/>
    <x v="0"/>
    <x v="8"/>
  </r>
  <r>
    <x v="9"/>
    <n v="378000"/>
    <n v="45000"/>
    <m/>
    <m/>
    <m/>
    <x v="176"/>
    <x v="0"/>
    <x v="8"/>
  </r>
  <r>
    <x v="10"/>
    <n v="324000"/>
    <m/>
    <m/>
    <m/>
    <m/>
    <x v="176"/>
    <x v="0"/>
    <x v="8"/>
  </r>
  <r>
    <x v="11"/>
    <n v="50000"/>
    <m/>
    <m/>
    <m/>
    <m/>
    <x v="176"/>
    <x v="0"/>
    <x v="8"/>
  </r>
  <r>
    <x v="12"/>
    <m/>
    <m/>
    <m/>
    <m/>
    <m/>
    <x v="176"/>
    <x v="0"/>
    <x v="8"/>
  </r>
  <r>
    <x v="13"/>
    <n v="270000"/>
    <n v="45000"/>
    <m/>
    <m/>
    <m/>
    <x v="176"/>
    <x v="0"/>
    <x v="8"/>
  </r>
  <r>
    <x v="0"/>
    <m/>
    <m/>
    <m/>
    <m/>
    <m/>
    <x v="177"/>
    <x v="0"/>
    <x v="8"/>
  </r>
  <r>
    <x v="1"/>
    <m/>
    <m/>
    <m/>
    <m/>
    <m/>
    <x v="177"/>
    <x v="0"/>
    <x v="8"/>
  </r>
  <r>
    <x v="2"/>
    <n v="540000"/>
    <m/>
    <m/>
    <m/>
    <m/>
    <x v="177"/>
    <x v="0"/>
    <x v="8"/>
  </r>
  <r>
    <x v="3"/>
    <m/>
    <n v="162000"/>
    <m/>
    <n v="468000"/>
    <m/>
    <x v="177"/>
    <x v="0"/>
    <x v="8"/>
  </r>
  <r>
    <x v="4"/>
    <m/>
    <n v="207500"/>
    <m/>
    <n v="486000"/>
    <m/>
    <x v="177"/>
    <x v="0"/>
    <x v="8"/>
  </r>
  <r>
    <x v="5"/>
    <m/>
    <m/>
    <m/>
    <m/>
    <m/>
    <x v="177"/>
    <x v="0"/>
    <x v="8"/>
  </r>
  <r>
    <x v="6"/>
    <m/>
    <m/>
    <m/>
    <m/>
    <m/>
    <x v="177"/>
    <x v="0"/>
    <x v="8"/>
  </r>
  <r>
    <x v="7"/>
    <m/>
    <m/>
    <m/>
    <m/>
    <m/>
    <x v="177"/>
    <x v="0"/>
    <x v="8"/>
  </r>
  <r>
    <x v="8"/>
    <n v="622000"/>
    <m/>
    <m/>
    <m/>
    <m/>
    <x v="177"/>
    <x v="0"/>
    <x v="8"/>
  </r>
  <r>
    <x v="9"/>
    <n v="588000"/>
    <m/>
    <m/>
    <m/>
    <m/>
    <x v="177"/>
    <x v="0"/>
    <x v="8"/>
  </r>
  <r>
    <x v="10"/>
    <n v="693000"/>
    <m/>
    <m/>
    <m/>
    <m/>
    <x v="177"/>
    <x v="0"/>
    <x v="8"/>
  </r>
  <r>
    <x v="11"/>
    <m/>
    <m/>
    <m/>
    <m/>
    <m/>
    <x v="177"/>
    <x v="0"/>
    <x v="8"/>
  </r>
  <r>
    <x v="12"/>
    <m/>
    <m/>
    <m/>
    <m/>
    <m/>
    <x v="177"/>
    <x v="0"/>
    <x v="8"/>
  </r>
  <r>
    <x v="13"/>
    <n v="107500"/>
    <m/>
    <m/>
    <m/>
    <m/>
    <x v="177"/>
    <x v="0"/>
    <x v="8"/>
  </r>
  <r>
    <x v="0"/>
    <m/>
    <m/>
    <m/>
    <m/>
    <m/>
    <x v="178"/>
    <x v="0"/>
    <x v="8"/>
  </r>
  <r>
    <x v="1"/>
    <m/>
    <m/>
    <m/>
    <m/>
    <m/>
    <x v="178"/>
    <x v="0"/>
    <x v="8"/>
  </r>
  <r>
    <x v="2"/>
    <n v="669000"/>
    <n v="314500"/>
    <m/>
    <n v="698000"/>
    <m/>
    <x v="178"/>
    <x v="0"/>
    <x v="8"/>
  </r>
  <r>
    <x v="3"/>
    <m/>
    <n v="104000"/>
    <m/>
    <n v="95000"/>
    <m/>
    <x v="178"/>
    <x v="0"/>
    <x v="8"/>
  </r>
  <r>
    <x v="4"/>
    <m/>
    <n v="531000"/>
    <m/>
    <n v="540000"/>
    <m/>
    <x v="178"/>
    <x v="0"/>
    <x v="8"/>
  </r>
  <r>
    <x v="5"/>
    <m/>
    <m/>
    <m/>
    <m/>
    <m/>
    <x v="178"/>
    <x v="0"/>
    <x v="8"/>
  </r>
  <r>
    <x v="6"/>
    <n v="162000"/>
    <m/>
    <m/>
    <m/>
    <m/>
    <x v="178"/>
    <x v="0"/>
    <x v="8"/>
  </r>
  <r>
    <x v="7"/>
    <m/>
    <m/>
    <m/>
    <m/>
    <m/>
    <x v="178"/>
    <x v="0"/>
    <x v="8"/>
  </r>
  <r>
    <x v="8"/>
    <n v="513000"/>
    <m/>
    <m/>
    <m/>
    <m/>
    <x v="178"/>
    <x v="0"/>
    <x v="8"/>
  </r>
  <r>
    <x v="9"/>
    <n v="747000"/>
    <m/>
    <m/>
    <m/>
    <m/>
    <x v="178"/>
    <x v="0"/>
    <x v="8"/>
  </r>
  <r>
    <x v="10"/>
    <n v="535500"/>
    <m/>
    <m/>
    <m/>
    <m/>
    <x v="178"/>
    <x v="0"/>
    <x v="8"/>
  </r>
  <r>
    <x v="11"/>
    <m/>
    <m/>
    <m/>
    <m/>
    <m/>
    <x v="178"/>
    <x v="0"/>
    <x v="8"/>
  </r>
  <r>
    <x v="12"/>
    <m/>
    <m/>
    <m/>
    <m/>
    <m/>
    <x v="178"/>
    <x v="0"/>
    <x v="8"/>
  </r>
  <r>
    <x v="13"/>
    <n v="54000"/>
    <m/>
    <n v="162000"/>
    <m/>
    <m/>
    <x v="178"/>
    <x v="0"/>
    <x v="8"/>
  </r>
  <r>
    <x v="0"/>
    <m/>
    <m/>
    <m/>
    <m/>
    <m/>
    <x v="179"/>
    <x v="0"/>
    <x v="8"/>
  </r>
  <r>
    <x v="1"/>
    <m/>
    <m/>
    <m/>
    <m/>
    <m/>
    <x v="179"/>
    <x v="0"/>
    <x v="8"/>
  </r>
  <r>
    <x v="2"/>
    <n v="594000"/>
    <n v="432000"/>
    <m/>
    <n v="162000"/>
    <m/>
    <x v="179"/>
    <x v="0"/>
    <x v="8"/>
  </r>
  <r>
    <x v="3"/>
    <m/>
    <m/>
    <m/>
    <m/>
    <m/>
    <x v="179"/>
    <x v="0"/>
    <x v="8"/>
  </r>
  <r>
    <x v="4"/>
    <m/>
    <n v="374000"/>
    <m/>
    <n v="972000"/>
    <m/>
    <x v="179"/>
    <x v="0"/>
    <x v="8"/>
  </r>
  <r>
    <x v="5"/>
    <m/>
    <n v="324000"/>
    <m/>
    <n v="324000"/>
    <m/>
    <x v="179"/>
    <x v="0"/>
    <x v="8"/>
  </r>
  <r>
    <x v="6"/>
    <m/>
    <m/>
    <m/>
    <m/>
    <m/>
    <x v="179"/>
    <x v="0"/>
    <x v="8"/>
  </r>
  <r>
    <x v="7"/>
    <m/>
    <m/>
    <m/>
    <m/>
    <m/>
    <x v="179"/>
    <x v="0"/>
    <x v="8"/>
  </r>
  <r>
    <x v="8"/>
    <n v="589000"/>
    <m/>
    <m/>
    <m/>
    <m/>
    <x v="179"/>
    <x v="0"/>
    <x v="8"/>
  </r>
  <r>
    <x v="9"/>
    <n v="432000"/>
    <m/>
    <m/>
    <m/>
    <m/>
    <x v="179"/>
    <x v="0"/>
    <x v="8"/>
  </r>
  <r>
    <x v="10"/>
    <n v="582000"/>
    <m/>
    <m/>
    <m/>
    <m/>
    <x v="179"/>
    <x v="0"/>
    <x v="8"/>
  </r>
  <r>
    <x v="11"/>
    <n v="315000"/>
    <m/>
    <n v="153000"/>
    <m/>
    <m/>
    <x v="179"/>
    <x v="0"/>
    <x v="8"/>
  </r>
  <r>
    <x v="12"/>
    <m/>
    <m/>
    <m/>
    <m/>
    <m/>
    <x v="179"/>
    <x v="0"/>
    <x v="8"/>
  </r>
  <r>
    <x v="13"/>
    <m/>
    <m/>
    <m/>
    <m/>
    <m/>
    <x v="179"/>
    <x v="0"/>
    <x v="8"/>
  </r>
  <r>
    <x v="0"/>
    <m/>
    <m/>
    <m/>
    <m/>
    <m/>
    <x v="180"/>
    <x v="0"/>
    <x v="8"/>
  </r>
  <r>
    <x v="1"/>
    <m/>
    <m/>
    <m/>
    <m/>
    <m/>
    <x v="180"/>
    <x v="0"/>
    <x v="8"/>
  </r>
  <r>
    <x v="2"/>
    <n v="689000"/>
    <n v="216000"/>
    <m/>
    <n v="45000"/>
    <m/>
    <x v="180"/>
    <x v="0"/>
    <x v="8"/>
  </r>
  <r>
    <x v="3"/>
    <m/>
    <m/>
    <m/>
    <m/>
    <m/>
    <x v="180"/>
    <x v="0"/>
    <x v="8"/>
  </r>
  <r>
    <x v="4"/>
    <m/>
    <n v="270000"/>
    <m/>
    <m/>
    <m/>
    <x v="180"/>
    <x v="0"/>
    <x v="8"/>
  </r>
  <r>
    <x v="5"/>
    <n v="324000"/>
    <n v="270000"/>
    <n v="162000"/>
    <n v="1080000"/>
    <m/>
    <x v="180"/>
    <x v="0"/>
    <x v="8"/>
  </r>
  <r>
    <x v="6"/>
    <m/>
    <m/>
    <m/>
    <m/>
    <m/>
    <x v="180"/>
    <x v="0"/>
    <x v="8"/>
  </r>
  <r>
    <x v="7"/>
    <m/>
    <n v="324000"/>
    <m/>
    <m/>
    <m/>
    <x v="180"/>
    <x v="0"/>
    <x v="8"/>
  </r>
  <r>
    <x v="8"/>
    <n v="265500"/>
    <m/>
    <m/>
    <m/>
    <m/>
    <x v="180"/>
    <x v="0"/>
    <x v="8"/>
  </r>
  <r>
    <x v="9"/>
    <n v="698000"/>
    <m/>
    <m/>
    <m/>
    <m/>
    <x v="180"/>
    <x v="0"/>
    <x v="8"/>
  </r>
  <r>
    <x v="10"/>
    <n v="216000"/>
    <m/>
    <m/>
    <m/>
    <m/>
    <x v="180"/>
    <x v="0"/>
    <x v="8"/>
  </r>
  <r>
    <x v="11"/>
    <n v="373500"/>
    <m/>
    <n v="100000"/>
    <m/>
    <m/>
    <x v="180"/>
    <x v="0"/>
    <x v="8"/>
  </r>
  <r>
    <x v="12"/>
    <m/>
    <m/>
    <m/>
    <m/>
    <m/>
    <x v="180"/>
    <x v="0"/>
    <x v="8"/>
  </r>
  <r>
    <x v="13"/>
    <m/>
    <m/>
    <m/>
    <m/>
    <m/>
    <x v="180"/>
    <x v="0"/>
    <x v="8"/>
  </r>
  <r>
    <x v="0"/>
    <m/>
    <m/>
    <m/>
    <m/>
    <m/>
    <x v="181"/>
    <x v="0"/>
    <x v="8"/>
  </r>
  <r>
    <x v="1"/>
    <m/>
    <m/>
    <m/>
    <m/>
    <m/>
    <x v="181"/>
    <x v="0"/>
    <x v="8"/>
  </r>
  <r>
    <x v="2"/>
    <n v="324000"/>
    <n v="153000"/>
    <m/>
    <n v="45000"/>
    <m/>
    <x v="181"/>
    <x v="0"/>
    <x v="8"/>
  </r>
  <r>
    <x v="3"/>
    <m/>
    <n v="630000"/>
    <m/>
    <m/>
    <m/>
    <x v="181"/>
    <x v="0"/>
    <x v="8"/>
  </r>
  <r>
    <x v="4"/>
    <m/>
    <n v="202500"/>
    <m/>
    <m/>
    <m/>
    <x v="181"/>
    <x v="0"/>
    <x v="8"/>
  </r>
  <r>
    <x v="5"/>
    <n v="316000"/>
    <n v="432000"/>
    <n v="432000"/>
    <n v="540000"/>
    <m/>
    <x v="181"/>
    <x v="0"/>
    <x v="8"/>
  </r>
  <r>
    <x v="6"/>
    <m/>
    <m/>
    <m/>
    <m/>
    <m/>
    <x v="181"/>
    <x v="0"/>
    <x v="8"/>
  </r>
  <r>
    <x v="7"/>
    <m/>
    <n v="432000"/>
    <m/>
    <m/>
    <m/>
    <x v="181"/>
    <x v="0"/>
    <x v="8"/>
  </r>
  <r>
    <x v="8"/>
    <m/>
    <m/>
    <m/>
    <m/>
    <m/>
    <x v="181"/>
    <x v="0"/>
    <x v="8"/>
  </r>
  <r>
    <x v="9"/>
    <n v="378000"/>
    <m/>
    <m/>
    <m/>
    <m/>
    <x v="181"/>
    <x v="0"/>
    <x v="8"/>
  </r>
  <r>
    <x v="10"/>
    <n v="323500"/>
    <m/>
    <m/>
    <m/>
    <m/>
    <x v="181"/>
    <x v="0"/>
    <x v="8"/>
  </r>
  <r>
    <x v="11"/>
    <n v="324000"/>
    <m/>
    <m/>
    <m/>
    <m/>
    <x v="181"/>
    <x v="0"/>
    <x v="8"/>
  </r>
  <r>
    <x v="12"/>
    <m/>
    <m/>
    <m/>
    <m/>
    <m/>
    <x v="181"/>
    <x v="0"/>
    <x v="8"/>
  </r>
  <r>
    <x v="13"/>
    <n v="54000"/>
    <m/>
    <n v="648000"/>
    <m/>
    <m/>
    <x v="181"/>
    <x v="0"/>
    <x v="8"/>
  </r>
  <r>
    <x v="0"/>
    <m/>
    <m/>
    <m/>
    <m/>
    <m/>
    <x v="182"/>
    <x v="0"/>
    <x v="8"/>
  </r>
  <r>
    <x v="1"/>
    <m/>
    <m/>
    <m/>
    <m/>
    <m/>
    <x v="182"/>
    <x v="0"/>
    <x v="8"/>
  </r>
  <r>
    <x v="2"/>
    <n v="319500"/>
    <n v="265500"/>
    <m/>
    <m/>
    <m/>
    <x v="182"/>
    <x v="0"/>
    <x v="8"/>
  </r>
  <r>
    <x v="3"/>
    <m/>
    <n v="265500"/>
    <m/>
    <m/>
    <m/>
    <x v="182"/>
    <x v="0"/>
    <x v="8"/>
  </r>
  <r>
    <x v="4"/>
    <m/>
    <n v="108000"/>
    <m/>
    <m/>
    <m/>
    <x v="182"/>
    <x v="0"/>
    <x v="8"/>
  </r>
  <r>
    <x v="5"/>
    <n v="324000"/>
    <n v="430000"/>
    <n v="45000"/>
    <n v="216000"/>
    <m/>
    <x v="182"/>
    <x v="0"/>
    <x v="8"/>
  </r>
  <r>
    <x v="6"/>
    <n v="270000"/>
    <m/>
    <n v="50000"/>
    <m/>
    <m/>
    <x v="182"/>
    <x v="0"/>
    <x v="8"/>
  </r>
  <r>
    <x v="7"/>
    <m/>
    <n v="162000"/>
    <m/>
    <m/>
    <m/>
    <x v="182"/>
    <x v="0"/>
    <x v="8"/>
  </r>
  <r>
    <x v="8"/>
    <m/>
    <m/>
    <m/>
    <m/>
    <m/>
    <x v="182"/>
    <x v="0"/>
    <x v="8"/>
  </r>
  <r>
    <x v="9"/>
    <n v="324000"/>
    <m/>
    <m/>
    <m/>
    <m/>
    <x v="182"/>
    <x v="0"/>
    <x v="8"/>
  </r>
  <r>
    <x v="10"/>
    <n v="45000"/>
    <m/>
    <m/>
    <n v="810000"/>
    <m/>
    <x v="182"/>
    <x v="0"/>
    <x v="8"/>
  </r>
  <r>
    <x v="11"/>
    <n v="270000"/>
    <m/>
    <n v="47000"/>
    <m/>
    <m/>
    <x v="182"/>
    <x v="0"/>
    <x v="8"/>
  </r>
  <r>
    <x v="12"/>
    <m/>
    <m/>
    <m/>
    <m/>
    <m/>
    <x v="182"/>
    <x v="0"/>
    <x v="8"/>
  </r>
  <r>
    <x v="13"/>
    <n v="378000"/>
    <m/>
    <n v="297000"/>
    <m/>
    <m/>
    <x v="182"/>
    <x v="0"/>
    <x v="8"/>
  </r>
  <r>
    <x v="0"/>
    <m/>
    <m/>
    <m/>
    <m/>
    <m/>
    <x v="183"/>
    <x v="0"/>
    <x v="8"/>
  </r>
  <r>
    <x v="1"/>
    <m/>
    <m/>
    <m/>
    <m/>
    <m/>
    <x v="183"/>
    <x v="0"/>
    <x v="8"/>
  </r>
  <r>
    <x v="2"/>
    <n v="419000"/>
    <n v="369000"/>
    <m/>
    <n v="50000"/>
    <m/>
    <x v="183"/>
    <x v="0"/>
    <x v="8"/>
  </r>
  <r>
    <x v="3"/>
    <m/>
    <n v="324000"/>
    <m/>
    <m/>
    <m/>
    <x v="183"/>
    <x v="0"/>
    <x v="8"/>
  </r>
  <r>
    <x v="4"/>
    <n v="54000"/>
    <n v="108000"/>
    <m/>
    <m/>
    <n v="482000"/>
    <x v="183"/>
    <x v="0"/>
    <x v="8"/>
  </r>
  <r>
    <x v="5"/>
    <n v="319000"/>
    <n v="108000"/>
    <n v="50000"/>
    <n v="45000"/>
    <m/>
    <x v="183"/>
    <x v="0"/>
    <x v="8"/>
  </r>
  <r>
    <x v="6"/>
    <n v="324000"/>
    <m/>
    <n v="200000"/>
    <m/>
    <m/>
    <x v="183"/>
    <x v="0"/>
    <x v="8"/>
  </r>
  <r>
    <x v="7"/>
    <m/>
    <n v="361000"/>
    <m/>
    <m/>
    <m/>
    <x v="183"/>
    <x v="0"/>
    <x v="8"/>
  </r>
  <r>
    <x v="8"/>
    <m/>
    <m/>
    <m/>
    <m/>
    <m/>
    <x v="183"/>
    <x v="0"/>
    <x v="8"/>
  </r>
  <r>
    <x v="9"/>
    <n v="270000"/>
    <m/>
    <m/>
    <m/>
    <m/>
    <x v="183"/>
    <x v="0"/>
    <x v="8"/>
  </r>
  <r>
    <x v="10"/>
    <n v="108000"/>
    <n v="527000"/>
    <m/>
    <n v="972000"/>
    <m/>
    <x v="183"/>
    <x v="0"/>
    <x v="8"/>
  </r>
  <r>
    <x v="11"/>
    <n v="324000"/>
    <m/>
    <n v="100000"/>
    <m/>
    <m/>
    <x v="183"/>
    <x v="0"/>
    <x v="8"/>
  </r>
  <r>
    <x v="12"/>
    <m/>
    <m/>
    <m/>
    <m/>
    <m/>
    <x v="183"/>
    <x v="0"/>
    <x v="8"/>
  </r>
  <r>
    <x v="13"/>
    <n v="378000"/>
    <m/>
    <n v="54000"/>
    <m/>
    <m/>
    <x v="183"/>
    <x v="0"/>
    <x v="8"/>
  </r>
  <r>
    <x v="0"/>
    <m/>
    <m/>
    <m/>
    <m/>
    <m/>
    <x v="184"/>
    <x v="0"/>
    <x v="8"/>
  </r>
  <r>
    <x v="1"/>
    <m/>
    <m/>
    <m/>
    <m/>
    <m/>
    <x v="184"/>
    <x v="0"/>
    <x v="8"/>
  </r>
  <r>
    <x v="2"/>
    <n v="365000"/>
    <n v="256500"/>
    <m/>
    <m/>
    <m/>
    <x v="184"/>
    <x v="0"/>
    <x v="8"/>
  </r>
  <r>
    <x v="3"/>
    <m/>
    <n v="269500"/>
    <m/>
    <m/>
    <m/>
    <x v="184"/>
    <x v="0"/>
    <x v="8"/>
  </r>
  <r>
    <x v="4"/>
    <n v="376500"/>
    <n v="211500"/>
    <n v="594000"/>
    <m/>
    <m/>
    <x v="184"/>
    <x v="0"/>
    <x v="8"/>
  </r>
  <r>
    <x v="5"/>
    <n v="261000"/>
    <n v="162000"/>
    <m/>
    <m/>
    <m/>
    <x v="184"/>
    <x v="0"/>
    <x v="8"/>
  </r>
  <r>
    <x v="6"/>
    <n v="216000"/>
    <m/>
    <n v="50000"/>
    <m/>
    <m/>
    <x v="184"/>
    <x v="0"/>
    <x v="8"/>
  </r>
  <r>
    <x v="7"/>
    <m/>
    <n v="306000"/>
    <m/>
    <m/>
    <m/>
    <x v="184"/>
    <x v="0"/>
    <x v="8"/>
  </r>
  <r>
    <x v="8"/>
    <m/>
    <m/>
    <m/>
    <m/>
    <m/>
    <x v="184"/>
    <x v="0"/>
    <x v="8"/>
  </r>
  <r>
    <x v="9"/>
    <n v="324000"/>
    <m/>
    <m/>
    <m/>
    <m/>
    <x v="184"/>
    <x v="0"/>
    <x v="8"/>
  </r>
  <r>
    <x v="10"/>
    <n v="50000"/>
    <n v="420000"/>
    <m/>
    <m/>
    <m/>
    <x v="184"/>
    <x v="0"/>
    <x v="8"/>
  </r>
  <r>
    <x v="11"/>
    <n v="90000"/>
    <m/>
    <m/>
    <m/>
    <m/>
    <x v="184"/>
    <x v="0"/>
    <x v="8"/>
  </r>
  <r>
    <x v="12"/>
    <m/>
    <m/>
    <m/>
    <m/>
    <m/>
    <x v="184"/>
    <x v="0"/>
    <x v="8"/>
  </r>
  <r>
    <x v="13"/>
    <n v="405500"/>
    <n v="162000"/>
    <m/>
    <n v="324000"/>
    <m/>
    <x v="184"/>
    <x v="0"/>
    <x v="8"/>
  </r>
  <r>
    <x v="0"/>
    <m/>
    <m/>
    <m/>
    <m/>
    <m/>
    <x v="185"/>
    <x v="0"/>
    <x v="8"/>
  </r>
  <r>
    <x v="1"/>
    <m/>
    <m/>
    <m/>
    <m/>
    <m/>
    <x v="185"/>
    <x v="0"/>
    <x v="8"/>
  </r>
  <r>
    <x v="2"/>
    <n v="747000"/>
    <n v="378000"/>
    <m/>
    <m/>
    <m/>
    <x v="185"/>
    <x v="0"/>
    <x v="8"/>
  </r>
  <r>
    <x v="3"/>
    <m/>
    <n v="369000"/>
    <m/>
    <m/>
    <m/>
    <x v="185"/>
    <x v="0"/>
    <x v="8"/>
  </r>
  <r>
    <x v="4"/>
    <n v="648000"/>
    <n v="270000"/>
    <n v="204000"/>
    <m/>
    <n v="324000"/>
    <x v="185"/>
    <x v="0"/>
    <x v="8"/>
  </r>
  <r>
    <x v="5"/>
    <n v="162000"/>
    <n v="378000"/>
    <m/>
    <m/>
    <m/>
    <x v="185"/>
    <x v="0"/>
    <x v="8"/>
  </r>
  <r>
    <x v="6"/>
    <n v="269000"/>
    <m/>
    <m/>
    <m/>
    <m/>
    <x v="185"/>
    <x v="0"/>
    <x v="8"/>
  </r>
  <r>
    <x v="7"/>
    <m/>
    <n v="108000"/>
    <m/>
    <m/>
    <m/>
    <x v="185"/>
    <x v="0"/>
    <x v="8"/>
  </r>
  <r>
    <x v="8"/>
    <m/>
    <m/>
    <m/>
    <m/>
    <m/>
    <x v="185"/>
    <x v="0"/>
    <x v="8"/>
  </r>
  <r>
    <x v="9"/>
    <n v="324000"/>
    <m/>
    <m/>
    <m/>
    <m/>
    <x v="185"/>
    <x v="0"/>
    <x v="8"/>
  </r>
  <r>
    <x v="10"/>
    <m/>
    <n v="50000"/>
    <m/>
    <n v="216000"/>
    <m/>
    <x v="185"/>
    <x v="0"/>
    <x v="8"/>
  </r>
  <r>
    <x v="11"/>
    <m/>
    <m/>
    <m/>
    <m/>
    <m/>
    <x v="185"/>
    <x v="0"/>
    <x v="8"/>
  </r>
  <r>
    <x v="12"/>
    <m/>
    <m/>
    <m/>
    <m/>
    <m/>
    <x v="185"/>
    <x v="0"/>
    <x v="8"/>
  </r>
  <r>
    <x v="13"/>
    <n v="54000"/>
    <n v="162000"/>
    <m/>
    <n v="108000"/>
    <m/>
    <x v="185"/>
    <x v="0"/>
    <x v="8"/>
  </r>
  <r>
    <x v="0"/>
    <m/>
    <m/>
    <m/>
    <m/>
    <m/>
    <x v="186"/>
    <x v="0"/>
    <x v="8"/>
  </r>
  <r>
    <x v="1"/>
    <m/>
    <m/>
    <m/>
    <m/>
    <m/>
    <x v="186"/>
    <x v="0"/>
    <x v="8"/>
  </r>
  <r>
    <x v="2"/>
    <n v="1188000"/>
    <n v="477000"/>
    <m/>
    <m/>
    <m/>
    <x v="186"/>
    <x v="0"/>
    <x v="8"/>
  </r>
  <r>
    <x v="3"/>
    <m/>
    <n v="108000"/>
    <m/>
    <m/>
    <m/>
    <x v="186"/>
    <x v="0"/>
    <x v="8"/>
  </r>
  <r>
    <x v="4"/>
    <n v="702000"/>
    <n v="419000"/>
    <m/>
    <m/>
    <n v="54000"/>
    <x v="186"/>
    <x v="0"/>
    <x v="8"/>
  </r>
  <r>
    <x v="5"/>
    <m/>
    <n v="324000"/>
    <m/>
    <m/>
    <m/>
    <x v="186"/>
    <x v="0"/>
    <x v="8"/>
  </r>
  <r>
    <x v="6"/>
    <n v="108000"/>
    <m/>
    <m/>
    <m/>
    <m/>
    <x v="186"/>
    <x v="0"/>
    <x v="8"/>
  </r>
  <r>
    <x v="7"/>
    <m/>
    <n v="216000"/>
    <m/>
    <m/>
    <m/>
    <x v="186"/>
    <x v="0"/>
    <x v="8"/>
  </r>
  <r>
    <x v="8"/>
    <m/>
    <m/>
    <m/>
    <m/>
    <m/>
    <x v="186"/>
    <x v="0"/>
    <x v="8"/>
  </r>
  <r>
    <x v="9"/>
    <n v="324000"/>
    <n v="432000"/>
    <m/>
    <n v="455000"/>
    <m/>
    <x v="186"/>
    <x v="0"/>
    <x v="8"/>
  </r>
  <r>
    <x v="10"/>
    <m/>
    <m/>
    <m/>
    <m/>
    <m/>
    <x v="186"/>
    <x v="0"/>
    <x v="8"/>
  </r>
  <r>
    <x v="11"/>
    <n v="257000"/>
    <m/>
    <m/>
    <m/>
    <m/>
    <x v="186"/>
    <x v="0"/>
    <x v="8"/>
  </r>
  <r>
    <x v="12"/>
    <m/>
    <m/>
    <m/>
    <m/>
    <m/>
    <x v="186"/>
    <x v="0"/>
    <x v="8"/>
  </r>
  <r>
    <x v="13"/>
    <m/>
    <m/>
    <m/>
    <m/>
    <m/>
    <x v="186"/>
    <x v="0"/>
    <x v="8"/>
  </r>
  <r>
    <x v="0"/>
    <m/>
    <m/>
    <m/>
    <m/>
    <m/>
    <x v="187"/>
    <x v="0"/>
    <x v="8"/>
  </r>
  <r>
    <x v="1"/>
    <m/>
    <m/>
    <m/>
    <m/>
    <m/>
    <x v="187"/>
    <x v="0"/>
    <x v="8"/>
  </r>
  <r>
    <x v="2"/>
    <n v="583000"/>
    <n v="401000"/>
    <m/>
    <m/>
    <m/>
    <x v="187"/>
    <x v="0"/>
    <x v="8"/>
  </r>
  <r>
    <x v="3"/>
    <m/>
    <m/>
    <m/>
    <m/>
    <m/>
    <x v="187"/>
    <x v="0"/>
    <x v="8"/>
  </r>
  <r>
    <x v="4"/>
    <n v="99000"/>
    <m/>
    <n v="50000"/>
    <m/>
    <m/>
    <x v="187"/>
    <x v="0"/>
    <x v="8"/>
  </r>
  <r>
    <x v="5"/>
    <n v="162000"/>
    <n v="324000"/>
    <m/>
    <n v="50000"/>
    <m/>
    <x v="187"/>
    <x v="0"/>
    <x v="8"/>
  </r>
  <r>
    <x v="6"/>
    <m/>
    <m/>
    <m/>
    <m/>
    <m/>
    <x v="187"/>
    <x v="0"/>
    <x v="8"/>
  </r>
  <r>
    <x v="7"/>
    <m/>
    <n v="477000"/>
    <m/>
    <m/>
    <m/>
    <x v="187"/>
    <x v="0"/>
    <x v="8"/>
  </r>
  <r>
    <x v="8"/>
    <n v="576000"/>
    <m/>
    <n v="648000"/>
    <m/>
    <n v="540000"/>
    <x v="187"/>
    <x v="0"/>
    <x v="8"/>
  </r>
  <r>
    <x v="9"/>
    <m/>
    <n v="626000"/>
    <m/>
    <m/>
    <m/>
    <x v="187"/>
    <x v="0"/>
    <x v="8"/>
  </r>
  <r>
    <x v="10"/>
    <n v="311000"/>
    <n v="481000"/>
    <m/>
    <m/>
    <m/>
    <x v="187"/>
    <x v="0"/>
    <x v="8"/>
  </r>
  <r>
    <x v="11"/>
    <m/>
    <m/>
    <m/>
    <m/>
    <m/>
    <x v="187"/>
    <x v="0"/>
    <x v="8"/>
  </r>
  <r>
    <x v="12"/>
    <m/>
    <m/>
    <m/>
    <m/>
    <m/>
    <x v="187"/>
    <x v="0"/>
    <x v="8"/>
  </r>
  <r>
    <x v="13"/>
    <n v="154000"/>
    <m/>
    <m/>
    <n v="54000"/>
    <m/>
    <x v="187"/>
    <x v="0"/>
    <x v="8"/>
  </r>
  <r>
    <x v="0"/>
    <m/>
    <m/>
    <m/>
    <m/>
    <m/>
    <x v="188"/>
    <x v="0"/>
    <x v="8"/>
  </r>
  <r>
    <x v="1"/>
    <m/>
    <m/>
    <m/>
    <m/>
    <m/>
    <x v="188"/>
    <x v="0"/>
    <x v="8"/>
  </r>
  <r>
    <x v="2"/>
    <n v="216000"/>
    <n v="270000"/>
    <m/>
    <m/>
    <m/>
    <x v="188"/>
    <x v="0"/>
    <x v="8"/>
  </r>
  <r>
    <x v="3"/>
    <m/>
    <m/>
    <m/>
    <m/>
    <m/>
    <x v="188"/>
    <x v="0"/>
    <x v="8"/>
  </r>
  <r>
    <x v="4"/>
    <m/>
    <m/>
    <m/>
    <m/>
    <m/>
    <x v="188"/>
    <x v="0"/>
    <x v="8"/>
  </r>
  <r>
    <x v="5"/>
    <m/>
    <n v="54000"/>
    <m/>
    <m/>
    <m/>
    <x v="188"/>
    <x v="0"/>
    <x v="8"/>
  </r>
  <r>
    <x v="6"/>
    <m/>
    <m/>
    <m/>
    <m/>
    <m/>
    <x v="188"/>
    <x v="0"/>
    <x v="8"/>
  </r>
  <r>
    <x v="7"/>
    <m/>
    <n v="257000"/>
    <m/>
    <m/>
    <m/>
    <x v="188"/>
    <x v="0"/>
    <x v="8"/>
  </r>
  <r>
    <x v="8"/>
    <n v="698000"/>
    <m/>
    <n v="212000"/>
    <m/>
    <n v="324000"/>
    <x v="188"/>
    <x v="0"/>
    <x v="8"/>
  </r>
  <r>
    <x v="9"/>
    <m/>
    <n v="486000"/>
    <m/>
    <m/>
    <m/>
    <x v="188"/>
    <x v="0"/>
    <x v="8"/>
  </r>
  <r>
    <x v="10"/>
    <n v="540000"/>
    <n v="535000"/>
    <m/>
    <m/>
    <m/>
    <x v="188"/>
    <x v="0"/>
    <x v="8"/>
  </r>
  <r>
    <x v="11"/>
    <m/>
    <m/>
    <m/>
    <m/>
    <m/>
    <x v="188"/>
    <x v="0"/>
    <x v="8"/>
  </r>
  <r>
    <x v="12"/>
    <m/>
    <m/>
    <n v="324000"/>
    <m/>
    <m/>
    <x v="188"/>
    <x v="0"/>
    <x v="8"/>
  </r>
  <r>
    <x v="13"/>
    <m/>
    <m/>
    <m/>
    <m/>
    <n v="108000"/>
    <x v="188"/>
    <x v="0"/>
    <x v="8"/>
  </r>
  <r>
    <x v="0"/>
    <m/>
    <m/>
    <m/>
    <m/>
    <m/>
    <x v="189"/>
    <x v="0"/>
    <x v="8"/>
  </r>
  <r>
    <x v="1"/>
    <m/>
    <m/>
    <m/>
    <m/>
    <m/>
    <x v="189"/>
    <x v="0"/>
    <x v="8"/>
  </r>
  <r>
    <x v="2"/>
    <n v="54000"/>
    <m/>
    <m/>
    <m/>
    <m/>
    <x v="189"/>
    <x v="0"/>
    <x v="8"/>
  </r>
  <r>
    <x v="3"/>
    <m/>
    <m/>
    <m/>
    <m/>
    <m/>
    <x v="189"/>
    <x v="0"/>
    <x v="8"/>
  </r>
  <r>
    <x v="4"/>
    <n v="211500"/>
    <n v="585000"/>
    <m/>
    <n v="261000"/>
    <m/>
    <x v="189"/>
    <x v="0"/>
    <x v="8"/>
  </r>
  <r>
    <x v="5"/>
    <m/>
    <n v="270000"/>
    <m/>
    <m/>
    <m/>
    <x v="189"/>
    <x v="0"/>
    <x v="8"/>
  </r>
  <r>
    <x v="6"/>
    <m/>
    <m/>
    <m/>
    <m/>
    <m/>
    <x v="189"/>
    <x v="0"/>
    <x v="8"/>
  </r>
  <r>
    <x v="7"/>
    <m/>
    <n v="207000"/>
    <m/>
    <m/>
    <m/>
    <x v="189"/>
    <x v="0"/>
    <x v="8"/>
  </r>
  <r>
    <x v="8"/>
    <n v="324000"/>
    <m/>
    <m/>
    <m/>
    <m/>
    <x v="189"/>
    <x v="0"/>
    <x v="8"/>
  </r>
  <r>
    <x v="9"/>
    <m/>
    <n v="261000"/>
    <m/>
    <m/>
    <m/>
    <x v="189"/>
    <x v="0"/>
    <x v="8"/>
  </r>
  <r>
    <x v="10"/>
    <n v="212000"/>
    <n v="374000"/>
    <m/>
    <m/>
    <m/>
    <x v="189"/>
    <x v="0"/>
    <x v="8"/>
  </r>
  <r>
    <x v="11"/>
    <m/>
    <m/>
    <m/>
    <m/>
    <m/>
    <x v="189"/>
    <x v="0"/>
    <x v="8"/>
  </r>
  <r>
    <x v="12"/>
    <n v="479000"/>
    <m/>
    <n v="162000"/>
    <m/>
    <m/>
    <x v="189"/>
    <x v="0"/>
    <x v="8"/>
  </r>
  <r>
    <x v="13"/>
    <n v="747000"/>
    <m/>
    <n v="50000"/>
    <m/>
    <n v="324000"/>
    <x v="189"/>
    <x v="0"/>
    <x v="8"/>
  </r>
  <r>
    <x v="0"/>
    <m/>
    <m/>
    <m/>
    <m/>
    <m/>
    <x v="190"/>
    <x v="0"/>
    <x v="8"/>
  </r>
  <r>
    <x v="1"/>
    <m/>
    <m/>
    <m/>
    <m/>
    <m/>
    <x v="190"/>
    <x v="0"/>
    <x v="8"/>
  </r>
  <r>
    <x v="2"/>
    <m/>
    <n v="270000"/>
    <m/>
    <m/>
    <m/>
    <x v="190"/>
    <x v="0"/>
    <x v="8"/>
  </r>
  <r>
    <x v="3"/>
    <m/>
    <m/>
    <m/>
    <m/>
    <m/>
    <x v="190"/>
    <x v="0"/>
    <x v="8"/>
  </r>
  <r>
    <x v="4"/>
    <n v="162000"/>
    <n v="640000"/>
    <m/>
    <m/>
    <m/>
    <x v="190"/>
    <x v="0"/>
    <x v="8"/>
  </r>
  <r>
    <x v="5"/>
    <m/>
    <n v="162000"/>
    <m/>
    <m/>
    <m/>
    <x v="190"/>
    <x v="0"/>
    <x v="8"/>
  </r>
  <r>
    <x v="6"/>
    <m/>
    <m/>
    <m/>
    <m/>
    <m/>
    <x v="190"/>
    <x v="0"/>
    <x v="8"/>
  </r>
  <r>
    <x v="7"/>
    <m/>
    <n v="54000"/>
    <m/>
    <m/>
    <m/>
    <x v="190"/>
    <x v="0"/>
    <x v="8"/>
  </r>
  <r>
    <x v="8"/>
    <n v="594000"/>
    <m/>
    <n v="50000"/>
    <m/>
    <n v="45000"/>
    <x v="190"/>
    <x v="0"/>
    <x v="8"/>
  </r>
  <r>
    <x v="9"/>
    <m/>
    <m/>
    <m/>
    <m/>
    <m/>
    <x v="190"/>
    <x v="0"/>
    <x v="8"/>
  </r>
  <r>
    <x v="10"/>
    <n v="428000"/>
    <n v="857500"/>
    <m/>
    <m/>
    <m/>
    <x v="190"/>
    <x v="0"/>
    <x v="8"/>
  </r>
  <r>
    <x v="11"/>
    <m/>
    <m/>
    <m/>
    <m/>
    <m/>
    <x v="190"/>
    <x v="0"/>
    <x v="8"/>
  </r>
  <r>
    <x v="12"/>
    <n v="540000"/>
    <m/>
    <m/>
    <m/>
    <m/>
    <x v="190"/>
    <x v="0"/>
    <x v="8"/>
  </r>
  <r>
    <x v="13"/>
    <n v="536000"/>
    <m/>
    <n v="50000"/>
    <m/>
    <n v="162000"/>
    <x v="190"/>
    <x v="0"/>
    <x v="8"/>
  </r>
  <r>
    <x v="0"/>
    <m/>
    <m/>
    <m/>
    <m/>
    <m/>
    <x v="191"/>
    <x v="0"/>
    <x v="9"/>
  </r>
  <r>
    <x v="1"/>
    <m/>
    <m/>
    <m/>
    <m/>
    <m/>
    <x v="191"/>
    <x v="0"/>
    <x v="9"/>
  </r>
  <r>
    <x v="2"/>
    <m/>
    <m/>
    <m/>
    <m/>
    <m/>
    <x v="191"/>
    <x v="0"/>
    <x v="9"/>
  </r>
  <r>
    <x v="3"/>
    <m/>
    <m/>
    <m/>
    <m/>
    <m/>
    <x v="191"/>
    <x v="0"/>
    <x v="9"/>
  </r>
  <r>
    <x v="4"/>
    <m/>
    <m/>
    <m/>
    <m/>
    <n v="140000"/>
    <x v="191"/>
    <x v="0"/>
    <x v="9"/>
  </r>
  <r>
    <x v="5"/>
    <m/>
    <m/>
    <m/>
    <m/>
    <m/>
    <x v="191"/>
    <x v="0"/>
    <x v="9"/>
  </r>
  <r>
    <x v="6"/>
    <m/>
    <m/>
    <m/>
    <m/>
    <m/>
    <x v="191"/>
    <x v="0"/>
    <x v="9"/>
  </r>
  <r>
    <x v="7"/>
    <m/>
    <m/>
    <m/>
    <m/>
    <m/>
    <x v="191"/>
    <x v="0"/>
    <x v="9"/>
  </r>
  <r>
    <x v="8"/>
    <n v="54000"/>
    <m/>
    <m/>
    <m/>
    <n v="90000"/>
    <x v="191"/>
    <x v="0"/>
    <x v="9"/>
  </r>
  <r>
    <x v="9"/>
    <m/>
    <m/>
    <m/>
    <m/>
    <m/>
    <x v="191"/>
    <x v="0"/>
    <x v="9"/>
  </r>
  <r>
    <x v="10"/>
    <n v="54000"/>
    <n v="216000"/>
    <m/>
    <m/>
    <m/>
    <x v="191"/>
    <x v="0"/>
    <x v="9"/>
  </r>
  <r>
    <x v="11"/>
    <m/>
    <m/>
    <m/>
    <m/>
    <m/>
    <x v="191"/>
    <x v="0"/>
    <x v="9"/>
  </r>
  <r>
    <x v="12"/>
    <m/>
    <m/>
    <m/>
    <m/>
    <m/>
    <x v="191"/>
    <x v="0"/>
    <x v="9"/>
  </r>
  <r>
    <x v="13"/>
    <m/>
    <m/>
    <m/>
    <m/>
    <m/>
    <x v="191"/>
    <x v="0"/>
    <x v="9"/>
  </r>
  <r>
    <x v="0"/>
    <m/>
    <m/>
    <m/>
    <m/>
    <m/>
    <x v="192"/>
    <x v="0"/>
    <x v="9"/>
  </r>
  <r>
    <x v="1"/>
    <m/>
    <m/>
    <m/>
    <m/>
    <m/>
    <x v="192"/>
    <x v="0"/>
    <x v="9"/>
  </r>
  <r>
    <x v="2"/>
    <m/>
    <n v="104000"/>
    <m/>
    <m/>
    <m/>
    <x v="192"/>
    <x v="0"/>
    <x v="9"/>
  </r>
  <r>
    <x v="3"/>
    <m/>
    <m/>
    <m/>
    <m/>
    <m/>
    <x v="192"/>
    <x v="0"/>
    <x v="9"/>
  </r>
  <r>
    <x v="4"/>
    <n v="432000"/>
    <n v="206000"/>
    <m/>
    <n v="45000"/>
    <m/>
    <x v="192"/>
    <x v="0"/>
    <x v="9"/>
  </r>
  <r>
    <x v="5"/>
    <m/>
    <m/>
    <m/>
    <m/>
    <m/>
    <x v="192"/>
    <x v="0"/>
    <x v="9"/>
  </r>
  <r>
    <x v="6"/>
    <m/>
    <m/>
    <m/>
    <m/>
    <m/>
    <x v="192"/>
    <x v="0"/>
    <x v="9"/>
  </r>
  <r>
    <x v="7"/>
    <m/>
    <n v="100000"/>
    <m/>
    <m/>
    <m/>
    <x v="192"/>
    <x v="0"/>
    <x v="9"/>
  </r>
  <r>
    <x v="8"/>
    <n v="427000"/>
    <m/>
    <m/>
    <m/>
    <m/>
    <x v="192"/>
    <x v="0"/>
    <x v="9"/>
  </r>
  <r>
    <x v="9"/>
    <n v="801000"/>
    <m/>
    <n v="374000"/>
    <n v="45000"/>
    <n v="522000"/>
    <x v="192"/>
    <x v="0"/>
    <x v="9"/>
  </r>
  <r>
    <x v="10"/>
    <n v="324000"/>
    <n v="432000"/>
    <m/>
    <m/>
    <m/>
    <x v="192"/>
    <x v="0"/>
    <x v="9"/>
  </r>
  <r>
    <x v="11"/>
    <n v="45000"/>
    <m/>
    <m/>
    <m/>
    <m/>
    <x v="192"/>
    <x v="0"/>
    <x v="9"/>
  </r>
  <r>
    <x v="12"/>
    <m/>
    <m/>
    <m/>
    <m/>
    <m/>
    <x v="192"/>
    <x v="0"/>
    <x v="9"/>
  </r>
  <r>
    <x v="13"/>
    <n v="406500"/>
    <n v="701500"/>
    <m/>
    <m/>
    <m/>
    <x v="192"/>
    <x v="0"/>
    <x v="9"/>
  </r>
  <r>
    <x v="0"/>
    <m/>
    <m/>
    <m/>
    <m/>
    <m/>
    <x v="193"/>
    <x v="0"/>
    <x v="9"/>
  </r>
  <r>
    <x v="1"/>
    <m/>
    <m/>
    <m/>
    <m/>
    <m/>
    <x v="193"/>
    <x v="0"/>
    <x v="9"/>
  </r>
  <r>
    <x v="2"/>
    <m/>
    <m/>
    <m/>
    <m/>
    <m/>
    <x v="193"/>
    <x v="0"/>
    <x v="9"/>
  </r>
  <r>
    <x v="3"/>
    <m/>
    <m/>
    <m/>
    <m/>
    <m/>
    <x v="193"/>
    <x v="0"/>
    <x v="9"/>
  </r>
  <r>
    <x v="4"/>
    <m/>
    <m/>
    <m/>
    <m/>
    <m/>
    <x v="193"/>
    <x v="0"/>
    <x v="9"/>
  </r>
  <r>
    <x v="5"/>
    <m/>
    <m/>
    <m/>
    <m/>
    <m/>
    <x v="193"/>
    <x v="0"/>
    <x v="9"/>
  </r>
  <r>
    <x v="6"/>
    <m/>
    <m/>
    <m/>
    <m/>
    <m/>
    <x v="193"/>
    <x v="0"/>
    <x v="9"/>
  </r>
  <r>
    <x v="7"/>
    <m/>
    <m/>
    <m/>
    <m/>
    <m/>
    <x v="193"/>
    <x v="0"/>
    <x v="9"/>
  </r>
  <r>
    <x v="8"/>
    <m/>
    <m/>
    <m/>
    <m/>
    <m/>
    <x v="193"/>
    <x v="0"/>
    <x v="9"/>
  </r>
  <r>
    <x v="9"/>
    <n v="909000"/>
    <m/>
    <n v="910000"/>
    <m/>
    <m/>
    <x v="193"/>
    <x v="0"/>
    <x v="9"/>
  </r>
  <r>
    <x v="10"/>
    <m/>
    <m/>
    <m/>
    <m/>
    <m/>
    <x v="193"/>
    <x v="0"/>
    <x v="9"/>
  </r>
  <r>
    <x v="11"/>
    <m/>
    <m/>
    <m/>
    <m/>
    <m/>
    <x v="193"/>
    <x v="0"/>
    <x v="9"/>
  </r>
  <r>
    <x v="12"/>
    <m/>
    <m/>
    <m/>
    <m/>
    <m/>
    <x v="193"/>
    <x v="0"/>
    <x v="9"/>
  </r>
  <r>
    <x v="13"/>
    <n v="50000"/>
    <m/>
    <m/>
    <m/>
    <m/>
    <x v="193"/>
    <x v="0"/>
    <x v="9"/>
  </r>
  <r>
    <x v="0"/>
    <m/>
    <m/>
    <m/>
    <m/>
    <m/>
    <x v="194"/>
    <x v="0"/>
    <x v="9"/>
  </r>
  <r>
    <x v="1"/>
    <m/>
    <m/>
    <m/>
    <m/>
    <m/>
    <x v="194"/>
    <x v="0"/>
    <x v="9"/>
  </r>
  <r>
    <x v="2"/>
    <m/>
    <m/>
    <m/>
    <m/>
    <m/>
    <x v="194"/>
    <x v="0"/>
    <x v="9"/>
  </r>
  <r>
    <x v="3"/>
    <m/>
    <m/>
    <m/>
    <m/>
    <m/>
    <x v="194"/>
    <x v="0"/>
    <x v="9"/>
  </r>
  <r>
    <x v="4"/>
    <m/>
    <n v="144000"/>
    <m/>
    <m/>
    <m/>
    <x v="194"/>
    <x v="0"/>
    <x v="9"/>
  </r>
  <r>
    <x v="5"/>
    <m/>
    <m/>
    <m/>
    <m/>
    <m/>
    <x v="194"/>
    <x v="0"/>
    <x v="9"/>
  </r>
  <r>
    <x v="6"/>
    <m/>
    <m/>
    <m/>
    <m/>
    <m/>
    <x v="194"/>
    <x v="0"/>
    <x v="9"/>
  </r>
  <r>
    <x v="7"/>
    <m/>
    <m/>
    <m/>
    <m/>
    <m/>
    <x v="194"/>
    <x v="0"/>
    <x v="9"/>
  </r>
  <r>
    <x v="8"/>
    <n v="752000"/>
    <m/>
    <m/>
    <m/>
    <m/>
    <x v="194"/>
    <x v="0"/>
    <x v="9"/>
  </r>
  <r>
    <x v="9"/>
    <n v="473000"/>
    <n v="50000"/>
    <n v="481000"/>
    <m/>
    <n v="45000"/>
    <x v="194"/>
    <x v="0"/>
    <x v="9"/>
  </r>
  <r>
    <x v="10"/>
    <m/>
    <m/>
    <m/>
    <m/>
    <m/>
    <x v="194"/>
    <x v="0"/>
    <x v="9"/>
  </r>
  <r>
    <x v="11"/>
    <m/>
    <m/>
    <m/>
    <m/>
    <m/>
    <x v="194"/>
    <x v="0"/>
    <x v="9"/>
  </r>
  <r>
    <x v="12"/>
    <n v="313500"/>
    <m/>
    <n v="54000"/>
    <m/>
    <m/>
    <x v="194"/>
    <x v="0"/>
    <x v="9"/>
  </r>
  <r>
    <x v="13"/>
    <m/>
    <m/>
    <m/>
    <m/>
    <m/>
    <x v="194"/>
    <x v="0"/>
    <x v="9"/>
  </r>
  <r>
    <x v="0"/>
    <m/>
    <m/>
    <m/>
    <m/>
    <m/>
    <x v="195"/>
    <x v="0"/>
    <x v="9"/>
  </r>
  <r>
    <x v="1"/>
    <m/>
    <m/>
    <m/>
    <m/>
    <m/>
    <x v="195"/>
    <x v="0"/>
    <x v="9"/>
  </r>
  <r>
    <x v="2"/>
    <m/>
    <m/>
    <m/>
    <m/>
    <m/>
    <x v="195"/>
    <x v="0"/>
    <x v="9"/>
  </r>
  <r>
    <x v="3"/>
    <m/>
    <m/>
    <m/>
    <m/>
    <m/>
    <x v="195"/>
    <x v="0"/>
    <x v="9"/>
  </r>
  <r>
    <x v="4"/>
    <n v="54000"/>
    <m/>
    <m/>
    <m/>
    <m/>
    <x v="195"/>
    <x v="0"/>
    <x v="9"/>
  </r>
  <r>
    <x v="5"/>
    <m/>
    <m/>
    <m/>
    <m/>
    <m/>
    <x v="195"/>
    <x v="0"/>
    <x v="9"/>
  </r>
  <r>
    <x v="6"/>
    <m/>
    <m/>
    <m/>
    <m/>
    <m/>
    <x v="195"/>
    <x v="0"/>
    <x v="9"/>
  </r>
  <r>
    <x v="7"/>
    <m/>
    <m/>
    <m/>
    <m/>
    <m/>
    <x v="195"/>
    <x v="0"/>
    <x v="9"/>
  </r>
  <r>
    <x v="8"/>
    <n v="966000"/>
    <m/>
    <m/>
    <m/>
    <m/>
    <x v="195"/>
    <x v="0"/>
    <x v="9"/>
  </r>
  <r>
    <x v="9"/>
    <n v="162000"/>
    <n v="100000"/>
    <n v="324000"/>
    <m/>
    <n v="432000"/>
    <x v="195"/>
    <x v="0"/>
    <x v="9"/>
  </r>
  <r>
    <x v="10"/>
    <n v="162000"/>
    <m/>
    <m/>
    <m/>
    <m/>
    <x v="195"/>
    <x v="0"/>
    <x v="9"/>
  </r>
  <r>
    <x v="11"/>
    <m/>
    <m/>
    <m/>
    <m/>
    <m/>
    <x v="195"/>
    <x v="0"/>
    <x v="9"/>
  </r>
  <r>
    <x v="12"/>
    <m/>
    <m/>
    <m/>
    <m/>
    <m/>
    <x v="195"/>
    <x v="0"/>
    <x v="9"/>
  </r>
  <r>
    <x v="13"/>
    <m/>
    <m/>
    <m/>
    <m/>
    <m/>
    <x v="195"/>
    <x v="0"/>
    <x v="9"/>
  </r>
  <r>
    <x v="0"/>
    <m/>
    <m/>
    <m/>
    <m/>
    <m/>
    <x v="196"/>
    <x v="0"/>
    <x v="9"/>
  </r>
  <r>
    <x v="1"/>
    <m/>
    <m/>
    <m/>
    <m/>
    <m/>
    <x v="196"/>
    <x v="0"/>
    <x v="9"/>
  </r>
  <r>
    <x v="2"/>
    <m/>
    <m/>
    <m/>
    <m/>
    <m/>
    <x v="196"/>
    <x v="0"/>
    <x v="9"/>
  </r>
  <r>
    <x v="3"/>
    <m/>
    <m/>
    <m/>
    <m/>
    <m/>
    <x v="196"/>
    <x v="0"/>
    <x v="9"/>
  </r>
  <r>
    <x v="4"/>
    <n v="54000"/>
    <m/>
    <m/>
    <m/>
    <m/>
    <x v="196"/>
    <x v="0"/>
    <x v="9"/>
  </r>
  <r>
    <x v="5"/>
    <n v="54000"/>
    <m/>
    <m/>
    <m/>
    <m/>
    <x v="196"/>
    <x v="0"/>
    <x v="9"/>
  </r>
  <r>
    <x v="6"/>
    <m/>
    <m/>
    <m/>
    <m/>
    <m/>
    <x v="196"/>
    <x v="0"/>
    <x v="9"/>
  </r>
  <r>
    <x v="7"/>
    <m/>
    <m/>
    <m/>
    <m/>
    <m/>
    <x v="196"/>
    <x v="0"/>
    <x v="9"/>
  </r>
  <r>
    <x v="8"/>
    <n v="756000"/>
    <m/>
    <m/>
    <m/>
    <m/>
    <x v="196"/>
    <x v="0"/>
    <x v="9"/>
  </r>
  <r>
    <x v="9"/>
    <n v="206000"/>
    <n v="45000"/>
    <n v="648000"/>
    <m/>
    <m/>
    <x v="196"/>
    <x v="0"/>
    <x v="9"/>
  </r>
  <r>
    <x v="10"/>
    <n v="971500"/>
    <n v="45000"/>
    <m/>
    <m/>
    <m/>
    <x v="196"/>
    <x v="0"/>
    <x v="9"/>
  </r>
  <r>
    <x v="11"/>
    <m/>
    <m/>
    <m/>
    <m/>
    <m/>
    <x v="196"/>
    <x v="0"/>
    <x v="9"/>
  </r>
  <r>
    <x v="12"/>
    <m/>
    <m/>
    <m/>
    <m/>
    <m/>
    <x v="196"/>
    <x v="0"/>
    <x v="9"/>
  </r>
  <r>
    <x v="13"/>
    <m/>
    <m/>
    <m/>
    <m/>
    <m/>
    <x v="196"/>
    <x v="0"/>
    <x v="9"/>
  </r>
  <r>
    <x v="0"/>
    <m/>
    <m/>
    <m/>
    <m/>
    <m/>
    <x v="197"/>
    <x v="0"/>
    <x v="9"/>
  </r>
  <r>
    <x v="1"/>
    <m/>
    <m/>
    <m/>
    <m/>
    <m/>
    <x v="197"/>
    <x v="0"/>
    <x v="9"/>
  </r>
  <r>
    <x v="2"/>
    <m/>
    <m/>
    <m/>
    <m/>
    <m/>
    <x v="197"/>
    <x v="0"/>
    <x v="9"/>
  </r>
  <r>
    <x v="3"/>
    <m/>
    <m/>
    <m/>
    <m/>
    <m/>
    <x v="197"/>
    <x v="0"/>
    <x v="9"/>
  </r>
  <r>
    <x v="4"/>
    <m/>
    <m/>
    <m/>
    <m/>
    <m/>
    <x v="197"/>
    <x v="0"/>
    <x v="9"/>
  </r>
  <r>
    <x v="5"/>
    <n v="54000"/>
    <m/>
    <m/>
    <m/>
    <m/>
    <x v="197"/>
    <x v="0"/>
    <x v="9"/>
  </r>
  <r>
    <x v="6"/>
    <m/>
    <m/>
    <m/>
    <m/>
    <m/>
    <x v="197"/>
    <x v="0"/>
    <x v="9"/>
  </r>
  <r>
    <x v="7"/>
    <m/>
    <m/>
    <m/>
    <m/>
    <m/>
    <x v="197"/>
    <x v="0"/>
    <x v="9"/>
  </r>
  <r>
    <x v="8"/>
    <m/>
    <m/>
    <m/>
    <m/>
    <m/>
    <x v="197"/>
    <x v="0"/>
    <x v="9"/>
  </r>
  <r>
    <x v="9"/>
    <n v="162000"/>
    <n v="1022000"/>
    <m/>
    <n v="1022000"/>
    <m/>
    <x v="197"/>
    <x v="0"/>
    <x v="9"/>
  </r>
  <r>
    <x v="10"/>
    <n v="432000"/>
    <m/>
    <m/>
    <m/>
    <m/>
    <x v="197"/>
    <x v="0"/>
    <x v="9"/>
  </r>
  <r>
    <x v="11"/>
    <m/>
    <n v="54000"/>
    <m/>
    <m/>
    <m/>
    <x v="197"/>
    <x v="0"/>
    <x v="9"/>
  </r>
  <r>
    <x v="12"/>
    <n v="270000"/>
    <m/>
    <m/>
    <m/>
    <m/>
    <x v="197"/>
    <x v="0"/>
    <x v="9"/>
  </r>
  <r>
    <x v="13"/>
    <m/>
    <m/>
    <m/>
    <m/>
    <m/>
    <x v="197"/>
    <x v="0"/>
    <x v="9"/>
  </r>
  <r>
    <x v="0"/>
    <m/>
    <m/>
    <m/>
    <m/>
    <m/>
    <x v="198"/>
    <x v="0"/>
    <x v="9"/>
  </r>
  <r>
    <x v="1"/>
    <m/>
    <m/>
    <m/>
    <m/>
    <m/>
    <x v="198"/>
    <x v="0"/>
    <x v="9"/>
  </r>
  <r>
    <x v="2"/>
    <m/>
    <m/>
    <m/>
    <m/>
    <m/>
    <x v="198"/>
    <x v="0"/>
    <x v="9"/>
  </r>
  <r>
    <x v="3"/>
    <m/>
    <m/>
    <m/>
    <m/>
    <m/>
    <x v="198"/>
    <x v="0"/>
    <x v="9"/>
  </r>
  <r>
    <x v="4"/>
    <m/>
    <m/>
    <m/>
    <m/>
    <m/>
    <x v="198"/>
    <x v="0"/>
    <x v="9"/>
  </r>
  <r>
    <x v="5"/>
    <m/>
    <m/>
    <m/>
    <m/>
    <m/>
    <x v="198"/>
    <x v="0"/>
    <x v="9"/>
  </r>
  <r>
    <x v="6"/>
    <m/>
    <m/>
    <m/>
    <m/>
    <m/>
    <x v="198"/>
    <x v="0"/>
    <x v="9"/>
  </r>
  <r>
    <x v="7"/>
    <m/>
    <m/>
    <m/>
    <m/>
    <m/>
    <x v="198"/>
    <x v="0"/>
    <x v="9"/>
  </r>
  <r>
    <x v="8"/>
    <m/>
    <m/>
    <m/>
    <m/>
    <m/>
    <x v="198"/>
    <x v="0"/>
    <x v="9"/>
  </r>
  <r>
    <x v="9"/>
    <m/>
    <n v="1404000"/>
    <m/>
    <n v="374000"/>
    <m/>
    <x v="198"/>
    <x v="0"/>
    <x v="9"/>
  </r>
  <r>
    <x v="10"/>
    <m/>
    <m/>
    <m/>
    <m/>
    <m/>
    <x v="198"/>
    <x v="0"/>
    <x v="9"/>
  </r>
  <r>
    <x v="11"/>
    <m/>
    <n v="261500"/>
    <m/>
    <m/>
    <m/>
    <x v="198"/>
    <x v="0"/>
    <x v="9"/>
  </r>
  <r>
    <x v="12"/>
    <m/>
    <m/>
    <m/>
    <m/>
    <m/>
    <x v="198"/>
    <x v="0"/>
    <x v="9"/>
  </r>
  <r>
    <x v="13"/>
    <m/>
    <m/>
    <m/>
    <m/>
    <m/>
    <x v="198"/>
    <x v="0"/>
    <x v="9"/>
  </r>
  <r>
    <x v="0"/>
    <m/>
    <m/>
    <m/>
    <m/>
    <m/>
    <x v="199"/>
    <x v="0"/>
    <x v="9"/>
  </r>
  <r>
    <x v="1"/>
    <m/>
    <m/>
    <m/>
    <m/>
    <m/>
    <x v="199"/>
    <x v="0"/>
    <x v="9"/>
  </r>
  <r>
    <x v="2"/>
    <m/>
    <m/>
    <m/>
    <m/>
    <m/>
    <x v="199"/>
    <x v="0"/>
    <x v="9"/>
  </r>
  <r>
    <x v="3"/>
    <m/>
    <m/>
    <m/>
    <m/>
    <m/>
    <x v="199"/>
    <x v="0"/>
    <x v="9"/>
  </r>
  <r>
    <x v="4"/>
    <m/>
    <n v="858000"/>
    <m/>
    <n v="810000"/>
    <m/>
    <x v="199"/>
    <x v="0"/>
    <x v="9"/>
  </r>
  <r>
    <x v="5"/>
    <m/>
    <m/>
    <m/>
    <m/>
    <m/>
    <x v="199"/>
    <x v="0"/>
    <x v="9"/>
  </r>
  <r>
    <x v="6"/>
    <m/>
    <m/>
    <m/>
    <m/>
    <m/>
    <x v="199"/>
    <x v="0"/>
    <x v="9"/>
  </r>
  <r>
    <x v="7"/>
    <m/>
    <m/>
    <m/>
    <m/>
    <m/>
    <x v="199"/>
    <x v="0"/>
    <x v="9"/>
  </r>
  <r>
    <x v="8"/>
    <n v="54000"/>
    <m/>
    <n v="45000"/>
    <m/>
    <m/>
    <x v="199"/>
    <x v="0"/>
    <x v="9"/>
  </r>
  <r>
    <x v="9"/>
    <n v="894000"/>
    <n v="486000"/>
    <n v="243000"/>
    <n v="54000"/>
    <m/>
    <x v="199"/>
    <x v="0"/>
    <x v="9"/>
  </r>
  <r>
    <x v="10"/>
    <m/>
    <m/>
    <m/>
    <m/>
    <m/>
    <x v="199"/>
    <x v="0"/>
    <x v="9"/>
  </r>
  <r>
    <x v="11"/>
    <m/>
    <n v="49500"/>
    <m/>
    <n v="198000"/>
    <m/>
    <x v="199"/>
    <x v="0"/>
    <x v="9"/>
  </r>
  <r>
    <x v="12"/>
    <m/>
    <m/>
    <m/>
    <m/>
    <m/>
    <x v="199"/>
    <x v="0"/>
    <x v="9"/>
  </r>
  <r>
    <x v="13"/>
    <n v="49500"/>
    <m/>
    <m/>
    <m/>
    <m/>
    <x v="199"/>
    <x v="0"/>
    <x v="9"/>
  </r>
  <r>
    <x v="0"/>
    <m/>
    <m/>
    <m/>
    <m/>
    <m/>
    <x v="200"/>
    <x v="0"/>
    <x v="9"/>
  </r>
  <r>
    <x v="1"/>
    <m/>
    <m/>
    <m/>
    <m/>
    <m/>
    <x v="200"/>
    <x v="0"/>
    <x v="9"/>
  </r>
  <r>
    <x v="2"/>
    <m/>
    <m/>
    <m/>
    <m/>
    <m/>
    <x v="200"/>
    <x v="0"/>
    <x v="9"/>
  </r>
  <r>
    <x v="3"/>
    <m/>
    <m/>
    <m/>
    <m/>
    <m/>
    <x v="200"/>
    <x v="0"/>
    <x v="9"/>
  </r>
  <r>
    <x v="4"/>
    <m/>
    <n v="1373500"/>
    <m/>
    <n v="527000"/>
    <m/>
    <x v="200"/>
    <x v="0"/>
    <x v="9"/>
  </r>
  <r>
    <x v="5"/>
    <m/>
    <m/>
    <m/>
    <m/>
    <m/>
    <x v="200"/>
    <x v="0"/>
    <x v="9"/>
  </r>
  <r>
    <x v="6"/>
    <m/>
    <m/>
    <m/>
    <m/>
    <m/>
    <x v="200"/>
    <x v="0"/>
    <x v="9"/>
  </r>
  <r>
    <x v="7"/>
    <m/>
    <m/>
    <m/>
    <m/>
    <m/>
    <x v="200"/>
    <x v="0"/>
    <x v="9"/>
  </r>
  <r>
    <x v="8"/>
    <m/>
    <m/>
    <m/>
    <m/>
    <m/>
    <x v="200"/>
    <x v="0"/>
    <x v="9"/>
  </r>
  <r>
    <x v="9"/>
    <n v="1438000"/>
    <m/>
    <n v="1072000"/>
    <m/>
    <m/>
    <x v="200"/>
    <x v="0"/>
    <x v="9"/>
  </r>
  <r>
    <x v="10"/>
    <m/>
    <m/>
    <m/>
    <m/>
    <m/>
    <x v="200"/>
    <x v="0"/>
    <x v="9"/>
  </r>
  <r>
    <x v="11"/>
    <m/>
    <m/>
    <m/>
    <m/>
    <m/>
    <x v="200"/>
    <x v="0"/>
    <x v="9"/>
  </r>
  <r>
    <x v="12"/>
    <m/>
    <m/>
    <m/>
    <m/>
    <m/>
    <x v="200"/>
    <x v="0"/>
    <x v="9"/>
  </r>
  <r>
    <x v="13"/>
    <m/>
    <m/>
    <m/>
    <m/>
    <m/>
    <x v="200"/>
    <x v="0"/>
    <x v="9"/>
  </r>
  <r>
    <x v="0"/>
    <m/>
    <m/>
    <m/>
    <m/>
    <m/>
    <x v="201"/>
    <x v="0"/>
    <x v="9"/>
  </r>
  <r>
    <x v="1"/>
    <m/>
    <m/>
    <m/>
    <m/>
    <m/>
    <x v="201"/>
    <x v="0"/>
    <x v="9"/>
  </r>
  <r>
    <x v="2"/>
    <m/>
    <m/>
    <m/>
    <m/>
    <m/>
    <x v="201"/>
    <x v="0"/>
    <x v="9"/>
  </r>
  <r>
    <x v="3"/>
    <m/>
    <m/>
    <m/>
    <m/>
    <m/>
    <x v="201"/>
    <x v="0"/>
    <x v="9"/>
  </r>
  <r>
    <x v="4"/>
    <m/>
    <n v="1778000"/>
    <m/>
    <n v="45000"/>
    <m/>
    <x v="201"/>
    <x v="0"/>
    <x v="9"/>
  </r>
  <r>
    <x v="5"/>
    <m/>
    <m/>
    <m/>
    <m/>
    <m/>
    <x v="201"/>
    <x v="0"/>
    <x v="9"/>
  </r>
  <r>
    <x v="6"/>
    <m/>
    <m/>
    <m/>
    <m/>
    <m/>
    <x v="201"/>
    <x v="0"/>
    <x v="9"/>
  </r>
  <r>
    <x v="7"/>
    <m/>
    <m/>
    <m/>
    <m/>
    <m/>
    <x v="201"/>
    <x v="0"/>
    <x v="9"/>
  </r>
  <r>
    <x v="8"/>
    <m/>
    <m/>
    <m/>
    <m/>
    <m/>
    <x v="201"/>
    <x v="0"/>
    <x v="9"/>
  </r>
  <r>
    <x v="9"/>
    <n v="2156000"/>
    <m/>
    <n v="324000"/>
    <m/>
    <m/>
    <x v="201"/>
    <x v="0"/>
    <x v="9"/>
  </r>
  <r>
    <x v="10"/>
    <m/>
    <m/>
    <m/>
    <m/>
    <m/>
    <x v="201"/>
    <x v="0"/>
    <x v="9"/>
  </r>
  <r>
    <x v="11"/>
    <m/>
    <m/>
    <m/>
    <m/>
    <m/>
    <x v="201"/>
    <x v="0"/>
    <x v="9"/>
  </r>
  <r>
    <x v="12"/>
    <m/>
    <m/>
    <m/>
    <m/>
    <m/>
    <x v="201"/>
    <x v="0"/>
    <x v="9"/>
  </r>
  <r>
    <x v="13"/>
    <m/>
    <m/>
    <m/>
    <m/>
    <m/>
    <x v="201"/>
    <x v="0"/>
    <x v="9"/>
  </r>
  <r>
    <x v="0"/>
    <m/>
    <m/>
    <m/>
    <m/>
    <m/>
    <x v="202"/>
    <x v="0"/>
    <x v="9"/>
  </r>
  <r>
    <x v="1"/>
    <m/>
    <m/>
    <m/>
    <m/>
    <m/>
    <x v="202"/>
    <x v="0"/>
    <x v="9"/>
  </r>
  <r>
    <x v="2"/>
    <m/>
    <m/>
    <m/>
    <m/>
    <m/>
    <x v="202"/>
    <x v="0"/>
    <x v="9"/>
  </r>
  <r>
    <x v="3"/>
    <m/>
    <m/>
    <m/>
    <m/>
    <m/>
    <x v="202"/>
    <x v="0"/>
    <x v="9"/>
  </r>
  <r>
    <x v="4"/>
    <m/>
    <m/>
    <m/>
    <n v="45000"/>
    <m/>
    <x v="202"/>
    <x v="0"/>
    <x v="9"/>
  </r>
  <r>
    <x v="5"/>
    <m/>
    <m/>
    <m/>
    <m/>
    <m/>
    <x v="202"/>
    <x v="0"/>
    <x v="9"/>
  </r>
  <r>
    <x v="6"/>
    <m/>
    <m/>
    <m/>
    <m/>
    <m/>
    <x v="202"/>
    <x v="0"/>
    <x v="9"/>
  </r>
  <r>
    <x v="7"/>
    <m/>
    <m/>
    <m/>
    <m/>
    <m/>
    <x v="202"/>
    <x v="0"/>
    <x v="9"/>
  </r>
  <r>
    <x v="8"/>
    <n v="54000"/>
    <m/>
    <m/>
    <m/>
    <m/>
    <x v="202"/>
    <x v="0"/>
    <x v="9"/>
  </r>
  <r>
    <x v="9"/>
    <n v="581000"/>
    <m/>
    <n v="49500"/>
    <n v="49500"/>
    <m/>
    <x v="202"/>
    <x v="0"/>
    <x v="9"/>
  </r>
  <r>
    <x v="10"/>
    <n v="162000"/>
    <n v="45000"/>
    <m/>
    <m/>
    <m/>
    <x v="202"/>
    <x v="0"/>
    <x v="9"/>
  </r>
  <r>
    <x v="11"/>
    <m/>
    <n v="90000"/>
    <m/>
    <n v="99500"/>
    <m/>
    <x v="202"/>
    <x v="0"/>
    <x v="9"/>
  </r>
  <r>
    <x v="12"/>
    <m/>
    <m/>
    <m/>
    <m/>
    <m/>
    <x v="202"/>
    <x v="0"/>
    <x v="9"/>
  </r>
  <r>
    <x v="13"/>
    <m/>
    <m/>
    <m/>
    <m/>
    <m/>
    <x v="202"/>
    <x v="0"/>
    <x v="9"/>
  </r>
  <r>
    <x v="0"/>
    <m/>
    <m/>
    <m/>
    <m/>
    <m/>
    <x v="203"/>
    <x v="0"/>
    <x v="9"/>
  </r>
  <r>
    <x v="1"/>
    <m/>
    <m/>
    <m/>
    <m/>
    <m/>
    <x v="203"/>
    <x v="0"/>
    <x v="9"/>
  </r>
  <r>
    <x v="2"/>
    <m/>
    <m/>
    <m/>
    <m/>
    <m/>
    <x v="203"/>
    <x v="0"/>
    <x v="9"/>
  </r>
  <r>
    <x v="3"/>
    <m/>
    <m/>
    <m/>
    <m/>
    <m/>
    <x v="203"/>
    <x v="0"/>
    <x v="9"/>
  </r>
  <r>
    <x v="4"/>
    <m/>
    <m/>
    <m/>
    <m/>
    <m/>
    <x v="203"/>
    <x v="0"/>
    <x v="9"/>
  </r>
  <r>
    <x v="5"/>
    <m/>
    <m/>
    <m/>
    <m/>
    <m/>
    <x v="203"/>
    <x v="0"/>
    <x v="9"/>
  </r>
  <r>
    <x v="6"/>
    <m/>
    <m/>
    <m/>
    <m/>
    <m/>
    <x v="203"/>
    <x v="0"/>
    <x v="9"/>
  </r>
  <r>
    <x v="7"/>
    <m/>
    <m/>
    <m/>
    <m/>
    <m/>
    <x v="203"/>
    <x v="0"/>
    <x v="9"/>
  </r>
  <r>
    <x v="8"/>
    <m/>
    <n v="378000"/>
    <m/>
    <n v="324000"/>
    <m/>
    <x v="203"/>
    <x v="0"/>
    <x v="9"/>
  </r>
  <r>
    <x v="9"/>
    <m/>
    <m/>
    <m/>
    <m/>
    <m/>
    <x v="203"/>
    <x v="0"/>
    <x v="9"/>
  </r>
  <r>
    <x v="10"/>
    <m/>
    <m/>
    <m/>
    <m/>
    <m/>
    <x v="203"/>
    <x v="0"/>
    <x v="9"/>
  </r>
  <r>
    <x v="11"/>
    <m/>
    <m/>
    <m/>
    <m/>
    <m/>
    <x v="203"/>
    <x v="0"/>
    <x v="9"/>
  </r>
  <r>
    <x v="12"/>
    <m/>
    <m/>
    <m/>
    <m/>
    <m/>
    <x v="203"/>
    <x v="0"/>
    <x v="9"/>
  </r>
  <r>
    <x v="13"/>
    <m/>
    <m/>
    <m/>
    <m/>
    <m/>
    <x v="203"/>
    <x v="0"/>
    <x v="9"/>
  </r>
  <r>
    <x v="0"/>
    <m/>
    <m/>
    <m/>
    <m/>
    <m/>
    <x v="204"/>
    <x v="0"/>
    <x v="9"/>
  </r>
  <r>
    <x v="1"/>
    <m/>
    <m/>
    <m/>
    <m/>
    <m/>
    <x v="204"/>
    <x v="0"/>
    <x v="9"/>
  </r>
  <r>
    <x v="2"/>
    <n v="679000"/>
    <n v="54000"/>
    <m/>
    <n v="108000"/>
    <m/>
    <x v="204"/>
    <x v="0"/>
    <x v="9"/>
  </r>
  <r>
    <x v="3"/>
    <m/>
    <m/>
    <m/>
    <m/>
    <m/>
    <x v="204"/>
    <x v="0"/>
    <x v="9"/>
  </r>
  <r>
    <x v="4"/>
    <m/>
    <m/>
    <m/>
    <m/>
    <m/>
    <x v="204"/>
    <x v="0"/>
    <x v="9"/>
  </r>
  <r>
    <x v="5"/>
    <m/>
    <n v="54000"/>
    <m/>
    <n v="216000"/>
    <m/>
    <x v="204"/>
    <x v="0"/>
    <x v="9"/>
  </r>
  <r>
    <x v="6"/>
    <m/>
    <n v="216000"/>
    <m/>
    <n v="162000"/>
    <m/>
    <x v="204"/>
    <x v="0"/>
    <x v="9"/>
  </r>
  <r>
    <x v="7"/>
    <m/>
    <m/>
    <m/>
    <m/>
    <m/>
    <x v="204"/>
    <x v="0"/>
    <x v="9"/>
  </r>
  <r>
    <x v="8"/>
    <m/>
    <n v="684000"/>
    <n v="45000"/>
    <n v="270000"/>
    <m/>
    <x v="204"/>
    <x v="0"/>
    <x v="9"/>
  </r>
  <r>
    <x v="9"/>
    <n v="108000"/>
    <m/>
    <m/>
    <m/>
    <m/>
    <x v="204"/>
    <x v="0"/>
    <x v="9"/>
  </r>
  <r>
    <x v="10"/>
    <m/>
    <m/>
    <m/>
    <m/>
    <m/>
    <x v="204"/>
    <x v="0"/>
    <x v="9"/>
  </r>
  <r>
    <x v="11"/>
    <m/>
    <m/>
    <m/>
    <m/>
    <m/>
    <x v="204"/>
    <x v="0"/>
    <x v="9"/>
  </r>
  <r>
    <x v="12"/>
    <m/>
    <n v="270000"/>
    <m/>
    <n v="270000"/>
    <m/>
    <x v="204"/>
    <x v="0"/>
    <x v="9"/>
  </r>
  <r>
    <x v="13"/>
    <m/>
    <m/>
    <m/>
    <m/>
    <m/>
    <x v="204"/>
    <x v="0"/>
    <x v="9"/>
  </r>
  <r>
    <x v="0"/>
    <m/>
    <m/>
    <m/>
    <m/>
    <m/>
    <x v="205"/>
    <x v="0"/>
    <x v="9"/>
  </r>
  <r>
    <x v="1"/>
    <m/>
    <n v="253000"/>
    <m/>
    <m/>
    <m/>
    <x v="205"/>
    <x v="0"/>
    <x v="9"/>
  </r>
  <r>
    <x v="2"/>
    <n v="2633500"/>
    <n v="207000"/>
    <m/>
    <n v="212000"/>
    <m/>
    <x v="205"/>
    <x v="0"/>
    <x v="9"/>
  </r>
  <r>
    <x v="3"/>
    <m/>
    <m/>
    <m/>
    <m/>
    <m/>
    <x v="205"/>
    <x v="0"/>
    <x v="9"/>
  </r>
  <r>
    <x v="4"/>
    <m/>
    <m/>
    <m/>
    <m/>
    <m/>
    <x v="205"/>
    <x v="0"/>
    <x v="9"/>
  </r>
  <r>
    <x v="5"/>
    <m/>
    <n v="216000"/>
    <m/>
    <n v="266000"/>
    <m/>
    <x v="205"/>
    <x v="0"/>
    <x v="9"/>
  </r>
  <r>
    <x v="6"/>
    <m/>
    <n v="99000"/>
    <m/>
    <n v="216000"/>
    <m/>
    <x v="205"/>
    <x v="0"/>
    <x v="9"/>
  </r>
  <r>
    <x v="7"/>
    <m/>
    <m/>
    <m/>
    <m/>
    <m/>
    <x v="205"/>
    <x v="0"/>
    <x v="9"/>
  </r>
  <r>
    <x v="8"/>
    <m/>
    <n v="158000"/>
    <m/>
    <n v="324000"/>
    <m/>
    <x v="205"/>
    <x v="0"/>
    <x v="9"/>
  </r>
  <r>
    <x v="9"/>
    <m/>
    <m/>
    <n v="45000"/>
    <m/>
    <m/>
    <x v="205"/>
    <x v="0"/>
    <x v="9"/>
  </r>
  <r>
    <x v="10"/>
    <m/>
    <m/>
    <m/>
    <m/>
    <m/>
    <x v="205"/>
    <x v="0"/>
    <x v="9"/>
  </r>
  <r>
    <x v="11"/>
    <m/>
    <m/>
    <m/>
    <m/>
    <m/>
    <x v="205"/>
    <x v="0"/>
    <x v="9"/>
  </r>
  <r>
    <x v="12"/>
    <m/>
    <n v="162000"/>
    <m/>
    <n v="216000"/>
    <m/>
    <x v="205"/>
    <x v="0"/>
    <x v="9"/>
  </r>
  <r>
    <x v="13"/>
    <m/>
    <m/>
    <m/>
    <m/>
    <m/>
    <x v="205"/>
    <x v="0"/>
    <x v="9"/>
  </r>
  <r>
    <x v="0"/>
    <m/>
    <m/>
    <m/>
    <m/>
    <m/>
    <x v="206"/>
    <x v="0"/>
    <x v="9"/>
  </r>
  <r>
    <x v="1"/>
    <m/>
    <m/>
    <m/>
    <m/>
    <m/>
    <x v="206"/>
    <x v="0"/>
    <x v="9"/>
  </r>
  <r>
    <x v="2"/>
    <n v="1512000"/>
    <m/>
    <m/>
    <n v="162000"/>
    <m/>
    <x v="206"/>
    <x v="0"/>
    <x v="9"/>
  </r>
  <r>
    <x v="3"/>
    <m/>
    <m/>
    <m/>
    <m/>
    <m/>
    <x v="206"/>
    <x v="0"/>
    <x v="9"/>
  </r>
  <r>
    <x v="4"/>
    <m/>
    <m/>
    <m/>
    <n v="216000"/>
    <m/>
    <x v="206"/>
    <x v="0"/>
    <x v="9"/>
  </r>
  <r>
    <x v="5"/>
    <m/>
    <n v="104000"/>
    <m/>
    <n v="216000"/>
    <m/>
    <x v="206"/>
    <x v="0"/>
    <x v="9"/>
  </r>
  <r>
    <x v="6"/>
    <m/>
    <n v="216000"/>
    <m/>
    <n v="216000"/>
    <m/>
    <x v="206"/>
    <x v="0"/>
    <x v="9"/>
  </r>
  <r>
    <x v="7"/>
    <m/>
    <m/>
    <m/>
    <m/>
    <m/>
    <x v="206"/>
    <x v="0"/>
    <x v="9"/>
  </r>
  <r>
    <x v="8"/>
    <m/>
    <n v="162000"/>
    <m/>
    <n v="162000"/>
    <m/>
    <x v="206"/>
    <x v="0"/>
    <x v="9"/>
  </r>
  <r>
    <x v="9"/>
    <m/>
    <m/>
    <m/>
    <m/>
    <m/>
    <x v="206"/>
    <x v="0"/>
    <x v="9"/>
  </r>
  <r>
    <x v="10"/>
    <m/>
    <m/>
    <m/>
    <m/>
    <m/>
    <x v="206"/>
    <x v="0"/>
    <x v="9"/>
  </r>
  <r>
    <x v="11"/>
    <m/>
    <m/>
    <m/>
    <m/>
    <m/>
    <x v="206"/>
    <x v="0"/>
    <x v="9"/>
  </r>
  <r>
    <x v="12"/>
    <m/>
    <n v="54000"/>
    <m/>
    <n v="108000"/>
    <m/>
    <x v="206"/>
    <x v="0"/>
    <x v="9"/>
  </r>
  <r>
    <x v="13"/>
    <m/>
    <m/>
    <m/>
    <m/>
    <m/>
    <x v="206"/>
    <x v="0"/>
    <x v="9"/>
  </r>
  <r>
    <x v="0"/>
    <m/>
    <m/>
    <m/>
    <m/>
    <m/>
    <x v="207"/>
    <x v="0"/>
    <x v="9"/>
  </r>
  <r>
    <x v="1"/>
    <m/>
    <m/>
    <m/>
    <m/>
    <m/>
    <x v="207"/>
    <x v="0"/>
    <x v="9"/>
  </r>
  <r>
    <x v="2"/>
    <n v="162000"/>
    <n v="108000"/>
    <m/>
    <n v="108000"/>
    <m/>
    <x v="207"/>
    <x v="0"/>
    <x v="9"/>
  </r>
  <r>
    <x v="3"/>
    <m/>
    <m/>
    <m/>
    <m/>
    <m/>
    <x v="207"/>
    <x v="0"/>
    <x v="9"/>
  </r>
  <r>
    <x v="4"/>
    <m/>
    <m/>
    <m/>
    <n v="324000"/>
    <m/>
    <x v="207"/>
    <x v="0"/>
    <x v="9"/>
  </r>
  <r>
    <x v="5"/>
    <m/>
    <n v="216000"/>
    <m/>
    <n v="216000"/>
    <m/>
    <x v="207"/>
    <x v="0"/>
    <x v="9"/>
  </r>
  <r>
    <x v="6"/>
    <m/>
    <n v="162000"/>
    <m/>
    <n v="212000"/>
    <m/>
    <x v="207"/>
    <x v="0"/>
    <x v="9"/>
  </r>
  <r>
    <x v="7"/>
    <m/>
    <m/>
    <m/>
    <m/>
    <m/>
    <x v="207"/>
    <x v="0"/>
    <x v="9"/>
  </r>
  <r>
    <x v="8"/>
    <m/>
    <n v="108000"/>
    <m/>
    <n v="108000"/>
    <m/>
    <x v="207"/>
    <x v="0"/>
    <x v="9"/>
  </r>
  <r>
    <x v="9"/>
    <m/>
    <m/>
    <m/>
    <m/>
    <m/>
    <x v="207"/>
    <x v="0"/>
    <x v="9"/>
  </r>
  <r>
    <x v="10"/>
    <n v="365000"/>
    <m/>
    <m/>
    <m/>
    <m/>
    <x v="207"/>
    <x v="0"/>
    <x v="9"/>
  </r>
  <r>
    <x v="11"/>
    <m/>
    <m/>
    <m/>
    <m/>
    <m/>
    <x v="207"/>
    <x v="0"/>
    <x v="9"/>
  </r>
  <r>
    <x v="12"/>
    <m/>
    <n v="270000"/>
    <m/>
    <n v="54000"/>
    <m/>
    <x v="207"/>
    <x v="0"/>
    <x v="9"/>
  </r>
  <r>
    <x v="13"/>
    <m/>
    <m/>
    <m/>
    <m/>
    <m/>
    <x v="207"/>
    <x v="0"/>
    <x v="9"/>
  </r>
  <r>
    <x v="0"/>
    <m/>
    <m/>
    <m/>
    <m/>
    <m/>
    <x v="208"/>
    <x v="0"/>
    <x v="9"/>
  </r>
  <r>
    <x v="1"/>
    <m/>
    <n v="45000"/>
    <m/>
    <m/>
    <m/>
    <x v="208"/>
    <x v="0"/>
    <x v="9"/>
  </r>
  <r>
    <x v="2"/>
    <m/>
    <n v="319500"/>
    <m/>
    <n v="104000"/>
    <m/>
    <x v="208"/>
    <x v="0"/>
    <x v="9"/>
  </r>
  <r>
    <x v="3"/>
    <m/>
    <m/>
    <m/>
    <m/>
    <m/>
    <x v="208"/>
    <x v="0"/>
    <x v="9"/>
  </r>
  <r>
    <x v="4"/>
    <m/>
    <m/>
    <m/>
    <n v="108000"/>
    <m/>
    <x v="208"/>
    <x v="0"/>
    <x v="9"/>
  </r>
  <r>
    <x v="5"/>
    <m/>
    <n v="216000"/>
    <m/>
    <n v="108000"/>
    <m/>
    <x v="208"/>
    <x v="0"/>
    <x v="9"/>
  </r>
  <r>
    <x v="6"/>
    <m/>
    <n v="211500"/>
    <m/>
    <n v="108000"/>
    <m/>
    <x v="208"/>
    <x v="0"/>
    <x v="9"/>
  </r>
  <r>
    <x v="7"/>
    <m/>
    <m/>
    <m/>
    <m/>
    <m/>
    <x v="208"/>
    <x v="0"/>
    <x v="9"/>
  </r>
  <r>
    <x v="8"/>
    <m/>
    <n v="270000"/>
    <m/>
    <n v="108000"/>
    <m/>
    <x v="208"/>
    <x v="0"/>
    <x v="9"/>
  </r>
  <r>
    <x v="9"/>
    <m/>
    <m/>
    <m/>
    <m/>
    <m/>
    <x v="208"/>
    <x v="0"/>
    <x v="9"/>
  </r>
  <r>
    <x v="10"/>
    <m/>
    <m/>
    <m/>
    <m/>
    <m/>
    <x v="208"/>
    <x v="0"/>
    <x v="9"/>
  </r>
  <r>
    <x v="11"/>
    <m/>
    <m/>
    <m/>
    <m/>
    <m/>
    <x v="208"/>
    <x v="0"/>
    <x v="9"/>
  </r>
  <r>
    <x v="12"/>
    <m/>
    <n v="108000"/>
    <m/>
    <n v="216000"/>
    <m/>
    <x v="208"/>
    <x v="0"/>
    <x v="9"/>
  </r>
  <r>
    <x v="13"/>
    <m/>
    <m/>
    <m/>
    <m/>
    <m/>
    <x v="208"/>
    <x v="0"/>
    <x v="9"/>
  </r>
  <r>
    <x v="0"/>
    <m/>
    <m/>
    <m/>
    <m/>
    <m/>
    <x v="209"/>
    <x v="0"/>
    <x v="9"/>
  </r>
  <r>
    <x v="1"/>
    <m/>
    <n v="162000"/>
    <m/>
    <m/>
    <m/>
    <x v="209"/>
    <x v="0"/>
    <x v="9"/>
  </r>
  <r>
    <x v="2"/>
    <m/>
    <n v="108000"/>
    <m/>
    <n v="216000"/>
    <m/>
    <x v="209"/>
    <x v="0"/>
    <x v="9"/>
  </r>
  <r>
    <x v="3"/>
    <m/>
    <m/>
    <m/>
    <m/>
    <m/>
    <x v="209"/>
    <x v="0"/>
    <x v="9"/>
  </r>
  <r>
    <x v="4"/>
    <m/>
    <m/>
    <m/>
    <n v="270000"/>
    <m/>
    <x v="209"/>
    <x v="0"/>
    <x v="9"/>
  </r>
  <r>
    <x v="5"/>
    <m/>
    <n v="104000"/>
    <m/>
    <n v="216000"/>
    <m/>
    <x v="209"/>
    <x v="0"/>
    <x v="9"/>
  </r>
  <r>
    <x v="6"/>
    <m/>
    <n v="99000"/>
    <m/>
    <n v="216000"/>
    <m/>
    <x v="209"/>
    <x v="0"/>
    <x v="9"/>
  </r>
  <r>
    <x v="7"/>
    <m/>
    <m/>
    <m/>
    <m/>
    <m/>
    <x v="209"/>
    <x v="0"/>
    <x v="9"/>
  </r>
  <r>
    <x v="8"/>
    <m/>
    <n v="216000"/>
    <m/>
    <n v="270000"/>
    <m/>
    <x v="209"/>
    <x v="0"/>
    <x v="9"/>
  </r>
  <r>
    <x v="9"/>
    <m/>
    <n v="378000"/>
    <m/>
    <n v="162000"/>
    <m/>
    <x v="209"/>
    <x v="0"/>
    <x v="9"/>
  </r>
  <r>
    <x v="10"/>
    <m/>
    <m/>
    <m/>
    <m/>
    <m/>
    <x v="209"/>
    <x v="0"/>
    <x v="9"/>
  </r>
  <r>
    <x v="11"/>
    <m/>
    <m/>
    <m/>
    <m/>
    <m/>
    <x v="209"/>
    <x v="0"/>
    <x v="9"/>
  </r>
  <r>
    <x v="12"/>
    <m/>
    <n v="108000"/>
    <m/>
    <m/>
    <m/>
    <x v="209"/>
    <x v="0"/>
    <x v="9"/>
  </r>
  <r>
    <x v="13"/>
    <m/>
    <m/>
    <m/>
    <m/>
    <m/>
    <x v="209"/>
    <x v="0"/>
    <x v="9"/>
  </r>
  <r>
    <x v="0"/>
    <m/>
    <m/>
    <m/>
    <m/>
    <m/>
    <x v="210"/>
    <x v="0"/>
    <x v="9"/>
  </r>
  <r>
    <x v="1"/>
    <m/>
    <m/>
    <m/>
    <m/>
    <m/>
    <x v="210"/>
    <x v="0"/>
    <x v="9"/>
  </r>
  <r>
    <x v="2"/>
    <m/>
    <n v="153000"/>
    <m/>
    <m/>
    <m/>
    <x v="210"/>
    <x v="0"/>
    <x v="9"/>
  </r>
  <r>
    <x v="3"/>
    <n v="864000"/>
    <m/>
    <n v="1242000"/>
    <m/>
    <n v="536000"/>
    <x v="210"/>
    <x v="0"/>
    <x v="9"/>
  </r>
  <r>
    <x v="4"/>
    <m/>
    <m/>
    <m/>
    <n v="216000"/>
    <m/>
    <x v="210"/>
    <x v="0"/>
    <x v="9"/>
  </r>
  <r>
    <x v="5"/>
    <m/>
    <n v="216000"/>
    <m/>
    <n v="162000"/>
    <m/>
    <x v="210"/>
    <x v="0"/>
    <x v="9"/>
  </r>
  <r>
    <x v="6"/>
    <m/>
    <n v="324000"/>
    <m/>
    <n v="162000"/>
    <m/>
    <x v="210"/>
    <x v="0"/>
    <x v="9"/>
  </r>
  <r>
    <x v="7"/>
    <m/>
    <m/>
    <m/>
    <m/>
    <m/>
    <x v="210"/>
    <x v="0"/>
    <x v="9"/>
  </r>
  <r>
    <x v="8"/>
    <m/>
    <m/>
    <m/>
    <n v="216000"/>
    <m/>
    <x v="210"/>
    <x v="0"/>
    <x v="9"/>
  </r>
  <r>
    <x v="9"/>
    <m/>
    <n v="216000"/>
    <m/>
    <n v="45000"/>
    <m/>
    <x v="210"/>
    <x v="0"/>
    <x v="9"/>
  </r>
  <r>
    <x v="10"/>
    <m/>
    <m/>
    <m/>
    <m/>
    <m/>
    <x v="210"/>
    <x v="0"/>
    <x v="9"/>
  </r>
  <r>
    <x v="11"/>
    <m/>
    <m/>
    <m/>
    <m/>
    <m/>
    <x v="210"/>
    <x v="0"/>
    <x v="9"/>
  </r>
  <r>
    <x v="12"/>
    <m/>
    <n v="108000"/>
    <m/>
    <m/>
    <m/>
    <x v="210"/>
    <x v="0"/>
    <x v="9"/>
  </r>
  <r>
    <x v="13"/>
    <m/>
    <m/>
    <m/>
    <m/>
    <m/>
    <x v="210"/>
    <x v="0"/>
    <x v="9"/>
  </r>
  <r>
    <x v="0"/>
    <m/>
    <m/>
    <m/>
    <m/>
    <m/>
    <x v="211"/>
    <x v="0"/>
    <x v="9"/>
  </r>
  <r>
    <x v="1"/>
    <m/>
    <m/>
    <m/>
    <m/>
    <m/>
    <x v="211"/>
    <x v="0"/>
    <x v="9"/>
  </r>
  <r>
    <x v="2"/>
    <m/>
    <n v="297000"/>
    <m/>
    <m/>
    <m/>
    <x v="211"/>
    <x v="0"/>
    <x v="9"/>
  </r>
  <r>
    <x v="3"/>
    <n v="900000"/>
    <m/>
    <n v="689000"/>
    <m/>
    <n v="522000"/>
    <x v="211"/>
    <x v="0"/>
    <x v="9"/>
  </r>
  <r>
    <x v="4"/>
    <m/>
    <m/>
    <m/>
    <n v="373500"/>
    <m/>
    <x v="211"/>
    <x v="0"/>
    <x v="9"/>
  </r>
  <r>
    <x v="5"/>
    <m/>
    <n v="252000"/>
    <m/>
    <n v="324000"/>
    <m/>
    <x v="211"/>
    <x v="0"/>
    <x v="9"/>
  </r>
  <r>
    <x v="6"/>
    <m/>
    <n v="270000"/>
    <m/>
    <n v="162000"/>
    <m/>
    <x v="211"/>
    <x v="0"/>
    <x v="9"/>
  </r>
  <r>
    <x v="7"/>
    <m/>
    <m/>
    <m/>
    <m/>
    <m/>
    <x v="211"/>
    <x v="0"/>
    <x v="9"/>
  </r>
  <r>
    <x v="8"/>
    <n v="324000"/>
    <m/>
    <n v="404000"/>
    <m/>
    <m/>
    <x v="211"/>
    <x v="0"/>
    <x v="9"/>
  </r>
  <r>
    <x v="9"/>
    <m/>
    <n v="104000"/>
    <m/>
    <n v="45000"/>
    <m/>
    <x v="211"/>
    <x v="0"/>
    <x v="9"/>
  </r>
  <r>
    <x v="10"/>
    <m/>
    <m/>
    <m/>
    <m/>
    <m/>
    <x v="211"/>
    <x v="0"/>
    <x v="9"/>
  </r>
  <r>
    <x v="11"/>
    <m/>
    <m/>
    <m/>
    <m/>
    <m/>
    <x v="211"/>
    <x v="0"/>
    <x v="9"/>
  </r>
  <r>
    <x v="12"/>
    <m/>
    <m/>
    <m/>
    <m/>
    <m/>
    <x v="211"/>
    <x v="0"/>
    <x v="9"/>
  </r>
  <r>
    <x v="13"/>
    <m/>
    <m/>
    <m/>
    <m/>
    <m/>
    <x v="211"/>
    <x v="0"/>
    <x v="9"/>
  </r>
  <r>
    <x v="0"/>
    <m/>
    <m/>
    <m/>
    <m/>
    <m/>
    <x v="212"/>
    <x v="0"/>
    <x v="10"/>
  </r>
  <r>
    <x v="1"/>
    <m/>
    <m/>
    <m/>
    <m/>
    <m/>
    <x v="212"/>
    <x v="0"/>
    <x v="10"/>
  </r>
  <r>
    <x v="2"/>
    <m/>
    <n v="54000"/>
    <m/>
    <m/>
    <m/>
    <x v="212"/>
    <x v="0"/>
    <x v="10"/>
  </r>
  <r>
    <x v="3"/>
    <n v="216000"/>
    <m/>
    <n v="266000"/>
    <m/>
    <m/>
    <x v="212"/>
    <x v="0"/>
    <x v="10"/>
  </r>
  <r>
    <x v="4"/>
    <m/>
    <m/>
    <m/>
    <n v="54000"/>
    <m/>
    <x v="212"/>
    <x v="0"/>
    <x v="10"/>
  </r>
  <r>
    <x v="5"/>
    <m/>
    <m/>
    <m/>
    <n v="54000"/>
    <m/>
    <x v="212"/>
    <x v="0"/>
    <x v="10"/>
  </r>
  <r>
    <x v="6"/>
    <m/>
    <n v="162000"/>
    <m/>
    <m/>
    <m/>
    <x v="212"/>
    <x v="0"/>
    <x v="10"/>
  </r>
  <r>
    <x v="7"/>
    <m/>
    <m/>
    <m/>
    <m/>
    <m/>
    <x v="212"/>
    <x v="0"/>
    <x v="10"/>
  </r>
  <r>
    <x v="8"/>
    <m/>
    <m/>
    <m/>
    <m/>
    <m/>
    <x v="212"/>
    <x v="0"/>
    <x v="10"/>
  </r>
  <r>
    <x v="9"/>
    <m/>
    <m/>
    <m/>
    <m/>
    <m/>
    <x v="212"/>
    <x v="0"/>
    <x v="10"/>
  </r>
  <r>
    <x v="10"/>
    <m/>
    <m/>
    <m/>
    <m/>
    <m/>
    <x v="212"/>
    <x v="0"/>
    <x v="10"/>
  </r>
  <r>
    <x v="11"/>
    <m/>
    <m/>
    <m/>
    <m/>
    <m/>
    <x v="212"/>
    <x v="0"/>
    <x v="10"/>
  </r>
  <r>
    <x v="12"/>
    <m/>
    <m/>
    <m/>
    <m/>
    <m/>
    <x v="212"/>
    <x v="0"/>
    <x v="10"/>
  </r>
  <r>
    <x v="13"/>
    <m/>
    <m/>
    <m/>
    <m/>
    <m/>
    <x v="212"/>
    <x v="0"/>
    <x v="10"/>
  </r>
  <r>
    <x v="0"/>
    <m/>
    <m/>
    <m/>
    <m/>
    <m/>
    <x v="213"/>
    <x v="0"/>
    <x v="10"/>
  </r>
  <r>
    <x v="1"/>
    <n v="162000"/>
    <n v="92000"/>
    <n v="216000"/>
    <m/>
    <m/>
    <x v="213"/>
    <x v="0"/>
    <x v="10"/>
  </r>
  <r>
    <x v="2"/>
    <m/>
    <n v="482000"/>
    <m/>
    <m/>
    <m/>
    <x v="213"/>
    <x v="0"/>
    <x v="10"/>
  </r>
  <r>
    <x v="3"/>
    <n v="207000"/>
    <m/>
    <n v="108000"/>
    <m/>
    <n v="315000"/>
    <x v="213"/>
    <x v="0"/>
    <x v="10"/>
  </r>
  <r>
    <x v="4"/>
    <m/>
    <m/>
    <m/>
    <n v="153000"/>
    <m/>
    <x v="213"/>
    <x v="0"/>
    <x v="10"/>
  </r>
  <r>
    <x v="5"/>
    <m/>
    <n v="149000"/>
    <m/>
    <n v="212000"/>
    <m/>
    <x v="213"/>
    <x v="0"/>
    <x v="10"/>
  </r>
  <r>
    <x v="6"/>
    <n v="216000"/>
    <n v="431000"/>
    <n v="216000"/>
    <n v="45000"/>
    <m/>
    <x v="213"/>
    <x v="0"/>
    <x v="10"/>
  </r>
  <r>
    <x v="7"/>
    <m/>
    <m/>
    <m/>
    <m/>
    <m/>
    <x v="213"/>
    <x v="0"/>
    <x v="10"/>
  </r>
  <r>
    <x v="8"/>
    <n v="54000"/>
    <m/>
    <n v="265500"/>
    <n v="45000"/>
    <m/>
    <x v="213"/>
    <x v="0"/>
    <x v="10"/>
  </r>
  <r>
    <x v="9"/>
    <m/>
    <n v="54000"/>
    <m/>
    <m/>
    <m/>
    <x v="213"/>
    <x v="0"/>
    <x v="10"/>
  </r>
  <r>
    <x v="10"/>
    <m/>
    <m/>
    <m/>
    <m/>
    <m/>
    <x v="213"/>
    <x v="0"/>
    <x v="10"/>
  </r>
  <r>
    <x v="11"/>
    <m/>
    <m/>
    <m/>
    <m/>
    <m/>
    <x v="213"/>
    <x v="0"/>
    <x v="10"/>
  </r>
  <r>
    <x v="12"/>
    <m/>
    <n v="53500"/>
    <m/>
    <m/>
    <m/>
    <x v="213"/>
    <x v="0"/>
    <x v="10"/>
  </r>
  <r>
    <x v="13"/>
    <n v="162000"/>
    <m/>
    <n v="428000"/>
    <m/>
    <m/>
    <x v="213"/>
    <x v="0"/>
    <x v="10"/>
  </r>
  <r>
    <x v="0"/>
    <m/>
    <m/>
    <m/>
    <m/>
    <m/>
    <x v="214"/>
    <x v="0"/>
    <x v="10"/>
  </r>
  <r>
    <x v="1"/>
    <n v="153000"/>
    <m/>
    <n v="162000"/>
    <m/>
    <m/>
    <x v="214"/>
    <x v="0"/>
    <x v="10"/>
  </r>
  <r>
    <x v="2"/>
    <m/>
    <n v="430000"/>
    <m/>
    <m/>
    <m/>
    <x v="214"/>
    <x v="0"/>
    <x v="10"/>
  </r>
  <r>
    <x v="3"/>
    <n v="315000"/>
    <m/>
    <n v="90000"/>
    <m/>
    <n v="225000"/>
    <x v="214"/>
    <x v="0"/>
    <x v="10"/>
  </r>
  <r>
    <x v="4"/>
    <m/>
    <m/>
    <m/>
    <m/>
    <m/>
    <x v="214"/>
    <x v="0"/>
    <x v="10"/>
  </r>
  <r>
    <x v="5"/>
    <m/>
    <n v="153000"/>
    <m/>
    <m/>
    <m/>
    <x v="214"/>
    <x v="0"/>
    <x v="10"/>
  </r>
  <r>
    <x v="6"/>
    <n v="216000"/>
    <n v="585000"/>
    <n v="108000"/>
    <n v="162000"/>
    <m/>
    <x v="214"/>
    <x v="0"/>
    <x v="10"/>
  </r>
  <r>
    <x v="7"/>
    <m/>
    <m/>
    <m/>
    <m/>
    <m/>
    <x v="214"/>
    <x v="0"/>
    <x v="10"/>
  </r>
  <r>
    <x v="8"/>
    <n v="162000"/>
    <n v="216000"/>
    <n v="540000"/>
    <m/>
    <m/>
    <x v="214"/>
    <x v="0"/>
    <x v="10"/>
  </r>
  <r>
    <x v="9"/>
    <m/>
    <m/>
    <m/>
    <m/>
    <m/>
    <x v="214"/>
    <x v="0"/>
    <x v="10"/>
  </r>
  <r>
    <x v="10"/>
    <m/>
    <m/>
    <m/>
    <m/>
    <m/>
    <x v="214"/>
    <x v="0"/>
    <x v="10"/>
  </r>
  <r>
    <x v="11"/>
    <m/>
    <m/>
    <m/>
    <m/>
    <m/>
    <x v="214"/>
    <x v="0"/>
    <x v="10"/>
  </r>
  <r>
    <x v="12"/>
    <m/>
    <m/>
    <m/>
    <m/>
    <m/>
    <x v="214"/>
    <x v="0"/>
    <x v="10"/>
  </r>
  <r>
    <x v="13"/>
    <n v="270000"/>
    <n v="54000"/>
    <n v="270000"/>
    <m/>
    <m/>
    <x v="214"/>
    <x v="0"/>
    <x v="10"/>
  </r>
  <r>
    <x v="0"/>
    <m/>
    <m/>
    <m/>
    <m/>
    <m/>
    <x v="215"/>
    <x v="0"/>
    <x v="10"/>
  </r>
  <r>
    <x v="1"/>
    <m/>
    <m/>
    <m/>
    <m/>
    <m/>
    <x v="215"/>
    <x v="0"/>
    <x v="10"/>
  </r>
  <r>
    <x v="2"/>
    <m/>
    <n v="428000"/>
    <m/>
    <m/>
    <m/>
    <x v="215"/>
    <x v="0"/>
    <x v="10"/>
  </r>
  <r>
    <x v="3"/>
    <n v="751500"/>
    <m/>
    <m/>
    <m/>
    <m/>
    <x v="215"/>
    <x v="0"/>
    <x v="10"/>
  </r>
  <r>
    <x v="4"/>
    <n v="162000"/>
    <m/>
    <n v="266000"/>
    <m/>
    <m/>
    <x v="215"/>
    <x v="0"/>
    <x v="10"/>
  </r>
  <r>
    <x v="5"/>
    <m/>
    <m/>
    <m/>
    <m/>
    <m/>
    <x v="215"/>
    <x v="0"/>
    <x v="10"/>
  </r>
  <r>
    <x v="6"/>
    <n v="99000"/>
    <n v="324000"/>
    <m/>
    <n v="540000"/>
    <m/>
    <x v="215"/>
    <x v="0"/>
    <x v="10"/>
  </r>
  <r>
    <x v="7"/>
    <m/>
    <m/>
    <m/>
    <m/>
    <m/>
    <x v="215"/>
    <x v="0"/>
    <x v="10"/>
  </r>
  <r>
    <x v="8"/>
    <n v="266000"/>
    <n v="216000"/>
    <n v="698000"/>
    <m/>
    <m/>
    <x v="215"/>
    <x v="0"/>
    <x v="10"/>
  </r>
  <r>
    <x v="9"/>
    <m/>
    <m/>
    <m/>
    <m/>
    <m/>
    <x v="215"/>
    <x v="0"/>
    <x v="10"/>
  </r>
  <r>
    <x v="10"/>
    <m/>
    <m/>
    <m/>
    <m/>
    <m/>
    <x v="215"/>
    <x v="0"/>
    <x v="10"/>
  </r>
  <r>
    <x v="11"/>
    <m/>
    <m/>
    <m/>
    <m/>
    <m/>
    <x v="215"/>
    <x v="0"/>
    <x v="10"/>
  </r>
  <r>
    <x v="12"/>
    <m/>
    <m/>
    <m/>
    <m/>
    <m/>
    <x v="215"/>
    <x v="0"/>
    <x v="10"/>
  </r>
  <r>
    <x v="13"/>
    <n v="366000"/>
    <m/>
    <n v="212000"/>
    <m/>
    <m/>
    <x v="215"/>
    <x v="0"/>
    <x v="10"/>
  </r>
  <r>
    <x v="0"/>
    <m/>
    <m/>
    <m/>
    <m/>
    <m/>
    <x v="216"/>
    <x v="0"/>
    <x v="10"/>
  </r>
  <r>
    <x v="1"/>
    <m/>
    <m/>
    <m/>
    <m/>
    <m/>
    <x v="216"/>
    <x v="0"/>
    <x v="10"/>
  </r>
  <r>
    <x v="2"/>
    <n v="369000"/>
    <n v="630000"/>
    <m/>
    <n v="45000"/>
    <m/>
    <x v="216"/>
    <x v="0"/>
    <x v="10"/>
  </r>
  <r>
    <x v="3"/>
    <n v="466000"/>
    <m/>
    <m/>
    <m/>
    <m/>
    <x v="216"/>
    <x v="0"/>
    <x v="10"/>
  </r>
  <r>
    <x v="4"/>
    <n v="312000"/>
    <m/>
    <n v="486000"/>
    <m/>
    <m/>
    <x v="216"/>
    <x v="0"/>
    <x v="10"/>
  </r>
  <r>
    <x v="5"/>
    <m/>
    <m/>
    <m/>
    <m/>
    <m/>
    <x v="216"/>
    <x v="0"/>
    <x v="10"/>
  </r>
  <r>
    <x v="6"/>
    <n v="149000"/>
    <n v="408000"/>
    <n v="162000"/>
    <m/>
    <m/>
    <x v="216"/>
    <x v="0"/>
    <x v="10"/>
  </r>
  <r>
    <x v="7"/>
    <m/>
    <m/>
    <m/>
    <m/>
    <m/>
    <x v="216"/>
    <x v="0"/>
    <x v="10"/>
  </r>
  <r>
    <x v="8"/>
    <n v="162000"/>
    <n v="486000"/>
    <n v="90000"/>
    <n v="108000"/>
    <m/>
    <x v="216"/>
    <x v="0"/>
    <x v="10"/>
  </r>
  <r>
    <x v="9"/>
    <m/>
    <m/>
    <m/>
    <m/>
    <m/>
    <x v="216"/>
    <x v="0"/>
    <x v="10"/>
  </r>
  <r>
    <x v="10"/>
    <n v="261000"/>
    <m/>
    <n v="486000"/>
    <m/>
    <m/>
    <x v="216"/>
    <x v="0"/>
    <x v="10"/>
  </r>
  <r>
    <x v="11"/>
    <m/>
    <m/>
    <m/>
    <m/>
    <m/>
    <x v="216"/>
    <x v="0"/>
    <x v="10"/>
  </r>
  <r>
    <x v="12"/>
    <m/>
    <m/>
    <m/>
    <m/>
    <m/>
    <x v="216"/>
    <x v="0"/>
    <x v="10"/>
  </r>
  <r>
    <x v="13"/>
    <m/>
    <m/>
    <m/>
    <m/>
    <m/>
    <x v="216"/>
    <x v="0"/>
    <x v="10"/>
  </r>
  <r>
    <x v="0"/>
    <m/>
    <m/>
    <m/>
    <m/>
    <m/>
    <x v="217"/>
    <x v="0"/>
    <x v="10"/>
  </r>
  <r>
    <x v="1"/>
    <n v="108000"/>
    <m/>
    <n v="108000"/>
    <m/>
    <m/>
    <x v="217"/>
    <x v="0"/>
    <x v="10"/>
  </r>
  <r>
    <x v="2"/>
    <n v="270000"/>
    <n v="576000"/>
    <m/>
    <n v="45000"/>
    <m/>
    <x v="217"/>
    <x v="0"/>
    <x v="10"/>
  </r>
  <r>
    <x v="3"/>
    <n v="580000"/>
    <m/>
    <m/>
    <m/>
    <m/>
    <x v="217"/>
    <x v="0"/>
    <x v="10"/>
  </r>
  <r>
    <x v="4"/>
    <n v="198000"/>
    <m/>
    <m/>
    <m/>
    <m/>
    <x v="217"/>
    <x v="0"/>
    <x v="10"/>
  </r>
  <r>
    <x v="5"/>
    <m/>
    <n v="108000"/>
    <m/>
    <m/>
    <m/>
    <x v="217"/>
    <x v="0"/>
    <x v="10"/>
  </r>
  <r>
    <x v="6"/>
    <n v="108000"/>
    <n v="477000"/>
    <m/>
    <n v="140000"/>
    <m/>
    <x v="217"/>
    <x v="0"/>
    <x v="10"/>
  </r>
  <r>
    <x v="7"/>
    <m/>
    <m/>
    <m/>
    <m/>
    <m/>
    <x v="217"/>
    <x v="0"/>
    <x v="10"/>
  </r>
  <r>
    <x v="8"/>
    <n v="216000"/>
    <n v="54000"/>
    <m/>
    <n v="162000"/>
    <m/>
    <x v="217"/>
    <x v="0"/>
    <x v="10"/>
  </r>
  <r>
    <x v="9"/>
    <m/>
    <m/>
    <m/>
    <m/>
    <m/>
    <x v="217"/>
    <x v="0"/>
    <x v="10"/>
  </r>
  <r>
    <x v="10"/>
    <n v="648000"/>
    <m/>
    <m/>
    <m/>
    <m/>
    <x v="217"/>
    <x v="0"/>
    <x v="10"/>
  </r>
  <r>
    <x v="11"/>
    <m/>
    <m/>
    <m/>
    <m/>
    <m/>
    <x v="217"/>
    <x v="0"/>
    <x v="10"/>
  </r>
  <r>
    <x v="12"/>
    <m/>
    <n v="45000"/>
    <m/>
    <m/>
    <m/>
    <x v="217"/>
    <x v="0"/>
    <x v="10"/>
  </r>
  <r>
    <x v="13"/>
    <n v="162000"/>
    <m/>
    <n v="90000"/>
    <m/>
    <m/>
    <x v="217"/>
    <x v="0"/>
    <x v="10"/>
  </r>
  <r>
    <x v="0"/>
    <m/>
    <m/>
    <m/>
    <m/>
    <m/>
    <x v="218"/>
    <x v="0"/>
    <x v="10"/>
  </r>
  <r>
    <x v="1"/>
    <n v="212000"/>
    <m/>
    <m/>
    <m/>
    <m/>
    <x v="218"/>
    <x v="0"/>
    <x v="10"/>
  </r>
  <r>
    <x v="2"/>
    <n v="270000"/>
    <n v="99000"/>
    <m/>
    <m/>
    <m/>
    <x v="218"/>
    <x v="0"/>
    <x v="10"/>
  </r>
  <r>
    <x v="3"/>
    <n v="747000"/>
    <m/>
    <m/>
    <m/>
    <m/>
    <x v="218"/>
    <x v="0"/>
    <x v="10"/>
  </r>
  <r>
    <x v="4"/>
    <n v="211500"/>
    <m/>
    <m/>
    <m/>
    <m/>
    <x v="218"/>
    <x v="0"/>
    <x v="10"/>
  </r>
  <r>
    <x v="5"/>
    <m/>
    <m/>
    <m/>
    <m/>
    <m/>
    <x v="218"/>
    <x v="0"/>
    <x v="10"/>
  </r>
  <r>
    <x v="6"/>
    <n v="265500"/>
    <m/>
    <m/>
    <m/>
    <m/>
    <x v="218"/>
    <x v="0"/>
    <x v="10"/>
  </r>
  <r>
    <x v="7"/>
    <m/>
    <m/>
    <m/>
    <m/>
    <m/>
    <x v="218"/>
    <x v="0"/>
    <x v="10"/>
  </r>
  <r>
    <x v="8"/>
    <n v="378000"/>
    <m/>
    <m/>
    <m/>
    <m/>
    <x v="218"/>
    <x v="0"/>
    <x v="10"/>
  </r>
  <r>
    <x v="9"/>
    <m/>
    <n v="351000"/>
    <m/>
    <m/>
    <m/>
    <x v="218"/>
    <x v="0"/>
    <x v="10"/>
  </r>
  <r>
    <x v="10"/>
    <n v="432000"/>
    <m/>
    <m/>
    <m/>
    <m/>
    <x v="218"/>
    <x v="0"/>
    <x v="10"/>
  </r>
  <r>
    <x v="11"/>
    <m/>
    <m/>
    <m/>
    <m/>
    <m/>
    <x v="218"/>
    <x v="0"/>
    <x v="10"/>
  </r>
  <r>
    <x v="12"/>
    <m/>
    <n v="45000"/>
    <m/>
    <m/>
    <m/>
    <x v="218"/>
    <x v="0"/>
    <x v="10"/>
  </r>
  <r>
    <x v="13"/>
    <n v="216000"/>
    <m/>
    <m/>
    <m/>
    <m/>
    <x v="218"/>
    <x v="0"/>
    <x v="10"/>
  </r>
  <r>
    <x v="0"/>
    <m/>
    <m/>
    <m/>
    <m/>
    <m/>
    <x v="219"/>
    <x v="0"/>
    <x v="10"/>
  </r>
  <r>
    <x v="1"/>
    <n v="162000"/>
    <m/>
    <m/>
    <m/>
    <m/>
    <x v="219"/>
    <x v="0"/>
    <x v="10"/>
  </r>
  <r>
    <x v="2"/>
    <n v="262000"/>
    <n v="527000"/>
    <n v="266000"/>
    <n v="374000"/>
    <m/>
    <x v="219"/>
    <x v="0"/>
    <x v="10"/>
  </r>
  <r>
    <x v="3"/>
    <n v="378000"/>
    <m/>
    <m/>
    <m/>
    <m/>
    <x v="219"/>
    <x v="0"/>
    <x v="10"/>
  </r>
  <r>
    <x v="4"/>
    <n v="268000"/>
    <m/>
    <m/>
    <m/>
    <m/>
    <x v="219"/>
    <x v="0"/>
    <x v="10"/>
  </r>
  <r>
    <x v="5"/>
    <m/>
    <m/>
    <m/>
    <m/>
    <m/>
    <x v="219"/>
    <x v="0"/>
    <x v="10"/>
  </r>
  <r>
    <x v="6"/>
    <n v="162000"/>
    <m/>
    <m/>
    <m/>
    <m/>
    <x v="219"/>
    <x v="0"/>
    <x v="10"/>
  </r>
  <r>
    <x v="7"/>
    <m/>
    <m/>
    <m/>
    <m/>
    <m/>
    <x v="219"/>
    <x v="0"/>
    <x v="10"/>
  </r>
  <r>
    <x v="8"/>
    <n v="153000"/>
    <m/>
    <m/>
    <m/>
    <m/>
    <x v="219"/>
    <x v="0"/>
    <x v="10"/>
  </r>
  <r>
    <x v="9"/>
    <m/>
    <m/>
    <m/>
    <m/>
    <m/>
    <x v="219"/>
    <x v="0"/>
    <x v="10"/>
  </r>
  <r>
    <x v="10"/>
    <n v="212000"/>
    <m/>
    <m/>
    <m/>
    <m/>
    <x v="219"/>
    <x v="0"/>
    <x v="10"/>
  </r>
  <r>
    <x v="11"/>
    <m/>
    <m/>
    <m/>
    <m/>
    <m/>
    <x v="219"/>
    <x v="0"/>
    <x v="10"/>
  </r>
  <r>
    <x v="12"/>
    <m/>
    <m/>
    <m/>
    <m/>
    <m/>
    <x v="219"/>
    <x v="0"/>
    <x v="10"/>
  </r>
  <r>
    <x v="13"/>
    <m/>
    <m/>
    <m/>
    <m/>
    <m/>
    <x v="219"/>
    <x v="0"/>
    <x v="10"/>
  </r>
  <r>
    <x v="0"/>
    <m/>
    <m/>
    <m/>
    <m/>
    <m/>
    <x v="220"/>
    <x v="0"/>
    <x v="10"/>
  </r>
  <r>
    <x v="1"/>
    <n v="108000"/>
    <m/>
    <m/>
    <m/>
    <m/>
    <x v="220"/>
    <x v="0"/>
    <x v="10"/>
  </r>
  <r>
    <x v="2"/>
    <n v="216000"/>
    <n v="972000"/>
    <n v="689000"/>
    <n v="1026000"/>
    <n v="590000"/>
    <x v="220"/>
    <x v="0"/>
    <x v="10"/>
  </r>
  <r>
    <x v="3"/>
    <n v="324000"/>
    <m/>
    <m/>
    <m/>
    <m/>
    <x v="220"/>
    <x v="0"/>
    <x v="10"/>
  </r>
  <r>
    <x v="4"/>
    <n v="108000"/>
    <m/>
    <m/>
    <m/>
    <m/>
    <x v="220"/>
    <x v="0"/>
    <x v="10"/>
  </r>
  <r>
    <x v="5"/>
    <m/>
    <m/>
    <m/>
    <m/>
    <m/>
    <x v="220"/>
    <x v="0"/>
    <x v="10"/>
  </r>
  <r>
    <x v="6"/>
    <n v="108000"/>
    <m/>
    <m/>
    <m/>
    <m/>
    <x v="220"/>
    <x v="0"/>
    <x v="10"/>
  </r>
  <r>
    <x v="7"/>
    <m/>
    <m/>
    <m/>
    <m/>
    <m/>
    <x v="220"/>
    <x v="0"/>
    <x v="10"/>
  </r>
  <r>
    <x v="8"/>
    <n v="215500"/>
    <n v="54000"/>
    <m/>
    <m/>
    <m/>
    <x v="220"/>
    <x v="0"/>
    <x v="10"/>
  </r>
  <r>
    <x v="9"/>
    <m/>
    <m/>
    <m/>
    <n v="270000"/>
    <m/>
    <x v="220"/>
    <x v="0"/>
    <x v="10"/>
  </r>
  <r>
    <x v="10"/>
    <n v="108000"/>
    <m/>
    <m/>
    <m/>
    <m/>
    <x v="220"/>
    <x v="0"/>
    <x v="10"/>
  </r>
  <r>
    <x v="11"/>
    <m/>
    <m/>
    <m/>
    <m/>
    <m/>
    <x v="220"/>
    <x v="0"/>
    <x v="10"/>
  </r>
  <r>
    <x v="12"/>
    <m/>
    <m/>
    <m/>
    <m/>
    <m/>
    <x v="220"/>
    <x v="0"/>
    <x v="10"/>
  </r>
  <r>
    <x v="13"/>
    <n v="108000"/>
    <m/>
    <m/>
    <m/>
    <m/>
    <x v="220"/>
    <x v="0"/>
    <x v="10"/>
  </r>
  <r>
    <x v="0"/>
    <m/>
    <m/>
    <m/>
    <m/>
    <m/>
    <x v="221"/>
    <x v="0"/>
    <x v="10"/>
  </r>
  <r>
    <x v="1"/>
    <n v="45000"/>
    <m/>
    <m/>
    <m/>
    <m/>
    <x v="221"/>
    <x v="0"/>
    <x v="10"/>
  </r>
  <r>
    <x v="2"/>
    <n v="261000"/>
    <n v="464000"/>
    <m/>
    <n v="378000"/>
    <n v="356000"/>
    <x v="221"/>
    <x v="0"/>
    <x v="10"/>
  </r>
  <r>
    <x v="3"/>
    <n v="702000"/>
    <m/>
    <m/>
    <m/>
    <m/>
    <x v="221"/>
    <x v="0"/>
    <x v="10"/>
  </r>
  <r>
    <x v="4"/>
    <n v="212000"/>
    <m/>
    <m/>
    <m/>
    <m/>
    <x v="221"/>
    <x v="0"/>
    <x v="10"/>
  </r>
  <r>
    <x v="5"/>
    <m/>
    <m/>
    <m/>
    <n v="104000"/>
    <m/>
    <x v="221"/>
    <x v="0"/>
    <x v="10"/>
  </r>
  <r>
    <x v="6"/>
    <n v="108000"/>
    <m/>
    <m/>
    <m/>
    <m/>
    <x v="221"/>
    <x v="0"/>
    <x v="10"/>
  </r>
  <r>
    <x v="7"/>
    <m/>
    <m/>
    <m/>
    <m/>
    <m/>
    <x v="221"/>
    <x v="0"/>
    <x v="10"/>
  </r>
  <r>
    <x v="8"/>
    <n v="324000"/>
    <m/>
    <m/>
    <m/>
    <m/>
    <x v="221"/>
    <x v="0"/>
    <x v="10"/>
  </r>
  <r>
    <x v="9"/>
    <m/>
    <n v="162000"/>
    <m/>
    <n v="45000"/>
    <m/>
    <x v="221"/>
    <x v="0"/>
    <x v="10"/>
  </r>
  <r>
    <x v="10"/>
    <n v="482000"/>
    <m/>
    <m/>
    <m/>
    <m/>
    <x v="221"/>
    <x v="0"/>
    <x v="10"/>
  </r>
  <r>
    <x v="11"/>
    <m/>
    <m/>
    <m/>
    <m/>
    <m/>
    <x v="221"/>
    <x v="0"/>
    <x v="10"/>
  </r>
  <r>
    <x v="12"/>
    <m/>
    <m/>
    <m/>
    <m/>
    <m/>
    <x v="221"/>
    <x v="0"/>
    <x v="10"/>
  </r>
  <r>
    <x v="13"/>
    <n v="54000"/>
    <n v="378000"/>
    <m/>
    <n v="644000"/>
    <m/>
    <x v="221"/>
    <x v="0"/>
    <x v="10"/>
  </r>
  <r>
    <x v="0"/>
    <m/>
    <m/>
    <m/>
    <m/>
    <m/>
    <x v="222"/>
    <x v="0"/>
    <x v="10"/>
  </r>
  <r>
    <x v="1"/>
    <m/>
    <m/>
    <m/>
    <m/>
    <m/>
    <x v="222"/>
    <x v="0"/>
    <x v="10"/>
  </r>
  <r>
    <x v="2"/>
    <n v="257000"/>
    <n v="49500"/>
    <m/>
    <n v="162000"/>
    <n v="54000"/>
    <x v="222"/>
    <x v="0"/>
    <x v="10"/>
  </r>
  <r>
    <x v="3"/>
    <n v="536000"/>
    <m/>
    <m/>
    <m/>
    <m/>
    <x v="222"/>
    <x v="0"/>
    <x v="10"/>
  </r>
  <r>
    <x v="4"/>
    <n v="45000"/>
    <m/>
    <m/>
    <m/>
    <m/>
    <x v="222"/>
    <x v="0"/>
    <x v="10"/>
  </r>
  <r>
    <x v="5"/>
    <m/>
    <n v="374000"/>
    <m/>
    <n v="432000"/>
    <m/>
    <x v="222"/>
    <x v="0"/>
    <x v="10"/>
  </r>
  <r>
    <x v="6"/>
    <n v="162000"/>
    <m/>
    <m/>
    <m/>
    <n v="540000"/>
    <x v="222"/>
    <x v="0"/>
    <x v="10"/>
  </r>
  <r>
    <x v="7"/>
    <m/>
    <m/>
    <m/>
    <m/>
    <m/>
    <x v="222"/>
    <x v="0"/>
    <x v="10"/>
  </r>
  <r>
    <x v="8"/>
    <n v="162000"/>
    <m/>
    <m/>
    <m/>
    <m/>
    <x v="222"/>
    <x v="0"/>
    <x v="10"/>
  </r>
  <r>
    <x v="9"/>
    <m/>
    <n v="585500"/>
    <m/>
    <n v="45000"/>
    <m/>
    <x v="222"/>
    <x v="0"/>
    <x v="10"/>
  </r>
  <r>
    <x v="10"/>
    <n v="270000"/>
    <m/>
    <m/>
    <m/>
    <m/>
    <x v="222"/>
    <x v="0"/>
    <x v="10"/>
  </r>
  <r>
    <x v="11"/>
    <m/>
    <m/>
    <m/>
    <m/>
    <m/>
    <x v="222"/>
    <x v="0"/>
    <x v="10"/>
  </r>
  <r>
    <x v="12"/>
    <m/>
    <m/>
    <m/>
    <m/>
    <m/>
    <x v="222"/>
    <x v="0"/>
    <x v="10"/>
  </r>
  <r>
    <x v="13"/>
    <n v="45000"/>
    <n v="486000"/>
    <m/>
    <n v="146000"/>
    <m/>
    <x v="222"/>
    <x v="0"/>
    <x v="10"/>
  </r>
  <r>
    <x v="0"/>
    <m/>
    <m/>
    <m/>
    <m/>
    <m/>
    <x v="223"/>
    <x v="0"/>
    <x v="10"/>
  </r>
  <r>
    <x v="1"/>
    <m/>
    <m/>
    <m/>
    <m/>
    <m/>
    <x v="223"/>
    <x v="0"/>
    <x v="10"/>
  </r>
  <r>
    <x v="2"/>
    <n v="428000"/>
    <n v="319500"/>
    <m/>
    <m/>
    <m/>
    <x v="223"/>
    <x v="0"/>
    <x v="10"/>
  </r>
  <r>
    <x v="3"/>
    <n v="747000"/>
    <m/>
    <m/>
    <m/>
    <m/>
    <x v="223"/>
    <x v="0"/>
    <x v="10"/>
  </r>
  <r>
    <x v="4"/>
    <n v="50000"/>
    <m/>
    <m/>
    <m/>
    <m/>
    <x v="223"/>
    <x v="0"/>
    <x v="10"/>
  </r>
  <r>
    <x v="5"/>
    <m/>
    <n v="536000"/>
    <m/>
    <m/>
    <m/>
    <x v="223"/>
    <x v="0"/>
    <x v="10"/>
  </r>
  <r>
    <x v="6"/>
    <n v="378000"/>
    <m/>
    <m/>
    <m/>
    <n v="189000"/>
    <x v="223"/>
    <x v="0"/>
    <x v="10"/>
  </r>
  <r>
    <x v="7"/>
    <m/>
    <m/>
    <m/>
    <m/>
    <m/>
    <x v="223"/>
    <x v="0"/>
    <x v="10"/>
  </r>
  <r>
    <x v="8"/>
    <n v="270000"/>
    <m/>
    <m/>
    <m/>
    <m/>
    <x v="223"/>
    <x v="0"/>
    <x v="10"/>
  </r>
  <r>
    <x v="9"/>
    <m/>
    <n v="481000"/>
    <m/>
    <m/>
    <m/>
    <x v="223"/>
    <x v="0"/>
    <x v="10"/>
  </r>
  <r>
    <x v="10"/>
    <m/>
    <m/>
    <m/>
    <m/>
    <m/>
    <x v="223"/>
    <x v="0"/>
    <x v="10"/>
  </r>
  <r>
    <x v="11"/>
    <m/>
    <m/>
    <m/>
    <m/>
    <m/>
    <x v="223"/>
    <x v="0"/>
    <x v="10"/>
  </r>
  <r>
    <x v="12"/>
    <m/>
    <m/>
    <m/>
    <m/>
    <m/>
    <x v="223"/>
    <x v="0"/>
    <x v="10"/>
  </r>
  <r>
    <x v="13"/>
    <m/>
    <n v="695500"/>
    <m/>
    <m/>
    <m/>
    <x v="223"/>
    <x v="0"/>
    <x v="10"/>
  </r>
  <r>
    <x v="0"/>
    <m/>
    <m/>
    <m/>
    <m/>
    <m/>
    <x v="224"/>
    <x v="0"/>
    <x v="10"/>
  </r>
  <r>
    <x v="1"/>
    <m/>
    <m/>
    <m/>
    <m/>
    <m/>
    <x v="224"/>
    <x v="0"/>
    <x v="10"/>
  </r>
  <r>
    <x v="2"/>
    <n v="162000"/>
    <n v="908500"/>
    <m/>
    <m/>
    <m/>
    <x v="224"/>
    <x v="0"/>
    <x v="10"/>
  </r>
  <r>
    <x v="3"/>
    <n v="864000"/>
    <m/>
    <m/>
    <m/>
    <m/>
    <x v="224"/>
    <x v="0"/>
    <x v="10"/>
  </r>
  <r>
    <x v="4"/>
    <m/>
    <m/>
    <m/>
    <m/>
    <m/>
    <x v="224"/>
    <x v="0"/>
    <x v="10"/>
  </r>
  <r>
    <x v="5"/>
    <m/>
    <n v="45000"/>
    <m/>
    <n v="270000"/>
    <m/>
    <x v="224"/>
    <x v="0"/>
    <x v="10"/>
  </r>
  <r>
    <x v="6"/>
    <n v="378000"/>
    <m/>
    <m/>
    <m/>
    <n v="270000"/>
    <x v="224"/>
    <x v="0"/>
    <x v="10"/>
  </r>
  <r>
    <x v="7"/>
    <m/>
    <m/>
    <m/>
    <m/>
    <m/>
    <x v="224"/>
    <x v="0"/>
    <x v="10"/>
  </r>
  <r>
    <x v="8"/>
    <m/>
    <m/>
    <m/>
    <m/>
    <m/>
    <x v="224"/>
    <x v="0"/>
    <x v="10"/>
  </r>
  <r>
    <x v="9"/>
    <m/>
    <n v="590000"/>
    <m/>
    <m/>
    <m/>
    <x v="224"/>
    <x v="0"/>
    <x v="10"/>
  </r>
  <r>
    <x v="10"/>
    <m/>
    <m/>
    <m/>
    <m/>
    <m/>
    <x v="224"/>
    <x v="0"/>
    <x v="10"/>
  </r>
  <r>
    <x v="11"/>
    <m/>
    <m/>
    <m/>
    <m/>
    <m/>
    <x v="224"/>
    <x v="0"/>
    <x v="10"/>
  </r>
  <r>
    <x v="12"/>
    <m/>
    <m/>
    <m/>
    <m/>
    <m/>
    <x v="224"/>
    <x v="0"/>
    <x v="10"/>
  </r>
  <r>
    <x v="13"/>
    <m/>
    <n v="323500"/>
    <m/>
    <n v="162000"/>
    <m/>
    <x v="224"/>
    <x v="0"/>
    <x v="10"/>
  </r>
  <r>
    <x v="0"/>
    <m/>
    <m/>
    <m/>
    <m/>
    <m/>
    <x v="225"/>
    <x v="0"/>
    <x v="10"/>
  </r>
  <r>
    <x v="1"/>
    <m/>
    <n v="162000"/>
    <m/>
    <m/>
    <m/>
    <x v="225"/>
    <x v="0"/>
    <x v="10"/>
  </r>
  <r>
    <x v="2"/>
    <n v="270000"/>
    <n v="1342000"/>
    <m/>
    <m/>
    <m/>
    <x v="225"/>
    <x v="0"/>
    <x v="10"/>
  </r>
  <r>
    <x v="3"/>
    <n v="797000"/>
    <m/>
    <m/>
    <m/>
    <m/>
    <x v="225"/>
    <x v="0"/>
    <x v="10"/>
  </r>
  <r>
    <x v="4"/>
    <m/>
    <m/>
    <m/>
    <m/>
    <m/>
    <x v="225"/>
    <x v="0"/>
    <x v="10"/>
  </r>
  <r>
    <x v="5"/>
    <m/>
    <m/>
    <m/>
    <n v="50000"/>
    <m/>
    <x v="225"/>
    <x v="0"/>
    <x v="10"/>
  </r>
  <r>
    <x v="6"/>
    <n v="432000"/>
    <m/>
    <m/>
    <m/>
    <m/>
    <x v="225"/>
    <x v="0"/>
    <x v="10"/>
  </r>
  <r>
    <x v="7"/>
    <m/>
    <m/>
    <m/>
    <m/>
    <m/>
    <x v="225"/>
    <x v="0"/>
    <x v="10"/>
  </r>
  <r>
    <x v="8"/>
    <m/>
    <m/>
    <m/>
    <m/>
    <m/>
    <x v="225"/>
    <x v="0"/>
    <x v="10"/>
  </r>
  <r>
    <x v="9"/>
    <m/>
    <n v="486000"/>
    <m/>
    <m/>
    <m/>
    <x v="225"/>
    <x v="0"/>
    <x v="10"/>
  </r>
  <r>
    <x v="10"/>
    <m/>
    <m/>
    <m/>
    <m/>
    <m/>
    <x v="225"/>
    <x v="0"/>
    <x v="10"/>
  </r>
  <r>
    <x v="11"/>
    <m/>
    <m/>
    <m/>
    <m/>
    <m/>
    <x v="225"/>
    <x v="0"/>
    <x v="10"/>
  </r>
  <r>
    <x v="12"/>
    <m/>
    <m/>
    <m/>
    <m/>
    <m/>
    <x v="225"/>
    <x v="0"/>
    <x v="10"/>
  </r>
  <r>
    <x v="13"/>
    <m/>
    <n v="162000"/>
    <m/>
    <m/>
    <m/>
    <x v="225"/>
    <x v="0"/>
    <x v="10"/>
  </r>
  <r>
    <x v="0"/>
    <m/>
    <m/>
    <m/>
    <m/>
    <m/>
    <x v="226"/>
    <x v="0"/>
    <x v="10"/>
  </r>
  <r>
    <x v="1"/>
    <n v="49500"/>
    <n v="594000"/>
    <m/>
    <m/>
    <m/>
    <x v="226"/>
    <x v="0"/>
    <x v="10"/>
  </r>
  <r>
    <x v="2"/>
    <n v="270000"/>
    <n v="756000"/>
    <n v="45000"/>
    <n v="54000"/>
    <m/>
    <x v="226"/>
    <x v="0"/>
    <x v="10"/>
  </r>
  <r>
    <x v="3"/>
    <n v="378000"/>
    <m/>
    <m/>
    <m/>
    <m/>
    <x v="226"/>
    <x v="0"/>
    <x v="10"/>
  </r>
  <r>
    <x v="4"/>
    <m/>
    <m/>
    <m/>
    <m/>
    <m/>
    <x v="226"/>
    <x v="0"/>
    <x v="10"/>
  </r>
  <r>
    <x v="5"/>
    <m/>
    <m/>
    <m/>
    <n v="54000"/>
    <m/>
    <x v="226"/>
    <x v="0"/>
    <x v="10"/>
  </r>
  <r>
    <x v="6"/>
    <n v="270000"/>
    <m/>
    <m/>
    <n v="50000"/>
    <m/>
    <x v="226"/>
    <x v="0"/>
    <x v="10"/>
  </r>
  <r>
    <x v="7"/>
    <m/>
    <m/>
    <m/>
    <m/>
    <m/>
    <x v="226"/>
    <x v="0"/>
    <x v="10"/>
  </r>
  <r>
    <x v="8"/>
    <n v="162000"/>
    <m/>
    <m/>
    <m/>
    <m/>
    <x v="226"/>
    <x v="0"/>
    <x v="10"/>
  </r>
  <r>
    <x v="9"/>
    <m/>
    <n v="216000"/>
    <m/>
    <m/>
    <m/>
    <x v="226"/>
    <x v="0"/>
    <x v="10"/>
  </r>
  <r>
    <x v="10"/>
    <n v="432000"/>
    <m/>
    <m/>
    <m/>
    <m/>
    <x v="226"/>
    <x v="0"/>
    <x v="10"/>
  </r>
  <r>
    <x v="11"/>
    <m/>
    <m/>
    <m/>
    <m/>
    <m/>
    <x v="226"/>
    <x v="0"/>
    <x v="10"/>
  </r>
  <r>
    <x v="12"/>
    <n v="54000"/>
    <m/>
    <m/>
    <m/>
    <m/>
    <x v="226"/>
    <x v="0"/>
    <x v="10"/>
  </r>
  <r>
    <x v="13"/>
    <m/>
    <m/>
    <m/>
    <m/>
    <m/>
    <x v="226"/>
    <x v="0"/>
    <x v="10"/>
  </r>
  <r>
    <x v="0"/>
    <m/>
    <m/>
    <m/>
    <m/>
    <m/>
    <x v="227"/>
    <x v="0"/>
    <x v="10"/>
  </r>
  <r>
    <x v="1"/>
    <m/>
    <n v="216000"/>
    <m/>
    <m/>
    <m/>
    <x v="227"/>
    <x v="0"/>
    <x v="10"/>
  </r>
  <r>
    <x v="2"/>
    <n v="270000"/>
    <n v="698000"/>
    <m/>
    <m/>
    <m/>
    <x v="227"/>
    <x v="0"/>
    <x v="10"/>
  </r>
  <r>
    <x v="3"/>
    <n v="755500"/>
    <m/>
    <m/>
    <m/>
    <n v="270000"/>
    <x v="227"/>
    <x v="0"/>
    <x v="10"/>
  </r>
  <r>
    <x v="4"/>
    <m/>
    <m/>
    <m/>
    <m/>
    <m/>
    <x v="227"/>
    <x v="0"/>
    <x v="10"/>
  </r>
  <r>
    <x v="5"/>
    <m/>
    <m/>
    <m/>
    <n v="45000"/>
    <m/>
    <x v="227"/>
    <x v="0"/>
    <x v="10"/>
  </r>
  <r>
    <x v="6"/>
    <n v="324000"/>
    <m/>
    <m/>
    <m/>
    <m/>
    <x v="227"/>
    <x v="0"/>
    <x v="10"/>
  </r>
  <r>
    <x v="7"/>
    <m/>
    <m/>
    <m/>
    <m/>
    <m/>
    <x v="227"/>
    <x v="0"/>
    <x v="10"/>
  </r>
  <r>
    <x v="8"/>
    <m/>
    <n v="50000"/>
    <m/>
    <m/>
    <m/>
    <x v="227"/>
    <x v="0"/>
    <x v="10"/>
  </r>
  <r>
    <x v="9"/>
    <n v="319500"/>
    <n v="45000"/>
    <m/>
    <n v="95000"/>
    <m/>
    <x v="227"/>
    <x v="0"/>
    <x v="10"/>
  </r>
  <r>
    <x v="10"/>
    <n v="432000"/>
    <m/>
    <m/>
    <m/>
    <m/>
    <x v="227"/>
    <x v="0"/>
    <x v="10"/>
  </r>
  <r>
    <x v="11"/>
    <m/>
    <m/>
    <m/>
    <m/>
    <m/>
    <x v="227"/>
    <x v="0"/>
    <x v="10"/>
  </r>
  <r>
    <x v="12"/>
    <m/>
    <m/>
    <m/>
    <m/>
    <m/>
    <x v="227"/>
    <x v="0"/>
    <x v="10"/>
  </r>
  <r>
    <x v="13"/>
    <n v="52000"/>
    <m/>
    <m/>
    <n v="45000"/>
    <m/>
    <x v="227"/>
    <x v="0"/>
    <x v="10"/>
  </r>
  <r>
    <x v="0"/>
    <m/>
    <m/>
    <m/>
    <m/>
    <m/>
    <x v="228"/>
    <x v="0"/>
    <x v="10"/>
  </r>
  <r>
    <x v="1"/>
    <m/>
    <m/>
    <m/>
    <m/>
    <m/>
    <x v="228"/>
    <x v="0"/>
    <x v="10"/>
  </r>
  <r>
    <x v="2"/>
    <n v="432000"/>
    <m/>
    <m/>
    <m/>
    <m/>
    <x v="228"/>
    <x v="0"/>
    <x v="10"/>
  </r>
  <r>
    <x v="3"/>
    <n v="378000"/>
    <m/>
    <m/>
    <m/>
    <n v="324000"/>
    <x v="228"/>
    <x v="0"/>
    <x v="10"/>
  </r>
  <r>
    <x v="4"/>
    <m/>
    <n v="968000"/>
    <m/>
    <n v="972000"/>
    <m/>
    <x v="228"/>
    <x v="0"/>
    <x v="10"/>
  </r>
  <r>
    <x v="5"/>
    <m/>
    <m/>
    <m/>
    <m/>
    <m/>
    <x v="228"/>
    <x v="0"/>
    <x v="10"/>
  </r>
  <r>
    <x v="6"/>
    <n v="108000"/>
    <m/>
    <m/>
    <m/>
    <m/>
    <x v="228"/>
    <x v="0"/>
    <x v="10"/>
  </r>
  <r>
    <x v="7"/>
    <m/>
    <m/>
    <m/>
    <m/>
    <m/>
    <x v="228"/>
    <x v="0"/>
    <x v="10"/>
  </r>
  <r>
    <x v="8"/>
    <m/>
    <m/>
    <n v="486000"/>
    <m/>
    <m/>
    <x v="228"/>
    <x v="0"/>
    <x v="10"/>
  </r>
  <r>
    <x v="9"/>
    <n v="481000"/>
    <m/>
    <m/>
    <n v="90000"/>
    <m/>
    <x v="228"/>
    <x v="0"/>
    <x v="10"/>
  </r>
  <r>
    <x v="10"/>
    <m/>
    <m/>
    <m/>
    <m/>
    <m/>
    <x v="228"/>
    <x v="0"/>
    <x v="10"/>
  </r>
  <r>
    <x v="11"/>
    <m/>
    <m/>
    <m/>
    <m/>
    <m/>
    <x v="228"/>
    <x v="0"/>
    <x v="10"/>
  </r>
  <r>
    <x v="12"/>
    <m/>
    <m/>
    <m/>
    <m/>
    <m/>
    <x v="228"/>
    <x v="0"/>
    <x v="10"/>
  </r>
  <r>
    <x v="13"/>
    <m/>
    <m/>
    <m/>
    <m/>
    <m/>
    <x v="228"/>
    <x v="0"/>
    <x v="10"/>
  </r>
  <r>
    <x v="0"/>
    <m/>
    <m/>
    <m/>
    <m/>
    <m/>
    <x v="229"/>
    <x v="0"/>
    <x v="10"/>
  </r>
  <r>
    <x v="1"/>
    <m/>
    <m/>
    <m/>
    <m/>
    <m/>
    <x v="229"/>
    <x v="0"/>
    <x v="10"/>
  </r>
  <r>
    <x v="2"/>
    <n v="432000"/>
    <m/>
    <m/>
    <m/>
    <m/>
    <x v="229"/>
    <x v="0"/>
    <x v="10"/>
  </r>
  <r>
    <x v="3"/>
    <m/>
    <m/>
    <m/>
    <m/>
    <m/>
    <x v="229"/>
    <x v="0"/>
    <x v="10"/>
  </r>
  <r>
    <x v="4"/>
    <m/>
    <n v="1336500"/>
    <m/>
    <n v="590000"/>
    <m/>
    <x v="229"/>
    <x v="0"/>
    <x v="10"/>
  </r>
  <r>
    <x v="5"/>
    <m/>
    <m/>
    <m/>
    <n v="45000"/>
    <m/>
    <x v="229"/>
    <x v="0"/>
    <x v="10"/>
  </r>
  <r>
    <x v="6"/>
    <m/>
    <m/>
    <m/>
    <m/>
    <m/>
    <x v="229"/>
    <x v="0"/>
    <x v="10"/>
  </r>
  <r>
    <x v="7"/>
    <m/>
    <m/>
    <m/>
    <m/>
    <m/>
    <x v="229"/>
    <x v="0"/>
    <x v="10"/>
  </r>
  <r>
    <x v="8"/>
    <m/>
    <m/>
    <m/>
    <m/>
    <m/>
    <x v="229"/>
    <x v="0"/>
    <x v="10"/>
  </r>
  <r>
    <x v="9"/>
    <n v="540000"/>
    <m/>
    <m/>
    <m/>
    <m/>
    <x v="229"/>
    <x v="0"/>
    <x v="10"/>
  </r>
  <r>
    <x v="10"/>
    <n v="486000"/>
    <m/>
    <m/>
    <m/>
    <m/>
    <x v="229"/>
    <x v="0"/>
    <x v="10"/>
  </r>
  <r>
    <x v="11"/>
    <m/>
    <m/>
    <m/>
    <m/>
    <m/>
    <x v="229"/>
    <x v="0"/>
    <x v="10"/>
  </r>
  <r>
    <x v="12"/>
    <m/>
    <m/>
    <m/>
    <m/>
    <m/>
    <x v="229"/>
    <x v="0"/>
    <x v="10"/>
  </r>
  <r>
    <x v="13"/>
    <n v="324000"/>
    <m/>
    <n v="810000"/>
    <m/>
    <m/>
    <x v="229"/>
    <x v="0"/>
    <x v="10"/>
  </r>
  <r>
    <x v="0"/>
    <m/>
    <m/>
    <m/>
    <m/>
    <m/>
    <x v="230"/>
    <x v="0"/>
    <x v="10"/>
  </r>
  <r>
    <x v="1"/>
    <m/>
    <m/>
    <m/>
    <m/>
    <m/>
    <x v="230"/>
    <x v="0"/>
    <x v="10"/>
  </r>
  <r>
    <x v="2"/>
    <n v="270000"/>
    <m/>
    <m/>
    <m/>
    <m/>
    <x v="230"/>
    <x v="0"/>
    <x v="10"/>
  </r>
  <r>
    <x v="3"/>
    <m/>
    <m/>
    <m/>
    <m/>
    <m/>
    <x v="230"/>
    <x v="0"/>
    <x v="10"/>
  </r>
  <r>
    <x v="4"/>
    <m/>
    <n v="540000"/>
    <m/>
    <n v="378000"/>
    <m/>
    <x v="230"/>
    <x v="0"/>
    <x v="10"/>
  </r>
  <r>
    <x v="5"/>
    <m/>
    <m/>
    <m/>
    <m/>
    <m/>
    <x v="230"/>
    <x v="0"/>
    <x v="10"/>
  </r>
  <r>
    <x v="6"/>
    <m/>
    <m/>
    <m/>
    <m/>
    <m/>
    <x v="230"/>
    <x v="0"/>
    <x v="10"/>
  </r>
  <r>
    <x v="7"/>
    <m/>
    <m/>
    <m/>
    <m/>
    <m/>
    <x v="230"/>
    <x v="0"/>
    <x v="10"/>
  </r>
  <r>
    <x v="8"/>
    <m/>
    <m/>
    <m/>
    <m/>
    <m/>
    <x v="230"/>
    <x v="0"/>
    <x v="10"/>
  </r>
  <r>
    <x v="9"/>
    <n v="373500"/>
    <m/>
    <m/>
    <m/>
    <m/>
    <x v="230"/>
    <x v="0"/>
    <x v="10"/>
  </r>
  <r>
    <x v="10"/>
    <n v="486000"/>
    <m/>
    <m/>
    <m/>
    <m/>
    <x v="230"/>
    <x v="0"/>
    <x v="10"/>
  </r>
  <r>
    <x v="11"/>
    <m/>
    <m/>
    <m/>
    <m/>
    <m/>
    <x v="230"/>
    <x v="0"/>
    <x v="10"/>
  </r>
  <r>
    <x v="12"/>
    <m/>
    <m/>
    <m/>
    <m/>
    <m/>
    <x v="230"/>
    <x v="0"/>
    <x v="10"/>
  </r>
  <r>
    <x v="13"/>
    <n v="324000"/>
    <m/>
    <n v="198000"/>
    <m/>
    <m/>
    <x v="230"/>
    <x v="0"/>
    <x v="10"/>
  </r>
  <r>
    <x v="0"/>
    <m/>
    <m/>
    <m/>
    <m/>
    <m/>
    <x v="231"/>
    <x v="0"/>
    <x v="10"/>
  </r>
  <r>
    <x v="1"/>
    <m/>
    <m/>
    <m/>
    <m/>
    <m/>
    <x v="231"/>
    <x v="0"/>
    <x v="10"/>
  </r>
  <r>
    <x v="2"/>
    <n v="216000"/>
    <m/>
    <m/>
    <m/>
    <m/>
    <x v="231"/>
    <x v="0"/>
    <x v="10"/>
  </r>
  <r>
    <x v="3"/>
    <m/>
    <m/>
    <m/>
    <m/>
    <m/>
    <x v="231"/>
    <x v="0"/>
    <x v="10"/>
  </r>
  <r>
    <x v="4"/>
    <m/>
    <n v="54000"/>
    <m/>
    <n v="54000"/>
    <m/>
    <x v="231"/>
    <x v="0"/>
    <x v="10"/>
  </r>
  <r>
    <x v="5"/>
    <m/>
    <m/>
    <m/>
    <m/>
    <m/>
    <x v="231"/>
    <x v="0"/>
    <x v="10"/>
  </r>
  <r>
    <x v="6"/>
    <m/>
    <m/>
    <m/>
    <m/>
    <m/>
    <x v="231"/>
    <x v="0"/>
    <x v="10"/>
  </r>
  <r>
    <x v="7"/>
    <m/>
    <m/>
    <m/>
    <m/>
    <m/>
    <x v="231"/>
    <x v="0"/>
    <x v="10"/>
  </r>
  <r>
    <x v="8"/>
    <m/>
    <m/>
    <m/>
    <m/>
    <m/>
    <x v="231"/>
    <x v="0"/>
    <x v="10"/>
  </r>
  <r>
    <x v="9"/>
    <n v="644000"/>
    <m/>
    <m/>
    <m/>
    <m/>
    <x v="231"/>
    <x v="0"/>
    <x v="10"/>
  </r>
  <r>
    <x v="10"/>
    <n v="216000"/>
    <m/>
    <m/>
    <m/>
    <m/>
    <x v="231"/>
    <x v="0"/>
    <x v="10"/>
  </r>
  <r>
    <x v="11"/>
    <m/>
    <n v="1503000"/>
    <m/>
    <n v="432000"/>
    <m/>
    <x v="231"/>
    <x v="0"/>
    <x v="10"/>
  </r>
  <r>
    <x v="12"/>
    <m/>
    <m/>
    <m/>
    <m/>
    <m/>
    <x v="231"/>
    <x v="0"/>
    <x v="10"/>
  </r>
  <r>
    <x v="13"/>
    <n v="536000"/>
    <m/>
    <n v="45000"/>
    <m/>
    <m/>
    <x v="231"/>
    <x v="0"/>
    <x v="10"/>
  </r>
  <r>
    <x v="0"/>
    <m/>
    <m/>
    <m/>
    <m/>
    <m/>
    <x v="232"/>
    <x v="0"/>
    <x v="10"/>
  </r>
  <r>
    <x v="1"/>
    <m/>
    <m/>
    <m/>
    <m/>
    <m/>
    <x v="232"/>
    <x v="0"/>
    <x v="10"/>
  </r>
  <r>
    <x v="2"/>
    <m/>
    <m/>
    <m/>
    <n v="270000"/>
    <m/>
    <x v="232"/>
    <x v="0"/>
    <x v="10"/>
  </r>
  <r>
    <x v="3"/>
    <n v="1890000"/>
    <n v="540000"/>
    <m/>
    <n v="432000"/>
    <m/>
    <x v="232"/>
    <x v="0"/>
    <x v="10"/>
  </r>
  <r>
    <x v="4"/>
    <m/>
    <m/>
    <m/>
    <m/>
    <m/>
    <x v="232"/>
    <x v="0"/>
    <x v="10"/>
  </r>
  <r>
    <x v="5"/>
    <m/>
    <m/>
    <m/>
    <m/>
    <m/>
    <x v="232"/>
    <x v="0"/>
    <x v="10"/>
  </r>
  <r>
    <x v="6"/>
    <m/>
    <m/>
    <m/>
    <m/>
    <m/>
    <x v="232"/>
    <x v="0"/>
    <x v="10"/>
  </r>
  <r>
    <x v="7"/>
    <m/>
    <m/>
    <m/>
    <m/>
    <m/>
    <x v="232"/>
    <x v="0"/>
    <x v="10"/>
  </r>
  <r>
    <x v="8"/>
    <m/>
    <n v="306000"/>
    <m/>
    <m/>
    <m/>
    <x v="232"/>
    <x v="0"/>
    <x v="10"/>
  </r>
  <r>
    <x v="9"/>
    <n v="54000"/>
    <m/>
    <m/>
    <m/>
    <m/>
    <x v="232"/>
    <x v="0"/>
    <x v="10"/>
  </r>
  <r>
    <x v="10"/>
    <m/>
    <m/>
    <m/>
    <m/>
    <m/>
    <x v="232"/>
    <x v="0"/>
    <x v="10"/>
  </r>
  <r>
    <x v="11"/>
    <m/>
    <n v="270000"/>
    <m/>
    <m/>
    <m/>
    <x v="232"/>
    <x v="0"/>
    <x v="10"/>
  </r>
  <r>
    <x v="12"/>
    <m/>
    <m/>
    <m/>
    <m/>
    <m/>
    <x v="232"/>
    <x v="0"/>
    <x v="10"/>
  </r>
  <r>
    <x v="13"/>
    <n v="216000"/>
    <m/>
    <n v="47000"/>
    <m/>
    <m/>
    <x v="232"/>
    <x v="0"/>
    <x v="10"/>
  </r>
  <r>
    <x v="0"/>
    <m/>
    <m/>
    <m/>
    <m/>
    <m/>
    <x v="233"/>
    <x v="0"/>
    <x v="10"/>
  </r>
  <r>
    <x v="1"/>
    <m/>
    <m/>
    <m/>
    <m/>
    <m/>
    <x v="233"/>
    <x v="0"/>
    <x v="10"/>
  </r>
  <r>
    <x v="2"/>
    <n v="162000"/>
    <m/>
    <m/>
    <n v="108000"/>
    <m/>
    <x v="233"/>
    <x v="0"/>
    <x v="10"/>
  </r>
  <r>
    <x v="3"/>
    <n v="2031500"/>
    <n v="684000"/>
    <m/>
    <n v="108000"/>
    <m/>
    <x v="233"/>
    <x v="0"/>
    <x v="10"/>
  </r>
  <r>
    <x v="4"/>
    <n v="90000"/>
    <n v="54000"/>
    <m/>
    <m/>
    <m/>
    <x v="233"/>
    <x v="0"/>
    <x v="10"/>
  </r>
  <r>
    <x v="5"/>
    <m/>
    <n v="103500"/>
    <m/>
    <n v="108000"/>
    <m/>
    <x v="233"/>
    <x v="0"/>
    <x v="10"/>
  </r>
  <r>
    <x v="6"/>
    <m/>
    <m/>
    <m/>
    <m/>
    <m/>
    <x v="233"/>
    <x v="0"/>
    <x v="10"/>
  </r>
  <r>
    <x v="7"/>
    <m/>
    <m/>
    <m/>
    <m/>
    <m/>
    <x v="233"/>
    <x v="0"/>
    <x v="10"/>
  </r>
  <r>
    <x v="8"/>
    <m/>
    <n v="261000"/>
    <m/>
    <m/>
    <m/>
    <x v="233"/>
    <x v="0"/>
    <x v="10"/>
  </r>
  <r>
    <x v="9"/>
    <n v="108000"/>
    <m/>
    <m/>
    <n v="162000"/>
    <m/>
    <x v="233"/>
    <x v="0"/>
    <x v="10"/>
  </r>
  <r>
    <x v="10"/>
    <m/>
    <m/>
    <m/>
    <m/>
    <m/>
    <x v="233"/>
    <x v="0"/>
    <x v="10"/>
  </r>
  <r>
    <x v="11"/>
    <m/>
    <n v="162000"/>
    <m/>
    <m/>
    <m/>
    <x v="233"/>
    <x v="0"/>
    <x v="10"/>
  </r>
  <r>
    <x v="12"/>
    <m/>
    <m/>
    <m/>
    <m/>
    <m/>
    <x v="233"/>
    <x v="0"/>
    <x v="10"/>
  </r>
  <r>
    <x v="13"/>
    <n v="45000"/>
    <m/>
    <m/>
    <m/>
    <m/>
    <x v="233"/>
    <x v="0"/>
    <x v="10"/>
  </r>
  <r>
    <x v="0"/>
    <m/>
    <m/>
    <m/>
    <m/>
    <m/>
    <x v="234"/>
    <x v="0"/>
    <x v="10"/>
  </r>
  <r>
    <x v="1"/>
    <m/>
    <m/>
    <m/>
    <m/>
    <m/>
    <x v="234"/>
    <x v="0"/>
    <x v="10"/>
  </r>
  <r>
    <x v="2"/>
    <m/>
    <m/>
    <m/>
    <n v="162000"/>
    <m/>
    <x v="234"/>
    <x v="0"/>
    <x v="10"/>
  </r>
  <r>
    <x v="3"/>
    <m/>
    <m/>
    <m/>
    <m/>
    <m/>
    <x v="234"/>
    <x v="0"/>
    <x v="10"/>
  </r>
  <r>
    <x v="4"/>
    <m/>
    <n v="45000"/>
    <m/>
    <m/>
    <m/>
    <x v="234"/>
    <x v="0"/>
    <x v="10"/>
  </r>
  <r>
    <x v="5"/>
    <m/>
    <n v="1159000"/>
    <m/>
    <n v="378000"/>
    <m/>
    <x v="234"/>
    <x v="0"/>
    <x v="10"/>
  </r>
  <r>
    <x v="6"/>
    <m/>
    <m/>
    <m/>
    <m/>
    <m/>
    <x v="234"/>
    <x v="0"/>
    <x v="10"/>
  </r>
  <r>
    <x v="7"/>
    <m/>
    <m/>
    <m/>
    <m/>
    <m/>
    <x v="234"/>
    <x v="0"/>
    <x v="10"/>
  </r>
  <r>
    <x v="8"/>
    <m/>
    <m/>
    <m/>
    <n v="162000"/>
    <m/>
    <x v="234"/>
    <x v="0"/>
    <x v="10"/>
  </r>
  <r>
    <x v="9"/>
    <n v="1234000"/>
    <m/>
    <m/>
    <n v="216000"/>
    <m/>
    <x v="234"/>
    <x v="0"/>
    <x v="10"/>
  </r>
  <r>
    <x v="10"/>
    <m/>
    <m/>
    <m/>
    <m/>
    <m/>
    <x v="234"/>
    <x v="0"/>
    <x v="10"/>
  </r>
  <r>
    <x v="11"/>
    <m/>
    <n v="54000"/>
    <m/>
    <m/>
    <m/>
    <x v="234"/>
    <x v="0"/>
    <x v="10"/>
  </r>
  <r>
    <x v="12"/>
    <m/>
    <m/>
    <m/>
    <m/>
    <m/>
    <x v="234"/>
    <x v="0"/>
    <x v="10"/>
  </r>
  <r>
    <x v="13"/>
    <m/>
    <m/>
    <m/>
    <m/>
    <m/>
    <x v="234"/>
    <x v="0"/>
    <x v="10"/>
  </r>
  <r>
    <x v="0"/>
    <m/>
    <m/>
    <m/>
    <m/>
    <m/>
    <x v="235"/>
    <x v="0"/>
    <x v="10"/>
  </r>
  <r>
    <x v="1"/>
    <m/>
    <m/>
    <m/>
    <m/>
    <m/>
    <x v="235"/>
    <x v="0"/>
    <x v="10"/>
  </r>
  <r>
    <x v="2"/>
    <m/>
    <m/>
    <m/>
    <n v="54000"/>
    <m/>
    <x v="235"/>
    <x v="0"/>
    <x v="10"/>
  </r>
  <r>
    <x v="3"/>
    <m/>
    <m/>
    <m/>
    <m/>
    <m/>
    <x v="235"/>
    <x v="0"/>
    <x v="10"/>
  </r>
  <r>
    <x v="4"/>
    <m/>
    <m/>
    <m/>
    <m/>
    <m/>
    <x v="235"/>
    <x v="0"/>
    <x v="10"/>
  </r>
  <r>
    <x v="5"/>
    <m/>
    <n v="270000"/>
    <m/>
    <n v="108000"/>
    <m/>
    <x v="235"/>
    <x v="0"/>
    <x v="10"/>
  </r>
  <r>
    <x v="6"/>
    <m/>
    <m/>
    <m/>
    <m/>
    <m/>
    <x v="235"/>
    <x v="0"/>
    <x v="10"/>
  </r>
  <r>
    <x v="7"/>
    <m/>
    <m/>
    <m/>
    <m/>
    <m/>
    <x v="235"/>
    <x v="0"/>
    <x v="10"/>
  </r>
  <r>
    <x v="8"/>
    <m/>
    <m/>
    <m/>
    <n v="108000"/>
    <m/>
    <x v="235"/>
    <x v="0"/>
    <x v="10"/>
  </r>
  <r>
    <x v="9"/>
    <n v="644000"/>
    <m/>
    <m/>
    <n v="108000"/>
    <m/>
    <x v="235"/>
    <x v="0"/>
    <x v="10"/>
  </r>
  <r>
    <x v="10"/>
    <m/>
    <m/>
    <m/>
    <m/>
    <m/>
    <x v="235"/>
    <x v="0"/>
    <x v="10"/>
  </r>
  <r>
    <x v="11"/>
    <m/>
    <m/>
    <m/>
    <m/>
    <m/>
    <x v="235"/>
    <x v="0"/>
    <x v="10"/>
  </r>
  <r>
    <x v="12"/>
    <m/>
    <m/>
    <m/>
    <m/>
    <m/>
    <x v="235"/>
    <x v="0"/>
    <x v="10"/>
  </r>
  <r>
    <x v="13"/>
    <m/>
    <m/>
    <m/>
    <m/>
    <m/>
    <x v="235"/>
    <x v="0"/>
    <x v="10"/>
  </r>
  <r>
    <x v="0"/>
    <m/>
    <m/>
    <m/>
    <m/>
    <m/>
    <x v="236"/>
    <x v="0"/>
    <x v="11"/>
  </r>
  <r>
    <x v="1"/>
    <m/>
    <m/>
    <m/>
    <m/>
    <m/>
    <x v="236"/>
    <x v="0"/>
    <x v="11"/>
  </r>
  <r>
    <x v="2"/>
    <m/>
    <m/>
    <m/>
    <n v="54000"/>
    <m/>
    <x v="236"/>
    <x v="0"/>
    <x v="11"/>
  </r>
  <r>
    <x v="3"/>
    <m/>
    <m/>
    <m/>
    <m/>
    <m/>
    <x v="236"/>
    <x v="0"/>
    <x v="11"/>
  </r>
  <r>
    <x v="4"/>
    <m/>
    <m/>
    <m/>
    <m/>
    <m/>
    <x v="236"/>
    <x v="0"/>
    <x v="11"/>
  </r>
  <r>
    <x v="5"/>
    <n v="54000"/>
    <m/>
    <m/>
    <n v="108000"/>
    <m/>
    <x v="236"/>
    <x v="0"/>
    <x v="11"/>
  </r>
  <r>
    <x v="6"/>
    <m/>
    <m/>
    <m/>
    <m/>
    <m/>
    <x v="236"/>
    <x v="0"/>
    <x v="11"/>
  </r>
  <r>
    <x v="7"/>
    <m/>
    <m/>
    <m/>
    <m/>
    <m/>
    <x v="236"/>
    <x v="0"/>
    <x v="11"/>
  </r>
  <r>
    <x v="8"/>
    <n v="108000"/>
    <m/>
    <m/>
    <m/>
    <n v="270000"/>
    <x v="236"/>
    <x v="0"/>
    <x v="11"/>
  </r>
  <r>
    <x v="9"/>
    <n v="54000"/>
    <n v="162000"/>
    <m/>
    <n v="54000"/>
    <m/>
    <x v="236"/>
    <x v="0"/>
    <x v="11"/>
  </r>
  <r>
    <x v="10"/>
    <m/>
    <m/>
    <m/>
    <m/>
    <m/>
    <x v="236"/>
    <x v="0"/>
    <x v="11"/>
  </r>
  <r>
    <x v="11"/>
    <m/>
    <m/>
    <m/>
    <m/>
    <m/>
    <x v="236"/>
    <x v="0"/>
    <x v="11"/>
  </r>
  <r>
    <x v="12"/>
    <m/>
    <m/>
    <m/>
    <m/>
    <m/>
    <x v="236"/>
    <x v="0"/>
    <x v="11"/>
  </r>
  <r>
    <x v="13"/>
    <m/>
    <m/>
    <m/>
    <m/>
    <m/>
    <x v="236"/>
    <x v="0"/>
    <x v="11"/>
  </r>
  <r>
    <x v="0"/>
    <m/>
    <m/>
    <m/>
    <m/>
    <m/>
    <x v="237"/>
    <x v="0"/>
    <x v="11"/>
  </r>
  <r>
    <x v="1"/>
    <m/>
    <m/>
    <m/>
    <m/>
    <m/>
    <x v="237"/>
    <x v="0"/>
    <x v="11"/>
  </r>
  <r>
    <x v="2"/>
    <m/>
    <m/>
    <m/>
    <m/>
    <m/>
    <x v="237"/>
    <x v="0"/>
    <x v="11"/>
  </r>
  <r>
    <x v="3"/>
    <n v="54000"/>
    <n v="955000"/>
    <m/>
    <n v="54000"/>
    <m/>
    <x v="237"/>
    <x v="0"/>
    <x v="11"/>
  </r>
  <r>
    <x v="4"/>
    <m/>
    <m/>
    <m/>
    <m/>
    <m/>
    <x v="237"/>
    <x v="0"/>
    <x v="11"/>
  </r>
  <r>
    <x v="5"/>
    <n v="320000"/>
    <n v="198000"/>
    <n v="162000"/>
    <n v="162000"/>
    <m/>
    <x v="237"/>
    <x v="0"/>
    <x v="11"/>
  </r>
  <r>
    <x v="6"/>
    <m/>
    <m/>
    <m/>
    <m/>
    <m/>
    <x v="237"/>
    <x v="0"/>
    <x v="11"/>
  </r>
  <r>
    <x v="7"/>
    <m/>
    <m/>
    <m/>
    <m/>
    <m/>
    <x v="237"/>
    <x v="0"/>
    <x v="11"/>
  </r>
  <r>
    <x v="8"/>
    <n v="374000"/>
    <m/>
    <n v="158000"/>
    <n v="108000"/>
    <n v="45000"/>
    <x v="237"/>
    <x v="0"/>
    <x v="11"/>
  </r>
  <r>
    <x v="9"/>
    <n v="473000"/>
    <n v="533500"/>
    <n v="108000"/>
    <n v="108000"/>
    <n v="207000"/>
    <x v="237"/>
    <x v="0"/>
    <x v="11"/>
  </r>
  <r>
    <x v="10"/>
    <m/>
    <m/>
    <m/>
    <m/>
    <m/>
    <x v="237"/>
    <x v="0"/>
    <x v="11"/>
  </r>
  <r>
    <x v="11"/>
    <m/>
    <m/>
    <m/>
    <m/>
    <m/>
    <x v="237"/>
    <x v="0"/>
    <x v="11"/>
  </r>
  <r>
    <x v="12"/>
    <m/>
    <m/>
    <m/>
    <m/>
    <m/>
    <x v="237"/>
    <x v="0"/>
    <x v="11"/>
  </r>
  <r>
    <x v="13"/>
    <m/>
    <m/>
    <m/>
    <m/>
    <m/>
    <x v="237"/>
    <x v="0"/>
    <x v="11"/>
  </r>
  <r>
    <x v="0"/>
    <m/>
    <m/>
    <m/>
    <m/>
    <m/>
    <x v="238"/>
    <x v="0"/>
    <x v="11"/>
  </r>
  <r>
    <x v="1"/>
    <m/>
    <m/>
    <m/>
    <m/>
    <m/>
    <x v="238"/>
    <x v="0"/>
    <x v="11"/>
  </r>
  <r>
    <x v="2"/>
    <m/>
    <m/>
    <m/>
    <n v="108000"/>
    <m/>
    <x v="238"/>
    <x v="0"/>
    <x v="11"/>
  </r>
  <r>
    <x v="3"/>
    <m/>
    <n v="320000"/>
    <m/>
    <n v="108000"/>
    <m/>
    <x v="238"/>
    <x v="0"/>
    <x v="11"/>
  </r>
  <r>
    <x v="4"/>
    <m/>
    <m/>
    <m/>
    <m/>
    <m/>
    <x v="238"/>
    <x v="0"/>
    <x v="11"/>
  </r>
  <r>
    <x v="5"/>
    <n v="270000"/>
    <m/>
    <n v="54000"/>
    <m/>
    <m/>
    <x v="238"/>
    <x v="0"/>
    <x v="11"/>
  </r>
  <r>
    <x v="6"/>
    <m/>
    <m/>
    <m/>
    <m/>
    <m/>
    <x v="238"/>
    <x v="0"/>
    <x v="11"/>
  </r>
  <r>
    <x v="7"/>
    <m/>
    <m/>
    <m/>
    <m/>
    <m/>
    <x v="238"/>
    <x v="0"/>
    <x v="11"/>
  </r>
  <r>
    <x v="8"/>
    <n v="216000"/>
    <m/>
    <n v="108000"/>
    <n v="54000"/>
    <n v="423000"/>
    <x v="238"/>
    <x v="0"/>
    <x v="11"/>
  </r>
  <r>
    <x v="9"/>
    <n v="324000"/>
    <n v="797000"/>
    <n v="162000"/>
    <n v="54000"/>
    <n v="378000"/>
    <x v="238"/>
    <x v="0"/>
    <x v="11"/>
  </r>
  <r>
    <x v="10"/>
    <m/>
    <m/>
    <m/>
    <m/>
    <m/>
    <x v="238"/>
    <x v="0"/>
    <x v="11"/>
  </r>
  <r>
    <x v="11"/>
    <m/>
    <m/>
    <m/>
    <n v="54000"/>
    <m/>
    <x v="238"/>
    <x v="0"/>
    <x v="11"/>
  </r>
  <r>
    <x v="12"/>
    <m/>
    <n v="162000"/>
    <m/>
    <m/>
    <m/>
    <x v="238"/>
    <x v="0"/>
    <x v="11"/>
  </r>
  <r>
    <x v="13"/>
    <m/>
    <m/>
    <m/>
    <m/>
    <m/>
    <x v="238"/>
    <x v="0"/>
    <x v="11"/>
  </r>
  <r>
    <x v="0"/>
    <m/>
    <m/>
    <m/>
    <m/>
    <m/>
    <x v="239"/>
    <x v="0"/>
    <x v="11"/>
  </r>
  <r>
    <x v="1"/>
    <m/>
    <m/>
    <m/>
    <m/>
    <m/>
    <x v="239"/>
    <x v="0"/>
    <x v="11"/>
  </r>
  <r>
    <x v="2"/>
    <m/>
    <m/>
    <m/>
    <n v="54000"/>
    <m/>
    <x v="239"/>
    <x v="0"/>
    <x v="11"/>
  </r>
  <r>
    <x v="3"/>
    <m/>
    <m/>
    <m/>
    <n v="108000"/>
    <m/>
    <x v="239"/>
    <x v="0"/>
    <x v="11"/>
  </r>
  <r>
    <x v="4"/>
    <m/>
    <m/>
    <m/>
    <m/>
    <m/>
    <x v="239"/>
    <x v="0"/>
    <x v="11"/>
  </r>
  <r>
    <x v="5"/>
    <n v="162000"/>
    <m/>
    <n v="162000"/>
    <n v="108000"/>
    <m/>
    <x v="239"/>
    <x v="0"/>
    <x v="11"/>
  </r>
  <r>
    <x v="6"/>
    <m/>
    <m/>
    <m/>
    <m/>
    <m/>
    <x v="239"/>
    <x v="0"/>
    <x v="11"/>
  </r>
  <r>
    <x v="7"/>
    <m/>
    <m/>
    <m/>
    <m/>
    <m/>
    <x v="239"/>
    <x v="0"/>
    <x v="11"/>
  </r>
  <r>
    <x v="8"/>
    <n v="432000"/>
    <n v="324000"/>
    <n v="108000"/>
    <n v="108000"/>
    <n v="207000"/>
    <x v="239"/>
    <x v="0"/>
    <x v="11"/>
  </r>
  <r>
    <x v="9"/>
    <n v="428000"/>
    <n v="423000"/>
    <n v="162000"/>
    <m/>
    <n v="252000"/>
    <x v="239"/>
    <x v="0"/>
    <x v="11"/>
  </r>
  <r>
    <x v="10"/>
    <n v="269000"/>
    <m/>
    <m/>
    <m/>
    <m/>
    <x v="239"/>
    <x v="0"/>
    <x v="11"/>
  </r>
  <r>
    <x v="11"/>
    <m/>
    <m/>
    <m/>
    <m/>
    <m/>
    <x v="239"/>
    <x v="0"/>
    <x v="11"/>
  </r>
  <r>
    <x v="12"/>
    <m/>
    <n v="913000"/>
    <m/>
    <n v="108000"/>
    <m/>
    <x v="239"/>
    <x v="0"/>
    <x v="11"/>
  </r>
  <r>
    <x v="13"/>
    <m/>
    <m/>
    <m/>
    <m/>
    <m/>
    <x v="239"/>
    <x v="0"/>
    <x v="11"/>
  </r>
  <r>
    <x v="0"/>
    <m/>
    <m/>
    <m/>
    <m/>
    <m/>
    <x v="240"/>
    <x v="0"/>
    <x v="11"/>
  </r>
  <r>
    <x v="1"/>
    <m/>
    <m/>
    <m/>
    <m/>
    <m/>
    <x v="240"/>
    <x v="0"/>
    <x v="11"/>
  </r>
  <r>
    <x v="2"/>
    <n v="54000"/>
    <n v="54000"/>
    <m/>
    <m/>
    <m/>
    <x v="240"/>
    <x v="0"/>
    <x v="11"/>
  </r>
  <r>
    <x v="3"/>
    <m/>
    <m/>
    <m/>
    <m/>
    <m/>
    <x v="240"/>
    <x v="0"/>
    <x v="11"/>
  </r>
  <r>
    <x v="4"/>
    <m/>
    <n v="54000"/>
    <m/>
    <m/>
    <m/>
    <x v="240"/>
    <x v="0"/>
    <x v="11"/>
  </r>
  <r>
    <x v="5"/>
    <n v="216000"/>
    <m/>
    <n v="54000"/>
    <m/>
    <m/>
    <x v="240"/>
    <x v="0"/>
    <x v="11"/>
  </r>
  <r>
    <x v="6"/>
    <m/>
    <m/>
    <m/>
    <m/>
    <m/>
    <x v="240"/>
    <x v="0"/>
    <x v="11"/>
  </r>
  <r>
    <x v="7"/>
    <m/>
    <m/>
    <m/>
    <m/>
    <m/>
    <x v="240"/>
    <x v="0"/>
    <x v="11"/>
  </r>
  <r>
    <x v="8"/>
    <m/>
    <m/>
    <m/>
    <m/>
    <m/>
    <x v="240"/>
    <x v="0"/>
    <x v="11"/>
  </r>
  <r>
    <x v="9"/>
    <m/>
    <n v="108000"/>
    <n v="54000"/>
    <m/>
    <m/>
    <x v="240"/>
    <x v="0"/>
    <x v="11"/>
  </r>
  <r>
    <x v="10"/>
    <n v="108000"/>
    <m/>
    <m/>
    <m/>
    <m/>
    <x v="240"/>
    <x v="0"/>
    <x v="11"/>
  </r>
  <r>
    <x v="11"/>
    <m/>
    <m/>
    <m/>
    <m/>
    <m/>
    <x v="240"/>
    <x v="0"/>
    <x v="11"/>
  </r>
  <r>
    <x v="12"/>
    <m/>
    <n v="54000"/>
    <m/>
    <m/>
    <m/>
    <x v="240"/>
    <x v="0"/>
    <x v="11"/>
  </r>
  <r>
    <x v="13"/>
    <m/>
    <m/>
    <m/>
    <m/>
    <m/>
    <x v="240"/>
    <x v="0"/>
    <x v="11"/>
  </r>
  <r>
    <x v="0"/>
    <m/>
    <m/>
    <m/>
    <m/>
    <m/>
    <x v="241"/>
    <x v="0"/>
    <x v="11"/>
  </r>
  <r>
    <x v="1"/>
    <m/>
    <m/>
    <m/>
    <m/>
    <m/>
    <x v="241"/>
    <x v="0"/>
    <x v="11"/>
  </r>
  <r>
    <x v="2"/>
    <n v="378000"/>
    <n v="540000"/>
    <m/>
    <n v="108000"/>
    <m/>
    <x v="241"/>
    <x v="0"/>
    <x v="11"/>
  </r>
  <r>
    <x v="3"/>
    <m/>
    <m/>
    <m/>
    <n v="162000"/>
    <m/>
    <x v="241"/>
    <x v="0"/>
    <x v="11"/>
  </r>
  <r>
    <x v="4"/>
    <m/>
    <n v="432000"/>
    <m/>
    <m/>
    <m/>
    <x v="241"/>
    <x v="0"/>
    <x v="11"/>
  </r>
  <r>
    <x v="5"/>
    <n v="108000"/>
    <m/>
    <m/>
    <n v="108000"/>
    <m/>
    <x v="241"/>
    <x v="0"/>
    <x v="11"/>
  </r>
  <r>
    <x v="6"/>
    <m/>
    <m/>
    <m/>
    <m/>
    <m/>
    <x v="241"/>
    <x v="0"/>
    <x v="11"/>
  </r>
  <r>
    <x v="7"/>
    <m/>
    <m/>
    <m/>
    <m/>
    <m/>
    <x v="241"/>
    <x v="0"/>
    <x v="11"/>
  </r>
  <r>
    <x v="8"/>
    <n v="540000"/>
    <m/>
    <m/>
    <n v="162000"/>
    <m/>
    <x v="241"/>
    <x v="0"/>
    <x v="11"/>
  </r>
  <r>
    <x v="9"/>
    <n v="529000"/>
    <n v="216000"/>
    <m/>
    <n v="108000"/>
    <m/>
    <x v="241"/>
    <x v="0"/>
    <x v="11"/>
  </r>
  <r>
    <x v="10"/>
    <n v="594000"/>
    <m/>
    <m/>
    <m/>
    <m/>
    <x v="241"/>
    <x v="0"/>
    <x v="11"/>
  </r>
  <r>
    <x v="11"/>
    <m/>
    <m/>
    <m/>
    <m/>
    <m/>
    <x v="241"/>
    <x v="0"/>
    <x v="11"/>
  </r>
  <r>
    <x v="12"/>
    <m/>
    <n v="270000"/>
    <m/>
    <n v="108000"/>
    <m/>
    <x v="241"/>
    <x v="0"/>
    <x v="11"/>
  </r>
  <r>
    <x v="13"/>
    <m/>
    <m/>
    <m/>
    <m/>
    <m/>
    <x v="241"/>
    <x v="0"/>
    <x v="11"/>
  </r>
  <r>
    <x v="0"/>
    <m/>
    <m/>
    <m/>
    <m/>
    <m/>
    <x v="242"/>
    <x v="0"/>
    <x v="11"/>
  </r>
  <r>
    <x v="1"/>
    <m/>
    <m/>
    <m/>
    <m/>
    <m/>
    <x v="242"/>
    <x v="0"/>
    <x v="11"/>
  </r>
  <r>
    <x v="2"/>
    <n v="319500"/>
    <n v="486000"/>
    <m/>
    <n v="54000"/>
    <m/>
    <x v="242"/>
    <x v="0"/>
    <x v="11"/>
  </r>
  <r>
    <x v="3"/>
    <m/>
    <m/>
    <m/>
    <m/>
    <m/>
    <x v="242"/>
    <x v="0"/>
    <x v="11"/>
  </r>
  <r>
    <x v="4"/>
    <n v="306000"/>
    <n v="485000"/>
    <n v="370000"/>
    <n v="216000"/>
    <m/>
    <x v="242"/>
    <x v="0"/>
    <x v="11"/>
  </r>
  <r>
    <x v="5"/>
    <n v="54000"/>
    <m/>
    <m/>
    <n v="158000"/>
    <m/>
    <x v="242"/>
    <x v="0"/>
    <x v="11"/>
  </r>
  <r>
    <x v="6"/>
    <m/>
    <m/>
    <m/>
    <m/>
    <m/>
    <x v="242"/>
    <x v="0"/>
    <x v="11"/>
  </r>
  <r>
    <x v="7"/>
    <m/>
    <m/>
    <m/>
    <m/>
    <m/>
    <x v="242"/>
    <x v="0"/>
    <x v="11"/>
  </r>
  <r>
    <x v="8"/>
    <n v="316000"/>
    <m/>
    <m/>
    <n v="104000"/>
    <n v="432000"/>
    <x v="242"/>
    <x v="0"/>
    <x v="11"/>
  </r>
  <r>
    <x v="9"/>
    <n v="54000"/>
    <n v="108000"/>
    <m/>
    <n v="54000"/>
    <n v="162000"/>
    <x v="242"/>
    <x v="0"/>
    <x v="11"/>
  </r>
  <r>
    <x v="10"/>
    <n v="526500"/>
    <m/>
    <m/>
    <m/>
    <m/>
    <x v="242"/>
    <x v="0"/>
    <x v="11"/>
  </r>
  <r>
    <x v="11"/>
    <m/>
    <n v="45000"/>
    <m/>
    <m/>
    <m/>
    <x v="242"/>
    <x v="0"/>
    <x v="11"/>
  </r>
  <r>
    <x v="12"/>
    <m/>
    <n v="324000"/>
    <m/>
    <n v="54000"/>
    <m/>
    <x v="242"/>
    <x v="0"/>
    <x v="11"/>
  </r>
  <r>
    <x v="13"/>
    <m/>
    <m/>
    <m/>
    <m/>
    <m/>
    <x v="242"/>
    <x v="0"/>
    <x v="11"/>
  </r>
  <r>
    <x v="0"/>
    <m/>
    <m/>
    <m/>
    <m/>
    <m/>
    <x v="243"/>
    <x v="0"/>
    <x v="11"/>
  </r>
  <r>
    <x v="1"/>
    <m/>
    <m/>
    <m/>
    <m/>
    <m/>
    <x v="243"/>
    <x v="0"/>
    <x v="11"/>
  </r>
  <r>
    <x v="2"/>
    <n v="311000"/>
    <n v="594000"/>
    <m/>
    <n v="54000"/>
    <m/>
    <x v="243"/>
    <x v="0"/>
    <x v="11"/>
  </r>
  <r>
    <x v="3"/>
    <m/>
    <m/>
    <m/>
    <m/>
    <m/>
    <x v="243"/>
    <x v="0"/>
    <x v="11"/>
  </r>
  <r>
    <x v="4"/>
    <n v="270000"/>
    <n v="648000"/>
    <n v="531000"/>
    <n v="203000"/>
    <m/>
    <x v="243"/>
    <x v="0"/>
    <x v="11"/>
  </r>
  <r>
    <x v="5"/>
    <m/>
    <m/>
    <m/>
    <n v="54000"/>
    <m/>
    <x v="243"/>
    <x v="0"/>
    <x v="11"/>
  </r>
  <r>
    <x v="6"/>
    <n v="162000"/>
    <m/>
    <n v="153000"/>
    <m/>
    <m/>
    <x v="243"/>
    <x v="0"/>
    <x v="11"/>
  </r>
  <r>
    <x v="7"/>
    <m/>
    <m/>
    <m/>
    <m/>
    <m/>
    <x v="243"/>
    <x v="0"/>
    <x v="11"/>
  </r>
  <r>
    <x v="8"/>
    <m/>
    <m/>
    <m/>
    <m/>
    <m/>
    <x v="243"/>
    <x v="0"/>
    <x v="11"/>
  </r>
  <r>
    <x v="9"/>
    <n v="207000"/>
    <n v="152000"/>
    <m/>
    <m/>
    <m/>
    <x v="243"/>
    <x v="0"/>
    <x v="11"/>
  </r>
  <r>
    <x v="10"/>
    <n v="540000"/>
    <m/>
    <m/>
    <m/>
    <m/>
    <x v="243"/>
    <x v="0"/>
    <x v="11"/>
  </r>
  <r>
    <x v="11"/>
    <m/>
    <m/>
    <m/>
    <m/>
    <m/>
    <x v="243"/>
    <x v="0"/>
    <x v="11"/>
  </r>
  <r>
    <x v="12"/>
    <m/>
    <n v="378000"/>
    <m/>
    <n v="108000"/>
    <m/>
    <x v="243"/>
    <x v="0"/>
    <x v="11"/>
  </r>
  <r>
    <x v="13"/>
    <n v="53000"/>
    <m/>
    <m/>
    <m/>
    <m/>
    <x v="243"/>
    <x v="0"/>
    <x v="11"/>
  </r>
  <r>
    <x v="0"/>
    <m/>
    <m/>
    <m/>
    <m/>
    <m/>
    <x v="244"/>
    <x v="0"/>
    <x v="11"/>
  </r>
  <r>
    <x v="1"/>
    <m/>
    <m/>
    <m/>
    <m/>
    <m/>
    <x v="244"/>
    <x v="0"/>
    <x v="11"/>
  </r>
  <r>
    <x v="2"/>
    <n v="54000"/>
    <n v="423000"/>
    <m/>
    <n v="108000"/>
    <m/>
    <x v="244"/>
    <x v="0"/>
    <x v="11"/>
  </r>
  <r>
    <x v="3"/>
    <n v="374000"/>
    <n v="423000"/>
    <m/>
    <m/>
    <m/>
    <x v="244"/>
    <x v="0"/>
    <x v="11"/>
  </r>
  <r>
    <x v="4"/>
    <n v="207000"/>
    <n v="319500"/>
    <n v="216000"/>
    <m/>
    <m/>
    <x v="244"/>
    <x v="0"/>
    <x v="11"/>
  </r>
  <r>
    <x v="5"/>
    <n v="45000"/>
    <m/>
    <m/>
    <n v="162000"/>
    <m/>
    <x v="244"/>
    <x v="0"/>
    <x v="11"/>
  </r>
  <r>
    <x v="6"/>
    <n v="269500"/>
    <n v="262000"/>
    <n v="162000"/>
    <n v="162000"/>
    <m/>
    <x v="244"/>
    <x v="0"/>
    <x v="11"/>
  </r>
  <r>
    <x v="7"/>
    <m/>
    <m/>
    <m/>
    <m/>
    <m/>
    <x v="244"/>
    <x v="0"/>
    <x v="11"/>
  </r>
  <r>
    <x v="8"/>
    <n v="47000"/>
    <m/>
    <m/>
    <m/>
    <n v="216000"/>
    <x v="244"/>
    <x v="0"/>
    <x v="11"/>
  </r>
  <r>
    <x v="9"/>
    <n v="266000"/>
    <m/>
    <m/>
    <m/>
    <m/>
    <x v="244"/>
    <x v="0"/>
    <x v="11"/>
  </r>
  <r>
    <x v="10"/>
    <n v="324000"/>
    <m/>
    <n v="370000"/>
    <m/>
    <m/>
    <x v="244"/>
    <x v="0"/>
    <x v="11"/>
  </r>
  <r>
    <x v="11"/>
    <m/>
    <m/>
    <m/>
    <m/>
    <m/>
    <x v="244"/>
    <x v="0"/>
    <x v="11"/>
  </r>
  <r>
    <x v="12"/>
    <m/>
    <n v="198000"/>
    <m/>
    <m/>
    <m/>
    <x v="244"/>
    <x v="0"/>
    <x v="11"/>
  </r>
  <r>
    <x v="13"/>
    <m/>
    <n v="378000"/>
    <m/>
    <n v="162000"/>
    <m/>
    <x v="244"/>
    <x v="0"/>
    <x v="11"/>
  </r>
  <r>
    <x v="0"/>
    <m/>
    <m/>
    <m/>
    <m/>
    <m/>
    <x v="245"/>
    <x v="0"/>
    <x v="11"/>
  </r>
  <r>
    <x v="1"/>
    <m/>
    <m/>
    <m/>
    <m/>
    <m/>
    <x v="245"/>
    <x v="0"/>
    <x v="11"/>
  </r>
  <r>
    <x v="2"/>
    <n v="162000"/>
    <n v="153000"/>
    <m/>
    <m/>
    <m/>
    <x v="245"/>
    <x v="0"/>
    <x v="11"/>
  </r>
  <r>
    <x v="3"/>
    <n v="270000"/>
    <n v="162000"/>
    <m/>
    <m/>
    <m/>
    <x v="245"/>
    <x v="0"/>
    <x v="11"/>
  </r>
  <r>
    <x v="4"/>
    <n v="216000"/>
    <n v="108000"/>
    <n v="216000"/>
    <n v="54000"/>
    <m/>
    <x v="245"/>
    <x v="0"/>
    <x v="11"/>
  </r>
  <r>
    <x v="5"/>
    <m/>
    <n v="270000"/>
    <m/>
    <n v="162000"/>
    <m/>
    <x v="245"/>
    <x v="0"/>
    <x v="11"/>
  </r>
  <r>
    <x v="6"/>
    <n v="216000"/>
    <n v="104000"/>
    <m/>
    <m/>
    <m/>
    <x v="245"/>
    <x v="0"/>
    <x v="11"/>
  </r>
  <r>
    <x v="7"/>
    <m/>
    <m/>
    <m/>
    <m/>
    <m/>
    <x v="245"/>
    <x v="0"/>
    <x v="11"/>
  </r>
  <r>
    <x v="8"/>
    <m/>
    <n v="324000"/>
    <n v="324000"/>
    <m/>
    <m/>
    <x v="245"/>
    <x v="0"/>
    <x v="11"/>
  </r>
  <r>
    <x v="9"/>
    <m/>
    <n v="162000"/>
    <m/>
    <n v="104000"/>
    <m/>
    <x v="245"/>
    <x v="0"/>
    <x v="11"/>
  </r>
  <r>
    <x v="10"/>
    <n v="324000"/>
    <m/>
    <n v="211500"/>
    <m/>
    <m/>
    <x v="245"/>
    <x v="0"/>
    <x v="11"/>
  </r>
  <r>
    <x v="11"/>
    <m/>
    <m/>
    <m/>
    <m/>
    <m/>
    <x v="245"/>
    <x v="0"/>
    <x v="11"/>
  </r>
  <r>
    <x v="12"/>
    <m/>
    <m/>
    <m/>
    <m/>
    <m/>
    <x v="245"/>
    <x v="0"/>
    <x v="11"/>
  </r>
  <r>
    <x v="13"/>
    <m/>
    <n v="216000"/>
    <m/>
    <n v="54000"/>
    <m/>
    <x v="245"/>
    <x v="0"/>
    <x v="11"/>
  </r>
  <r>
    <x v="0"/>
    <m/>
    <m/>
    <m/>
    <m/>
    <m/>
    <x v="246"/>
    <x v="0"/>
    <x v="11"/>
  </r>
  <r>
    <x v="1"/>
    <m/>
    <m/>
    <m/>
    <m/>
    <m/>
    <x v="246"/>
    <x v="0"/>
    <x v="11"/>
  </r>
  <r>
    <x v="2"/>
    <n v="202500"/>
    <n v="54000"/>
    <m/>
    <m/>
    <m/>
    <x v="246"/>
    <x v="0"/>
    <x v="11"/>
  </r>
  <r>
    <x v="3"/>
    <n v="370000"/>
    <n v="54000"/>
    <m/>
    <m/>
    <m/>
    <x v="246"/>
    <x v="0"/>
    <x v="11"/>
  </r>
  <r>
    <x v="4"/>
    <n v="373500"/>
    <n v="108000"/>
    <n v="455000"/>
    <m/>
    <m/>
    <x v="246"/>
    <x v="0"/>
    <x v="11"/>
  </r>
  <r>
    <x v="5"/>
    <n v="104000"/>
    <n v="162000"/>
    <m/>
    <n v="54000"/>
    <m/>
    <x v="246"/>
    <x v="0"/>
    <x v="11"/>
  </r>
  <r>
    <x v="6"/>
    <n v="261500"/>
    <n v="108000"/>
    <n v="45000"/>
    <m/>
    <m/>
    <x v="246"/>
    <x v="0"/>
    <x v="11"/>
  </r>
  <r>
    <x v="7"/>
    <m/>
    <m/>
    <m/>
    <m/>
    <m/>
    <x v="246"/>
    <x v="0"/>
    <x v="11"/>
  </r>
  <r>
    <x v="8"/>
    <m/>
    <n v="432000"/>
    <m/>
    <m/>
    <m/>
    <x v="246"/>
    <x v="0"/>
    <x v="11"/>
  </r>
  <r>
    <x v="9"/>
    <m/>
    <n v="108000"/>
    <m/>
    <m/>
    <m/>
    <x v="246"/>
    <x v="0"/>
    <x v="11"/>
  </r>
  <r>
    <x v="10"/>
    <n v="594000"/>
    <m/>
    <n v="162000"/>
    <m/>
    <m/>
    <x v="246"/>
    <x v="0"/>
    <x v="11"/>
  </r>
  <r>
    <x v="11"/>
    <m/>
    <m/>
    <m/>
    <m/>
    <m/>
    <x v="246"/>
    <x v="0"/>
    <x v="11"/>
  </r>
  <r>
    <x v="12"/>
    <m/>
    <m/>
    <m/>
    <m/>
    <m/>
    <x v="246"/>
    <x v="0"/>
    <x v="11"/>
  </r>
  <r>
    <x v="13"/>
    <m/>
    <n v="261500"/>
    <m/>
    <m/>
    <m/>
    <x v="246"/>
    <x v="0"/>
    <x v="11"/>
  </r>
  <r>
    <x v="0"/>
    <m/>
    <m/>
    <m/>
    <m/>
    <m/>
    <x v="247"/>
    <x v="0"/>
    <x v="11"/>
  </r>
  <r>
    <x v="1"/>
    <m/>
    <m/>
    <m/>
    <m/>
    <m/>
    <x v="247"/>
    <x v="0"/>
    <x v="11"/>
  </r>
  <r>
    <x v="2"/>
    <n v="324000"/>
    <n v="162000"/>
    <m/>
    <m/>
    <m/>
    <x v="247"/>
    <x v="0"/>
    <x v="11"/>
  </r>
  <r>
    <x v="3"/>
    <n v="432000"/>
    <n v="45000"/>
    <m/>
    <m/>
    <m/>
    <x v="247"/>
    <x v="0"/>
    <x v="11"/>
  </r>
  <r>
    <x v="4"/>
    <n v="432000"/>
    <n v="266000"/>
    <m/>
    <n v="54000"/>
    <m/>
    <x v="247"/>
    <x v="0"/>
    <x v="11"/>
  </r>
  <r>
    <x v="5"/>
    <m/>
    <n v="486000"/>
    <m/>
    <n v="216000"/>
    <m/>
    <x v="247"/>
    <x v="0"/>
    <x v="11"/>
  </r>
  <r>
    <x v="6"/>
    <n v="311000"/>
    <n v="270000"/>
    <n v="95000"/>
    <m/>
    <m/>
    <x v="247"/>
    <x v="0"/>
    <x v="11"/>
  </r>
  <r>
    <x v="7"/>
    <m/>
    <m/>
    <m/>
    <m/>
    <m/>
    <x v="247"/>
    <x v="0"/>
    <x v="11"/>
  </r>
  <r>
    <x v="8"/>
    <m/>
    <m/>
    <n v="162000"/>
    <m/>
    <m/>
    <x v="247"/>
    <x v="0"/>
    <x v="11"/>
  </r>
  <r>
    <x v="9"/>
    <m/>
    <n v="360000"/>
    <m/>
    <n v="157500"/>
    <m/>
    <x v="247"/>
    <x v="0"/>
    <x v="11"/>
  </r>
  <r>
    <x v="10"/>
    <n v="918000"/>
    <m/>
    <n v="162000"/>
    <m/>
    <m/>
    <x v="247"/>
    <x v="0"/>
    <x v="11"/>
  </r>
  <r>
    <x v="11"/>
    <m/>
    <m/>
    <m/>
    <m/>
    <m/>
    <x v="247"/>
    <x v="0"/>
    <x v="11"/>
  </r>
  <r>
    <x v="12"/>
    <m/>
    <m/>
    <m/>
    <n v="104000"/>
    <m/>
    <x v="247"/>
    <x v="0"/>
    <x v="11"/>
  </r>
  <r>
    <x v="13"/>
    <m/>
    <n v="428000"/>
    <m/>
    <n v="162000"/>
    <m/>
    <x v="247"/>
    <x v="0"/>
    <x v="11"/>
  </r>
  <r>
    <x v="0"/>
    <m/>
    <m/>
    <m/>
    <m/>
    <m/>
    <x v="248"/>
    <x v="0"/>
    <x v="11"/>
  </r>
  <r>
    <x v="1"/>
    <m/>
    <m/>
    <m/>
    <m/>
    <m/>
    <x v="248"/>
    <x v="0"/>
    <x v="11"/>
  </r>
  <r>
    <x v="2"/>
    <n v="216000"/>
    <n v="268000"/>
    <m/>
    <m/>
    <m/>
    <x v="248"/>
    <x v="0"/>
    <x v="11"/>
  </r>
  <r>
    <x v="3"/>
    <m/>
    <m/>
    <m/>
    <m/>
    <m/>
    <x v="248"/>
    <x v="0"/>
    <x v="11"/>
  </r>
  <r>
    <x v="4"/>
    <n v="216000"/>
    <n v="270000"/>
    <n v="54000"/>
    <n v="54000"/>
    <m/>
    <x v="248"/>
    <x v="0"/>
    <x v="11"/>
  </r>
  <r>
    <x v="5"/>
    <m/>
    <n v="263000"/>
    <m/>
    <n v="216000"/>
    <m/>
    <x v="248"/>
    <x v="0"/>
    <x v="11"/>
  </r>
  <r>
    <x v="6"/>
    <n v="212000"/>
    <n v="216000"/>
    <n v="45000"/>
    <n v="54000"/>
    <m/>
    <x v="248"/>
    <x v="0"/>
    <x v="11"/>
  </r>
  <r>
    <x v="7"/>
    <m/>
    <m/>
    <m/>
    <m/>
    <m/>
    <x v="248"/>
    <x v="0"/>
    <x v="11"/>
  </r>
  <r>
    <x v="8"/>
    <m/>
    <m/>
    <n v="324000"/>
    <m/>
    <m/>
    <x v="248"/>
    <x v="0"/>
    <x v="11"/>
  </r>
  <r>
    <x v="9"/>
    <n v="162000"/>
    <n v="266000"/>
    <m/>
    <n v="216000"/>
    <m/>
    <x v="248"/>
    <x v="0"/>
    <x v="11"/>
  </r>
  <r>
    <x v="10"/>
    <n v="324000"/>
    <m/>
    <n v="54000"/>
    <m/>
    <m/>
    <x v="248"/>
    <x v="0"/>
    <x v="11"/>
  </r>
  <r>
    <x v="11"/>
    <m/>
    <m/>
    <m/>
    <m/>
    <m/>
    <x v="248"/>
    <x v="0"/>
    <x v="11"/>
  </r>
  <r>
    <x v="12"/>
    <n v="324000"/>
    <m/>
    <n v="54000"/>
    <n v="54000"/>
    <m/>
    <x v="248"/>
    <x v="0"/>
    <x v="11"/>
  </r>
  <r>
    <x v="13"/>
    <n v="343000"/>
    <n v="270000"/>
    <n v="369000"/>
    <n v="162000"/>
    <m/>
    <x v="248"/>
    <x v="0"/>
    <x v="11"/>
  </r>
  <r>
    <x v="0"/>
    <m/>
    <m/>
    <m/>
    <m/>
    <m/>
    <x v="249"/>
    <x v="0"/>
    <x v="11"/>
  </r>
  <r>
    <x v="1"/>
    <m/>
    <m/>
    <m/>
    <m/>
    <m/>
    <x v="249"/>
    <x v="0"/>
    <x v="11"/>
  </r>
  <r>
    <x v="2"/>
    <n v="95000"/>
    <n v="216000"/>
    <m/>
    <m/>
    <m/>
    <x v="249"/>
    <x v="0"/>
    <x v="11"/>
  </r>
  <r>
    <x v="3"/>
    <n v="54000"/>
    <m/>
    <m/>
    <m/>
    <m/>
    <x v="249"/>
    <x v="0"/>
    <x v="11"/>
  </r>
  <r>
    <x v="4"/>
    <n v="216000"/>
    <n v="216000"/>
    <m/>
    <n v="320000"/>
    <m/>
    <x v="249"/>
    <x v="0"/>
    <x v="11"/>
  </r>
  <r>
    <x v="5"/>
    <m/>
    <n v="54000"/>
    <m/>
    <n v="428000"/>
    <m/>
    <x v="249"/>
    <x v="0"/>
    <x v="11"/>
  </r>
  <r>
    <x v="6"/>
    <m/>
    <n v="158000"/>
    <m/>
    <m/>
    <m/>
    <x v="249"/>
    <x v="0"/>
    <x v="11"/>
  </r>
  <r>
    <x v="7"/>
    <m/>
    <m/>
    <m/>
    <m/>
    <m/>
    <x v="249"/>
    <x v="0"/>
    <x v="11"/>
  </r>
  <r>
    <x v="8"/>
    <n v="216000"/>
    <m/>
    <n v="324000"/>
    <m/>
    <m/>
    <x v="249"/>
    <x v="0"/>
    <x v="11"/>
  </r>
  <r>
    <x v="9"/>
    <m/>
    <n v="370000"/>
    <m/>
    <n v="162000"/>
    <m/>
    <x v="249"/>
    <x v="0"/>
    <x v="11"/>
  </r>
  <r>
    <x v="10"/>
    <n v="270000"/>
    <m/>
    <m/>
    <m/>
    <m/>
    <x v="249"/>
    <x v="0"/>
    <x v="11"/>
  </r>
  <r>
    <x v="11"/>
    <m/>
    <m/>
    <m/>
    <m/>
    <m/>
    <x v="249"/>
    <x v="0"/>
    <x v="11"/>
  </r>
  <r>
    <x v="12"/>
    <n v="207000"/>
    <m/>
    <m/>
    <n v="216000"/>
    <m/>
    <x v="249"/>
    <x v="0"/>
    <x v="11"/>
  </r>
  <r>
    <x v="13"/>
    <n v="212000"/>
    <m/>
    <n v="324000"/>
    <n v="162000"/>
    <m/>
    <x v="249"/>
    <x v="0"/>
    <x v="11"/>
  </r>
  <r>
    <x v="0"/>
    <m/>
    <m/>
    <m/>
    <m/>
    <m/>
    <x v="250"/>
    <x v="0"/>
    <x v="11"/>
  </r>
  <r>
    <x v="1"/>
    <m/>
    <m/>
    <m/>
    <m/>
    <m/>
    <x v="250"/>
    <x v="0"/>
    <x v="11"/>
  </r>
  <r>
    <x v="2"/>
    <m/>
    <m/>
    <m/>
    <n v="54000"/>
    <m/>
    <x v="250"/>
    <x v="0"/>
    <x v="11"/>
  </r>
  <r>
    <x v="3"/>
    <m/>
    <m/>
    <m/>
    <m/>
    <m/>
    <x v="250"/>
    <x v="0"/>
    <x v="11"/>
  </r>
  <r>
    <x v="4"/>
    <m/>
    <m/>
    <m/>
    <n v="108000"/>
    <m/>
    <x v="250"/>
    <x v="0"/>
    <x v="11"/>
  </r>
  <r>
    <x v="5"/>
    <m/>
    <m/>
    <m/>
    <n v="108000"/>
    <m/>
    <x v="250"/>
    <x v="0"/>
    <x v="11"/>
  </r>
  <r>
    <x v="6"/>
    <m/>
    <m/>
    <m/>
    <n v="45000"/>
    <m/>
    <x v="250"/>
    <x v="0"/>
    <x v="11"/>
  </r>
  <r>
    <x v="7"/>
    <m/>
    <m/>
    <m/>
    <m/>
    <m/>
    <x v="250"/>
    <x v="0"/>
    <x v="11"/>
  </r>
  <r>
    <x v="8"/>
    <m/>
    <n v="315000"/>
    <n v="477000"/>
    <m/>
    <m/>
    <x v="250"/>
    <x v="0"/>
    <x v="11"/>
  </r>
  <r>
    <x v="9"/>
    <m/>
    <m/>
    <m/>
    <n v="54000"/>
    <m/>
    <x v="250"/>
    <x v="0"/>
    <x v="11"/>
  </r>
  <r>
    <x v="10"/>
    <m/>
    <m/>
    <m/>
    <m/>
    <m/>
    <x v="250"/>
    <x v="0"/>
    <x v="11"/>
  </r>
  <r>
    <x v="11"/>
    <m/>
    <m/>
    <m/>
    <m/>
    <m/>
    <x v="250"/>
    <x v="0"/>
    <x v="11"/>
  </r>
  <r>
    <x v="12"/>
    <m/>
    <m/>
    <m/>
    <n v="54000"/>
    <m/>
    <x v="250"/>
    <x v="0"/>
    <x v="11"/>
  </r>
  <r>
    <x v="13"/>
    <m/>
    <m/>
    <n v="423000"/>
    <n v="108000"/>
    <m/>
    <x v="250"/>
    <x v="0"/>
    <x v="11"/>
  </r>
  <r>
    <x v="0"/>
    <m/>
    <m/>
    <m/>
    <m/>
    <m/>
    <x v="251"/>
    <x v="0"/>
    <x v="11"/>
  </r>
  <r>
    <x v="1"/>
    <m/>
    <m/>
    <m/>
    <m/>
    <n v="594000"/>
    <x v="251"/>
    <x v="0"/>
    <x v="11"/>
  </r>
  <r>
    <x v="2"/>
    <m/>
    <m/>
    <m/>
    <n v="108000"/>
    <m/>
    <x v="251"/>
    <x v="0"/>
    <x v="11"/>
  </r>
  <r>
    <x v="3"/>
    <m/>
    <n v="54000"/>
    <m/>
    <m/>
    <m/>
    <x v="251"/>
    <x v="0"/>
    <x v="11"/>
  </r>
  <r>
    <x v="4"/>
    <m/>
    <m/>
    <m/>
    <n v="108000"/>
    <m/>
    <x v="251"/>
    <x v="0"/>
    <x v="11"/>
  </r>
  <r>
    <x v="5"/>
    <m/>
    <n v="45000"/>
    <m/>
    <n v="108000"/>
    <m/>
    <x v="251"/>
    <x v="0"/>
    <x v="11"/>
  </r>
  <r>
    <x v="6"/>
    <m/>
    <n v="50000"/>
    <m/>
    <m/>
    <m/>
    <x v="251"/>
    <x v="0"/>
    <x v="11"/>
  </r>
  <r>
    <x v="7"/>
    <m/>
    <m/>
    <m/>
    <m/>
    <m/>
    <x v="251"/>
    <x v="0"/>
    <x v="11"/>
  </r>
  <r>
    <x v="8"/>
    <m/>
    <n v="270000"/>
    <n v="162000"/>
    <m/>
    <m/>
    <x v="251"/>
    <x v="0"/>
    <x v="11"/>
  </r>
  <r>
    <x v="9"/>
    <m/>
    <m/>
    <m/>
    <n v="108000"/>
    <m/>
    <x v="251"/>
    <x v="0"/>
    <x v="11"/>
  </r>
  <r>
    <x v="10"/>
    <n v="54000"/>
    <m/>
    <m/>
    <m/>
    <m/>
    <x v="251"/>
    <x v="0"/>
    <x v="11"/>
  </r>
  <r>
    <x v="11"/>
    <m/>
    <m/>
    <m/>
    <m/>
    <m/>
    <x v="251"/>
    <x v="0"/>
    <x v="11"/>
  </r>
  <r>
    <x v="12"/>
    <n v="103500"/>
    <m/>
    <m/>
    <m/>
    <m/>
    <x v="251"/>
    <x v="0"/>
    <x v="11"/>
  </r>
  <r>
    <x v="13"/>
    <m/>
    <m/>
    <n v="108000"/>
    <n v="162000"/>
    <m/>
    <x v="251"/>
    <x v="0"/>
    <x v="11"/>
  </r>
  <r>
    <x v="0"/>
    <m/>
    <m/>
    <m/>
    <m/>
    <m/>
    <x v="252"/>
    <x v="0"/>
    <x v="11"/>
  </r>
  <r>
    <x v="1"/>
    <n v="324000"/>
    <m/>
    <m/>
    <m/>
    <m/>
    <x v="252"/>
    <x v="0"/>
    <x v="11"/>
  </r>
  <r>
    <x v="2"/>
    <n v="54000"/>
    <m/>
    <m/>
    <m/>
    <m/>
    <x v="252"/>
    <x v="0"/>
    <x v="11"/>
  </r>
  <r>
    <x v="3"/>
    <m/>
    <n v="257000"/>
    <m/>
    <m/>
    <m/>
    <x v="252"/>
    <x v="0"/>
    <x v="11"/>
  </r>
  <r>
    <x v="4"/>
    <n v="482000"/>
    <n v="424000"/>
    <m/>
    <m/>
    <m/>
    <x v="252"/>
    <x v="0"/>
    <x v="11"/>
  </r>
  <r>
    <x v="5"/>
    <m/>
    <n v="270000"/>
    <m/>
    <m/>
    <m/>
    <x v="252"/>
    <x v="0"/>
    <x v="11"/>
  </r>
  <r>
    <x v="6"/>
    <m/>
    <n v="54000"/>
    <m/>
    <n v="45000"/>
    <m/>
    <x v="252"/>
    <x v="0"/>
    <x v="11"/>
  </r>
  <r>
    <x v="7"/>
    <m/>
    <n v="216000"/>
    <m/>
    <m/>
    <m/>
    <x v="252"/>
    <x v="0"/>
    <x v="11"/>
  </r>
  <r>
    <x v="8"/>
    <n v="634000"/>
    <m/>
    <m/>
    <m/>
    <m/>
    <x v="252"/>
    <x v="0"/>
    <x v="11"/>
  </r>
  <r>
    <x v="9"/>
    <n v="212000"/>
    <n v="315000"/>
    <m/>
    <m/>
    <m/>
    <x v="252"/>
    <x v="0"/>
    <x v="11"/>
  </r>
  <r>
    <x v="10"/>
    <m/>
    <m/>
    <m/>
    <m/>
    <m/>
    <x v="252"/>
    <x v="0"/>
    <x v="11"/>
  </r>
  <r>
    <x v="11"/>
    <m/>
    <m/>
    <m/>
    <m/>
    <m/>
    <x v="252"/>
    <x v="0"/>
    <x v="11"/>
  </r>
  <r>
    <x v="12"/>
    <n v="324000"/>
    <m/>
    <m/>
    <m/>
    <m/>
    <x v="252"/>
    <x v="0"/>
    <x v="11"/>
  </r>
  <r>
    <x v="13"/>
    <n v="432000"/>
    <m/>
    <m/>
    <m/>
    <m/>
    <x v="252"/>
    <x v="0"/>
    <x v="11"/>
  </r>
  <r>
    <x v="0"/>
    <m/>
    <m/>
    <m/>
    <m/>
    <m/>
    <x v="253"/>
    <x v="0"/>
    <x v="11"/>
  </r>
  <r>
    <x v="1"/>
    <n v="148500"/>
    <m/>
    <m/>
    <m/>
    <m/>
    <x v="253"/>
    <x v="0"/>
    <x v="11"/>
  </r>
  <r>
    <x v="2"/>
    <n v="162000"/>
    <n v="199000"/>
    <m/>
    <m/>
    <m/>
    <x v="253"/>
    <x v="0"/>
    <x v="11"/>
  </r>
  <r>
    <x v="3"/>
    <m/>
    <n v="270000"/>
    <m/>
    <m/>
    <m/>
    <x v="253"/>
    <x v="0"/>
    <x v="11"/>
  </r>
  <r>
    <x v="4"/>
    <n v="536000"/>
    <n v="266000"/>
    <m/>
    <m/>
    <m/>
    <x v="253"/>
    <x v="0"/>
    <x v="11"/>
  </r>
  <r>
    <x v="5"/>
    <m/>
    <n v="315000"/>
    <m/>
    <m/>
    <m/>
    <x v="253"/>
    <x v="0"/>
    <x v="11"/>
  </r>
  <r>
    <x v="6"/>
    <n v="54000"/>
    <n v="108000"/>
    <m/>
    <m/>
    <m/>
    <x v="253"/>
    <x v="0"/>
    <x v="11"/>
  </r>
  <r>
    <x v="7"/>
    <m/>
    <n v="270000"/>
    <m/>
    <m/>
    <m/>
    <x v="253"/>
    <x v="0"/>
    <x v="11"/>
  </r>
  <r>
    <x v="8"/>
    <n v="356000"/>
    <n v="54000"/>
    <m/>
    <m/>
    <m/>
    <x v="253"/>
    <x v="0"/>
    <x v="11"/>
  </r>
  <r>
    <x v="9"/>
    <m/>
    <n v="324000"/>
    <m/>
    <m/>
    <m/>
    <x v="253"/>
    <x v="0"/>
    <x v="11"/>
  </r>
  <r>
    <x v="10"/>
    <m/>
    <m/>
    <m/>
    <m/>
    <m/>
    <x v="253"/>
    <x v="0"/>
    <x v="11"/>
  </r>
  <r>
    <x v="11"/>
    <m/>
    <m/>
    <m/>
    <m/>
    <m/>
    <x v="253"/>
    <x v="0"/>
    <x v="11"/>
  </r>
  <r>
    <x v="12"/>
    <n v="369000"/>
    <m/>
    <m/>
    <m/>
    <m/>
    <x v="253"/>
    <x v="0"/>
    <x v="11"/>
  </r>
  <r>
    <x v="13"/>
    <n v="308000"/>
    <m/>
    <m/>
    <m/>
    <m/>
    <x v="253"/>
    <x v="0"/>
    <x v="11"/>
  </r>
  <r>
    <x v="0"/>
    <m/>
    <m/>
    <m/>
    <m/>
    <m/>
    <x v="254"/>
    <x v="0"/>
    <x v="11"/>
  </r>
  <r>
    <x v="1"/>
    <n v="54000"/>
    <m/>
    <m/>
    <m/>
    <m/>
    <x v="254"/>
    <x v="0"/>
    <x v="11"/>
  </r>
  <r>
    <x v="2"/>
    <n v="680500"/>
    <n v="153000"/>
    <m/>
    <n v="99000"/>
    <m/>
    <x v="254"/>
    <x v="0"/>
    <x v="11"/>
  </r>
  <r>
    <x v="3"/>
    <m/>
    <n v="162000"/>
    <m/>
    <n v="162000"/>
    <m/>
    <x v="254"/>
    <x v="0"/>
    <x v="11"/>
  </r>
  <r>
    <x v="4"/>
    <n v="486000"/>
    <n v="216000"/>
    <m/>
    <n v="54000"/>
    <m/>
    <x v="254"/>
    <x v="0"/>
    <x v="11"/>
  </r>
  <r>
    <x v="5"/>
    <m/>
    <n v="270000"/>
    <m/>
    <n v="99000"/>
    <m/>
    <x v="254"/>
    <x v="0"/>
    <x v="11"/>
  </r>
  <r>
    <x v="6"/>
    <m/>
    <m/>
    <m/>
    <m/>
    <m/>
    <x v="254"/>
    <x v="0"/>
    <x v="11"/>
  </r>
  <r>
    <x v="7"/>
    <m/>
    <n v="216000"/>
    <m/>
    <m/>
    <m/>
    <x v="254"/>
    <x v="0"/>
    <x v="11"/>
  </r>
  <r>
    <x v="8"/>
    <n v="369000"/>
    <m/>
    <m/>
    <m/>
    <m/>
    <x v="254"/>
    <x v="0"/>
    <x v="11"/>
  </r>
  <r>
    <x v="9"/>
    <m/>
    <n v="216000"/>
    <m/>
    <n v="45000"/>
    <m/>
    <x v="254"/>
    <x v="0"/>
    <x v="11"/>
  </r>
  <r>
    <x v="10"/>
    <m/>
    <m/>
    <m/>
    <m/>
    <m/>
    <x v="254"/>
    <x v="0"/>
    <x v="11"/>
  </r>
  <r>
    <x v="11"/>
    <m/>
    <m/>
    <m/>
    <m/>
    <m/>
    <x v="254"/>
    <x v="0"/>
    <x v="11"/>
  </r>
  <r>
    <x v="12"/>
    <n v="162000"/>
    <m/>
    <m/>
    <m/>
    <m/>
    <x v="254"/>
    <x v="0"/>
    <x v="11"/>
  </r>
  <r>
    <x v="13"/>
    <n v="108000"/>
    <m/>
    <n v="162000"/>
    <n v="50000"/>
    <m/>
    <x v="254"/>
    <x v="0"/>
    <x v="11"/>
  </r>
  <r>
    <x v="0"/>
    <m/>
    <m/>
    <m/>
    <m/>
    <m/>
    <x v="255"/>
    <x v="0"/>
    <x v="11"/>
  </r>
  <r>
    <x v="1"/>
    <n v="50000"/>
    <m/>
    <m/>
    <m/>
    <m/>
    <x v="255"/>
    <x v="0"/>
    <x v="11"/>
  </r>
  <r>
    <x v="2"/>
    <n v="755500"/>
    <n v="207500"/>
    <m/>
    <n v="108000"/>
    <n v="536000"/>
    <x v="255"/>
    <x v="0"/>
    <x v="11"/>
  </r>
  <r>
    <x v="3"/>
    <m/>
    <n v="216000"/>
    <m/>
    <n v="108000"/>
    <m/>
    <x v="255"/>
    <x v="0"/>
    <x v="11"/>
  </r>
  <r>
    <x v="4"/>
    <n v="315000"/>
    <n v="162000"/>
    <m/>
    <n v="216000"/>
    <m/>
    <x v="255"/>
    <x v="0"/>
    <x v="11"/>
  </r>
  <r>
    <x v="5"/>
    <m/>
    <n v="161000"/>
    <m/>
    <n v="108000"/>
    <m/>
    <x v="255"/>
    <x v="0"/>
    <x v="11"/>
  </r>
  <r>
    <x v="6"/>
    <m/>
    <m/>
    <m/>
    <n v="45000"/>
    <m/>
    <x v="255"/>
    <x v="0"/>
    <x v="11"/>
  </r>
  <r>
    <x v="7"/>
    <m/>
    <n v="162000"/>
    <m/>
    <m/>
    <m/>
    <x v="255"/>
    <x v="0"/>
    <x v="11"/>
  </r>
  <r>
    <x v="8"/>
    <n v="324000"/>
    <m/>
    <n v="216000"/>
    <m/>
    <m/>
    <x v="255"/>
    <x v="0"/>
    <x v="11"/>
  </r>
  <r>
    <x v="9"/>
    <m/>
    <n v="216000"/>
    <m/>
    <n v="108000"/>
    <m/>
    <x v="255"/>
    <x v="0"/>
    <x v="11"/>
  </r>
  <r>
    <x v="10"/>
    <m/>
    <m/>
    <m/>
    <m/>
    <m/>
    <x v="255"/>
    <x v="0"/>
    <x v="11"/>
  </r>
  <r>
    <x v="11"/>
    <m/>
    <m/>
    <m/>
    <m/>
    <m/>
    <x v="255"/>
    <x v="0"/>
    <x v="11"/>
  </r>
  <r>
    <x v="12"/>
    <n v="216000"/>
    <m/>
    <m/>
    <n v="54000"/>
    <m/>
    <x v="255"/>
    <x v="0"/>
    <x v="11"/>
  </r>
  <r>
    <x v="13"/>
    <n v="101000"/>
    <m/>
    <n v="108000"/>
    <n v="108000"/>
    <m/>
    <x v="255"/>
    <x v="0"/>
    <x v="11"/>
  </r>
  <r>
    <x v="0"/>
    <m/>
    <m/>
    <m/>
    <m/>
    <m/>
    <x v="256"/>
    <x v="0"/>
    <x v="11"/>
  </r>
  <r>
    <x v="1"/>
    <m/>
    <m/>
    <m/>
    <m/>
    <m/>
    <x v="256"/>
    <x v="0"/>
    <x v="11"/>
  </r>
  <r>
    <x v="2"/>
    <n v="311000"/>
    <n v="162000"/>
    <m/>
    <m/>
    <m/>
    <x v="256"/>
    <x v="0"/>
    <x v="11"/>
  </r>
  <r>
    <x v="3"/>
    <m/>
    <n v="54000"/>
    <m/>
    <m/>
    <m/>
    <x v="256"/>
    <x v="0"/>
    <x v="11"/>
  </r>
  <r>
    <x v="4"/>
    <n v="99000"/>
    <n v="108000"/>
    <m/>
    <m/>
    <m/>
    <x v="256"/>
    <x v="0"/>
    <x v="11"/>
  </r>
  <r>
    <x v="5"/>
    <m/>
    <m/>
    <m/>
    <m/>
    <m/>
    <x v="256"/>
    <x v="0"/>
    <x v="11"/>
  </r>
  <r>
    <x v="6"/>
    <m/>
    <m/>
    <m/>
    <m/>
    <m/>
    <x v="256"/>
    <x v="0"/>
    <x v="11"/>
  </r>
  <r>
    <x v="7"/>
    <m/>
    <n v="54000"/>
    <m/>
    <m/>
    <m/>
    <x v="256"/>
    <x v="0"/>
    <x v="11"/>
  </r>
  <r>
    <x v="8"/>
    <n v="99000"/>
    <n v="486000"/>
    <m/>
    <m/>
    <m/>
    <x v="256"/>
    <x v="0"/>
    <x v="11"/>
  </r>
  <r>
    <x v="9"/>
    <m/>
    <m/>
    <m/>
    <m/>
    <m/>
    <x v="256"/>
    <x v="0"/>
    <x v="11"/>
  </r>
  <r>
    <x v="10"/>
    <m/>
    <n v="54000"/>
    <m/>
    <m/>
    <m/>
    <x v="256"/>
    <x v="0"/>
    <x v="11"/>
  </r>
  <r>
    <x v="11"/>
    <m/>
    <m/>
    <m/>
    <m/>
    <m/>
    <x v="256"/>
    <x v="0"/>
    <x v="11"/>
  </r>
  <r>
    <x v="12"/>
    <n v="324000"/>
    <m/>
    <m/>
    <m/>
    <m/>
    <x v="256"/>
    <x v="0"/>
    <x v="11"/>
  </r>
  <r>
    <x v="13"/>
    <m/>
    <m/>
    <m/>
    <m/>
    <m/>
    <x v="256"/>
    <x v="0"/>
    <x v="11"/>
  </r>
  <r>
    <x v="0"/>
    <m/>
    <m/>
    <m/>
    <m/>
    <m/>
    <x v="257"/>
    <x v="1"/>
    <x v="0"/>
  </r>
  <r>
    <x v="1"/>
    <m/>
    <m/>
    <m/>
    <m/>
    <m/>
    <x v="257"/>
    <x v="1"/>
    <x v="0"/>
  </r>
  <r>
    <x v="2"/>
    <n v="54000"/>
    <m/>
    <m/>
    <m/>
    <n v="320000"/>
    <x v="257"/>
    <x v="1"/>
    <x v="0"/>
  </r>
  <r>
    <x v="3"/>
    <m/>
    <n v="647500"/>
    <m/>
    <n v="216000"/>
    <m/>
    <x v="257"/>
    <x v="1"/>
    <x v="0"/>
  </r>
  <r>
    <x v="4"/>
    <m/>
    <n v="108000"/>
    <m/>
    <m/>
    <m/>
    <x v="257"/>
    <x v="1"/>
    <x v="0"/>
  </r>
  <r>
    <x v="5"/>
    <n v="270000"/>
    <n v="216000"/>
    <n v="54000"/>
    <m/>
    <n v="162000"/>
    <x v="257"/>
    <x v="1"/>
    <x v="0"/>
  </r>
  <r>
    <x v="6"/>
    <m/>
    <m/>
    <m/>
    <m/>
    <m/>
    <x v="257"/>
    <x v="1"/>
    <x v="0"/>
  </r>
  <r>
    <x v="7"/>
    <m/>
    <n v="108000"/>
    <m/>
    <m/>
    <m/>
    <x v="257"/>
    <x v="1"/>
    <x v="0"/>
  </r>
  <r>
    <x v="8"/>
    <m/>
    <n v="54000"/>
    <m/>
    <m/>
    <m/>
    <x v="257"/>
    <x v="1"/>
    <x v="0"/>
  </r>
  <r>
    <x v="9"/>
    <m/>
    <n v="108000"/>
    <m/>
    <m/>
    <m/>
    <x v="257"/>
    <x v="1"/>
    <x v="0"/>
  </r>
  <r>
    <x v="10"/>
    <m/>
    <m/>
    <m/>
    <m/>
    <m/>
    <x v="257"/>
    <x v="1"/>
    <x v="0"/>
  </r>
  <r>
    <x v="11"/>
    <m/>
    <m/>
    <m/>
    <m/>
    <m/>
    <x v="257"/>
    <x v="1"/>
    <x v="0"/>
  </r>
  <r>
    <x v="12"/>
    <n v="639000"/>
    <m/>
    <m/>
    <m/>
    <m/>
    <x v="257"/>
    <x v="1"/>
    <x v="0"/>
  </r>
  <r>
    <x v="13"/>
    <m/>
    <m/>
    <m/>
    <m/>
    <m/>
    <x v="257"/>
    <x v="1"/>
    <x v="0"/>
  </r>
  <r>
    <x v="0"/>
    <m/>
    <m/>
    <m/>
    <m/>
    <m/>
    <x v="258"/>
    <x v="1"/>
    <x v="0"/>
  </r>
  <r>
    <x v="1"/>
    <m/>
    <m/>
    <m/>
    <m/>
    <m/>
    <x v="258"/>
    <x v="1"/>
    <x v="0"/>
  </r>
  <r>
    <x v="2"/>
    <m/>
    <n v="162000"/>
    <m/>
    <n v="54000"/>
    <m/>
    <x v="258"/>
    <x v="1"/>
    <x v="0"/>
  </r>
  <r>
    <x v="3"/>
    <m/>
    <n v="377000"/>
    <m/>
    <n v="216000"/>
    <m/>
    <x v="258"/>
    <x v="1"/>
    <x v="0"/>
  </r>
  <r>
    <x v="4"/>
    <n v="45000"/>
    <n v="162000"/>
    <m/>
    <m/>
    <m/>
    <x v="258"/>
    <x v="1"/>
    <x v="0"/>
  </r>
  <r>
    <x v="5"/>
    <n v="702000"/>
    <n v="108000"/>
    <n v="108000"/>
    <m/>
    <n v="54000"/>
    <x v="258"/>
    <x v="1"/>
    <x v="0"/>
  </r>
  <r>
    <x v="6"/>
    <m/>
    <n v="54000"/>
    <m/>
    <m/>
    <m/>
    <x v="258"/>
    <x v="1"/>
    <x v="0"/>
  </r>
  <r>
    <x v="7"/>
    <m/>
    <n v="162000"/>
    <m/>
    <m/>
    <m/>
    <x v="258"/>
    <x v="1"/>
    <x v="0"/>
  </r>
  <r>
    <x v="8"/>
    <m/>
    <n v="162000"/>
    <m/>
    <m/>
    <m/>
    <x v="258"/>
    <x v="1"/>
    <x v="0"/>
  </r>
  <r>
    <x v="9"/>
    <n v="432000"/>
    <n v="108000"/>
    <n v="54000"/>
    <m/>
    <m/>
    <x v="258"/>
    <x v="1"/>
    <x v="0"/>
  </r>
  <r>
    <x v="10"/>
    <m/>
    <m/>
    <m/>
    <m/>
    <m/>
    <x v="258"/>
    <x v="1"/>
    <x v="0"/>
  </r>
  <r>
    <x v="11"/>
    <m/>
    <m/>
    <m/>
    <m/>
    <m/>
    <x v="258"/>
    <x v="1"/>
    <x v="0"/>
  </r>
  <r>
    <x v="12"/>
    <n v="95000"/>
    <m/>
    <m/>
    <m/>
    <m/>
    <x v="258"/>
    <x v="1"/>
    <x v="0"/>
  </r>
  <r>
    <x v="13"/>
    <m/>
    <n v="54000"/>
    <m/>
    <n v="54000"/>
    <m/>
    <x v="258"/>
    <x v="1"/>
    <x v="0"/>
  </r>
  <r>
    <x v="0"/>
    <m/>
    <m/>
    <m/>
    <m/>
    <m/>
    <x v="259"/>
    <x v="1"/>
    <x v="0"/>
  </r>
  <r>
    <x v="1"/>
    <m/>
    <m/>
    <m/>
    <m/>
    <m/>
    <x v="259"/>
    <x v="1"/>
    <x v="0"/>
  </r>
  <r>
    <x v="2"/>
    <m/>
    <n v="54000"/>
    <m/>
    <m/>
    <m/>
    <x v="259"/>
    <x v="1"/>
    <x v="0"/>
  </r>
  <r>
    <x v="3"/>
    <m/>
    <n v="377000"/>
    <m/>
    <m/>
    <m/>
    <x v="259"/>
    <x v="1"/>
    <x v="0"/>
  </r>
  <r>
    <x v="4"/>
    <m/>
    <n v="54000"/>
    <m/>
    <m/>
    <m/>
    <x v="259"/>
    <x v="1"/>
    <x v="0"/>
  </r>
  <r>
    <x v="5"/>
    <n v="266000"/>
    <m/>
    <m/>
    <n v="54000"/>
    <n v="266000"/>
    <x v="259"/>
    <x v="1"/>
    <x v="0"/>
  </r>
  <r>
    <x v="6"/>
    <m/>
    <m/>
    <m/>
    <m/>
    <m/>
    <x v="259"/>
    <x v="1"/>
    <x v="0"/>
  </r>
  <r>
    <x v="7"/>
    <m/>
    <n v="54000"/>
    <m/>
    <m/>
    <m/>
    <x v="259"/>
    <x v="1"/>
    <x v="0"/>
  </r>
  <r>
    <x v="8"/>
    <m/>
    <n v="594000"/>
    <m/>
    <m/>
    <m/>
    <x v="259"/>
    <x v="1"/>
    <x v="0"/>
  </r>
  <r>
    <x v="9"/>
    <n v="427000"/>
    <n v="153000"/>
    <n v="324000"/>
    <m/>
    <m/>
    <x v="259"/>
    <x v="1"/>
    <x v="0"/>
  </r>
  <r>
    <x v="10"/>
    <m/>
    <m/>
    <m/>
    <m/>
    <m/>
    <x v="259"/>
    <x v="1"/>
    <x v="0"/>
  </r>
  <r>
    <x v="11"/>
    <m/>
    <m/>
    <m/>
    <m/>
    <m/>
    <x v="259"/>
    <x v="1"/>
    <x v="0"/>
  </r>
  <r>
    <x v="12"/>
    <n v="50000"/>
    <m/>
    <m/>
    <m/>
    <m/>
    <x v="259"/>
    <x v="1"/>
    <x v="0"/>
  </r>
  <r>
    <x v="13"/>
    <m/>
    <n v="108000"/>
    <m/>
    <m/>
    <m/>
    <x v="259"/>
    <x v="1"/>
    <x v="0"/>
  </r>
  <r>
    <x v="0"/>
    <m/>
    <m/>
    <m/>
    <m/>
    <m/>
    <x v="260"/>
    <x v="1"/>
    <x v="0"/>
  </r>
  <r>
    <x v="1"/>
    <m/>
    <m/>
    <m/>
    <m/>
    <m/>
    <x v="260"/>
    <x v="1"/>
    <x v="0"/>
  </r>
  <r>
    <x v="2"/>
    <m/>
    <n v="103500"/>
    <m/>
    <n v="54000"/>
    <m/>
    <x v="260"/>
    <x v="1"/>
    <x v="0"/>
  </r>
  <r>
    <x v="3"/>
    <m/>
    <n v="470000"/>
    <m/>
    <n v="270000"/>
    <m/>
    <x v="260"/>
    <x v="1"/>
    <x v="0"/>
  </r>
  <r>
    <x v="4"/>
    <n v="540000"/>
    <n v="216000"/>
    <n v="261000"/>
    <n v="54000"/>
    <m/>
    <x v="260"/>
    <x v="1"/>
    <x v="0"/>
  </r>
  <r>
    <x v="5"/>
    <n v="162000"/>
    <n v="54000"/>
    <n v="45000"/>
    <n v="108000"/>
    <n v="428000"/>
    <x v="260"/>
    <x v="1"/>
    <x v="0"/>
  </r>
  <r>
    <x v="6"/>
    <m/>
    <m/>
    <m/>
    <m/>
    <m/>
    <x v="260"/>
    <x v="1"/>
    <x v="0"/>
  </r>
  <r>
    <x v="7"/>
    <m/>
    <n v="45000"/>
    <m/>
    <m/>
    <m/>
    <x v="260"/>
    <x v="1"/>
    <x v="0"/>
  </r>
  <r>
    <x v="8"/>
    <m/>
    <m/>
    <m/>
    <m/>
    <m/>
    <x v="260"/>
    <x v="1"/>
    <x v="0"/>
  </r>
  <r>
    <x v="9"/>
    <n v="828000"/>
    <n v="162000"/>
    <n v="378000"/>
    <n v="108000"/>
    <m/>
    <x v="260"/>
    <x v="1"/>
    <x v="0"/>
  </r>
  <r>
    <x v="10"/>
    <m/>
    <n v="103500"/>
    <m/>
    <m/>
    <m/>
    <x v="260"/>
    <x v="1"/>
    <x v="0"/>
  </r>
  <r>
    <x v="11"/>
    <m/>
    <m/>
    <m/>
    <m/>
    <m/>
    <x v="260"/>
    <x v="1"/>
    <x v="0"/>
  </r>
  <r>
    <x v="12"/>
    <m/>
    <m/>
    <m/>
    <m/>
    <m/>
    <x v="260"/>
    <x v="1"/>
    <x v="0"/>
  </r>
  <r>
    <x v="13"/>
    <m/>
    <n v="54000"/>
    <m/>
    <n v="108000"/>
    <m/>
    <x v="260"/>
    <x v="1"/>
    <x v="0"/>
  </r>
  <r>
    <x v="0"/>
    <m/>
    <m/>
    <m/>
    <m/>
    <m/>
    <x v="261"/>
    <x v="1"/>
    <x v="0"/>
  </r>
  <r>
    <x v="1"/>
    <m/>
    <m/>
    <m/>
    <m/>
    <m/>
    <x v="261"/>
    <x v="1"/>
    <x v="0"/>
  </r>
  <r>
    <x v="2"/>
    <m/>
    <n v="162000"/>
    <m/>
    <n v="54000"/>
    <n v="90000"/>
    <x v="261"/>
    <x v="1"/>
    <x v="0"/>
  </r>
  <r>
    <x v="3"/>
    <m/>
    <n v="540000"/>
    <m/>
    <n v="216000"/>
    <m/>
    <x v="261"/>
    <x v="1"/>
    <x v="0"/>
  </r>
  <r>
    <x v="4"/>
    <n v="756000"/>
    <n v="162000"/>
    <n v="216000"/>
    <m/>
    <m/>
    <x v="261"/>
    <x v="1"/>
    <x v="0"/>
  </r>
  <r>
    <x v="5"/>
    <n v="259000"/>
    <n v="145000"/>
    <m/>
    <n v="108000"/>
    <n v="90000"/>
    <x v="261"/>
    <x v="1"/>
    <x v="0"/>
  </r>
  <r>
    <x v="6"/>
    <m/>
    <m/>
    <m/>
    <m/>
    <m/>
    <x v="261"/>
    <x v="1"/>
    <x v="0"/>
  </r>
  <r>
    <x v="7"/>
    <m/>
    <n v="162000"/>
    <m/>
    <m/>
    <m/>
    <x v="261"/>
    <x v="1"/>
    <x v="0"/>
  </r>
  <r>
    <x v="8"/>
    <n v="324000"/>
    <n v="108000"/>
    <m/>
    <m/>
    <m/>
    <x v="261"/>
    <x v="1"/>
    <x v="0"/>
  </r>
  <r>
    <x v="9"/>
    <n v="518000"/>
    <n v="108000"/>
    <n v="108000"/>
    <n v="54000"/>
    <m/>
    <x v="261"/>
    <x v="1"/>
    <x v="0"/>
  </r>
  <r>
    <x v="10"/>
    <m/>
    <n v="378000"/>
    <m/>
    <m/>
    <m/>
    <x v="261"/>
    <x v="1"/>
    <x v="0"/>
  </r>
  <r>
    <x v="11"/>
    <m/>
    <m/>
    <m/>
    <m/>
    <m/>
    <x v="261"/>
    <x v="1"/>
    <x v="0"/>
  </r>
  <r>
    <x v="12"/>
    <m/>
    <m/>
    <m/>
    <m/>
    <m/>
    <x v="261"/>
    <x v="1"/>
    <x v="0"/>
  </r>
  <r>
    <x v="13"/>
    <m/>
    <n v="108000"/>
    <m/>
    <n v="108000"/>
    <m/>
    <x v="261"/>
    <x v="1"/>
    <x v="0"/>
  </r>
  <r>
    <x v="0"/>
    <m/>
    <m/>
    <m/>
    <m/>
    <m/>
    <x v="262"/>
    <x v="1"/>
    <x v="0"/>
  </r>
  <r>
    <x v="1"/>
    <m/>
    <m/>
    <m/>
    <m/>
    <m/>
    <x v="262"/>
    <x v="1"/>
    <x v="0"/>
  </r>
  <r>
    <x v="2"/>
    <m/>
    <n v="158000"/>
    <m/>
    <m/>
    <n v="54000"/>
    <x v="262"/>
    <x v="1"/>
    <x v="0"/>
  </r>
  <r>
    <x v="3"/>
    <m/>
    <n v="216000"/>
    <m/>
    <n v="324000"/>
    <m/>
    <x v="262"/>
    <x v="1"/>
    <x v="0"/>
  </r>
  <r>
    <x v="4"/>
    <n v="590000"/>
    <n v="162000"/>
    <m/>
    <n v="54000"/>
    <m/>
    <x v="262"/>
    <x v="1"/>
    <x v="0"/>
  </r>
  <r>
    <x v="5"/>
    <m/>
    <n v="54000"/>
    <m/>
    <n v="90000"/>
    <m/>
    <x v="262"/>
    <x v="1"/>
    <x v="0"/>
  </r>
  <r>
    <x v="6"/>
    <m/>
    <m/>
    <m/>
    <m/>
    <m/>
    <x v="262"/>
    <x v="1"/>
    <x v="0"/>
  </r>
  <r>
    <x v="7"/>
    <m/>
    <n v="216000"/>
    <m/>
    <m/>
    <m/>
    <x v="262"/>
    <x v="1"/>
    <x v="0"/>
  </r>
  <r>
    <x v="8"/>
    <n v="752000"/>
    <m/>
    <m/>
    <m/>
    <m/>
    <x v="262"/>
    <x v="1"/>
    <x v="0"/>
  </r>
  <r>
    <x v="9"/>
    <n v="702000"/>
    <n v="47000"/>
    <m/>
    <m/>
    <m/>
    <x v="262"/>
    <x v="1"/>
    <x v="0"/>
  </r>
  <r>
    <x v="10"/>
    <m/>
    <n v="54000"/>
    <m/>
    <m/>
    <m/>
    <x v="262"/>
    <x v="1"/>
    <x v="0"/>
  </r>
  <r>
    <x v="11"/>
    <m/>
    <m/>
    <m/>
    <m/>
    <m/>
    <x v="262"/>
    <x v="1"/>
    <x v="0"/>
  </r>
  <r>
    <x v="12"/>
    <n v="54000"/>
    <n v="162000"/>
    <n v="54000"/>
    <m/>
    <m/>
    <x v="262"/>
    <x v="1"/>
    <x v="0"/>
  </r>
  <r>
    <x v="13"/>
    <m/>
    <n v="54000"/>
    <m/>
    <n v="378000"/>
    <m/>
    <x v="262"/>
    <x v="1"/>
    <x v="0"/>
  </r>
  <r>
    <x v="0"/>
    <m/>
    <m/>
    <m/>
    <m/>
    <m/>
    <x v="263"/>
    <x v="1"/>
    <x v="0"/>
  </r>
  <r>
    <x v="1"/>
    <m/>
    <m/>
    <m/>
    <m/>
    <m/>
    <x v="263"/>
    <x v="1"/>
    <x v="0"/>
  </r>
  <r>
    <x v="2"/>
    <m/>
    <n v="108000"/>
    <m/>
    <m/>
    <m/>
    <x v="263"/>
    <x v="1"/>
    <x v="0"/>
  </r>
  <r>
    <x v="3"/>
    <m/>
    <n v="108000"/>
    <m/>
    <n v="162000"/>
    <m/>
    <x v="263"/>
    <x v="1"/>
    <x v="0"/>
  </r>
  <r>
    <x v="4"/>
    <n v="108000"/>
    <n v="153000"/>
    <m/>
    <m/>
    <m/>
    <x v="263"/>
    <x v="1"/>
    <x v="0"/>
  </r>
  <r>
    <x v="5"/>
    <m/>
    <n v="162000"/>
    <m/>
    <m/>
    <m/>
    <x v="263"/>
    <x v="1"/>
    <x v="0"/>
  </r>
  <r>
    <x v="6"/>
    <m/>
    <n v="108000"/>
    <m/>
    <n v="54000"/>
    <m/>
    <x v="263"/>
    <x v="1"/>
    <x v="0"/>
  </r>
  <r>
    <x v="7"/>
    <m/>
    <n v="153000"/>
    <m/>
    <m/>
    <m/>
    <x v="263"/>
    <x v="1"/>
    <x v="0"/>
  </r>
  <r>
    <x v="8"/>
    <n v="747000"/>
    <m/>
    <n v="216000"/>
    <m/>
    <m/>
    <x v="263"/>
    <x v="1"/>
    <x v="0"/>
  </r>
  <r>
    <x v="9"/>
    <n v="531000"/>
    <n v="108000"/>
    <n v="45000"/>
    <n v="54000"/>
    <m/>
    <x v="263"/>
    <x v="1"/>
    <x v="0"/>
  </r>
  <r>
    <x v="10"/>
    <m/>
    <n v="158000"/>
    <m/>
    <m/>
    <m/>
    <x v="263"/>
    <x v="1"/>
    <x v="0"/>
  </r>
  <r>
    <x v="11"/>
    <m/>
    <m/>
    <m/>
    <m/>
    <m/>
    <x v="263"/>
    <x v="1"/>
    <x v="0"/>
  </r>
  <r>
    <x v="12"/>
    <m/>
    <n v="99000"/>
    <m/>
    <m/>
    <m/>
    <x v="263"/>
    <x v="1"/>
    <x v="0"/>
  </r>
  <r>
    <x v="13"/>
    <n v="536000"/>
    <n v="108000"/>
    <n v="216000"/>
    <n v="162000"/>
    <m/>
    <x v="263"/>
    <x v="1"/>
    <x v="0"/>
  </r>
  <r>
    <x v="0"/>
    <m/>
    <m/>
    <m/>
    <m/>
    <m/>
    <x v="264"/>
    <x v="1"/>
    <x v="0"/>
  </r>
  <r>
    <x v="1"/>
    <m/>
    <m/>
    <m/>
    <m/>
    <m/>
    <x v="264"/>
    <x v="1"/>
    <x v="0"/>
  </r>
  <r>
    <x v="2"/>
    <m/>
    <n v="54000"/>
    <m/>
    <m/>
    <m/>
    <x v="264"/>
    <x v="1"/>
    <x v="0"/>
  </r>
  <r>
    <x v="3"/>
    <m/>
    <n v="270000"/>
    <m/>
    <n v="99000"/>
    <m/>
    <x v="264"/>
    <x v="1"/>
    <x v="0"/>
  </r>
  <r>
    <x v="4"/>
    <m/>
    <n v="108000"/>
    <m/>
    <m/>
    <m/>
    <x v="264"/>
    <x v="1"/>
    <x v="0"/>
  </r>
  <r>
    <x v="5"/>
    <m/>
    <m/>
    <m/>
    <n v="54000"/>
    <m/>
    <x v="264"/>
    <x v="1"/>
    <x v="0"/>
  </r>
  <r>
    <x v="6"/>
    <m/>
    <n v="207000"/>
    <m/>
    <n v="108000"/>
    <m/>
    <x v="264"/>
    <x v="1"/>
    <x v="0"/>
  </r>
  <r>
    <x v="7"/>
    <m/>
    <n v="315000"/>
    <m/>
    <m/>
    <m/>
    <x v="264"/>
    <x v="1"/>
    <x v="0"/>
  </r>
  <r>
    <x v="8"/>
    <n v="635000"/>
    <n v="54000"/>
    <n v="216000"/>
    <m/>
    <m/>
    <x v="264"/>
    <x v="1"/>
    <x v="0"/>
  </r>
  <r>
    <x v="9"/>
    <n v="216000"/>
    <n v="158000"/>
    <n v="90000"/>
    <n v="50000"/>
    <m/>
    <x v="264"/>
    <x v="1"/>
    <x v="0"/>
  </r>
  <r>
    <x v="10"/>
    <m/>
    <n v="108000"/>
    <m/>
    <m/>
    <m/>
    <x v="264"/>
    <x v="1"/>
    <x v="0"/>
  </r>
  <r>
    <x v="11"/>
    <m/>
    <m/>
    <m/>
    <m/>
    <m/>
    <x v="264"/>
    <x v="1"/>
    <x v="0"/>
  </r>
  <r>
    <x v="12"/>
    <n v="162000"/>
    <n v="162000"/>
    <n v="108000"/>
    <n v="50000"/>
    <n v="486000"/>
    <x v="264"/>
    <x v="1"/>
    <x v="0"/>
  </r>
  <r>
    <x v="13"/>
    <n v="261500"/>
    <n v="90000"/>
    <n v="270000"/>
    <n v="108000"/>
    <m/>
    <x v="264"/>
    <x v="1"/>
    <x v="0"/>
  </r>
  <r>
    <x v="0"/>
    <m/>
    <m/>
    <m/>
    <m/>
    <m/>
    <x v="265"/>
    <x v="1"/>
    <x v="0"/>
  </r>
  <r>
    <x v="1"/>
    <m/>
    <m/>
    <m/>
    <m/>
    <m/>
    <x v="265"/>
    <x v="1"/>
    <x v="0"/>
  </r>
  <r>
    <x v="2"/>
    <n v="536000"/>
    <n v="54000"/>
    <m/>
    <n v="54000"/>
    <m/>
    <x v="265"/>
    <x v="1"/>
    <x v="0"/>
  </r>
  <r>
    <x v="3"/>
    <m/>
    <n v="201000"/>
    <m/>
    <n v="270000"/>
    <m/>
    <x v="265"/>
    <x v="1"/>
    <x v="0"/>
  </r>
  <r>
    <x v="4"/>
    <m/>
    <m/>
    <m/>
    <m/>
    <m/>
    <x v="265"/>
    <x v="1"/>
    <x v="0"/>
  </r>
  <r>
    <x v="5"/>
    <m/>
    <m/>
    <m/>
    <m/>
    <m/>
    <x v="265"/>
    <x v="1"/>
    <x v="0"/>
  </r>
  <r>
    <x v="6"/>
    <m/>
    <n v="54000"/>
    <m/>
    <n v="99000"/>
    <m/>
    <x v="265"/>
    <x v="1"/>
    <x v="0"/>
  </r>
  <r>
    <x v="7"/>
    <m/>
    <n v="54000"/>
    <m/>
    <m/>
    <m/>
    <x v="265"/>
    <x v="1"/>
    <x v="0"/>
  </r>
  <r>
    <x v="8"/>
    <n v="540000"/>
    <n v="702000"/>
    <n v="54000"/>
    <m/>
    <m/>
    <x v="265"/>
    <x v="1"/>
    <x v="0"/>
  </r>
  <r>
    <x v="9"/>
    <m/>
    <n v="54000"/>
    <m/>
    <n v="54000"/>
    <m/>
    <x v="265"/>
    <x v="1"/>
    <x v="0"/>
  </r>
  <r>
    <x v="10"/>
    <m/>
    <n v="54000"/>
    <m/>
    <m/>
    <m/>
    <x v="265"/>
    <x v="1"/>
    <x v="0"/>
  </r>
  <r>
    <x v="11"/>
    <m/>
    <m/>
    <m/>
    <m/>
    <m/>
    <x v="265"/>
    <x v="1"/>
    <x v="0"/>
  </r>
  <r>
    <x v="12"/>
    <m/>
    <n v="54000"/>
    <n v="158000"/>
    <n v="54000"/>
    <n v="324000"/>
    <x v="265"/>
    <x v="1"/>
    <x v="0"/>
  </r>
  <r>
    <x v="13"/>
    <n v="108000"/>
    <m/>
    <n v="108000"/>
    <m/>
    <m/>
    <x v="265"/>
    <x v="1"/>
    <x v="0"/>
  </r>
  <r>
    <x v="0"/>
    <m/>
    <m/>
    <m/>
    <m/>
    <m/>
    <x v="266"/>
    <x v="1"/>
    <x v="0"/>
  </r>
  <r>
    <x v="1"/>
    <m/>
    <m/>
    <m/>
    <m/>
    <m/>
    <x v="266"/>
    <x v="1"/>
    <x v="0"/>
  </r>
  <r>
    <x v="2"/>
    <n v="585000"/>
    <n v="108000"/>
    <m/>
    <m/>
    <m/>
    <x v="266"/>
    <x v="1"/>
    <x v="0"/>
  </r>
  <r>
    <x v="3"/>
    <m/>
    <n v="693000"/>
    <m/>
    <n v="324000"/>
    <m/>
    <x v="266"/>
    <x v="1"/>
    <x v="0"/>
  </r>
  <r>
    <x v="4"/>
    <m/>
    <n v="162000"/>
    <m/>
    <n v="54000"/>
    <m/>
    <x v="266"/>
    <x v="1"/>
    <x v="0"/>
  </r>
  <r>
    <x v="5"/>
    <n v="50000"/>
    <n v="54000"/>
    <m/>
    <n v="54000"/>
    <m/>
    <x v="266"/>
    <x v="1"/>
    <x v="0"/>
  </r>
  <r>
    <x v="6"/>
    <n v="108000"/>
    <n v="54000"/>
    <n v="162000"/>
    <n v="54000"/>
    <m/>
    <x v="266"/>
    <x v="1"/>
    <x v="0"/>
  </r>
  <r>
    <x v="7"/>
    <m/>
    <n v="108000"/>
    <m/>
    <m/>
    <m/>
    <x v="266"/>
    <x v="1"/>
    <x v="0"/>
  </r>
  <r>
    <x v="8"/>
    <m/>
    <n v="54000"/>
    <n v="216000"/>
    <m/>
    <m/>
    <x v="266"/>
    <x v="1"/>
    <x v="0"/>
  </r>
  <r>
    <x v="9"/>
    <n v="324000"/>
    <n v="108000"/>
    <m/>
    <m/>
    <m/>
    <x v="266"/>
    <x v="1"/>
    <x v="0"/>
  </r>
  <r>
    <x v="10"/>
    <m/>
    <m/>
    <m/>
    <m/>
    <m/>
    <x v="266"/>
    <x v="1"/>
    <x v="0"/>
  </r>
  <r>
    <x v="11"/>
    <m/>
    <m/>
    <m/>
    <m/>
    <m/>
    <x v="266"/>
    <x v="1"/>
    <x v="0"/>
  </r>
  <r>
    <x v="12"/>
    <m/>
    <n v="54000"/>
    <n v="162000"/>
    <n v="54000"/>
    <n v="190000"/>
    <x v="266"/>
    <x v="1"/>
    <x v="0"/>
  </r>
  <r>
    <x v="13"/>
    <m/>
    <m/>
    <n v="162000"/>
    <m/>
    <m/>
    <x v="266"/>
    <x v="1"/>
    <x v="0"/>
  </r>
  <r>
    <x v="0"/>
    <m/>
    <m/>
    <m/>
    <m/>
    <m/>
    <x v="267"/>
    <x v="1"/>
    <x v="0"/>
  </r>
  <r>
    <x v="1"/>
    <m/>
    <m/>
    <m/>
    <m/>
    <m/>
    <x v="267"/>
    <x v="1"/>
    <x v="0"/>
  </r>
  <r>
    <x v="2"/>
    <n v="536000"/>
    <n v="108000"/>
    <m/>
    <m/>
    <m/>
    <x v="267"/>
    <x v="1"/>
    <x v="0"/>
  </r>
  <r>
    <x v="3"/>
    <m/>
    <n v="315000"/>
    <m/>
    <n v="216000"/>
    <m/>
    <x v="267"/>
    <x v="1"/>
    <x v="0"/>
  </r>
  <r>
    <x v="4"/>
    <m/>
    <n v="374000"/>
    <m/>
    <n v="108000"/>
    <m/>
    <x v="267"/>
    <x v="1"/>
    <x v="0"/>
  </r>
  <r>
    <x v="5"/>
    <n v="428000"/>
    <m/>
    <n v="45000"/>
    <m/>
    <m/>
    <x v="267"/>
    <x v="1"/>
    <x v="0"/>
  </r>
  <r>
    <x v="6"/>
    <n v="482000"/>
    <n v="108000"/>
    <n v="54000"/>
    <m/>
    <m/>
    <x v="267"/>
    <x v="1"/>
    <x v="0"/>
  </r>
  <r>
    <x v="7"/>
    <m/>
    <n v="162000"/>
    <m/>
    <m/>
    <m/>
    <x v="267"/>
    <x v="1"/>
    <x v="0"/>
  </r>
  <r>
    <x v="8"/>
    <m/>
    <n v="162000"/>
    <n v="270000"/>
    <m/>
    <m/>
    <x v="267"/>
    <x v="1"/>
    <x v="0"/>
  </r>
  <r>
    <x v="9"/>
    <m/>
    <n v="108000"/>
    <m/>
    <n v="162000"/>
    <m/>
    <x v="267"/>
    <x v="1"/>
    <x v="0"/>
  </r>
  <r>
    <x v="10"/>
    <m/>
    <m/>
    <m/>
    <m/>
    <m/>
    <x v="267"/>
    <x v="1"/>
    <x v="0"/>
  </r>
  <r>
    <x v="11"/>
    <m/>
    <m/>
    <m/>
    <m/>
    <m/>
    <x v="267"/>
    <x v="1"/>
    <x v="0"/>
  </r>
  <r>
    <x v="12"/>
    <m/>
    <n v="108000"/>
    <n v="54000"/>
    <n v="54000"/>
    <m/>
    <x v="267"/>
    <x v="1"/>
    <x v="0"/>
  </r>
  <r>
    <x v="13"/>
    <m/>
    <m/>
    <n v="162000"/>
    <m/>
    <m/>
    <x v="267"/>
    <x v="1"/>
    <x v="0"/>
  </r>
  <r>
    <x v="0"/>
    <m/>
    <m/>
    <m/>
    <m/>
    <m/>
    <x v="268"/>
    <x v="1"/>
    <x v="0"/>
  </r>
  <r>
    <x v="1"/>
    <m/>
    <m/>
    <m/>
    <m/>
    <m/>
    <x v="268"/>
    <x v="1"/>
    <x v="0"/>
  </r>
  <r>
    <x v="2"/>
    <n v="162000"/>
    <n v="162000"/>
    <m/>
    <n v="54000"/>
    <m/>
    <x v="268"/>
    <x v="1"/>
    <x v="0"/>
  </r>
  <r>
    <x v="3"/>
    <m/>
    <n v="482000"/>
    <m/>
    <n v="162000"/>
    <m/>
    <x v="268"/>
    <x v="1"/>
    <x v="0"/>
  </r>
  <r>
    <x v="4"/>
    <m/>
    <n v="266000"/>
    <m/>
    <n v="108000"/>
    <m/>
    <x v="268"/>
    <x v="1"/>
    <x v="0"/>
  </r>
  <r>
    <x v="5"/>
    <n v="482000"/>
    <m/>
    <m/>
    <n v="54000"/>
    <m/>
    <x v="268"/>
    <x v="1"/>
    <x v="0"/>
  </r>
  <r>
    <x v="6"/>
    <n v="212000"/>
    <m/>
    <m/>
    <m/>
    <m/>
    <x v="268"/>
    <x v="1"/>
    <x v="0"/>
  </r>
  <r>
    <x v="7"/>
    <m/>
    <n v="270000"/>
    <m/>
    <m/>
    <m/>
    <x v="268"/>
    <x v="1"/>
    <x v="0"/>
  </r>
  <r>
    <x v="8"/>
    <m/>
    <n v="104000"/>
    <n v="428000"/>
    <m/>
    <m/>
    <x v="268"/>
    <x v="1"/>
    <x v="0"/>
  </r>
  <r>
    <x v="9"/>
    <m/>
    <n v="108000"/>
    <m/>
    <n v="162000"/>
    <m/>
    <x v="268"/>
    <x v="1"/>
    <x v="0"/>
  </r>
  <r>
    <x v="10"/>
    <m/>
    <m/>
    <m/>
    <m/>
    <m/>
    <x v="268"/>
    <x v="1"/>
    <x v="0"/>
  </r>
  <r>
    <x v="11"/>
    <m/>
    <m/>
    <m/>
    <m/>
    <m/>
    <x v="268"/>
    <x v="1"/>
    <x v="0"/>
  </r>
  <r>
    <x v="12"/>
    <m/>
    <n v="108000"/>
    <m/>
    <m/>
    <m/>
    <x v="268"/>
    <x v="1"/>
    <x v="0"/>
  </r>
  <r>
    <x v="13"/>
    <m/>
    <m/>
    <n v="270000"/>
    <n v="104000"/>
    <m/>
    <x v="268"/>
    <x v="1"/>
    <x v="0"/>
  </r>
  <r>
    <x v="0"/>
    <m/>
    <m/>
    <m/>
    <m/>
    <m/>
    <x v="269"/>
    <x v="1"/>
    <x v="0"/>
  </r>
  <r>
    <x v="1"/>
    <m/>
    <m/>
    <m/>
    <m/>
    <m/>
    <x v="269"/>
    <x v="1"/>
    <x v="0"/>
  </r>
  <r>
    <x v="2"/>
    <n v="162000"/>
    <n v="54000"/>
    <m/>
    <m/>
    <m/>
    <x v="269"/>
    <x v="1"/>
    <x v="0"/>
  </r>
  <r>
    <x v="3"/>
    <m/>
    <n v="377000"/>
    <m/>
    <n v="270000"/>
    <m/>
    <x v="269"/>
    <x v="1"/>
    <x v="0"/>
  </r>
  <r>
    <x v="4"/>
    <n v="428000"/>
    <n v="108000"/>
    <m/>
    <n v="108000"/>
    <m/>
    <x v="269"/>
    <x v="1"/>
    <x v="0"/>
  </r>
  <r>
    <x v="5"/>
    <n v="682000"/>
    <m/>
    <n v="45000"/>
    <n v="54000"/>
    <m/>
    <x v="269"/>
    <x v="1"/>
    <x v="0"/>
  </r>
  <r>
    <x v="6"/>
    <n v="369000"/>
    <m/>
    <n v="45000"/>
    <m/>
    <m/>
    <x v="269"/>
    <x v="1"/>
    <x v="0"/>
  </r>
  <r>
    <x v="7"/>
    <m/>
    <n v="54000"/>
    <m/>
    <m/>
    <m/>
    <x v="269"/>
    <x v="1"/>
    <x v="0"/>
  </r>
  <r>
    <x v="8"/>
    <m/>
    <n v="675000"/>
    <n v="594000"/>
    <m/>
    <m/>
    <x v="269"/>
    <x v="1"/>
    <x v="0"/>
  </r>
  <r>
    <x v="9"/>
    <m/>
    <n v="100000"/>
    <m/>
    <n v="54000"/>
    <m/>
    <x v="269"/>
    <x v="1"/>
    <x v="0"/>
  </r>
  <r>
    <x v="10"/>
    <m/>
    <m/>
    <m/>
    <m/>
    <m/>
    <x v="269"/>
    <x v="1"/>
    <x v="0"/>
  </r>
  <r>
    <x v="11"/>
    <m/>
    <m/>
    <m/>
    <m/>
    <m/>
    <x v="269"/>
    <x v="1"/>
    <x v="0"/>
  </r>
  <r>
    <x v="12"/>
    <m/>
    <m/>
    <m/>
    <m/>
    <m/>
    <x v="269"/>
    <x v="1"/>
    <x v="0"/>
  </r>
  <r>
    <x v="13"/>
    <n v="99000"/>
    <m/>
    <n v="153000"/>
    <n v="54000"/>
    <m/>
    <x v="269"/>
    <x v="1"/>
    <x v="0"/>
  </r>
  <r>
    <x v="0"/>
    <m/>
    <m/>
    <m/>
    <m/>
    <m/>
    <x v="270"/>
    <x v="1"/>
    <x v="0"/>
  </r>
  <r>
    <x v="1"/>
    <m/>
    <m/>
    <m/>
    <m/>
    <m/>
    <x v="270"/>
    <x v="1"/>
    <x v="0"/>
  </r>
  <r>
    <x v="2"/>
    <m/>
    <n v="162000"/>
    <m/>
    <n v="54000"/>
    <m/>
    <x v="270"/>
    <x v="1"/>
    <x v="0"/>
  </r>
  <r>
    <x v="3"/>
    <n v="297000"/>
    <n v="270000"/>
    <n v="212000"/>
    <n v="270000"/>
    <n v="216000"/>
    <x v="270"/>
    <x v="1"/>
    <x v="0"/>
  </r>
  <r>
    <x v="4"/>
    <n v="1130000"/>
    <n v="161000"/>
    <m/>
    <n v="108000"/>
    <m/>
    <x v="270"/>
    <x v="1"/>
    <x v="0"/>
  </r>
  <r>
    <x v="5"/>
    <n v="212000"/>
    <m/>
    <m/>
    <n v="54000"/>
    <m/>
    <x v="270"/>
    <x v="1"/>
    <x v="0"/>
  </r>
  <r>
    <x v="6"/>
    <n v="108000"/>
    <n v="108000"/>
    <n v="135000"/>
    <n v="108000"/>
    <m/>
    <x v="270"/>
    <x v="1"/>
    <x v="0"/>
  </r>
  <r>
    <x v="7"/>
    <m/>
    <m/>
    <m/>
    <m/>
    <m/>
    <x v="270"/>
    <x v="1"/>
    <x v="0"/>
  </r>
  <r>
    <x v="8"/>
    <m/>
    <n v="54000"/>
    <m/>
    <m/>
    <m/>
    <x v="270"/>
    <x v="1"/>
    <x v="0"/>
  </r>
  <r>
    <x v="9"/>
    <m/>
    <n v="162000"/>
    <m/>
    <n v="108000"/>
    <m/>
    <x v="270"/>
    <x v="1"/>
    <x v="0"/>
  </r>
  <r>
    <x v="10"/>
    <m/>
    <n v="108000"/>
    <m/>
    <m/>
    <m/>
    <x v="270"/>
    <x v="1"/>
    <x v="0"/>
  </r>
  <r>
    <x v="11"/>
    <m/>
    <m/>
    <m/>
    <m/>
    <m/>
    <x v="270"/>
    <x v="1"/>
    <x v="0"/>
  </r>
  <r>
    <x v="12"/>
    <m/>
    <n v="54000"/>
    <n v="45000"/>
    <n v="108000"/>
    <m/>
    <x v="270"/>
    <x v="1"/>
    <x v="0"/>
  </r>
  <r>
    <x v="13"/>
    <n v="45000"/>
    <m/>
    <m/>
    <n v="54000"/>
    <m/>
    <x v="270"/>
    <x v="1"/>
    <x v="0"/>
  </r>
  <r>
    <x v="0"/>
    <m/>
    <m/>
    <m/>
    <m/>
    <m/>
    <x v="271"/>
    <x v="1"/>
    <x v="0"/>
  </r>
  <r>
    <x v="1"/>
    <m/>
    <m/>
    <m/>
    <m/>
    <m/>
    <x v="271"/>
    <x v="1"/>
    <x v="0"/>
  </r>
  <r>
    <x v="2"/>
    <m/>
    <n v="152500"/>
    <m/>
    <n v="54000"/>
    <m/>
    <x v="271"/>
    <x v="1"/>
    <x v="0"/>
  </r>
  <r>
    <x v="3"/>
    <n v="1294000"/>
    <n v="323000"/>
    <n v="864000"/>
    <n v="270000"/>
    <n v="860000"/>
    <x v="271"/>
    <x v="1"/>
    <x v="0"/>
  </r>
  <r>
    <x v="4"/>
    <m/>
    <n v="317500"/>
    <m/>
    <n v="162000"/>
    <m/>
    <x v="271"/>
    <x v="1"/>
    <x v="0"/>
  </r>
  <r>
    <x v="5"/>
    <n v="54000"/>
    <m/>
    <m/>
    <n v="108000"/>
    <m/>
    <x v="271"/>
    <x v="1"/>
    <x v="0"/>
  </r>
  <r>
    <x v="6"/>
    <m/>
    <n v="162000"/>
    <m/>
    <n v="54000"/>
    <m/>
    <x v="271"/>
    <x v="1"/>
    <x v="0"/>
  </r>
  <r>
    <x v="7"/>
    <m/>
    <n v="324000"/>
    <m/>
    <m/>
    <m/>
    <x v="271"/>
    <x v="1"/>
    <x v="0"/>
  </r>
  <r>
    <x v="8"/>
    <m/>
    <n v="162000"/>
    <m/>
    <m/>
    <m/>
    <x v="271"/>
    <x v="1"/>
    <x v="0"/>
  </r>
  <r>
    <x v="9"/>
    <m/>
    <n v="158000"/>
    <m/>
    <n v="54000"/>
    <m/>
    <x v="271"/>
    <x v="1"/>
    <x v="0"/>
  </r>
  <r>
    <x v="10"/>
    <m/>
    <n v="153000"/>
    <m/>
    <m/>
    <m/>
    <x v="271"/>
    <x v="1"/>
    <x v="0"/>
  </r>
  <r>
    <x v="11"/>
    <m/>
    <m/>
    <m/>
    <m/>
    <m/>
    <x v="271"/>
    <x v="1"/>
    <x v="0"/>
  </r>
  <r>
    <x v="12"/>
    <m/>
    <m/>
    <m/>
    <n v="54000"/>
    <m/>
    <x v="271"/>
    <x v="1"/>
    <x v="0"/>
  </r>
  <r>
    <x v="13"/>
    <m/>
    <m/>
    <m/>
    <m/>
    <m/>
    <x v="271"/>
    <x v="1"/>
    <x v="0"/>
  </r>
  <r>
    <x v="0"/>
    <m/>
    <m/>
    <m/>
    <m/>
    <m/>
    <x v="272"/>
    <x v="1"/>
    <x v="0"/>
  </r>
  <r>
    <x v="1"/>
    <n v="162000"/>
    <m/>
    <n v="486000"/>
    <m/>
    <m/>
    <x v="272"/>
    <x v="1"/>
    <x v="0"/>
  </r>
  <r>
    <x v="2"/>
    <n v="153000"/>
    <n v="144000"/>
    <m/>
    <n v="162000"/>
    <m/>
    <x v="272"/>
    <x v="1"/>
    <x v="0"/>
  </r>
  <r>
    <x v="3"/>
    <n v="635000"/>
    <n v="324000"/>
    <n v="320000"/>
    <n v="270000"/>
    <n v="212000"/>
    <x v="272"/>
    <x v="1"/>
    <x v="0"/>
  </r>
  <r>
    <x v="4"/>
    <n v="158000"/>
    <n v="108000"/>
    <m/>
    <n v="108000"/>
    <m/>
    <x v="272"/>
    <x v="1"/>
    <x v="0"/>
  </r>
  <r>
    <x v="5"/>
    <n v="209000"/>
    <m/>
    <n v="482000"/>
    <m/>
    <m/>
    <x v="272"/>
    <x v="1"/>
    <x v="0"/>
  </r>
  <r>
    <x v="6"/>
    <n v="54000"/>
    <n v="54000"/>
    <m/>
    <n v="54000"/>
    <m/>
    <x v="272"/>
    <x v="1"/>
    <x v="0"/>
  </r>
  <r>
    <x v="7"/>
    <m/>
    <n v="108000"/>
    <m/>
    <m/>
    <m/>
    <x v="272"/>
    <x v="1"/>
    <x v="0"/>
  </r>
  <r>
    <x v="8"/>
    <m/>
    <n v="54000"/>
    <m/>
    <n v="54000"/>
    <m/>
    <x v="272"/>
    <x v="1"/>
    <x v="0"/>
  </r>
  <r>
    <x v="9"/>
    <m/>
    <n v="162000"/>
    <m/>
    <n v="108000"/>
    <m/>
    <x v="272"/>
    <x v="1"/>
    <x v="0"/>
  </r>
  <r>
    <x v="10"/>
    <m/>
    <n v="103500"/>
    <m/>
    <m/>
    <m/>
    <x v="272"/>
    <x v="1"/>
    <x v="0"/>
  </r>
  <r>
    <x v="11"/>
    <m/>
    <m/>
    <m/>
    <m/>
    <m/>
    <x v="272"/>
    <x v="1"/>
    <x v="0"/>
  </r>
  <r>
    <x v="12"/>
    <m/>
    <n v="54000"/>
    <m/>
    <n v="54000"/>
    <m/>
    <x v="272"/>
    <x v="1"/>
    <x v="0"/>
  </r>
  <r>
    <x v="13"/>
    <m/>
    <m/>
    <m/>
    <n v="54000"/>
    <m/>
    <x v="272"/>
    <x v="1"/>
    <x v="0"/>
  </r>
  <r>
    <x v="0"/>
    <m/>
    <m/>
    <m/>
    <m/>
    <m/>
    <x v="273"/>
    <x v="1"/>
    <x v="0"/>
  </r>
  <r>
    <x v="1"/>
    <m/>
    <m/>
    <n v="108000"/>
    <m/>
    <m/>
    <x v="273"/>
    <x v="1"/>
    <x v="0"/>
  </r>
  <r>
    <x v="2"/>
    <n v="207000"/>
    <n v="270000"/>
    <m/>
    <n v="54000"/>
    <n v="324000"/>
    <x v="273"/>
    <x v="1"/>
    <x v="0"/>
  </r>
  <r>
    <x v="3"/>
    <n v="427000"/>
    <m/>
    <m/>
    <n v="54000"/>
    <n v="216000"/>
    <x v="273"/>
    <x v="1"/>
    <x v="0"/>
  </r>
  <r>
    <x v="4"/>
    <n v="54000"/>
    <n v="54000"/>
    <m/>
    <m/>
    <m/>
    <x v="273"/>
    <x v="1"/>
    <x v="0"/>
  </r>
  <r>
    <x v="5"/>
    <n v="481500"/>
    <n v="54000"/>
    <n v="369000"/>
    <m/>
    <m/>
    <x v="273"/>
    <x v="1"/>
    <x v="0"/>
  </r>
  <r>
    <x v="6"/>
    <n v="54000"/>
    <n v="212000"/>
    <m/>
    <n v="54000"/>
    <m/>
    <x v="273"/>
    <x v="1"/>
    <x v="0"/>
  </r>
  <r>
    <x v="7"/>
    <m/>
    <n v="47500"/>
    <m/>
    <m/>
    <m/>
    <x v="273"/>
    <x v="1"/>
    <x v="0"/>
  </r>
  <r>
    <x v="8"/>
    <n v="50000"/>
    <n v="162000"/>
    <m/>
    <n v="154000"/>
    <m/>
    <x v="273"/>
    <x v="1"/>
    <x v="0"/>
  </r>
  <r>
    <x v="9"/>
    <n v="162000"/>
    <n v="50000"/>
    <m/>
    <n v="54000"/>
    <m/>
    <x v="273"/>
    <x v="1"/>
    <x v="0"/>
  </r>
  <r>
    <x v="10"/>
    <m/>
    <n v="261000"/>
    <m/>
    <m/>
    <m/>
    <x v="273"/>
    <x v="1"/>
    <x v="0"/>
  </r>
  <r>
    <x v="11"/>
    <m/>
    <m/>
    <m/>
    <m/>
    <m/>
    <x v="273"/>
    <x v="1"/>
    <x v="0"/>
  </r>
  <r>
    <x v="12"/>
    <m/>
    <n v="104000"/>
    <m/>
    <n v="54000"/>
    <m/>
    <x v="273"/>
    <x v="1"/>
    <x v="0"/>
  </r>
  <r>
    <x v="13"/>
    <m/>
    <n v="103500"/>
    <m/>
    <n v="162000"/>
    <m/>
    <x v="273"/>
    <x v="1"/>
    <x v="0"/>
  </r>
  <r>
    <x v="0"/>
    <m/>
    <m/>
    <m/>
    <m/>
    <m/>
    <x v="274"/>
    <x v="1"/>
    <x v="0"/>
  </r>
  <r>
    <x v="1"/>
    <n v="216000"/>
    <m/>
    <m/>
    <m/>
    <m/>
    <x v="274"/>
    <x v="1"/>
    <x v="0"/>
  </r>
  <r>
    <x v="2"/>
    <n v="374000"/>
    <m/>
    <m/>
    <n v="162000"/>
    <n v="536000"/>
    <x v="274"/>
    <x v="1"/>
    <x v="0"/>
  </r>
  <r>
    <x v="3"/>
    <n v="756000"/>
    <m/>
    <m/>
    <m/>
    <m/>
    <x v="274"/>
    <x v="1"/>
    <x v="0"/>
  </r>
  <r>
    <x v="4"/>
    <m/>
    <n v="54000"/>
    <m/>
    <n v="54000"/>
    <m/>
    <x v="274"/>
    <x v="1"/>
    <x v="0"/>
  </r>
  <r>
    <x v="5"/>
    <n v="270000"/>
    <m/>
    <n v="99000"/>
    <n v="108000"/>
    <m/>
    <x v="274"/>
    <x v="1"/>
    <x v="0"/>
  </r>
  <r>
    <x v="6"/>
    <m/>
    <n v="54000"/>
    <m/>
    <m/>
    <m/>
    <x v="274"/>
    <x v="1"/>
    <x v="0"/>
  </r>
  <r>
    <x v="7"/>
    <m/>
    <n v="108000"/>
    <m/>
    <m/>
    <m/>
    <x v="274"/>
    <x v="1"/>
    <x v="0"/>
  </r>
  <r>
    <x v="8"/>
    <m/>
    <n v="702000"/>
    <m/>
    <m/>
    <m/>
    <x v="274"/>
    <x v="1"/>
    <x v="0"/>
  </r>
  <r>
    <x v="9"/>
    <n v="378000"/>
    <n v="108000"/>
    <m/>
    <n v="108000"/>
    <m/>
    <x v="274"/>
    <x v="1"/>
    <x v="0"/>
  </r>
  <r>
    <x v="10"/>
    <m/>
    <n v="108000"/>
    <m/>
    <m/>
    <m/>
    <x v="274"/>
    <x v="1"/>
    <x v="0"/>
  </r>
  <r>
    <x v="11"/>
    <m/>
    <m/>
    <m/>
    <m/>
    <m/>
    <x v="274"/>
    <x v="1"/>
    <x v="0"/>
  </r>
  <r>
    <x v="12"/>
    <n v="50000"/>
    <m/>
    <m/>
    <n v="104000"/>
    <m/>
    <x v="274"/>
    <x v="1"/>
    <x v="0"/>
  </r>
  <r>
    <x v="13"/>
    <m/>
    <m/>
    <m/>
    <n v="54000"/>
    <m/>
    <x v="274"/>
    <x v="1"/>
    <x v="0"/>
  </r>
  <r>
    <x v="0"/>
    <m/>
    <m/>
    <m/>
    <m/>
    <m/>
    <x v="275"/>
    <x v="1"/>
    <x v="0"/>
  </r>
  <r>
    <x v="1"/>
    <n v="158000"/>
    <m/>
    <m/>
    <m/>
    <m/>
    <x v="275"/>
    <x v="1"/>
    <x v="0"/>
  </r>
  <r>
    <x v="2"/>
    <n v="266000"/>
    <n v="108000"/>
    <m/>
    <n v="54000"/>
    <n v="140000"/>
    <x v="275"/>
    <x v="1"/>
    <x v="0"/>
  </r>
  <r>
    <x v="3"/>
    <n v="900000"/>
    <m/>
    <m/>
    <m/>
    <n v="45000"/>
    <x v="275"/>
    <x v="1"/>
    <x v="0"/>
  </r>
  <r>
    <x v="4"/>
    <m/>
    <n v="216000"/>
    <m/>
    <n v="162000"/>
    <m/>
    <x v="275"/>
    <x v="1"/>
    <x v="0"/>
  </r>
  <r>
    <x v="5"/>
    <n v="162000"/>
    <n v="216000"/>
    <m/>
    <n v="162000"/>
    <m/>
    <x v="275"/>
    <x v="1"/>
    <x v="0"/>
  </r>
  <r>
    <x v="6"/>
    <m/>
    <n v="54000"/>
    <m/>
    <n v="108000"/>
    <m/>
    <x v="275"/>
    <x v="1"/>
    <x v="0"/>
  </r>
  <r>
    <x v="7"/>
    <m/>
    <n v="108000"/>
    <m/>
    <m/>
    <m/>
    <x v="275"/>
    <x v="1"/>
    <x v="0"/>
  </r>
  <r>
    <x v="8"/>
    <m/>
    <n v="108000"/>
    <m/>
    <n v="261000"/>
    <m/>
    <x v="275"/>
    <x v="1"/>
    <x v="0"/>
  </r>
  <r>
    <x v="9"/>
    <n v="748000"/>
    <n v="54000"/>
    <m/>
    <n v="108000"/>
    <m/>
    <x v="275"/>
    <x v="1"/>
    <x v="0"/>
  </r>
  <r>
    <x v="10"/>
    <m/>
    <n v="54000"/>
    <m/>
    <m/>
    <m/>
    <x v="275"/>
    <x v="1"/>
    <x v="0"/>
  </r>
  <r>
    <x v="11"/>
    <m/>
    <m/>
    <m/>
    <m/>
    <m/>
    <x v="275"/>
    <x v="1"/>
    <x v="0"/>
  </r>
  <r>
    <x v="12"/>
    <m/>
    <n v="54000"/>
    <n v="90000"/>
    <n v="54000"/>
    <m/>
    <x v="275"/>
    <x v="1"/>
    <x v="0"/>
  </r>
  <r>
    <x v="13"/>
    <m/>
    <n v="108000"/>
    <m/>
    <n v="162000"/>
    <m/>
    <x v="275"/>
    <x v="1"/>
    <x v="0"/>
  </r>
  <r>
    <x v="0"/>
    <m/>
    <m/>
    <m/>
    <m/>
    <m/>
    <x v="276"/>
    <x v="1"/>
    <x v="0"/>
  </r>
  <r>
    <x v="1"/>
    <m/>
    <m/>
    <m/>
    <m/>
    <m/>
    <x v="276"/>
    <x v="1"/>
    <x v="0"/>
  </r>
  <r>
    <x v="2"/>
    <n v="153000"/>
    <n v="149000"/>
    <m/>
    <n v="108000"/>
    <m/>
    <x v="276"/>
    <x v="1"/>
    <x v="0"/>
  </r>
  <r>
    <x v="3"/>
    <n v="590000"/>
    <m/>
    <m/>
    <m/>
    <n v="50000"/>
    <x v="276"/>
    <x v="1"/>
    <x v="0"/>
  </r>
  <r>
    <x v="4"/>
    <n v="692000"/>
    <n v="162000"/>
    <m/>
    <n v="103500"/>
    <n v="540000"/>
    <x v="276"/>
    <x v="1"/>
    <x v="0"/>
  </r>
  <r>
    <x v="5"/>
    <n v="140000"/>
    <n v="108000"/>
    <m/>
    <n v="108000"/>
    <m/>
    <x v="276"/>
    <x v="1"/>
    <x v="0"/>
  </r>
  <r>
    <x v="6"/>
    <m/>
    <n v="151000"/>
    <m/>
    <n v="108000"/>
    <m/>
    <x v="276"/>
    <x v="1"/>
    <x v="0"/>
  </r>
  <r>
    <x v="7"/>
    <m/>
    <n v="108000"/>
    <m/>
    <m/>
    <m/>
    <x v="276"/>
    <x v="1"/>
    <x v="0"/>
  </r>
  <r>
    <x v="8"/>
    <m/>
    <n v="108000"/>
    <m/>
    <n v="108000"/>
    <m/>
    <x v="276"/>
    <x v="1"/>
    <x v="0"/>
  </r>
  <r>
    <x v="9"/>
    <n v="317500"/>
    <n v="54000"/>
    <m/>
    <n v="108000"/>
    <m/>
    <x v="276"/>
    <x v="1"/>
    <x v="0"/>
  </r>
  <r>
    <x v="10"/>
    <m/>
    <n v="108000"/>
    <m/>
    <m/>
    <m/>
    <x v="276"/>
    <x v="1"/>
    <x v="0"/>
  </r>
  <r>
    <x v="11"/>
    <m/>
    <m/>
    <m/>
    <m/>
    <m/>
    <x v="276"/>
    <x v="1"/>
    <x v="0"/>
  </r>
  <r>
    <x v="12"/>
    <m/>
    <m/>
    <m/>
    <n v="54000"/>
    <m/>
    <x v="276"/>
    <x v="1"/>
    <x v="0"/>
  </r>
  <r>
    <x v="13"/>
    <m/>
    <n v="108000"/>
    <m/>
    <n v="104000"/>
    <m/>
    <x v="276"/>
    <x v="1"/>
    <x v="0"/>
  </r>
  <r>
    <x v="0"/>
    <m/>
    <m/>
    <m/>
    <m/>
    <m/>
    <x v="277"/>
    <x v="1"/>
    <x v="0"/>
  </r>
  <r>
    <x v="1"/>
    <n v="54000"/>
    <m/>
    <m/>
    <m/>
    <m/>
    <x v="277"/>
    <x v="1"/>
    <x v="0"/>
  </r>
  <r>
    <x v="2"/>
    <n v="693000"/>
    <n v="54000"/>
    <m/>
    <n v="99000"/>
    <m/>
    <x v="277"/>
    <x v="1"/>
    <x v="0"/>
  </r>
  <r>
    <x v="3"/>
    <n v="47000"/>
    <m/>
    <m/>
    <m/>
    <m/>
    <x v="277"/>
    <x v="1"/>
    <x v="0"/>
  </r>
  <r>
    <x v="4"/>
    <n v="648000"/>
    <n v="202500"/>
    <m/>
    <n v="216000"/>
    <n v="369000"/>
    <x v="277"/>
    <x v="1"/>
    <x v="0"/>
  </r>
  <r>
    <x v="5"/>
    <n v="203000"/>
    <n v="104000"/>
    <m/>
    <n v="108000"/>
    <m/>
    <x v="277"/>
    <x v="1"/>
    <x v="0"/>
  </r>
  <r>
    <x v="6"/>
    <m/>
    <n v="162000"/>
    <m/>
    <m/>
    <m/>
    <x v="277"/>
    <x v="1"/>
    <x v="0"/>
  </r>
  <r>
    <x v="7"/>
    <m/>
    <n v="158000"/>
    <m/>
    <m/>
    <m/>
    <x v="277"/>
    <x v="1"/>
    <x v="0"/>
  </r>
  <r>
    <x v="8"/>
    <m/>
    <n v="104000"/>
    <m/>
    <n v="54000"/>
    <m/>
    <x v="277"/>
    <x v="1"/>
    <x v="0"/>
  </r>
  <r>
    <x v="9"/>
    <n v="639000"/>
    <n v="103500"/>
    <m/>
    <n v="108000"/>
    <m/>
    <x v="277"/>
    <x v="1"/>
    <x v="0"/>
  </r>
  <r>
    <x v="10"/>
    <n v="378000"/>
    <m/>
    <m/>
    <m/>
    <m/>
    <x v="277"/>
    <x v="1"/>
    <x v="0"/>
  </r>
  <r>
    <x v="11"/>
    <m/>
    <m/>
    <m/>
    <m/>
    <m/>
    <x v="277"/>
    <x v="1"/>
    <x v="0"/>
  </r>
  <r>
    <x v="12"/>
    <m/>
    <n v="104000"/>
    <m/>
    <n v="54000"/>
    <m/>
    <x v="277"/>
    <x v="1"/>
    <x v="0"/>
  </r>
  <r>
    <x v="13"/>
    <m/>
    <n v="148000"/>
    <m/>
    <n v="158000"/>
    <m/>
    <x v="277"/>
    <x v="1"/>
    <x v="0"/>
  </r>
  <r>
    <x v="0"/>
    <m/>
    <m/>
    <m/>
    <m/>
    <m/>
    <x v="278"/>
    <x v="1"/>
    <x v="1"/>
  </r>
  <r>
    <x v="1"/>
    <m/>
    <m/>
    <m/>
    <m/>
    <m/>
    <x v="278"/>
    <x v="1"/>
    <x v="1"/>
  </r>
  <r>
    <x v="2"/>
    <m/>
    <n v="108000"/>
    <m/>
    <m/>
    <m/>
    <x v="278"/>
    <x v="1"/>
    <x v="1"/>
  </r>
  <r>
    <x v="3"/>
    <m/>
    <m/>
    <m/>
    <m/>
    <m/>
    <x v="278"/>
    <x v="1"/>
    <x v="1"/>
  </r>
  <r>
    <x v="4"/>
    <m/>
    <n v="108000"/>
    <m/>
    <m/>
    <m/>
    <x v="278"/>
    <x v="1"/>
    <x v="1"/>
  </r>
  <r>
    <x v="5"/>
    <m/>
    <n v="108000"/>
    <m/>
    <n v="54000"/>
    <m/>
    <x v="278"/>
    <x v="1"/>
    <x v="1"/>
  </r>
  <r>
    <x v="6"/>
    <m/>
    <n v="54000"/>
    <m/>
    <m/>
    <m/>
    <x v="278"/>
    <x v="1"/>
    <x v="1"/>
  </r>
  <r>
    <x v="7"/>
    <m/>
    <n v="54000"/>
    <m/>
    <m/>
    <m/>
    <x v="278"/>
    <x v="1"/>
    <x v="1"/>
  </r>
  <r>
    <x v="8"/>
    <m/>
    <n v="54000"/>
    <m/>
    <m/>
    <m/>
    <x v="278"/>
    <x v="1"/>
    <x v="1"/>
  </r>
  <r>
    <x v="9"/>
    <m/>
    <n v="54000"/>
    <m/>
    <m/>
    <m/>
    <x v="278"/>
    <x v="1"/>
    <x v="1"/>
  </r>
  <r>
    <x v="10"/>
    <m/>
    <n v="54000"/>
    <m/>
    <m/>
    <m/>
    <x v="278"/>
    <x v="1"/>
    <x v="1"/>
  </r>
  <r>
    <x v="11"/>
    <m/>
    <m/>
    <m/>
    <m/>
    <m/>
    <x v="278"/>
    <x v="1"/>
    <x v="1"/>
  </r>
  <r>
    <x v="12"/>
    <m/>
    <n v="54000"/>
    <m/>
    <n v="54000"/>
    <m/>
    <x v="278"/>
    <x v="1"/>
    <x v="1"/>
  </r>
  <r>
    <x v="13"/>
    <m/>
    <n v="162000"/>
    <m/>
    <n v="54000"/>
    <m/>
    <x v="278"/>
    <x v="1"/>
    <x v="1"/>
  </r>
  <r>
    <x v="0"/>
    <m/>
    <m/>
    <m/>
    <m/>
    <m/>
    <x v="279"/>
    <x v="1"/>
    <x v="1"/>
  </r>
  <r>
    <x v="1"/>
    <m/>
    <m/>
    <m/>
    <m/>
    <m/>
    <x v="279"/>
    <x v="1"/>
    <x v="1"/>
  </r>
  <r>
    <x v="2"/>
    <m/>
    <n v="158000"/>
    <m/>
    <n v="54000"/>
    <m/>
    <x v="279"/>
    <x v="1"/>
    <x v="1"/>
  </r>
  <r>
    <x v="3"/>
    <m/>
    <m/>
    <m/>
    <m/>
    <m/>
    <x v="279"/>
    <x v="1"/>
    <x v="1"/>
  </r>
  <r>
    <x v="4"/>
    <m/>
    <n v="207000"/>
    <m/>
    <m/>
    <m/>
    <x v="279"/>
    <x v="1"/>
    <x v="1"/>
  </r>
  <r>
    <x v="5"/>
    <m/>
    <n v="54000"/>
    <m/>
    <n v="54000"/>
    <m/>
    <x v="279"/>
    <x v="1"/>
    <x v="1"/>
  </r>
  <r>
    <x v="6"/>
    <m/>
    <n v="162000"/>
    <m/>
    <m/>
    <m/>
    <x v="279"/>
    <x v="1"/>
    <x v="1"/>
  </r>
  <r>
    <x v="7"/>
    <m/>
    <n v="99000"/>
    <m/>
    <m/>
    <m/>
    <x v="279"/>
    <x v="1"/>
    <x v="1"/>
  </r>
  <r>
    <x v="8"/>
    <m/>
    <n v="108000"/>
    <m/>
    <n v="108000"/>
    <m/>
    <x v="279"/>
    <x v="1"/>
    <x v="1"/>
  </r>
  <r>
    <x v="9"/>
    <m/>
    <m/>
    <m/>
    <m/>
    <m/>
    <x v="279"/>
    <x v="1"/>
    <x v="1"/>
  </r>
  <r>
    <x v="10"/>
    <m/>
    <n v="54000"/>
    <m/>
    <m/>
    <m/>
    <x v="279"/>
    <x v="1"/>
    <x v="1"/>
  </r>
  <r>
    <x v="11"/>
    <m/>
    <m/>
    <m/>
    <m/>
    <m/>
    <x v="279"/>
    <x v="1"/>
    <x v="1"/>
  </r>
  <r>
    <x v="12"/>
    <m/>
    <n v="104000"/>
    <m/>
    <m/>
    <m/>
    <x v="279"/>
    <x v="1"/>
    <x v="1"/>
  </r>
  <r>
    <x v="13"/>
    <m/>
    <n v="54000"/>
    <m/>
    <n v="54000"/>
    <m/>
    <x v="279"/>
    <x v="1"/>
    <x v="1"/>
  </r>
  <r>
    <x v="0"/>
    <m/>
    <m/>
    <m/>
    <m/>
    <m/>
    <x v="280"/>
    <x v="1"/>
    <x v="1"/>
  </r>
  <r>
    <x v="1"/>
    <m/>
    <m/>
    <m/>
    <m/>
    <m/>
    <x v="280"/>
    <x v="1"/>
    <x v="1"/>
  </r>
  <r>
    <x v="2"/>
    <m/>
    <n v="99000"/>
    <m/>
    <m/>
    <m/>
    <x v="280"/>
    <x v="1"/>
    <x v="1"/>
  </r>
  <r>
    <x v="3"/>
    <n v="54000"/>
    <m/>
    <m/>
    <m/>
    <m/>
    <x v="280"/>
    <x v="1"/>
    <x v="1"/>
  </r>
  <r>
    <x v="4"/>
    <m/>
    <n v="108000"/>
    <m/>
    <n v="54000"/>
    <m/>
    <x v="280"/>
    <x v="1"/>
    <x v="1"/>
  </r>
  <r>
    <x v="5"/>
    <m/>
    <m/>
    <m/>
    <m/>
    <m/>
    <x v="280"/>
    <x v="1"/>
    <x v="1"/>
  </r>
  <r>
    <x v="6"/>
    <n v="324000"/>
    <n v="54000"/>
    <n v="486000"/>
    <n v="54000"/>
    <m/>
    <x v="280"/>
    <x v="1"/>
    <x v="1"/>
  </r>
  <r>
    <x v="7"/>
    <m/>
    <n v="162000"/>
    <m/>
    <m/>
    <m/>
    <x v="280"/>
    <x v="1"/>
    <x v="1"/>
  </r>
  <r>
    <x v="8"/>
    <n v="162000"/>
    <m/>
    <m/>
    <m/>
    <m/>
    <x v="280"/>
    <x v="1"/>
    <x v="1"/>
  </r>
  <r>
    <x v="9"/>
    <n v="428000"/>
    <n v="107000"/>
    <m/>
    <n v="54000"/>
    <m/>
    <x v="280"/>
    <x v="1"/>
    <x v="1"/>
  </r>
  <r>
    <x v="10"/>
    <n v="207000"/>
    <n v="54000"/>
    <m/>
    <m/>
    <m/>
    <x v="280"/>
    <x v="1"/>
    <x v="1"/>
  </r>
  <r>
    <x v="11"/>
    <m/>
    <m/>
    <m/>
    <m/>
    <m/>
    <x v="280"/>
    <x v="1"/>
    <x v="1"/>
  </r>
  <r>
    <x v="12"/>
    <m/>
    <n v="216000"/>
    <m/>
    <n v="108000"/>
    <m/>
    <x v="280"/>
    <x v="1"/>
    <x v="1"/>
  </r>
  <r>
    <x v="13"/>
    <m/>
    <n v="54000"/>
    <m/>
    <m/>
    <m/>
    <x v="280"/>
    <x v="1"/>
    <x v="1"/>
  </r>
  <r>
    <x v="0"/>
    <m/>
    <m/>
    <m/>
    <m/>
    <m/>
    <x v="281"/>
    <x v="1"/>
    <x v="1"/>
  </r>
  <r>
    <x v="1"/>
    <m/>
    <m/>
    <m/>
    <m/>
    <m/>
    <x v="281"/>
    <x v="1"/>
    <x v="1"/>
  </r>
  <r>
    <x v="2"/>
    <n v="153000"/>
    <n v="153000"/>
    <m/>
    <n v="99000"/>
    <m/>
    <x v="281"/>
    <x v="1"/>
    <x v="1"/>
  </r>
  <r>
    <x v="3"/>
    <m/>
    <m/>
    <m/>
    <m/>
    <m/>
    <x v="281"/>
    <x v="1"/>
    <x v="1"/>
  </r>
  <r>
    <x v="4"/>
    <n v="473000"/>
    <n v="208500"/>
    <m/>
    <n v="54000"/>
    <n v="90000"/>
    <x v="281"/>
    <x v="1"/>
    <x v="1"/>
  </r>
  <r>
    <x v="5"/>
    <n v="54000"/>
    <n v="108000"/>
    <m/>
    <n v="99000"/>
    <m/>
    <x v="281"/>
    <x v="1"/>
    <x v="1"/>
  </r>
  <r>
    <x v="6"/>
    <n v="373500"/>
    <n v="162000"/>
    <m/>
    <n v="54000"/>
    <m/>
    <x v="281"/>
    <x v="1"/>
    <x v="1"/>
  </r>
  <r>
    <x v="7"/>
    <m/>
    <n v="216000"/>
    <m/>
    <m/>
    <m/>
    <x v="281"/>
    <x v="1"/>
    <x v="1"/>
  </r>
  <r>
    <x v="8"/>
    <n v="683000"/>
    <n v="108000"/>
    <m/>
    <n v="162000"/>
    <m/>
    <x v="281"/>
    <x v="1"/>
    <x v="1"/>
  </r>
  <r>
    <x v="9"/>
    <n v="485000"/>
    <n v="50000"/>
    <m/>
    <n v="162000"/>
    <m/>
    <x v="281"/>
    <x v="1"/>
    <x v="1"/>
  </r>
  <r>
    <x v="10"/>
    <n v="378000"/>
    <n v="162000"/>
    <m/>
    <m/>
    <m/>
    <x v="281"/>
    <x v="1"/>
    <x v="1"/>
  </r>
  <r>
    <x v="11"/>
    <m/>
    <m/>
    <m/>
    <m/>
    <m/>
    <x v="281"/>
    <x v="1"/>
    <x v="1"/>
  </r>
  <r>
    <x v="12"/>
    <m/>
    <n v="157500"/>
    <m/>
    <n v="216000"/>
    <m/>
    <x v="281"/>
    <x v="1"/>
    <x v="1"/>
  </r>
  <r>
    <x v="13"/>
    <m/>
    <n v="54000"/>
    <m/>
    <n v="162000"/>
    <m/>
    <x v="281"/>
    <x v="1"/>
    <x v="1"/>
  </r>
  <r>
    <x v="0"/>
    <m/>
    <m/>
    <m/>
    <m/>
    <m/>
    <x v="282"/>
    <x v="1"/>
    <x v="1"/>
  </r>
  <r>
    <x v="1"/>
    <m/>
    <m/>
    <m/>
    <m/>
    <m/>
    <x v="282"/>
    <x v="1"/>
    <x v="1"/>
  </r>
  <r>
    <x v="2"/>
    <m/>
    <n v="162000"/>
    <m/>
    <n v="95000"/>
    <m/>
    <x v="282"/>
    <x v="1"/>
    <x v="1"/>
  </r>
  <r>
    <x v="3"/>
    <m/>
    <m/>
    <m/>
    <m/>
    <m/>
    <x v="282"/>
    <x v="1"/>
    <x v="1"/>
  </r>
  <r>
    <x v="4"/>
    <n v="162000"/>
    <n v="296000"/>
    <m/>
    <n v="54000"/>
    <m/>
    <x v="282"/>
    <x v="1"/>
    <x v="1"/>
  </r>
  <r>
    <x v="5"/>
    <m/>
    <n v="270000"/>
    <m/>
    <n v="108000"/>
    <m/>
    <x v="282"/>
    <x v="1"/>
    <x v="1"/>
  </r>
  <r>
    <x v="6"/>
    <n v="318000"/>
    <n v="153000"/>
    <m/>
    <n v="45000"/>
    <m/>
    <x v="282"/>
    <x v="1"/>
    <x v="1"/>
  </r>
  <r>
    <x v="7"/>
    <m/>
    <n v="154000"/>
    <m/>
    <m/>
    <m/>
    <x v="282"/>
    <x v="1"/>
    <x v="1"/>
  </r>
  <r>
    <x v="8"/>
    <n v="378000"/>
    <n v="162000"/>
    <m/>
    <n v="54000"/>
    <m/>
    <x v="282"/>
    <x v="1"/>
    <x v="1"/>
  </r>
  <r>
    <x v="9"/>
    <n v="374000"/>
    <n v="266000"/>
    <m/>
    <n v="54000"/>
    <m/>
    <x v="282"/>
    <x v="1"/>
    <x v="1"/>
  </r>
  <r>
    <x v="10"/>
    <m/>
    <n v="108000"/>
    <m/>
    <m/>
    <m/>
    <x v="282"/>
    <x v="1"/>
    <x v="1"/>
  </r>
  <r>
    <x v="11"/>
    <m/>
    <m/>
    <m/>
    <m/>
    <m/>
    <x v="282"/>
    <x v="1"/>
    <x v="1"/>
  </r>
  <r>
    <x v="12"/>
    <m/>
    <n v="108000"/>
    <m/>
    <m/>
    <m/>
    <x v="282"/>
    <x v="1"/>
    <x v="1"/>
  </r>
  <r>
    <x v="13"/>
    <n v="320000"/>
    <n v="108000"/>
    <n v="540000"/>
    <n v="45000"/>
    <n v="594000"/>
    <x v="282"/>
    <x v="1"/>
    <x v="1"/>
  </r>
  <r>
    <x v="0"/>
    <m/>
    <m/>
    <m/>
    <m/>
    <m/>
    <x v="283"/>
    <x v="1"/>
    <x v="1"/>
  </r>
  <r>
    <x v="1"/>
    <m/>
    <m/>
    <m/>
    <m/>
    <m/>
    <x v="283"/>
    <x v="1"/>
    <x v="1"/>
  </r>
  <r>
    <x v="2"/>
    <m/>
    <n v="54000"/>
    <m/>
    <n v="108000"/>
    <m/>
    <x v="283"/>
    <x v="1"/>
    <x v="1"/>
  </r>
  <r>
    <x v="3"/>
    <m/>
    <m/>
    <m/>
    <m/>
    <m/>
    <x v="283"/>
    <x v="1"/>
    <x v="1"/>
  </r>
  <r>
    <x v="4"/>
    <n v="54000"/>
    <n v="54000"/>
    <m/>
    <m/>
    <m/>
    <x v="283"/>
    <x v="1"/>
    <x v="1"/>
  </r>
  <r>
    <x v="5"/>
    <m/>
    <n v="54000"/>
    <m/>
    <n v="158000"/>
    <m/>
    <x v="283"/>
    <x v="1"/>
    <x v="1"/>
  </r>
  <r>
    <x v="6"/>
    <n v="162000"/>
    <m/>
    <m/>
    <n v="108000"/>
    <n v="324000"/>
    <x v="283"/>
    <x v="1"/>
    <x v="1"/>
  </r>
  <r>
    <x v="7"/>
    <m/>
    <m/>
    <m/>
    <m/>
    <m/>
    <x v="283"/>
    <x v="1"/>
    <x v="1"/>
  </r>
  <r>
    <x v="8"/>
    <n v="432000"/>
    <n v="810000"/>
    <m/>
    <n v="108000"/>
    <m/>
    <x v="283"/>
    <x v="1"/>
    <x v="1"/>
  </r>
  <r>
    <x v="9"/>
    <n v="659000"/>
    <m/>
    <m/>
    <n v="216000"/>
    <m/>
    <x v="283"/>
    <x v="1"/>
    <x v="1"/>
  </r>
  <r>
    <x v="10"/>
    <m/>
    <n v="54000"/>
    <m/>
    <m/>
    <m/>
    <x v="283"/>
    <x v="1"/>
    <x v="1"/>
  </r>
  <r>
    <x v="11"/>
    <m/>
    <m/>
    <m/>
    <m/>
    <m/>
    <x v="283"/>
    <x v="1"/>
    <x v="1"/>
  </r>
  <r>
    <x v="12"/>
    <m/>
    <m/>
    <m/>
    <n v="54000"/>
    <m/>
    <x v="283"/>
    <x v="1"/>
    <x v="1"/>
  </r>
  <r>
    <x v="13"/>
    <n v="378000"/>
    <n v="108000"/>
    <n v="54000"/>
    <m/>
    <m/>
    <x v="283"/>
    <x v="1"/>
    <x v="1"/>
  </r>
  <r>
    <x v="0"/>
    <m/>
    <m/>
    <m/>
    <m/>
    <m/>
    <x v="284"/>
    <x v="1"/>
    <x v="1"/>
  </r>
  <r>
    <x v="1"/>
    <m/>
    <m/>
    <m/>
    <m/>
    <m/>
    <x v="284"/>
    <x v="1"/>
    <x v="1"/>
  </r>
  <r>
    <x v="2"/>
    <m/>
    <n v="108000"/>
    <m/>
    <n v="162000"/>
    <m/>
    <x v="284"/>
    <x v="1"/>
    <x v="1"/>
  </r>
  <r>
    <x v="3"/>
    <n v="968000"/>
    <m/>
    <m/>
    <m/>
    <m/>
    <x v="284"/>
    <x v="1"/>
    <x v="1"/>
  </r>
  <r>
    <x v="4"/>
    <m/>
    <n v="99000"/>
    <m/>
    <n v="54000"/>
    <m/>
    <x v="284"/>
    <x v="1"/>
    <x v="1"/>
  </r>
  <r>
    <x v="5"/>
    <m/>
    <n v="54000"/>
    <m/>
    <n v="108000"/>
    <m/>
    <x v="284"/>
    <x v="1"/>
    <x v="1"/>
  </r>
  <r>
    <x v="6"/>
    <n v="216000"/>
    <n v="211500"/>
    <m/>
    <n v="103500"/>
    <m/>
    <x v="284"/>
    <x v="1"/>
    <x v="1"/>
  </r>
  <r>
    <x v="7"/>
    <m/>
    <n v="157500"/>
    <m/>
    <m/>
    <m/>
    <x v="284"/>
    <x v="1"/>
    <x v="1"/>
  </r>
  <r>
    <x v="8"/>
    <n v="216000"/>
    <n v="54000"/>
    <m/>
    <n v="162000"/>
    <m/>
    <x v="284"/>
    <x v="1"/>
    <x v="1"/>
  </r>
  <r>
    <x v="9"/>
    <n v="432000"/>
    <n v="207000"/>
    <m/>
    <n v="135000"/>
    <m/>
    <x v="284"/>
    <x v="1"/>
    <x v="1"/>
  </r>
  <r>
    <x v="10"/>
    <n v="431000"/>
    <n v="53000"/>
    <m/>
    <m/>
    <m/>
    <x v="284"/>
    <x v="1"/>
    <x v="1"/>
  </r>
  <r>
    <x v="11"/>
    <m/>
    <m/>
    <m/>
    <m/>
    <m/>
    <x v="284"/>
    <x v="1"/>
    <x v="1"/>
  </r>
  <r>
    <x v="12"/>
    <m/>
    <n v="162000"/>
    <m/>
    <n v="157500"/>
    <m/>
    <x v="284"/>
    <x v="1"/>
    <x v="1"/>
  </r>
  <r>
    <x v="13"/>
    <n v="261000"/>
    <n v="54000"/>
    <m/>
    <n v="108000"/>
    <m/>
    <x v="284"/>
    <x v="1"/>
    <x v="1"/>
  </r>
  <r>
    <x v="0"/>
    <m/>
    <m/>
    <m/>
    <m/>
    <m/>
    <x v="285"/>
    <x v="1"/>
    <x v="1"/>
  </r>
  <r>
    <x v="1"/>
    <m/>
    <m/>
    <m/>
    <m/>
    <m/>
    <x v="285"/>
    <x v="1"/>
    <x v="1"/>
  </r>
  <r>
    <x v="2"/>
    <m/>
    <n v="216000"/>
    <m/>
    <n v="108000"/>
    <m/>
    <x v="285"/>
    <x v="1"/>
    <x v="1"/>
  </r>
  <r>
    <x v="3"/>
    <n v="1345500"/>
    <m/>
    <m/>
    <m/>
    <m/>
    <x v="285"/>
    <x v="1"/>
    <x v="1"/>
  </r>
  <r>
    <x v="4"/>
    <m/>
    <n v="207500"/>
    <m/>
    <n v="108000"/>
    <n v="270000"/>
    <x v="285"/>
    <x v="1"/>
    <x v="1"/>
  </r>
  <r>
    <x v="5"/>
    <m/>
    <n v="261000"/>
    <m/>
    <n v="54000"/>
    <m/>
    <x v="285"/>
    <x v="1"/>
    <x v="1"/>
  </r>
  <r>
    <x v="6"/>
    <m/>
    <n v="146500"/>
    <m/>
    <n v="54000"/>
    <m/>
    <x v="285"/>
    <x v="1"/>
    <x v="1"/>
  </r>
  <r>
    <x v="7"/>
    <m/>
    <n v="108000"/>
    <m/>
    <m/>
    <m/>
    <x v="285"/>
    <x v="1"/>
    <x v="1"/>
  </r>
  <r>
    <x v="8"/>
    <n v="108000"/>
    <m/>
    <m/>
    <n v="54000"/>
    <m/>
    <x v="285"/>
    <x v="1"/>
    <x v="1"/>
  </r>
  <r>
    <x v="9"/>
    <n v="320000"/>
    <n v="373500"/>
    <m/>
    <n v="108000"/>
    <m/>
    <x v="285"/>
    <x v="1"/>
    <x v="1"/>
  </r>
  <r>
    <x v="10"/>
    <n v="378000"/>
    <n v="216000"/>
    <m/>
    <m/>
    <m/>
    <x v="285"/>
    <x v="1"/>
    <x v="1"/>
  </r>
  <r>
    <x v="11"/>
    <m/>
    <m/>
    <m/>
    <m/>
    <m/>
    <x v="285"/>
    <x v="1"/>
    <x v="1"/>
  </r>
  <r>
    <x v="12"/>
    <m/>
    <n v="162000"/>
    <m/>
    <n v="153000"/>
    <m/>
    <x v="285"/>
    <x v="1"/>
    <x v="1"/>
  </r>
  <r>
    <x v="13"/>
    <n v="216000"/>
    <n v="157500"/>
    <m/>
    <n v="54000"/>
    <m/>
    <x v="285"/>
    <x v="1"/>
    <x v="1"/>
  </r>
  <r>
    <x v="0"/>
    <m/>
    <m/>
    <m/>
    <m/>
    <m/>
    <x v="286"/>
    <x v="1"/>
    <x v="1"/>
  </r>
  <r>
    <x v="1"/>
    <m/>
    <m/>
    <m/>
    <m/>
    <m/>
    <x v="286"/>
    <x v="1"/>
    <x v="1"/>
  </r>
  <r>
    <x v="2"/>
    <m/>
    <m/>
    <m/>
    <n v="108000"/>
    <m/>
    <x v="286"/>
    <x v="1"/>
    <x v="1"/>
  </r>
  <r>
    <x v="3"/>
    <n v="644000"/>
    <m/>
    <m/>
    <m/>
    <m/>
    <x v="286"/>
    <x v="1"/>
    <x v="1"/>
  </r>
  <r>
    <x v="4"/>
    <n v="324000"/>
    <n v="162000"/>
    <m/>
    <n v="54000"/>
    <n v="486000"/>
    <x v="286"/>
    <x v="1"/>
    <x v="1"/>
  </r>
  <r>
    <x v="5"/>
    <m/>
    <n v="216000"/>
    <m/>
    <n v="162000"/>
    <m/>
    <x v="286"/>
    <x v="1"/>
    <x v="1"/>
  </r>
  <r>
    <x v="6"/>
    <m/>
    <n v="211500"/>
    <m/>
    <m/>
    <m/>
    <x v="286"/>
    <x v="1"/>
    <x v="1"/>
  </r>
  <r>
    <x v="7"/>
    <m/>
    <n v="162000"/>
    <m/>
    <m/>
    <m/>
    <x v="286"/>
    <x v="1"/>
    <x v="1"/>
  </r>
  <r>
    <x v="8"/>
    <m/>
    <n v="108000"/>
    <m/>
    <n v="162000"/>
    <m/>
    <x v="286"/>
    <x v="1"/>
    <x v="1"/>
  </r>
  <r>
    <x v="9"/>
    <n v="54000"/>
    <n v="270000"/>
    <m/>
    <n v="216000"/>
    <m/>
    <x v="286"/>
    <x v="1"/>
    <x v="1"/>
  </r>
  <r>
    <x v="10"/>
    <m/>
    <n v="108000"/>
    <m/>
    <m/>
    <m/>
    <x v="286"/>
    <x v="1"/>
    <x v="1"/>
  </r>
  <r>
    <x v="11"/>
    <m/>
    <m/>
    <m/>
    <m/>
    <m/>
    <x v="286"/>
    <x v="1"/>
    <x v="1"/>
  </r>
  <r>
    <x v="12"/>
    <m/>
    <n v="108000"/>
    <m/>
    <n v="54000"/>
    <m/>
    <x v="286"/>
    <x v="1"/>
    <x v="1"/>
  </r>
  <r>
    <x v="13"/>
    <m/>
    <n v="108000"/>
    <m/>
    <m/>
    <m/>
    <x v="286"/>
    <x v="1"/>
    <x v="1"/>
  </r>
  <r>
    <x v="0"/>
    <m/>
    <m/>
    <m/>
    <m/>
    <m/>
    <x v="287"/>
    <x v="1"/>
    <x v="1"/>
  </r>
  <r>
    <x v="1"/>
    <m/>
    <n v="162000"/>
    <m/>
    <m/>
    <m/>
    <x v="287"/>
    <x v="1"/>
    <x v="1"/>
  </r>
  <r>
    <x v="2"/>
    <n v="378000"/>
    <n v="162000"/>
    <n v="324000"/>
    <n v="45000"/>
    <m/>
    <x v="287"/>
    <x v="1"/>
    <x v="1"/>
  </r>
  <r>
    <x v="3"/>
    <n v="756000"/>
    <m/>
    <m/>
    <m/>
    <m/>
    <x v="287"/>
    <x v="1"/>
    <x v="1"/>
  </r>
  <r>
    <x v="4"/>
    <n v="153000"/>
    <n v="45000"/>
    <m/>
    <n v="54000"/>
    <n v="154000"/>
    <x v="287"/>
    <x v="1"/>
    <x v="1"/>
  </r>
  <r>
    <x v="5"/>
    <m/>
    <n v="216000"/>
    <m/>
    <n v="108000"/>
    <m/>
    <x v="287"/>
    <x v="1"/>
    <x v="1"/>
  </r>
  <r>
    <x v="6"/>
    <m/>
    <n v="157500"/>
    <m/>
    <n v="45000"/>
    <m/>
    <x v="287"/>
    <x v="1"/>
    <x v="1"/>
  </r>
  <r>
    <x v="7"/>
    <m/>
    <n v="144000"/>
    <m/>
    <m/>
    <m/>
    <x v="287"/>
    <x v="1"/>
    <x v="1"/>
  </r>
  <r>
    <x v="8"/>
    <n v="265500"/>
    <n v="301500"/>
    <n v="752000"/>
    <m/>
    <n v="270000"/>
    <x v="287"/>
    <x v="1"/>
    <x v="1"/>
  </r>
  <r>
    <x v="9"/>
    <m/>
    <n v="211500"/>
    <m/>
    <n v="162000"/>
    <m/>
    <x v="287"/>
    <x v="1"/>
    <x v="1"/>
  </r>
  <r>
    <x v="10"/>
    <m/>
    <n v="153000"/>
    <m/>
    <m/>
    <m/>
    <x v="287"/>
    <x v="1"/>
    <x v="1"/>
  </r>
  <r>
    <x v="11"/>
    <m/>
    <n v="162000"/>
    <m/>
    <m/>
    <m/>
    <x v="287"/>
    <x v="1"/>
    <x v="1"/>
  </r>
  <r>
    <x v="12"/>
    <m/>
    <n v="54000"/>
    <m/>
    <n v="108000"/>
    <m/>
    <x v="287"/>
    <x v="1"/>
    <x v="1"/>
  </r>
  <r>
    <x v="13"/>
    <m/>
    <m/>
    <m/>
    <m/>
    <m/>
    <x v="287"/>
    <x v="1"/>
    <x v="1"/>
  </r>
  <r>
    <x v="0"/>
    <m/>
    <m/>
    <m/>
    <m/>
    <m/>
    <x v="288"/>
    <x v="1"/>
    <x v="1"/>
  </r>
  <r>
    <x v="1"/>
    <m/>
    <n v="158000"/>
    <m/>
    <m/>
    <m/>
    <x v="288"/>
    <x v="1"/>
    <x v="1"/>
  </r>
  <r>
    <x v="2"/>
    <n v="365000"/>
    <n v="216000"/>
    <n v="108000"/>
    <m/>
    <m/>
    <x v="288"/>
    <x v="1"/>
    <x v="1"/>
  </r>
  <r>
    <x v="3"/>
    <n v="540000"/>
    <m/>
    <m/>
    <m/>
    <m/>
    <x v="288"/>
    <x v="1"/>
    <x v="1"/>
  </r>
  <r>
    <x v="4"/>
    <n v="270000"/>
    <n v="208000"/>
    <m/>
    <n v="54000"/>
    <m/>
    <x v="288"/>
    <x v="1"/>
    <x v="1"/>
  </r>
  <r>
    <x v="5"/>
    <m/>
    <n v="151000"/>
    <m/>
    <n v="108000"/>
    <m/>
    <x v="288"/>
    <x v="1"/>
    <x v="1"/>
  </r>
  <r>
    <x v="6"/>
    <m/>
    <n v="208000"/>
    <m/>
    <n v="54000"/>
    <m/>
    <x v="288"/>
    <x v="1"/>
    <x v="1"/>
  </r>
  <r>
    <x v="7"/>
    <m/>
    <m/>
    <m/>
    <m/>
    <m/>
    <x v="288"/>
    <x v="1"/>
    <x v="1"/>
  </r>
  <r>
    <x v="8"/>
    <n v="319500"/>
    <n v="108000"/>
    <n v="248000"/>
    <n v="108000"/>
    <n v="216000"/>
    <x v="288"/>
    <x v="1"/>
    <x v="1"/>
  </r>
  <r>
    <x v="9"/>
    <m/>
    <n v="266000"/>
    <m/>
    <n v="54000"/>
    <m/>
    <x v="288"/>
    <x v="1"/>
    <x v="1"/>
  </r>
  <r>
    <x v="10"/>
    <n v="307000"/>
    <n v="162000"/>
    <m/>
    <m/>
    <m/>
    <x v="288"/>
    <x v="1"/>
    <x v="1"/>
  </r>
  <r>
    <x v="11"/>
    <m/>
    <m/>
    <m/>
    <m/>
    <m/>
    <x v="288"/>
    <x v="1"/>
    <x v="1"/>
  </r>
  <r>
    <x v="12"/>
    <m/>
    <n v="162000"/>
    <m/>
    <n v="108000"/>
    <m/>
    <x v="288"/>
    <x v="1"/>
    <x v="1"/>
  </r>
  <r>
    <x v="13"/>
    <m/>
    <m/>
    <m/>
    <m/>
    <m/>
    <x v="288"/>
    <x v="1"/>
    <x v="1"/>
  </r>
  <r>
    <x v="0"/>
    <m/>
    <m/>
    <m/>
    <m/>
    <m/>
    <x v="289"/>
    <x v="1"/>
    <x v="1"/>
  </r>
  <r>
    <x v="1"/>
    <m/>
    <n v="148500"/>
    <m/>
    <m/>
    <m/>
    <x v="289"/>
    <x v="1"/>
    <x v="1"/>
  </r>
  <r>
    <x v="2"/>
    <n v="315000"/>
    <m/>
    <n v="54000"/>
    <n v="108000"/>
    <n v="270000"/>
    <x v="289"/>
    <x v="1"/>
    <x v="1"/>
  </r>
  <r>
    <x v="3"/>
    <n v="369000"/>
    <m/>
    <m/>
    <m/>
    <m/>
    <x v="289"/>
    <x v="1"/>
    <x v="1"/>
  </r>
  <r>
    <x v="4"/>
    <n v="153000"/>
    <m/>
    <m/>
    <n v="54000"/>
    <n v="90000"/>
    <x v="289"/>
    <x v="1"/>
    <x v="1"/>
  </r>
  <r>
    <x v="5"/>
    <m/>
    <n v="45000"/>
    <m/>
    <n v="108000"/>
    <m/>
    <x v="289"/>
    <x v="1"/>
    <x v="1"/>
  </r>
  <r>
    <x v="6"/>
    <m/>
    <m/>
    <m/>
    <n v="270000"/>
    <m/>
    <x v="289"/>
    <x v="1"/>
    <x v="1"/>
  </r>
  <r>
    <x v="7"/>
    <m/>
    <m/>
    <m/>
    <m/>
    <m/>
    <x v="289"/>
    <x v="1"/>
    <x v="1"/>
  </r>
  <r>
    <x v="8"/>
    <n v="153000"/>
    <n v="630000"/>
    <m/>
    <m/>
    <n v="414000"/>
    <x v="289"/>
    <x v="1"/>
    <x v="1"/>
  </r>
  <r>
    <x v="9"/>
    <m/>
    <n v="162000"/>
    <m/>
    <n v="216000"/>
    <m/>
    <x v="289"/>
    <x v="1"/>
    <x v="1"/>
  </r>
  <r>
    <x v="10"/>
    <n v="54000"/>
    <n v="54000"/>
    <m/>
    <m/>
    <m/>
    <x v="289"/>
    <x v="1"/>
    <x v="1"/>
  </r>
  <r>
    <x v="11"/>
    <m/>
    <n v="99000"/>
    <m/>
    <m/>
    <m/>
    <x v="289"/>
    <x v="1"/>
    <x v="1"/>
  </r>
  <r>
    <x v="12"/>
    <m/>
    <m/>
    <m/>
    <n v="103500"/>
    <m/>
    <x v="289"/>
    <x v="1"/>
    <x v="1"/>
  </r>
  <r>
    <x v="13"/>
    <m/>
    <m/>
    <m/>
    <m/>
    <m/>
    <x v="289"/>
    <x v="1"/>
    <x v="1"/>
  </r>
  <r>
    <x v="0"/>
    <m/>
    <m/>
    <m/>
    <m/>
    <m/>
    <x v="290"/>
    <x v="1"/>
    <x v="1"/>
  </r>
  <r>
    <x v="1"/>
    <m/>
    <n v="108000"/>
    <m/>
    <m/>
    <m/>
    <x v="290"/>
    <x v="1"/>
    <x v="1"/>
  </r>
  <r>
    <x v="2"/>
    <n v="270000"/>
    <n v="108000"/>
    <m/>
    <n v="45000"/>
    <m/>
    <x v="290"/>
    <x v="1"/>
    <x v="1"/>
  </r>
  <r>
    <x v="3"/>
    <n v="477000"/>
    <m/>
    <m/>
    <m/>
    <m/>
    <x v="290"/>
    <x v="1"/>
    <x v="1"/>
  </r>
  <r>
    <x v="4"/>
    <n v="212000"/>
    <n v="162000"/>
    <m/>
    <n v="162000"/>
    <m/>
    <x v="290"/>
    <x v="1"/>
    <x v="1"/>
  </r>
  <r>
    <x v="5"/>
    <m/>
    <n v="103500"/>
    <m/>
    <n v="432000"/>
    <m/>
    <x v="290"/>
    <x v="1"/>
    <x v="1"/>
  </r>
  <r>
    <x v="6"/>
    <m/>
    <n v="103500"/>
    <m/>
    <m/>
    <m/>
    <x v="290"/>
    <x v="1"/>
    <x v="1"/>
  </r>
  <r>
    <x v="7"/>
    <m/>
    <n v="162000"/>
    <m/>
    <m/>
    <m/>
    <x v="290"/>
    <x v="1"/>
    <x v="1"/>
  </r>
  <r>
    <x v="8"/>
    <n v="157500"/>
    <m/>
    <m/>
    <m/>
    <n v="50000"/>
    <x v="290"/>
    <x v="1"/>
    <x v="1"/>
  </r>
  <r>
    <x v="9"/>
    <m/>
    <n v="162000"/>
    <m/>
    <n v="540000"/>
    <m/>
    <x v="290"/>
    <x v="1"/>
    <x v="1"/>
  </r>
  <r>
    <x v="10"/>
    <n v="207000"/>
    <n v="103500"/>
    <m/>
    <m/>
    <m/>
    <x v="290"/>
    <x v="1"/>
    <x v="1"/>
  </r>
  <r>
    <x v="11"/>
    <m/>
    <n v="108000"/>
    <m/>
    <m/>
    <m/>
    <x v="290"/>
    <x v="1"/>
    <x v="1"/>
  </r>
  <r>
    <x v="12"/>
    <m/>
    <m/>
    <m/>
    <n v="270000"/>
    <m/>
    <x v="290"/>
    <x v="1"/>
    <x v="1"/>
  </r>
  <r>
    <x v="13"/>
    <m/>
    <m/>
    <m/>
    <m/>
    <m/>
    <x v="290"/>
    <x v="1"/>
    <x v="1"/>
  </r>
  <r>
    <x v="0"/>
    <m/>
    <m/>
    <m/>
    <m/>
    <m/>
    <x v="291"/>
    <x v="1"/>
    <x v="1"/>
  </r>
  <r>
    <x v="1"/>
    <m/>
    <n v="108000"/>
    <m/>
    <m/>
    <m/>
    <x v="291"/>
    <x v="1"/>
    <x v="1"/>
  </r>
  <r>
    <x v="2"/>
    <n v="430000"/>
    <n v="108000"/>
    <m/>
    <m/>
    <n v="135000"/>
    <x v="291"/>
    <x v="1"/>
    <x v="1"/>
  </r>
  <r>
    <x v="3"/>
    <n v="486000"/>
    <m/>
    <m/>
    <m/>
    <m/>
    <x v="291"/>
    <x v="1"/>
    <x v="1"/>
  </r>
  <r>
    <x v="4"/>
    <n v="108000"/>
    <n v="324000"/>
    <m/>
    <m/>
    <m/>
    <x v="291"/>
    <x v="1"/>
    <x v="1"/>
  </r>
  <r>
    <x v="5"/>
    <m/>
    <n v="108000"/>
    <m/>
    <n v="864000"/>
    <m/>
    <x v="291"/>
    <x v="1"/>
    <x v="1"/>
  </r>
  <r>
    <x v="14"/>
    <n v="374000"/>
    <m/>
    <m/>
    <m/>
    <m/>
    <x v="291"/>
    <x v="1"/>
    <x v="1"/>
  </r>
  <r>
    <x v="6"/>
    <m/>
    <n v="108000"/>
    <m/>
    <m/>
    <m/>
    <x v="291"/>
    <x v="1"/>
    <x v="1"/>
  </r>
  <r>
    <x v="7"/>
    <m/>
    <n v="216000"/>
    <m/>
    <m/>
    <m/>
    <x v="291"/>
    <x v="1"/>
    <x v="1"/>
  </r>
  <r>
    <x v="8"/>
    <n v="270000"/>
    <m/>
    <m/>
    <m/>
    <n v="50000"/>
    <x v="291"/>
    <x v="1"/>
    <x v="1"/>
  </r>
  <r>
    <x v="9"/>
    <m/>
    <n v="216000"/>
    <m/>
    <n v="162000"/>
    <m/>
    <x v="291"/>
    <x v="1"/>
    <x v="1"/>
  </r>
  <r>
    <x v="10"/>
    <n v="270000"/>
    <n v="52000"/>
    <m/>
    <m/>
    <m/>
    <x v="291"/>
    <x v="1"/>
    <x v="1"/>
  </r>
  <r>
    <x v="11"/>
    <m/>
    <n v="108000"/>
    <m/>
    <m/>
    <m/>
    <x v="291"/>
    <x v="1"/>
    <x v="1"/>
  </r>
  <r>
    <x v="12"/>
    <m/>
    <m/>
    <m/>
    <n v="270000"/>
    <m/>
    <x v="291"/>
    <x v="1"/>
    <x v="1"/>
  </r>
  <r>
    <x v="13"/>
    <m/>
    <m/>
    <m/>
    <m/>
    <m/>
    <x v="291"/>
    <x v="1"/>
    <x v="1"/>
  </r>
  <r>
    <x v="0"/>
    <m/>
    <m/>
    <m/>
    <m/>
    <m/>
    <x v="292"/>
    <x v="1"/>
    <x v="1"/>
  </r>
  <r>
    <x v="1"/>
    <m/>
    <n v="108000"/>
    <m/>
    <m/>
    <m/>
    <x v="292"/>
    <x v="1"/>
    <x v="1"/>
  </r>
  <r>
    <x v="2"/>
    <n v="756000"/>
    <n v="54000"/>
    <m/>
    <n v="45000"/>
    <n v="50000"/>
    <x v="292"/>
    <x v="1"/>
    <x v="1"/>
  </r>
  <r>
    <x v="3"/>
    <n v="162000"/>
    <m/>
    <m/>
    <m/>
    <m/>
    <x v="292"/>
    <x v="1"/>
    <x v="1"/>
  </r>
  <r>
    <x v="4"/>
    <n v="270000"/>
    <n v="216000"/>
    <m/>
    <n v="153000"/>
    <m/>
    <x v="292"/>
    <x v="1"/>
    <x v="1"/>
  </r>
  <r>
    <x v="5"/>
    <m/>
    <n v="162000"/>
    <m/>
    <n v="324000"/>
    <m/>
    <x v="292"/>
    <x v="1"/>
    <x v="1"/>
  </r>
  <r>
    <x v="14"/>
    <n v="540000"/>
    <m/>
    <m/>
    <m/>
    <m/>
    <x v="292"/>
    <x v="1"/>
    <x v="1"/>
  </r>
  <r>
    <x v="6"/>
    <m/>
    <n v="104000"/>
    <m/>
    <m/>
    <m/>
    <x v="292"/>
    <x v="1"/>
    <x v="1"/>
  </r>
  <r>
    <x v="7"/>
    <m/>
    <n v="162000"/>
    <m/>
    <m/>
    <m/>
    <x v="292"/>
    <x v="1"/>
    <x v="1"/>
  </r>
  <r>
    <x v="8"/>
    <n v="374000"/>
    <n v="90000"/>
    <m/>
    <m/>
    <m/>
    <x v="292"/>
    <x v="1"/>
    <x v="1"/>
  </r>
  <r>
    <x v="9"/>
    <m/>
    <n v="162000"/>
    <m/>
    <m/>
    <m/>
    <x v="292"/>
    <x v="1"/>
    <x v="1"/>
  </r>
  <r>
    <x v="10"/>
    <n v="215500"/>
    <n v="162000"/>
    <m/>
    <m/>
    <m/>
    <x v="292"/>
    <x v="1"/>
    <x v="1"/>
  </r>
  <r>
    <x v="11"/>
    <m/>
    <m/>
    <m/>
    <m/>
    <m/>
    <x v="292"/>
    <x v="1"/>
    <x v="1"/>
  </r>
  <r>
    <x v="12"/>
    <m/>
    <n v="54000"/>
    <m/>
    <m/>
    <m/>
    <x v="292"/>
    <x v="1"/>
    <x v="1"/>
  </r>
  <r>
    <x v="13"/>
    <m/>
    <m/>
    <m/>
    <m/>
    <m/>
    <x v="292"/>
    <x v="1"/>
    <x v="1"/>
  </r>
  <r>
    <x v="0"/>
    <m/>
    <m/>
    <m/>
    <m/>
    <m/>
    <x v="293"/>
    <x v="1"/>
    <x v="1"/>
  </r>
  <r>
    <x v="1"/>
    <m/>
    <n v="320000"/>
    <m/>
    <m/>
    <m/>
    <x v="293"/>
    <x v="1"/>
    <x v="1"/>
  </r>
  <r>
    <x v="2"/>
    <n v="108000"/>
    <n v="270000"/>
    <m/>
    <m/>
    <m/>
    <x v="293"/>
    <x v="1"/>
    <x v="1"/>
  </r>
  <r>
    <x v="3"/>
    <n v="162000"/>
    <m/>
    <m/>
    <m/>
    <m/>
    <x v="293"/>
    <x v="1"/>
    <x v="1"/>
  </r>
  <r>
    <x v="4"/>
    <n v="270000"/>
    <n v="162000"/>
    <m/>
    <m/>
    <m/>
    <x v="293"/>
    <x v="1"/>
    <x v="1"/>
  </r>
  <r>
    <x v="5"/>
    <m/>
    <n v="324000"/>
    <m/>
    <m/>
    <m/>
    <x v="293"/>
    <x v="1"/>
    <x v="1"/>
  </r>
  <r>
    <x v="14"/>
    <n v="270000"/>
    <m/>
    <m/>
    <m/>
    <m/>
    <x v="293"/>
    <x v="1"/>
    <x v="1"/>
  </r>
  <r>
    <x v="6"/>
    <n v="162000"/>
    <m/>
    <m/>
    <m/>
    <m/>
    <x v="293"/>
    <x v="1"/>
    <x v="1"/>
  </r>
  <r>
    <x v="7"/>
    <m/>
    <n v="216000"/>
    <m/>
    <m/>
    <m/>
    <x v="293"/>
    <x v="1"/>
    <x v="1"/>
  </r>
  <r>
    <x v="8"/>
    <n v="216000"/>
    <m/>
    <m/>
    <m/>
    <m/>
    <x v="293"/>
    <x v="1"/>
    <x v="1"/>
  </r>
  <r>
    <x v="9"/>
    <m/>
    <n v="324000"/>
    <m/>
    <m/>
    <m/>
    <x v="293"/>
    <x v="1"/>
    <x v="1"/>
  </r>
  <r>
    <x v="10"/>
    <m/>
    <n v="432000"/>
    <m/>
    <m/>
    <m/>
    <x v="293"/>
    <x v="1"/>
    <x v="1"/>
  </r>
  <r>
    <x v="11"/>
    <n v="162000"/>
    <n v="49500"/>
    <m/>
    <m/>
    <m/>
    <x v="293"/>
    <x v="1"/>
    <x v="1"/>
  </r>
  <r>
    <x v="12"/>
    <m/>
    <n v="54000"/>
    <m/>
    <m/>
    <m/>
    <x v="293"/>
    <x v="1"/>
    <x v="1"/>
  </r>
  <r>
    <x v="13"/>
    <m/>
    <m/>
    <m/>
    <m/>
    <m/>
    <x v="293"/>
    <x v="1"/>
    <x v="1"/>
  </r>
  <r>
    <x v="0"/>
    <m/>
    <m/>
    <m/>
    <m/>
    <m/>
    <x v="294"/>
    <x v="1"/>
    <x v="1"/>
  </r>
  <r>
    <x v="1"/>
    <m/>
    <n v="216000"/>
    <m/>
    <m/>
    <m/>
    <x v="294"/>
    <x v="1"/>
    <x v="1"/>
  </r>
  <r>
    <x v="2"/>
    <n v="377500"/>
    <n v="270000"/>
    <m/>
    <m/>
    <n v="45000"/>
    <x v="294"/>
    <x v="1"/>
    <x v="1"/>
  </r>
  <r>
    <x v="3"/>
    <n v="45000"/>
    <m/>
    <m/>
    <m/>
    <m/>
    <x v="294"/>
    <x v="1"/>
    <x v="1"/>
  </r>
  <r>
    <x v="4"/>
    <n v="153000"/>
    <m/>
    <m/>
    <m/>
    <m/>
    <x v="294"/>
    <x v="1"/>
    <x v="1"/>
  </r>
  <r>
    <x v="5"/>
    <m/>
    <n v="270000"/>
    <m/>
    <m/>
    <m/>
    <x v="294"/>
    <x v="1"/>
    <x v="1"/>
  </r>
  <r>
    <x v="14"/>
    <n v="378000"/>
    <m/>
    <m/>
    <m/>
    <m/>
    <x v="294"/>
    <x v="1"/>
    <x v="1"/>
  </r>
  <r>
    <x v="6"/>
    <n v="270000"/>
    <n v="157000"/>
    <m/>
    <m/>
    <n v="351000"/>
    <x v="294"/>
    <x v="1"/>
    <x v="1"/>
  </r>
  <r>
    <x v="7"/>
    <m/>
    <n v="104000"/>
    <m/>
    <m/>
    <m/>
    <x v="294"/>
    <x v="1"/>
    <x v="1"/>
  </r>
  <r>
    <x v="8"/>
    <n v="108000"/>
    <m/>
    <m/>
    <m/>
    <m/>
    <x v="294"/>
    <x v="1"/>
    <x v="1"/>
  </r>
  <r>
    <x v="9"/>
    <m/>
    <n v="269000"/>
    <m/>
    <m/>
    <m/>
    <x v="294"/>
    <x v="1"/>
    <x v="1"/>
  </r>
  <r>
    <x v="10"/>
    <m/>
    <n v="216000"/>
    <m/>
    <m/>
    <m/>
    <x v="294"/>
    <x v="1"/>
    <x v="1"/>
  </r>
  <r>
    <x v="11"/>
    <n v="270000"/>
    <n v="108000"/>
    <m/>
    <m/>
    <m/>
    <x v="294"/>
    <x v="1"/>
    <x v="1"/>
  </r>
  <r>
    <x v="12"/>
    <m/>
    <n v="270000"/>
    <m/>
    <m/>
    <m/>
    <x v="294"/>
    <x v="1"/>
    <x v="1"/>
  </r>
  <r>
    <x v="13"/>
    <m/>
    <m/>
    <m/>
    <m/>
    <m/>
    <x v="294"/>
    <x v="1"/>
    <x v="1"/>
  </r>
  <r>
    <x v="0"/>
    <m/>
    <m/>
    <m/>
    <m/>
    <m/>
    <x v="295"/>
    <x v="1"/>
    <x v="1"/>
  </r>
  <r>
    <x v="1"/>
    <m/>
    <n v="374000"/>
    <m/>
    <m/>
    <m/>
    <x v="295"/>
    <x v="1"/>
    <x v="1"/>
  </r>
  <r>
    <x v="2"/>
    <n v="373500"/>
    <n v="216000"/>
    <m/>
    <m/>
    <m/>
    <x v="295"/>
    <x v="1"/>
    <x v="1"/>
  </r>
  <r>
    <x v="3"/>
    <n v="45000"/>
    <m/>
    <m/>
    <m/>
    <m/>
    <x v="295"/>
    <x v="1"/>
    <x v="1"/>
  </r>
  <r>
    <x v="4"/>
    <n v="54000"/>
    <m/>
    <m/>
    <m/>
    <m/>
    <x v="295"/>
    <x v="1"/>
    <x v="1"/>
  </r>
  <r>
    <x v="5"/>
    <m/>
    <n v="378000"/>
    <m/>
    <n v="135000"/>
    <m/>
    <x v="295"/>
    <x v="1"/>
    <x v="1"/>
  </r>
  <r>
    <x v="14"/>
    <n v="216000"/>
    <m/>
    <m/>
    <m/>
    <m/>
    <x v="295"/>
    <x v="1"/>
    <x v="1"/>
  </r>
  <r>
    <x v="6"/>
    <n v="431000"/>
    <n v="216000"/>
    <m/>
    <m/>
    <n v="45000"/>
    <x v="295"/>
    <x v="1"/>
    <x v="1"/>
  </r>
  <r>
    <x v="7"/>
    <m/>
    <m/>
    <m/>
    <m/>
    <m/>
    <x v="295"/>
    <x v="1"/>
    <x v="1"/>
  </r>
  <r>
    <x v="8"/>
    <n v="45000"/>
    <m/>
    <m/>
    <m/>
    <m/>
    <x v="295"/>
    <x v="1"/>
    <x v="1"/>
  </r>
  <r>
    <x v="9"/>
    <m/>
    <n v="216000"/>
    <m/>
    <n v="45000"/>
    <m/>
    <x v="295"/>
    <x v="1"/>
    <x v="1"/>
  </r>
  <r>
    <x v="10"/>
    <n v="92000"/>
    <n v="378000"/>
    <m/>
    <m/>
    <m/>
    <x v="295"/>
    <x v="1"/>
    <x v="1"/>
  </r>
  <r>
    <x v="11"/>
    <n v="486000"/>
    <n v="162000"/>
    <m/>
    <m/>
    <m/>
    <x v="295"/>
    <x v="1"/>
    <x v="1"/>
  </r>
  <r>
    <x v="12"/>
    <m/>
    <n v="54000"/>
    <m/>
    <m/>
    <m/>
    <x v="295"/>
    <x v="1"/>
    <x v="1"/>
  </r>
  <r>
    <x v="13"/>
    <m/>
    <m/>
    <m/>
    <m/>
    <m/>
    <x v="295"/>
    <x v="1"/>
    <x v="1"/>
  </r>
  <r>
    <x v="0"/>
    <m/>
    <m/>
    <m/>
    <m/>
    <m/>
    <x v="296"/>
    <x v="1"/>
    <x v="1"/>
  </r>
  <r>
    <x v="1"/>
    <m/>
    <n v="157500"/>
    <m/>
    <m/>
    <m/>
    <x v="296"/>
    <x v="1"/>
    <x v="1"/>
  </r>
  <r>
    <x v="2"/>
    <n v="864000"/>
    <n v="216000"/>
    <m/>
    <m/>
    <m/>
    <x v="296"/>
    <x v="1"/>
    <x v="1"/>
  </r>
  <r>
    <x v="3"/>
    <m/>
    <m/>
    <m/>
    <m/>
    <m/>
    <x v="296"/>
    <x v="1"/>
    <x v="1"/>
  </r>
  <r>
    <x v="4"/>
    <m/>
    <m/>
    <m/>
    <m/>
    <m/>
    <x v="296"/>
    <x v="1"/>
    <x v="1"/>
  </r>
  <r>
    <x v="5"/>
    <m/>
    <n v="324000"/>
    <m/>
    <m/>
    <m/>
    <x v="296"/>
    <x v="1"/>
    <x v="1"/>
  </r>
  <r>
    <x v="14"/>
    <m/>
    <m/>
    <m/>
    <m/>
    <m/>
    <x v="296"/>
    <x v="1"/>
    <x v="1"/>
  </r>
  <r>
    <x v="6"/>
    <n v="585000"/>
    <n v="266000"/>
    <m/>
    <m/>
    <m/>
    <x v="296"/>
    <x v="1"/>
    <x v="1"/>
  </r>
  <r>
    <x v="7"/>
    <m/>
    <n v="188000"/>
    <m/>
    <m/>
    <m/>
    <x v="296"/>
    <x v="1"/>
    <x v="1"/>
  </r>
  <r>
    <x v="8"/>
    <n v="90000"/>
    <n v="45000"/>
    <m/>
    <m/>
    <m/>
    <x v="296"/>
    <x v="1"/>
    <x v="1"/>
  </r>
  <r>
    <x v="9"/>
    <m/>
    <n v="432000"/>
    <m/>
    <m/>
    <m/>
    <x v="296"/>
    <x v="1"/>
    <x v="1"/>
  </r>
  <r>
    <x v="10"/>
    <m/>
    <n v="324000"/>
    <m/>
    <m/>
    <m/>
    <x v="296"/>
    <x v="1"/>
    <x v="1"/>
  </r>
  <r>
    <x v="11"/>
    <n v="211500"/>
    <m/>
    <m/>
    <m/>
    <m/>
    <x v="296"/>
    <x v="1"/>
    <x v="1"/>
  </r>
  <r>
    <x v="12"/>
    <m/>
    <m/>
    <m/>
    <m/>
    <m/>
    <x v="296"/>
    <x v="1"/>
    <x v="1"/>
  </r>
  <r>
    <x v="13"/>
    <m/>
    <m/>
    <m/>
    <m/>
    <m/>
    <x v="296"/>
    <x v="1"/>
    <x v="1"/>
  </r>
  <r>
    <x v="0"/>
    <m/>
    <m/>
    <m/>
    <m/>
    <m/>
    <x v="297"/>
    <x v="1"/>
    <x v="1"/>
  </r>
  <r>
    <x v="1"/>
    <m/>
    <n v="92500"/>
    <m/>
    <m/>
    <m/>
    <x v="297"/>
    <x v="1"/>
    <x v="1"/>
  </r>
  <r>
    <x v="2"/>
    <n v="702000"/>
    <n v="158000"/>
    <m/>
    <m/>
    <m/>
    <x v="297"/>
    <x v="1"/>
    <x v="1"/>
  </r>
  <r>
    <x v="3"/>
    <m/>
    <m/>
    <m/>
    <m/>
    <n v="486000"/>
    <x v="297"/>
    <x v="1"/>
    <x v="1"/>
  </r>
  <r>
    <x v="4"/>
    <n v="540000"/>
    <m/>
    <m/>
    <m/>
    <m/>
    <x v="297"/>
    <x v="1"/>
    <x v="1"/>
  </r>
  <r>
    <x v="5"/>
    <m/>
    <n v="269000"/>
    <m/>
    <m/>
    <m/>
    <x v="297"/>
    <x v="1"/>
    <x v="1"/>
  </r>
  <r>
    <x v="14"/>
    <m/>
    <m/>
    <m/>
    <m/>
    <m/>
    <x v="297"/>
    <x v="1"/>
    <x v="1"/>
  </r>
  <r>
    <x v="6"/>
    <n v="486000"/>
    <n v="540000"/>
    <m/>
    <n v="369000"/>
    <m/>
    <x v="297"/>
    <x v="1"/>
    <x v="1"/>
  </r>
  <r>
    <x v="7"/>
    <m/>
    <m/>
    <m/>
    <m/>
    <m/>
    <x v="297"/>
    <x v="1"/>
    <x v="1"/>
  </r>
  <r>
    <x v="8"/>
    <m/>
    <n v="45000"/>
    <m/>
    <m/>
    <m/>
    <x v="297"/>
    <x v="1"/>
    <x v="1"/>
  </r>
  <r>
    <x v="9"/>
    <m/>
    <n v="378000"/>
    <m/>
    <m/>
    <m/>
    <x v="297"/>
    <x v="1"/>
    <x v="1"/>
  </r>
  <r>
    <x v="10"/>
    <n v="45000"/>
    <n v="378000"/>
    <m/>
    <m/>
    <m/>
    <x v="297"/>
    <x v="1"/>
    <x v="1"/>
  </r>
  <r>
    <x v="11"/>
    <n v="54000"/>
    <m/>
    <m/>
    <m/>
    <m/>
    <x v="297"/>
    <x v="1"/>
    <x v="1"/>
  </r>
  <r>
    <x v="12"/>
    <m/>
    <m/>
    <m/>
    <m/>
    <m/>
    <x v="297"/>
    <x v="1"/>
    <x v="1"/>
  </r>
  <r>
    <x v="13"/>
    <m/>
    <m/>
    <m/>
    <m/>
    <m/>
    <x v="297"/>
    <x v="1"/>
    <x v="1"/>
  </r>
  <r>
    <x v="0"/>
    <m/>
    <m/>
    <m/>
    <m/>
    <m/>
    <x v="298"/>
    <x v="1"/>
    <x v="1"/>
  </r>
  <r>
    <x v="1"/>
    <m/>
    <n v="45000"/>
    <m/>
    <m/>
    <m/>
    <x v="298"/>
    <x v="1"/>
    <x v="1"/>
  </r>
  <r>
    <x v="2"/>
    <m/>
    <n v="200000"/>
    <m/>
    <m/>
    <m/>
    <x v="298"/>
    <x v="1"/>
    <x v="1"/>
  </r>
  <r>
    <x v="3"/>
    <m/>
    <m/>
    <m/>
    <m/>
    <n v="424000"/>
    <x v="298"/>
    <x v="1"/>
    <x v="1"/>
  </r>
  <r>
    <x v="4"/>
    <n v="1391000"/>
    <m/>
    <m/>
    <m/>
    <m/>
    <x v="298"/>
    <x v="1"/>
    <x v="1"/>
  </r>
  <r>
    <x v="5"/>
    <m/>
    <n v="108000"/>
    <m/>
    <m/>
    <m/>
    <x v="298"/>
    <x v="1"/>
    <x v="1"/>
  </r>
  <r>
    <x v="14"/>
    <m/>
    <m/>
    <m/>
    <m/>
    <m/>
    <x v="298"/>
    <x v="1"/>
    <x v="1"/>
  </r>
  <r>
    <x v="6"/>
    <m/>
    <n v="162000"/>
    <m/>
    <n v="162000"/>
    <m/>
    <x v="298"/>
    <x v="1"/>
    <x v="1"/>
  </r>
  <r>
    <x v="7"/>
    <m/>
    <m/>
    <m/>
    <m/>
    <m/>
    <x v="298"/>
    <x v="1"/>
    <x v="1"/>
  </r>
  <r>
    <x v="8"/>
    <m/>
    <n v="972000"/>
    <m/>
    <m/>
    <m/>
    <x v="298"/>
    <x v="1"/>
    <x v="1"/>
  </r>
  <r>
    <x v="9"/>
    <m/>
    <n v="162000"/>
    <m/>
    <m/>
    <m/>
    <x v="298"/>
    <x v="1"/>
    <x v="1"/>
  </r>
  <r>
    <x v="10"/>
    <m/>
    <n v="108000"/>
    <m/>
    <m/>
    <m/>
    <x v="298"/>
    <x v="1"/>
    <x v="1"/>
  </r>
  <r>
    <x v="11"/>
    <m/>
    <m/>
    <m/>
    <m/>
    <m/>
    <x v="298"/>
    <x v="1"/>
    <x v="1"/>
  </r>
  <r>
    <x v="12"/>
    <m/>
    <m/>
    <m/>
    <m/>
    <n v="216000"/>
    <x v="298"/>
    <x v="1"/>
    <x v="1"/>
  </r>
  <r>
    <x v="13"/>
    <m/>
    <n v="54000"/>
    <m/>
    <n v="216000"/>
    <m/>
    <x v="298"/>
    <x v="1"/>
    <x v="1"/>
  </r>
  <r>
    <x v="0"/>
    <m/>
    <m/>
    <m/>
    <m/>
    <m/>
    <x v="299"/>
    <x v="1"/>
    <x v="1"/>
  </r>
  <r>
    <x v="1"/>
    <m/>
    <m/>
    <m/>
    <m/>
    <m/>
    <x v="299"/>
    <x v="1"/>
    <x v="1"/>
  </r>
  <r>
    <x v="2"/>
    <n v="54000"/>
    <n v="54000"/>
    <m/>
    <m/>
    <m/>
    <x v="299"/>
    <x v="1"/>
    <x v="1"/>
  </r>
  <r>
    <x v="3"/>
    <m/>
    <m/>
    <m/>
    <m/>
    <n v="90000"/>
    <x v="299"/>
    <x v="1"/>
    <x v="1"/>
  </r>
  <r>
    <x v="4"/>
    <n v="910000"/>
    <m/>
    <m/>
    <m/>
    <m/>
    <x v="299"/>
    <x v="1"/>
    <x v="1"/>
  </r>
  <r>
    <x v="5"/>
    <m/>
    <n v="108000"/>
    <m/>
    <m/>
    <m/>
    <x v="299"/>
    <x v="1"/>
    <x v="1"/>
  </r>
  <r>
    <x v="14"/>
    <m/>
    <m/>
    <m/>
    <m/>
    <m/>
    <x v="299"/>
    <x v="1"/>
    <x v="1"/>
  </r>
  <r>
    <x v="6"/>
    <n v="54000"/>
    <n v="377000"/>
    <m/>
    <n v="468000"/>
    <m/>
    <x v="299"/>
    <x v="1"/>
    <x v="1"/>
  </r>
  <r>
    <x v="7"/>
    <m/>
    <m/>
    <m/>
    <m/>
    <m/>
    <x v="299"/>
    <x v="1"/>
    <x v="1"/>
  </r>
  <r>
    <x v="8"/>
    <m/>
    <m/>
    <m/>
    <m/>
    <m/>
    <x v="299"/>
    <x v="1"/>
    <x v="1"/>
  </r>
  <r>
    <x v="9"/>
    <n v="858000"/>
    <n v="378000"/>
    <n v="316000"/>
    <n v="45000"/>
    <m/>
    <x v="299"/>
    <x v="1"/>
    <x v="1"/>
  </r>
  <r>
    <x v="10"/>
    <m/>
    <n v="216000"/>
    <m/>
    <m/>
    <m/>
    <x v="299"/>
    <x v="1"/>
    <x v="1"/>
  </r>
  <r>
    <x v="11"/>
    <m/>
    <m/>
    <m/>
    <m/>
    <m/>
    <x v="299"/>
    <x v="1"/>
    <x v="1"/>
  </r>
  <r>
    <x v="12"/>
    <m/>
    <m/>
    <m/>
    <m/>
    <n v="270000"/>
    <x v="299"/>
    <x v="1"/>
    <x v="1"/>
  </r>
  <r>
    <x v="13"/>
    <m/>
    <n v="378000"/>
    <m/>
    <n v="150000"/>
    <m/>
    <x v="299"/>
    <x v="1"/>
    <x v="1"/>
  </r>
  <r>
    <x v="0"/>
    <m/>
    <m/>
    <m/>
    <m/>
    <m/>
    <x v="300"/>
    <x v="1"/>
    <x v="2"/>
  </r>
  <r>
    <x v="1"/>
    <m/>
    <m/>
    <m/>
    <m/>
    <m/>
    <x v="300"/>
    <x v="1"/>
    <x v="2"/>
  </r>
  <r>
    <x v="2"/>
    <m/>
    <m/>
    <m/>
    <m/>
    <m/>
    <x v="300"/>
    <x v="1"/>
    <x v="2"/>
  </r>
  <r>
    <x v="3"/>
    <m/>
    <m/>
    <m/>
    <m/>
    <m/>
    <x v="300"/>
    <x v="1"/>
    <x v="2"/>
  </r>
  <r>
    <x v="4"/>
    <m/>
    <m/>
    <m/>
    <m/>
    <m/>
    <x v="300"/>
    <x v="1"/>
    <x v="2"/>
  </r>
  <r>
    <x v="5"/>
    <m/>
    <n v="108000"/>
    <m/>
    <m/>
    <m/>
    <x v="300"/>
    <x v="1"/>
    <x v="2"/>
  </r>
  <r>
    <x v="14"/>
    <m/>
    <m/>
    <m/>
    <m/>
    <m/>
    <x v="300"/>
    <x v="1"/>
    <x v="2"/>
  </r>
  <r>
    <x v="6"/>
    <m/>
    <n v="162000"/>
    <m/>
    <m/>
    <m/>
    <x v="300"/>
    <x v="1"/>
    <x v="2"/>
  </r>
  <r>
    <x v="7"/>
    <m/>
    <m/>
    <m/>
    <m/>
    <m/>
    <x v="300"/>
    <x v="1"/>
    <x v="2"/>
  </r>
  <r>
    <x v="8"/>
    <m/>
    <m/>
    <m/>
    <m/>
    <m/>
    <x v="300"/>
    <x v="1"/>
    <x v="2"/>
  </r>
  <r>
    <x v="9"/>
    <n v="500500"/>
    <m/>
    <m/>
    <m/>
    <m/>
    <x v="300"/>
    <x v="1"/>
    <x v="2"/>
  </r>
  <r>
    <x v="10"/>
    <m/>
    <n v="104000"/>
    <m/>
    <m/>
    <m/>
    <x v="300"/>
    <x v="1"/>
    <x v="2"/>
  </r>
  <r>
    <x v="11"/>
    <m/>
    <m/>
    <m/>
    <m/>
    <m/>
    <x v="300"/>
    <x v="1"/>
    <x v="2"/>
  </r>
  <r>
    <x v="12"/>
    <m/>
    <m/>
    <m/>
    <m/>
    <m/>
    <x v="300"/>
    <x v="1"/>
    <x v="2"/>
  </r>
  <r>
    <x v="13"/>
    <m/>
    <n v="158000"/>
    <m/>
    <m/>
    <m/>
    <x v="300"/>
    <x v="1"/>
    <x v="2"/>
  </r>
  <r>
    <x v="0"/>
    <m/>
    <m/>
    <m/>
    <m/>
    <m/>
    <x v="301"/>
    <x v="1"/>
    <x v="2"/>
  </r>
  <r>
    <x v="1"/>
    <m/>
    <m/>
    <m/>
    <m/>
    <m/>
    <x v="301"/>
    <x v="1"/>
    <x v="2"/>
  </r>
  <r>
    <x v="2"/>
    <m/>
    <m/>
    <m/>
    <m/>
    <m/>
    <x v="301"/>
    <x v="1"/>
    <x v="2"/>
  </r>
  <r>
    <x v="3"/>
    <m/>
    <m/>
    <m/>
    <m/>
    <m/>
    <x v="301"/>
    <x v="1"/>
    <x v="2"/>
  </r>
  <r>
    <x v="4"/>
    <m/>
    <m/>
    <m/>
    <m/>
    <m/>
    <x v="301"/>
    <x v="1"/>
    <x v="2"/>
  </r>
  <r>
    <x v="5"/>
    <m/>
    <n v="108000"/>
    <m/>
    <m/>
    <m/>
    <x v="301"/>
    <x v="1"/>
    <x v="2"/>
  </r>
  <r>
    <x v="14"/>
    <m/>
    <m/>
    <m/>
    <m/>
    <m/>
    <x v="301"/>
    <x v="1"/>
    <x v="2"/>
  </r>
  <r>
    <x v="6"/>
    <m/>
    <n v="648000"/>
    <m/>
    <m/>
    <m/>
    <x v="301"/>
    <x v="1"/>
    <x v="2"/>
  </r>
  <r>
    <x v="7"/>
    <m/>
    <m/>
    <m/>
    <m/>
    <m/>
    <x v="301"/>
    <x v="1"/>
    <x v="2"/>
  </r>
  <r>
    <x v="8"/>
    <m/>
    <m/>
    <m/>
    <m/>
    <m/>
    <x v="301"/>
    <x v="1"/>
    <x v="2"/>
  </r>
  <r>
    <x v="9"/>
    <n v="540000"/>
    <n v="54000"/>
    <n v="162000"/>
    <n v="45000"/>
    <m/>
    <x v="301"/>
    <x v="1"/>
    <x v="2"/>
  </r>
  <r>
    <x v="10"/>
    <m/>
    <m/>
    <m/>
    <m/>
    <m/>
    <x v="301"/>
    <x v="1"/>
    <x v="2"/>
  </r>
  <r>
    <x v="11"/>
    <m/>
    <m/>
    <m/>
    <m/>
    <m/>
    <x v="301"/>
    <x v="1"/>
    <x v="2"/>
  </r>
  <r>
    <x v="12"/>
    <m/>
    <m/>
    <m/>
    <m/>
    <n v="918000"/>
    <x v="301"/>
    <x v="1"/>
    <x v="2"/>
  </r>
  <r>
    <x v="13"/>
    <m/>
    <n v="755500"/>
    <m/>
    <m/>
    <m/>
    <x v="301"/>
    <x v="1"/>
    <x v="2"/>
  </r>
  <r>
    <x v="0"/>
    <m/>
    <m/>
    <m/>
    <m/>
    <m/>
    <x v="302"/>
    <x v="1"/>
    <x v="2"/>
  </r>
  <r>
    <x v="1"/>
    <m/>
    <m/>
    <m/>
    <m/>
    <m/>
    <x v="302"/>
    <x v="1"/>
    <x v="2"/>
  </r>
  <r>
    <x v="2"/>
    <n v="1188000"/>
    <m/>
    <n v="324000"/>
    <m/>
    <m/>
    <x v="302"/>
    <x v="1"/>
    <x v="2"/>
  </r>
  <r>
    <x v="3"/>
    <m/>
    <m/>
    <m/>
    <m/>
    <n v="145000"/>
    <x v="302"/>
    <x v="1"/>
    <x v="2"/>
  </r>
  <r>
    <x v="4"/>
    <m/>
    <m/>
    <m/>
    <m/>
    <m/>
    <x v="302"/>
    <x v="1"/>
    <x v="2"/>
  </r>
  <r>
    <x v="5"/>
    <m/>
    <n v="216000"/>
    <m/>
    <m/>
    <m/>
    <x v="302"/>
    <x v="1"/>
    <x v="2"/>
  </r>
  <r>
    <x v="14"/>
    <m/>
    <m/>
    <m/>
    <m/>
    <m/>
    <x v="302"/>
    <x v="1"/>
    <x v="2"/>
  </r>
  <r>
    <x v="6"/>
    <m/>
    <n v="398000"/>
    <m/>
    <m/>
    <m/>
    <x v="302"/>
    <x v="1"/>
    <x v="2"/>
  </r>
  <r>
    <x v="7"/>
    <m/>
    <m/>
    <m/>
    <m/>
    <m/>
    <x v="302"/>
    <x v="1"/>
    <x v="2"/>
  </r>
  <r>
    <x v="8"/>
    <m/>
    <m/>
    <m/>
    <m/>
    <m/>
    <x v="302"/>
    <x v="1"/>
    <x v="2"/>
  </r>
  <r>
    <x v="9"/>
    <m/>
    <n v="1395000"/>
    <n v="162000"/>
    <m/>
    <m/>
    <x v="302"/>
    <x v="1"/>
    <x v="2"/>
  </r>
  <r>
    <x v="10"/>
    <m/>
    <m/>
    <m/>
    <m/>
    <m/>
    <x v="302"/>
    <x v="1"/>
    <x v="2"/>
  </r>
  <r>
    <x v="11"/>
    <m/>
    <m/>
    <m/>
    <m/>
    <m/>
    <x v="302"/>
    <x v="1"/>
    <x v="2"/>
  </r>
  <r>
    <x v="12"/>
    <m/>
    <m/>
    <m/>
    <m/>
    <n v="270000"/>
    <x v="302"/>
    <x v="1"/>
    <x v="2"/>
  </r>
  <r>
    <x v="13"/>
    <m/>
    <n v="216000"/>
    <m/>
    <m/>
    <m/>
    <x v="302"/>
    <x v="1"/>
    <x v="2"/>
  </r>
  <r>
    <x v="0"/>
    <m/>
    <m/>
    <m/>
    <m/>
    <m/>
    <x v="303"/>
    <x v="1"/>
    <x v="2"/>
  </r>
  <r>
    <x v="1"/>
    <m/>
    <m/>
    <m/>
    <m/>
    <m/>
    <x v="303"/>
    <x v="1"/>
    <x v="2"/>
  </r>
  <r>
    <x v="2"/>
    <n v="1021500"/>
    <m/>
    <n v="406000"/>
    <m/>
    <m/>
    <x v="303"/>
    <x v="1"/>
    <x v="2"/>
  </r>
  <r>
    <x v="3"/>
    <m/>
    <m/>
    <m/>
    <m/>
    <n v="577000"/>
    <x v="303"/>
    <x v="1"/>
    <x v="2"/>
  </r>
  <r>
    <x v="4"/>
    <n v="158000"/>
    <m/>
    <m/>
    <m/>
    <m/>
    <x v="303"/>
    <x v="1"/>
    <x v="2"/>
  </r>
  <r>
    <x v="5"/>
    <m/>
    <n v="162000"/>
    <m/>
    <m/>
    <m/>
    <x v="303"/>
    <x v="1"/>
    <x v="2"/>
  </r>
  <r>
    <x v="14"/>
    <n v="54000"/>
    <m/>
    <m/>
    <m/>
    <m/>
    <x v="303"/>
    <x v="1"/>
    <x v="2"/>
  </r>
  <r>
    <x v="6"/>
    <m/>
    <m/>
    <m/>
    <m/>
    <m/>
    <x v="303"/>
    <x v="1"/>
    <x v="2"/>
  </r>
  <r>
    <x v="7"/>
    <m/>
    <m/>
    <m/>
    <m/>
    <m/>
    <x v="303"/>
    <x v="1"/>
    <x v="2"/>
  </r>
  <r>
    <x v="8"/>
    <m/>
    <n v="864000"/>
    <m/>
    <m/>
    <m/>
    <x v="303"/>
    <x v="1"/>
    <x v="2"/>
  </r>
  <r>
    <x v="9"/>
    <n v="100000"/>
    <n v="378000"/>
    <n v="54000"/>
    <m/>
    <m/>
    <x v="303"/>
    <x v="1"/>
    <x v="2"/>
  </r>
  <r>
    <x v="10"/>
    <m/>
    <m/>
    <m/>
    <m/>
    <m/>
    <x v="303"/>
    <x v="1"/>
    <x v="2"/>
  </r>
  <r>
    <x v="11"/>
    <m/>
    <m/>
    <m/>
    <m/>
    <m/>
    <x v="303"/>
    <x v="1"/>
    <x v="2"/>
  </r>
  <r>
    <x v="12"/>
    <m/>
    <m/>
    <m/>
    <m/>
    <m/>
    <x v="303"/>
    <x v="1"/>
    <x v="2"/>
  </r>
  <r>
    <x v="13"/>
    <m/>
    <n v="99000"/>
    <m/>
    <m/>
    <m/>
    <x v="303"/>
    <x v="1"/>
    <x v="2"/>
  </r>
  <r>
    <x v="0"/>
    <m/>
    <m/>
    <m/>
    <m/>
    <m/>
    <x v="304"/>
    <x v="1"/>
    <x v="2"/>
  </r>
  <r>
    <x v="1"/>
    <m/>
    <m/>
    <m/>
    <m/>
    <m/>
    <x v="304"/>
    <x v="1"/>
    <x v="2"/>
  </r>
  <r>
    <x v="2"/>
    <n v="1674000"/>
    <m/>
    <m/>
    <m/>
    <m/>
    <x v="304"/>
    <x v="1"/>
    <x v="2"/>
  </r>
  <r>
    <x v="3"/>
    <m/>
    <m/>
    <m/>
    <m/>
    <n v="486000"/>
    <x v="304"/>
    <x v="1"/>
    <x v="2"/>
  </r>
  <r>
    <x v="4"/>
    <m/>
    <m/>
    <m/>
    <m/>
    <m/>
    <x v="304"/>
    <x v="1"/>
    <x v="2"/>
  </r>
  <r>
    <x v="5"/>
    <m/>
    <m/>
    <m/>
    <m/>
    <m/>
    <x v="304"/>
    <x v="1"/>
    <x v="2"/>
  </r>
  <r>
    <x v="14"/>
    <m/>
    <m/>
    <m/>
    <m/>
    <m/>
    <x v="304"/>
    <x v="1"/>
    <x v="2"/>
  </r>
  <r>
    <x v="6"/>
    <m/>
    <m/>
    <m/>
    <m/>
    <m/>
    <x v="304"/>
    <x v="1"/>
    <x v="2"/>
  </r>
  <r>
    <x v="7"/>
    <m/>
    <m/>
    <m/>
    <m/>
    <m/>
    <x v="304"/>
    <x v="1"/>
    <x v="2"/>
  </r>
  <r>
    <x v="8"/>
    <m/>
    <m/>
    <m/>
    <m/>
    <m/>
    <x v="304"/>
    <x v="1"/>
    <x v="2"/>
  </r>
  <r>
    <x v="9"/>
    <m/>
    <m/>
    <m/>
    <m/>
    <m/>
    <x v="304"/>
    <x v="1"/>
    <x v="2"/>
  </r>
  <r>
    <x v="10"/>
    <m/>
    <m/>
    <m/>
    <m/>
    <m/>
    <x v="304"/>
    <x v="1"/>
    <x v="2"/>
  </r>
  <r>
    <x v="11"/>
    <m/>
    <m/>
    <m/>
    <m/>
    <m/>
    <x v="304"/>
    <x v="1"/>
    <x v="2"/>
  </r>
  <r>
    <x v="12"/>
    <m/>
    <m/>
    <m/>
    <m/>
    <m/>
    <x v="304"/>
    <x v="1"/>
    <x v="2"/>
  </r>
  <r>
    <x v="13"/>
    <m/>
    <n v="45000"/>
    <m/>
    <m/>
    <m/>
    <x v="304"/>
    <x v="1"/>
    <x v="2"/>
  </r>
  <r>
    <x v="0"/>
    <m/>
    <m/>
    <m/>
    <m/>
    <m/>
    <x v="305"/>
    <x v="1"/>
    <x v="2"/>
  </r>
  <r>
    <x v="1"/>
    <m/>
    <m/>
    <m/>
    <m/>
    <m/>
    <x v="305"/>
    <x v="1"/>
    <x v="2"/>
  </r>
  <r>
    <x v="2"/>
    <n v="108000"/>
    <m/>
    <n v="145000"/>
    <m/>
    <m/>
    <x v="305"/>
    <x v="1"/>
    <x v="2"/>
  </r>
  <r>
    <x v="3"/>
    <m/>
    <m/>
    <m/>
    <m/>
    <n v="216000"/>
    <x v="305"/>
    <x v="1"/>
    <x v="2"/>
  </r>
  <r>
    <x v="4"/>
    <m/>
    <m/>
    <m/>
    <m/>
    <m/>
    <x v="305"/>
    <x v="1"/>
    <x v="2"/>
  </r>
  <r>
    <x v="5"/>
    <m/>
    <m/>
    <m/>
    <m/>
    <m/>
    <x v="305"/>
    <x v="1"/>
    <x v="2"/>
  </r>
  <r>
    <x v="14"/>
    <m/>
    <m/>
    <m/>
    <m/>
    <m/>
    <x v="305"/>
    <x v="1"/>
    <x v="2"/>
  </r>
  <r>
    <x v="6"/>
    <m/>
    <m/>
    <m/>
    <m/>
    <m/>
    <x v="305"/>
    <x v="1"/>
    <x v="2"/>
  </r>
  <r>
    <x v="7"/>
    <m/>
    <m/>
    <m/>
    <m/>
    <m/>
    <x v="305"/>
    <x v="1"/>
    <x v="2"/>
  </r>
  <r>
    <x v="8"/>
    <n v="1890000"/>
    <m/>
    <n v="540000"/>
    <m/>
    <m/>
    <x v="305"/>
    <x v="1"/>
    <x v="2"/>
  </r>
  <r>
    <x v="9"/>
    <m/>
    <m/>
    <m/>
    <m/>
    <m/>
    <x v="305"/>
    <x v="1"/>
    <x v="2"/>
  </r>
  <r>
    <x v="10"/>
    <m/>
    <m/>
    <m/>
    <m/>
    <m/>
    <x v="305"/>
    <x v="1"/>
    <x v="2"/>
  </r>
  <r>
    <x v="11"/>
    <m/>
    <m/>
    <m/>
    <m/>
    <m/>
    <x v="305"/>
    <x v="1"/>
    <x v="2"/>
  </r>
  <r>
    <x v="12"/>
    <m/>
    <m/>
    <m/>
    <m/>
    <n v="54000"/>
    <x v="305"/>
    <x v="1"/>
    <x v="2"/>
  </r>
  <r>
    <x v="13"/>
    <m/>
    <m/>
    <m/>
    <m/>
    <m/>
    <x v="305"/>
    <x v="1"/>
    <x v="2"/>
  </r>
  <r>
    <x v="0"/>
    <m/>
    <m/>
    <m/>
    <m/>
    <m/>
    <x v="306"/>
    <x v="1"/>
    <x v="2"/>
  </r>
  <r>
    <x v="1"/>
    <m/>
    <m/>
    <m/>
    <m/>
    <m/>
    <x v="306"/>
    <x v="1"/>
    <x v="2"/>
  </r>
  <r>
    <x v="2"/>
    <m/>
    <m/>
    <m/>
    <m/>
    <m/>
    <x v="306"/>
    <x v="1"/>
    <x v="2"/>
  </r>
  <r>
    <x v="3"/>
    <m/>
    <n v="1232500"/>
    <m/>
    <n v="626000"/>
    <n v="468000"/>
    <x v="306"/>
    <x v="1"/>
    <x v="2"/>
  </r>
  <r>
    <x v="4"/>
    <m/>
    <m/>
    <m/>
    <m/>
    <m/>
    <x v="306"/>
    <x v="1"/>
    <x v="2"/>
  </r>
  <r>
    <x v="5"/>
    <m/>
    <m/>
    <m/>
    <m/>
    <m/>
    <x v="306"/>
    <x v="1"/>
    <x v="2"/>
  </r>
  <r>
    <x v="14"/>
    <m/>
    <m/>
    <m/>
    <m/>
    <m/>
    <x v="306"/>
    <x v="1"/>
    <x v="2"/>
  </r>
  <r>
    <x v="6"/>
    <m/>
    <m/>
    <n v="540000"/>
    <m/>
    <m/>
    <x v="306"/>
    <x v="1"/>
    <x v="2"/>
  </r>
  <r>
    <x v="7"/>
    <m/>
    <m/>
    <m/>
    <m/>
    <m/>
    <x v="306"/>
    <x v="1"/>
    <x v="2"/>
  </r>
  <r>
    <x v="8"/>
    <n v="108000"/>
    <m/>
    <n v="405000"/>
    <m/>
    <m/>
    <x v="306"/>
    <x v="1"/>
    <x v="2"/>
  </r>
  <r>
    <x v="9"/>
    <m/>
    <m/>
    <m/>
    <m/>
    <m/>
    <x v="306"/>
    <x v="1"/>
    <x v="2"/>
  </r>
  <r>
    <x v="10"/>
    <n v="378000"/>
    <m/>
    <m/>
    <m/>
    <m/>
    <x v="306"/>
    <x v="1"/>
    <x v="2"/>
  </r>
  <r>
    <x v="11"/>
    <m/>
    <m/>
    <m/>
    <m/>
    <m/>
    <x v="306"/>
    <x v="1"/>
    <x v="2"/>
  </r>
  <r>
    <x v="12"/>
    <m/>
    <m/>
    <m/>
    <m/>
    <m/>
    <x v="306"/>
    <x v="1"/>
    <x v="2"/>
  </r>
  <r>
    <x v="13"/>
    <n v="589500"/>
    <m/>
    <n v="324000"/>
    <m/>
    <m/>
    <x v="306"/>
    <x v="1"/>
    <x v="2"/>
  </r>
  <r>
    <x v="0"/>
    <m/>
    <m/>
    <m/>
    <m/>
    <m/>
    <x v="307"/>
    <x v="1"/>
    <x v="2"/>
  </r>
  <r>
    <x v="1"/>
    <n v="108000"/>
    <m/>
    <n v="162000"/>
    <m/>
    <m/>
    <x v="307"/>
    <x v="1"/>
    <x v="2"/>
  </r>
  <r>
    <x v="2"/>
    <m/>
    <m/>
    <m/>
    <m/>
    <m/>
    <x v="307"/>
    <x v="1"/>
    <x v="2"/>
  </r>
  <r>
    <x v="3"/>
    <m/>
    <n v="1814000"/>
    <m/>
    <n v="324000"/>
    <n v="54000"/>
    <x v="307"/>
    <x v="1"/>
    <x v="2"/>
  </r>
  <r>
    <x v="4"/>
    <m/>
    <m/>
    <m/>
    <m/>
    <m/>
    <x v="307"/>
    <x v="1"/>
    <x v="2"/>
  </r>
  <r>
    <x v="5"/>
    <m/>
    <m/>
    <m/>
    <m/>
    <m/>
    <x v="307"/>
    <x v="1"/>
    <x v="2"/>
  </r>
  <r>
    <x v="14"/>
    <m/>
    <m/>
    <m/>
    <m/>
    <m/>
    <x v="307"/>
    <x v="1"/>
    <x v="2"/>
  </r>
  <r>
    <x v="6"/>
    <m/>
    <m/>
    <n v="415000"/>
    <m/>
    <m/>
    <x v="307"/>
    <x v="1"/>
    <x v="2"/>
  </r>
  <r>
    <x v="7"/>
    <m/>
    <m/>
    <m/>
    <m/>
    <m/>
    <x v="307"/>
    <x v="1"/>
    <x v="2"/>
  </r>
  <r>
    <x v="8"/>
    <m/>
    <m/>
    <m/>
    <m/>
    <m/>
    <x v="307"/>
    <x v="1"/>
    <x v="2"/>
  </r>
  <r>
    <x v="9"/>
    <n v="486000"/>
    <m/>
    <n v="477000"/>
    <n v="374000"/>
    <m/>
    <x v="307"/>
    <x v="1"/>
    <x v="2"/>
  </r>
  <r>
    <x v="10"/>
    <n v="648000"/>
    <m/>
    <m/>
    <m/>
    <m/>
    <x v="307"/>
    <x v="1"/>
    <x v="2"/>
  </r>
  <r>
    <x v="11"/>
    <m/>
    <m/>
    <m/>
    <m/>
    <m/>
    <x v="307"/>
    <x v="1"/>
    <x v="2"/>
  </r>
  <r>
    <x v="12"/>
    <m/>
    <m/>
    <m/>
    <m/>
    <m/>
    <x v="307"/>
    <x v="1"/>
    <x v="2"/>
  </r>
  <r>
    <x v="13"/>
    <n v="212000"/>
    <m/>
    <n v="266000"/>
    <m/>
    <m/>
    <x v="307"/>
    <x v="1"/>
    <x v="2"/>
  </r>
  <r>
    <x v="0"/>
    <m/>
    <m/>
    <m/>
    <m/>
    <m/>
    <x v="308"/>
    <x v="1"/>
    <x v="2"/>
  </r>
  <r>
    <x v="1"/>
    <n v="153000"/>
    <m/>
    <n v="216000"/>
    <m/>
    <m/>
    <x v="308"/>
    <x v="1"/>
    <x v="2"/>
  </r>
  <r>
    <x v="2"/>
    <m/>
    <m/>
    <m/>
    <m/>
    <m/>
    <x v="308"/>
    <x v="1"/>
    <x v="2"/>
  </r>
  <r>
    <x v="3"/>
    <m/>
    <n v="756000"/>
    <m/>
    <m/>
    <n v="54000"/>
    <x v="308"/>
    <x v="1"/>
    <x v="2"/>
  </r>
  <r>
    <x v="4"/>
    <m/>
    <m/>
    <m/>
    <m/>
    <m/>
    <x v="308"/>
    <x v="1"/>
    <x v="2"/>
  </r>
  <r>
    <x v="5"/>
    <m/>
    <m/>
    <m/>
    <m/>
    <m/>
    <x v="308"/>
    <x v="1"/>
    <x v="2"/>
  </r>
  <r>
    <x v="14"/>
    <m/>
    <m/>
    <m/>
    <m/>
    <m/>
    <x v="308"/>
    <x v="1"/>
    <x v="2"/>
  </r>
  <r>
    <x v="6"/>
    <m/>
    <n v="45000"/>
    <n v="45000"/>
    <m/>
    <m/>
    <x v="308"/>
    <x v="1"/>
    <x v="2"/>
  </r>
  <r>
    <x v="7"/>
    <m/>
    <m/>
    <m/>
    <m/>
    <m/>
    <x v="308"/>
    <x v="1"/>
    <x v="2"/>
  </r>
  <r>
    <x v="8"/>
    <m/>
    <m/>
    <n v="54000"/>
    <m/>
    <m/>
    <x v="308"/>
    <x v="1"/>
    <x v="2"/>
  </r>
  <r>
    <x v="9"/>
    <n v="489000"/>
    <n v="852000"/>
    <n v="369000"/>
    <n v="540000"/>
    <m/>
    <x v="308"/>
    <x v="1"/>
    <x v="2"/>
  </r>
  <r>
    <x v="10"/>
    <n v="360000"/>
    <m/>
    <m/>
    <m/>
    <m/>
    <x v="308"/>
    <x v="1"/>
    <x v="2"/>
  </r>
  <r>
    <x v="11"/>
    <m/>
    <m/>
    <m/>
    <m/>
    <m/>
    <x v="308"/>
    <x v="1"/>
    <x v="2"/>
  </r>
  <r>
    <x v="12"/>
    <m/>
    <m/>
    <m/>
    <m/>
    <m/>
    <x v="308"/>
    <x v="1"/>
    <x v="2"/>
  </r>
  <r>
    <x v="13"/>
    <n v="158000"/>
    <n v="45000"/>
    <n v="150000"/>
    <m/>
    <m/>
    <x v="308"/>
    <x v="1"/>
    <x v="2"/>
  </r>
  <r>
    <x v="0"/>
    <m/>
    <m/>
    <m/>
    <m/>
    <m/>
    <x v="309"/>
    <x v="1"/>
    <x v="2"/>
  </r>
  <r>
    <x v="1"/>
    <n v="270000"/>
    <m/>
    <n v="270000"/>
    <m/>
    <m/>
    <x v="309"/>
    <x v="1"/>
    <x v="2"/>
  </r>
  <r>
    <x v="2"/>
    <m/>
    <m/>
    <m/>
    <m/>
    <m/>
    <x v="309"/>
    <x v="1"/>
    <x v="2"/>
  </r>
  <r>
    <x v="3"/>
    <m/>
    <n v="54000"/>
    <m/>
    <m/>
    <m/>
    <x v="309"/>
    <x v="1"/>
    <x v="2"/>
  </r>
  <r>
    <x v="4"/>
    <m/>
    <m/>
    <m/>
    <m/>
    <m/>
    <x v="309"/>
    <x v="1"/>
    <x v="2"/>
  </r>
  <r>
    <x v="5"/>
    <m/>
    <m/>
    <m/>
    <m/>
    <m/>
    <x v="309"/>
    <x v="1"/>
    <x v="2"/>
  </r>
  <r>
    <x v="14"/>
    <m/>
    <m/>
    <m/>
    <m/>
    <m/>
    <x v="309"/>
    <x v="1"/>
    <x v="2"/>
  </r>
  <r>
    <x v="6"/>
    <m/>
    <m/>
    <m/>
    <m/>
    <m/>
    <x v="309"/>
    <x v="1"/>
    <x v="2"/>
  </r>
  <r>
    <x v="7"/>
    <m/>
    <m/>
    <m/>
    <m/>
    <m/>
    <x v="309"/>
    <x v="1"/>
    <x v="2"/>
  </r>
  <r>
    <x v="8"/>
    <m/>
    <n v="324000"/>
    <m/>
    <m/>
    <m/>
    <x v="309"/>
    <x v="1"/>
    <x v="2"/>
  </r>
  <r>
    <x v="9"/>
    <n v="1080000"/>
    <n v="863000"/>
    <n v="378000"/>
    <m/>
    <m/>
    <x v="309"/>
    <x v="1"/>
    <x v="2"/>
  </r>
  <r>
    <x v="10"/>
    <n v="162000"/>
    <m/>
    <m/>
    <m/>
    <m/>
    <x v="309"/>
    <x v="1"/>
    <x v="2"/>
  </r>
  <r>
    <x v="11"/>
    <m/>
    <m/>
    <m/>
    <m/>
    <m/>
    <x v="309"/>
    <x v="1"/>
    <x v="2"/>
  </r>
  <r>
    <x v="12"/>
    <m/>
    <m/>
    <m/>
    <m/>
    <m/>
    <x v="309"/>
    <x v="1"/>
    <x v="2"/>
  </r>
  <r>
    <x v="13"/>
    <n v="139000"/>
    <m/>
    <m/>
    <m/>
    <m/>
    <x v="309"/>
    <x v="1"/>
    <x v="2"/>
  </r>
  <r>
    <x v="0"/>
    <m/>
    <m/>
    <m/>
    <m/>
    <m/>
    <x v="310"/>
    <x v="1"/>
    <x v="2"/>
  </r>
  <r>
    <x v="1"/>
    <n v="162000"/>
    <m/>
    <n v="108000"/>
    <m/>
    <m/>
    <x v="310"/>
    <x v="1"/>
    <x v="2"/>
  </r>
  <r>
    <x v="2"/>
    <m/>
    <m/>
    <m/>
    <m/>
    <m/>
    <x v="310"/>
    <x v="1"/>
    <x v="2"/>
  </r>
  <r>
    <x v="3"/>
    <m/>
    <m/>
    <m/>
    <m/>
    <m/>
    <x v="310"/>
    <x v="1"/>
    <x v="2"/>
  </r>
  <r>
    <x v="4"/>
    <m/>
    <m/>
    <m/>
    <m/>
    <m/>
    <x v="310"/>
    <x v="1"/>
    <x v="2"/>
  </r>
  <r>
    <x v="5"/>
    <n v="587500"/>
    <m/>
    <n v="320000"/>
    <m/>
    <m/>
    <x v="310"/>
    <x v="1"/>
    <x v="2"/>
  </r>
  <r>
    <x v="14"/>
    <m/>
    <m/>
    <m/>
    <m/>
    <m/>
    <x v="310"/>
    <x v="1"/>
    <x v="2"/>
  </r>
  <r>
    <x v="6"/>
    <m/>
    <m/>
    <m/>
    <m/>
    <m/>
    <x v="310"/>
    <x v="1"/>
    <x v="2"/>
  </r>
  <r>
    <x v="7"/>
    <m/>
    <m/>
    <m/>
    <m/>
    <m/>
    <x v="310"/>
    <x v="1"/>
    <x v="2"/>
  </r>
  <r>
    <x v="8"/>
    <m/>
    <n v="432000"/>
    <m/>
    <m/>
    <m/>
    <x v="310"/>
    <x v="1"/>
    <x v="2"/>
  </r>
  <r>
    <x v="9"/>
    <n v="742500"/>
    <m/>
    <n v="162000"/>
    <m/>
    <m/>
    <x v="310"/>
    <x v="1"/>
    <x v="2"/>
  </r>
  <r>
    <x v="10"/>
    <n v="216000"/>
    <m/>
    <m/>
    <m/>
    <m/>
    <x v="310"/>
    <x v="1"/>
    <x v="2"/>
  </r>
  <r>
    <x v="11"/>
    <m/>
    <m/>
    <m/>
    <m/>
    <m/>
    <x v="310"/>
    <x v="1"/>
    <x v="2"/>
  </r>
  <r>
    <x v="12"/>
    <m/>
    <m/>
    <m/>
    <m/>
    <m/>
    <x v="310"/>
    <x v="1"/>
    <x v="2"/>
  </r>
  <r>
    <x v="13"/>
    <m/>
    <m/>
    <m/>
    <m/>
    <m/>
    <x v="310"/>
    <x v="1"/>
    <x v="2"/>
  </r>
  <r>
    <x v="0"/>
    <m/>
    <m/>
    <m/>
    <m/>
    <m/>
    <x v="311"/>
    <x v="1"/>
    <x v="2"/>
  </r>
  <r>
    <x v="1"/>
    <n v="270000"/>
    <m/>
    <n v="216000"/>
    <m/>
    <m/>
    <x v="311"/>
    <x v="1"/>
    <x v="2"/>
  </r>
  <r>
    <x v="2"/>
    <m/>
    <m/>
    <m/>
    <m/>
    <m/>
    <x v="311"/>
    <x v="1"/>
    <x v="2"/>
  </r>
  <r>
    <x v="3"/>
    <m/>
    <m/>
    <m/>
    <m/>
    <m/>
    <x v="311"/>
    <x v="1"/>
    <x v="2"/>
  </r>
  <r>
    <x v="4"/>
    <m/>
    <m/>
    <m/>
    <m/>
    <m/>
    <x v="311"/>
    <x v="1"/>
    <x v="2"/>
  </r>
  <r>
    <x v="5"/>
    <n v="743000"/>
    <m/>
    <n v="162000"/>
    <m/>
    <m/>
    <x v="311"/>
    <x v="1"/>
    <x v="2"/>
  </r>
  <r>
    <x v="14"/>
    <m/>
    <m/>
    <m/>
    <m/>
    <m/>
    <x v="311"/>
    <x v="1"/>
    <x v="2"/>
  </r>
  <r>
    <x v="6"/>
    <m/>
    <m/>
    <m/>
    <m/>
    <m/>
    <x v="311"/>
    <x v="1"/>
    <x v="2"/>
  </r>
  <r>
    <x v="7"/>
    <m/>
    <m/>
    <m/>
    <m/>
    <m/>
    <x v="311"/>
    <x v="1"/>
    <x v="2"/>
  </r>
  <r>
    <x v="8"/>
    <m/>
    <n v="324000"/>
    <m/>
    <m/>
    <m/>
    <x v="311"/>
    <x v="1"/>
    <x v="2"/>
  </r>
  <r>
    <x v="9"/>
    <n v="648000"/>
    <n v="270000"/>
    <n v="216000"/>
    <m/>
    <m/>
    <x v="311"/>
    <x v="1"/>
    <x v="2"/>
  </r>
  <r>
    <x v="10"/>
    <n v="54000"/>
    <m/>
    <m/>
    <m/>
    <m/>
    <x v="311"/>
    <x v="1"/>
    <x v="2"/>
  </r>
  <r>
    <x v="11"/>
    <m/>
    <m/>
    <m/>
    <m/>
    <m/>
    <x v="311"/>
    <x v="1"/>
    <x v="2"/>
  </r>
  <r>
    <x v="12"/>
    <m/>
    <m/>
    <m/>
    <m/>
    <m/>
    <x v="311"/>
    <x v="1"/>
    <x v="2"/>
  </r>
  <r>
    <x v="13"/>
    <m/>
    <m/>
    <m/>
    <m/>
    <m/>
    <x v="311"/>
    <x v="1"/>
    <x v="2"/>
  </r>
  <r>
    <x v="0"/>
    <m/>
    <m/>
    <m/>
    <m/>
    <m/>
    <x v="312"/>
    <x v="1"/>
    <x v="2"/>
  </r>
  <r>
    <x v="1"/>
    <n v="49500"/>
    <m/>
    <m/>
    <m/>
    <m/>
    <x v="312"/>
    <x v="1"/>
    <x v="2"/>
  </r>
  <r>
    <x v="2"/>
    <n v="378000"/>
    <n v="540000"/>
    <m/>
    <n v="450000"/>
    <n v="540000"/>
    <x v="312"/>
    <x v="1"/>
    <x v="2"/>
  </r>
  <r>
    <x v="3"/>
    <m/>
    <m/>
    <m/>
    <m/>
    <m/>
    <x v="312"/>
    <x v="1"/>
    <x v="2"/>
  </r>
  <r>
    <x v="4"/>
    <n v="485000"/>
    <m/>
    <m/>
    <m/>
    <m/>
    <x v="312"/>
    <x v="1"/>
    <x v="2"/>
  </r>
  <r>
    <x v="5"/>
    <n v="103500"/>
    <m/>
    <n v="540000"/>
    <m/>
    <m/>
    <x v="312"/>
    <x v="1"/>
    <x v="2"/>
  </r>
  <r>
    <x v="14"/>
    <m/>
    <m/>
    <m/>
    <m/>
    <m/>
    <x v="312"/>
    <x v="1"/>
    <x v="2"/>
  </r>
  <r>
    <x v="6"/>
    <m/>
    <m/>
    <m/>
    <m/>
    <m/>
    <x v="312"/>
    <x v="1"/>
    <x v="2"/>
  </r>
  <r>
    <x v="7"/>
    <m/>
    <m/>
    <m/>
    <m/>
    <m/>
    <x v="312"/>
    <x v="1"/>
    <x v="2"/>
  </r>
  <r>
    <x v="8"/>
    <m/>
    <n v="696500"/>
    <m/>
    <m/>
    <m/>
    <x v="312"/>
    <x v="1"/>
    <x v="2"/>
  </r>
  <r>
    <x v="9"/>
    <n v="216000"/>
    <n v="648000"/>
    <n v="216000"/>
    <n v="135000"/>
    <m/>
    <x v="312"/>
    <x v="1"/>
    <x v="2"/>
  </r>
  <r>
    <x v="10"/>
    <n v="162000"/>
    <m/>
    <m/>
    <m/>
    <m/>
    <x v="312"/>
    <x v="1"/>
    <x v="2"/>
  </r>
  <r>
    <x v="11"/>
    <m/>
    <m/>
    <m/>
    <m/>
    <m/>
    <x v="312"/>
    <x v="1"/>
    <x v="2"/>
  </r>
  <r>
    <x v="12"/>
    <m/>
    <m/>
    <m/>
    <m/>
    <m/>
    <x v="312"/>
    <x v="1"/>
    <x v="2"/>
  </r>
  <r>
    <x v="13"/>
    <n v="54000"/>
    <m/>
    <n v="50000"/>
    <m/>
    <m/>
    <x v="312"/>
    <x v="1"/>
    <x v="2"/>
  </r>
  <r>
    <x v="0"/>
    <m/>
    <m/>
    <m/>
    <m/>
    <m/>
    <x v="313"/>
    <x v="1"/>
    <x v="2"/>
  </r>
  <r>
    <x v="1"/>
    <m/>
    <m/>
    <m/>
    <m/>
    <m/>
    <x v="313"/>
    <x v="1"/>
    <x v="2"/>
  </r>
  <r>
    <x v="2"/>
    <n v="324000"/>
    <n v="324000"/>
    <n v="45000"/>
    <n v="50000"/>
    <n v="460000"/>
    <x v="313"/>
    <x v="1"/>
    <x v="2"/>
  </r>
  <r>
    <x v="3"/>
    <m/>
    <n v="50000"/>
    <m/>
    <m/>
    <m/>
    <x v="313"/>
    <x v="1"/>
    <x v="2"/>
  </r>
  <r>
    <x v="4"/>
    <n v="540000"/>
    <m/>
    <m/>
    <m/>
    <m/>
    <x v="313"/>
    <x v="1"/>
    <x v="2"/>
  </r>
  <r>
    <x v="5"/>
    <n v="378000"/>
    <n v="108000"/>
    <n v="320000"/>
    <n v="918000"/>
    <m/>
    <x v="313"/>
    <x v="1"/>
    <x v="2"/>
  </r>
  <r>
    <x v="14"/>
    <m/>
    <m/>
    <m/>
    <m/>
    <m/>
    <x v="313"/>
    <x v="1"/>
    <x v="2"/>
  </r>
  <r>
    <x v="6"/>
    <m/>
    <m/>
    <m/>
    <m/>
    <m/>
    <x v="313"/>
    <x v="1"/>
    <x v="2"/>
  </r>
  <r>
    <x v="7"/>
    <m/>
    <m/>
    <m/>
    <m/>
    <m/>
    <x v="313"/>
    <x v="1"/>
    <x v="2"/>
  </r>
  <r>
    <x v="8"/>
    <m/>
    <n v="266000"/>
    <m/>
    <m/>
    <m/>
    <x v="313"/>
    <x v="1"/>
    <x v="2"/>
  </r>
  <r>
    <x v="9"/>
    <n v="162000"/>
    <n v="158000"/>
    <m/>
    <m/>
    <m/>
    <x v="313"/>
    <x v="1"/>
    <x v="2"/>
  </r>
  <r>
    <x v="10"/>
    <m/>
    <m/>
    <m/>
    <m/>
    <m/>
    <x v="313"/>
    <x v="1"/>
    <x v="2"/>
  </r>
  <r>
    <x v="11"/>
    <m/>
    <m/>
    <m/>
    <m/>
    <m/>
    <x v="313"/>
    <x v="1"/>
    <x v="2"/>
  </r>
  <r>
    <x v="12"/>
    <m/>
    <m/>
    <m/>
    <m/>
    <m/>
    <x v="313"/>
    <x v="1"/>
    <x v="2"/>
  </r>
  <r>
    <x v="13"/>
    <m/>
    <m/>
    <m/>
    <m/>
    <m/>
    <x v="313"/>
    <x v="1"/>
    <x v="2"/>
  </r>
  <r>
    <x v="0"/>
    <m/>
    <m/>
    <m/>
    <m/>
    <m/>
    <x v="314"/>
    <x v="1"/>
    <x v="2"/>
  </r>
  <r>
    <x v="1"/>
    <n v="95000"/>
    <m/>
    <n v="216000"/>
    <m/>
    <m/>
    <x v="314"/>
    <x v="1"/>
    <x v="2"/>
  </r>
  <r>
    <x v="2"/>
    <n v="244000"/>
    <n v="270000"/>
    <m/>
    <m/>
    <m/>
    <x v="314"/>
    <x v="1"/>
    <x v="2"/>
  </r>
  <r>
    <x v="3"/>
    <m/>
    <n v="90000"/>
    <m/>
    <m/>
    <m/>
    <x v="314"/>
    <x v="1"/>
    <x v="2"/>
  </r>
  <r>
    <x v="4"/>
    <n v="158000"/>
    <m/>
    <m/>
    <m/>
    <m/>
    <x v="314"/>
    <x v="1"/>
    <x v="2"/>
  </r>
  <r>
    <x v="5"/>
    <n v="594000"/>
    <n v="374000"/>
    <n v="482000"/>
    <n v="860000"/>
    <m/>
    <x v="314"/>
    <x v="1"/>
    <x v="2"/>
  </r>
  <r>
    <x v="14"/>
    <m/>
    <m/>
    <m/>
    <m/>
    <m/>
    <x v="314"/>
    <x v="1"/>
    <x v="2"/>
  </r>
  <r>
    <x v="6"/>
    <m/>
    <m/>
    <m/>
    <m/>
    <m/>
    <x v="314"/>
    <x v="1"/>
    <x v="2"/>
  </r>
  <r>
    <x v="7"/>
    <m/>
    <m/>
    <m/>
    <m/>
    <m/>
    <x v="314"/>
    <x v="1"/>
    <x v="2"/>
  </r>
  <r>
    <x v="8"/>
    <m/>
    <n v="324000"/>
    <m/>
    <m/>
    <m/>
    <x v="314"/>
    <x v="1"/>
    <x v="2"/>
  </r>
  <r>
    <x v="9"/>
    <n v="319500"/>
    <n v="374000"/>
    <n v="45000"/>
    <m/>
    <m/>
    <x v="314"/>
    <x v="1"/>
    <x v="2"/>
  </r>
  <r>
    <x v="10"/>
    <m/>
    <m/>
    <m/>
    <m/>
    <m/>
    <x v="314"/>
    <x v="1"/>
    <x v="2"/>
  </r>
  <r>
    <x v="11"/>
    <m/>
    <m/>
    <m/>
    <m/>
    <m/>
    <x v="314"/>
    <x v="1"/>
    <x v="2"/>
  </r>
  <r>
    <x v="12"/>
    <m/>
    <m/>
    <m/>
    <m/>
    <m/>
    <x v="314"/>
    <x v="1"/>
    <x v="2"/>
  </r>
  <r>
    <x v="13"/>
    <n v="45000"/>
    <n v="49500"/>
    <m/>
    <m/>
    <m/>
    <x v="314"/>
    <x v="1"/>
    <x v="2"/>
  </r>
  <r>
    <x v="0"/>
    <m/>
    <m/>
    <m/>
    <m/>
    <m/>
    <x v="315"/>
    <x v="1"/>
    <x v="2"/>
  </r>
  <r>
    <x v="1"/>
    <m/>
    <m/>
    <m/>
    <m/>
    <m/>
    <x v="315"/>
    <x v="1"/>
    <x v="2"/>
  </r>
  <r>
    <x v="2"/>
    <m/>
    <n v="378000"/>
    <m/>
    <m/>
    <m/>
    <x v="315"/>
    <x v="1"/>
    <x v="2"/>
  </r>
  <r>
    <x v="3"/>
    <m/>
    <m/>
    <m/>
    <m/>
    <m/>
    <x v="315"/>
    <x v="1"/>
    <x v="2"/>
  </r>
  <r>
    <x v="4"/>
    <m/>
    <m/>
    <m/>
    <m/>
    <m/>
    <x v="315"/>
    <x v="1"/>
    <x v="2"/>
  </r>
  <r>
    <x v="5"/>
    <n v="1882000"/>
    <n v="536000"/>
    <n v="428000"/>
    <n v="964000"/>
    <m/>
    <x v="315"/>
    <x v="1"/>
    <x v="2"/>
  </r>
  <r>
    <x v="14"/>
    <m/>
    <m/>
    <m/>
    <m/>
    <m/>
    <x v="315"/>
    <x v="1"/>
    <x v="2"/>
  </r>
  <r>
    <x v="6"/>
    <m/>
    <m/>
    <m/>
    <m/>
    <m/>
    <x v="315"/>
    <x v="1"/>
    <x v="2"/>
  </r>
  <r>
    <x v="7"/>
    <m/>
    <m/>
    <m/>
    <m/>
    <m/>
    <x v="315"/>
    <x v="1"/>
    <x v="2"/>
  </r>
  <r>
    <x v="8"/>
    <m/>
    <n v="270000"/>
    <m/>
    <m/>
    <n v="500000"/>
    <x v="315"/>
    <x v="1"/>
    <x v="2"/>
  </r>
  <r>
    <x v="9"/>
    <n v="108000"/>
    <n v="324000"/>
    <n v="45000"/>
    <m/>
    <m/>
    <x v="315"/>
    <x v="1"/>
    <x v="2"/>
  </r>
  <r>
    <x v="10"/>
    <m/>
    <m/>
    <m/>
    <m/>
    <m/>
    <x v="315"/>
    <x v="1"/>
    <x v="2"/>
  </r>
  <r>
    <x v="11"/>
    <m/>
    <m/>
    <m/>
    <m/>
    <m/>
    <x v="315"/>
    <x v="1"/>
    <x v="2"/>
  </r>
  <r>
    <x v="12"/>
    <m/>
    <m/>
    <m/>
    <m/>
    <m/>
    <x v="315"/>
    <x v="1"/>
    <x v="2"/>
  </r>
  <r>
    <x v="13"/>
    <m/>
    <m/>
    <m/>
    <m/>
    <m/>
    <x v="315"/>
    <x v="1"/>
    <x v="2"/>
  </r>
  <r>
    <x v="0"/>
    <m/>
    <m/>
    <m/>
    <m/>
    <m/>
    <x v="316"/>
    <x v="1"/>
    <x v="2"/>
  </r>
  <r>
    <x v="1"/>
    <n v="47000"/>
    <m/>
    <m/>
    <m/>
    <m/>
    <x v="316"/>
    <x v="1"/>
    <x v="2"/>
  </r>
  <r>
    <x v="2"/>
    <m/>
    <n v="162000"/>
    <m/>
    <m/>
    <m/>
    <x v="316"/>
    <x v="1"/>
    <x v="2"/>
  </r>
  <r>
    <x v="3"/>
    <m/>
    <m/>
    <m/>
    <m/>
    <m/>
    <x v="316"/>
    <x v="1"/>
    <x v="2"/>
  </r>
  <r>
    <x v="4"/>
    <m/>
    <n v="267500"/>
    <m/>
    <m/>
    <m/>
    <x v="316"/>
    <x v="1"/>
    <x v="2"/>
  </r>
  <r>
    <x v="5"/>
    <n v="162000"/>
    <n v="108000"/>
    <n v="45000"/>
    <n v="269000"/>
    <m/>
    <x v="316"/>
    <x v="1"/>
    <x v="2"/>
  </r>
  <r>
    <x v="14"/>
    <m/>
    <m/>
    <m/>
    <m/>
    <m/>
    <x v="316"/>
    <x v="1"/>
    <x v="2"/>
  </r>
  <r>
    <x v="6"/>
    <n v="910000"/>
    <m/>
    <m/>
    <n v="486000"/>
    <m/>
    <x v="316"/>
    <x v="1"/>
    <x v="2"/>
  </r>
  <r>
    <x v="7"/>
    <m/>
    <m/>
    <m/>
    <m/>
    <m/>
    <x v="316"/>
    <x v="1"/>
    <x v="2"/>
  </r>
  <r>
    <x v="8"/>
    <m/>
    <n v="756000"/>
    <m/>
    <m/>
    <m/>
    <x v="316"/>
    <x v="1"/>
    <x v="2"/>
  </r>
  <r>
    <x v="9"/>
    <n v="162000"/>
    <n v="318000"/>
    <m/>
    <m/>
    <m/>
    <x v="316"/>
    <x v="1"/>
    <x v="2"/>
  </r>
  <r>
    <x v="10"/>
    <m/>
    <m/>
    <m/>
    <m/>
    <m/>
    <x v="316"/>
    <x v="1"/>
    <x v="2"/>
  </r>
  <r>
    <x v="11"/>
    <m/>
    <m/>
    <m/>
    <m/>
    <m/>
    <x v="316"/>
    <x v="1"/>
    <x v="2"/>
  </r>
  <r>
    <x v="12"/>
    <m/>
    <m/>
    <m/>
    <m/>
    <m/>
    <x v="316"/>
    <x v="1"/>
    <x v="2"/>
  </r>
  <r>
    <x v="13"/>
    <m/>
    <m/>
    <m/>
    <m/>
    <m/>
    <x v="316"/>
    <x v="1"/>
    <x v="2"/>
  </r>
  <r>
    <x v="0"/>
    <m/>
    <m/>
    <m/>
    <m/>
    <m/>
    <x v="317"/>
    <x v="1"/>
    <x v="2"/>
  </r>
  <r>
    <x v="1"/>
    <n v="45000"/>
    <m/>
    <m/>
    <m/>
    <m/>
    <x v="317"/>
    <x v="1"/>
    <x v="2"/>
  </r>
  <r>
    <x v="2"/>
    <m/>
    <n v="216000"/>
    <m/>
    <m/>
    <m/>
    <x v="317"/>
    <x v="1"/>
    <x v="2"/>
  </r>
  <r>
    <x v="3"/>
    <m/>
    <m/>
    <m/>
    <m/>
    <m/>
    <x v="317"/>
    <x v="1"/>
    <x v="2"/>
  </r>
  <r>
    <x v="4"/>
    <m/>
    <n v="324000"/>
    <m/>
    <m/>
    <m/>
    <x v="317"/>
    <x v="1"/>
    <x v="2"/>
  </r>
  <r>
    <x v="5"/>
    <m/>
    <n v="378000"/>
    <m/>
    <n v="432000"/>
    <m/>
    <x v="317"/>
    <x v="1"/>
    <x v="2"/>
  </r>
  <r>
    <x v="14"/>
    <m/>
    <m/>
    <m/>
    <m/>
    <m/>
    <x v="317"/>
    <x v="1"/>
    <x v="2"/>
  </r>
  <r>
    <x v="6"/>
    <n v="266000"/>
    <m/>
    <m/>
    <n v="374000"/>
    <m/>
    <x v="317"/>
    <x v="1"/>
    <x v="2"/>
  </r>
  <r>
    <x v="7"/>
    <m/>
    <m/>
    <m/>
    <m/>
    <m/>
    <x v="317"/>
    <x v="1"/>
    <x v="2"/>
  </r>
  <r>
    <x v="8"/>
    <m/>
    <n v="478000"/>
    <m/>
    <m/>
    <m/>
    <x v="317"/>
    <x v="1"/>
    <x v="2"/>
  </r>
  <r>
    <x v="9"/>
    <n v="90000"/>
    <m/>
    <n v="45000"/>
    <m/>
    <m/>
    <x v="317"/>
    <x v="1"/>
    <x v="2"/>
  </r>
  <r>
    <x v="10"/>
    <m/>
    <m/>
    <m/>
    <m/>
    <m/>
    <x v="317"/>
    <x v="1"/>
    <x v="2"/>
  </r>
  <r>
    <x v="11"/>
    <m/>
    <m/>
    <m/>
    <m/>
    <m/>
    <x v="317"/>
    <x v="1"/>
    <x v="2"/>
  </r>
  <r>
    <x v="12"/>
    <m/>
    <m/>
    <m/>
    <m/>
    <m/>
    <x v="317"/>
    <x v="1"/>
    <x v="2"/>
  </r>
  <r>
    <x v="13"/>
    <m/>
    <m/>
    <m/>
    <m/>
    <m/>
    <x v="317"/>
    <x v="1"/>
    <x v="2"/>
  </r>
  <r>
    <x v="0"/>
    <m/>
    <m/>
    <m/>
    <m/>
    <m/>
    <x v="318"/>
    <x v="1"/>
    <x v="2"/>
  </r>
  <r>
    <x v="1"/>
    <m/>
    <m/>
    <m/>
    <m/>
    <m/>
    <x v="318"/>
    <x v="1"/>
    <x v="2"/>
  </r>
  <r>
    <x v="2"/>
    <m/>
    <n v="108000"/>
    <m/>
    <m/>
    <m/>
    <x v="318"/>
    <x v="1"/>
    <x v="2"/>
  </r>
  <r>
    <x v="3"/>
    <n v="1674000"/>
    <m/>
    <n v="1188000"/>
    <m/>
    <m/>
    <x v="318"/>
    <x v="1"/>
    <x v="2"/>
  </r>
  <r>
    <x v="4"/>
    <m/>
    <n v="432000"/>
    <m/>
    <m/>
    <m/>
    <x v="318"/>
    <x v="1"/>
    <x v="2"/>
  </r>
  <r>
    <x v="5"/>
    <m/>
    <n v="324000"/>
    <m/>
    <n v="54000"/>
    <m/>
    <x v="318"/>
    <x v="1"/>
    <x v="2"/>
  </r>
  <r>
    <x v="14"/>
    <m/>
    <m/>
    <m/>
    <m/>
    <m/>
    <x v="318"/>
    <x v="1"/>
    <x v="2"/>
  </r>
  <r>
    <x v="6"/>
    <m/>
    <m/>
    <m/>
    <n v="45000"/>
    <m/>
    <x v="318"/>
    <x v="1"/>
    <x v="2"/>
  </r>
  <r>
    <x v="7"/>
    <m/>
    <m/>
    <m/>
    <m/>
    <m/>
    <x v="318"/>
    <x v="1"/>
    <x v="2"/>
  </r>
  <r>
    <x v="8"/>
    <m/>
    <n v="648000"/>
    <m/>
    <m/>
    <m/>
    <x v="318"/>
    <x v="1"/>
    <x v="2"/>
  </r>
  <r>
    <x v="9"/>
    <m/>
    <n v="53000"/>
    <m/>
    <m/>
    <m/>
    <x v="318"/>
    <x v="1"/>
    <x v="2"/>
  </r>
  <r>
    <x v="10"/>
    <m/>
    <m/>
    <m/>
    <m/>
    <m/>
    <x v="318"/>
    <x v="1"/>
    <x v="2"/>
  </r>
  <r>
    <x v="11"/>
    <m/>
    <m/>
    <m/>
    <m/>
    <m/>
    <x v="318"/>
    <x v="1"/>
    <x v="2"/>
  </r>
  <r>
    <x v="12"/>
    <m/>
    <m/>
    <m/>
    <m/>
    <m/>
    <x v="318"/>
    <x v="1"/>
    <x v="2"/>
  </r>
  <r>
    <x v="13"/>
    <m/>
    <m/>
    <m/>
    <m/>
    <m/>
    <x v="318"/>
    <x v="1"/>
    <x v="2"/>
  </r>
  <r>
    <x v="0"/>
    <m/>
    <m/>
    <m/>
    <m/>
    <m/>
    <x v="319"/>
    <x v="1"/>
    <x v="2"/>
  </r>
  <r>
    <x v="1"/>
    <m/>
    <m/>
    <m/>
    <m/>
    <m/>
    <x v="319"/>
    <x v="1"/>
    <x v="2"/>
  </r>
  <r>
    <x v="2"/>
    <m/>
    <m/>
    <m/>
    <m/>
    <m/>
    <x v="319"/>
    <x v="1"/>
    <x v="2"/>
  </r>
  <r>
    <x v="3"/>
    <n v="2039000"/>
    <m/>
    <n v="756000"/>
    <m/>
    <m/>
    <x v="319"/>
    <x v="1"/>
    <x v="2"/>
  </r>
  <r>
    <x v="4"/>
    <m/>
    <n v="432000"/>
    <m/>
    <n v="90000"/>
    <m/>
    <x v="319"/>
    <x v="1"/>
    <x v="2"/>
  </r>
  <r>
    <x v="5"/>
    <m/>
    <n v="318500"/>
    <m/>
    <m/>
    <m/>
    <x v="319"/>
    <x v="1"/>
    <x v="2"/>
  </r>
  <r>
    <x v="14"/>
    <m/>
    <m/>
    <m/>
    <m/>
    <m/>
    <x v="319"/>
    <x v="1"/>
    <x v="2"/>
  </r>
  <r>
    <x v="6"/>
    <m/>
    <m/>
    <m/>
    <n v="95000"/>
    <m/>
    <x v="319"/>
    <x v="1"/>
    <x v="2"/>
  </r>
  <r>
    <x v="7"/>
    <m/>
    <m/>
    <m/>
    <m/>
    <m/>
    <x v="319"/>
    <x v="1"/>
    <x v="2"/>
  </r>
  <r>
    <x v="8"/>
    <m/>
    <n v="540000"/>
    <m/>
    <m/>
    <m/>
    <x v="319"/>
    <x v="1"/>
    <x v="2"/>
  </r>
  <r>
    <x v="9"/>
    <m/>
    <n v="140000"/>
    <m/>
    <m/>
    <m/>
    <x v="319"/>
    <x v="1"/>
    <x v="2"/>
  </r>
  <r>
    <x v="10"/>
    <m/>
    <m/>
    <m/>
    <m/>
    <m/>
    <x v="319"/>
    <x v="1"/>
    <x v="2"/>
  </r>
  <r>
    <x v="11"/>
    <m/>
    <m/>
    <m/>
    <m/>
    <m/>
    <x v="319"/>
    <x v="1"/>
    <x v="2"/>
  </r>
  <r>
    <x v="12"/>
    <m/>
    <n v="270000"/>
    <m/>
    <n v="54000"/>
    <m/>
    <x v="319"/>
    <x v="1"/>
    <x v="2"/>
  </r>
  <r>
    <x v="13"/>
    <m/>
    <m/>
    <m/>
    <m/>
    <m/>
    <x v="319"/>
    <x v="1"/>
    <x v="2"/>
  </r>
  <r>
    <x v="0"/>
    <m/>
    <m/>
    <m/>
    <m/>
    <m/>
    <x v="320"/>
    <x v="1"/>
    <x v="2"/>
  </r>
  <r>
    <x v="1"/>
    <m/>
    <m/>
    <m/>
    <m/>
    <m/>
    <x v="320"/>
    <x v="1"/>
    <x v="2"/>
  </r>
  <r>
    <x v="2"/>
    <m/>
    <m/>
    <m/>
    <m/>
    <m/>
    <x v="320"/>
    <x v="1"/>
    <x v="2"/>
  </r>
  <r>
    <x v="3"/>
    <n v="1145000"/>
    <m/>
    <n v="54000"/>
    <m/>
    <m/>
    <x v="320"/>
    <x v="1"/>
    <x v="2"/>
  </r>
  <r>
    <x v="4"/>
    <m/>
    <n v="324000"/>
    <m/>
    <m/>
    <m/>
    <x v="320"/>
    <x v="1"/>
    <x v="2"/>
  </r>
  <r>
    <x v="5"/>
    <m/>
    <n v="517500"/>
    <m/>
    <m/>
    <m/>
    <x v="320"/>
    <x v="1"/>
    <x v="2"/>
  </r>
  <r>
    <x v="14"/>
    <m/>
    <m/>
    <m/>
    <m/>
    <m/>
    <x v="320"/>
    <x v="1"/>
    <x v="2"/>
  </r>
  <r>
    <x v="6"/>
    <m/>
    <m/>
    <m/>
    <m/>
    <m/>
    <x v="320"/>
    <x v="1"/>
    <x v="2"/>
  </r>
  <r>
    <x v="7"/>
    <m/>
    <m/>
    <m/>
    <m/>
    <m/>
    <x v="320"/>
    <x v="1"/>
    <x v="2"/>
  </r>
  <r>
    <x v="8"/>
    <n v="918000"/>
    <n v="486000"/>
    <n v="756000"/>
    <m/>
    <m/>
    <x v="320"/>
    <x v="1"/>
    <x v="2"/>
  </r>
  <r>
    <x v="9"/>
    <m/>
    <m/>
    <n v="45000"/>
    <m/>
    <m/>
    <x v="320"/>
    <x v="1"/>
    <x v="2"/>
  </r>
  <r>
    <x v="10"/>
    <m/>
    <m/>
    <m/>
    <m/>
    <m/>
    <x v="320"/>
    <x v="1"/>
    <x v="2"/>
  </r>
  <r>
    <x v="11"/>
    <m/>
    <m/>
    <m/>
    <m/>
    <m/>
    <x v="320"/>
    <x v="1"/>
    <x v="2"/>
  </r>
  <r>
    <x v="12"/>
    <m/>
    <n v="162000"/>
    <m/>
    <n v="324000"/>
    <m/>
    <x v="320"/>
    <x v="1"/>
    <x v="2"/>
  </r>
  <r>
    <x v="13"/>
    <m/>
    <m/>
    <m/>
    <m/>
    <m/>
    <x v="320"/>
    <x v="1"/>
    <x v="2"/>
  </r>
  <r>
    <x v="0"/>
    <m/>
    <m/>
    <m/>
    <m/>
    <m/>
    <x v="321"/>
    <x v="1"/>
    <x v="3"/>
  </r>
  <r>
    <x v="1"/>
    <m/>
    <m/>
    <m/>
    <m/>
    <m/>
    <x v="321"/>
    <x v="1"/>
    <x v="3"/>
  </r>
  <r>
    <x v="2"/>
    <m/>
    <m/>
    <m/>
    <m/>
    <m/>
    <x v="321"/>
    <x v="1"/>
    <x v="3"/>
  </r>
  <r>
    <x v="3"/>
    <m/>
    <m/>
    <m/>
    <m/>
    <m/>
    <x v="321"/>
    <x v="1"/>
    <x v="3"/>
  </r>
  <r>
    <x v="4"/>
    <m/>
    <m/>
    <m/>
    <m/>
    <m/>
    <x v="321"/>
    <x v="1"/>
    <x v="3"/>
  </r>
  <r>
    <x v="5"/>
    <m/>
    <n v="203000"/>
    <m/>
    <m/>
    <m/>
    <x v="321"/>
    <x v="1"/>
    <x v="3"/>
  </r>
  <r>
    <x v="14"/>
    <m/>
    <m/>
    <m/>
    <m/>
    <m/>
    <x v="321"/>
    <x v="1"/>
    <x v="3"/>
  </r>
  <r>
    <x v="6"/>
    <m/>
    <m/>
    <m/>
    <m/>
    <m/>
    <x v="321"/>
    <x v="1"/>
    <x v="3"/>
  </r>
  <r>
    <x v="7"/>
    <m/>
    <m/>
    <m/>
    <m/>
    <m/>
    <x v="321"/>
    <x v="1"/>
    <x v="3"/>
  </r>
  <r>
    <x v="8"/>
    <n v="215000"/>
    <m/>
    <n v="54000"/>
    <m/>
    <m/>
    <x v="321"/>
    <x v="1"/>
    <x v="3"/>
  </r>
  <r>
    <x v="9"/>
    <m/>
    <m/>
    <m/>
    <m/>
    <m/>
    <x v="321"/>
    <x v="1"/>
    <x v="3"/>
  </r>
  <r>
    <x v="10"/>
    <m/>
    <m/>
    <m/>
    <m/>
    <m/>
    <x v="321"/>
    <x v="1"/>
    <x v="3"/>
  </r>
  <r>
    <x v="11"/>
    <m/>
    <m/>
    <m/>
    <m/>
    <m/>
    <x v="321"/>
    <x v="1"/>
    <x v="3"/>
  </r>
  <r>
    <x v="12"/>
    <m/>
    <m/>
    <m/>
    <m/>
    <m/>
    <x v="321"/>
    <x v="1"/>
    <x v="3"/>
  </r>
  <r>
    <x v="13"/>
    <m/>
    <m/>
    <m/>
    <m/>
    <m/>
    <x v="321"/>
    <x v="1"/>
    <x v="3"/>
  </r>
  <r>
    <x v="0"/>
    <m/>
    <m/>
    <m/>
    <m/>
    <m/>
    <x v="322"/>
    <x v="1"/>
    <x v="3"/>
  </r>
  <r>
    <x v="1"/>
    <m/>
    <m/>
    <m/>
    <m/>
    <m/>
    <x v="322"/>
    <x v="1"/>
    <x v="3"/>
  </r>
  <r>
    <x v="2"/>
    <m/>
    <m/>
    <m/>
    <m/>
    <m/>
    <x v="322"/>
    <x v="1"/>
    <x v="3"/>
  </r>
  <r>
    <x v="3"/>
    <n v="140000"/>
    <m/>
    <m/>
    <m/>
    <m/>
    <x v="322"/>
    <x v="1"/>
    <x v="3"/>
  </r>
  <r>
    <x v="4"/>
    <m/>
    <n v="162000"/>
    <m/>
    <m/>
    <m/>
    <x v="322"/>
    <x v="1"/>
    <x v="3"/>
  </r>
  <r>
    <x v="5"/>
    <m/>
    <n v="696500"/>
    <m/>
    <m/>
    <m/>
    <x v="322"/>
    <x v="1"/>
    <x v="3"/>
  </r>
  <r>
    <x v="14"/>
    <m/>
    <m/>
    <m/>
    <m/>
    <m/>
    <x v="322"/>
    <x v="1"/>
    <x v="3"/>
  </r>
  <r>
    <x v="6"/>
    <m/>
    <m/>
    <m/>
    <m/>
    <m/>
    <x v="322"/>
    <x v="1"/>
    <x v="3"/>
  </r>
  <r>
    <x v="7"/>
    <m/>
    <m/>
    <m/>
    <m/>
    <m/>
    <x v="322"/>
    <x v="1"/>
    <x v="3"/>
  </r>
  <r>
    <x v="8"/>
    <n v="972000"/>
    <n v="200000"/>
    <n v="270000"/>
    <m/>
    <m/>
    <x v="322"/>
    <x v="1"/>
    <x v="3"/>
  </r>
  <r>
    <x v="9"/>
    <m/>
    <m/>
    <m/>
    <m/>
    <m/>
    <x v="322"/>
    <x v="1"/>
    <x v="3"/>
  </r>
  <r>
    <x v="10"/>
    <m/>
    <m/>
    <m/>
    <m/>
    <m/>
    <x v="322"/>
    <x v="1"/>
    <x v="3"/>
  </r>
  <r>
    <x v="11"/>
    <m/>
    <m/>
    <m/>
    <m/>
    <m/>
    <x v="322"/>
    <x v="1"/>
    <x v="3"/>
  </r>
  <r>
    <x v="12"/>
    <m/>
    <m/>
    <m/>
    <n v="315000"/>
    <m/>
    <x v="322"/>
    <x v="1"/>
    <x v="3"/>
  </r>
  <r>
    <x v="13"/>
    <m/>
    <m/>
    <m/>
    <m/>
    <m/>
    <x v="322"/>
    <x v="1"/>
    <x v="3"/>
  </r>
  <r>
    <x v="0"/>
    <m/>
    <m/>
    <m/>
    <m/>
    <m/>
    <x v="323"/>
    <x v="1"/>
    <x v="3"/>
  </r>
  <r>
    <x v="1"/>
    <m/>
    <m/>
    <m/>
    <m/>
    <m/>
    <x v="323"/>
    <x v="1"/>
    <x v="3"/>
  </r>
  <r>
    <x v="2"/>
    <m/>
    <m/>
    <m/>
    <m/>
    <m/>
    <x v="323"/>
    <x v="1"/>
    <x v="3"/>
  </r>
  <r>
    <x v="3"/>
    <m/>
    <m/>
    <m/>
    <m/>
    <m/>
    <x v="323"/>
    <x v="1"/>
    <x v="3"/>
  </r>
  <r>
    <x v="4"/>
    <m/>
    <n v="54000"/>
    <m/>
    <m/>
    <m/>
    <x v="323"/>
    <x v="1"/>
    <x v="3"/>
  </r>
  <r>
    <x v="5"/>
    <m/>
    <m/>
    <m/>
    <m/>
    <m/>
    <x v="323"/>
    <x v="1"/>
    <x v="3"/>
  </r>
  <r>
    <x v="14"/>
    <m/>
    <m/>
    <m/>
    <m/>
    <m/>
    <x v="323"/>
    <x v="1"/>
    <x v="3"/>
  </r>
  <r>
    <x v="6"/>
    <n v="360000"/>
    <n v="483500"/>
    <m/>
    <n v="270000"/>
    <m/>
    <x v="323"/>
    <x v="1"/>
    <x v="3"/>
  </r>
  <r>
    <x v="7"/>
    <m/>
    <m/>
    <m/>
    <m/>
    <m/>
    <x v="323"/>
    <x v="1"/>
    <x v="3"/>
  </r>
  <r>
    <x v="8"/>
    <m/>
    <m/>
    <m/>
    <m/>
    <m/>
    <x v="323"/>
    <x v="1"/>
    <x v="3"/>
  </r>
  <r>
    <x v="9"/>
    <m/>
    <m/>
    <m/>
    <m/>
    <m/>
    <x v="323"/>
    <x v="1"/>
    <x v="3"/>
  </r>
  <r>
    <x v="10"/>
    <m/>
    <m/>
    <m/>
    <m/>
    <m/>
    <x v="323"/>
    <x v="1"/>
    <x v="3"/>
  </r>
  <r>
    <x v="11"/>
    <m/>
    <m/>
    <m/>
    <m/>
    <m/>
    <x v="323"/>
    <x v="1"/>
    <x v="3"/>
  </r>
  <r>
    <x v="12"/>
    <m/>
    <m/>
    <m/>
    <n v="540000"/>
    <m/>
    <x v="323"/>
    <x v="1"/>
    <x v="3"/>
  </r>
  <r>
    <x v="13"/>
    <m/>
    <m/>
    <m/>
    <m/>
    <m/>
    <x v="323"/>
    <x v="1"/>
    <x v="3"/>
  </r>
  <r>
    <x v="0"/>
    <m/>
    <m/>
    <m/>
    <m/>
    <m/>
    <x v="324"/>
    <x v="1"/>
    <x v="3"/>
  </r>
  <r>
    <x v="1"/>
    <m/>
    <m/>
    <m/>
    <m/>
    <m/>
    <x v="324"/>
    <x v="1"/>
    <x v="3"/>
  </r>
  <r>
    <x v="2"/>
    <n v="54000"/>
    <m/>
    <m/>
    <m/>
    <m/>
    <x v="324"/>
    <x v="1"/>
    <x v="3"/>
  </r>
  <r>
    <x v="3"/>
    <m/>
    <n v="540000"/>
    <m/>
    <m/>
    <m/>
    <x v="324"/>
    <x v="1"/>
    <x v="3"/>
  </r>
  <r>
    <x v="4"/>
    <m/>
    <n v="54000"/>
    <m/>
    <m/>
    <m/>
    <x v="324"/>
    <x v="1"/>
    <x v="3"/>
  </r>
  <r>
    <x v="5"/>
    <m/>
    <m/>
    <m/>
    <m/>
    <m/>
    <x v="324"/>
    <x v="1"/>
    <x v="3"/>
  </r>
  <r>
    <x v="14"/>
    <m/>
    <m/>
    <m/>
    <m/>
    <m/>
    <x v="324"/>
    <x v="1"/>
    <x v="3"/>
  </r>
  <r>
    <x v="6"/>
    <n v="194000"/>
    <n v="432000"/>
    <m/>
    <n v="464000"/>
    <n v="297000"/>
    <x v="324"/>
    <x v="1"/>
    <x v="3"/>
  </r>
  <r>
    <x v="7"/>
    <m/>
    <m/>
    <m/>
    <m/>
    <m/>
    <x v="324"/>
    <x v="1"/>
    <x v="3"/>
  </r>
  <r>
    <x v="8"/>
    <m/>
    <m/>
    <m/>
    <m/>
    <m/>
    <x v="324"/>
    <x v="1"/>
    <x v="3"/>
  </r>
  <r>
    <x v="9"/>
    <n v="1822000"/>
    <n v="743000"/>
    <m/>
    <n v="594000"/>
    <n v="270000"/>
    <x v="324"/>
    <x v="1"/>
    <x v="3"/>
  </r>
  <r>
    <x v="10"/>
    <m/>
    <m/>
    <m/>
    <m/>
    <m/>
    <x v="324"/>
    <x v="1"/>
    <x v="3"/>
  </r>
  <r>
    <x v="11"/>
    <m/>
    <m/>
    <m/>
    <m/>
    <m/>
    <x v="324"/>
    <x v="1"/>
    <x v="3"/>
  </r>
  <r>
    <x v="12"/>
    <m/>
    <m/>
    <m/>
    <n v="54000"/>
    <m/>
    <x v="324"/>
    <x v="1"/>
    <x v="3"/>
  </r>
  <r>
    <x v="13"/>
    <n v="270000"/>
    <m/>
    <m/>
    <m/>
    <m/>
    <x v="324"/>
    <x v="1"/>
    <x v="3"/>
  </r>
  <r>
    <x v="0"/>
    <m/>
    <m/>
    <m/>
    <m/>
    <m/>
    <x v="325"/>
    <x v="1"/>
    <x v="3"/>
  </r>
  <r>
    <x v="1"/>
    <m/>
    <m/>
    <m/>
    <m/>
    <m/>
    <x v="325"/>
    <x v="1"/>
    <x v="3"/>
  </r>
  <r>
    <x v="2"/>
    <m/>
    <m/>
    <m/>
    <m/>
    <m/>
    <x v="325"/>
    <x v="1"/>
    <x v="3"/>
  </r>
  <r>
    <x v="3"/>
    <m/>
    <n v="1183500"/>
    <m/>
    <n v="540000"/>
    <m/>
    <x v="325"/>
    <x v="1"/>
    <x v="3"/>
  </r>
  <r>
    <x v="4"/>
    <m/>
    <n v="252000"/>
    <m/>
    <n v="162000"/>
    <m/>
    <x v="325"/>
    <x v="1"/>
    <x v="3"/>
  </r>
  <r>
    <x v="5"/>
    <m/>
    <m/>
    <m/>
    <m/>
    <m/>
    <x v="325"/>
    <x v="1"/>
    <x v="3"/>
  </r>
  <r>
    <x v="14"/>
    <m/>
    <m/>
    <m/>
    <m/>
    <m/>
    <x v="325"/>
    <x v="1"/>
    <x v="3"/>
  </r>
  <r>
    <x v="6"/>
    <n v="45000"/>
    <n v="216000"/>
    <m/>
    <n v="108000"/>
    <m/>
    <x v="325"/>
    <x v="1"/>
    <x v="3"/>
  </r>
  <r>
    <x v="7"/>
    <m/>
    <m/>
    <m/>
    <m/>
    <m/>
    <x v="325"/>
    <x v="1"/>
    <x v="3"/>
  </r>
  <r>
    <x v="8"/>
    <m/>
    <m/>
    <m/>
    <m/>
    <m/>
    <x v="325"/>
    <x v="1"/>
    <x v="3"/>
  </r>
  <r>
    <x v="9"/>
    <n v="108000"/>
    <n v="162000"/>
    <m/>
    <n v="108000"/>
    <n v="424000"/>
    <x v="325"/>
    <x v="1"/>
    <x v="3"/>
  </r>
  <r>
    <x v="10"/>
    <m/>
    <m/>
    <m/>
    <m/>
    <m/>
    <x v="325"/>
    <x v="1"/>
    <x v="3"/>
  </r>
  <r>
    <x v="11"/>
    <m/>
    <m/>
    <m/>
    <m/>
    <m/>
    <x v="325"/>
    <x v="1"/>
    <x v="3"/>
  </r>
  <r>
    <x v="12"/>
    <m/>
    <m/>
    <m/>
    <n v="54000"/>
    <m/>
    <x v="325"/>
    <x v="1"/>
    <x v="3"/>
  </r>
  <r>
    <x v="13"/>
    <n v="729000"/>
    <m/>
    <m/>
    <m/>
    <n v="464000"/>
    <x v="325"/>
    <x v="1"/>
    <x v="3"/>
  </r>
  <r>
    <x v="0"/>
    <m/>
    <m/>
    <m/>
    <m/>
    <m/>
    <x v="326"/>
    <x v="1"/>
    <x v="3"/>
  </r>
  <r>
    <x v="1"/>
    <m/>
    <m/>
    <m/>
    <m/>
    <m/>
    <x v="326"/>
    <x v="1"/>
    <x v="3"/>
  </r>
  <r>
    <x v="2"/>
    <m/>
    <m/>
    <m/>
    <m/>
    <m/>
    <x v="326"/>
    <x v="1"/>
    <x v="3"/>
  </r>
  <r>
    <x v="3"/>
    <m/>
    <n v="1006000"/>
    <m/>
    <n v="532000"/>
    <m/>
    <x v="326"/>
    <x v="1"/>
    <x v="3"/>
  </r>
  <r>
    <x v="4"/>
    <m/>
    <m/>
    <m/>
    <m/>
    <m/>
    <x v="326"/>
    <x v="1"/>
    <x v="3"/>
  </r>
  <r>
    <x v="5"/>
    <m/>
    <m/>
    <m/>
    <m/>
    <m/>
    <x v="326"/>
    <x v="1"/>
    <x v="3"/>
  </r>
  <r>
    <x v="14"/>
    <m/>
    <m/>
    <m/>
    <m/>
    <m/>
    <x v="326"/>
    <x v="1"/>
    <x v="3"/>
  </r>
  <r>
    <x v="6"/>
    <m/>
    <m/>
    <m/>
    <m/>
    <m/>
    <x v="326"/>
    <x v="1"/>
    <x v="3"/>
  </r>
  <r>
    <x v="7"/>
    <m/>
    <m/>
    <m/>
    <m/>
    <m/>
    <x v="326"/>
    <x v="1"/>
    <x v="3"/>
  </r>
  <r>
    <x v="8"/>
    <n v="54000"/>
    <n v="810000"/>
    <m/>
    <m/>
    <m/>
    <x v="326"/>
    <x v="1"/>
    <x v="3"/>
  </r>
  <r>
    <x v="9"/>
    <n v="54000"/>
    <m/>
    <m/>
    <m/>
    <n v="270000"/>
    <x v="326"/>
    <x v="1"/>
    <x v="3"/>
  </r>
  <r>
    <x v="10"/>
    <m/>
    <m/>
    <m/>
    <m/>
    <m/>
    <x v="326"/>
    <x v="1"/>
    <x v="3"/>
  </r>
  <r>
    <x v="11"/>
    <m/>
    <m/>
    <m/>
    <m/>
    <m/>
    <x v="326"/>
    <x v="1"/>
    <x v="3"/>
  </r>
  <r>
    <x v="12"/>
    <m/>
    <m/>
    <m/>
    <m/>
    <m/>
    <x v="326"/>
    <x v="1"/>
    <x v="3"/>
  </r>
  <r>
    <x v="13"/>
    <m/>
    <m/>
    <m/>
    <m/>
    <n v="270000"/>
    <x v="326"/>
    <x v="1"/>
    <x v="3"/>
  </r>
  <r>
    <x v="0"/>
    <m/>
    <m/>
    <m/>
    <m/>
    <m/>
    <x v="327"/>
    <x v="1"/>
    <x v="3"/>
  </r>
  <r>
    <x v="1"/>
    <m/>
    <m/>
    <m/>
    <m/>
    <m/>
    <x v="327"/>
    <x v="1"/>
    <x v="3"/>
  </r>
  <r>
    <x v="2"/>
    <m/>
    <m/>
    <m/>
    <m/>
    <m/>
    <x v="327"/>
    <x v="1"/>
    <x v="3"/>
  </r>
  <r>
    <x v="3"/>
    <m/>
    <n v="837000"/>
    <m/>
    <n v="270000"/>
    <m/>
    <x v="327"/>
    <x v="1"/>
    <x v="3"/>
  </r>
  <r>
    <x v="4"/>
    <m/>
    <n v="266000"/>
    <m/>
    <n v="158000"/>
    <m/>
    <x v="327"/>
    <x v="1"/>
    <x v="3"/>
  </r>
  <r>
    <x v="5"/>
    <m/>
    <m/>
    <m/>
    <m/>
    <m/>
    <x v="327"/>
    <x v="1"/>
    <x v="3"/>
  </r>
  <r>
    <x v="14"/>
    <m/>
    <m/>
    <m/>
    <m/>
    <m/>
    <x v="327"/>
    <x v="1"/>
    <x v="3"/>
  </r>
  <r>
    <x v="6"/>
    <m/>
    <n v="261000"/>
    <m/>
    <n v="108000"/>
    <m/>
    <x v="327"/>
    <x v="1"/>
    <x v="3"/>
  </r>
  <r>
    <x v="7"/>
    <m/>
    <m/>
    <m/>
    <m/>
    <m/>
    <x v="327"/>
    <x v="1"/>
    <x v="3"/>
  </r>
  <r>
    <x v="8"/>
    <m/>
    <m/>
    <m/>
    <m/>
    <m/>
    <x v="327"/>
    <x v="1"/>
    <x v="3"/>
  </r>
  <r>
    <x v="9"/>
    <m/>
    <n v="162000"/>
    <m/>
    <n v="108000"/>
    <n v="797000"/>
    <x v="327"/>
    <x v="1"/>
    <x v="3"/>
  </r>
  <r>
    <x v="10"/>
    <m/>
    <m/>
    <m/>
    <m/>
    <m/>
    <x v="327"/>
    <x v="1"/>
    <x v="3"/>
  </r>
  <r>
    <x v="11"/>
    <m/>
    <m/>
    <m/>
    <m/>
    <m/>
    <x v="327"/>
    <x v="1"/>
    <x v="3"/>
  </r>
  <r>
    <x v="12"/>
    <m/>
    <m/>
    <m/>
    <n v="108000"/>
    <m/>
    <x v="327"/>
    <x v="1"/>
    <x v="3"/>
  </r>
  <r>
    <x v="13"/>
    <m/>
    <m/>
    <m/>
    <m/>
    <n v="108000"/>
    <x v="327"/>
    <x v="1"/>
    <x v="3"/>
  </r>
  <r>
    <x v="0"/>
    <m/>
    <m/>
    <m/>
    <m/>
    <m/>
    <x v="328"/>
    <x v="1"/>
    <x v="3"/>
  </r>
  <r>
    <x v="1"/>
    <m/>
    <m/>
    <m/>
    <m/>
    <m/>
    <x v="328"/>
    <x v="1"/>
    <x v="3"/>
  </r>
  <r>
    <x v="2"/>
    <n v="1597000"/>
    <m/>
    <m/>
    <m/>
    <n v="486000"/>
    <x v="328"/>
    <x v="1"/>
    <x v="3"/>
  </r>
  <r>
    <x v="3"/>
    <m/>
    <n v="157500"/>
    <m/>
    <n v="419000"/>
    <m/>
    <x v="328"/>
    <x v="1"/>
    <x v="3"/>
  </r>
  <r>
    <x v="4"/>
    <m/>
    <n v="157500"/>
    <m/>
    <n v="135000"/>
    <m/>
    <x v="328"/>
    <x v="1"/>
    <x v="3"/>
  </r>
  <r>
    <x v="5"/>
    <m/>
    <m/>
    <m/>
    <m/>
    <m/>
    <x v="328"/>
    <x v="1"/>
    <x v="3"/>
  </r>
  <r>
    <x v="14"/>
    <m/>
    <m/>
    <m/>
    <m/>
    <m/>
    <x v="328"/>
    <x v="1"/>
    <x v="3"/>
  </r>
  <r>
    <x v="6"/>
    <m/>
    <n v="144000"/>
    <m/>
    <n v="108000"/>
    <m/>
    <x v="328"/>
    <x v="1"/>
    <x v="3"/>
  </r>
  <r>
    <x v="7"/>
    <m/>
    <m/>
    <m/>
    <m/>
    <m/>
    <x v="328"/>
    <x v="1"/>
    <x v="3"/>
  </r>
  <r>
    <x v="8"/>
    <m/>
    <m/>
    <m/>
    <m/>
    <m/>
    <x v="328"/>
    <x v="1"/>
    <x v="3"/>
  </r>
  <r>
    <x v="9"/>
    <m/>
    <n v="157500"/>
    <m/>
    <n v="108000"/>
    <m/>
    <x v="328"/>
    <x v="1"/>
    <x v="3"/>
  </r>
  <r>
    <x v="10"/>
    <m/>
    <m/>
    <m/>
    <m/>
    <m/>
    <x v="328"/>
    <x v="1"/>
    <x v="3"/>
  </r>
  <r>
    <x v="11"/>
    <m/>
    <m/>
    <m/>
    <m/>
    <m/>
    <x v="328"/>
    <x v="1"/>
    <x v="3"/>
  </r>
  <r>
    <x v="12"/>
    <m/>
    <m/>
    <m/>
    <m/>
    <m/>
    <x v="328"/>
    <x v="1"/>
    <x v="3"/>
  </r>
  <r>
    <x v="13"/>
    <m/>
    <m/>
    <m/>
    <n v="162000"/>
    <m/>
    <x v="328"/>
    <x v="1"/>
    <x v="3"/>
  </r>
  <r>
    <x v="0"/>
    <m/>
    <m/>
    <m/>
    <m/>
    <m/>
    <x v="329"/>
    <x v="1"/>
    <x v="3"/>
  </r>
  <r>
    <x v="1"/>
    <m/>
    <m/>
    <m/>
    <m/>
    <m/>
    <x v="329"/>
    <x v="1"/>
    <x v="3"/>
  </r>
  <r>
    <x v="2"/>
    <n v="1017000"/>
    <m/>
    <m/>
    <m/>
    <n v="324000"/>
    <x v="329"/>
    <x v="1"/>
    <x v="3"/>
  </r>
  <r>
    <x v="3"/>
    <m/>
    <n v="636000"/>
    <m/>
    <n v="149000"/>
    <m/>
    <x v="329"/>
    <x v="1"/>
    <x v="3"/>
  </r>
  <r>
    <x v="4"/>
    <n v="810000"/>
    <n v="324000"/>
    <m/>
    <n v="45000"/>
    <m/>
    <x v="329"/>
    <x v="1"/>
    <x v="3"/>
  </r>
  <r>
    <x v="5"/>
    <m/>
    <m/>
    <m/>
    <m/>
    <m/>
    <x v="329"/>
    <x v="1"/>
    <x v="3"/>
  </r>
  <r>
    <x v="14"/>
    <m/>
    <m/>
    <m/>
    <m/>
    <m/>
    <x v="329"/>
    <x v="1"/>
    <x v="3"/>
  </r>
  <r>
    <x v="6"/>
    <m/>
    <n v="203000"/>
    <m/>
    <n v="324000"/>
    <m/>
    <x v="329"/>
    <x v="1"/>
    <x v="3"/>
  </r>
  <r>
    <x v="7"/>
    <m/>
    <m/>
    <m/>
    <m/>
    <m/>
    <x v="329"/>
    <x v="1"/>
    <x v="3"/>
  </r>
  <r>
    <x v="8"/>
    <m/>
    <m/>
    <m/>
    <m/>
    <m/>
    <x v="329"/>
    <x v="1"/>
    <x v="3"/>
  </r>
  <r>
    <x v="9"/>
    <m/>
    <n v="108000"/>
    <m/>
    <n v="486000"/>
    <m/>
    <x v="329"/>
    <x v="1"/>
    <x v="3"/>
  </r>
  <r>
    <x v="10"/>
    <m/>
    <m/>
    <m/>
    <m/>
    <m/>
    <x v="329"/>
    <x v="1"/>
    <x v="3"/>
  </r>
  <r>
    <x v="11"/>
    <m/>
    <m/>
    <m/>
    <m/>
    <m/>
    <x v="329"/>
    <x v="1"/>
    <x v="3"/>
  </r>
  <r>
    <x v="12"/>
    <m/>
    <m/>
    <m/>
    <m/>
    <m/>
    <x v="329"/>
    <x v="1"/>
    <x v="3"/>
  </r>
  <r>
    <x v="13"/>
    <m/>
    <m/>
    <m/>
    <m/>
    <m/>
    <x v="329"/>
    <x v="1"/>
    <x v="3"/>
  </r>
  <r>
    <x v="0"/>
    <m/>
    <m/>
    <m/>
    <m/>
    <m/>
    <x v="330"/>
    <x v="1"/>
    <x v="3"/>
  </r>
  <r>
    <x v="1"/>
    <m/>
    <m/>
    <m/>
    <m/>
    <m/>
    <x v="330"/>
    <x v="1"/>
    <x v="3"/>
  </r>
  <r>
    <x v="2"/>
    <n v="1450000"/>
    <m/>
    <m/>
    <m/>
    <n v="590000"/>
    <x v="330"/>
    <x v="1"/>
    <x v="3"/>
  </r>
  <r>
    <x v="3"/>
    <m/>
    <n v="581000"/>
    <m/>
    <m/>
    <m/>
    <x v="330"/>
    <x v="1"/>
    <x v="3"/>
  </r>
  <r>
    <x v="4"/>
    <n v="905000"/>
    <n v="845500"/>
    <m/>
    <m/>
    <m/>
    <x v="330"/>
    <x v="1"/>
    <x v="3"/>
  </r>
  <r>
    <x v="5"/>
    <m/>
    <m/>
    <m/>
    <m/>
    <m/>
    <x v="330"/>
    <x v="1"/>
    <x v="3"/>
  </r>
  <r>
    <x v="14"/>
    <m/>
    <m/>
    <m/>
    <m/>
    <m/>
    <x v="330"/>
    <x v="1"/>
    <x v="3"/>
  </r>
  <r>
    <x v="6"/>
    <m/>
    <n v="324000"/>
    <m/>
    <m/>
    <m/>
    <x v="330"/>
    <x v="1"/>
    <x v="3"/>
  </r>
  <r>
    <x v="7"/>
    <m/>
    <m/>
    <m/>
    <m/>
    <m/>
    <x v="330"/>
    <x v="1"/>
    <x v="3"/>
  </r>
  <r>
    <x v="8"/>
    <m/>
    <m/>
    <m/>
    <m/>
    <m/>
    <x v="330"/>
    <x v="1"/>
    <x v="3"/>
  </r>
  <r>
    <x v="9"/>
    <m/>
    <n v="748000"/>
    <m/>
    <m/>
    <n v="90000"/>
    <x v="330"/>
    <x v="1"/>
    <x v="3"/>
  </r>
  <r>
    <x v="10"/>
    <m/>
    <m/>
    <m/>
    <m/>
    <m/>
    <x v="330"/>
    <x v="1"/>
    <x v="3"/>
  </r>
  <r>
    <x v="11"/>
    <m/>
    <m/>
    <m/>
    <m/>
    <m/>
    <x v="330"/>
    <x v="1"/>
    <x v="3"/>
  </r>
  <r>
    <x v="12"/>
    <m/>
    <m/>
    <m/>
    <m/>
    <m/>
    <x v="330"/>
    <x v="1"/>
    <x v="3"/>
  </r>
  <r>
    <x v="13"/>
    <m/>
    <m/>
    <m/>
    <m/>
    <m/>
    <x v="330"/>
    <x v="1"/>
    <x v="3"/>
  </r>
  <r>
    <x v="0"/>
    <m/>
    <m/>
    <m/>
    <m/>
    <m/>
    <x v="331"/>
    <x v="1"/>
    <x v="3"/>
  </r>
  <r>
    <x v="1"/>
    <m/>
    <m/>
    <m/>
    <m/>
    <m/>
    <x v="331"/>
    <x v="1"/>
    <x v="3"/>
  </r>
  <r>
    <x v="2"/>
    <n v="1116500"/>
    <m/>
    <m/>
    <m/>
    <n v="104000"/>
    <x v="331"/>
    <x v="1"/>
    <x v="3"/>
  </r>
  <r>
    <x v="3"/>
    <m/>
    <n v="54000"/>
    <m/>
    <m/>
    <m/>
    <x v="331"/>
    <x v="1"/>
    <x v="3"/>
  </r>
  <r>
    <x v="4"/>
    <n v="751500"/>
    <n v="2022500"/>
    <m/>
    <m/>
    <n v="486000"/>
    <x v="331"/>
    <x v="1"/>
    <x v="3"/>
  </r>
  <r>
    <x v="5"/>
    <m/>
    <m/>
    <m/>
    <m/>
    <m/>
    <x v="331"/>
    <x v="1"/>
    <x v="3"/>
  </r>
  <r>
    <x v="14"/>
    <m/>
    <m/>
    <m/>
    <m/>
    <m/>
    <x v="331"/>
    <x v="1"/>
    <x v="3"/>
  </r>
  <r>
    <x v="6"/>
    <m/>
    <n v="378000"/>
    <m/>
    <m/>
    <m/>
    <x v="331"/>
    <x v="1"/>
    <x v="3"/>
  </r>
  <r>
    <x v="7"/>
    <m/>
    <m/>
    <m/>
    <m/>
    <m/>
    <x v="331"/>
    <x v="1"/>
    <x v="3"/>
  </r>
  <r>
    <x v="8"/>
    <m/>
    <m/>
    <m/>
    <m/>
    <m/>
    <x v="331"/>
    <x v="1"/>
    <x v="3"/>
  </r>
  <r>
    <x v="9"/>
    <m/>
    <m/>
    <m/>
    <m/>
    <m/>
    <x v="331"/>
    <x v="1"/>
    <x v="3"/>
  </r>
  <r>
    <x v="10"/>
    <m/>
    <m/>
    <m/>
    <m/>
    <m/>
    <x v="331"/>
    <x v="1"/>
    <x v="3"/>
  </r>
  <r>
    <x v="11"/>
    <m/>
    <m/>
    <m/>
    <m/>
    <m/>
    <x v="331"/>
    <x v="1"/>
    <x v="3"/>
  </r>
  <r>
    <x v="12"/>
    <m/>
    <m/>
    <m/>
    <m/>
    <m/>
    <x v="331"/>
    <x v="1"/>
    <x v="3"/>
  </r>
  <r>
    <x v="13"/>
    <m/>
    <n v="153500"/>
    <m/>
    <m/>
    <m/>
    <x v="331"/>
    <x v="1"/>
    <x v="3"/>
  </r>
  <r>
    <x v="0"/>
    <m/>
    <m/>
    <m/>
    <m/>
    <m/>
    <x v="332"/>
    <x v="1"/>
    <x v="3"/>
  </r>
  <r>
    <x v="1"/>
    <m/>
    <m/>
    <m/>
    <m/>
    <m/>
    <x v="332"/>
    <x v="1"/>
    <x v="3"/>
  </r>
  <r>
    <x v="2"/>
    <n v="576000"/>
    <m/>
    <m/>
    <m/>
    <m/>
    <x v="332"/>
    <x v="1"/>
    <x v="3"/>
  </r>
  <r>
    <x v="3"/>
    <m/>
    <m/>
    <m/>
    <m/>
    <m/>
    <x v="332"/>
    <x v="1"/>
    <x v="3"/>
  </r>
  <r>
    <x v="4"/>
    <m/>
    <n v="108000"/>
    <m/>
    <m/>
    <n v="414000"/>
    <x v="332"/>
    <x v="1"/>
    <x v="3"/>
  </r>
  <r>
    <x v="5"/>
    <m/>
    <m/>
    <m/>
    <m/>
    <m/>
    <x v="332"/>
    <x v="1"/>
    <x v="3"/>
  </r>
  <r>
    <x v="14"/>
    <m/>
    <m/>
    <m/>
    <m/>
    <m/>
    <x v="332"/>
    <x v="1"/>
    <x v="3"/>
  </r>
  <r>
    <x v="6"/>
    <m/>
    <m/>
    <m/>
    <m/>
    <m/>
    <x v="332"/>
    <x v="1"/>
    <x v="3"/>
  </r>
  <r>
    <x v="7"/>
    <m/>
    <m/>
    <m/>
    <m/>
    <m/>
    <x v="332"/>
    <x v="1"/>
    <x v="3"/>
  </r>
  <r>
    <x v="8"/>
    <m/>
    <m/>
    <m/>
    <m/>
    <m/>
    <x v="332"/>
    <x v="1"/>
    <x v="3"/>
  </r>
  <r>
    <x v="9"/>
    <n v="1325000"/>
    <m/>
    <m/>
    <m/>
    <n v="100000"/>
    <x v="332"/>
    <x v="1"/>
    <x v="3"/>
  </r>
  <r>
    <x v="10"/>
    <m/>
    <m/>
    <m/>
    <m/>
    <m/>
    <x v="332"/>
    <x v="1"/>
    <x v="3"/>
  </r>
  <r>
    <x v="11"/>
    <m/>
    <m/>
    <m/>
    <m/>
    <m/>
    <x v="332"/>
    <x v="1"/>
    <x v="3"/>
  </r>
  <r>
    <x v="12"/>
    <m/>
    <m/>
    <m/>
    <m/>
    <m/>
    <x v="332"/>
    <x v="1"/>
    <x v="3"/>
  </r>
  <r>
    <x v="13"/>
    <m/>
    <m/>
    <m/>
    <m/>
    <m/>
    <x v="332"/>
    <x v="1"/>
    <x v="3"/>
  </r>
  <r>
    <x v="0"/>
    <m/>
    <m/>
    <m/>
    <m/>
    <m/>
    <x v="333"/>
    <x v="1"/>
    <x v="3"/>
  </r>
  <r>
    <x v="1"/>
    <m/>
    <m/>
    <m/>
    <m/>
    <m/>
    <x v="333"/>
    <x v="1"/>
    <x v="3"/>
  </r>
  <r>
    <x v="2"/>
    <n v="914000"/>
    <m/>
    <m/>
    <m/>
    <n v="108000"/>
    <x v="333"/>
    <x v="1"/>
    <x v="3"/>
  </r>
  <r>
    <x v="3"/>
    <m/>
    <m/>
    <m/>
    <m/>
    <m/>
    <x v="333"/>
    <x v="1"/>
    <x v="3"/>
  </r>
  <r>
    <x v="4"/>
    <m/>
    <n v="810000"/>
    <m/>
    <m/>
    <n v="50000"/>
    <x v="333"/>
    <x v="1"/>
    <x v="3"/>
  </r>
  <r>
    <x v="5"/>
    <m/>
    <m/>
    <m/>
    <m/>
    <m/>
    <x v="333"/>
    <x v="1"/>
    <x v="3"/>
  </r>
  <r>
    <x v="14"/>
    <m/>
    <m/>
    <m/>
    <m/>
    <m/>
    <x v="333"/>
    <x v="1"/>
    <x v="3"/>
  </r>
  <r>
    <x v="6"/>
    <m/>
    <m/>
    <m/>
    <m/>
    <m/>
    <x v="333"/>
    <x v="1"/>
    <x v="3"/>
  </r>
  <r>
    <x v="7"/>
    <m/>
    <m/>
    <m/>
    <m/>
    <m/>
    <x v="333"/>
    <x v="1"/>
    <x v="3"/>
  </r>
  <r>
    <x v="8"/>
    <m/>
    <m/>
    <m/>
    <m/>
    <m/>
    <x v="333"/>
    <x v="1"/>
    <x v="3"/>
  </r>
  <r>
    <x v="9"/>
    <n v="760000"/>
    <m/>
    <m/>
    <m/>
    <n v="162000"/>
    <x v="333"/>
    <x v="1"/>
    <x v="3"/>
  </r>
  <r>
    <x v="10"/>
    <m/>
    <m/>
    <m/>
    <m/>
    <m/>
    <x v="333"/>
    <x v="1"/>
    <x v="3"/>
  </r>
  <r>
    <x v="11"/>
    <m/>
    <m/>
    <m/>
    <m/>
    <m/>
    <x v="333"/>
    <x v="1"/>
    <x v="3"/>
  </r>
  <r>
    <x v="12"/>
    <m/>
    <m/>
    <m/>
    <m/>
    <m/>
    <x v="333"/>
    <x v="1"/>
    <x v="3"/>
  </r>
  <r>
    <x v="13"/>
    <m/>
    <m/>
    <m/>
    <m/>
    <m/>
    <x v="333"/>
    <x v="1"/>
    <x v="3"/>
  </r>
  <r>
    <x v="0"/>
    <m/>
    <m/>
    <m/>
    <m/>
    <m/>
    <x v="334"/>
    <x v="1"/>
    <x v="3"/>
  </r>
  <r>
    <x v="1"/>
    <m/>
    <m/>
    <m/>
    <m/>
    <m/>
    <x v="334"/>
    <x v="1"/>
    <x v="3"/>
  </r>
  <r>
    <x v="2"/>
    <n v="316000"/>
    <n v="577000"/>
    <m/>
    <m/>
    <n v="162000"/>
    <x v="334"/>
    <x v="1"/>
    <x v="3"/>
  </r>
  <r>
    <x v="3"/>
    <m/>
    <m/>
    <m/>
    <m/>
    <m/>
    <x v="334"/>
    <x v="1"/>
    <x v="3"/>
  </r>
  <r>
    <x v="4"/>
    <m/>
    <n v="108000"/>
    <m/>
    <m/>
    <m/>
    <x v="334"/>
    <x v="1"/>
    <x v="3"/>
  </r>
  <r>
    <x v="5"/>
    <m/>
    <m/>
    <m/>
    <m/>
    <m/>
    <x v="334"/>
    <x v="1"/>
    <x v="3"/>
  </r>
  <r>
    <x v="14"/>
    <m/>
    <m/>
    <m/>
    <m/>
    <m/>
    <x v="334"/>
    <x v="1"/>
    <x v="3"/>
  </r>
  <r>
    <x v="6"/>
    <m/>
    <m/>
    <m/>
    <m/>
    <m/>
    <x v="334"/>
    <x v="1"/>
    <x v="3"/>
  </r>
  <r>
    <x v="7"/>
    <m/>
    <m/>
    <m/>
    <m/>
    <m/>
    <x v="334"/>
    <x v="1"/>
    <x v="3"/>
  </r>
  <r>
    <x v="8"/>
    <n v="270000"/>
    <m/>
    <m/>
    <m/>
    <m/>
    <x v="334"/>
    <x v="1"/>
    <x v="3"/>
  </r>
  <r>
    <x v="9"/>
    <n v="1452500"/>
    <m/>
    <m/>
    <m/>
    <n v="324000"/>
    <x v="334"/>
    <x v="1"/>
    <x v="3"/>
  </r>
  <r>
    <x v="10"/>
    <m/>
    <m/>
    <m/>
    <m/>
    <m/>
    <x v="334"/>
    <x v="1"/>
    <x v="3"/>
  </r>
  <r>
    <x v="11"/>
    <m/>
    <m/>
    <m/>
    <m/>
    <m/>
    <x v="334"/>
    <x v="1"/>
    <x v="3"/>
  </r>
  <r>
    <x v="12"/>
    <m/>
    <m/>
    <m/>
    <m/>
    <m/>
    <x v="334"/>
    <x v="1"/>
    <x v="3"/>
  </r>
  <r>
    <x v="13"/>
    <m/>
    <m/>
    <m/>
    <m/>
    <m/>
    <x v="334"/>
    <x v="1"/>
    <x v="3"/>
  </r>
  <r>
    <x v="0"/>
    <m/>
    <m/>
    <m/>
    <m/>
    <m/>
    <x v="335"/>
    <x v="1"/>
    <x v="3"/>
  </r>
  <r>
    <x v="1"/>
    <m/>
    <m/>
    <m/>
    <m/>
    <m/>
    <x v="335"/>
    <x v="1"/>
    <x v="3"/>
  </r>
  <r>
    <x v="2"/>
    <n v="950000"/>
    <n v="1106000"/>
    <m/>
    <m/>
    <m/>
    <x v="335"/>
    <x v="1"/>
    <x v="3"/>
  </r>
  <r>
    <x v="3"/>
    <m/>
    <m/>
    <m/>
    <m/>
    <m/>
    <x v="335"/>
    <x v="1"/>
    <x v="3"/>
  </r>
  <r>
    <x v="4"/>
    <m/>
    <m/>
    <m/>
    <m/>
    <m/>
    <x v="335"/>
    <x v="1"/>
    <x v="3"/>
  </r>
  <r>
    <x v="5"/>
    <m/>
    <m/>
    <m/>
    <m/>
    <m/>
    <x v="335"/>
    <x v="1"/>
    <x v="3"/>
  </r>
  <r>
    <x v="14"/>
    <m/>
    <m/>
    <m/>
    <m/>
    <m/>
    <x v="335"/>
    <x v="1"/>
    <x v="3"/>
  </r>
  <r>
    <x v="6"/>
    <m/>
    <n v="54000"/>
    <m/>
    <m/>
    <m/>
    <x v="335"/>
    <x v="1"/>
    <x v="3"/>
  </r>
  <r>
    <x v="7"/>
    <m/>
    <m/>
    <m/>
    <m/>
    <m/>
    <x v="335"/>
    <x v="1"/>
    <x v="3"/>
  </r>
  <r>
    <x v="8"/>
    <n v="748000"/>
    <m/>
    <m/>
    <m/>
    <m/>
    <x v="335"/>
    <x v="1"/>
    <x v="3"/>
  </r>
  <r>
    <x v="9"/>
    <n v="261000"/>
    <m/>
    <m/>
    <m/>
    <n v="324000"/>
    <x v="335"/>
    <x v="1"/>
    <x v="3"/>
  </r>
  <r>
    <x v="10"/>
    <m/>
    <m/>
    <m/>
    <m/>
    <m/>
    <x v="335"/>
    <x v="1"/>
    <x v="3"/>
  </r>
  <r>
    <x v="11"/>
    <m/>
    <m/>
    <m/>
    <m/>
    <m/>
    <x v="335"/>
    <x v="1"/>
    <x v="3"/>
  </r>
  <r>
    <x v="12"/>
    <m/>
    <m/>
    <m/>
    <m/>
    <m/>
    <x v="335"/>
    <x v="1"/>
    <x v="3"/>
  </r>
  <r>
    <x v="13"/>
    <m/>
    <m/>
    <m/>
    <m/>
    <m/>
    <x v="335"/>
    <x v="1"/>
    <x v="3"/>
  </r>
  <r>
    <x v="0"/>
    <m/>
    <m/>
    <m/>
    <m/>
    <m/>
    <x v="336"/>
    <x v="1"/>
    <x v="3"/>
  </r>
  <r>
    <x v="1"/>
    <m/>
    <m/>
    <m/>
    <m/>
    <m/>
    <x v="336"/>
    <x v="1"/>
    <x v="3"/>
  </r>
  <r>
    <x v="2"/>
    <n v="1428500"/>
    <n v="1295500"/>
    <m/>
    <m/>
    <n v="216000"/>
    <x v="336"/>
    <x v="1"/>
    <x v="3"/>
  </r>
  <r>
    <x v="3"/>
    <m/>
    <m/>
    <m/>
    <m/>
    <m/>
    <x v="336"/>
    <x v="1"/>
    <x v="3"/>
  </r>
  <r>
    <x v="4"/>
    <m/>
    <m/>
    <m/>
    <m/>
    <m/>
    <x v="336"/>
    <x v="1"/>
    <x v="3"/>
  </r>
  <r>
    <x v="5"/>
    <m/>
    <m/>
    <m/>
    <m/>
    <m/>
    <x v="336"/>
    <x v="1"/>
    <x v="3"/>
  </r>
  <r>
    <x v="14"/>
    <m/>
    <m/>
    <m/>
    <m/>
    <m/>
    <x v="336"/>
    <x v="1"/>
    <x v="3"/>
  </r>
  <r>
    <x v="6"/>
    <m/>
    <m/>
    <m/>
    <m/>
    <m/>
    <x v="336"/>
    <x v="1"/>
    <x v="3"/>
  </r>
  <r>
    <x v="7"/>
    <m/>
    <m/>
    <m/>
    <m/>
    <m/>
    <x v="336"/>
    <x v="1"/>
    <x v="3"/>
  </r>
  <r>
    <x v="8"/>
    <n v="648000"/>
    <m/>
    <m/>
    <m/>
    <m/>
    <x v="336"/>
    <x v="1"/>
    <x v="3"/>
  </r>
  <r>
    <x v="9"/>
    <n v="156000"/>
    <m/>
    <m/>
    <m/>
    <m/>
    <x v="336"/>
    <x v="1"/>
    <x v="3"/>
  </r>
  <r>
    <x v="10"/>
    <m/>
    <m/>
    <m/>
    <m/>
    <m/>
    <x v="336"/>
    <x v="1"/>
    <x v="3"/>
  </r>
  <r>
    <x v="11"/>
    <m/>
    <m/>
    <m/>
    <m/>
    <m/>
    <x v="336"/>
    <x v="1"/>
    <x v="3"/>
  </r>
  <r>
    <x v="12"/>
    <m/>
    <m/>
    <m/>
    <m/>
    <m/>
    <x v="336"/>
    <x v="1"/>
    <x v="3"/>
  </r>
  <r>
    <x v="13"/>
    <m/>
    <m/>
    <m/>
    <m/>
    <m/>
    <x v="336"/>
    <x v="1"/>
    <x v="3"/>
  </r>
  <r>
    <x v="0"/>
    <m/>
    <m/>
    <m/>
    <m/>
    <m/>
    <x v="337"/>
    <x v="1"/>
    <x v="3"/>
  </r>
  <r>
    <x v="1"/>
    <m/>
    <m/>
    <m/>
    <m/>
    <m/>
    <x v="337"/>
    <x v="1"/>
    <x v="3"/>
  </r>
  <r>
    <x v="2"/>
    <n v="486000"/>
    <m/>
    <m/>
    <m/>
    <m/>
    <x v="337"/>
    <x v="1"/>
    <x v="3"/>
  </r>
  <r>
    <x v="3"/>
    <m/>
    <m/>
    <m/>
    <m/>
    <m/>
    <x v="337"/>
    <x v="1"/>
    <x v="3"/>
  </r>
  <r>
    <x v="4"/>
    <m/>
    <m/>
    <m/>
    <m/>
    <n v="50000"/>
    <x v="337"/>
    <x v="1"/>
    <x v="3"/>
  </r>
  <r>
    <x v="5"/>
    <m/>
    <m/>
    <m/>
    <m/>
    <m/>
    <x v="337"/>
    <x v="1"/>
    <x v="3"/>
  </r>
  <r>
    <x v="14"/>
    <m/>
    <m/>
    <m/>
    <m/>
    <m/>
    <x v="337"/>
    <x v="1"/>
    <x v="3"/>
  </r>
  <r>
    <x v="6"/>
    <m/>
    <m/>
    <m/>
    <m/>
    <m/>
    <x v="337"/>
    <x v="1"/>
    <x v="3"/>
  </r>
  <r>
    <x v="7"/>
    <m/>
    <m/>
    <m/>
    <m/>
    <m/>
    <x v="337"/>
    <x v="1"/>
    <x v="3"/>
  </r>
  <r>
    <x v="8"/>
    <n v="486000"/>
    <n v="207000"/>
    <m/>
    <m/>
    <n v="536000"/>
    <x v="337"/>
    <x v="1"/>
    <x v="3"/>
  </r>
  <r>
    <x v="9"/>
    <m/>
    <m/>
    <m/>
    <m/>
    <m/>
    <x v="337"/>
    <x v="1"/>
    <x v="3"/>
  </r>
  <r>
    <x v="10"/>
    <m/>
    <m/>
    <m/>
    <m/>
    <m/>
    <x v="337"/>
    <x v="1"/>
    <x v="3"/>
  </r>
  <r>
    <x v="11"/>
    <m/>
    <m/>
    <m/>
    <m/>
    <m/>
    <x v="337"/>
    <x v="1"/>
    <x v="3"/>
  </r>
  <r>
    <x v="12"/>
    <m/>
    <m/>
    <m/>
    <m/>
    <m/>
    <x v="337"/>
    <x v="1"/>
    <x v="3"/>
  </r>
  <r>
    <x v="13"/>
    <m/>
    <m/>
    <m/>
    <m/>
    <m/>
    <x v="337"/>
    <x v="1"/>
    <x v="3"/>
  </r>
  <r>
    <x v="0"/>
    <m/>
    <m/>
    <m/>
    <m/>
    <m/>
    <x v="338"/>
    <x v="1"/>
    <x v="3"/>
  </r>
  <r>
    <x v="1"/>
    <m/>
    <m/>
    <m/>
    <m/>
    <m/>
    <x v="338"/>
    <x v="1"/>
    <x v="3"/>
  </r>
  <r>
    <x v="2"/>
    <n v="1866000"/>
    <n v="540000"/>
    <m/>
    <m/>
    <m/>
    <x v="338"/>
    <x v="1"/>
    <x v="3"/>
  </r>
  <r>
    <x v="3"/>
    <m/>
    <m/>
    <m/>
    <m/>
    <m/>
    <x v="338"/>
    <x v="1"/>
    <x v="3"/>
  </r>
  <r>
    <x v="4"/>
    <m/>
    <m/>
    <m/>
    <m/>
    <m/>
    <x v="338"/>
    <x v="1"/>
    <x v="3"/>
  </r>
  <r>
    <x v="5"/>
    <m/>
    <m/>
    <m/>
    <m/>
    <m/>
    <x v="338"/>
    <x v="1"/>
    <x v="3"/>
  </r>
  <r>
    <x v="14"/>
    <m/>
    <m/>
    <m/>
    <m/>
    <m/>
    <x v="338"/>
    <x v="1"/>
    <x v="3"/>
  </r>
  <r>
    <x v="6"/>
    <m/>
    <n v="702000"/>
    <m/>
    <m/>
    <m/>
    <x v="338"/>
    <x v="1"/>
    <x v="3"/>
  </r>
  <r>
    <x v="7"/>
    <m/>
    <m/>
    <m/>
    <m/>
    <m/>
    <x v="338"/>
    <x v="1"/>
    <x v="3"/>
  </r>
  <r>
    <x v="8"/>
    <m/>
    <n v="50000"/>
    <m/>
    <m/>
    <n v="540000"/>
    <x v="338"/>
    <x v="1"/>
    <x v="3"/>
  </r>
  <r>
    <x v="9"/>
    <n v="45000"/>
    <m/>
    <m/>
    <m/>
    <m/>
    <x v="338"/>
    <x v="1"/>
    <x v="3"/>
  </r>
  <r>
    <x v="10"/>
    <m/>
    <m/>
    <m/>
    <m/>
    <m/>
    <x v="338"/>
    <x v="1"/>
    <x v="3"/>
  </r>
  <r>
    <x v="11"/>
    <m/>
    <n v="648000"/>
    <m/>
    <m/>
    <m/>
    <x v="338"/>
    <x v="1"/>
    <x v="3"/>
  </r>
  <r>
    <x v="12"/>
    <m/>
    <m/>
    <m/>
    <m/>
    <m/>
    <x v="338"/>
    <x v="1"/>
    <x v="3"/>
  </r>
  <r>
    <x v="13"/>
    <m/>
    <n v="45000"/>
    <m/>
    <m/>
    <m/>
    <x v="338"/>
    <x v="1"/>
    <x v="3"/>
  </r>
  <r>
    <x v="0"/>
    <m/>
    <m/>
    <m/>
    <m/>
    <m/>
    <x v="339"/>
    <x v="1"/>
    <x v="3"/>
  </r>
  <r>
    <x v="1"/>
    <m/>
    <m/>
    <m/>
    <m/>
    <m/>
    <x v="339"/>
    <x v="1"/>
    <x v="3"/>
  </r>
  <r>
    <x v="2"/>
    <n v="162000"/>
    <n v="432000"/>
    <m/>
    <n v="108000"/>
    <m/>
    <x v="339"/>
    <x v="1"/>
    <x v="3"/>
  </r>
  <r>
    <x v="3"/>
    <m/>
    <m/>
    <m/>
    <m/>
    <m/>
    <x v="339"/>
    <x v="1"/>
    <x v="3"/>
  </r>
  <r>
    <x v="4"/>
    <n v="216000"/>
    <m/>
    <m/>
    <m/>
    <m/>
    <x v="339"/>
    <x v="1"/>
    <x v="3"/>
  </r>
  <r>
    <x v="5"/>
    <m/>
    <m/>
    <m/>
    <m/>
    <m/>
    <x v="339"/>
    <x v="1"/>
    <x v="3"/>
  </r>
  <r>
    <x v="14"/>
    <m/>
    <m/>
    <m/>
    <m/>
    <m/>
    <x v="339"/>
    <x v="1"/>
    <x v="3"/>
  </r>
  <r>
    <x v="6"/>
    <m/>
    <n v="540000"/>
    <m/>
    <n v="54000"/>
    <m/>
    <x v="339"/>
    <x v="1"/>
    <x v="3"/>
  </r>
  <r>
    <x v="7"/>
    <m/>
    <m/>
    <m/>
    <m/>
    <m/>
    <x v="339"/>
    <x v="1"/>
    <x v="3"/>
  </r>
  <r>
    <x v="8"/>
    <m/>
    <n v="585000"/>
    <m/>
    <m/>
    <m/>
    <x v="339"/>
    <x v="1"/>
    <x v="3"/>
  </r>
  <r>
    <x v="9"/>
    <m/>
    <m/>
    <m/>
    <m/>
    <n v="45000"/>
    <x v="339"/>
    <x v="1"/>
    <x v="3"/>
  </r>
  <r>
    <x v="10"/>
    <m/>
    <m/>
    <m/>
    <m/>
    <m/>
    <x v="339"/>
    <x v="1"/>
    <x v="3"/>
  </r>
  <r>
    <x v="11"/>
    <m/>
    <n v="108000"/>
    <m/>
    <m/>
    <m/>
    <x v="339"/>
    <x v="1"/>
    <x v="3"/>
  </r>
  <r>
    <x v="12"/>
    <m/>
    <m/>
    <m/>
    <m/>
    <m/>
    <x v="339"/>
    <x v="1"/>
    <x v="3"/>
  </r>
  <r>
    <x v="13"/>
    <m/>
    <m/>
    <m/>
    <n v="108000"/>
    <m/>
    <x v="339"/>
    <x v="1"/>
    <x v="3"/>
  </r>
  <r>
    <x v="0"/>
    <m/>
    <m/>
    <m/>
    <m/>
    <m/>
    <x v="340"/>
    <x v="1"/>
    <x v="3"/>
  </r>
  <r>
    <x v="1"/>
    <m/>
    <m/>
    <m/>
    <m/>
    <m/>
    <x v="340"/>
    <x v="1"/>
    <x v="3"/>
  </r>
  <r>
    <x v="2"/>
    <n v="45000"/>
    <n v="265500"/>
    <m/>
    <n v="216000"/>
    <m/>
    <x v="340"/>
    <x v="1"/>
    <x v="3"/>
  </r>
  <r>
    <x v="3"/>
    <m/>
    <m/>
    <m/>
    <m/>
    <m/>
    <x v="340"/>
    <x v="1"/>
    <x v="3"/>
  </r>
  <r>
    <x v="4"/>
    <m/>
    <m/>
    <m/>
    <m/>
    <m/>
    <x v="340"/>
    <x v="1"/>
    <x v="3"/>
  </r>
  <r>
    <x v="5"/>
    <m/>
    <m/>
    <m/>
    <m/>
    <m/>
    <x v="340"/>
    <x v="1"/>
    <x v="3"/>
  </r>
  <r>
    <x v="14"/>
    <m/>
    <m/>
    <m/>
    <m/>
    <m/>
    <x v="340"/>
    <x v="1"/>
    <x v="3"/>
  </r>
  <r>
    <x v="6"/>
    <m/>
    <n v="162000"/>
    <m/>
    <n v="108000"/>
    <m/>
    <x v="340"/>
    <x v="1"/>
    <x v="3"/>
  </r>
  <r>
    <x v="7"/>
    <m/>
    <m/>
    <m/>
    <m/>
    <m/>
    <x v="340"/>
    <x v="1"/>
    <x v="3"/>
  </r>
  <r>
    <x v="8"/>
    <n v="810000"/>
    <n v="320000"/>
    <m/>
    <n v="162000"/>
    <m/>
    <x v="340"/>
    <x v="1"/>
    <x v="3"/>
  </r>
  <r>
    <x v="9"/>
    <m/>
    <n v="270000"/>
    <m/>
    <m/>
    <n v="90000"/>
    <x v="340"/>
    <x v="1"/>
    <x v="3"/>
  </r>
  <r>
    <x v="10"/>
    <m/>
    <m/>
    <m/>
    <m/>
    <m/>
    <x v="340"/>
    <x v="1"/>
    <x v="3"/>
  </r>
  <r>
    <x v="11"/>
    <m/>
    <n v="108000"/>
    <m/>
    <m/>
    <m/>
    <x v="340"/>
    <x v="1"/>
    <x v="3"/>
  </r>
  <r>
    <x v="12"/>
    <m/>
    <m/>
    <m/>
    <m/>
    <m/>
    <x v="340"/>
    <x v="1"/>
    <x v="3"/>
  </r>
  <r>
    <x v="13"/>
    <m/>
    <m/>
    <m/>
    <n v="162000"/>
    <m/>
    <x v="340"/>
    <x v="1"/>
    <x v="3"/>
  </r>
  <r>
    <x v="0"/>
    <m/>
    <m/>
    <m/>
    <m/>
    <m/>
    <x v="341"/>
    <x v="1"/>
    <x v="3"/>
  </r>
  <r>
    <x v="1"/>
    <m/>
    <m/>
    <m/>
    <m/>
    <m/>
    <x v="341"/>
    <x v="1"/>
    <x v="3"/>
  </r>
  <r>
    <x v="2"/>
    <m/>
    <n v="162000"/>
    <m/>
    <n v="324000"/>
    <m/>
    <x v="341"/>
    <x v="1"/>
    <x v="3"/>
  </r>
  <r>
    <x v="3"/>
    <m/>
    <m/>
    <m/>
    <n v="45000"/>
    <m/>
    <x v="341"/>
    <x v="1"/>
    <x v="3"/>
  </r>
  <r>
    <x v="4"/>
    <m/>
    <m/>
    <m/>
    <m/>
    <m/>
    <x v="341"/>
    <x v="1"/>
    <x v="3"/>
  </r>
  <r>
    <x v="5"/>
    <m/>
    <n v="108000"/>
    <m/>
    <n v="161000"/>
    <m/>
    <x v="341"/>
    <x v="1"/>
    <x v="3"/>
  </r>
  <r>
    <x v="14"/>
    <m/>
    <m/>
    <m/>
    <m/>
    <m/>
    <x v="341"/>
    <x v="1"/>
    <x v="3"/>
  </r>
  <r>
    <x v="6"/>
    <m/>
    <n v="108000"/>
    <m/>
    <n v="162000"/>
    <m/>
    <x v="341"/>
    <x v="1"/>
    <x v="3"/>
  </r>
  <r>
    <x v="7"/>
    <m/>
    <m/>
    <m/>
    <m/>
    <m/>
    <x v="341"/>
    <x v="1"/>
    <x v="3"/>
  </r>
  <r>
    <x v="8"/>
    <m/>
    <n v="50000"/>
    <m/>
    <n v="162000"/>
    <m/>
    <x v="341"/>
    <x v="1"/>
    <x v="3"/>
  </r>
  <r>
    <x v="9"/>
    <n v="1076000"/>
    <n v="320000"/>
    <n v="486000"/>
    <m/>
    <m/>
    <x v="341"/>
    <x v="1"/>
    <x v="3"/>
  </r>
  <r>
    <x v="10"/>
    <m/>
    <m/>
    <m/>
    <m/>
    <m/>
    <x v="341"/>
    <x v="1"/>
    <x v="3"/>
  </r>
  <r>
    <x v="11"/>
    <m/>
    <n v="54000"/>
    <m/>
    <m/>
    <m/>
    <x v="341"/>
    <x v="1"/>
    <x v="3"/>
  </r>
  <r>
    <x v="12"/>
    <m/>
    <m/>
    <m/>
    <m/>
    <m/>
    <x v="341"/>
    <x v="1"/>
    <x v="3"/>
  </r>
  <r>
    <x v="13"/>
    <n v="432000"/>
    <m/>
    <m/>
    <n v="324000"/>
    <n v="540000"/>
    <x v="341"/>
    <x v="1"/>
    <x v="3"/>
  </r>
  <r>
    <x v="0"/>
    <m/>
    <m/>
    <m/>
    <m/>
    <m/>
    <x v="342"/>
    <x v="1"/>
    <x v="3"/>
  </r>
  <r>
    <x v="1"/>
    <m/>
    <m/>
    <m/>
    <m/>
    <m/>
    <x v="342"/>
    <x v="1"/>
    <x v="3"/>
  </r>
  <r>
    <x v="2"/>
    <m/>
    <n v="266000"/>
    <m/>
    <n v="108000"/>
    <m/>
    <x v="342"/>
    <x v="1"/>
    <x v="3"/>
  </r>
  <r>
    <x v="3"/>
    <m/>
    <m/>
    <m/>
    <m/>
    <m/>
    <x v="342"/>
    <x v="1"/>
    <x v="3"/>
  </r>
  <r>
    <x v="4"/>
    <m/>
    <m/>
    <m/>
    <m/>
    <m/>
    <x v="342"/>
    <x v="1"/>
    <x v="3"/>
  </r>
  <r>
    <x v="5"/>
    <n v="216000"/>
    <n v="374000"/>
    <n v="315000"/>
    <n v="54000"/>
    <m/>
    <x v="342"/>
    <x v="1"/>
    <x v="3"/>
  </r>
  <r>
    <x v="14"/>
    <m/>
    <m/>
    <m/>
    <m/>
    <m/>
    <x v="342"/>
    <x v="1"/>
    <x v="3"/>
  </r>
  <r>
    <x v="6"/>
    <m/>
    <n v="216000"/>
    <m/>
    <n v="54000"/>
    <m/>
    <x v="342"/>
    <x v="1"/>
    <x v="3"/>
  </r>
  <r>
    <x v="7"/>
    <m/>
    <m/>
    <m/>
    <m/>
    <m/>
    <x v="342"/>
    <x v="1"/>
    <x v="3"/>
  </r>
  <r>
    <x v="8"/>
    <m/>
    <n v="428000"/>
    <m/>
    <n v="212000"/>
    <m/>
    <x v="342"/>
    <x v="1"/>
    <x v="3"/>
  </r>
  <r>
    <x v="9"/>
    <n v="1422000"/>
    <n v="324000"/>
    <m/>
    <m/>
    <m/>
    <x v="342"/>
    <x v="1"/>
    <x v="3"/>
  </r>
  <r>
    <x v="10"/>
    <m/>
    <m/>
    <m/>
    <m/>
    <m/>
    <x v="342"/>
    <x v="1"/>
    <x v="3"/>
  </r>
  <r>
    <x v="11"/>
    <m/>
    <n v="162000"/>
    <m/>
    <m/>
    <m/>
    <x v="342"/>
    <x v="1"/>
    <x v="3"/>
  </r>
  <r>
    <x v="12"/>
    <n v="586000"/>
    <m/>
    <m/>
    <m/>
    <m/>
    <x v="342"/>
    <x v="1"/>
    <x v="3"/>
  </r>
  <r>
    <x v="13"/>
    <m/>
    <m/>
    <m/>
    <m/>
    <n v="270000"/>
    <x v="342"/>
    <x v="1"/>
    <x v="3"/>
  </r>
  <r>
    <x v="0"/>
    <m/>
    <m/>
    <m/>
    <m/>
    <m/>
    <x v="343"/>
    <x v="1"/>
    <x v="4"/>
  </r>
  <r>
    <x v="1"/>
    <m/>
    <m/>
    <m/>
    <m/>
    <m/>
    <x v="343"/>
    <x v="1"/>
    <x v="4"/>
  </r>
  <r>
    <x v="2"/>
    <m/>
    <n v="162000"/>
    <m/>
    <m/>
    <m/>
    <x v="343"/>
    <x v="1"/>
    <x v="4"/>
  </r>
  <r>
    <x v="3"/>
    <m/>
    <n v="540000"/>
    <m/>
    <m/>
    <m/>
    <x v="343"/>
    <x v="1"/>
    <x v="4"/>
  </r>
  <r>
    <x v="4"/>
    <m/>
    <m/>
    <m/>
    <m/>
    <m/>
    <x v="343"/>
    <x v="1"/>
    <x v="4"/>
  </r>
  <r>
    <x v="5"/>
    <n v="864000"/>
    <n v="162000"/>
    <n v="648000"/>
    <n v="108000"/>
    <m/>
    <x v="343"/>
    <x v="1"/>
    <x v="4"/>
  </r>
  <r>
    <x v="14"/>
    <m/>
    <m/>
    <m/>
    <m/>
    <m/>
    <x v="343"/>
    <x v="1"/>
    <x v="4"/>
  </r>
  <r>
    <x v="6"/>
    <m/>
    <n v="54000"/>
    <m/>
    <m/>
    <m/>
    <x v="343"/>
    <x v="1"/>
    <x v="4"/>
  </r>
  <r>
    <x v="7"/>
    <m/>
    <m/>
    <m/>
    <m/>
    <m/>
    <x v="343"/>
    <x v="1"/>
    <x v="4"/>
  </r>
  <r>
    <x v="8"/>
    <n v="100000"/>
    <n v="216000"/>
    <m/>
    <n v="108000"/>
    <m/>
    <x v="343"/>
    <x v="1"/>
    <x v="4"/>
  </r>
  <r>
    <x v="9"/>
    <m/>
    <n v="256000"/>
    <m/>
    <m/>
    <m/>
    <x v="343"/>
    <x v="1"/>
    <x v="4"/>
  </r>
  <r>
    <x v="10"/>
    <m/>
    <m/>
    <m/>
    <m/>
    <m/>
    <x v="343"/>
    <x v="1"/>
    <x v="4"/>
  </r>
  <r>
    <x v="11"/>
    <m/>
    <n v="54000"/>
    <m/>
    <m/>
    <m/>
    <x v="343"/>
    <x v="1"/>
    <x v="4"/>
  </r>
  <r>
    <x v="12"/>
    <n v="540000"/>
    <m/>
    <m/>
    <m/>
    <m/>
    <x v="343"/>
    <x v="1"/>
    <x v="4"/>
  </r>
  <r>
    <x v="13"/>
    <n v="95000"/>
    <m/>
    <m/>
    <m/>
    <m/>
    <x v="343"/>
    <x v="1"/>
    <x v="4"/>
  </r>
  <r>
    <x v="0"/>
    <m/>
    <m/>
    <m/>
    <m/>
    <m/>
    <x v="344"/>
    <x v="1"/>
    <x v="4"/>
  </r>
  <r>
    <x v="1"/>
    <m/>
    <m/>
    <m/>
    <m/>
    <m/>
    <x v="344"/>
    <x v="1"/>
    <x v="4"/>
  </r>
  <r>
    <x v="2"/>
    <m/>
    <n v="261000"/>
    <m/>
    <n v="162000"/>
    <m/>
    <x v="344"/>
    <x v="1"/>
    <x v="4"/>
  </r>
  <r>
    <x v="3"/>
    <m/>
    <n v="859500"/>
    <m/>
    <m/>
    <m/>
    <x v="344"/>
    <x v="1"/>
    <x v="4"/>
  </r>
  <r>
    <x v="4"/>
    <m/>
    <m/>
    <m/>
    <m/>
    <m/>
    <x v="344"/>
    <x v="1"/>
    <x v="4"/>
  </r>
  <r>
    <x v="5"/>
    <n v="590000"/>
    <n v="216000"/>
    <n v="50000"/>
    <n v="216000"/>
    <m/>
    <x v="344"/>
    <x v="1"/>
    <x v="4"/>
  </r>
  <r>
    <x v="14"/>
    <m/>
    <m/>
    <m/>
    <m/>
    <m/>
    <x v="344"/>
    <x v="1"/>
    <x v="4"/>
  </r>
  <r>
    <x v="6"/>
    <m/>
    <m/>
    <m/>
    <m/>
    <m/>
    <x v="344"/>
    <x v="1"/>
    <x v="4"/>
  </r>
  <r>
    <x v="7"/>
    <m/>
    <m/>
    <m/>
    <m/>
    <m/>
    <x v="344"/>
    <x v="1"/>
    <x v="4"/>
  </r>
  <r>
    <x v="8"/>
    <m/>
    <n v="216000"/>
    <m/>
    <n v="108000"/>
    <m/>
    <x v="344"/>
    <x v="1"/>
    <x v="4"/>
  </r>
  <r>
    <x v="9"/>
    <m/>
    <m/>
    <m/>
    <m/>
    <m/>
    <x v="344"/>
    <x v="1"/>
    <x v="4"/>
  </r>
  <r>
    <x v="10"/>
    <m/>
    <m/>
    <m/>
    <m/>
    <m/>
    <x v="344"/>
    <x v="1"/>
    <x v="4"/>
  </r>
  <r>
    <x v="11"/>
    <m/>
    <n v="49500"/>
    <m/>
    <m/>
    <m/>
    <x v="344"/>
    <x v="1"/>
    <x v="4"/>
  </r>
  <r>
    <x v="12"/>
    <m/>
    <m/>
    <m/>
    <m/>
    <m/>
    <x v="344"/>
    <x v="1"/>
    <x v="4"/>
  </r>
  <r>
    <x v="13"/>
    <n v="902000"/>
    <m/>
    <n v="104000"/>
    <m/>
    <m/>
    <x v="344"/>
    <x v="1"/>
    <x v="4"/>
  </r>
  <r>
    <x v="0"/>
    <m/>
    <m/>
    <m/>
    <m/>
    <m/>
    <x v="345"/>
    <x v="1"/>
    <x v="4"/>
  </r>
  <r>
    <x v="1"/>
    <m/>
    <n v="54000"/>
    <m/>
    <m/>
    <m/>
    <x v="345"/>
    <x v="1"/>
    <x v="4"/>
  </r>
  <r>
    <x v="2"/>
    <m/>
    <n v="153000"/>
    <m/>
    <n v="108000"/>
    <m/>
    <x v="345"/>
    <x v="1"/>
    <x v="4"/>
  </r>
  <r>
    <x v="3"/>
    <m/>
    <n v="256500"/>
    <m/>
    <m/>
    <m/>
    <x v="345"/>
    <x v="1"/>
    <x v="4"/>
  </r>
  <r>
    <x v="4"/>
    <m/>
    <n v="108000"/>
    <m/>
    <m/>
    <m/>
    <x v="345"/>
    <x v="1"/>
    <x v="4"/>
  </r>
  <r>
    <x v="5"/>
    <n v="806000"/>
    <n v="108000"/>
    <m/>
    <n v="270000"/>
    <m/>
    <x v="345"/>
    <x v="1"/>
    <x v="4"/>
  </r>
  <r>
    <x v="14"/>
    <m/>
    <m/>
    <m/>
    <m/>
    <m/>
    <x v="345"/>
    <x v="1"/>
    <x v="4"/>
  </r>
  <r>
    <x v="6"/>
    <m/>
    <n v="103500"/>
    <m/>
    <n v="54000"/>
    <m/>
    <x v="345"/>
    <x v="1"/>
    <x v="4"/>
  </r>
  <r>
    <x v="7"/>
    <m/>
    <m/>
    <m/>
    <m/>
    <m/>
    <x v="345"/>
    <x v="1"/>
    <x v="4"/>
  </r>
  <r>
    <x v="8"/>
    <n v="585000"/>
    <n v="756000"/>
    <m/>
    <n v="162000"/>
    <m/>
    <x v="345"/>
    <x v="1"/>
    <x v="4"/>
  </r>
  <r>
    <x v="9"/>
    <m/>
    <n v="162000"/>
    <m/>
    <m/>
    <m/>
    <x v="345"/>
    <x v="1"/>
    <x v="4"/>
  </r>
  <r>
    <x v="10"/>
    <m/>
    <m/>
    <m/>
    <m/>
    <m/>
    <x v="345"/>
    <x v="1"/>
    <x v="4"/>
  </r>
  <r>
    <x v="11"/>
    <m/>
    <n v="54000"/>
    <m/>
    <m/>
    <m/>
    <x v="345"/>
    <x v="1"/>
    <x v="4"/>
  </r>
  <r>
    <x v="12"/>
    <m/>
    <m/>
    <m/>
    <m/>
    <m/>
    <x v="345"/>
    <x v="1"/>
    <x v="4"/>
  </r>
  <r>
    <x v="13"/>
    <n v="45000"/>
    <m/>
    <n v="644000"/>
    <n v="54000"/>
    <m/>
    <x v="345"/>
    <x v="1"/>
    <x v="4"/>
  </r>
  <r>
    <x v="0"/>
    <m/>
    <m/>
    <m/>
    <m/>
    <m/>
    <x v="346"/>
    <x v="1"/>
    <x v="4"/>
  </r>
  <r>
    <x v="1"/>
    <m/>
    <n v="146000"/>
    <m/>
    <m/>
    <m/>
    <x v="346"/>
    <x v="1"/>
    <x v="4"/>
  </r>
  <r>
    <x v="2"/>
    <m/>
    <n v="216000"/>
    <m/>
    <n v="162000"/>
    <m/>
    <x v="346"/>
    <x v="1"/>
    <x v="4"/>
  </r>
  <r>
    <x v="3"/>
    <m/>
    <n v="733500"/>
    <m/>
    <n v="45000"/>
    <m/>
    <x v="346"/>
    <x v="1"/>
    <x v="4"/>
  </r>
  <r>
    <x v="4"/>
    <m/>
    <n v="45000"/>
    <m/>
    <m/>
    <m/>
    <x v="346"/>
    <x v="1"/>
    <x v="4"/>
  </r>
  <r>
    <x v="5"/>
    <m/>
    <n v="54000"/>
    <n v="54000"/>
    <n v="54000"/>
    <m/>
    <x v="346"/>
    <x v="1"/>
    <x v="4"/>
  </r>
  <r>
    <x v="14"/>
    <m/>
    <m/>
    <m/>
    <m/>
    <m/>
    <x v="346"/>
    <x v="1"/>
    <x v="4"/>
  </r>
  <r>
    <x v="6"/>
    <m/>
    <m/>
    <m/>
    <m/>
    <m/>
    <x v="346"/>
    <x v="1"/>
    <x v="4"/>
  </r>
  <r>
    <x v="7"/>
    <m/>
    <m/>
    <m/>
    <m/>
    <m/>
    <x v="346"/>
    <x v="1"/>
    <x v="4"/>
  </r>
  <r>
    <x v="8"/>
    <n v="1332000"/>
    <m/>
    <m/>
    <m/>
    <n v="540000"/>
    <x v="346"/>
    <x v="1"/>
    <x v="4"/>
  </r>
  <r>
    <x v="9"/>
    <m/>
    <n v="54000"/>
    <m/>
    <n v="50000"/>
    <m/>
    <x v="346"/>
    <x v="1"/>
    <x v="4"/>
  </r>
  <r>
    <x v="10"/>
    <m/>
    <m/>
    <m/>
    <m/>
    <m/>
    <x v="346"/>
    <x v="1"/>
    <x v="4"/>
  </r>
  <r>
    <x v="11"/>
    <m/>
    <n v="54000"/>
    <m/>
    <m/>
    <m/>
    <x v="346"/>
    <x v="1"/>
    <x v="4"/>
  </r>
  <r>
    <x v="12"/>
    <m/>
    <m/>
    <m/>
    <m/>
    <m/>
    <x v="346"/>
    <x v="1"/>
    <x v="4"/>
  </r>
  <r>
    <x v="13"/>
    <n v="50000"/>
    <n v="54000"/>
    <n v="99000"/>
    <n v="50000"/>
    <m/>
    <x v="346"/>
    <x v="1"/>
    <x v="4"/>
  </r>
  <r>
    <x v="0"/>
    <m/>
    <m/>
    <m/>
    <m/>
    <m/>
    <x v="347"/>
    <x v="1"/>
    <x v="4"/>
  </r>
  <r>
    <x v="1"/>
    <m/>
    <n v="270000"/>
    <m/>
    <m/>
    <m/>
    <x v="347"/>
    <x v="1"/>
    <x v="4"/>
  </r>
  <r>
    <x v="2"/>
    <m/>
    <n v="153000"/>
    <m/>
    <m/>
    <m/>
    <x v="347"/>
    <x v="1"/>
    <x v="4"/>
  </r>
  <r>
    <x v="3"/>
    <m/>
    <n v="540000"/>
    <m/>
    <m/>
    <m/>
    <x v="347"/>
    <x v="1"/>
    <x v="4"/>
  </r>
  <r>
    <x v="4"/>
    <m/>
    <m/>
    <m/>
    <m/>
    <m/>
    <x v="347"/>
    <x v="1"/>
    <x v="4"/>
  </r>
  <r>
    <x v="5"/>
    <m/>
    <n v="107500"/>
    <m/>
    <m/>
    <m/>
    <x v="347"/>
    <x v="1"/>
    <x v="4"/>
  </r>
  <r>
    <x v="14"/>
    <n v="1562000"/>
    <m/>
    <m/>
    <m/>
    <m/>
    <x v="347"/>
    <x v="1"/>
    <x v="4"/>
  </r>
  <r>
    <x v="6"/>
    <m/>
    <n v="108000"/>
    <m/>
    <m/>
    <m/>
    <x v="347"/>
    <x v="1"/>
    <x v="4"/>
  </r>
  <r>
    <x v="7"/>
    <m/>
    <m/>
    <m/>
    <m/>
    <m/>
    <x v="347"/>
    <x v="1"/>
    <x v="4"/>
  </r>
  <r>
    <x v="8"/>
    <n v="162000"/>
    <n v="54000"/>
    <m/>
    <m/>
    <n v="540000"/>
    <x v="347"/>
    <x v="1"/>
    <x v="4"/>
  </r>
  <r>
    <x v="9"/>
    <m/>
    <n v="378000"/>
    <m/>
    <m/>
    <m/>
    <x v="347"/>
    <x v="1"/>
    <x v="4"/>
  </r>
  <r>
    <x v="10"/>
    <m/>
    <m/>
    <m/>
    <m/>
    <m/>
    <x v="347"/>
    <x v="1"/>
    <x v="4"/>
  </r>
  <r>
    <x v="11"/>
    <m/>
    <m/>
    <m/>
    <m/>
    <m/>
    <x v="347"/>
    <x v="1"/>
    <x v="4"/>
  </r>
  <r>
    <x v="12"/>
    <m/>
    <m/>
    <m/>
    <m/>
    <m/>
    <x v="347"/>
    <x v="1"/>
    <x v="4"/>
  </r>
  <r>
    <x v="13"/>
    <m/>
    <n v="107000"/>
    <m/>
    <m/>
    <m/>
    <x v="347"/>
    <x v="1"/>
    <x v="4"/>
  </r>
  <r>
    <x v="0"/>
    <m/>
    <m/>
    <m/>
    <m/>
    <m/>
    <x v="348"/>
    <x v="1"/>
    <x v="4"/>
  </r>
  <r>
    <x v="1"/>
    <m/>
    <n v="103500"/>
    <m/>
    <m/>
    <m/>
    <x v="348"/>
    <x v="1"/>
    <x v="4"/>
  </r>
  <r>
    <x v="2"/>
    <n v="45000"/>
    <n v="431000"/>
    <m/>
    <m/>
    <m/>
    <x v="348"/>
    <x v="1"/>
    <x v="4"/>
  </r>
  <r>
    <x v="3"/>
    <m/>
    <m/>
    <m/>
    <m/>
    <m/>
    <x v="348"/>
    <x v="1"/>
    <x v="4"/>
  </r>
  <r>
    <x v="4"/>
    <m/>
    <n v="270000"/>
    <m/>
    <m/>
    <m/>
    <x v="348"/>
    <x v="1"/>
    <x v="4"/>
  </r>
  <r>
    <x v="5"/>
    <m/>
    <n v="162000"/>
    <n v="54000"/>
    <m/>
    <m/>
    <x v="348"/>
    <x v="1"/>
    <x v="4"/>
  </r>
  <r>
    <x v="14"/>
    <n v="747000"/>
    <m/>
    <m/>
    <m/>
    <m/>
    <x v="348"/>
    <x v="1"/>
    <x v="4"/>
  </r>
  <r>
    <x v="6"/>
    <n v="270000"/>
    <n v="54000"/>
    <n v="806000"/>
    <m/>
    <m/>
    <x v="348"/>
    <x v="1"/>
    <x v="4"/>
  </r>
  <r>
    <x v="7"/>
    <m/>
    <m/>
    <m/>
    <m/>
    <m/>
    <x v="348"/>
    <x v="1"/>
    <x v="4"/>
  </r>
  <r>
    <x v="15"/>
    <m/>
    <m/>
    <m/>
    <m/>
    <m/>
    <x v="348"/>
    <x v="1"/>
    <x v="4"/>
  </r>
  <r>
    <x v="8"/>
    <m/>
    <n v="216000"/>
    <m/>
    <m/>
    <n v="486000"/>
    <x v="348"/>
    <x v="1"/>
    <x v="4"/>
  </r>
  <r>
    <x v="9"/>
    <m/>
    <n v="265500"/>
    <m/>
    <m/>
    <m/>
    <x v="348"/>
    <x v="1"/>
    <x v="4"/>
  </r>
  <r>
    <x v="10"/>
    <m/>
    <m/>
    <m/>
    <m/>
    <m/>
    <x v="348"/>
    <x v="1"/>
    <x v="4"/>
  </r>
  <r>
    <x v="11"/>
    <m/>
    <n v="54000"/>
    <m/>
    <m/>
    <m/>
    <x v="348"/>
    <x v="1"/>
    <x v="4"/>
  </r>
  <r>
    <x v="12"/>
    <m/>
    <m/>
    <m/>
    <m/>
    <m/>
    <x v="348"/>
    <x v="1"/>
    <x v="4"/>
  </r>
  <r>
    <x v="13"/>
    <m/>
    <n v="270000"/>
    <m/>
    <m/>
    <m/>
    <x v="348"/>
    <x v="1"/>
    <x v="4"/>
  </r>
  <r>
    <x v="0"/>
    <m/>
    <m/>
    <m/>
    <m/>
    <m/>
    <x v="349"/>
    <x v="1"/>
    <x v="4"/>
  </r>
  <r>
    <x v="1"/>
    <m/>
    <n v="54000"/>
    <m/>
    <m/>
    <m/>
    <x v="349"/>
    <x v="1"/>
    <x v="4"/>
  </r>
  <r>
    <x v="2"/>
    <n v="108000"/>
    <n v="432000"/>
    <m/>
    <m/>
    <n v="162000"/>
    <x v="349"/>
    <x v="1"/>
    <x v="4"/>
  </r>
  <r>
    <x v="3"/>
    <m/>
    <n v="270000"/>
    <m/>
    <m/>
    <m/>
    <x v="349"/>
    <x v="1"/>
    <x v="4"/>
  </r>
  <r>
    <x v="4"/>
    <m/>
    <n v="108000"/>
    <m/>
    <m/>
    <m/>
    <x v="349"/>
    <x v="1"/>
    <x v="4"/>
  </r>
  <r>
    <x v="5"/>
    <m/>
    <n v="54000"/>
    <m/>
    <m/>
    <m/>
    <x v="349"/>
    <x v="1"/>
    <x v="4"/>
  </r>
  <r>
    <x v="14"/>
    <n v="54000"/>
    <m/>
    <m/>
    <m/>
    <m/>
    <x v="349"/>
    <x v="1"/>
    <x v="4"/>
  </r>
  <r>
    <x v="6"/>
    <n v="418000"/>
    <n v="54000"/>
    <n v="594000"/>
    <m/>
    <m/>
    <x v="349"/>
    <x v="1"/>
    <x v="4"/>
  </r>
  <r>
    <x v="7"/>
    <m/>
    <m/>
    <m/>
    <m/>
    <m/>
    <x v="349"/>
    <x v="1"/>
    <x v="4"/>
  </r>
  <r>
    <x v="15"/>
    <n v="477000"/>
    <m/>
    <n v="270000"/>
    <m/>
    <m/>
    <x v="349"/>
    <x v="1"/>
    <x v="4"/>
  </r>
  <r>
    <x v="8"/>
    <m/>
    <m/>
    <m/>
    <m/>
    <n v="432000"/>
    <x v="349"/>
    <x v="1"/>
    <x v="4"/>
  </r>
  <r>
    <x v="9"/>
    <m/>
    <n v="162000"/>
    <m/>
    <m/>
    <m/>
    <x v="349"/>
    <x v="1"/>
    <x v="4"/>
  </r>
  <r>
    <x v="10"/>
    <m/>
    <m/>
    <m/>
    <m/>
    <m/>
    <x v="349"/>
    <x v="1"/>
    <x v="4"/>
  </r>
  <r>
    <x v="11"/>
    <m/>
    <m/>
    <m/>
    <m/>
    <m/>
    <x v="349"/>
    <x v="1"/>
    <x v="4"/>
  </r>
  <r>
    <x v="12"/>
    <m/>
    <m/>
    <m/>
    <m/>
    <m/>
    <x v="349"/>
    <x v="1"/>
    <x v="4"/>
  </r>
  <r>
    <x v="13"/>
    <m/>
    <m/>
    <m/>
    <m/>
    <m/>
    <x v="349"/>
    <x v="1"/>
    <x v="4"/>
  </r>
  <r>
    <x v="0"/>
    <m/>
    <m/>
    <m/>
    <m/>
    <m/>
    <x v="350"/>
    <x v="1"/>
    <x v="4"/>
  </r>
  <r>
    <x v="1"/>
    <m/>
    <n v="103500"/>
    <m/>
    <m/>
    <m/>
    <x v="350"/>
    <x v="1"/>
    <x v="4"/>
  </r>
  <r>
    <x v="2"/>
    <n v="477000"/>
    <m/>
    <m/>
    <n v="162000"/>
    <n v="432000"/>
    <x v="350"/>
    <x v="1"/>
    <x v="4"/>
  </r>
  <r>
    <x v="3"/>
    <m/>
    <n v="414000"/>
    <m/>
    <m/>
    <m/>
    <x v="350"/>
    <x v="1"/>
    <x v="4"/>
  </r>
  <r>
    <x v="4"/>
    <m/>
    <n v="162000"/>
    <n v="702000"/>
    <m/>
    <m/>
    <x v="350"/>
    <x v="1"/>
    <x v="4"/>
  </r>
  <r>
    <x v="5"/>
    <m/>
    <m/>
    <m/>
    <n v="54000"/>
    <m/>
    <x v="350"/>
    <x v="1"/>
    <x v="4"/>
  </r>
  <r>
    <x v="14"/>
    <n v="45000"/>
    <m/>
    <m/>
    <m/>
    <m/>
    <x v="350"/>
    <x v="1"/>
    <x v="4"/>
  </r>
  <r>
    <x v="6"/>
    <n v="108000"/>
    <n v="103500"/>
    <n v="100000"/>
    <n v="162000"/>
    <m/>
    <x v="350"/>
    <x v="1"/>
    <x v="4"/>
  </r>
  <r>
    <x v="7"/>
    <m/>
    <m/>
    <m/>
    <m/>
    <m/>
    <x v="350"/>
    <x v="1"/>
    <x v="4"/>
  </r>
  <r>
    <x v="15"/>
    <n v="108000"/>
    <m/>
    <m/>
    <m/>
    <m/>
    <x v="350"/>
    <x v="1"/>
    <x v="4"/>
  </r>
  <r>
    <x v="8"/>
    <m/>
    <n v="45000"/>
    <m/>
    <n v="54000"/>
    <m/>
    <x v="350"/>
    <x v="1"/>
    <x v="4"/>
  </r>
  <r>
    <x v="9"/>
    <m/>
    <n v="216000"/>
    <m/>
    <m/>
    <m/>
    <x v="350"/>
    <x v="1"/>
    <x v="4"/>
  </r>
  <r>
    <x v="10"/>
    <m/>
    <m/>
    <m/>
    <m/>
    <m/>
    <x v="350"/>
    <x v="1"/>
    <x v="4"/>
  </r>
  <r>
    <x v="11"/>
    <m/>
    <m/>
    <m/>
    <m/>
    <m/>
    <x v="350"/>
    <x v="1"/>
    <x v="4"/>
  </r>
  <r>
    <x v="12"/>
    <n v="216000"/>
    <m/>
    <m/>
    <m/>
    <m/>
    <x v="350"/>
    <x v="1"/>
    <x v="4"/>
  </r>
  <r>
    <x v="13"/>
    <m/>
    <n v="108000"/>
    <m/>
    <n v="108000"/>
    <n v="50000"/>
    <x v="350"/>
    <x v="1"/>
    <x v="4"/>
  </r>
  <r>
    <x v="0"/>
    <m/>
    <m/>
    <m/>
    <m/>
    <m/>
    <x v="351"/>
    <x v="1"/>
    <x v="4"/>
  </r>
  <r>
    <x v="1"/>
    <m/>
    <m/>
    <m/>
    <m/>
    <m/>
    <x v="351"/>
    <x v="1"/>
    <x v="4"/>
  </r>
  <r>
    <x v="2"/>
    <n v="540000"/>
    <m/>
    <m/>
    <n v="54000"/>
    <n v="594000"/>
    <x v="351"/>
    <x v="1"/>
    <x v="4"/>
  </r>
  <r>
    <x v="3"/>
    <m/>
    <n v="486000"/>
    <m/>
    <n v="378000"/>
    <m/>
    <x v="351"/>
    <x v="1"/>
    <x v="4"/>
  </r>
  <r>
    <x v="4"/>
    <n v="153000"/>
    <n v="157500"/>
    <n v="162000"/>
    <n v="108000"/>
    <m/>
    <x v="351"/>
    <x v="1"/>
    <x v="4"/>
  </r>
  <r>
    <x v="5"/>
    <m/>
    <m/>
    <m/>
    <m/>
    <m/>
    <x v="351"/>
    <x v="1"/>
    <x v="4"/>
  </r>
  <r>
    <x v="14"/>
    <m/>
    <m/>
    <m/>
    <m/>
    <m/>
    <x v="351"/>
    <x v="1"/>
    <x v="4"/>
  </r>
  <r>
    <x v="6"/>
    <n v="432000"/>
    <m/>
    <m/>
    <n v="54000"/>
    <m/>
    <x v="351"/>
    <x v="1"/>
    <x v="4"/>
  </r>
  <r>
    <x v="7"/>
    <m/>
    <m/>
    <m/>
    <m/>
    <m/>
    <x v="351"/>
    <x v="1"/>
    <x v="4"/>
  </r>
  <r>
    <x v="15"/>
    <n v="162000"/>
    <m/>
    <n v="162000"/>
    <m/>
    <m/>
    <x v="351"/>
    <x v="1"/>
    <x v="4"/>
  </r>
  <r>
    <x v="8"/>
    <m/>
    <m/>
    <m/>
    <n v="108000"/>
    <m/>
    <x v="351"/>
    <x v="1"/>
    <x v="4"/>
  </r>
  <r>
    <x v="9"/>
    <m/>
    <n v="211500"/>
    <m/>
    <m/>
    <m/>
    <x v="351"/>
    <x v="1"/>
    <x v="4"/>
  </r>
  <r>
    <x v="10"/>
    <m/>
    <m/>
    <m/>
    <m/>
    <m/>
    <x v="351"/>
    <x v="1"/>
    <x v="4"/>
  </r>
  <r>
    <x v="11"/>
    <m/>
    <m/>
    <m/>
    <m/>
    <m/>
    <x v="351"/>
    <x v="1"/>
    <x v="4"/>
  </r>
  <r>
    <x v="12"/>
    <n v="216000"/>
    <m/>
    <m/>
    <m/>
    <m/>
    <x v="351"/>
    <x v="1"/>
    <x v="4"/>
  </r>
  <r>
    <x v="13"/>
    <m/>
    <n v="160000"/>
    <m/>
    <n v="108000"/>
    <n v="140000"/>
    <x v="351"/>
    <x v="1"/>
    <x v="4"/>
  </r>
  <r>
    <x v="0"/>
    <m/>
    <m/>
    <m/>
    <m/>
    <m/>
    <x v="352"/>
    <x v="1"/>
    <x v="4"/>
  </r>
  <r>
    <x v="1"/>
    <m/>
    <n v="54000"/>
    <m/>
    <m/>
    <m/>
    <x v="352"/>
    <x v="1"/>
    <x v="4"/>
  </r>
  <r>
    <x v="2"/>
    <n v="702000"/>
    <m/>
    <m/>
    <n v="54000"/>
    <n v="540000"/>
    <x v="352"/>
    <x v="1"/>
    <x v="4"/>
  </r>
  <r>
    <x v="3"/>
    <m/>
    <n v="810000"/>
    <m/>
    <n v="216000"/>
    <m/>
    <x v="352"/>
    <x v="1"/>
    <x v="4"/>
  </r>
  <r>
    <x v="4"/>
    <n v="432000"/>
    <n v="162000"/>
    <n v="270000"/>
    <n v="108000"/>
    <m/>
    <x v="352"/>
    <x v="1"/>
    <x v="4"/>
  </r>
  <r>
    <x v="5"/>
    <m/>
    <n v="108000"/>
    <m/>
    <n v="54000"/>
    <m/>
    <x v="352"/>
    <x v="1"/>
    <x v="4"/>
  </r>
  <r>
    <x v="14"/>
    <m/>
    <m/>
    <m/>
    <m/>
    <m/>
    <x v="352"/>
    <x v="1"/>
    <x v="4"/>
  </r>
  <r>
    <x v="6"/>
    <n v="374000"/>
    <n v="90000"/>
    <m/>
    <n v="108000"/>
    <m/>
    <x v="352"/>
    <x v="1"/>
    <x v="4"/>
  </r>
  <r>
    <x v="7"/>
    <m/>
    <m/>
    <m/>
    <m/>
    <m/>
    <x v="352"/>
    <x v="1"/>
    <x v="4"/>
  </r>
  <r>
    <x v="15"/>
    <n v="162000"/>
    <m/>
    <m/>
    <m/>
    <m/>
    <x v="352"/>
    <x v="1"/>
    <x v="4"/>
  </r>
  <r>
    <x v="8"/>
    <m/>
    <m/>
    <m/>
    <m/>
    <m/>
    <x v="352"/>
    <x v="1"/>
    <x v="4"/>
  </r>
  <r>
    <x v="9"/>
    <m/>
    <n v="211500"/>
    <m/>
    <m/>
    <m/>
    <x v="352"/>
    <x v="1"/>
    <x v="4"/>
  </r>
  <r>
    <x v="10"/>
    <m/>
    <m/>
    <m/>
    <m/>
    <m/>
    <x v="352"/>
    <x v="1"/>
    <x v="4"/>
  </r>
  <r>
    <x v="11"/>
    <m/>
    <m/>
    <m/>
    <m/>
    <m/>
    <x v="352"/>
    <x v="1"/>
    <x v="4"/>
  </r>
  <r>
    <x v="12"/>
    <n v="378000"/>
    <m/>
    <m/>
    <m/>
    <m/>
    <x v="352"/>
    <x v="1"/>
    <x v="4"/>
  </r>
  <r>
    <x v="13"/>
    <m/>
    <n v="162000"/>
    <m/>
    <n v="54000"/>
    <m/>
    <x v="352"/>
    <x v="1"/>
    <x v="4"/>
  </r>
  <r>
    <x v="0"/>
    <m/>
    <m/>
    <m/>
    <m/>
    <m/>
    <x v="353"/>
    <x v="1"/>
    <x v="4"/>
  </r>
  <r>
    <x v="1"/>
    <m/>
    <m/>
    <m/>
    <m/>
    <m/>
    <x v="353"/>
    <x v="1"/>
    <x v="4"/>
  </r>
  <r>
    <x v="2"/>
    <n v="270000"/>
    <m/>
    <m/>
    <n v="108000"/>
    <n v="270000"/>
    <x v="353"/>
    <x v="1"/>
    <x v="4"/>
  </r>
  <r>
    <x v="3"/>
    <m/>
    <n v="324000"/>
    <m/>
    <n v="486000"/>
    <m/>
    <x v="353"/>
    <x v="1"/>
    <x v="4"/>
  </r>
  <r>
    <x v="4"/>
    <n v="364500"/>
    <n v="162000"/>
    <n v="230000"/>
    <n v="54000"/>
    <m/>
    <x v="353"/>
    <x v="1"/>
    <x v="4"/>
  </r>
  <r>
    <x v="5"/>
    <m/>
    <n v="162000"/>
    <n v="50000"/>
    <n v="54000"/>
    <m/>
    <x v="353"/>
    <x v="1"/>
    <x v="4"/>
  </r>
  <r>
    <x v="14"/>
    <m/>
    <m/>
    <m/>
    <m/>
    <m/>
    <x v="353"/>
    <x v="1"/>
    <x v="4"/>
  </r>
  <r>
    <x v="6"/>
    <n v="162000"/>
    <n v="54000"/>
    <m/>
    <n v="54000"/>
    <m/>
    <x v="353"/>
    <x v="1"/>
    <x v="4"/>
  </r>
  <r>
    <x v="7"/>
    <m/>
    <m/>
    <m/>
    <m/>
    <m/>
    <x v="353"/>
    <x v="1"/>
    <x v="4"/>
  </r>
  <r>
    <x v="15"/>
    <n v="45000"/>
    <m/>
    <n v="54000"/>
    <m/>
    <m/>
    <x v="353"/>
    <x v="1"/>
    <x v="4"/>
  </r>
  <r>
    <x v="8"/>
    <m/>
    <n v="162000"/>
    <m/>
    <n v="54000"/>
    <m/>
    <x v="353"/>
    <x v="1"/>
    <x v="4"/>
  </r>
  <r>
    <x v="9"/>
    <m/>
    <n v="103500"/>
    <m/>
    <n v="45000"/>
    <m/>
    <x v="353"/>
    <x v="1"/>
    <x v="4"/>
  </r>
  <r>
    <x v="10"/>
    <m/>
    <m/>
    <m/>
    <m/>
    <m/>
    <x v="353"/>
    <x v="1"/>
    <x v="4"/>
  </r>
  <r>
    <x v="11"/>
    <m/>
    <m/>
    <m/>
    <m/>
    <m/>
    <x v="353"/>
    <x v="1"/>
    <x v="4"/>
  </r>
  <r>
    <x v="12"/>
    <n v="162000"/>
    <m/>
    <m/>
    <m/>
    <m/>
    <x v="353"/>
    <x v="1"/>
    <x v="4"/>
  </r>
  <r>
    <x v="13"/>
    <m/>
    <n v="108000"/>
    <m/>
    <n v="154000"/>
    <m/>
    <x v="353"/>
    <x v="1"/>
    <x v="4"/>
  </r>
  <r>
    <x v="0"/>
    <m/>
    <m/>
    <m/>
    <m/>
    <m/>
    <x v="354"/>
    <x v="1"/>
    <x v="4"/>
  </r>
  <r>
    <x v="1"/>
    <m/>
    <m/>
    <m/>
    <m/>
    <m/>
    <x v="354"/>
    <x v="1"/>
    <x v="4"/>
  </r>
  <r>
    <x v="2"/>
    <n v="851000"/>
    <m/>
    <m/>
    <n v="108000"/>
    <m/>
    <x v="354"/>
    <x v="1"/>
    <x v="4"/>
  </r>
  <r>
    <x v="3"/>
    <m/>
    <n v="202500"/>
    <m/>
    <n v="378000"/>
    <m/>
    <x v="354"/>
    <x v="1"/>
    <x v="4"/>
  </r>
  <r>
    <x v="4"/>
    <n v="518500"/>
    <n v="135000"/>
    <n v="135000"/>
    <n v="103500"/>
    <m/>
    <x v="354"/>
    <x v="1"/>
    <x v="4"/>
  </r>
  <r>
    <x v="5"/>
    <m/>
    <n v="103500"/>
    <m/>
    <n v="54000"/>
    <m/>
    <x v="354"/>
    <x v="1"/>
    <x v="4"/>
  </r>
  <r>
    <x v="14"/>
    <m/>
    <m/>
    <m/>
    <m/>
    <m/>
    <x v="354"/>
    <x v="1"/>
    <x v="4"/>
  </r>
  <r>
    <x v="6"/>
    <n v="378000"/>
    <n v="50000"/>
    <m/>
    <m/>
    <m/>
    <x v="354"/>
    <x v="1"/>
    <x v="4"/>
  </r>
  <r>
    <x v="7"/>
    <m/>
    <m/>
    <m/>
    <m/>
    <m/>
    <x v="354"/>
    <x v="1"/>
    <x v="4"/>
  </r>
  <r>
    <x v="15"/>
    <n v="45000"/>
    <m/>
    <m/>
    <m/>
    <m/>
    <x v="354"/>
    <x v="1"/>
    <x v="4"/>
  </r>
  <r>
    <x v="8"/>
    <m/>
    <n v="684000"/>
    <m/>
    <n v="54000"/>
    <m/>
    <x v="354"/>
    <x v="1"/>
    <x v="4"/>
  </r>
  <r>
    <x v="9"/>
    <m/>
    <n v="216000"/>
    <m/>
    <m/>
    <m/>
    <x v="354"/>
    <x v="1"/>
    <x v="4"/>
  </r>
  <r>
    <x v="10"/>
    <m/>
    <m/>
    <m/>
    <m/>
    <m/>
    <x v="354"/>
    <x v="1"/>
    <x v="4"/>
  </r>
  <r>
    <x v="11"/>
    <m/>
    <m/>
    <m/>
    <m/>
    <m/>
    <x v="354"/>
    <x v="1"/>
    <x v="4"/>
  </r>
  <r>
    <x v="12"/>
    <n v="108000"/>
    <m/>
    <m/>
    <m/>
    <m/>
    <x v="354"/>
    <x v="1"/>
    <x v="4"/>
  </r>
  <r>
    <x v="13"/>
    <m/>
    <n v="144000"/>
    <m/>
    <n v="54000"/>
    <m/>
    <x v="354"/>
    <x v="1"/>
    <x v="4"/>
  </r>
  <r>
    <x v="0"/>
    <m/>
    <m/>
    <m/>
    <m/>
    <m/>
    <x v="355"/>
    <x v="1"/>
    <x v="4"/>
  </r>
  <r>
    <x v="1"/>
    <m/>
    <m/>
    <m/>
    <m/>
    <m/>
    <x v="355"/>
    <x v="1"/>
    <x v="4"/>
  </r>
  <r>
    <x v="2"/>
    <n v="585000"/>
    <m/>
    <m/>
    <n v="54000"/>
    <m/>
    <x v="355"/>
    <x v="1"/>
    <x v="4"/>
  </r>
  <r>
    <x v="3"/>
    <m/>
    <n v="481500"/>
    <m/>
    <n v="270000"/>
    <m/>
    <x v="355"/>
    <x v="1"/>
    <x v="4"/>
  </r>
  <r>
    <x v="4"/>
    <n v="690000"/>
    <n v="162000"/>
    <m/>
    <m/>
    <m/>
    <x v="355"/>
    <x v="1"/>
    <x v="4"/>
  </r>
  <r>
    <x v="5"/>
    <m/>
    <n v="211500"/>
    <m/>
    <n v="54000"/>
    <m/>
    <x v="355"/>
    <x v="1"/>
    <x v="4"/>
  </r>
  <r>
    <x v="14"/>
    <m/>
    <m/>
    <m/>
    <m/>
    <m/>
    <x v="355"/>
    <x v="1"/>
    <x v="4"/>
  </r>
  <r>
    <x v="6"/>
    <n v="270000"/>
    <m/>
    <m/>
    <n v="54000"/>
    <m/>
    <x v="355"/>
    <x v="1"/>
    <x v="4"/>
  </r>
  <r>
    <x v="7"/>
    <m/>
    <m/>
    <m/>
    <m/>
    <m/>
    <x v="355"/>
    <x v="1"/>
    <x v="4"/>
  </r>
  <r>
    <x v="15"/>
    <m/>
    <m/>
    <m/>
    <m/>
    <m/>
    <x v="355"/>
    <x v="1"/>
    <x v="4"/>
  </r>
  <r>
    <x v="8"/>
    <m/>
    <m/>
    <m/>
    <m/>
    <m/>
    <x v="355"/>
    <x v="1"/>
    <x v="4"/>
  </r>
  <r>
    <x v="9"/>
    <m/>
    <n v="269000"/>
    <m/>
    <m/>
    <m/>
    <x v="355"/>
    <x v="1"/>
    <x v="4"/>
  </r>
  <r>
    <x v="10"/>
    <m/>
    <m/>
    <m/>
    <m/>
    <m/>
    <x v="355"/>
    <x v="1"/>
    <x v="4"/>
  </r>
  <r>
    <x v="11"/>
    <m/>
    <m/>
    <m/>
    <m/>
    <m/>
    <x v="355"/>
    <x v="1"/>
    <x v="4"/>
  </r>
  <r>
    <x v="12"/>
    <m/>
    <m/>
    <m/>
    <m/>
    <m/>
    <x v="355"/>
    <x v="1"/>
    <x v="4"/>
  </r>
  <r>
    <x v="13"/>
    <m/>
    <n v="45000"/>
    <m/>
    <n v="50000"/>
    <m/>
    <x v="355"/>
    <x v="1"/>
    <x v="4"/>
  </r>
  <r>
    <x v="0"/>
    <m/>
    <m/>
    <m/>
    <m/>
    <m/>
    <x v="356"/>
    <x v="1"/>
    <x v="4"/>
  </r>
  <r>
    <x v="1"/>
    <m/>
    <m/>
    <m/>
    <m/>
    <m/>
    <x v="356"/>
    <x v="1"/>
    <x v="4"/>
  </r>
  <r>
    <x v="2"/>
    <n v="1017000"/>
    <m/>
    <m/>
    <m/>
    <m/>
    <x v="356"/>
    <x v="1"/>
    <x v="4"/>
  </r>
  <r>
    <x v="3"/>
    <m/>
    <n v="369000"/>
    <m/>
    <m/>
    <m/>
    <x v="356"/>
    <x v="1"/>
    <x v="4"/>
  </r>
  <r>
    <x v="4"/>
    <n v="589000"/>
    <n v="376000"/>
    <m/>
    <m/>
    <m/>
    <x v="356"/>
    <x v="1"/>
    <x v="4"/>
  </r>
  <r>
    <x v="5"/>
    <m/>
    <n v="270000"/>
    <m/>
    <m/>
    <m/>
    <x v="356"/>
    <x v="1"/>
    <x v="4"/>
  </r>
  <r>
    <x v="14"/>
    <m/>
    <m/>
    <m/>
    <m/>
    <m/>
    <x v="356"/>
    <x v="1"/>
    <x v="4"/>
  </r>
  <r>
    <x v="6"/>
    <n v="54000"/>
    <m/>
    <m/>
    <m/>
    <m/>
    <x v="356"/>
    <x v="1"/>
    <x v="4"/>
  </r>
  <r>
    <x v="7"/>
    <m/>
    <m/>
    <m/>
    <m/>
    <m/>
    <x v="356"/>
    <x v="1"/>
    <x v="4"/>
  </r>
  <r>
    <x v="15"/>
    <m/>
    <m/>
    <m/>
    <m/>
    <m/>
    <x v="356"/>
    <x v="1"/>
    <x v="4"/>
  </r>
  <r>
    <x v="8"/>
    <m/>
    <m/>
    <m/>
    <m/>
    <m/>
    <x v="356"/>
    <x v="1"/>
    <x v="4"/>
  </r>
  <r>
    <x v="9"/>
    <m/>
    <n v="216000"/>
    <m/>
    <m/>
    <m/>
    <x v="356"/>
    <x v="1"/>
    <x v="4"/>
  </r>
  <r>
    <x v="10"/>
    <m/>
    <m/>
    <m/>
    <m/>
    <m/>
    <x v="356"/>
    <x v="1"/>
    <x v="4"/>
  </r>
  <r>
    <x v="11"/>
    <m/>
    <m/>
    <m/>
    <m/>
    <m/>
    <x v="356"/>
    <x v="1"/>
    <x v="4"/>
  </r>
  <r>
    <x v="12"/>
    <m/>
    <m/>
    <m/>
    <m/>
    <m/>
    <x v="356"/>
    <x v="1"/>
    <x v="4"/>
  </r>
  <r>
    <x v="13"/>
    <m/>
    <n v="49500"/>
    <m/>
    <m/>
    <m/>
    <x v="356"/>
    <x v="1"/>
    <x v="4"/>
  </r>
  <r>
    <x v="0"/>
    <m/>
    <m/>
    <m/>
    <m/>
    <m/>
    <x v="357"/>
    <x v="1"/>
    <x v="4"/>
  </r>
  <r>
    <x v="1"/>
    <m/>
    <m/>
    <m/>
    <m/>
    <m/>
    <x v="357"/>
    <x v="1"/>
    <x v="4"/>
  </r>
  <r>
    <x v="2"/>
    <n v="857000"/>
    <m/>
    <m/>
    <m/>
    <m/>
    <x v="357"/>
    <x v="1"/>
    <x v="4"/>
  </r>
  <r>
    <x v="3"/>
    <m/>
    <n v="369000"/>
    <m/>
    <m/>
    <m/>
    <x v="357"/>
    <x v="1"/>
    <x v="4"/>
  </r>
  <r>
    <x v="4"/>
    <n v="207000"/>
    <n v="212000"/>
    <m/>
    <m/>
    <m/>
    <x v="357"/>
    <x v="1"/>
    <x v="4"/>
  </r>
  <r>
    <x v="5"/>
    <m/>
    <n v="216000"/>
    <m/>
    <m/>
    <m/>
    <x v="357"/>
    <x v="1"/>
    <x v="4"/>
  </r>
  <r>
    <x v="14"/>
    <m/>
    <m/>
    <m/>
    <m/>
    <m/>
    <x v="357"/>
    <x v="1"/>
    <x v="4"/>
  </r>
  <r>
    <x v="6"/>
    <m/>
    <m/>
    <m/>
    <m/>
    <m/>
    <x v="357"/>
    <x v="1"/>
    <x v="4"/>
  </r>
  <r>
    <x v="7"/>
    <m/>
    <m/>
    <m/>
    <m/>
    <m/>
    <x v="357"/>
    <x v="1"/>
    <x v="4"/>
  </r>
  <r>
    <x v="15"/>
    <m/>
    <m/>
    <m/>
    <m/>
    <m/>
    <x v="357"/>
    <x v="1"/>
    <x v="4"/>
  </r>
  <r>
    <x v="8"/>
    <m/>
    <n v="45000"/>
    <m/>
    <m/>
    <m/>
    <x v="357"/>
    <x v="1"/>
    <x v="4"/>
  </r>
  <r>
    <x v="9"/>
    <n v="594000"/>
    <n v="216000"/>
    <n v="585000"/>
    <m/>
    <m/>
    <x v="357"/>
    <x v="1"/>
    <x v="4"/>
  </r>
  <r>
    <x v="10"/>
    <m/>
    <m/>
    <m/>
    <m/>
    <m/>
    <x v="357"/>
    <x v="1"/>
    <x v="4"/>
  </r>
  <r>
    <x v="11"/>
    <m/>
    <m/>
    <m/>
    <m/>
    <m/>
    <x v="357"/>
    <x v="1"/>
    <x v="4"/>
  </r>
  <r>
    <x v="12"/>
    <m/>
    <m/>
    <m/>
    <m/>
    <m/>
    <x v="357"/>
    <x v="1"/>
    <x v="4"/>
  </r>
  <r>
    <x v="13"/>
    <m/>
    <m/>
    <m/>
    <m/>
    <m/>
    <x v="357"/>
    <x v="1"/>
    <x v="4"/>
  </r>
  <r>
    <x v="0"/>
    <m/>
    <m/>
    <m/>
    <m/>
    <m/>
    <x v="358"/>
    <x v="1"/>
    <x v="4"/>
  </r>
  <r>
    <x v="1"/>
    <m/>
    <m/>
    <m/>
    <m/>
    <m/>
    <x v="358"/>
    <x v="1"/>
    <x v="4"/>
  </r>
  <r>
    <x v="2"/>
    <n v="485000"/>
    <m/>
    <m/>
    <m/>
    <m/>
    <x v="358"/>
    <x v="1"/>
    <x v="4"/>
  </r>
  <r>
    <x v="3"/>
    <m/>
    <n v="697500"/>
    <m/>
    <m/>
    <m/>
    <x v="358"/>
    <x v="1"/>
    <x v="4"/>
  </r>
  <r>
    <x v="4"/>
    <n v="45000"/>
    <n v="162000"/>
    <m/>
    <m/>
    <m/>
    <x v="358"/>
    <x v="1"/>
    <x v="4"/>
  </r>
  <r>
    <x v="5"/>
    <m/>
    <n v="153000"/>
    <m/>
    <m/>
    <m/>
    <x v="358"/>
    <x v="1"/>
    <x v="4"/>
  </r>
  <r>
    <x v="14"/>
    <m/>
    <m/>
    <m/>
    <m/>
    <m/>
    <x v="358"/>
    <x v="1"/>
    <x v="4"/>
  </r>
  <r>
    <x v="6"/>
    <m/>
    <m/>
    <m/>
    <m/>
    <m/>
    <x v="358"/>
    <x v="1"/>
    <x v="4"/>
  </r>
  <r>
    <x v="7"/>
    <m/>
    <m/>
    <m/>
    <m/>
    <m/>
    <x v="358"/>
    <x v="1"/>
    <x v="4"/>
  </r>
  <r>
    <x v="15"/>
    <m/>
    <m/>
    <m/>
    <m/>
    <m/>
    <x v="358"/>
    <x v="1"/>
    <x v="4"/>
  </r>
  <r>
    <x v="8"/>
    <m/>
    <m/>
    <m/>
    <m/>
    <m/>
    <x v="358"/>
    <x v="1"/>
    <x v="4"/>
  </r>
  <r>
    <x v="9"/>
    <n v="904500"/>
    <n v="256500"/>
    <n v="370000"/>
    <m/>
    <m/>
    <x v="358"/>
    <x v="1"/>
    <x v="4"/>
  </r>
  <r>
    <x v="10"/>
    <m/>
    <m/>
    <m/>
    <m/>
    <m/>
    <x v="358"/>
    <x v="1"/>
    <x v="4"/>
  </r>
  <r>
    <x v="11"/>
    <m/>
    <m/>
    <m/>
    <m/>
    <m/>
    <x v="358"/>
    <x v="1"/>
    <x v="4"/>
  </r>
  <r>
    <x v="12"/>
    <m/>
    <m/>
    <m/>
    <m/>
    <m/>
    <x v="358"/>
    <x v="1"/>
    <x v="4"/>
  </r>
  <r>
    <x v="13"/>
    <m/>
    <n v="45000"/>
    <m/>
    <m/>
    <m/>
    <x v="358"/>
    <x v="1"/>
    <x v="4"/>
  </r>
  <r>
    <x v="0"/>
    <m/>
    <m/>
    <m/>
    <m/>
    <m/>
    <x v="359"/>
    <x v="1"/>
    <x v="4"/>
  </r>
  <r>
    <x v="1"/>
    <m/>
    <m/>
    <m/>
    <m/>
    <m/>
    <x v="359"/>
    <x v="1"/>
    <x v="4"/>
  </r>
  <r>
    <x v="2"/>
    <n v="54000"/>
    <m/>
    <m/>
    <m/>
    <m/>
    <x v="359"/>
    <x v="1"/>
    <x v="4"/>
  </r>
  <r>
    <x v="3"/>
    <m/>
    <n v="643500"/>
    <m/>
    <m/>
    <m/>
    <x v="359"/>
    <x v="1"/>
    <x v="4"/>
  </r>
  <r>
    <x v="4"/>
    <m/>
    <n v="162000"/>
    <m/>
    <m/>
    <m/>
    <x v="359"/>
    <x v="1"/>
    <x v="4"/>
  </r>
  <r>
    <x v="5"/>
    <m/>
    <n v="324000"/>
    <m/>
    <m/>
    <m/>
    <x v="359"/>
    <x v="1"/>
    <x v="4"/>
  </r>
  <r>
    <x v="14"/>
    <m/>
    <m/>
    <m/>
    <m/>
    <m/>
    <x v="359"/>
    <x v="1"/>
    <x v="4"/>
  </r>
  <r>
    <x v="6"/>
    <m/>
    <m/>
    <m/>
    <m/>
    <m/>
    <x v="359"/>
    <x v="1"/>
    <x v="4"/>
  </r>
  <r>
    <x v="7"/>
    <m/>
    <m/>
    <m/>
    <m/>
    <m/>
    <x v="359"/>
    <x v="1"/>
    <x v="4"/>
  </r>
  <r>
    <x v="15"/>
    <m/>
    <m/>
    <m/>
    <m/>
    <m/>
    <x v="359"/>
    <x v="1"/>
    <x v="4"/>
  </r>
  <r>
    <x v="8"/>
    <m/>
    <m/>
    <m/>
    <m/>
    <m/>
    <x v="359"/>
    <x v="1"/>
    <x v="4"/>
  </r>
  <r>
    <x v="9"/>
    <n v="1302500"/>
    <n v="216000"/>
    <n v="45000"/>
    <m/>
    <m/>
    <x v="359"/>
    <x v="1"/>
    <x v="4"/>
  </r>
  <r>
    <x v="10"/>
    <m/>
    <m/>
    <m/>
    <m/>
    <m/>
    <x v="359"/>
    <x v="1"/>
    <x v="4"/>
  </r>
  <r>
    <x v="11"/>
    <m/>
    <m/>
    <m/>
    <m/>
    <m/>
    <x v="359"/>
    <x v="1"/>
    <x v="4"/>
  </r>
  <r>
    <x v="12"/>
    <m/>
    <m/>
    <m/>
    <m/>
    <m/>
    <x v="359"/>
    <x v="1"/>
    <x v="4"/>
  </r>
  <r>
    <x v="13"/>
    <m/>
    <n v="45000"/>
    <m/>
    <m/>
    <m/>
    <x v="359"/>
    <x v="1"/>
    <x v="4"/>
  </r>
  <r>
    <x v="0"/>
    <m/>
    <m/>
    <m/>
    <m/>
    <m/>
    <x v="360"/>
    <x v="1"/>
    <x v="4"/>
  </r>
  <r>
    <x v="1"/>
    <m/>
    <m/>
    <m/>
    <m/>
    <m/>
    <x v="360"/>
    <x v="1"/>
    <x v="4"/>
  </r>
  <r>
    <x v="2"/>
    <n v="54000"/>
    <m/>
    <m/>
    <m/>
    <m/>
    <x v="360"/>
    <x v="1"/>
    <x v="4"/>
  </r>
  <r>
    <x v="3"/>
    <m/>
    <n v="518000"/>
    <m/>
    <n v="270000"/>
    <m/>
    <x v="360"/>
    <x v="1"/>
    <x v="4"/>
  </r>
  <r>
    <x v="4"/>
    <m/>
    <n v="216000"/>
    <n v="540000"/>
    <m/>
    <m/>
    <x v="360"/>
    <x v="1"/>
    <x v="4"/>
  </r>
  <r>
    <x v="5"/>
    <m/>
    <n v="423000"/>
    <m/>
    <m/>
    <m/>
    <x v="360"/>
    <x v="1"/>
    <x v="4"/>
  </r>
  <r>
    <x v="14"/>
    <n v="54000"/>
    <m/>
    <m/>
    <m/>
    <m/>
    <x v="360"/>
    <x v="1"/>
    <x v="4"/>
  </r>
  <r>
    <x v="6"/>
    <m/>
    <m/>
    <m/>
    <m/>
    <m/>
    <x v="360"/>
    <x v="1"/>
    <x v="4"/>
  </r>
  <r>
    <x v="7"/>
    <m/>
    <m/>
    <m/>
    <m/>
    <m/>
    <x v="360"/>
    <x v="1"/>
    <x v="4"/>
  </r>
  <r>
    <x v="15"/>
    <m/>
    <m/>
    <m/>
    <m/>
    <m/>
    <x v="360"/>
    <x v="1"/>
    <x v="4"/>
  </r>
  <r>
    <x v="8"/>
    <m/>
    <m/>
    <m/>
    <m/>
    <m/>
    <x v="360"/>
    <x v="1"/>
    <x v="4"/>
  </r>
  <r>
    <x v="9"/>
    <n v="1134000"/>
    <n v="324000"/>
    <m/>
    <m/>
    <m/>
    <x v="360"/>
    <x v="1"/>
    <x v="4"/>
  </r>
  <r>
    <x v="10"/>
    <m/>
    <m/>
    <m/>
    <m/>
    <m/>
    <x v="360"/>
    <x v="1"/>
    <x v="4"/>
  </r>
  <r>
    <x v="11"/>
    <m/>
    <m/>
    <m/>
    <m/>
    <m/>
    <x v="360"/>
    <x v="1"/>
    <x v="4"/>
  </r>
  <r>
    <x v="12"/>
    <m/>
    <m/>
    <m/>
    <m/>
    <m/>
    <x v="360"/>
    <x v="1"/>
    <x v="4"/>
  </r>
  <r>
    <x v="13"/>
    <m/>
    <n v="216000"/>
    <m/>
    <m/>
    <m/>
    <x v="360"/>
    <x v="1"/>
    <x v="4"/>
  </r>
  <r>
    <x v="0"/>
    <m/>
    <m/>
    <m/>
    <m/>
    <m/>
    <x v="361"/>
    <x v="1"/>
    <x v="5"/>
  </r>
  <r>
    <x v="1"/>
    <m/>
    <m/>
    <m/>
    <m/>
    <m/>
    <x v="361"/>
    <x v="1"/>
    <x v="5"/>
  </r>
  <r>
    <x v="2"/>
    <m/>
    <m/>
    <m/>
    <m/>
    <m/>
    <x v="361"/>
    <x v="1"/>
    <x v="5"/>
  </r>
  <r>
    <x v="3"/>
    <m/>
    <m/>
    <m/>
    <m/>
    <m/>
    <x v="361"/>
    <x v="1"/>
    <x v="5"/>
  </r>
  <r>
    <x v="4"/>
    <m/>
    <m/>
    <m/>
    <m/>
    <m/>
    <x v="361"/>
    <x v="1"/>
    <x v="5"/>
  </r>
  <r>
    <x v="5"/>
    <m/>
    <m/>
    <m/>
    <m/>
    <m/>
    <x v="361"/>
    <x v="1"/>
    <x v="5"/>
  </r>
  <r>
    <x v="14"/>
    <m/>
    <m/>
    <m/>
    <m/>
    <m/>
    <x v="361"/>
    <x v="1"/>
    <x v="5"/>
  </r>
  <r>
    <x v="6"/>
    <m/>
    <m/>
    <m/>
    <m/>
    <m/>
    <x v="361"/>
    <x v="1"/>
    <x v="5"/>
  </r>
  <r>
    <x v="7"/>
    <m/>
    <m/>
    <m/>
    <m/>
    <m/>
    <x v="361"/>
    <x v="1"/>
    <x v="5"/>
  </r>
  <r>
    <x v="15"/>
    <m/>
    <m/>
    <m/>
    <m/>
    <m/>
    <x v="361"/>
    <x v="1"/>
    <x v="5"/>
  </r>
  <r>
    <x v="8"/>
    <m/>
    <n v="324000"/>
    <m/>
    <m/>
    <m/>
    <x v="361"/>
    <x v="1"/>
    <x v="5"/>
  </r>
  <r>
    <x v="9"/>
    <m/>
    <m/>
    <m/>
    <m/>
    <m/>
    <x v="361"/>
    <x v="1"/>
    <x v="5"/>
  </r>
  <r>
    <x v="10"/>
    <m/>
    <m/>
    <m/>
    <m/>
    <m/>
    <x v="361"/>
    <x v="1"/>
    <x v="5"/>
  </r>
  <r>
    <x v="11"/>
    <m/>
    <m/>
    <m/>
    <m/>
    <m/>
    <x v="361"/>
    <x v="1"/>
    <x v="5"/>
  </r>
  <r>
    <x v="12"/>
    <m/>
    <m/>
    <m/>
    <m/>
    <m/>
    <x v="361"/>
    <x v="1"/>
    <x v="5"/>
  </r>
  <r>
    <x v="13"/>
    <m/>
    <m/>
    <m/>
    <m/>
    <m/>
    <x v="361"/>
    <x v="1"/>
    <x v="5"/>
  </r>
  <r>
    <x v="0"/>
    <m/>
    <m/>
    <m/>
    <m/>
    <m/>
    <x v="362"/>
    <x v="1"/>
    <x v="5"/>
  </r>
  <r>
    <x v="1"/>
    <m/>
    <m/>
    <m/>
    <m/>
    <m/>
    <x v="362"/>
    <x v="1"/>
    <x v="5"/>
  </r>
  <r>
    <x v="2"/>
    <m/>
    <m/>
    <m/>
    <n v="108000"/>
    <m/>
    <x v="362"/>
    <x v="1"/>
    <x v="5"/>
  </r>
  <r>
    <x v="3"/>
    <n v="320000"/>
    <n v="49500"/>
    <m/>
    <m/>
    <m/>
    <x v="362"/>
    <x v="1"/>
    <x v="5"/>
  </r>
  <r>
    <x v="4"/>
    <m/>
    <n v="54000"/>
    <m/>
    <n v="158000"/>
    <m/>
    <x v="362"/>
    <x v="1"/>
    <x v="5"/>
  </r>
  <r>
    <x v="5"/>
    <m/>
    <n v="148500"/>
    <m/>
    <n v="54000"/>
    <m/>
    <x v="362"/>
    <x v="1"/>
    <x v="5"/>
  </r>
  <r>
    <x v="14"/>
    <m/>
    <m/>
    <m/>
    <m/>
    <m/>
    <x v="362"/>
    <x v="1"/>
    <x v="5"/>
  </r>
  <r>
    <x v="6"/>
    <m/>
    <n v="162000"/>
    <m/>
    <n v="162000"/>
    <m/>
    <x v="362"/>
    <x v="1"/>
    <x v="5"/>
  </r>
  <r>
    <x v="7"/>
    <m/>
    <m/>
    <m/>
    <m/>
    <m/>
    <x v="362"/>
    <x v="1"/>
    <x v="5"/>
  </r>
  <r>
    <x v="15"/>
    <m/>
    <m/>
    <m/>
    <m/>
    <m/>
    <x v="362"/>
    <x v="1"/>
    <x v="5"/>
  </r>
  <r>
    <x v="8"/>
    <m/>
    <n v="828000"/>
    <m/>
    <m/>
    <m/>
    <x v="362"/>
    <x v="1"/>
    <x v="5"/>
  </r>
  <r>
    <x v="9"/>
    <m/>
    <n v="270000"/>
    <m/>
    <m/>
    <m/>
    <x v="362"/>
    <x v="1"/>
    <x v="5"/>
  </r>
  <r>
    <x v="10"/>
    <m/>
    <m/>
    <m/>
    <m/>
    <m/>
    <x v="362"/>
    <x v="1"/>
    <x v="5"/>
  </r>
  <r>
    <x v="11"/>
    <m/>
    <n v="108000"/>
    <m/>
    <m/>
    <m/>
    <x v="362"/>
    <x v="1"/>
    <x v="5"/>
  </r>
  <r>
    <x v="12"/>
    <m/>
    <m/>
    <m/>
    <m/>
    <m/>
    <x v="362"/>
    <x v="1"/>
    <x v="5"/>
  </r>
  <r>
    <x v="13"/>
    <m/>
    <n v="108000"/>
    <m/>
    <n v="104000"/>
    <m/>
    <x v="362"/>
    <x v="1"/>
    <x v="5"/>
  </r>
  <r>
    <x v="0"/>
    <m/>
    <m/>
    <m/>
    <m/>
    <m/>
    <x v="363"/>
    <x v="1"/>
    <x v="5"/>
  </r>
  <r>
    <x v="1"/>
    <m/>
    <m/>
    <m/>
    <m/>
    <m/>
    <x v="363"/>
    <x v="1"/>
    <x v="5"/>
  </r>
  <r>
    <x v="2"/>
    <n v="426500"/>
    <m/>
    <m/>
    <n v="108000"/>
    <m/>
    <x v="363"/>
    <x v="1"/>
    <x v="5"/>
  </r>
  <r>
    <x v="3"/>
    <n v="1490000"/>
    <m/>
    <n v="315000"/>
    <m/>
    <m/>
    <x v="363"/>
    <x v="1"/>
    <x v="5"/>
  </r>
  <r>
    <x v="4"/>
    <m/>
    <n v="265500"/>
    <m/>
    <n v="108000"/>
    <m/>
    <x v="363"/>
    <x v="1"/>
    <x v="5"/>
  </r>
  <r>
    <x v="5"/>
    <m/>
    <n v="54000"/>
    <m/>
    <n v="108000"/>
    <m/>
    <x v="363"/>
    <x v="1"/>
    <x v="5"/>
  </r>
  <r>
    <x v="14"/>
    <m/>
    <m/>
    <m/>
    <m/>
    <m/>
    <x v="363"/>
    <x v="1"/>
    <x v="5"/>
  </r>
  <r>
    <x v="6"/>
    <m/>
    <n v="265500"/>
    <m/>
    <n v="162000"/>
    <m/>
    <x v="363"/>
    <x v="1"/>
    <x v="5"/>
  </r>
  <r>
    <x v="7"/>
    <m/>
    <m/>
    <m/>
    <m/>
    <m/>
    <x v="363"/>
    <x v="1"/>
    <x v="5"/>
  </r>
  <r>
    <x v="15"/>
    <m/>
    <m/>
    <m/>
    <m/>
    <m/>
    <x v="363"/>
    <x v="1"/>
    <x v="5"/>
  </r>
  <r>
    <x v="8"/>
    <m/>
    <m/>
    <m/>
    <m/>
    <m/>
    <x v="363"/>
    <x v="1"/>
    <x v="5"/>
  </r>
  <r>
    <x v="9"/>
    <m/>
    <n v="216000"/>
    <m/>
    <m/>
    <m/>
    <x v="363"/>
    <x v="1"/>
    <x v="5"/>
  </r>
  <r>
    <x v="10"/>
    <m/>
    <m/>
    <m/>
    <m/>
    <m/>
    <x v="363"/>
    <x v="1"/>
    <x v="5"/>
  </r>
  <r>
    <x v="11"/>
    <m/>
    <m/>
    <m/>
    <m/>
    <m/>
    <x v="363"/>
    <x v="1"/>
    <x v="5"/>
  </r>
  <r>
    <x v="12"/>
    <m/>
    <m/>
    <m/>
    <m/>
    <m/>
    <x v="363"/>
    <x v="1"/>
    <x v="5"/>
  </r>
  <r>
    <x v="13"/>
    <m/>
    <n v="216000"/>
    <m/>
    <n v="108000"/>
    <m/>
    <x v="363"/>
    <x v="1"/>
    <x v="5"/>
  </r>
  <r>
    <x v="0"/>
    <m/>
    <m/>
    <m/>
    <m/>
    <m/>
    <x v="364"/>
    <x v="1"/>
    <x v="5"/>
  </r>
  <r>
    <x v="1"/>
    <m/>
    <m/>
    <m/>
    <m/>
    <m/>
    <x v="364"/>
    <x v="1"/>
    <x v="5"/>
  </r>
  <r>
    <x v="2"/>
    <n v="540000"/>
    <m/>
    <m/>
    <m/>
    <m/>
    <x v="364"/>
    <x v="1"/>
    <x v="5"/>
  </r>
  <r>
    <x v="3"/>
    <n v="1054000"/>
    <m/>
    <n v="185000"/>
    <m/>
    <m/>
    <x v="364"/>
    <x v="1"/>
    <x v="5"/>
  </r>
  <r>
    <x v="4"/>
    <m/>
    <n v="108000"/>
    <n v="158000"/>
    <m/>
    <m/>
    <x v="364"/>
    <x v="1"/>
    <x v="5"/>
  </r>
  <r>
    <x v="5"/>
    <m/>
    <n v="316000"/>
    <m/>
    <m/>
    <m/>
    <x v="364"/>
    <x v="1"/>
    <x v="5"/>
  </r>
  <r>
    <x v="14"/>
    <m/>
    <m/>
    <m/>
    <m/>
    <m/>
    <x v="364"/>
    <x v="1"/>
    <x v="5"/>
  </r>
  <r>
    <x v="6"/>
    <m/>
    <n v="108000"/>
    <m/>
    <m/>
    <m/>
    <x v="364"/>
    <x v="1"/>
    <x v="5"/>
  </r>
  <r>
    <x v="7"/>
    <m/>
    <m/>
    <m/>
    <m/>
    <m/>
    <x v="364"/>
    <x v="1"/>
    <x v="5"/>
  </r>
  <r>
    <x v="15"/>
    <m/>
    <m/>
    <m/>
    <m/>
    <m/>
    <x v="364"/>
    <x v="1"/>
    <x v="5"/>
  </r>
  <r>
    <x v="8"/>
    <m/>
    <m/>
    <n v="648000"/>
    <m/>
    <m/>
    <x v="364"/>
    <x v="1"/>
    <x v="5"/>
  </r>
  <r>
    <x v="9"/>
    <m/>
    <n v="319500"/>
    <m/>
    <m/>
    <m/>
    <x v="364"/>
    <x v="1"/>
    <x v="5"/>
  </r>
  <r>
    <x v="10"/>
    <m/>
    <m/>
    <m/>
    <m/>
    <m/>
    <x v="364"/>
    <x v="1"/>
    <x v="5"/>
  </r>
  <r>
    <x v="11"/>
    <m/>
    <m/>
    <m/>
    <m/>
    <m/>
    <x v="364"/>
    <x v="1"/>
    <x v="5"/>
  </r>
  <r>
    <x v="12"/>
    <m/>
    <m/>
    <m/>
    <m/>
    <m/>
    <x v="364"/>
    <x v="1"/>
    <x v="5"/>
  </r>
  <r>
    <x v="13"/>
    <m/>
    <n v="212000"/>
    <m/>
    <m/>
    <m/>
    <x v="364"/>
    <x v="1"/>
    <x v="5"/>
  </r>
  <r>
    <x v="0"/>
    <m/>
    <m/>
    <m/>
    <m/>
    <m/>
    <x v="365"/>
    <x v="1"/>
    <x v="5"/>
  </r>
  <r>
    <x v="1"/>
    <m/>
    <m/>
    <m/>
    <m/>
    <m/>
    <x v="365"/>
    <x v="1"/>
    <x v="5"/>
  </r>
  <r>
    <x v="2"/>
    <n v="407000"/>
    <m/>
    <m/>
    <n v="108000"/>
    <m/>
    <x v="365"/>
    <x v="1"/>
    <x v="5"/>
  </r>
  <r>
    <x v="3"/>
    <n v="913500"/>
    <m/>
    <m/>
    <m/>
    <m/>
    <x v="365"/>
    <x v="1"/>
    <x v="5"/>
  </r>
  <r>
    <x v="4"/>
    <m/>
    <m/>
    <m/>
    <n v="108000"/>
    <m/>
    <x v="365"/>
    <x v="1"/>
    <x v="5"/>
  </r>
  <r>
    <x v="5"/>
    <m/>
    <n v="319500"/>
    <m/>
    <n v="162000"/>
    <m/>
    <x v="365"/>
    <x v="1"/>
    <x v="5"/>
  </r>
  <r>
    <x v="14"/>
    <m/>
    <m/>
    <m/>
    <m/>
    <m/>
    <x v="365"/>
    <x v="1"/>
    <x v="5"/>
  </r>
  <r>
    <x v="6"/>
    <m/>
    <n v="324000"/>
    <m/>
    <n v="108000"/>
    <m/>
    <x v="365"/>
    <x v="1"/>
    <x v="5"/>
  </r>
  <r>
    <x v="7"/>
    <m/>
    <m/>
    <m/>
    <m/>
    <m/>
    <x v="365"/>
    <x v="1"/>
    <x v="5"/>
  </r>
  <r>
    <x v="15"/>
    <m/>
    <m/>
    <m/>
    <m/>
    <m/>
    <x v="365"/>
    <x v="1"/>
    <x v="5"/>
  </r>
  <r>
    <x v="8"/>
    <m/>
    <m/>
    <n v="162000"/>
    <m/>
    <m/>
    <x v="365"/>
    <x v="1"/>
    <x v="5"/>
  </r>
  <r>
    <x v="9"/>
    <m/>
    <n v="432000"/>
    <m/>
    <m/>
    <m/>
    <x v="365"/>
    <x v="1"/>
    <x v="5"/>
  </r>
  <r>
    <x v="10"/>
    <m/>
    <m/>
    <m/>
    <m/>
    <m/>
    <x v="365"/>
    <x v="1"/>
    <x v="5"/>
  </r>
  <r>
    <x v="11"/>
    <m/>
    <m/>
    <m/>
    <m/>
    <m/>
    <x v="365"/>
    <x v="1"/>
    <x v="5"/>
  </r>
  <r>
    <x v="12"/>
    <m/>
    <m/>
    <m/>
    <m/>
    <m/>
    <x v="365"/>
    <x v="1"/>
    <x v="5"/>
  </r>
  <r>
    <x v="13"/>
    <m/>
    <n v="270000"/>
    <m/>
    <n v="108000"/>
    <m/>
    <x v="365"/>
    <x v="1"/>
    <x v="5"/>
  </r>
  <r>
    <x v="0"/>
    <m/>
    <m/>
    <m/>
    <m/>
    <m/>
    <x v="366"/>
    <x v="1"/>
    <x v="5"/>
  </r>
  <r>
    <x v="1"/>
    <m/>
    <m/>
    <m/>
    <m/>
    <m/>
    <x v="366"/>
    <x v="1"/>
    <x v="5"/>
  </r>
  <r>
    <x v="2"/>
    <n v="261000"/>
    <m/>
    <m/>
    <m/>
    <m/>
    <x v="366"/>
    <x v="1"/>
    <x v="5"/>
  </r>
  <r>
    <x v="3"/>
    <n v="1125000"/>
    <m/>
    <m/>
    <m/>
    <m/>
    <x v="366"/>
    <x v="1"/>
    <x v="5"/>
  </r>
  <r>
    <x v="4"/>
    <m/>
    <m/>
    <m/>
    <m/>
    <m/>
    <x v="366"/>
    <x v="1"/>
    <x v="5"/>
  </r>
  <r>
    <x v="5"/>
    <m/>
    <m/>
    <m/>
    <m/>
    <m/>
    <x v="366"/>
    <x v="1"/>
    <x v="5"/>
  </r>
  <r>
    <x v="14"/>
    <m/>
    <m/>
    <m/>
    <m/>
    <m/>
    <x v="366"/>
    <x v="1"/>
    <x v="5"/>
  </r>
  <r>
    <x v="6"/>
    <m/>
    <n v="324000"/>
    <m/>
    <m/>
    <m/>
    <x v="366"/>
    <x v="1"/>
    <x v="5"/>
  </r>
  <r>
    <x v="7"/>
    <m/>
    <m/>
    <m/>
    <m/>
    <m/>
    <x v="366"/>
    <x v="1"/>
    <x v="5"/>
  </r>
  <r>
    <x v="15"/>
    <m/>
    <m/>
    <m/>
    <m/>
    <m/>
    <x v="366"/>
    <x v="1"/>
    <x v="5"/>
  </r>
  <r>
    <x v="8"/>
    <m/>
    <m/>
    <n v="90000"/>
    <m/>
    <m/>
    <x v="366"/>
    <x v="1"/>
    <x v="5"/>
  </r>
  <r>
    <x v="9"/>
    <m/>
    <n v="373500"/>
    <m/>
    <m/>
    <m/>
    <x v="366"/>
    <x v="1"/>
    <x v="5"/>
  </r>
  <r>
    <x v="10"/>
    <m/>
    <m/>
    <m/>
    <m/>
    <m/>
    <x v="366"/>
    <x v="1"/>
    <x v="5"/>
  </r>
  <r>
    <x v="11"/>
    <m/>
    <n v="324000"/>
    <m/>
    <m/>
    <m/>
    <x v="366"/>
    <x v="1"/>
    <x v="5"/>
  </r>
  <r>
    <x v="12"/>
    <m/>
    <m/>
    <m/>
    <m/>
    <m/>
    <x v="366"/>
    <x v="1"/>
    <x v="5"/>
  </r>
  <r>
    <x v="13"/>
    <m/>
    <n v="324000"/>
    <m/>
    <m/>
    <m/>
    <x v="366"/>
    <x v="1"/>
    <x v="5"/>
  </r>
  <r>
    <x v="0"/>
    <m/>
    <m/>
    <m/>
    <m/>
    <m/>
    <x v="367"/>
    <x v="1"/>
    <x v="5"/>
  </r>
  <r>
    <x v="1"/>
    <m/>
    <m/>
    <m/>
    <m/>
    <m/>
    <x v="367"/>
    <x v="1"/>
    <x v="5"/>
  </r>
  <r>
    <x v="2"/>
    <n v="266000"/>
    <m/>
    <m/>
    <m/>
    <m/>
    <x v="367"/>
    <x v="1"/>
    <x v="5"/>
  </r>
  <r>
    <x v="3"/>
    <n v="52000"/>
    <m/>
    <m/>
    <m/>
    <m/>
    <x v="367"/>
    <x v="1"/>
    <x v="5"/>
  </r>
  <r>
    <x v="4"/>
    <m/>
    <m/>
    <m/>
    <m/>
    <m/>
    <x v="367"/>
    <x v="1"/>
    <x v="5"/>
  </r>
  <r>
    <x v="5"/>
    <m/>
    <m/>
    <m/>
    <m/>
    <m/>
    <x v="367"/>
    <x v="1"/>
    <x v="5"/>
  </r>
  <r>
    <x v="14"/>
    <m/>
    <m/>
    <m/>
    <m/>
    <m/>
    <x v="367"/>
    <x v="1"/>
    <x v="5"/>
  </r>
  <r>
    <x v="6"/>
    <m/>
    <n v="324000"/>
    <m/>
    <m/>
    <m/>
    <x v="367"/>
    <x v="1"/>
    <x v="5"/>
  </r>
  <r>
    <x v="7"/>
    <m/>
    <m/>
    <m/>
    <m/>
    <m/>
    <x v="367"/>
    <x v="1"/>
    <x v="5"/>
  </r>
  <r>
    <x v="15"/>
    <m/>
    <m/>
    <m/>
    <m/>
    <m/>
    <x v="367"/>
    <x v="1"/>
    <x v="5"/>
  </r>
  <r>
    <x v="8"/>
    <n v="638500"/>
    <m/>
    <m/>
    <m/>
    <m/>
    <x v="367"/>
    <x v="1"/>
    <x v="5"/>
  </r>
  <r>
    <x v="9"/>
    <m/>
    <n v="427500"/>
    <m/>
    <m/>
    <m/>
    <x v="367"/>
    <x v="1"/>
    <x v="5"/>
  </r>
  <r>
    <x v="10"/>
    <m/>
    <m/>
    <m/>
    <m/>
    <m/>
    <x v="367"/>
    <x v="1"/>
    <x v="5"/>
  </r>
  <r>
    <x v="11"/>
    <m/>
    <n v="378000"/>
    <m/>
    <m/>
    <m/>
    <x v="367"/>
    <x v="1"/>
    <x v="5"/>
  </r>
  <r>
    <x v="12"/>
    <m/>
    <m/>
    <m/>
    <m/>
    <m/>
    <x v="367"/>
    <x v="1"/>
    <x v="5"/>
  </r>
  <r>
    <x v="13"/>
    <n v="644000"/>
    <n v="270000"/>
    <m/>
    <m/>
    <n v="540000"/>
    <x v="367"/>
    <x v="1"/>
    <x v="5"/>
  </r>
  <r>
    <x v="0"/>
    <m/>
    <m/>
    <m/>
    <m/>
    <m/>
    <x v="368"/>
    <x v="1"/>
    <x v="5"/>
  </r>
  <r>
    <x v="1"/>
    <m/>
    <m/>
    <m/>
    <m/>
    <m/>
    <x v="368"/>
    <x v="1"/>
    <x v="5"/>
  </r>
  <r>
    <x v="2"/>
    <n v="54000"/>
    <m/>
    <m/>
    <m/>
    <m/>
    <x v="368"/>
    <x v="1"/>
    <x v="5"/>
  </r>
  <r>
    <x v="3"/>
    <n v="45000"/>
    <m/>
    <m/>
    <m/>
    <m/>
    <x v="368"/>
    <x v="1"/>
    <x v="5"/>
  </r>
  <r>
    <x v="4"/>
    <m/>
    <m/>
    <m/>
    <n v="54000"/>
    <m/>
    <x v="368"/>
    <x v="1"/>
    <x v="5"/>
  </r>
  <r>
    <x v="5"/>
    <m/>
    <m/>
    <m/>
    <n v="162000"/>
    <m/>
    <x v="368"/>
    <x v="1"/>
    <x v="5"/>
  </r>
  <r>
    <x v="14"/>
    <m/>
    <n v="319500"/>
    <m/>
    <m/>
    <m/>
    <x v="368"/>
    <x v="1"/>
    <x v="5"/>
  </r>
  <r>
    <x v="6"/>
    <m/>
    <n v="162000"/>
    <m/>
    <n v="162000"/>
    <m/>
    <x v="368"/>
    <x v="1"/>
    <x v="5"/>
  </r>
  <r>
    <x v="7"/>
    <m/>
    <m/>
    <m/>
    <m/>
    <m/>
    <x v="368"/>
    <x v="1"/>
    <x v="5"/>
  </r>
  <r>
    <x v="15"/>
    <m/>
    <m/>
    <m/>
    <m/>
    <m/>
    <x v="368"/>
    <x v="1"/>
    <x v="5"/>
  </r>
  <r>
    <x v="8"/>
    <n v="535500"/>
    <m/>
    <n v="45000"/>
    <m/>
    <m/>
    <x v="368"/>
    <x v="1"/>
    <x v="5"/>
  </r>
  <r>
    <x v="9"/>
    <n v="486000"/>
    <n v="797000"/>
    <m/>
    <m/>
    <n v="482000"/>
    <x v="368"/>
    <x v="1"/>
    <x v="5"/>
  </r>
  <r>
    <x v="10"/>
    <m/>
    <m/>
    <m/>
    <m/>
    <m/>
    <x v="368"/>
    <x v="1"/>
    <x v="5"/>
  </r>
  <r>
    <x v="11"/>
    <m/>
    <n v="108000"/>
    <m/>
    <m/>
    <m/>
    <x v="368"/>
    <x v="1"/>
    <x v="5"/>
  </r>
  <r>
    <x v="12"/>
    <m/>
    <m/>
    <m/>
    <m/>
    <m/>
    <x v="368"/>
    <x v="1"/>
    <x v="5"/>
  </r>
  <r>
    <x v="13"/>
    <n v="594000"/>
    <n v="216000"/>
    <m/>
    <n v="162000"/>
    <n v="324000"/>
    <x v="368"/>
    <x v="1"/>
    <x v="5"/>
  </r>
  <r>
    <x v="0"/>
    <m/>
    <m/>
    <m/>
    <m/>
    <m/>
    <x v="369"/>
    <x v="1"/>
    <x v="5"/>
  </r>
  <r>
    <x v="1"/>
    <m/>
    <m/>
    <m/>
    <m/>
    <m/>
    <x v="369"/>
    <x v="1"/>
    <x v="5"/>
  </r>
  <r>
    <x v="2"/>
    <n v="45000"/>
    <m/>
    <m/>
    <n v="162000"/>
    <m/>
    <x v="369"/>
    <x v="1"/>
    <x v="5"/>
  </r>
  <r>
    <x v="3"/>
    <m/>
    <m/>
    <m/>
    <m/>
    <m/>
    <x v="369"/>
    <x v="1"/>
    <x v="5"/>
  </r>
  <r>
    <x v="4"/>
    <m/>
    <m/>
    <m/>
    <m/>
    <m/>
    <x v="369"/>
    <x v="1"/>
    <x v="5"/>
  </r>
  <r>
    <x v="5"/>
    <m/>
    <m/>
    <m/>
    <n v="108000"/>
    <m/>
    <x v="369"/>
    <x v="1"/>
    <x v="5"/>
  </r>
  <r>
    <x v="14"/>
    <m/>
    <n v="270000"/>
    <m/>
    <m/>
    <m/>
    <x v="369"/>
    <x v="1"/>
    <x v="5"/>
  </r>
  <r>
    <x v="6"/>
    <m/>
    <m/>
    <m/>
    <n v="216000"/>
    <m/>
    <x v="369"/>
    <x v="1"/>
    <x v="5"/>
  </r>
  <r>
    <x v="7"/>
    <m/>
    <m/>
    <m/>
    <m/>
    <m/>
    <x v="369"/>
    <x v="1"/>
    <x v="5"/>
  </r>
  <r>
    <x v="15"/>
    <m/>
    <m/>
    <m/>
    <m/>
    <m/>
    <x v="369"/>
    <x v="1"/>
    <x v="5"/>
  </r>
  <r>
    <x v="8"/>
    <n v="427500"/>
    <m/>
    <m/>
    <m/>
    <m/>
    <x v="369"/>
    <x v="1"/>
    <x v="5"/>
  </r>
  <r>
    <x v="9"/>
    <n v="775000"/>
    <n v="306000"/>
    <m/>
    <m/>
    <n v="324000"/>
    <x v="369"/>
    <x v="1"/>
    <x v="5"/>
  </r>
  <r>
    <x v="10"/>
    <m/>
    <m/>
    <m/>
    <m/>
    <m/>
    <x v="369"/>
    <x v="1"/>
    <x v="5"/>
  </r>
  <r>
    <x v="11"/>
    <m/>
    <n v="270000"/>
    <m/>
    <m/>
    <m/>
    <x v="369"/>
    <x v="1"/>
    <x v="5"/>
  </r>
  <r>
    <x v="12"/>
    <m/>
    <m/>
    <m/>
    <m/>
    <m/>
    <x v="369"/>
    <x v="1"/>
    <x v="5"/>
  </r>
  <r>
    <x v="13"/>
    <n v="590000"/>
    <n v="162000"/>
    <m/>
    <n v="108000"/>
    <n v="486000"/>
    <x v="369"/>
    <x v="1"/>
    <x v="5"/>
  </r>
  <r>
    <x v="0"/>
    <m/>
    <m/>
    <m/>
    <m/>
    <m/>
    <x v="370"/>
    <x v="1"/>
    <x v="5"/>
  </r>
  <r>
    <x v="1"/>
    <m/>
    <m/>
    <m/>
    <m/>
    <m/>
    <x v="370"/>
    <x v="1"/>
    <x v="5"/>
  </r>
  <r>
    <x v="2"/>
    <m/>
    <m/>
    <m/>
    <n v="216000"/>
    <n v="216000"/>
    <x v="370"/>
    <x v="1"/>
    <x v="5"/>
  </r>
  <r>
    <x v="3"/>
    <m/>
    <m/>
    <m/>
    <m/>
    <m/>
    <x v="370"/>
    <x v="1"/>
    <x v="5"/>
  </r>
  <r>
    <x v="4"/>
    <m/>
    <m/>
    <m/>
    <m/>
    <m/>
    <x v="370"/>
    <x v="1"/>
    <x v="5"/>
  </r>
  <r>
    <x v="5"/>
    <m/>
    <m/>
    <m/>
    <n v="216000"/>
    <m/>
    <x v="370"/>
    <x v="1"/>
    <x v="5"/>
  </r>
  <r>
    <x v="14"/>
    <m/>
    <n v="324000"/>
    <m/>
    <m/>
    <m/>
    <x v="370"/>
    <x v="1"/>
    <x v="5"/>
  </r>
  <r>
    <x v="6"/>
    <m/>
    <m/>
    <m/>
    <n v="103500"/>
    <m/>
    <x v="370"/>
    <x v="1"/>
    <x v="5"/>
  </r>
  <r>
    <x v="7"/>
    <m/>
    <m/>
    <m/>
    <m/>
    <m/>
    <x v="370"/>
    <x v="1"/>
    <x v="5"/>
  </r>
  <r>
    <x v="15"/>
    <m/>
    <m/>
    <m/>
    <m/>
    <m/>
    <x v="370"/>
    <x v="1"/>
    <x v="5"/>
  </r>
  <r>
    <x v="8"/>
    <n v="108000"/>
    <m/>
    <m/>
    <m/>
    <m/>
    <x v="370"/>
    <x v="1"/>
    <x v="5"/>
  </r>
  <r>
    <x v="9"/>
    <n v="1125000"/>
    <n v="477000"/>
    <m/>
    <m/>
    <n v="90000"/>
    <x v="370"/>
    <x v="1"/>
    <x v="5"/>
  </r>
  <r>
    <x v="10"/>
    <m/>
    <m/>
    <m/>
    <m/>
    <m/>
    <x v="370"/>
    <x v="1"/>
    <x v="5"/>
  </r>
  <r>
    <x v="11"/>
    <m/>
    <n v="261000"/>
    <m/>
    <m/>
    <m/>
    <x v="370"/>
    <x v="1"/>
    <x v="5"/>
  </r>
  <r>
    <x v="12"/>
    <m/>
    <m/>
    <m/>
    <m/>
    <m/>
    <x v="370"/>
    <x v="1"/>
    <x v="5"/>
  </r>
  <r>
    <x v="13"/>
    <n v="108000"/>
    <m/>
    <m/>
    <n v="162000"/>
    <n v="216000"/>
    <x v="370"/>
    <x v="1"/>
    <x v="5"/>
  </r>
  <r>
    <x v="0"/>
    <m/>
    <m/>
    <m/>
    <m/>
    <m/>
    <x v="371"/>
    <x v="1"/>
    <x v="5"/>
  </r>
  <r>
    <x v="1"/>
    <m/>
    <m/>
    <m/>
    <m/>
    <m/>
    <x v="371"/>
    <x v="1"/>
    <x v="5"/>
  </r>
  <r>
    <x v="2"/>
    <m/>
    <m/>
    <n v="748000"/>
    <m/>
    <n v="644000"/>
    <x v="371"/>
    <x v="1"/>
    <x v="5"/>
  </r>
  <r>
    <x v="3"/>
    <m/>
    <m/>
    <m/>
    <m/>
    <m/>
    <x v="371"/>
    <x v="1"/>
    <x v="5"/>
  </r>
  <r>
    <x v="4"/>
    <m/>
    <m/>
    <m/>
    <m/>
    <m/>
    <x v="371"/>
    <x v="1"/>
    <x v="5"/>
  </r>
  <r>
    <x v="5"/>
    <m/>
    <m/>
    <m/>
    <m/>
    <m/>
    <x v="371"/>
    <x v="1"/>
    <x v="5"/>
  </r>
  <r>
    <x v="14"/>
    <m/>
    <n v="158000"/>
    <m/>
    <m/>
    <m/>
    <x v="371"/>
    <x v="1"/>
    <x v="5"/>
  </r>
  <r>
    <x v="6"/>
    <m/>
    <m/>
    <m/>
    <m/>
    <m/>
    <x v="371"/>
    <x v="1"/>
    <x v="5"/>
  </r>
  <r>
    <x v="7"/>
    <m/>
    <m/>
    <m/>
    <m/>
    <m/>
    <x v="371"/>
    <x v="1"/>
    <x v="5"/>
  </r>
  <r>
    <x v="15"/>
    <m/>
    <m/>
    <m/>
    <m/>
    <m/>
    <x v="371"/>
    <x v="1"/>
    <x v="5"/>
  </r>
  <r>
    <x v="8"/>
    <m/>
    <n v="702000"/>
    <n v="54000"/>
    <m/>
    <m/>
    <x v="371"/>
    <x v="1"/>
    <x v="5"/>
  </r>
  <r>
    <x v="9"/>
    <n v="54000"/>
    <m/>
    <m/>
    <m/>
    <n v="104000"/>
    <x v="371"/>
    <x v="1"/>
    <x v="5"/>
  </r>
  <r>
    <x v="10"/>
    <m/>
    <m/>
    <m/>
    <m/>
    <m/>
    <x v="371"/>
    <x v="1"/>
    <x v="5"/>
  </r>
  <r>
    <x v="11"/>
    <m/>
    <m/>
    <m/>
    <m/>
    <m/>
    <x v="371"/>
    <x v="1"/>
    <x v="5"/>
  </r>
  <r>
    <x v="12"/>
    <m/>
    <m/>
    <m/>
    <m/>
    <m/>
    <x v="371"/>
    <x v="1"/>
    <x v="5"/>
  </r>
  <r>
    <x v="13"/>
    <m/>
    <m/>
    <m/>
    <m/>
    <n v="45000"/>
    <x v="371"/>
    <x v="1"/>
    <x v="5"/>
  </r>
  <r>
    <x v="0"/>
    <m/>
    <m/>
    <m/>
    <m/>
    <m/>
    <x v="372"/>
    <x v="1"/>
    <x v="5"/>
  </r>
  <r>
    <x v="1"/>
    <m/>
    <n v="54000"/>
    <m/>
    <m/>
    <m/>
    <x v="372"/>
    <x v="1"/>
    <x v="5"/>
  </r>
  <r>
    <x v="2"/>
    <n v="265500"/>
    <n v="162000"/>
    <n v="108000"/>
    <m/>
    <n v="432000"/>
    <x v="372"/>
    <x v="1"/>
    <x v="5"/>
  </r>
  <r>
    <x v="3"/>
    <m/>
    <m/>
    <m/>
    <m/>
    <m/>
    <x v="372"/>
    <x v="1"/>
    <x v="5"/>
  </r>
  <r>
    <x v="4"/>
    <n v="216000"/>
    <m/>
    <n v="905000"/>
    <m/>
    <m/>
    <x v="372"/>
    <x v="1"/>
    <x v="5"/>
  </r>
  <r>
    <x v="5"/>
    <m/>
    <m/>
    <m/>
    <m/>
    <m/>
    <x v="372"/>
    <x v="1"/>
    <x v="5"/>
  </r>
  <r>
    <x v="14"/>
    <m/>
    <n v="103500"/>
    <m/>
    <m/>
    <m/>
    <x v="372"/>
    <x v="1"/>
    <x v="5"/>
  </r>
  <r>
    <x v="6"/>
    <n v="54000"/>
    <n v="54000"/>
    <m/>
    <m/>
    <m/>
    <x v="372"/>
    <x v="1"/>
    <x v="5"/>
  </r>
  <r>
    <x v="7"/>
    <m/>
    <m/>
    <m/>
    <m/>
    <m/>
    <x v="372"/>
    <x v="1"/>
    <x v="5"/>
  </r>
  <r>
    <x v="15"/>
    <m/>
    <m/>
    <m/>
    <m/>
    <m/>
    <x v="372"/>
    <x v="1"/>
    <x v="5"/>
  </r>
  <r>
    <x v="8"/>
    <n v="193500"/>
    <n v="54000"/>
    <m/>
    <m/>
    <m/>
    <x v="372"/>
    <x v="1"/>
    <x v="5"/>
  </r>
  <r>
    <x v="9"/>
    <n v="211500"/>
    <n v="103500"/>
    <m/>
    <m/>
    <m/>
    <x v="372"/>
    <x v="1"/>
    <x v="5"/>
  </r>
  <r>
    <x v="10"/>
    <m/>
    <m/>
    <m/>
    <m/>
    <m/>
    <x v="372"/>
    <x v="1"/>
    <x v="5"/>
  </r>
  <r>
    <x v="11"/>
    <m/>
    <n v="50000"/>
    <m/>
    <m/>
    <m/>
    <x v="372"/>
    <x v="1"/>
    <x v="5"/>
  </r>
  <r>
    <x v="12"/>
    <m/>
    <m/>
    <m/>
    <m/>
    <m/>
    <x v="372"/>
    <x v="1"/>
    <x v="5"/>
  </r>
  <r>
    <x v="13"/>
    <n v="54000"/>
    <m/>
    <m/>
    <m/>
    <m/>
    <x v="372"/>
    <x v="1"/>
    <x v="5"/>
  </r>
  <r>
    <x v="0"/>
    <m/>
    <m/>
    <m/>
    <m/>
    <m/>
    <x v="373"/>
    <x v="1"/>
    <x v="5"/>
  </r>
  <r>
    <x v="1"/>
    <m/>
    <m/>
    <m/>
    <m/>
    <m/>
    <x v="373"/>
    <x v="1"/>
    <x v="5"/>
  </r>
  <r>
    <x v="2"/>
    <n v="378000"/>
    <n v="108000"/>
    <n v="54000"/>
    <m/>
    <n v="208000"/>
    <x v="373"/>
    <x v="1"/>
    <x v="5"/>
  </r>
  <r>
    <x v="3"/>
    <m/>
    <m/>
    <m/>
    <m/>
    <m/>
    <x v="373"/>
    <x v="1"/>
    <x v="5"/>
  </r>
  <r>
    <x v="4"/>
    <n v="324000"/>
    <m/>
    <m/>
    <m/>
    <m/>
    <x v="373"/>
    <x v="1"/>
    <x v="5"/>
  </r>
  <r>
    <x v="5"/>
    <m/>
    <m/>
    <m/>
    <m/>
    <m/>
    <x v="373"/>
    <x v="1"/>
    <x v="5"/>
  </r>
  <r>
    <x v="14"/>
    <m/>
    <n v="108000"/>
    <m/>
    <m/>
    <m/>
    <x v="373"/>
    <x v="1"/>
    <x v="5"/>
  </r>
  <r>
    <x v="6"/>
    <n v="324000"/>
    <n v="108000"/>
    <n v="216000"/>
    <m/>
    <m/>
    <x v="373"/>
    <x v="1"/>
    <x v="5"/>
  </r>
  <r>
    <x v="7"/>
    <m/>
    <m/>
    <m/>
    <m/>
    <m/>
    <x v="373"/>
    <x v="1"/>
    <x v="5"/>
  </r>
  <r>
    <x v="15"/>
    <m/>
    <m/>
    <m/>
    <m/>
    <m/>
    <x v="373"/>
    <x v="1"/>
    <x v="5"/>
  </r>
  <r>
    <x v="8"/>
    <n v="49500"/>
    <m/>
    <m/>
    <m/>
    <m/>
    <x v="373"/>
    <x v="1"/>
    <x v="5"/>
  </r>
  <r>
    <x v="9"/>
    <n v="261000"/>
    <n v="54000"/>
    <m/>
    <m/>
    <m/>
    <x v="373"/>
    <x v="1"/>
    <x v="5"/>
  </r>
  <r>
    <x v="10"/>
    <m/>
    <m/>
    <m/>
    <m/>
    <m/>
    <x v="373"/>
    <x v="1"/>
    <x v="5"/>
  </r>
  <r>
    <x v="11"/>
    <m/>
    <n v="108000"/>
    <m/>
    <m/>
    <m/>
    <x v="373"/>
    <x v="1"/>
    <x v="5"/>
  </r>
  <r>
    <x v="12"/>
    <m/>
    <m/>
    <m/>
    <m/>
    <m/>
    <x v="373"/>
    <x v="1"/>
    <x v="5"/>
  </r>
  <r>
    <x v="13"/>
    <m/>
    <m/>
    <m/>
    <m/>
    <n v="90000"/>
    <x v="373"/>
    <x v="1"/>
    <x v="5"/>
  </r>
  <r>
    <x v="0"/>
    <m/>
    <m/>
    <m/>
    <m/>
    <m/>
    <x v="374"/>
    <x v="1"/>
    <x v="5"/>
  </r>
  <r>
    <x v="1"/>
    <m/>
    <n v="154000"/>
    <n v="432000"/>
    <m/>
    <m/>
    <x v="374"/>
    <x v="1"/>
    <x v="5"/>
  </r>
  <r>
    <x v="2"/>
    <n v="694000"/>
    <n v="153000"/>
    <n v="90000"/>
    <m/>
    <m/>
    <x v="374"/>
    <x v="1"/>
    <x v="5"/>
  </r>
  <r>
    <x v="3"/>
    <m/>
    <m/>
    <m/>
    <m/>
    <m/>
    <x v="374"/>
    <x v="1"/>
    <x v="5"/>
  </r>
  <r>
    <x v="4"/>
    <n v="797000"/>
    <m/>
    <n v="95000"/>
    <m/>
    <m/>
    <x v="374"/>
    <x v="1"/>
    <x v="5"/>
  </r>
  <r>
    <x v="5"/>
    <m/>
    <n v="104000"/>
    <m/>
    <m/>
    <m/>
    <x v="374"/>
    <x v="1"/>
    <x v="5"/>
  </r>
  <r>
    <x v="14"/>
    <m/>
    <n v="162000"/>
    <m/>
    <m/>
    <m/>
    <x v="374"/>
    <x v="1"/>
    <x v="5"/>
  </r>
  <r>
    <x v="6"/>
    <n v="423000"/>
    <n v="108000"/>
    <n v="184000"/>
    <m/>
    <m/>
    <x v="374"/>
    <x v="1"/>
    <x v="5"/>
  </r>
  <r>
    <x v="7"/>
    <m/>
    <m/>
    <m/>
    <m/>
    <m/>
    <x v="374"/>
    <x v="1"/>
    <x v="5"/>
  </r>
  <r>
    <x v="15"/>
    <m/>
    <m/>
    <m/>
    <m/>
    <m/>
    <x v="374"/>
    <x v="1"/>
    <x v="5"/>
  </r>
  <r>
    <x v="8"/>
    <m/>
    <m/>
    <m/>
    <m/>
    <m/>
    <x v="374"/>
    <x v="1"/>
    <x v="5"/>
  </r>
  <r>
    <x v="9"/>
    <n v="365000"/>
    <n v="216000"/>
    <m/>
    <m/>
    <m/>
    <x v="374"/>
    <x v="1"/>
    <x v="5"/>
  </r>
  <r>
    <x v="10"/>
    <m/>
    <m/>
    <m/>
    <m/>
    <m/>
    <x v="374"/>
    <x v="1"/>
    <x v="5"/>
  </r>
  <r>
    <x v="11"/>
    <m/>
    <n v="162000"/>
    <m/>
    <m/>
    <m/>
    <x v="374"/>
    <x v="1"/>
    <x v="5"/>
  </r>
  <r>
    <x v="12"/>
    <m/>
    <m/>
    <m/>
    <m/>
    <m/>
    <x v="374"/>
    <x v="1"/>
    <x v="5"/>
  </r>
  <r>
    <x v="13"/>
    <m/>
    <m/>
    <m/>
    <m/>
    <m/>
    <x v="374"/>
    <x v="1"/>
    <x v="5"/>
  </r>
  <r>
    <x v="0"/>
    <m/>
    <m/>
    <m/>
    <m/>
    <m/>
    <x v="375"/>
    <x v="1"/>
    <x v="5"/>
  </r>
  <r>
    <x v="1"/>
    <m/>
    <n v="103500"/>
    <n v="266000"/>
    <m/>
    <m/>
    <x v="375"/>
    <x v="1"/>
    <x v="5"/>
  </r>
  <r>
    <x v="2"/>
    <n v="648000"/>
    <n v="54000"/>
    <m/>
    <n v="108000"/>
    <m/>
    <x v="375"/>
    <x v="1"/>
    <x v="5"/>
  </r>
  <r>
    <x v="3"/>
    <m/>
    <m/>
    <m/>
    <m/>
    <m/>
    <x v="375"/>
    <x v="1"/>
    <x v="5"/>
  </r>
  <r>
    <x v="4"/>
    <n v="311000"/>
    <m/>
    <m/>
    <n v="108000"/>
    <m/>
    <x v="375"/>
    <x v="1"/>
    <x v="5"/>
  </r>
  <r>
    <x v="5"/>
    <m/>
    <n v="54000"/>
    <m/>
    <n v="153000"/>
    <m/>
    <x v="375"/>
    <x v="1"/>
    <x v="5"/>
  </r>
  <r>
    <x v="14"/>
    <m/>
    <n v="50000"/>
    <m/>
    <m/>
    <m/>
    <x v="375"/>
    <x v="1"/>
    <x v="5"/>
  </r>
  <r>
    <x v="6"/>
    <n v="198000"/>
    <n v="54000"/>
    <m/>
    <n v="108000"/>
    <m/>
    <x v="375"/>
    <x v="1"/>
    <x v="5"/>
  </r>
  <r>
    <x v="7"/>
    <m/>
    <m/>
    <m/>
    <m/>
    <m/>
    <x v="375"/>
    <x v="1"/>
    <x v="5"/>
  </r>
  <r>
    <x v="15"/>
    <m/>
    <m/>
    <n v="216000"/>
    <m/>
    <m/>
    <x v="375"/>
    <x v="1"/>
    <x v="5"/>
  </r>
  <r>
    <x v="8"/>
    <m/>
    <m/>
    <m/>
    <m/>
    <m/>
    <x v="375"/>
    <x v="1"/>
    <x v="5"/>
  </r>
  <r>
    <x v="9"/>
    <n v="162000"/>
    <n v="95000"/>
    <m/>
    <m/>
    <m/>
    <x v="375"/>
    <x v="1"/>
    <x v="5"/>
  </r>
  <r>
    <x v="10"/>
    <m/>
    <m/>
    <m/>
    <m/>
    <m/>
    <x v="375"/>
    <x v="1"/>
    <x v="5"/>
  </r>
  <r>
    <x v="11"/>
    <m/>
    <n v="49500"/>
    <m/>
    <m/>
    <m/>
    <x v="375"/>
    <x v="1"/>
    <x v="5"/>
  </r>
  <r>
    <x v="12"/>
    <m/>
    <m/>
    <m/>
    <m/>
    <m/>
    <x v="375"/>
    <x v="1"/>
    <x v="5"/>
  </r>
  <r>
    <x v="13"/>
    <m/>
    <m/>
    <m/>
    <n v="108000"/>
    <m/>
    <x v="375"/>
    <x v="1"/>
    <x v="5"/>
  </r>
  <r>
    <x v="0"/>
    <m/>
    <m/>
    <m/>
    <m/>
    <m/>
    <x v="376"/>
    <x v="1"/>
    <x v="5"/>
  </r>
  <r>
    <x v="1"/>
    <m/>
    <n v="157500"/>
    <m/>
    <m/>
    <m/>
    <x v="376"/>
    <x v="1"/>
    <x v="5"/>
  </r>
  <r>
    <x v="2"/>
    <n v="847000"/>
    <n v="207500"/>
    <m/>
    <n v="162000"/>
    <m/>
    <x v="376"/>
    <x v="1"/>
    <x v="5"/>
  </r>
  <r>
    <x v="3"/>
    <m/>
    <m/>
    <m/>
    <m/>
    <m/>
    <x v="376"/>
    <x v="1"/>
    <x v="5"/>
  </r>
  <r>
    <x v="4"/>
    <n v="486000"/>
    <m/>
    <m/>
    <n v="108000"/>
    <m/>
    <x v="376"/>
    <x v="1"/>
    <x v="5"/>
  </r>
  <r>
    <x v="5"/>
    <m/>
    <n v="162000"/>
    <m/>
    <n v="108000"/>
    <m/>
    <x v="376"/>
    <x v="1"/>
    <x v="5"/>
  </r>
  <r>
    <x v="14"/>
    <m/>
    <n v="108000"/>
    <m/>
    <m/>
    <m/>
    <x v="376"/>
    <x v="1"/>
    <x v="5"/>
  </r>
  <r>
    <x v="6"/>
    <m/>
    <n v="162000"/>
    <m/>
    <n v="108000"/>
    <m/>
    <x v="376"/>
    <x v="1"/>
    <x v="5"/>
  </r>
  <r>
    <x v="7"/>
    <m/>
    <m/>
    <m/>
    <m/>
    <m/>
    <x v="376"/>
    <x v="1"/>
    <x v="5"/>
  </r>
  <r>
    <x v="15"/>
    <m/>
    <m/>
    <m/>
    <m/>
    <m/>
    <x v="376"/>
    <x v="1"/>
    <x v="5"/>
  </r>
  <r>
    <x v="8"/>
    <m/>
    <m/>
    <m/>
    <m/>
    <m/>
    <x v="376"/>
    <x v="1"/>
    <x v="5"/>
  </r>
  <r>
    <x v="9"/>
    <n v="54000"/>
    <n v="162000"/>
    <m/>
    <m/>
    <m/>
    <x v="376"/>
    <x v="1"/>
    <x v="5"/>
  </r>
  <r>
    <x v="10"/>
    <m/>
    <m/>
    <m/>
    <m/>
    <m/>
    <x v="376"/>
    <x v="1"/>
    <x v="5"/>
  </r>
  <r>
    <x v="11"/>
    <m/>
    <n v="157500"/>
    <m/>
    <m/>
    <m/>
    <x v="376"/>
    <x v="1"/>
    <x v="5"/>
  </r>
  <r>
    <x v="12"/>
    <m/>
    <m/>
    <m/>
    <m/>
    <m/>
    <x v="376"/>
    <x v="1"/>
    <x v="5"/>
  </r>
  <r>
    <x v="13"/>
    <m/>
    <m/>
    <m/>
    <n v="108000"/>
    <m/>
    <x v="376"/>
    <x v="1"/>
    <x v="5"/>
  </r>
  <r>
    <x v="0"/>
    <m/>
    <m/>
    <m/>
    <m/>
    <m/>
    <x v="377"/>
    <x v="1"/>
    <x v="5"/>
  </r>
  <r>
    <x v="1"/>
    <m/>
    <n v="103500"/>
    <m/>
    <m/>
    <m/>
    <x v="377"/>
    <x v="1"/>
    <x v="5"/>
  </r>
  <r>
    <x v="2"/>
    <n v="486000"/>
    <n v="211500"/>
    <m/>
    <n v="108000"/>
    <m/>
    <x v="377"/>
    <x v="1"/>
    <x v="5"/>
  </r>
  <r>
    <x v="3"/>
    <m/>
    <m/>
    <m/>
    <m/>
    <m/>
    <x v="377"/>
    <x v="1"/>
    <x v="5"/>
  </r>
  <r>
    <x v="4"/>
    <n v="481500"/>
    <m/>
    <m/>
    <n v="108000"/>
    <m/>
    <x v="377"/>
    <x v="1"/>
    <x v="5"/>
  </r>
  <r>
    <x v="5"/>
    <m/>
    <n v="162000"/>
    <m/>
    <n v="108000"/>
    <m/>
    <x v="377"/>
    <x v="1"/>
    <x v="5"/>
  </r>
  <r>
    <x v="14"/>
    <m/>
    <n v="162000"/>
    <m/>
    <m/>
    <m/>
    <x v="377"/>
    <x v="1"/>
    <x v="5"/>
  </r>
  <r>
    <x v="6"/>
    <m/>
    <n v="162000"/>
    <m/>
    <n v="108000"/>
    <m/>
    <x v="377"/>
    <x v="1"/>
    <x v="5"/>
  </r>
  <r>
    <x v="7"/>
    <m/>
    <m/>
    <m/>
    <m/>
    <m/>
    <x v="377"/>
    <x v="1"/>
    <x v="5"/>
  </r>
  <r>
    <x v="15"/>
    <m/>
    <m/>
    <m/>
    <m/>
    <m/>
    <x v="377"/>
    <x v="1"/>
    <x v="5"/>
  </r>
  <r>
    <x v="8"/>
    <m/>
    <n v="360000"/>
    <m/>
    <m/>
    <m/>
    <x v="377"/>
    <x v="1"/>
    <x v="5"/>
  </r>
  <r>
    <x v="9"/>
    <m/>
    <n v="108000"/>
    <m/>
    <m/>
    <m/>
    <x v="377"/>
    <x v="1"/>
    <x v="5"/>
  </r>
  <r>
    <x v="10"/>
    <m/>
    <m/>
    <m/>
    <m/>
    <m/>
    <x v="377"/>
    <x v="1"/>
    <x v="5"/>
  </r>
  <r>
    <x v="11"/>
    <n v="432000"/>
    <n v="108000"/>
    <m/>
    <m/>
    <m/>
    <x v="377"/>
    <x v="1"/>
    <x v="5"/>
  </r>
  <r>
    <x v="12"/>
    <m/>
    <m/>
    <m/>
    <m/>
    <m/>
    <x v="377"/>
    <x v="1"/>
    <x v="5"/>
  </r>
  <r>
    <x v="13"/>
    <m/>
    <m/>
    <m/>
    <n v="108000"/>
    <m/>
    <x v="377"/>
    <x v="1"/>
    <x v="5"/>
  </r>
  <r>
    <x v="0"/>
    <m/>
    <m/>
    <m/>
    <m/>
    <m/>
    <x v="378"/>
    <x v="1"/>
    <x v="5"/>
  </r>
  <r>
    <x v="1"/>
    <m/>
    <n v="153000"/>
    <m/>
    <m/>
    <m/>
    <x v="378"/>
    <x v="1"/>
    <x v="5"/>
  </r>
  <r>
    <x v="2"/>
    <n v="432000"/>
    <n v="162000"/>
    <m/>
    <n v="162000"/>
    <m/>
    <x v="378"/>
    <x v="1"/>
    <x v="5"/>
  </r>
  <r>
    <x v="3"/>
    <m/>
    <m/>
    <m/>
    <m/>
    <m/>
    <x v="378"/>
    <x v="1"/>
    <x v="5"/>
  </r>
  <r>
    <x v="4"/>
    <n v="535500"/>
    <m/>
    <m/>
    <n v="108000"/>
    <m/>
    <x v="378"/>
    <x v="1"/>
    <x v="5"/>
  </r>
  <r>
    <x v="5"/>
    <m/>
    <n v="54000"/>
    <m/>
    <n v="162000"/>
    <m/>
    <x v="378"/>
    <x v="1"/>
    <x v="5"/>
  </r>
  <r>
    <x v="14"/>
    <m/>
    <n v="103000"/>
    <m/>
    <m/>
    <m/>
    <x v="378"/>
    <x v="1"/>
    <x v="5"/>
  </r>
  <r>
    <x v="6"/>
    <m/>
    <n v="211500"/>
    <m/>
    <n v="108000"/>
    <m/>
    <x v="378"/>
    <x v="1"/>
    <x v="5"/>
  </r>
  <r>
    <x v="7"/>
    <m/>
    <m/>
    <m/>
    <m/>
    <m/>
    <x v="378"/>
    <x v="1"/>
    <x v="5"/>
  </r>
  <r>
    <x v="15"/>
    <m/>
    <m/>
    <m/>
    <m/>
    <m/>
    <x v="378"/>
    <x v="1"/>
    <x v="5"/>
  </r>
  <r>
    <x v="8"/>
    <m/>
    <m/>
    <m/>
    <m/>
    <n v="648000"/>
    <x v="378"/>
    <x v="1"/>
    <x v="5"/>
  </r>
  <r>
    <x v="9"/>
    <m/>
    <n v="252500"/>
    <m/>
    <m/>
    <m/>
    <x v="378"/>
    <x v="1"/>
    <x v="5"/>
  </r>
  <r>
    <x v="10"/>
    <m/>
    <m/>
    <m/>
    <m/>
    <m/>
    <x v="378"/>
    <x v="1"/>
    <x v="5"/>
  </r>
  <r>
    <x v="11"/>
    <n v="419000"/>
    <n v="162000"/>
    <m/>
    <m/>
    <m/>
    <x v="378"/>
    <x v="1"/>
    <x v="5"/>
  </r>
  <r>
    <x v="12"/>
    <m/>
    <m/>
    <n v="297000"/>
    <m/>
    <m/>
    <x v="378"/>
    <x v="1"/>
    <x v="5"/>
  </r>
  <r>
    <x v="13"/>
    <m/>
    <m/>
    <m/>
    <m/>
    <m/>
    <x v="378"/>
    <x v="1"/>
    <x v="5"/>
  </r>
  <r>
    <x v="0"/>
    <m/>
    <m/>
    <m/>
    <m/>
    <m/>
    <x v="379"/>
    <x v="1"/>
    <x v="5"/>
  </r>
  <r>
    <x v="1"/>
    <m/>
    <n v="104000"/>
    <m/>
    <m/>
    <m/>
    <x v="379"/>
    <x v="1"/>
    <x v="5"/>
  </r>
  <r>
    <x v="2"/>
    <n v="482000"/>
    <n v="157500"/>
    <m/>
    <n v="162000"/>
    <m/>
    <x v="379"/>
    <x v="1"/>
    <x v="5"/>
  </r>
  <r>
    <x v="3"/>
    <m/>
    <m/>
    <m/>
    <m/>
    <m/>
    <x v="379"/>
    <x v="1"/>
    <x v="5"/>
  </r>
  <r>
    <x v="4"/>
    <n v="378000"/>
    <m/>
    <m/>
    <n v="108000"/>
    <m/>
    <x v="379"/>
    <x v="1"/>
    <x v="5"/>
  </r>
  <r>
    <x v="5"/>
    <m/>
    <n v="158000"/>
    <m/>
    <n v="108000"/>
    <m/>
    <x v="379"/>
    <x v="1"/>
    <x v="5"/>
  </r>
  <r>
    <x v="14"/>
    <m/>
    <n v="108000"/>
    <m/>
    <m/>
    <m/>
    <x v="379"/>
    <x v="1"/>
    <x v="5"/>
  </r>
  <r>
    <x v="6"/>
    <m/>
    <n v="207000"/>
    <m/>
    <n v="108000"/>
    <m/>
    <x v="379"/>
    <x v="1"/>
    <x v="5"/>
  </r>
  <r>
    <x v="7"/>
    <m/>
    <m/>
    <m/>
    <m/>
    <m/>
    <x v="379"/>
    <x v="1"/>
    <x v="5"/>
  </r>
  <r>
    <x v="15"/>
    <m/>
    <m/>
    <m/>
    <m/>
    <m/>
    <x v="379"/>
    <x v="1"/>
    <x v="5"/>
  </r>
  <r>
    <x v="8"/>
    <n v="45000"/>
    <m/>
    <m/>
    <m/>
    <n v="536000"/>
    <x v="379"/>
    <x v="1"/>
    <x v="5"/>
  </r>
  <r>
    <x v="9"/>
    <n v="315000"/>
    <n v="162000"/>
    <m/>
    <m/>
    <n v="594000"/>
    <x v="379"/>
    <x v="1"/>
    <x v="5"/>
  </r>
  <r>
    <x v="10"/>
    <m/>
    <m/>
    <m/>
    <m/>
    <m/>
    <x v="379"/>
    <x v="1"/>
    <x v="5"/>
  </r>
  <r>
    <x v="11"/>
    <n v="149000"/>
    <n v="157500"/>
    <m/>
    <m/>
    <m/>
    <x v="379"/>
    <x v="1"/>
    <x v="5"/>
  </r>
  <r>
    <x v="12"/>
    <m/>
    <m/>
    <m/>
    <m/>
    <m/>
    <x v="379"/>
    <x v="1"/>
    <x v="5"/>
  </r>
  <r>
    <x v="13"/>
    <m/>
    <m/>
    <m/>
    <m/>
    <m/>
    <x v="379"/>
    <x v="1"/>
    <x v="5"/>
  </r>
  <r>
    <x v="0"/>
    <m/>
    <m/>
    <m/>
    <m/>
    <m/>
    <x v="380"/>
    <x v="1"/>
    <x v="5"/>
  </r>
  <r>
    <x v="1"/>
    <m/>
    <m/>
    <m/>
    <m/>
    <m/>
    <x v="380"/>
    <x v="1"/>
    <x v="5"/>
  </r>
  <r>
    <x v="2"/>
    <n v="378000"/>
    <n v="216000"/>
    <m/>
    <m/>
    <m/>
    <x v="380"/>
    <x v="1"/>
    <x v="5"/>
  </r>
  <r>
    <x v="3"/>
    <m/>
    <m/>
    <m/>
    <m/>
    <m/>
    <x v="380"/>
    <x v="1"/>
    <x v="5"/>
  </r>
  <r>
    <x v="4"/>
    <n v="324000"/>
    <m/>
    <m/>
    <m/>
    <m/>
    <x v="380"/>
    <x v="1"/>
    <x v="5"/>
  </r>
  <r>
    <x v="5"/>
    <m/>
    <n v="162000"/>
    <m/>
    <m/>
    <m/>
    <x v="380"/>
    <x v="1"/>
    <x v="5"/>
  </r>
  <r>
    <x v="14"/>
    <m/>
    <n v="162000"/>
    <m/>
    <m/>
    <m/>
    <x v="380"/>
    <x v="1"/>
    <x v="5"/>
  </r>
  <r>
    <x v="6"/>
    <m/>
    <n v="162000"/>
    <m/>
    <m/>
    <m/>
    <x v="380"/>
    <x v="1"/>
    <x v="5"/>
  </r>
  <r>
    <x v="7"/>
    <m/>
    <m/>
    <m/>
    <m/>
    <m/>
    <x v="380"/>
    <x v="1"/>
    <x v="5"/>
  </r>
  <r>
    <x v="15"/>
    <m/>
    <m/>
    <m/>
    <m/>
    <m/>
    <x v="380"/>
    <x v="1"/>
    <x v="5"/>
  </r>
  <r>
    <x v="8"/>
    <m/>
    <m/>
    <m/>
    <m/>
    <n v="270000"/>
    <x v="380"/>
    <x v="1"/>
    <x v="5"/>
  </r>
  <r>
    <x v="9"/>
    <n v="427500"/>
    <n v="211500"/>
    <m/>
    <m/>
    <n v="270000"/>
    <x v="380"/>
    <x v="1"/>
    <x v="5"/>
  </r>
  <r>
    <x v="10"/>
    <m/>
    <m/>
    <m/>
    <m/>
    <m/>
    <x v="380"/>
    <x v="1"/>
    <x v="5"/>
  </r>
  <r>
    <x v="11"/>
    <m/>
    <n v="162000"/>
    <m/>
    <m/>
    <m/>
    <x v="380"/>
    <x v="1"/>
    <x v="5"/>
  </r>
  <r>
    <x v="12"/>
    <m/>
    <m/>
    <m/>
    <m/>
    <m/>
    <x v="380"/>
    <x v="1"/>
    <x v="5"/>
  </r>
  <r>
    <x v="13"/>
    <m/>
    <m/>
    <m/>
    <m/>
    <m/>
    <x v="380"/>
    <x v="1"/>
    <x v="5"/>
  </r>
  <r>
    <x v="0"/>
    <m/>
    <m/>
    <m/>
    <m/>
    <m/>
    <x v="381"/>
    <x v="1"/>
    <x v="5"/>
  </r>
  <r>
    <x v="1"/>
    <m/>
    <n v="108000"/>
    <m/>
    <m/>
    <m/>
    <x v="381"/>
    <x v="1"/>
    <x v="5"/>
  </r>
  <r>
    <x v="2"/>
    <n v="99000"/>
    <n v="216000"/>
    <m/>
    <m/>
    <m/>
    <x v="381"/>
    <x v="1"/>
    <x v="5"/>
  </r>
  <r>
    <x v="3"/>
    <m/>
    <m/>
    <m/>
    <m/>
    <m/>
    <x v="381"/>
    <x v="1"/>
    <x v="5"/>
  </r>
  <r>
    <x v="4"/>
    <n v="146000"/>
    <m/>
    <m/>
    <m/>
    <m/>
    <x v="381"/>
    <x v="1"/>
    <x v="5"/>
  </r>
  <r>
    <x v="5"/>
    <m/>
    <n v="216000"/>
    <m/>
    <m/>
    <m/>
    <x v="381"/>
    <x v="1"/>
    <x v="5"/>
  </r>
  <r>
    <x v="14"/>
    <m/>
    <n v="162000"/>
    <m/>
    <m/>
    <m/>
    <x v="381"/>
    <x v="1"/>
    <x v="5"/>
  </r>
  <r>
    <x v="6"/>
    <m/>
    <n v="99500"/>
    <m/>
    <m/>
    <m/>
    <x v="381"/>
    <x v="1"/>
    <x v="5"/>
  </r>
  <r>
    <x v="7"/>
    <m/>
    <m/>
    <m/>
    <m/>
    <m/>
    <x v="381"/>
    <x v="1"/>
    <x v="5"/>
  </r>
  <r>
    <x v="15"/>
    <m/>
    <m/>
    <m/>
    <m/>
    <m/>
    <x v="381"/>
    <x v="1"/>
    <x v="5"/>
  </r>
  <r>
    <x v="8"/>
    <m/>
    <m/>
    <m/>
    <m/>
    <n v="540000"/>
    <x v="381"/>
    <x v="1"/>
    <x v="5"/>
  </r>
  <r>
    <x v="9"/>
    <n v="1503000"/>
    <n v="270000"/>
    <m/>
    <m/>
    <n v="135000"/>
    <x v="381"/>
    <x v="1"/>
    <x v="5"/>
  </r>
  <r>
    <x v="10"/>
    <m/>
    <m/>
    <m/>
    <m/>
    <m/>
    <x v="381"/>
    <x v="1"/>
    <x v="5"/>
  </r>
  <r>
    <x v="11"/>
    <m/>
    <n v="270000"/>
    <m/>
    <m/>
    <m/>
    <x v="381"/>
    <x v="1"/>
    <x v="5"/>
  </r>
  <r>
    <x v="12"/>
    <m/>
    <m/>
    <m/>
    <m/>
    <m/>
    <x v="381"/>
    <x v="1"/>
    <x v="5"/>
  </r>
  <r>
    <x v="13"/>
    <n v="108000"/>
    <m/>
    <n v="486000"/>
    <m/>
    <m/>
    <x v="381"/>
    <x v="1"/>
    <x v="5"/>
  </r>
  <r>
    <x v="0"/>
    <m/>
    <m/>
    <m/>
    <m/>
    <m/>
    <x v="382"/>
    <x v="1"/>
    <x v="5"/>
  </r>
  <r>
    <x v="1"/>
    <m/>
    <m/>
    <m/>
    <m/>
    <m/>
    <x v="382"/>
    <x v="1"/>
    <x v="5"/>
  </r>
  <r>
    <x v="2"/>
    <n v="270000"/>
    <n v="207000"/>
    <m/>
    <m/>
    <m/>
    <x v="382"/>
    <x v="1"/>
    <x v="5"/>
  </r>
  <r>
    <x v="3"/>
    <m/>
    <m/>
    <m/>
    <m/>
    <m/>
    <x v="382"/>
    <x v="1"/>
    <x v="5"/>
  </r>
  <r>
    <x v="4"/>
    <m/>
    <m/>
    <m/>
    <m/>
    <n v="698000"/>
    <x v="382"/>
    <x v="1"/>
    <x v="5"/>
  </r>
  <r>
    <x v="5"/>
    <m/>
    <n v="216000"/>
    <m/>
    <m/>
    <m/>
    <x v="382"/>
    <x v="1"/>
    <x v="5"/>
  </r>
  <r>
    <x v="14"/>
    <m/>
    <n v="157500"/>
    <m/>
    <m/>
    <m/>
    <x v="382"/>
    <x v="1"/>
    <x v="5"/>
  </r>
  <r>
    <x v="6"/>
    <m/>
    <m/>
    <m/>
    <m/>
    <m/>
    <x v="382"/>
    <x v="1"/>
    <x v="5"/>
  </r>
  <r>
    <x v="7"/>
    <m/>
    <m/>
    <m/>
    <m/>
    <m/>
    <x v="382"/>
    <x v="1"/>
    <x v="5"/>
  </r>
  <r>
    <x v="15"/>
    <m/>
    <m/>
    <m/>
    <m/>
    <m/>
    <x v="382"/>
    <x v="1"/>
    <x v="5"/>
  </r>
  <r>
    <x v="8"/>
    <m/>
    <m/>
    <m/>
    <m/>
    <m/>
    <x v="382"/>
    <x v="1"/>
    <x v="5"/>
  </r>
  <r>
    <x v="9"/>
    <n v="702000"/>
    <n v="647000"/>
    <m/>
    <m/>
    <m/>
    <x v="382"/>
    <x v="1"/>
    <x v="5"/>
  </r>
  <r>
    <x v="10"/>
    <m/>
    <m/>
    <m/>
    <m/>
    <m/>
    <x v="382"/>
    <x v="1"/>
    <x v="5"/>
  </r>
  <r>
    <x v="11"/>
    <m/>
    <n v="536000"/>
    <m/>
    <m/>
    <m/>
    <x v="382"/>
    <x v="1"/>
    <x v="5"/>
  </r>
  <r>
    <x v="12"/>
    <m/>
    <m/>
    <m/>
    <m/>
    <m/>
    <x v="382"/>
    <x v="1"/>
    <x v="5"/>
  </r>
  <r>
    <x v="13"/>
    <n v="359000"/>
    <m/>
    <n v="162000"/>
    <m/>
    <m/>
    <x v="382"/>
    <x v="1"/>
    <x v="5"/>
  </r>
  <r>
    <x v="0"/>
    <m/>
    <m/>
    <m/>
    <m/>
    <m/>
    <x v="383"/>
    <x v="1"/>
    <x v="6"/>
  </r>
  <r>
    <x v="1"/>
    <m/>
    <n v="54000"/>
    <m/>
    <m/>
    <m/>
    <x v="383"/>
    <x v="1"/>
    <x v="6"/>
  </r>
  <r>
    <x v="2"/>
    <m/>
    <n v="54000"/>
    <m/>
    <n v="108000"/>
    <m/>
    <x v="383"/>
    <x v="1"/>
    <x v="6"/>
  </r>
  <r>
    <x v="3"/>
    <m/>
    <m/>
    <m/>
    <m/>
    <n v="200000"/>
    <x v="383"/>
    <x v="1"/>
    <x v="6"/>
  </r>
  <r>
    <x v="4"/>
    <m/>
    <m/>
    <m/>
    <n v="108000"/>
    <n v="302000"/>
    <x v="383"/>
    <x v="1"/>
    <x v="6"/>
  </r>
  <r>
    <x v="5"/>
    <m/>
    <m/>
    <m/>
    <n v="108000"/>
    <m/>
    <x v="383"/>
    <x v="1"/>
    <x v="6"/>
  </r>
  <r>
    <x v="14"/>
    <m/>
    <m/>
    <m/>
    <m/>
    <m/>
    <x v="383"/>
    <x v="1"/>
    <x v="6"/>
  </r>
  <r>
    <x v="6"/>
    <m/>
    <m/>
    <m/>
    <n v="54000"/>
    <m/>
    <x v="383"/>
    <x v="1"/>
    <x v="6"/>
  </r>
  <r>
    <x v="7"/>
    <m/>
    <m/>
    <m/>
    <m/>
    <m/>
    <x v="383"/>
    <x v="1"/>
    <x v="6"/>
  </r>
  <r>
    <x v="15"/>
    <m/>
    <m/>
    <m/>
    <m/>
    <m/>
    <x v="383"/>
    <x v="1"/>
    <x v="6"/>
  </r>
  <r>
    <x v="8"/>
    <n v="1778000"/>
    <n v="927000"/>
    <m/>
    <m/>
    <m/>
    <x v="383"/>
    <x v="1"/>
    <x v="6"/>
  </r>
  <r>
    <x v="9"/>
    <m/>
    <n v="162000"/>
    <m/>
    <m/>
    <m/>
    <x v="383"/>
    <x v="1"/>
    <x v="6"/>
  </r>
  <r>
    <x v="10"/>
    <m/>
    <m/>
    <m/>
    <m/>
    <m/>
    <x v="383"/>
    <x v="1"/>
    <x v="6"/>
  </r>
  <r>
    <x v="11"/>
    <m/>
    <m/>
    <m/>
    <m/>
    <m/>
    <x v="383"/>
    <x v="1"/>
    <x v="6"/>
  </r>
  <r>
    <x v="12"/>
    <m/>
    <m/>
    <m/>
    <m/>
    <m/>
    <x v="383"/>
    <x v="1"/>
    <x v="6"/>
  </r>
  <r>
    <x v="13"/>
    <m/>
    <n v="526500"/>
    <m/>
    <n v="108000"/>
    <m/>
    <x v="383"/>
    <x v="1"/>
    <x v="6"/>
  </r>
  <r>
    <x v="0"/>
    <m/>
    <m/>
    <m/>
    <m/>
    <m/>
    <x v="384"/>
    <x v="1"/>
    <x v="6"/>
  </r>
  <r>
    <x v="1"/>
    <m/>
    <m/>
    <m/>
    <m/>
    <m/>
    <x v="384"/>
    <x v="1"/>
    <x v="6"/>
  </r>
  <r>
    <x v="2"/>
    <m/>
    <m/>
    <m/>
    <n v="162000"/>
    <m/>
    <x v="384"/>
    <x v="1"/>
    <x v="6"/>
  </r>
  <r>
    <x v="3"/>
    <m/>
    <m/>
    <m/>
    <m/>
    <m/>
    <x v="384"/>
    <x v="1"/>
    <x v="6"/>
  </r>
  <r>
    <x v="4"/>
    <m/>
    <m/>
    <m/>
    <m/>
    <m/>
    <x v="384"/>
    <x v="1"/>
    <x v="6"/>
  </r>
  <r>
    <x v="5"/>
    <m/>
    <m/>
    <m/>
    <n v="162000"/>
    <m/>
    <x v="384"/>
    <x v="1"/>
    <x v="6"/>
  </r>
  <r>
    <x v="14"/>
    <m/>
    <n v="162000"/>
    <m/>
    <m/>
    <m/>
    <x v="384"/>
    <x v="1"/>
    <x v="6"/>
  </r>
  <r>
    <x v="6"/>
    <m/>
    <m/>
    <m/>
    <m/>
    <m/>
    <x v="384"/>
    <x v="1"/>
    <x v="6"/>
  </r>
  <r>
    <x v="7"/>
    <m/>
    <m/>
    <m/>
    <m/>
    <m/>
    <x v="384"/>
    <x v="1"/>
    <x v="6"/>
  </r>
  <r>
    <x v="15"/>
    <m/>
    <m/>
    <m/>
    <m/>
    <m/>
    <x v="384"/>
    <x v="1"/>
    <x v="6"/>
  </r>
  <r>
    <x v="8"/>
    <n v="216000"/>
    <n v="523000"/>
    <m/>
    <m/>
    <m/>
    <x v="384"/>
    <x v="1"/>
    <x v="6"/>
  </r>
  <r>
    <x v="9"/>
    <n v="49500"/>
    <n v="103500"/>
    <m/>
    <m/>
    <m/>
    <x v="384"/>
    <x v="1"/>
    <x v="6"/>
  </r>
  <r>
    <x v="10"/>
    <m/>
    <m/>
    <m/>
    <m/>
    <m/>
    <x v="384"/>
    <x v="1"/>
    <x v="6"/>
  </r>
  <r>
    <x v="11"/>
    <m/>
    <n v="216000"/>
    <m/>
    <m/>
    <m/>
    <x v="384"/>
    <x v="1"/>
    <x v="6"/>
  </r>
  <r>
    <x v="12"/>
    <m/>
    <m/>
    <m/>
    <m/>
    <m/>
    <x v="384"/>
    <x v="1"/>
    <x v="6"/>
  </r>
  <r>
    <x v="13"/>
    <m/>
    <n v="324000"/>
    <n v="50000"/>
    <n v="162000"/>
    <m/>
    <x v="384"/>
    <x v="1"/>
    <x v="6"/>
  </r>
  <r>
    <x v="0"/>
    <m/>
    <m/>
    <m/>
    <m/>
    <m/>
    <x v="385"/>
    <x v="1"/>
    <x v="6"/>
  </r>
  <r>
    <x v="1"/>
    <m/>
    <m/>
    <m/>
    <m/>
    <m/>
    <x v="385"/>
    <x v="1"/>
    <x v="6"/>
  </r>
  <r>
    <x v="2"/>
    <m/>
    <m/>
    <m/>
    <m/>
    <m/>
    <x v="385"/>
    <x v="1"/>
    <x v="6"/>
  </r>
  <r>
    <x v="3"/>
    <m/>
    <m/>
    <m/>
    <m/>
    <m/>
    <x v="385"/>
    <x v="1"/>
    <x v="6"/>
  </r>
  <r>
    <x v="4"/>
    <m/>
    <m/>
    <m/>
    <m/>
    <m/>
    <x v="385"/>
    <x v="1"/>
    <x v="6"/>
  </r>
  <r>
    <x v="5"/>
    <m/>
    <m/>
    <m/>
    <m/>
    <m/>
    <x v="385"/>
    <x v="1"/>
    <x v="6"/>
  </r>
  <r>
    <x v="14"/>
    <m/>
    <n v="108000"/>
    <m/>
    <m/>
    <m/>
    <x v="385"/>
    <x v="1"/>
    <x v="6"/>
  </r>
  <r>
    <x v="6"/>
    <m/>
    <m/>
    <m/>
    <m/>
    <n v="455000"/>
    <x v="385"/>
    <x v="1"/>
    <x v="6"/>
  </r>
  <r>
    <x v="7"/>
    <m/>
    <m/>
    <m/>
    <m/>
    <m/>
    <x v="385"/>
    <x v="1"/>
    <x v="6"/>
  </r>
  <r>
    <x v="15"/>
    <m/>
    <m/>
    <m/>
    <m/>
    <m/>
    <x v="385"/>
    <x v="1"/>
    <x v="6"/>
  </r>
  <r>
    <x v="8"/>
    <m/>
    <n v="517500"/>
    <m/>
    <m/>
    <m/>
    <x v="385"/>
    <x v="1"/>
    <x v="6"/>
  </r>
  <r>
    <x v="9"/>
    <m/>
    <m/>
    <m/>
    <m/>
    <m/>
    <x v="385"/>
    <x v="1"/>
    <x v="6"/>
  </r>
  <r>
    <x v="10"/>
    <m/>
    <m/>
    <m/>
    <m/>
    <m/>
    <x v="385"/>
    <x v="1"/>
    <x v="6"/>
  </r>
  <r>
    <x v="11"/>
    <m/>
    <m/>
    <m/>
    <m/>
    <m/>
    <x v="385"/>
    <x v="1"/>
    <x v="6"/>
  </r>
  <r>
    <x v="12"/>
    <m/>
    <m/>
    <m/>
    <m/>
    <m/>
    <x v="385"/>
    <x v="1"/>
    <x v="6"/>
  </r>
  <r>
    <x v="13"/>
    <m/>
    <n v="324000"/>
    <m/>
    <m/>
    <m/>
    <x v="385"/>
    <x v="1"/>
    <x v="6"/>
  </r>
  <r>
    <x v="0"/>
    <m/>
    <m/>
    <m/>
    <m/>
    <m/>
    <x v="386"/>
    <x v="1"/>
    <x v="6"/>
  </r>
  <r>
    <x v="1"/>
    <m/>
    <m/>
    <m/>
    <m/>
    <m/>
    <x v="386"/>
    <x v="1"/>
    <x v="6"/>
  </r>
  <r>
    <x v="2"/>
    <m/>
    <n v="538000"/>
    <m/>
    <m/>
    <m/>
    <x v="386"/>
    <x v="1"/>
    <x v="6"/>
  </r>
  <r>
    <x v="3"/>
    <m/>
    <m/>
    <m/>
    <m/>
    <m/>
    <x v="386"/>
    <x v="1"/>
    <x v="6"/>
  </r>
  <r>
    <x v="4"/>
    <m/>
    <m/>
    <m/>
    <m/>
    <m/>
    <x v="386"/>
    <x v="1"/>
    <x v="6"/>
  </r>
  <r>
    <x v="5"/>
    <m/>
    <m/>
    <m/>
    <m/>
    <m/>
    <x v="386"/>
    <x v="1"/>
    <x v="6"/>
  </r>
  <r>
    <x v="14"/>
    <m/>
    <m/>
    <m/>
    <m/>
    <m/>
    <x v="386"/>
    <x v="1"/>
    <x v="6"/>
  </r>
  <r>
    <x v="6"/>
    <m/>
    <m/>
    <m/>
    <m/>
    <n v="45000"/>
    <x v="386"/>
    <x v="1"/>
    <x v="6"/>
  </r>
  <r>
    <x v="7"/>
    <m/>
    <m/>
    <m/>
    <m/>
    <m/>
    <x v="386"/>
    <x v="1"/>
    <x v="6"/>
  </r>
  <r>
    <x v="15"/>
    <m/>
    <m/>
    <m/>
    <m/>
    <m/>
    <x v="386"/>
    <x v="1"/>
    <x v="6"/>
  </r>
  <r>
    <x v="8"/>
    <m/>
    <n v="648000"/>
    <m/>
    <m/>
    <m/>
    <x v="386"/>
    <x v="1"/>
    <x v="6"/>
  </r>
  <r>
    <x v="9"/>
    <m/>
    <n v="54000"/>
    <m/>
    <m/>
    <n v="500000"/>
    <x v="386"/>
    <x v="1"/>
    <x v="6"/>
  </r>
  <r>
    <x v="10"/>
    <m/>
    <m/>
    <m/>
    <m/>
    <m/>
    <x v="386"/>
    <x v="1"/>
    <x v="6"/>
  </r>
  <r>
    <x v="11"/>
    <m/>
    <m/>
    <m/>
    <m/>
    <m/>
    <x v="386"/>
    <x v="1"/>
    <x v="6"/>
  </r>
  <r>
    <x v="12"/>
    <m/>
    <m/>
    <m/>
    <m/>
    <m/>
    <x v="386"/>
    <x v="1"/>
    <x v="6"/>
  </r>
  <r>
    <x v="13"/>
    <m/>
    <n v="378000"/>
    <m/>
    <m/>
    <m/>
    <x v="386"/>
    <x v="1"/>
    <x v="6"/>
  </r>
  <r>
    <x v="0"/>
    <m/>
    <m/>
    <m/>
    <m/>
    <m/>
    <x v="387"/>
    <x v="1"/>
    <x v="6"/>
  </r>
  <r>
    <x v="1"/>
    <m/>
    <m/>
    <m/>
    <m/>
    <m/>
    <x v="387"/>
    <x v="1"/>
    <x v="6"/>
  </r>
  <r>
    <x v="2"/>
    <m/>
    <n v="1350000"/>
    <m/>
    <m/>
    <m/>
    <x v="387"/>
    <x v="1"/>
    <x v="6"/>
  </r>
  <r>
    <x v="3"/>
    <m/>
    <m/>
    <m/>
    <m/>
    <m/>
    <x v="387"/>
    <x v="1"/>
    <x v="6"/>
  </r>
  <r>
    <x v="4"/>
    <m/>
    <m/>
    <m/>
    <m/>
    <m/>
    <x v="387"/>
    <x v="1"/>
    <x v="6"/>
  </r>
  <r>
    <x v="5"/>
    <m/>
    <m/>
    <m/>
    <m/>
    <m/>
    <x v="387"/>
    <x v="1"/>
    <x v="6"/>
  </r>
  <r>
    <x v="14"/>
    <m/>
    <m/>
    <m/>
    <m/>
    <m/>
    <x v="387"/>
    <x v="1"/>
    <x v="6"/>
  </r>
  <r>
    <x v="6"/>
    <m/>
    <m/>
    <m/>
    <m/>
    <m/>
    <x v="387"/>
    <x v="1"/>
    <x v="6"/>
  </r>
  <r>
    <x v="7"/>
    <m/>
    <m/>
    <m/>
    <m/>
    <m/>
    <x v="387"/>
    <x v="1"/>
    <x v="6"/>
  </r>
  <r>
    <x v="15"/>
    <m/>
    <m/>
    <m/>
    <m/>
    <m/>
    <x v="387"/>
    <x v="1"/>
    <x v="6"/>
  </r>
  <r>
    <x v="8"/>
    <m/>
    <n v="265500"/>
    <n v="810000"/>
    <m/>
    <m/>
    <x v="387"/>
    <x v="1"/>
    <x v="6"/>
  </r>
  <r>
    <x v="9"/>
    <m/>
    <m/>
    <m/>
    <m/>
    <m/>
    <x v="387"/>
    <x v="1"/>
    <x v="6"/>
  </r>
  <r>
    <x v="10"/>
    <m/>
    <m/>
    <m/>
    <m/>
    <m/>
    <x v="387"/>
    <x v="1"/>
    <x v="6"/>
  </r>
  <r>
    <x v="11"/>
    <m/>
    <m/>
    <m/>
    <m/>
    <m/>
    <x v="387"/>
    <x v="1"/>
    <x v="6"/>
  </r>
  <r>
    <x v="12"/>
    <m/>
    <m/>
    <m/>
    <m/>
    <m/>
    <x v="387"/>
    <x v="1"/>
    <x v="6"/>
  </r>
  <r>
    <x v="13"/>
    <m/>
    <m/>
    <m/>
    <m/>
    <m/>
    <x v="387"/>
    <x v="1"/>
    <x v="6"/>
  </r>
  <r>
    <x v="0"/>
    <m/>
    <m/>
    <m/>
    <m/>
    <m/>
    <x v="388"/>
    <x v="1"/>
    <x v="6"/>
  </r>
  <r>
    <x v="1"/>
    <m/>
    <m/>
    <m/>
    <m/>
    <m/>
    <x v="388"/>
    <x v="1"/>
    <x v="6"/>
  </r>
  <r>
    <x v="2"/>
    <m/>
    <n v="1593500"/>
    <m/>
    <n v="212000"/>
    <m/>
    <x v="388"/>
    <x v="1"/>
    <x v="6"/>
  </r>
  <r>
    <x v="3"/>
    <m/>
    <m/>
    <m/>
    <m/>
    <m/>
    <x v="388"/>
    <x v="1"/>
    <x v="6"/>
  </r>
  <r>
    <x v="4"/>
    <m/>
    <m/>
    <m/>
    <m/>
    <m/>
    <x v="388"/>
    <x v="1"/>
    <x v="6"/>
  </r>
  <r>
    <x v="5"/>
    <m/>
    <m/>
    <m/>
    <n v="216000"/>
    <m/>
    <x v="388"/>
    <x v="1"/>
    <x v="6"/>
  </r>
  <r>
    <x v="14"/>
    <m/>
    <m/>
    <m/>
    <m/>
    <m/>
    <x v="388"/>
    <x v="1"/>
    <x v="6"/>
  </r>
  <r>
    <x v="6"/>
    <m/>
    <m/>
    <m/>
    <n v="54000"/>
    <m/>
    <x v="388"/>
    <x v="1"/>
    <x v="6"/>
  </r>
  <r>
    <x v="7"/>
    <m/>
    <m/>
    <m/>
    <m/>
    <m/>
    <x v="388"/>
    <x v="1"/>
    <x v="6"/>
  </r>
  <r>
    <x v="15"/>
    <m/>
    <m/>
    <m/>
    <m/>
    <m/>
    <x v="388"/>
    <x v="1"/>
    <x v="6"/>
  </r>
  <r>
    <x v="8"/>
    <m/>
    <m/>
    <m/>
    <m/>
    <m/>
    <x v="388"/>
    <x v="1"/>
    <x v="6"/>
  </r>
  <r>
    <x v="9"/>
    <m/>
    <m/>
    <m/>
    <m/>
    <m/>
    <x v="388"/>
    <x v="1"/>
    <x v="6"/>
  </r>
  <r>
    <x v="10"/>
    <m/>
    <m/>
    <m/>
    <m/>
    <m/>
    <x v="388"/>
    <x v="1"/>
    <x v="6"/>
  </r>
  <r>
    <x v="11"/>
    <m/>
    <m/>
    <m/>
    <m/>
    <m/>
    <x v="388"/>
    <x v="1"/>
    <x v="6"/>
  </r>
  <r>
    <x v="12"/>
    <m/>
    <m/>
    <m/>
    <m/>
    <m/>
    <x v="388"/>
    <x v="1"/>
    <x v="6"/>
  </r>
  <r>
    <x v="13"/>
    <m/>
    <m/>
    <m/>
    <n v="108000"/>
    <m/>
    <x v="388"/>
    <x v="1"/>
    <x v="6"/>
  </r>
  <r>
    <x v="0"/>
    <m/>
    <m/>
    <m/>
    <m/>
    <m/>
    <x v="389"/>
    <x v="1"/>
    <x v="6"/>
  </r>
  <r>
    <x v="1"/>
    <m/>
    <m/>
    <n v="401000"/>
    <m/>
    <m/>
    <x v="389"/>
    <x v="1"/>
    <x v="6"/>
  </r>
  <r>
    <x v="2"/>
    <m/>
    <n v="996000"/>
    <m/>
    <n v="216000"/>
    <m/>
    <x v="389"/>
    <x v="1"/>
    <x v="6"/>
  </r>
  <r>
    <x v="3"/>
    <m/>
    <m/>
    <m/>
    <m/>
    <m/>
    <x v="389"/>
    <x v="1"/>
    <x v="6"/>
  </r>
  <r>
    <x v="4"/>
    <m/>
    <m/>
    <m/>
    <m/>
    <m/>
    <x v="389"/>
    <x v="1"/>
    <x v="6"/>
  </r>
  <r>
    <x v="5"/>
    <m/>
    <m/>
    <m/>
    <n v="202500"/>
    <m/>
    <x v="389"/>
    <x v="1"/>
    <x v="6"/>
  </r>
  <r>
    <x v="14"/>
    <m/>
    <m/>
    <m/>
    <m/>
    <m/>
    <x v="389"/>
    <x v="1"/>
    <x v="6"/>
  </r>
  <r>
    <x v="6"/>
    <m/>
    <m/>
    <m/>
    <m/>
    <m/>
    <x v="389"/>
    <x v="1"/>
    <x v="6"/>
  </r>
  <r>
    <x v="7"/>
    <m/>
    <m/>
    <m/>
    <m/>
    <m/>
    <x v="389"/>
    <x v="1"/>
    <x v="6"/>
  </r>
  <r>
    <x v="15"/>
    <m/>
    <m/>
    <m/>
    <m/>
    <m/>
    <x v="389"/>
    <x v="1"/>
    <x v="6"/>
  </r>
  <r>
    <x v="8"/>
    <m/>
    <n v="45000"/>
    <n v="189500"/>
    <m/>
    <m/>
    <x v="389"/>
    <x v="1"/>
    <x v="6"/>
  </r>
  <r>
    <x v="9"/>
    <m/>
    <n v="45000"/>
    <m/>
    <m/>
    <m/>
    <x v="389"/>
    <x v="1"/>
    <x v="6"/>
  </r>
  <r>
    <x v="10"/>
    <m/>
    <m/>
    <m/>
    <m/>
    <m/>
    <x v="389"/>
    <x v="1"/>
    <x v="6"/>
  </r>
  <r>
    <x v="11"/>
    <m/>
    <m/>
    <m/>
    <m/>
    <m/>
    <x v="389"/>
    <x v="1"/>
    <x v="6"/>
  </r>
  <r>
    <x v="12"/>
    <m/>
    <m/>
    <m/>
    <m/>
    <m/>
    <x v="389"/>
    <x v="1"/>
    <x v="6"/>
  </r>
  <r>
    <x v="13"/>
    <m/>
    <m/>
    <m/>
    <n v="108000"/>
    <m/>
    <x v="389"/>
    <x v="1"/>
    <x v="6"/>
  </r>
  <r>
    <x v="0"/>
    <m/>
    <m/>
    <m/>
    <m/>
    <m/>
    <x v="390"/>
    <x v="1"/>
    <x v="6"/>
  </r>
  <r>
    <x v="1"/>
    <m/>
    <n v="270000"/>
    <n v="54000"/>
    <m/>
    <m/>
    <x v="390"/>
    <x v="1"/>
    <x v="6"/>
  </r>
  <r>
    <x v="2"/>
    <m/>
    <n v="1026000"/>
    <m/>
    <m/>
    <m/>
    <x v="390"/>
    <x v="1"/>
    <x v="6"/>
  </r>
  <r>
    <x v="3"/>
    <m/>
    <m/>
    <m/>
    <m/>
    <m/>
    <x v="390"/>
    <x v="1"/>
    <x v="6"/>
  </r>
  <r>
    <x v="4"/>
    <m/>
    <m/>
    <m/>
    <m/>
    <m/>
    <x v="390"/>
    <x v="1"/>
    <x v="6"/>
  </r>
  <r>
    <x v="5"/>
    <m/>
    <m/>
    <m/>
    <m/>
    <m/>
    <x v="390"/>
    <x v="1"/>
    <x v="6"/>
  </r>
  <r>
    <x v="14"/>
    <m/>
    <m/>
    <m/>
    <m/>
    <m/>
    <x v="390"/>
    <x v="1"/>
    <x v="6"/>
  </r>
  <r>
    <x v="6"/>
    <m/>
    <m/>
    <m/>
    <m/>
    <m/>
    <x v="390"/>
    <x v="1"/>
    <x v="6"/>
  </r>
  <r>
    <x v="7"/>
    <m/>
    <m/>
    <m/>
    <m/>
    <m/>
    <x v="390"/>
    <x v="1"/>
    <x v="6"/>
  </r>
  <r>
    <x v="15"/>
    <m/>
    <m/>
    <m/>
    <m/>
    <m/>
    <x v="390"/>
    <x v="1"/>
    <x v="6"/>
  </r>
  <r>
    <x v="8"/>
    <m/>
    <m/>
    <m/>
    <m/>
    <m/>
    <x v="390"/>
    <x v="1"/>
    <x v="6"/>
  </r>
  <r>
    <x v="9"/>
    <m/>
    <m/>
    <m/>
    <m/>
    <m/>
    <x v="390"/>
    <x v="1"/>
    <x v="6"/>
  </r>
  <r>
    <x v="10"/>
    <m/>
    <m/>
    <m/>
    <m/>
    <m/>
    <x v="390"/>
    <x v="1"/>
    <x v="6"/>
  </r>
  <r>
    <x v="11"/>
    <m/>
    <m/>
    <m/>
    <m/>
    <m/>
    <x v="390"/>
    <x v="1"/>
    <x v="6"/>
  </r>
  <r>
    <x v="12"/>
    <m/>
    <m/>
    <m/>
    <m/>
    <m/>
    <x v="390"/>
    <x v="1"/>
    <x v="6"/>
  </r>
  <r>
    <x v="13"/>
    <n v="1069000"/>
    <m/>
    <n v="378000"/>
    <m/>
    <m/>
    <x v="390"/>
    <x v="1"/>
    <x v="6"/>
  </r>
  <r>
    <x v="0"/>
    <m/>
    <m/>
    <m/>
    <m/>
    <m/>
    <x v="391"/>
    <x v="1"/>
    <x v="6"/>
  </r>
  <r>
    <x v="1"/>
    <m/>
    <m/>
    <m/>
    <m/>
    <m/>
    <x v="391"/>
    <x v="1"/>
    <x v="6"/>
  </r>
  <r>
    <x v="2"/>
    <m/>
    <n v="198000"/>
    <m/>
    <m/>
    <m/>
    <x v="391"/>
    <x v="1"/>
    <x v="6"/>
  </r>
  <r>
    <x v="3"/>
    <m/>
    <n v="1132000"/>
    <m/>
    <m/>
    <m/>
    <x v="391"/>
    <x v="1"/>
    <x v="6"/>
  </r>
  <r>
    <x v="4"/>
    <m/>
    <m/>
    <m/>
    <m/>
    <m/>
    <x v="391"/>
    <x v="1"/>
    <x v="6"/>
  </r>
  <r>
    <x v="5"/>
    <m/>
    <m/>
    <m/>
    <m/>
    <m/>
    <x v="391"/>
    <x v="1"/>
    <x v="6"/>
  </r>
  <r>
    <x v="14"/>
    <m/>
    <m/>
    <m/>
    <m/>
    <m/>
    <x v="391"/>
    <x v="1"/>
    <x v="6"/>
  </r>
  <r>
    <x v="6"/>
    <m/>
    <m/>
    <m/>
    <m/>
    <m/>
    <x v="391"/>
    <x v="1"/>
    <x v="6"/>
  </r>
  <r>
    <x v="7"/>
    <m/>
    <m/>
    <m/>
    <m/>
    <m/>
    <x v="391"/>
    <x v="1"/>
    <x v="6"/>
  </r>
  <r>
    <x v="15"/>
    <m/>
    <m/>
    <m/>
    <m/>
    <m/>
    <x v="391"/>
    <x v="1"/>
    <x v="6"/>
  </r>
  <r>
    <x v="8"/>
    <m/>
    <m/>
    <m/>
    <m/>
    <m/>
    <x v="391"/>
    <x v="1"/>
    <x v="6"/>
  </r>
  <r>
    <x v="9"/>
    <m/>
    <m/>
    <m/>
    <m/>
    <m/>
    <x v="391"/>
    <x v="1"/>
    <x v="6"/>
  </r>
  <r>
    <x v="10"/>
    <m/>
    <m/>
    <m/>
    <m/>
    <m/>
    <x v="391"/>
    <x v="1"/>
    <x v="6"/>
  </r>
  <r>
    <x v="11"/>
    <m/>
    <m/>
    <m/>
    <m/>
    <m/>
    <x v="391"/>
    <x v="1"/>
    <x v="6"/>
  </r>
  <r>
    <x v="12"/>
    <m/>
    <m/>
    <m/>
    <m/>
    <m/>
    <x v="391"/>
    <x v="1"/>
    <x v="6"/>
  </r>
  <r>
    <x v="13"/>
    <m/>
    <m/>
    <n v="216000"/>
    <m/>
    <m/>
    <x v="391"/>
    <x v="1"/>
    <x v="6"/>
  </r>
  <r>
    <x v="0"/>
    <m/>
    <m/>
    <m/>
    <m/>
    <m/>
    <x v="392"/>
    <x v="1"/>
    <x v="6"/>
  </r>
  <r>
    <x v="1"/>
    <m/>
    <m/>
    <m/>
    <m/>
    <m/>
    <x v="392"/>
    <x v="1"/>
    <x v="6"/>
  </r>
  <r>
    <x v="2"/>
    <m/>
    <n v="100000"/>
    <m/>
    <m/>
    <m/>
    <x v="392"/>
    <x v="1"/>
    <x v="6"/>
  </r>
  <r>
    <x v="3"/>
    <m/>
    <n v="1242000"/>
    <m/>
    <m/>
    <m/>
    <x v="392"/>
    <x v="1"/>
    <x v="6"/>
  </r>
  <r>
    <x v="4"/>
    <m/>
    <m/>
    <m/>
    <m/>
    <m/>
    <x v="392"/>
    <x v="1"/>
    <x v="6"/>
  </r>
  <r>
    <x v="5"/>
    <m/>
    <m/>
    <m/>
    <m/>
    <m/>
    <x v="392"/>
    <x v="1"/>
    <x v="6"/>
  </r>
  <r>
    <x v="14"/>
    <m/>
    <m/>
    <m/>
    <m/>
    <m/>
    <x v="392"/>
    <x v="1"/>
    <x v="6"/>
  </r>
  <r>
    <x v="6"/>
    <m/>
    <m/>
    <m/>
    <m/>
    <m/>
    <x v="392"/>
    <x v="1"/>
    <x v="6"/>
  </r>
  <r>
    <x v="7"/>
    <m/>
    <m/>
    <m/>
    <m/>
    <m/>
    <x v="392"/>
    <x v="1"/>
    <x v="6"/>
  </r>
  <r>
    <x v="15"/>
    <m/>
    <m/>
    <m/>
    <m/>
    <m/>
    <x v="392"/>
    <x v="1"/>
    <x v="6"/>
  </r>
  <r>
    <x v="8"/>
    <m/>
    <m/>
    <m/>
    <m/>
    <m/>
    <x v="392"/>
    <x v="1"/>
    <x v="6"/>
  </r>
  <r>
    <x v="9"/>
    <m/>
    <m/>
    <m/>
    <m/>
    <m/>
    <x v="392"/>
    <x v="1"/>
    <x v="6"/>
  </r>
  <r>
    <x v="10"/>
    <m/>
    <m/>
    <m/>
    <m/>
    <m/>
    <x v="392"/>
    <x v="1"/>
    <x v="6"/>
  </r>
  <r>
    <x v="11"/>
    <m/>
    <m/>
    <m/>
    <m/>
    <m/>
    <x v="392"/>
    <x v="1"/>
    <x v="6"/>
  </r>
  <r>
    <x v="12"/>
    <m/>
    <m/>
    <m/>
    <m/>
    <m/>
    <x v="392"/>
    <x v="1"/>
    <x v="6"/>
  </r>
  <r>
    <x v="13"/>
    <n v="90000"/>
    <m/>
    <m/>
    <m/>
    <m/>
    <x v="392"/>
    <x v="1"/>
    <x v="6"/>
  </r>
  <r>
    <x v="0"/>
    <m/>
    <m/>
    <m/>
    <m/>
    <m/>
    <x v="393"/>
    <x v="1"/>
    <x v="6"/>
  </r>
  <r>
    <x v="1"/>
    <m/>
    <n v="90000"/>
    <n v="45000"/>
    <m/>
    <m/>
    <x v="393"/>
    <x v="1"/>
    <x v="6"/>
  </r>
  <r>
    <x v="2"/>
    <m/>
    <n v="108000"/>
    <m/>
    <n v="54000"/>
    <m/>
    <x v="393"/>
    <x v="1"/>
    <x v="6"/>
  </r>
  <r>
    <x v="3"/>
    <m/>
    <n v="535000"/>
    <m/>
    <n v="270000"/>
    <m/>
    <x v="393"/>
    <x v="1"/>
    <x v="6"/>
  </r>
  <r>
    <x v="4"/>
    <m/>
    <m/>
    <m/>
    <m/>
    <m/>
    <x v="393"/>
    <x v="1"/>
    <x v="6"/>
  </r>
  <r>
    <x v="5"/>
    <m/>
    <n v="162000"/>
    <m/>
    <n v="54000"/>
    <m/>
    <x v="393"/>
    <x v="1"/>
    <x v="6"/>
  </r>
  <r>
    <x v="14"/>
    <m/>
    <m/>
    <m/>
    <m/>
    <m/>
    <x v="393"/>
    <x v="1"/>
    <x v="6"/>
  </r>
  <r>
    <x v="6"/>
    <n v="428000"/>
    <n v="108000"/>
    <m/>
    <m/>
    <m/>
    <x v="393"/>
    <x v="1"/>
    <x v="6"/>
  </r>
  <r>
    <x v="7"/>
    <m/>
    <m/>
    <m/>
    <m/>
    <m/>
    <x v="393"/>
    <x v="1"/>
    <x v="6"/>
  </r>
  <r>
    <x v="15"/>
    <m/>
    <m/>
    <m/>
    <m/>
    <m/>
    <x v="393"/>
    <x v="1"/>
    <x v="6"/>
  </r>
  <r>
    <x v="8"/>
    <m/>
    <m/>
    <m/>
    <m/>
    <m/>
    <x v="393"/>
    <x v="1"/>
    <x v="6"/>
  </r>
  <r>
    <x v="9"/>
    <n v="1234000"/>
    <n v="324000"/>
    <n v="415000"/>
    <n v="162000"/>
    <m/>
    <x v="393"/>
    <x v="1"/>
    <x v="6"/>
  </r>
  <r>
    <x v="10"/>
    <m/>
    <m/>
    <m/>
    <m/>
    <m/>
    <x v="393"/>
    <x v="1"/>
    <x v="6"/>
  </r>
  <r>
    <x v="11"/>
    <m/>
    <m/>
    <m/>
    <m/>
    <m/>
    <x v="393"/>
    <x v="1"/>
    <x v="6"/>
  </r>
  <r>
    <x v="12"/>
    <m/>
    <m/>
    <m/>
    <m/>
    <m/>
    <x v="393"/>
    <x v="1"/>
    <x v="6"/>
  </r>
  <r>
    <x v="13"/>
    <m/>
    <m/>
    <n v="104000"/>
    <m/>
    <m/>
    <x v="393"/>
    <x v="1"/>
    <x v="6"/>
  </r>
  <r>
    <x v="0"/>
    <m/>
    <m/>
    <m/>
    <m/>
    <m/>
    <x v="394"/>
    <x v="1"/>
    <x v="6"/>
  </r>
  <r>
    <x v="1"/>
    <m/>
    <m/>
    <m/>
    <m/>
    <m/>
    <x v="394"/>
    <x v="1"/>
    <x v="6"/>
  </r>
  <r>
    <x v="2"/>
    <n v="540000"/>
    <m/>
    <m/>
    <m/>
    <n v="540000"/>
    <x v="394"/>
    <x v="1"/>
    <x v="6"/>
  </r>
  <r>
    <x v="3"/>
    <m/>
    <n v="324000"/>
    <m/>
    <n v="270000"/>
    <m/>
    <x v="394"/>
    <x v="1"/>
    <x v="6"/>
  </r>
  <r>
    <x v="4"/>
    <m/>
    <m/>
    <m/>
    <m/>
    <m/>
    <x v="394"/>
    <x v="1"/>
    <x v="6"/>
  </r>
  <r>
    <x v="5"/>
    <m/>
    <n v="108000"/>
    <m/>
    <n v="108000"/>
    <m/>
    <x v="394"/>
    <x v="1"/>
    <x v="6"/>
  </r>
  <r>
    <x v="14"/>
    <m/>
    <m/>
    <m/>
    <m/>
    <m/>
    <x v="394"/>
    <x v="1"/>
    <x v="6"/>
  </r>
  <r>
    <x v="6"/>
    <n v="431500"/>
    <n v="162000"/>
    <n v="270000"/>
    <n v="90000"/>
    <m/>
    <x v="394"/>
    <x v="1"/>
    <x v="6"/>
  </r>
  <r>
    <x v="7"/>
    <m/>
    <m/>
    <m/>
    <m/>
    <m/>
    <x v="394"/>
    <x v="1"/>
    <x v="6"/>
  </r>
  <r>
    <x v="15"/>
    <m/>
    <m/>
    <m/>
    <m/>
    <m/>
    <x v="394"/>
    <x v="1"/>
    <x v="6"/>
  </r>
  <r>
    <x v="8"/>
    <m/>
    <m/>
    <m/>
    <m/>
    <m/>
    <x v="394"/>
    <x v="1"/>
    <x v="6"/>
  </r>
  <r>
    <x v="9"/>
    <n v="648000"/>
    <n v="157500"/>
    <n v="270000"/>
    <n v="54000"/>
    <m/>
    <x v="394"/>
    <x v="1"/>
    <x v="6"/>
  </r>
  <r>
    <x v="10"/>
    <m/>
    <m/>
    <m/>
    <m/>
    <m/>
    <x v="394"/>
    <x v="1"/>
    <x v="6"/>
  </r>
  <r>
    <x v="11"/>
    <m/>
    <m/>
    <m/>
    <m/>
    <m/>
    <x v="394"/>
    <x v="1"/>
    <x v="6"/>
  </r>
  <r>
    <x v="12"/>
    <m/>
    <m/>
    <m/>
    <m/>
    <m/>
    <x v="394"/>
    <x v="1"/>
    <x v="6"/>
  </r>
  <r>
    <x v="13"/>
    <m/>
    <m/>
    <m/>
    <m/>
    <m/>
    <x v="394"/>
    <x v="1"/>
    <x v="6"/>
  </r>
  <r>
    <x v="0"/>
    <m/>
    <m/>
    <m/>
    <m/>
    <m/>
    <x v="395"/>
    <x v="1"/>
    <x v="6"/>
  </r>
  <r>
    <x v="1"/>
    <m/>
    <n v="45000"/>
    <m/>
    <m/>
    <m/>
    <x v="395"/>
    <x v="1"/>
    <x v="6"/>
  </r>
  <r>
    <x v="2"/>
    <n v="702000"/>
    <m/>
    <m/>
    <m/>
    <n v="482000"/>
    <x v="395"/>
    <x v="1"/>
    <x v="6"/>
  </r>
  <r>
    <x v="3"/>
    <m/>
    <n v="270000"/>
    <m/>
    <m/>
    <m/>
    <x v="395"/>
    <x v="1"/>
    <x v="6"/>
  </r>
  <r>
    <x v="4"/>
    <m/>
    <m/>
    <m/>
    <m/>
    <m/>
    <x v="395"/>
    <x v="1"/>
    <x v="6"/>
  </r>
  <r>
    <x v="5"/>
    <m/>
    <n v="99000"/>
    <m/>
    <m/>
    <m/>
    <x v="395"/>
    <x v="1"/>
    <x v="6"/>
  </r>
  <r>
    <x v="14"/>
    <m/>
    <m/>
    <m/>
    <m/>
    <m/>
    <x v="395"/>
    <x v="1"/>
    <x v="6"/>
  </r>
  <r>
    <x v="6"/>
    <n v="378000"/>
    <n v="108000"/>
    <m/>
    <m/>
    <m/>
    <x v="395"/>
    <x v="1"/>
    <x v="6"/>
  </r>
  <r>
    <x v="7"/>
    <m/>
    <m/>
    <m/>
    <m/>
    <m/>
    <x v="395"/>
    <x v="1"/>
    <x v="6"/>
  </r>
  <r>
    <x v="15"/>
    <m/>
    <m/>
    <m/>
    <m/>
    <m/>
    <x v="395"/>
    <x v="1"/>
    <x v="6"/>
  </r>
  <r>
    <x v="8"/>
    <m/>
    <m/>
    <m/>
    <m/>
    <m/>
    <x v="395"/>
    <x v="1"/>
    <x v="6"/>
  </r>
  <r>
    <x v="9"/>
    <n v="580500"/>
    <n v="216000"/>
    <m/>
    <m/>
    <m/>
    <x v="395"/>
    <x v="1"/>
    <x v="6"/>
  </r>
  <r>
    <x v="10"/>
    <m/>
    <m/>
    <m/>
    <m/>
    <m/>
    <x v="395"/>
    <x v="1"/>
    <x v="6"/>
  </r>
  <r>
    <x v="11"/>
    <m/>
    <m/>
    <m/>
    <m/>
    <m/>
    <x v="395"/>
    <x v="1"/>
    <x v="6"/>
  </r>
  <r>
    <x v="12"/>
    <m/>
    <m/>
    <m/>
    <m/>
    <m/>
    <x v="395"/>
    <x v="1"/>
    <x v="6"/>
  </r>
  <r>
    <x v="13"/>
    <m/>
    <m/>
    <m/>
    <m/>
    <m/>
    <x v="395"/>
    <x v="1"/>
    <x v="6"/>
  </r>
  <r>
    <x v="0"/>
    <m/>
    <m/>
    <m/>
    <m/>
    <m/>
    <x v="396"/>
    <x v="1"/>
    <x v="6"/>
  </r>
  <r>
    <x v="1"/>
    <m/>
    <n v="45000"/>
    <m/>
    <m/>
    <m/>
    <x v="396"/>
    <x v="1"/>
    <x v="6"/>
  </r>
  <r>
    <x v="2"/>
    <n v="742000"/>
    <m/>
    <m/>
    <n v="54000"/>
    <n v="216000"/>
    <x v="396"/>
    <x v="1"/>
    <x v="6"/>
  </r>
  <r>
    <x v="3"/>
    <m/>
    <n v="270000"/>
    <m/>
    <n v="216000"/>
    <m/>
    <x v="396"/>
    <x v="1"/>
    <x v="6"/>
  </r>
  <r>
    <x v="4"/>
    <m/>
    <m/>
    <n v="216000"/>
    <n v="54000"/>
    <m/>
    <x v="396"/>
    <x v="1"/>
    <x v="6"/>
  </r>
  <r>
    <x v="5"/>
    <m/>
    <n v="54000"/>
    <n v="54000"/>
    <n v="108000"/>
    <m/>
    <x v="396"/>
    <x v="1"/>
    <x v="6"/>
  </r>
  <r>
    <x v="14"/>
    <m/>
    <m/>
    <m/>
    <m/>
    <m/>
    <x v="396"/>
    <x v="1"/>
    <x v="6"/>
  </r>
  <r>
    <x v="6"/>
    <n v="162000"/>
    <n v="216000"/>
    <n v="324000"/>
    <m/>
    <m/>
    <x v="396"/>
    <x v="1"/>
    <x v="6"/>
  </r>
  <r>
    <x v="7"/>
    <m/>
    <m/>
    <m/>
    <m/>
    <m/>
    <x v="396"/>
    <x v="1"/>
    <x v="6"/>
  </r>
  <r>
    <x v="15"/>
    <m/>
    <m/>
    <m/>
    <m/>
    <m/>
    <x v="396"/>
    <x v="1"/>
    <x v="6"/>
  </r>
  <r>
    <x v="8"/>
    <m/>
    <n v="1008000"/>
    <m/>
    <m/>
    <m/>
    <x v="396"/>
    <x v="1"/>
    <x v="6"/>
  </r>
  <r>
    <x v="9"/>
    <n v="531000"/>
    <n v="162000"/>
    <n v="216000"/>
    <n v="54000"/>
    <m/>
    <x v="396"/>
    <x v="1"/>
    <x v="6"/>
  </r>
  <r>
    <x v="10"/>
    <m/>
    <m/>
    <m/>
    <m/>
    <m/>
    <x v="396"/>
    <x v="1"/>
    <x v="6"/>
  </r>
  <r>
    <x v="11"/>
    <m/>
    <m/>
    <m/>
    <m/>
    <m/>
    <x v="396"/>
    <x v="1"/>
    <x v="6"/>
  </r>
  <r>
    <x v="12"/>
    <m/>
    <m/>
    <m/>
    <m/>
    <m/>
    <x v="396"/>
    <x v="1"/>
    <x v="6"/>
  </r>
  <r>
    <x v="13"/>
    <n v="216000"/>
    <m/>
    <m/>
    <m/>
    <n v="378000"/>
    <x v="396"/>
    <x v="1"/>
    <x v="6"/>
  </r>
  <r>
    <x v="0"/>
    <m/>
    <m/>
    <m/>
    <m/>
    <m/>
    <x v="397"/>
    <x v="1"/>
    <x v="6"/>
  </r>
  <r>
    <x v="1"/>
    <m/>
    <m/>
    <m/>
    <m/>
    <m/>
    <x v="397"/>
    <x v="1"/>
    <x v="6"/>
  </r>
  <r>
    <x v="2"/>
    <n v="801000"/>
    <m/>
    <m/>
    <m/>
    <n v="162000"/>
    <x v="397"/>
    <x v="1"/>
    <x v="6"/>
  </r>
  <r>
    <x v="3"/>
    <m/>
    <n v="486000"/>
    <m/>
    <m/>
    <m/>
    <x v="397"/>
    <x v="1"/>
    <x v="6"/>
  </r>
  <r>
    <x v="4"/>
    <m/>
    <m/>
    <n v="194000"/>
    <m/>
    <m/>
    <x v="397"/>
    <x v="1"/>
    <x v="6"/>
  </r>
  <r>
    <x v="5"/>
    <m/>
    <n v="265500"/>
    <n v="104000"/>
    <n v="54000"/>
    <m/>
    <x v="397"/>
    <x v="1"/>
    <x v="6"/>
  </r>
  <r>
    <x v="14"/>
    <m/>
    <m/>
    <m/>
    <m/>
    <m/>
    <x v="397"/>
    <x v="1"/>
    <x v="6"/>
  </r>
  <r>
    <x v="6"/>
    <m/>
    <n v="162000"/>
    <m/>
    <m/>
    <m/>
    <x v="397"/>
    <x v="1"/>
    <x v="6"/>
  </r>
  <r>
    <x v="7"/>
    <m/>
    <m/>
    <m/>
    <m/>
    <m/>
    <x v="397"/>
    <x v="1"/>
    <x v="6"/>
  </r>
  <r>
    <x v="15"/>
    <m/>
    <m/>
    <m/>
    <m/>
    <m/>
    <x v="397"/>
    <x v="1"/>
    <x v="6"/>
  </r>
  <r>
    <x v="8"/>
    <m/>
    <m/>
    <m/>
    <m/>
    <m/>
    <x v="397"/>
    <x v="1"/>
    <x v="6"/>
  </r>
  <r>
    <x v="9"/>
    <n v="806000"/>
    <n v="265500"/>
    <n v="54000"/>
    <m/>
    <m/>
    <x v="397"/>
    <x v="1"/>
    <x v="6"/>
  </r>
  <r>
    <x v="10"/>
    <m/>
    <m/>
    <m/>
    <m/>
    <m/>
    <x v="397"/>
    <x v="1"/>
    <x v="6"/>
  </r>
  <r>
    <x v="11"/>
    <m/>
    <m/>
    <m/>
    <m/>
    <m/>
    <x v="397"/>
    <x v="1"/>
    <x v="6"/>
  </r>
  <r>
    <x v="12"/>
    <m/>
    <m/>
    <m/>
    <m/>
    <m/>
    <x v="397"/>
    <x v="1"/>
    <x v="6"/>
  </r>
  <r>
    <x v="13"/>
    <n v="45000"/>
    <m/>
    <m/>
    <m/>
    <n v="162000"/>
    <x v="397"/>
    <x v="1"/>
    <x v="6"/>
  </r>
  <r>
    <x v="0"/>
    <m/>
    <m/>
    <m/>
    <m/>
    <m/>
    <x v="398"/>
    <x v="1"/>
    <x v="6"/>
  </r>
  <r>
    <x v="1"/>
    <m/>
    <m/>
    <m/>
    <m/>
    <m/>
    <x v="398"/>
    <x v="1"/>
    <x v="6"/>
  </r>
  <r>
    <x v="2"/>
    <n v="702000"/>
    <m/>
    <m/>
    <m/>
    <n v="50000"/>
    <x v="398"/>
    <x v="1"/>
    <x v="6"/>
  </r>
  <r>
    <x v="3"/>
    <m/>
    <n v="594000"/>
    <m/>
    <m/>
    <m/>
    <x v="398"/>
    <x v="1"/>
    <x v="6"/>
  </r>
  <r>
    <x v="4"/>
    <m/>
    <m/>
    <m/>
    <m/>
    <m/>
    <x v="398"/>
    <x v="1"/>
    <x v="6"/>
  </r>
  <r>
    <x v="5"/>
    <m/>
    <n v="54000"/>
    <n v="50000"/>
    <m/>
    <m/>
    <x v="398"/>
    <x v="1"/>
    <x v="6"/>
  </r>
  <r>
    <x v="14"/>
    <m/>
    <m/>
    <m/>
    <m/>
    <m/>
    <x v="398"/>
    <x v="1"/>
    <x v="6"/>
  </r>
  <r>
    <x v="6"/>
    <m/>
    <n v="261000"/>
    <m/>
    <m/>
    <m/>
    <x v="398"/>
    <x v="1"/>
    <x v="6"/>
  </r>
  <r>
    <x v="7"/>
    <m/>
    <m/>
    <m/>
    <m/>
    <m/>
    <x v="398"/>
    <x v="1"/>
    <x v="6"/>
  </r>
  <r>
    <x v="15"/>
    <m/>
    <m/>
    <m/>
    <m/>
    <m/>
    <x v="398"/>
    <x v="1"/>
    <x v="6"/>
  </r>
  <r>
    <x v="8"/>
    <m/>
    <m/>
    <m/>
    <m/>
    <m/>
    <x v="398"/>
    <x v="1"/>
    <x v="6"/>
  </r>
  <r>
    <x v="9"/>
    <n v="755500"/>
    <n v="270000"/>
    <m/>
    <m/>
    <m/>
    <x v="398"/>
    <x v="1"/>
    <x v="6"/>
  </r>
  <r>
    <x v="10"/>
    <m/>
    <m/>
    <m/>
    <m/>
    <m/>
    <x v="398"/>
    <x v="1"/>
    <x v="6"/>
  </r>
  <r>
    <x v="11"/>
    <m/>
    <m/>
    <m/>
    <m/>
    <m/>
    <x v="398"/>
    <x v="1"/>
    <x v="6"/>
  </r>
  <r>
    <x v="12"/>
    <m/>
    <m/>
    <m/>
    <m/>
    <m/>
    <x v="398"/>
    <x v="1"/>
    <x v="6"/>
  </r>
  <r>
    <x v="13"/>
    <m/>
    <m/>
    <m/>
    <m/>
    <n v="108000"/>
    <x v="398"/>
    <x v="1"/>
    <x v="6"/>
  </r>
  <r>
    <x v="0"/>
    <m/>
    <m/>
    <m/>
    <m/>
    <m/>
    <x v="399"/>
    <x v="1"/>
    <x v="6"/>
  </r>
  <r>
    <x v="1"/>
    <m/>
    <m/>
    <m/>
    <m/>
    <m/>
    <x v="399"/>
    <x v="1"/>
    <x v="6"/>
  </r>
  <r>
    <x v="2"/>
    <n v="486000"/>
    <m/>
    <m/>
    <m/>
    <m/>
    <x v="399"/>
    <x v="1"/>
    <x v="6"/>
  </r>
  <r>
    <x v="3"/>
    <m/>
    <n v="796500"/>
    <m/>
    <m/>
    <m/>
    <x v="399"/>
    <x v="1"/>
    <x v="6"/>
  </r>
  <r>
    <x v="4"/>
    <m/>
    <m/>
    <n v="90000"/>
    <m/>
    <m/>
    <x v="399"/>
    <x v="1"/>
    <x v="6"/>
  </r>
  <r>
    <x v="5"/>
    <m/>
    <m/>
    <n v="49500"/>
    <m/>
    <m/>
    <x v="399"/>
    <x v="1"/>
    <x v="6"/>
  </r>
  <r>
    <x v="14"/>
    <m/>
    <m/>
    <m/>
    <m/>
    <m/>
    <x v="399"/>
    <x v="1"/>
    <x v="6"/>
  </r>
  <r>
    <x v="6"/>
    <m/>
    <n v="319500"/>
    <m/>
    <m/>
    <m/>
    <x v="399"/>
    <x v="1"/>
    <x v="6"/>
  </r>
  <r>
    <x v="7"/>
    <m/>
    <m/>
    <m/>
    <m/>
    <m/>
    <x v="399"/>
    <x v="1"/>
    <x v="6"/>
  </r>
  <r>
    <x v="15"/>
    <m/>
    <m/>
    <m/>
    <m/>
    <m/>
    <x v="399"/>
    <x v="1"/>
    <x v="6"/>
  </r>
  <r>
    <x v="8"/>
    <n v="648000"/>
    <m/>
    <m/>
    <m/>
    <m/>
    <x v="399"/>
    <x v="1"/>
    <x v="6"/>
  </r>
  <r>
    <x v="9"/>
    <n v="539000"/>
    <n v="486000"/>
    <n v="45000"/>
    <m/>
    <m/>
    <x v="399"/>
    <x v="1"/>
    <x v="6"/>
  </r>
  <r>
    <x v="10"/>
    <m/>
    <m/>
    <m/>
    <m/>
    <m/>
    <x v="399"/>
    <x v="1"/>
    <x v="6"/>
  </r>
  <r>
    <x v="11"/>
    <m/>
    <m/>
    <m/>
    <m/>
    <m/>
    <x v="399"/>
    <x v="1"/>
    <x v="6"/>
  </r>
  <r>
    <x v="12"/>
    <m/>
    <m/>
    <m/>
    <m/>
    <m/>
    <x v="399"/>
    <x v="1"/>
    <x v="6"/>
  </r>
  <r>
    <x v="13"/>
    <m/>
    <m/>
    <m/>
    <m/>
    <m/>
    <x v="399"/>
    <x v="1"/>
    <x v="6"/>
  </r>
  <r>
    <x v="0"/>
    <m/>
    <m/>
    <m/>
    <m/>
    <m/>
    <x v="400"/>
    <x v="1"/>
    <x v="6"/>
  </r>
  <r>
    <x v="1"/>
    <m/>
    <m/>
    <m/>
    <m/>
    <m/>
    <x v="400"/>
    <x v="1"/>
    <x v="6"/>
  </r>
  <r>
    <x v="2"/>
    <n v="473000"/>
    <m/>
    <m/>
    <n v="108000"/>
    <n v="50000"/>
    <x v="400"/>
    <x v="1"/>
    <x v="6"/>
  </r>
  <r>
    <x v="3"/>
    <m/>
    <n v="686500"/>
    <m/>
    <n v="324000"/>
    <m/>
    <x v="400"/>
    <x v="1"/>
    <x v="6"/>
  </r>
  <r>
    <x v="4"/>
    <m/>
    <m/>
    <m/>
    <n v="108000"/>
    <m/>
    <x v="400"/>
    <x v="1"/>
    <x v="6"/>
  </r>
  <r>
    <x v="5"/>
    <m/>
    <m/>
    <m/>
    <m/>
    <m/>
    <x v="400"/>
    <x v="1"/>
    <x v="6"/>
  </r>
  <r>
    <x v="14"/>
    <m/>
    <m/>
    <m/>
    <m/>
    <m/>
    <x v="400"/>
    <x v="1"/>
    <x v="6"/>
  </r>
  <r>
    <x v="6"/>
    <m/>
    <n v="270000"/>
    <m/>
    <m/>
    <m/>
    <x v="400"/>
    <x v="1"/>
    <x v="6"/>
  </r>
  <r>
    <x v="7"/>
    <m/>
    <m/>
    <m/>
    <m/>
    <m/>
    <x v="400"/>
    <x v="1"/>
    <x v="6"/>
  </r>
  <r>
    <x v="15"/>
    <m/>
    <m/>
    <m/>
    <m/>
    <m/>
    <x v="400"/>
    <x v="1"/>
    <x v="6"/>
  </r>
  <r>
    <x v="8"/>
    <n v="427500"/>
    <m/>
    <m/>
    <m/>
    <m/>
    <x v="400"/>
    <x v="1"/>
    <x v="6"/>
  </r>
  <r>
    <x v="9"/>
    <n v="530500"/>
    <n v="319500"/>
    <m/>
    <n v="54000"/>
    <m/>
    <x v="400"/>
    <x v="1"/>
    <x v="6"/>
  </r>
  <r>
    <x v="10"/>
    <m/>
    <m/>
    <m/>
    <m/>
    <m/>
    <x v="400"/>
    <x v="1"/>
    <x v="6"/>
  </r>
  <r>
    <x v="11"/>
    <m/>
    <m/>
    <m/>
    <m/>
    <m/>
    <x v="400"/>
    <x v="1"/>
    <x v="6"/>
  </r>
  <r>
    <x v="12"/>
    <m/>
    <n v="324000"/>
    <m/>
    <m/>
    <m/>
    <x v="400"/>
    <x v="1"/>
    <x v="6"/>
  </r>
  <r>
    <x v="13"/>
    <m/>
    <m/>
    <m/>
    <m/>
    <n v="50000"/>
    <x v="400"/>
    <x v="1"/>
    <x v="6"/>
  </r>
  <r>
    <x v="0"/>
    <m/>
    <m/>
    <m/>
    <m/>
    <m/>
    <x v="401"/>
    <x v="1"/>
    <x v="6"/>
  </r>
  <r>
    <x v="1"/>
    <m/>
    <m/>
    <m/>
    <m/>
    <m/>
    <x v="401"/>
    <x v="1"/>
    <x v="6"/>
  </r>
  <r>
    <x v="2"/>
    <n v="486000"/>
    <n v="49500"/>
    <m/>
    <n v="108000"/>
    <n v="540000"/>
    <x v="401"/>
    <x v="1"/>
    <x v="6"/>
  </r>
  <r>
    <x v="3"/>
    <m/>
    <n v="319500"/>
    <m/>
    <n v="216000"/>
    <m/>
    <x v="401"/>
    <x v="1"/>
    <x v="6"/>
  </r>
  <r>
    <x v="4"/>
    <m/>
    <m/>
    <m/>
    <n v="108000"/>
    <m/>
    <x v="401"/>
    <x v="1"/>
    <x v="6"/>
  </r>
  <r>
    <x v="5"/>
    <m/>
    <m/>
    <m/>
    <n v="104000"/>
    <m/>
    <x v="401"/>
    <x v="1"/>
    <x v="6"/>
  </r>
  <r>
    <x v="14"/>
    <m/>
    <m/>
    <m/>
    <m/>
    <m/>
    <x v="401"/>
    <x v="1"/>
    <x v="6"/>
  </r>
  <r>
    <x v="6"/>
    <m/>
    <n v="203000"/>
    <m/>
    <m/>
    <m/>
    <x v="401"/>
    <x v="1"/>
    <x v="6"/>
  </r>
  <r>
    <x v="7"/>
    <m/>
    <m/>
    <m/>
    <m/>
    <m/>
    <x v="401"/>
    <x v="1"/>
    <x v="6"/>
  </r>
  <r>
    <x v="15"/>
    <m/>
    <m/>
    <m/>
    <m/>
    <m/>
    <x v="401"/>
    <x v="1"/>
    <x v="6"/>
  </r>
  <r>
    <x v="8"/>
    <n v="477500"/>
    <n v="846000"/>
    <m/>
    <m/>
    <m/>
    <x v="401"/>
    <x v="1"/>
    <x v="6"/>
  </r>
  <r>
    <x v="9"/>
    <n v="369500"/>
    <n v="216000"/>
    <m/>
    <m/>
    <m/>
    <x v="401"/>
    <x v="1"/>
    <x v="6"/>
  </r>
  <r>
    <x v="10"/>
    <m/>
    <m/>
    <m/>
    <m/>
    <m/>
    <x v="401"/>
    <x v="1"/>
    <x v="6"/>
  </r>
  <r>
    <x v="11"/>
    <m/>
    <m/>
    <m/>
    <m/>
    <m/>
    <x v="401"/>
    <x v="1"/>
    <x v="6"/>
  </r>
  <r>
    <x v="12"/>
    <m/>
    <n v="212000"/>
    <m/>
    <m/>
    <m/>
    <x v="401"/>
    <x v="1"/>
    <x v="6"/>
  </r>
  <r>
    <x v="13"/>
    <m/>
    <m/>
    <m/>
    <m/>
    <m/>
    <x v="401"/>
    <x v="1"/>
    <x v="6"/>
  </r>
  <r>
    <x v="0"/>
    <m/>
    <m/>
    <m/>
    <m/>
    <m/>
    <x v="402"/>
    <x v="1"/>
    <x v="6"/>
  </r>
  <r>
    <x v="1"/>
    <m/>
    <m/>
    <m/>
    <m/>
    <m/>
    <x v="402"/>
    <x v="1"/>
    <x v="6"/>
  </r>
  <r>
    <x v="2"/>
    <n v="1764000"/>
    <n v="108000"/>
    <m/>
    <m/>
    <n v="959000"/>
    <x v="402"/>
    <x v="1"/>
    <x v="6"/>
  </r>
  <r>
    <x v="3"/>
    <m/>
    <n v="324000"/>
    <m/>
    <m/>
    <m/>
    <x v="402"/>
    <x v="1"/>
    <x v="6"/>
  </r>
  <r>
    <x v="4"/>
    <m/>
    <m/>
    <m/>
    <m/>
    <m/>
    <x v="402"/>
    <x v="1"/>
    <x v="6"/>
  </r>
  <r>
    <x v="5"/>
    <m/>
    <m/>
    <m/>
    <m/>
    <m/>
    <x v="402"/>
    <x v="1"/>
    <x v="6"/>
  </r>
  <r>
    <x v="14"/>
    <m/>
    <m/>
    <m/>
    <m/>
    <m/>
    <x v="402"/>
    <x v="1"/>
    <x v="6"/>
  </r>
  <r>
    <x v="6"/>
    <m/>
    <m/>
    <m/>
    <m/>
    <m/>
    <x v="402"/>
    <x v="1"/>
    <x v="6"/>
  </r>
  <r>
    <x v="7"/>
    <m/>
    <m/>
    <m/>
    <m/>
    <m/>
    <x v="402"/>
    <x v="1"/>
    <x v="6"/>
  </r>
  <r>
    <x v="15"/>
    <m/>
    <m/>
    <m/>
    <m/>
    <m/>
    <x v="402"/>
    <x v="1"/>
    <x v="6"/>
  </r>
  <r>
    <x v="8"/>
    <n v="211500"/>
    <m/>
    <m/>
    <m/>
    <m/>
    <x v="402"/>
    <x v="1"/>
    <x v="6"/>
  </r>
  <r>
    <x v="9"/>
    <m/>
    <n v="1381500"/>
    <m/>
    <m/>
    <m/>
    <x v="402"/>
    <x v="1"/>
    <x v="6"/>
  </r>
  <r>
    <x v="10"/>
    <m/>
    <m/>
    <m/>
    <m/>
    <m/>
    <x v="402"/>
    <x v="1"/>
    <x v="6"/>
  </r>
  <r>
    <x v="11"/>
    <m/>
    <m/>
    <m/>
    <m/>
    <m/>
    <x v="402"/>
    <x v="1"/>
    <x v="6"/>
  </r>
  <r>
    <x v="12"/>
    <m/>
    <n v="108000"/>
    <m/>
    <m/>
    <m/>
    <x v="402"/>
    <x v="1"/>
    <x v="6"/>
  </r>
  <r>
    <x v="13"/>
    <m/>
    <m/>
    <m/>
    <m/>
    <m/>
    <x v="402"/>
    <x v="1"/>
    <x v="6"/>
  </r>
  <r>
    <x v="0"/>
    <m/>
    <m/>
    <m/>
    <m/>
    <m/>
    <x v="403"/>
    <x v="1"/>
    <x v="7"/>
  </r>
  <r>
    <x v="1"/>
    <m/>
    <m/>
    <m/>
    <m/>
    <m/>
    <x v="403"/>
    <x v="1"/>
    <x v="7"/>
  </r>
  <r>
    <x v="2"/>
    <n v="162000"/>
    <m/>
    <m/>
    <m/>
    <m/>
    <x v="403"/>
    <x v="1"/>
    <x v="7"/>
  </r>
  <r>
    <x v="3"/>
    <m/>
    <m/>
    <m/>
    <m/>
    <m/>
    <x v="403"/>
    <x v="1"/>
    <x v="7"/>
  </r>
  <r>
    <x v="4"/>
    <m/>
    <m/>
    <m/>
    <m/>
    <m/>
    <x v="403"/>
    <x v="1"/>
    <x v="7"/>
  </r>
  <r>
    <x v="5"/>
    <m/>
    <m/>
    <m/>
    <m/>
    <m/>
    <x v="403"/>
    <x v="1"/>
    <x v="7"/>
  </r>
  <r>
    <x v="14"/>
    <m/>
    <m/>
    <m/>
    <m/>
    <m/>
    <x v="403"/>
    <x v="1"/>
    <x v="7"/>
  </r>
  <r>
    <x v="6"/>
    <m/>
    <m/>
    <m/>
    <m/>
    <m/>
    <x v="403"/>
    <x v="1"/>
    <x v="7"/>
  </r>
  <r>
    <x v="7"/>
    <m/>
    <m/>
    <m/>
    <m/>
    <m/>
    <x v="403"/>
    <x v="1"/>
    <x v="7"/>
  </r>
  <r>
    <x v="15"/>
    <m/>
    <m/>
    <m/>
    <m/>
    <m/>
    <x v="403"/>
    <x v="1"/>
    <x v="7"/>
  </r>
  <r>
    <x v="8"/>
    <m/>
    <m/>
    <m/>
    <m/>
    <m/>
    <x v="403"/>
    <x v="1"/>
    <x v="7"/>
  </r>
  <r>
    <x v="9"/>
    <m/>
    <n v="324000"/>
    <m/>
    <m/>
    <m/>
    <x v="403"/>
    <x v="1"/>
    <x v="7"/>
  </r>
  <r>
    <x v="10"/>
    <m/>
    <m/>
    <m/>
    <m/>
    <m/>
    <x v="403"/>
    <x v="1"/>
    <x v="7"/>
  </r>
  <r>
    <x v="11"/>
    <m/>
    <m/>
    <m/>
    <m/>
    <m/>
    <x v="403"/>
    <x v="1"/>
    <x v="7"/>
  </r>
  <r>
    <x v="12"/>
    <m/>
    <m/>
    <m/>
    <m/>
    <m/>
    <x v="403"/>
    <x v="1"/>
    <x v="7"/>
  </r>
  <r>
    <x v="13"/>
    <m/>
    <m/>
    <m/>
    <m/>
    <m/>
    <x v="403"/>
    <x v="1"/>
    <x v="7"/>
  </r>
  <r>
    <x v="0"/>
    <m/>
    <m/>
    <m/>
    <m/>
    <m/>
    <x v="404"/>
    <x v="1"/>
    <x v="7"/>
  </r>
  <r>
    <x v="1"/>
    <m/>
    <m/>
    <m/>
    <m/>
    <m/>
    <x v="404"/>
    <x v="1"/>
    <x v="7"/>
  </r>
  <r>
    <x v="2"/>
    <n v="1674000"/>
    <m/>
    <m/>
    <n v="54000"/>
    <m/>
    <x v="404"/>
    <x v="1"/>
    <x v="7"/>
  </r>
  <r>
    <x v="3"/>
    <m/>
    <m/>
    <m/>
    <n v="540000"/>
    <m/>
    <x v="404"/>
    <x v="1"/>
    <x v="7"/>
  </r>
  <r>
    <x v="4"/>
    <m/>
    <m/>
    <m/>
    <n v="50000"/>
    <m/>
    <x v="404"/>
    <x v="1"/>
    <x v="7"/>
  </r>
  <r>
    <x v="5"/>
    <m/>
    <m/>
    <m/>
    <n v="54000"/>
    <m/>
    <x v="404"/>
    <x v="1"/>
    <x v="7"/>
  </r>
  <r>
    <x v="14"/>
    <m/>
    <m/>
    <m/>
    <m/>
    <m/>
    <x v="404"/>
    <x v="1"/>
    <x v="7"/>
  </r>
  <r>
    <x v="6"/>
    <m/>
    <n v="363000"/>
    <m/>
    <n v="45000"/>
    <m/>
    <x v="404"/>
    <x v="1"/>
    <x v="7"/>
  </r>
  <r>
    <x v="7"/>
    <m/>
    <m/>
    <m/>
    <m/>
    <m/>
    <x v="404"/>
    <x v="1"/>
    <x v="7"/>
  </r>
  <r>
    <x v="15"/>
    <m/>
    <m/>
    <m/>
    <m/>
    <m/>
    <x v="404"/>
    <x v="1"/>
    <x v="7"/>
  </r>
  <r>
    <x v="8"/>
    <n v="54000"/>
    <n v="270000"/>
    <m/>
    <n v="108000"/>
    <m/>
    <x v="404"/>
    <x v="1"/>
    <x v="7"/>
  </r>
  <r>
    <x v="9"/>
    <m/>
    <n v="482000"/>
    <m/>
    <m/>
    <m/>
    <x v="404"/>
    <x v="1"/>
    <x v="7"/>
  </r>
  <r>
    <x v="10"/>
    <m/>
    <m/>
    <m/>
    <m/>
    <m/>
    <x v="404"/>
    <x v="1"/>
    <x v="7"/>
  </r>
  <r>
    <x v="11"/>
    <m/>
    <m/>
    <m/>
    <m/>
    <m/>
    <x v="404"/>
    <x v="1"/>
    <x v="7"/>
  </r>
  <r>
    <x v="12"/>
    <m/>
    <n v="216000"/>
    <m/>
    <m/>
    <m/>
    <x v="404"/>
    <x v="1"/>
    <x v="7"/>
  </r>
  <r>
    <x v="13"/>
    <n v="47000"/>
    <m/>
    <m/>
    <m/>
    <m/>
    <x v="404"/>
    <x v="1"/>
    <x v="7"/>
  </r>
  <r>
    <x v="0"/>
    <m/>
    <m/>
    <m/>
    <m/>
    <m/>
    <x v="405"/>
    <x v="1"/>
    <x v="7"/>
  </r>
  <r>
    <x v="1"/>
    <m/>
    <m/>
    <m/>
    <m/>
    <m/>
    <x v="405"/>
    <x v="1"/>
    <x v="7"/>
  </r>
  <r>
    <x v="2"/>
    <n v="643500"/>
    <m/>
    <m/>
    <m/>
    <m/>
    <x v="405"/>
    <x v="1"/>
    <x v="7"/>
  </r>
  <r>
    <x v="3"/>
    <n v="914000"/>
    <m/>
    <m/>
    <m/>
    <m/>
    <x v="405"/>
    <x v="1"/>
    <x v="7"/>
  </r>
  <r>
    <x v="4"/>
    <m/>
    <m/>
    <m/>
    <m/>
    <m/>
    <x v="405"/>
    <x v="1"/>
    <x v="7"/>
  </r>
  <r>
    <x v="5"/>
    <m/>
    <m/>
    <m/>
    <m/>
    <m/>
    <x v="405"/>
    <x v="1"/>
    <x v="7"/>
  </r>
  <r>
    <x v="14"/>
    <m/>
    <m/>
    <m/>
    <m/>
    <m/>
    <x v="405"/>
    <x v="1"/>
    <x v="7"/>
  </r>
  <r>
    <x v="6"/>
    <m/>
    <n v="481500"/>
    <m/>
    <m/>
    <m/>
    <x v="405"/>
    <x v="1"/>
    <x v="7"/>
  </r>
  <r>
    <x v="7"/>
    <m/>
    <m/>
    <m/>
    <m/>
    <m/>
    <x v="405"/>
    <x v="1"/>
    <x v="7"/>
  </r>
  <r>
    <x v="15"/>
    <m/>
    <m/>
    <m/>
    <m/>
    <m/>
    <x v="405"/>
    <x v="1"/>
    <x v="7"/>
  </r>
  <r>
    <x v="8"/>
    <m/>
    <n v="481500"/>
    <m/>
    <n v="324000"/>
    <m/>
    <x v="405"/>
    <x v="1"/>
    <x v="7"/>
  </r>
  <r>
    <x v="9"/>
    <m/>
    <n v="207000"/>
    <m/>
    <m/>
    <n v="801000"/>
    <x v="405"/>
    <x v="1"/>
    <x v="7"/>
  </r>
  <r>
    <x v="10"/>
    <m/>
    <m/>
    <m/>
    <m/>
    <m/>
    <x v="405"/>
    <x v="1"/>
    <x v="7"/>
  </r>
  <r>
    <x v="11"/>
    <m/>
    <m/>
    <m/>
    <m/>
    <m/>
    <x v="405"/>
    <x v="1"/>
    <x v="7"/>
  </r>
  <r>
    <x v="12"/>
    <m/>
    <n v="162000"/>
    <m/>
    <m/>
    <m/>
    <x v="405"/>
    <x v="1"/>
    <x v="7"/>
  </r>
  <r>
    <x v="13"/>
    <m/>
    <m/>
    <m/>
    <m/>
    <m/>
    <x v="405"/>
    <x v="1"/>
    <x v="7"/>
  </r>
  <r>
    <x v="0"/>
    <m/>
    <m/>
    <m/>
    <m/>
    <m/>
    <x v="406"/>
    <x v="1"/>
    <x v="7"/>
  </r>
  <r>
    <x v="1"/>
    <m/>
    <m/>
    <m/>
    <m/>
    <m/>
    <x v="406"/>
    <x v="1"/>
    <x v="7"/>
  </r>
  <r>
    <x v="2"/>
    <m/>
    <m/>
    <m/>
    <m/>
    <m/>
    <x v="406"/>
    <x v="1"/>
    <x v="7"/>
  </r>
  <r>
    <x v="3"/>
    <n v="1656000"/>
    <m/>
    <m/>
    <m/>
    <n v="540000"/>
    <x v="406"/>
    <x v="1"/>
    <x v="7"/>
  </r>
  <r>
    <x v="4"/>
    <m/>
    <m/>
    <m/>
    <m/>
    <m/>
    <x v="406"/>
    <x v="1"/>
    <x v="7"/>
  </r>
  <r>
    <x v="5"/>
    <m/>
    <m/>
    <m/>
    <m/>
    <m/>
    <x v="406"/>
    <x v="1"/>
    <x v="7"/>
  </r>
  <r>
    <x v="14"/>
    <m/>
    <m/>
    <m/>
    <m/>
    <m/>
    <x v="406"/>
    <x v="1"/>
    <x v="7"/>
  </r>
  <r>
    <x v="6"/>
    <m/>
    <n v="162000"/>
    <m/>
    <m/>
    <m/>
    <x v="406"/>
    <x v="1"/>
    <x v="7"/>
  </r>
  <r>
    <x v="7"/>
    <m/>
    <m/>
    <m/>
    <m/>
    <m/>
    <x v="406"/>
    <x v="1"/>
    <x v="7"/>
  </r>
  <r>
    <x v="15"/>
    <m/>
    <m/>
    <m/>
    <m/>
    <m/>
    <x v="406"/>
    <x v="1"/>
    <x v="7"/>
  </r>
  <r>
    <x v="8"/>
    <m/>
    <n v="108000"/>
    <m/>
    <m/>
    <m/>
    <x v="406"/>
    <x v="1"/>
    <x v="7"/>
  </r>
  <r>
    <x v="9"/>
    <m/>
    <n v="53000"/>
    <m/>
    <m/>
    <m/>
    <x v="406"/>
    <x v="1"/>
    <x v="7"/>
  </r>
  <r>
    <x v="10"/>
    <m/>
    <m/>
    <m/>
    <m/>
    <m/>
    <x v="406"/>
    <x v="1"/>
    <x v="7"/>
  </r>
  <r>
    <x v="11"/>
    <m/>
    <m/>
    <m/>
    <m/>
    <m/>
    <x v="406"/>
    <x v="1"/>
    <x v="7"/>
  </r>
  <r>
    <x v="12"/>
    <m/>
    <n v="54000"/>
    <m/>
    <m/>
    <m/>
    <x v="406"/>
    <x v="1"/>
    <x v="7"/>
  </r>
  <r>
    <x v="13"/>
    <m/>
    <m/>
    <m/>
    <m/>
    <m/>
    <x v="406"/>
    <x v="1"/>
    <x v="7"/>
  </r>
  <r>
    <x v="0"/>
    <m/>
    <m/>
    <m/>
    <m/>
    <m/>
    <x v="407"/>
    <x v="1"/>
    <x v="7"/>
  </r>
  <r>
    <x v="1"/>
    <m/>
    <m/>
    <m/>
    <m/>
    <m/>
    <x v="407"/>
    <x v="1"/>
    <x v="7"/>
  </r>
  <r>
    <x v="2"/>
    <n v="378000"/>
    <m/>
    <m/>
    <n v="54000"/>
    <m/>
    <x v="407"/>
    <x v="1"/>
    <x v="7"/>
  </r>
  <r>
    <x v="3"/>
    <n v="909000"/>
    <m/>
    <m/>
    <n v="108000"/>
    <n v="486000"/>
    <x v="407"/>
    <x v="1"/>
    <x v="7"/>
  </r>
  <r>
    <x v="4"/>
    <m/>
    <m/>
    <m/>
    <m/>
    <m/>
    <x v="407"/>
    <x v="1"/>
    <x v="7"/>
  </r>
  <r>
    <x v="5"/>
    <m/>
    <m/>
    <m/>
    <n v="54000"/>
    <m/>
    <x v="407"/>
    <x v="1"/>
    <x v="7"/>
  </r>
  <r>
    <x v="14"/>
    <n v="432000"/>
    <m/>
    <m/>
    <m/>
    <m/>
    <x v="407"/>
    <x v="1"/>
    <x v="7"/>
  </r>
  <r>
    <x v="6"/>
    <m/>
    <m/>
    <m/>
    <m/>
    <m/>
    <x v="407"/>
    <x v="1"/>
    <x v="7"/>
  </r>
  <r>
    <x v="7"/>
    <m/>
    <m/>
    <m/>
    <m/>
    <m/>
    <x v="407"/>
    <x v="1"/>
    <x v="7"/>
  </r>
  <r>
    <x v="15"/>
    <m/>
    <m/>
    <m/>
    <m/>
    <m/>
    <x v="407"/>
    <x v="1"/>
    <x v="7"/>
  </r>
  <r>
    <x v="8"/>
    <m/>
    <n v="94500"/>
    <m/>
    <n v="162000"/>
    <m/>
    <x v="407"/>
    <x v="1"/>
    <x v="7"/>
  </r>
  <r>
    <x v="9"/>
    <m/>
    <m/>
    <m/>
    <n v="54000"/>
    <n v="54000"/>
    <x v="407"/>
    <x v="1"/>
    <x v="7"/>
  </r>
  <r>
    <x v="10"/>
    <m/>
    <m/>
    <m/>
    <m/>
    <m/>
    <x v="407"/>
    <x v="1"/>
    <x v="7"/>
  </r>
  <r>
    <x v="11"/>
    <m/>
    <m/>
    <m/>
    <m/>
    <m/>
    <x v="407"/>
    <x v="1"/>
    <x v="7"/>
  </r>
  <r>
    <x v="12"/>
    <m/>
    <m/>
    <m/>
    <m/>
    <m/>
    <x v="407"/>
    <x v="1"/>
    <x v="7"/>
  </r>
  <r>
    <x v="13"/>
    <n v="47000"/>
    <m/>
    <m/>
    <m/>
    <m/>
    <x v="407"/>
    <x v="1"/>
    <x v="7"/>
  </r>
  <r>
    <x v="0"/>
    <m/>
    <m/>
    <m/>
    <m/>
    <m/>
    <x v="408"/>
    <x v="1"/>
    <x v="7"/>
  </r>
  <r>
    <x v="1"/>
    <m/>
    <m/>
    <m/>
    <m/>
    <m/>
    <x v="408"/>
    <x v="1"/>
    <x v="7"/>
  </r>
  <r>
    <x v="2"/>
    <n v="268000"/>
    <m/>
    <m/>
    <m/>
    <m/>
    <x v="408"/>
    <x v="1"/>
    <x v="7"/>
  </r>
  <r>
    <x v="3"/>
    <n v="972000"/>
    <m/>
    <m/>
    <m/>
    <n v="585000"/>
    <x v="408"/>
    <x v="1"/>
    <x v="7"/>
  </r>
  <r>
    <x v="4"/>
    <m/>
    <m/>
    <m/>
    <m/>
    <m/>
    <x v="408"/>
    <x v="1"/>
    <x v="7"/>
  </r>
  <r>
    <x v="5"/>
    <m/>
    <m/>
    <m/>
    <n v="54000"/>
    <m/>
    <x v="408"/>
    <x v="1"/>
    <x v="7"/>
  </r>
  <r>
    <x v="14"/>
    <n v="216000"/>
    <m/>
    <m/>
    <m/>
    <m/>
    <x v="408"/>
    <x v="1"/>
    <x v="7"/>
  </r>
  <r>
    <x v="6"/>
    <m/>
    <m/>
    <m/>
    <m/>
    <m/>
    <x v="408"/>
    <x v="1"/>
    <x v="7"/>
  </r>
  <r>
    <x v="7"/>
    <m/>
    <m/>
    <m/>
    <m/>
    <m/>
    <x v="408"/>
    <x v="1"/>
    <x v="7"/>
  </r>
  <r>
    <x v="15"/>
    <m/>
    <m/>
    <m/>
    <m/>
    <m/>
    <x v="408"/>
    <x v="1"/>
    <x v="7"/>
  </r>
  <r>
    <x v="8"/>
    <m/>
    <n v="918000"/>
    <m/>
    <m/>
    <m/>
    <x v="408"/>
    <x v="1"/>
    <x v="7"/>
  </r>
  <r>
    <x v="9"/>
    <m/>
    <m/>
    <m/>
    <n v="54000"/>
    <m/>
    <x v="408"/>
    <x v="1"/>
    <x v="7"/>
  </r>
  <r>
    <x v="10"/>
    <m/>
    <m/>
    <m/>
    <m/>
    <m/>
    <x v="408"/>
    <x v="1"/>
    <x v="7"/>
  </r>
  <r>
    <x v="11"/>
    <m/>
    <m/>
    <m/>
    <m/>
    <m/>
    <x v="408"/>
    <x v="1"/>
    <x v="7"/>
  </r>
  <r>
    <x v="12"/>
    <m/>
    <m/>
    <m/>
    <m/>
    <m/>
    <x v="408"/>
    <x v="1"/>
    <x v="7"/>
  </r>
  <r>
    <x v="13"/>
    <m/>
    <m/>
    <m/>
    <m/>
    <m/>
    <x v="408"/>
    <x v="1"/>
    <x v="7"/>
  </r>
  <r>
    <x v="0"/>
    <m/>
    <m/>
    <m/>
    <m/>
    <m/>
    <x v="409"/>
    <x v="1"/>
    <x v="7"/>
  </r>
  <r>
    <x v="1"/>
    <m/>
    <m/>
    <m/>
    <m/>
    <m/>
    <x v="409"/>
    <x v="1"/>
    <x v="7"/>
  </r>
  <r>
    <x v="2"/>
    <n v="162000"/>
    <m/>
    <m/>
    <m/>
    <m/>
    <x v="409"/>
    <x v="1"/>
    <x v="7"/>
  </r>
  <r>
    <x v="3"/>
    <n v="648000"/>
    <m/>
    <m/>
    <m/>
    <n v="378000"/>
    <x v="409"/>
    <x v="1"/>
    <x v="7"/>
  </r>
  <r>
    <x v="4"/>
    <m/>
    <m/>
    <m/>
    <m/>
    <m/>
    <x v="409"/>
    <x v="1"/>
    <x v="7"/>
  </r>
  <r>
    <x v="5"/>
    <m/>
    <n v="162000"/>
    <m/>
    <m/>
    <m/>
    <x v="409"/>
    <x v="1"/>
    <x v="7"/>
  </r>
  <r>
    <x v="14"/>
    <n v="324000"/>
    <m/>
    <m/>
    <m/>
    <m/>
    <x v="409"/>
    <x v="1"/>
    <x v="7"/>
  </r>
  <r>
    <x v="6"/>
    <m/>
    <m/>
    <m/>
    <m/>
    <m/>
    <x v="409"/>
    <x v="1"/>
    <x v="7"/>
  </r>
  <r>
    <x v="7"/>
    <m/>
    <m/>
    <m/>
    <m/>
    <m/>
    <x v="409"/>
    <x v="1"/>
    <x v="7"/>
  </r>
  <r>
    <x v="15"/>
    <m/>
    <m/>
    <m/>
    <m/>
    <m/>
    <x v="409"/>
    <x v="1"/>
    <x v="7"/>
  </r>
  <r>
    <x v="8"/>
    <m/>
    <m/>
    <m/>
    <m/>
    <m/>
    <x v="409"/>
    <x v="1"/>
    <x v="7"/>
  </r>
  <r>
    <x v="9"/>
    <m/>
    <m/>
    <m/>
    <m/>
    <m/>
    <x v="409"/>
    <x v="1"/>
    <x v="7"/>
  </r>
  <r>
    <x v="10"/>
    <m/>
    <m/>
    <m/>
    <m/>
    <m/>
    <x v="409"/>
    <x v="1"/>
    <x v="7"/>
  </r>
  <r>
    <x v="11"/>
    <m/>
    <m/>
    <m/>
    <m/>
    <m/>
    <x v="409"/>
    <x v="1"/>
    <x v="7"/>
  </r>
  <r>
    <x v="12"/>
    <n v="310500"/>
    <m/>
    <n v="324000"/>
    <m/>
    <m/>
    <x v="409"/>
    <x v="1"/>
    <x v="7"/>
  </r>
  <r>
    <x v="13"/>
    <n v="216000"/>
    <m/>
    <m/>
    <m/>
    <n v="270000"/>
    <x v="409"/>
    <x v="1"/>
    <x v="7"/>
  </r>
  <r>
    <x v="0"/>
    <m/>
    <m/>
    <m/>
    <m/>
    <m/>
    <x v="410"/>
    <x v="1"/>
    <x v="7"/>
  </r>
  <r>
    <x v="1"/>
    <m/>
    <m/>
    <m/>
    <m/>
    <m/>
    <x v="410"/>
    <x v="1"/>
    <x v="7"/>
  </r>
  <r>
    <x v="2"/>
    <m/>
    <m/>
    <m/>
    <m/>
    <m/>
    <x v="410"/>
    <x v="1"/>
    <x v="7"/>
  </r>
  <r>
    <x v="3"/>
    <n v="203000"/>
    <m/>
    <m/>
    <m/>
    <n v="270000"/>
    <x v="410"/>
    <x v="1"/>
    <x v="7"/>
  </r>
  <r>
    <x v="4"/>
    <m/>
    <m/>
    <m/>
    <m/>
    <m/>
    <x v="410"/>
    <x v="1"/>
    <x v="7"/>
  </r>
  <r>
    <x v="5"/>
    <m/>
    <n v="1453500"/>
    <m/>
    <m/>
    <m/>
    <x v="410"/>
    <x v="1"/>
    <x v="7"/>
  </r>
  <r>
    <x v="14"/>
    <n v="594000"/>
    <m/>
    <m/>
    <m/>
    <m/>
    <x v="410"/>
    <x v="1"/>
    <x v="7"/>
  </r>
  <r>
    <x v="6"/>
    <m/>
    <n v="45000"/>
    <m/>
    <m/>
    <m/>
    <x v="410"/>
    <x v="1"/>
    <x v="7"/>
  </r>
  <r>
    <x v="7"/>
    <m/>
    <m/>
    <m/>
    <m/>
    <m/>
    <x v="410"/>
    <x v="1"/>
    <x v="7"/>
  </r>
  <r>
    <x v="15"/>
    <m/>
    <m/>
    <m/>
    <m/>
    <m/>
    <x v="410"/>
    <x v="1"/>
    <x v="7"/>
  </r>
  <r>
    <x v="8"/>
    <m/>
    <n v="45000"/>
    <m/>
    <m/>
    <m/>
    <x v="410"/>
    <x v="1"/>
    <x v="7"/>
  </r>
  <r>
    <x v="9"/>
    <m/>
    <n v="45000"/>
    <m/>
    <m/>
    <m/>
    <x v="410"/>
    <x v="1"/>
    <x v="7"/>
  </r>
  <r>
    <x v="10"/>
    <m/>
    <m/>
    <m/>
    <m/>
    <m/>
    <x v="410"/>
    <x v="1"/>
    <x v="7"/>
  </r>
  <r>
    <x v="11"/>
    <m/>
    <m/>
    <m/>
    <m/>
    <m/>
    <x v="410"/>
    <x v="1"/>
    <x v="7"/>
  </r>
  <r>
    <x v="12"/>
    <n v="486000"/>
    <m/>
    <m/>
    <m/>
    <m/>
    <x v="410"/>
    <x v="1"/>
    <x v="7"/>
  </r>
  <r>
    <x v="13"/>
    <n v="378000"/>
    <m/>
    <m/>
    <m/>
    <n v="270000"/>
    <x v="410"/>
    <x v="1"/>
    <x v="7"/>
  </r>
  <r>
    <x v="0"/>
    <m/>
    <m/>
    <m/>
    <m/>
    <m/>
    <x v="411"/>
    <x v="1"/>
    <x v="7"/>
  </r>
  <r>
    <x v="1"/>
    <m/>
    <m/>
    <m/>
    <m/>
    <m/>
    <x v="411"/>
    <x v="1"/>
    <x v="7"/>
  </r>
  <r>
    <x v="2"/>
    <m/>
    <m/>
    <m/>
    <m/>
    <n v="270000"/>
    <x v="411"/>
    <x v="1"/>
    <x v="7"/>
  </r>
  <r>
    <x v="3"/>
    <n v="108000"/>
    <m/>
    <m/>
    <m/>
    <m/>
    <x v="411"/>
    <x v="1"/>
    <x v="7"/>
  </r>
  <r>
    <x v="4"/>
    <n v="864000"/>
    <n v="801000"/>
    <m/>
    <m/>
    <n v="270000"/>
    <x v="411"/>
    <x v="1"/>
    <x v="7"/>
  </r>
  <r>
    <x v="5"/>
    <m/>
    <n v="324000"/>
    <m/>
    <m/>
    <m/>
    <x v="411"/>
    <x v="1"/>
    <x v="7"/>
  </r>
  <r>
    <x v="14"/>
    <n v="108000"/>
    <m/>
    <m/>
    <m/>
    <m/>
    <x v="411"/>
    <x v="1"/>
    <x v="7"/>
  </r>
  <r>
    <x v="6"/>
    <m/>
    <m/>
    <m/>
    <m/>
    <m/>
    <x v="411"/>
    <x v="1"/>
    <x v="7"/>
  </r>
  <r>
    <x v="7"/>
    <m/>
    <m/>
    <m/>
    <m/>
    <m/>
    <x v="411"/>
    <x v="1"/>
    <x v="7"/>
  </r>
  <r>
    <x v="15"/>
    <m/>
    <m/>
    <m/>
    <m/>
    <m/>
    <x v="411"/>
    <x v="1"/>
    <x v="7"/>
  </r>
  <r>
    <x v="8"/>
    <m/>
    <m/>
    <m/>
    <m/>
    <m/>
    <x v="411"/>
    <x v="1"/>
    <x v="7"/>
  </r>
  <r>
    <x v="9"/>
    <m/>
    <m/>
    <m/>
    <m/>
    <m/>
    <x v="411"/>
    <x v="1"/>
    <x v="7"/>
  </r>
  <r>
    <x v="10"/>
    <m/>
    <m/>
    <m/>
    <m/>
    <m/>
    <x v="411"/>
    <x v="1"/>
    <x v="7"/>
  </r>
  <r>
    <x v="11"/>
    <m/>
    <m/>
    <m/>
    <m/>
    <m/>
    <x v="411"/>
    <x v="1"/>
    <x v="7"/>
  </r>
  <r>
    <x v="12"/>
    <n v="378000"/>
    <m/>
    <m/>
    <m/>
    <m/>
    <x v="411"/>
    <x v="1"/>
    <x v="7"/>
  </r>
  <r>
    <x v="13"/>
    <m/>
    <m/>
    <m/>
    <m/>
    <m/>
    <x v="411"/>
    <x v="1"/>
    <x v="7"/>
  </r>
  <r>
    <x v="0"/>
    <m/>
    <m/>
    <m/>
    <m/>
    <m/>
    <x v="412"/>
    <x v="1"/>
    <x v="7"/>
  </r>
  <r>
    <x v="1"/>
    <m/>
    <m/>
    <m/>
    <m/>
    <m/>
    <x v="412"/>
    <x v="1"/>
    <x v="7"/>
  </r>
  <r>
    <x v="2"/>
    <m/>
    <m/>
    <m/>
    <m/>
    <n v="324000"/>
    <x v="412"/>
    <x v="1"/>
    <x v="7"/>
  </r>
  <r>
    <x v="3"/>
    <m/>
    <m/>
    <m/>
    <m/>
    <n v="45000"/>
    <x v="412"/>
    <x v="1"/>
    <x v="7"/>
  </r>
  <r>
    <x v="4"/>
    <m/>
    <n v="1184000"/>
    <m/>
    <m/>
    <m/>
    <x v="412"/>
    <x v="1"/>
    <x v="7"/>
  </r>
  <r>
    <x v="5"/>
    <m/>
    <n v="210000"/>
    <m/>
    <m/>
    <m/>
    <x v="412"/>
    <x v="1"/>
    <x v="7"/>
  </r>
  <r>
    <x v="14"/>
    <m/>
    <m/>
    <m/>
    <m/>
    <m/>
    <x v="412"/>
    <x v="1"/>
    <x v="7"/>
  </r>
  <r>
    <x v="6"/>
    <m/>
    <m/>
    <m/>
    <m/>
    <m/>
    <x v="412"/>
    <x v="1"/>
    <x v="7"/>
  </r>
  <r>
    <x v="7"/>
    <m/>
    <m/>
    <m/>
    <m/>
    <m/>
    <x v="412"/>
    <x v="1"/>
    <x v="7"/>
  </r>
  <r>
    <x v="15"/>
    <m/>
    <m/>
    <m/>
    <m/>
    <m/>
    <x v="412"/>
    <x v="1"/>
    <x v="7"/>
  </r>
  <r>
    <x v="8"/>
    <n v="180000"/>
    <m/>
    <m/>
    <m/>
    <m/>
    <x v="412"/>
    <x v="1"/>
    <x v="7"/>
  </r>
  <r>
    <x v="9"/>
    <m/>
    <m/>
    <m/>
    <m/>
    <m/>
    <x v="412"/>
    <x v="1"/>
    <x v="7"/>
  </r>
  <r>
    <x v="10"/>
    <m/>
    <m/>
    <m/>
    <m/>
    <m/>
    <x v="412"/>
    <x v="1"/>
    <x v="7"/>
  </r>
  <r>
    <x v="11"/>
    <m/>
    <m/>
    <m/>
    <m/>
    <m/>
    <x v="412"/>
    <x v="1"/>
    <x v="7"/>
  </r>
  <r>
    <x v="12"/>
    <n v="162000"/>
    <m/>
    <m/>
    <m/>
    <m/>
    <x v="412"/>
    <x v="1"/>
    <x v="7"/>
  </r>
  <r>
    <x v="13"/>
    <n v="45000"/>
    <m/>
    <m/>
    <m/>
    <n v="162000"/>
    <x v="412"/>
    <x v="1"/>
    <x v="7"/>
  </r>
  <r>
    <x v="0"/>
    <m/>
    <m/>
    <m/>
    <m/>
    <m/>
    <x v="413"/>
    <x v="1"/>
    <x v="7"/>
  </r>
  <r>
    <x v="1"/>
    <m/>
    <m/>
    <m/>
    <m/>
    <m/>
    <x v="413"/>
    <x v="1"/>
    <x v="7"/>
  </r>
  <r>
    <x v="2"/>
    <m/>
    <m/>
    <m/>
    <n v="54000"/>
    <n v="108000"/>
    <x v="413"/>
    <x v="1"/>
    <x v="7"/>
  </r>
  <r>
    <x v="3"/>
    <m/>
    <m/>
    <m/>
    <n v="162000"/>
    <n v="95000"/>
    <x v="413"/>
    <x v="1"/>
    <x v="7"/>
  </r>
  <r>
    <x v="4"/>
    <n v="45000"/>
    <n v="1013000"/>
    <m/>
    <m/>
    <n v="95000"/>
    <x v="413"/>
    <x v="1"/>
    <x v="7"/>
  </r>
  <r>
    <x v="5"/>
    <m/>
    <m/>
    <m/>
    <m/>
    <m/>
    <x v="413"/>
    <x v="1"/>
    <x v="7"/>
  </r>
  <r>
    <x v="14"/>
    <m/>
    <n v="370000"/>
    <m/>
    <m/>
    <m/>
    <x v="413"/>
    <x v="1"/>
    <x v="7"/>
  </r>
  <r>
    <x v="6"/>
    <m/>
    <m/>
    <m/>
    <m/>
    <m/>
    <x v="413"/>
    <x v="1"/>
    <x v="7"/>
  </r>
  <r>
    <x v="7"/>
    <m/>
    <m/>
    <m/>
    <m/>
    <m/>
    <x v="413"/>
    <x v="1"/>
    <x v="7"/>
  </r>
  <r>
    <x v="15"/>
    <m/>
    <m/>
    <m/>
    <m/>
    <m/>
    <x v="413"/>
    <x v="1"/>
    <x v="7"/>
  </r>
  <r>
    <x v="8"/>
    <n v="643500"/>
    <m/>
    <n v="481500"/>
    <m/>
    <n v="54000"/>
    <x v="413"/>
    <x v="1"/>
    <x v="7"/>
  </r>
  <r>
    <x v="9"/>
    <m/>
    <m/>
    <m/>
    <n v="54000"/>
    <n v="50000"/>
    <x v="413"/>
    <x v="1"/>
    <x v="7"/>
  </r>
  <r>
    <x v="10"/>
    <m/>
    <m/>
    <m/>
    <m/>
    <m/>
    <x v="413"/>
    <x v="1"/>
    <x v="7"/>
  </r>
  <r>
    <x v="11"/>
    <m/>
    <m/>
    <m/>
    <m/>
    <m/>
    <x v="413"/>
    <x v="1"/>
    <x v="7"/>
  </r>
  <r>
    <x v="12"/>
    <m/>
    <m/>
    <m/>
    <m/>
    <m/>
    <x v="413"/>
    <x v="1"/>
    <x v="7"/>
  </r>
  <r>
    <x v="13"/>
    <m/>
    <m/>
    <m/>
    <m/>
    <n v="108000"/>
    <x v="413"/>
    <x v="1"/>
    <x v="7"/>
  </r>
  <r>
    <x v="0"/>
    <m/>
    <m/>
    <m/>
    <m/>
    <m/>
    <x v="414"/>
    <x v="1"/>
    <x v="7"/>
  </r>
  <r>
    <x v="1"/>
    <m/>
    <m/>
    <m/>
    <m/>
    <m/>
    <x v="414"/>
    <x v="1"/>
    <x v="7"/>
  </r>
  <r>
    <x v="2"/>
    <m/>
    <m/>
    <m/>
    <n v="108000"/>
    <n v="45000"/>
    <x v="414"/>
    <x v="1"/>
    <x v="7"/>
  </r>
  <r>
    <x v="3"/>
    <m/>
    <m/>
    <m/>
    <n v="162000"/>
    <m/>
    <x v="414"/>
    <x v="1"/>
    <x v="7"/>
  </r>
  <r>
    <x v="4"/>
    <n v="45000"/>
    <m/>
    <m/>
    <m/>
    <n v="135000"/>
    <x v="414"/>
    <x v="1"/>
    <x v="7"/>
  </r>
  <r>
    <x v="5"/>
    <m/>
    <n v="100000"/>
    <m/>
    <n v="108000"/>
    <m/>
    <x v="414"/>
    <x v="1"/>
    <x v="7"/>
  </r>
  <r>
    <x v="14"/>
    <m/>
    <n v="1022000"/>
    <m/>
    <m/>
    <m/>
    <x v="414"/>
    <x v="1"/>
    <x v="7"/>
  </r>
  <r>
    <x v="6"/>
    <m/>
    <n v="47000"/>
    <m/>
    <m/>
    <m/>
    <x v="414"/>
    <x v="1"/>
    <x v="7"/>
  </r>
  <r>
    <x v="7"/>
    <m/>
    <m/>
    <m/>
    <m/>
    <m/>
    <x v="414"/>
    <x v="1"/>
    <x v="7"/>
  </r>
  <r>
    <x v="15"/>
    <m/>
    <m/>
    <m/>
    <m/>
    <m/>
    <x v="414"/>
    <x v="1"/>
    <x v="7"/>
  </r>
  <r>
    <x v="8"/>
    <n v="324000"/>
    <m/>
    <n v="266000"/>
    <m/>
    <n v="162000"/>
    <x v="414"/>
    <x v="1"/>
    <x v="7"/>
  </r>
  <r>
    <x v="9"/>
    <n v="1271000"/>
    <m/>
    <n v="216000"/>
    <n v="216000"/>
    <m/>
    <x v="414"/>
    <x v="1"/>
    <x v="7"/>
  </r>
  <r>
    <x v="10"/>
    <m/>
    <m/>
    <m/>
    <m/>
    <m/>
    <x v="414"/>
    <x v="1"/>
    <x v="7"/>
  </r>
  <r>
    <x v="11"/>
    <m/>
    <m/>
    <m/>
    <m/>
    <m/>
    <x v="414"/>
    <x v="1"/>
    <x v="7"/>
  </r>
  <r>
    <x v="12"/>
    <m/>
    <m/>
    <m/>
    <m/>
    <m/>
    <x v="414"/>
    <x v="1"/>
    <x v="7"/>
  </r>
  <r>
    <x v="13"/>
    <m/>
    <m/>
    <m/>
    <m/>
    <m/>
    <x v="414"/>
    <x v="1"/>
    <x v="7"/>
  </r>
  <r>
    <x v="0"/>
    <m/>
    <m/>
    <m/>
    <m/>
    <m/>
    <x v="415"/>
    <x v="1"/>
    <x v="7"/>
  </r>
  <r>
    <x v="1"/>
    <m/>
    <n v="594000"/>
    <m/>
    <m/>
    <m/>
    <x v="415"/>
    <x v="1"/>
    <x v="7"/>
  </r>
  <r>
    <x v="2"/>
    <m/>
    <m/>
    <m/>
    <m/>
    <m/>
    <x v="415"/>
    <x v="1"/>
    <x v="7"/>
  </r>
  <r>
    <x v="3"/>
    <m/>
    <m/>
    <m/>
    <m/>
    <m/>
    <x v="415"/>
    <x v="1"/>
    <x v="7"/>
  </r>
  <r>
    <x v="4"/>
    <m/>
    <m/>
    <m/>
    <m/>
    <m/>
    <x v="415"/>
    <x v="1"/>
    <x v="7"/>
  </r>
  <r>
    <x v="5"/>
    <m/>
    <m/>
    <m/>
    <m/>
    <m/>
    <x v="415"/>
    <x v="1"/>
    <x v="7"/>
  </r>
  <r>
    <x v="14"/>
    <m/>
    <m/>
    <m/>
    <m/>
    <m/>
    <x v="415"/>
    <x v="1"/>
    <x v="7"/>
  </r>
  <r>
    <x v="6"/>
    <m/>
    <m/>
    <m/>
    <m/>
    <m/>
    <x v="415"/>
    <x v="1"/>
    <x v="7"/>
  </r>
  <r>
    <x v="7"/>
    <m/>
    <m/>
    <m/>
    <m/>
    <m/>
    <x v="415"/>
    <x v="1"/>
    <x v="7"/>
  </r>
  <r>
    <x v="15"/>
    <m/>
    <m/>
    <m/>
    <m/>
    <m/>
    <x v="415"/>
    <x v="1"/>
    <x v="7"/>
  </r>
  <r>
    <x v="8"/>
    <n v="850500"/>
    <n v="900000"/>
    <n v="270000"/>
    <m/>
    <n v="54000"/>
    <x v="415"/>
    <x v="1"/>
    <x v="7"/>
  </r>
  <r>
    <x v="9"/>
    <n v="586000"/>
    <n v="90000"/>
    <n v="216000"/>
    <m/>
    <m/>
    <x v="415"/>
    <x v="1"/>
    <x v="7"/>
  </r>
  <r>
    <x v="10"/>
    <m/>
    <m/>
    <m/>
    <m/>
    <m/>
    <x v="415"/>
    <x v="1"/>
    <x v="7"/>
  </r>
  <r>
    <x v="11"/>
    <m/>
    <m/>
    <m/>
    <m/>
    <m/>
    <x v="415"/>
    <x v="1"/>
    <x v="7"/>
  </r>
  <r>
    <x v="12"/>
    <m/>
    <m/>
    <m/>
    <m/>
    <m/>
    <x v="415"/>
    <x v="1"/>
    <x v="7"/>
  </r>
  <r>
    <x v="13"/>
    <m/>
    <m/>
    <m/>
    <m/>
    <n v="90000"/>
    <x v="415"/>
    <x v="1"/>
    <x v="7"/>
  </r>
  <r>
    <x v="0"/>
    <m/>
    <m/>
    <m/>
    <m/>
    <m/>
    <x v="416"/>
    <x v="1"/>
    <x v="7"/>
  </r>
  <r>
    <x v="1"/>
    <m/>
    <n v="644000"/>
    <m/>
    <m/>
    <m/>
    <x v="416"/>
    <x v="1"/>
    <x v="7"/>
  </r>
  <r>
    <x v="2"/>
    <m/>
    <m/>
    <m/>
    <m/>
    <n v="53000"/>
    <x v="416"/>
    <x v="1"/>
    <x v="7"/>
  </r>
  <r>
    <x v="3"/>
    <m/>
    <m/>
    <m/>
    <m/>
    <m/>
    <x v="416"/>
    <x v="1"/>
    <x v="7"/>
  </r>
  <r>
    <x v="4"/>
    <m/>
    <m/>
    <m/>
    <m/>
    <m/>
    <x v="416"/>
    <x v="1"/>
    <x v="7"/>
  </r>
  <r>
    <x v="5"/>
    <m/>
    <m/>
    <m/>
    <m/>
    <m/>
    <x v="416"/>
    <x v="1"/>
    <x v="7"/>
  </r>
  <r>
    <x v="14"/>
    <m/>
    <m/>
    <m/>
    <m/>
    <m/>
    <x v="416"/>
    <x v="1"/>
    <x v="7"/>
  </r>
  <r>
    <x v="6"/>
    <m/>
    <m/>
    <m/>
    <m/>
    <m/>
    <x v="416"/>
    <x v="1"/>
    <x v="7"/>
  </r>
  <r>
    <x v="7"/>
    <m/>
    <m/>
    <m/>
    <m/>
    <m/>
    <x v="416"/>
    <x v="1"/>
    <x v="7"/>
  </r>
  <r>
    <x v="15"/>
    <m/>
    <m/>
    <m/>
    <m/>
    <m/>
    <x v="416"/>
    <x v="1"/>
    <x v="7"/>
  </r>
  <r>
    <x v="8"/>
    <n v="90000"/>
    <n v="108000"/>
    <n v="478000"/>
    <m/>
    <n v="185000"/>
    <x v="416"/>
    <x v="1"/>
    <x v="7"/>
  </r>
  <r>
    <x v="9"/>
    <n v="50000"/>
    <m/>
    <n v="216000"/>
    <m/>
    <n v="45000"/>
    <x v="416"/>
    <x v="1"/>
    <x v="7"/>
  </r>
  <r>
    <x v="10"/>
    <m/>
    <m/>
    <m/>
    <m/>
    <m/>
    <x v="416"/>
    <x v="1"/>
    <x v="7"/>
  </r>
  <r>
    <x v="11"/>
    <m/>
    <m/>
    <m/>
    <m/>
    <m/>
    <x v="416"/>
    <x v="1"/>
    <x v="7"/>
  </r>
  <r>
    <x v="12"/>
    <m/>
    <m/>
    <m/>
    <m/>
    <m/>
    <x v="416"/>
    <x v="1"/>
    <x v="7"/>
  </r>
  <r>
    <x v="13"/>
    <m/>
    <m/>
    <m/>
    <m/>
    <m/>
    <x v="416"/>
    <x v="1"/>
    <x v="7"/>
  </r>
  <r>
    <x v="0"/>
    <m/>
    <m/>
    <m/>
    <m/>
    <m/>
    <x v="417"/>
    <x v="1"/>
    <x v="7"/>
  </r>
  <r>
    <x v="1"/>
    <m/>
    <m/>
    <m/>
    <m/>
    <m/>
    <x v="417"/>
    <x v="1"/>
    <x v="7"/>
  </r>
  <r>
    <x v="2"/>
    <m/>
    <m/>
    <m/>
    <m/>
    <m/>
    <x v="417"/>
    <x v="1"/>
    <x v="7"/>
  </r>
  <r>
    <x v="3"/>
    <m/>
    <m/>
    <m/>
    <m/>
    <m/>
    <x v="417"/>
    <x v="1"/>
    <x v="7"/>
  </r>
  <r>
    <x v="4"/>
    <m/>
    <m/>
    <m/>
    <m/>
    <m/>
    <x v="417"/>
    <x v="1"/>
    <x v="7"/>
  </r>
  <r>
    <x v="5"/>
    <n v="1670000"/>
    <m/>
    <n v="207000"/>
    <m/>
    <m/>
    <x v="417"/>
    <x v="1"/>
    <x v="7"/>
  </r>
  <r>
    <x v="14"/>
    <m/>
    <m/>
    <m/>
    <m/>
    <m/>
    <x v="417"/>
    <x v="1"/>
    <x v="7"/>
  </r>
  <r>
    <x v="6"/>
    <m/>
    <m/>
    <m/>
    <m/>
    <m/>
    <x v="417"/>
    <x v="1"/>
    <x v="7"/>
  </r>
  <r>
    <x v="7"/>
    <m/>
    <m/>
    <m/>
    <m/>
    <m/>
    <x v="417"/>
    <x v="1"/>
    <x v="7"/>
  </r>
  <r>
    <x v="15"/>
    <m/>
    <m/>
    <m/>
    <m/>
    <m/>
    <x v="417"/>
    <x v="1"/>
    <x v="7"/>
  </r>
  <r>
    <x v="8"/>
    <m/>
    <n v="54000"/>
    <m/>
    <m/>
    <n v="45000"/>
    <x v="417"/>
    <x v="1"/>
    <x v="7"/>
  </r>
  <r>
    <x v="9"/>
    <m/>
    <n v="1350000"/>
    <m/>
    <m/>
    <n v="45000"/>
    <x v="417"/>
    <x v="1"/>
    <x v="7"/>
  </r>
  <r>
    <x v="10"/>
    <m/>
    <m/>
    <m/>
    <m/>
    <m/>
    <x v="417"/>
    <x v="1"/>
    <x v="7"/>
  </r>
  <r>
    <x v="11"/>
    <m/>
    <m/>
    <m/>
    <m/>
    <m/>
    <x v="417"/>
    <x v="1"/>
    <x v="7"/>
  </r>
  <r>
    <x v="12"/>
    <m/>
    <m/>
    <m/>
    <m/>
    <m/>
    <x v="417"/>
    <x v="1"/>
    <x v="7"/>
  </r>
  <r>
    <x v="13"/>
    <m/>
    <m/>
    <m/>
    <m/>
    <m/>
    <x v="417"/>
    <x v="1"/>
    <x v="7"/>
  </r>
  <r>
    <x v="0"/>
    <m/>
    <m/>
    <m/>
    <m/>
    <m/>
    <x v="418"/>
    <x v="1"/>
    <x v="7"/>
  </r>
  <r>
    <x v="1"/>
    <m/>
    <n v="153000"/>
    <m/>
    <m/>
    <m/>
    <x v="418"/>
    <x v="1"/>
    <x v="7"/>
  </r>
  <r>
    <x v="2"/>
    <m/>
    <m/>
    <m/>
    <m/>
    <m/>
    <x v="418"/>
    <x v="1"/>
    <x v="7"/>
  </r>
  <r>
    <x v="3"/>
    <m/>
    <m/>
    <m/>
    <m/>
    <m/>
    <x v="418"/>
    <x v="1"/>
    <x v="7"/>
  </r>
  <r>
    <x v="4"/>
    <m/>
    <m/>
    <m/>
    <m/>
    <m/>
    <x v="418"/>
    <x v="1"/>
    <x v="7"/>
  </r>
  <r>
    <x v="5"/>
    <n v="374000"/>
    <m/>
    <n v="90000"/>
    <m/>
    <m/>
    <x v="418"/>
    <x v="1"/>
    <x v="7"/>
  </r>
  <r>
    <x v="14"/>
    <m/>
    <m/>
    <m/>
    <m/>
    <m/>
    <x v="418"/>
    <x v="1"/>
    <x v="7"/>
  </r>
  <r>
    <x v="6"/>
    <m/>
    <m/>
    <m/>
    <m/>
    <m/>
    <x v="418"/>
    <x v="1"/>
    <x v="7"/>
  </r>
  <r>
    <x v="7"/>
    <m/>
    <m/>
    <m/>
    <m/>
    <m/>
    <x v="418"/>
    <x v="1"/>
    <x v="7"/>
  </r>
  <r>
    <x v="15"/>
    <m/>
    <m/>
    <m/>
    <m/>
    <m/>
    <x v="418"/>
    <x v="1"/>
    <x v="7"/>
  </r>
  <r>
    <x v="8"/>
    <m/>
    <m/>
    <m/>
    <m/>
    <m/>
    <x v="418"/>
    <x v="1"/>
    <x v="7"/>
  </r>
  <r>
    <x v="9"/>
    <m/>
    <n v="594000"/>
    <n v="50000"/>
    <m/>
    <m/>
    <x v="418"/>
    <x v="1"/>
    <x v="7"/>
  </r>
  <r>
    <x v="10"/>
    <m/>
    <m/>
    <m/>
    <m/>
    <m/>
    <x v="418"/>
    <x v="1"/>
    <x v="7"/>
  </r>
  <r>
    <x v="11"/>
    <m/>
    <m/>
    <m/>
    <m/>
    <m/>
    <x v="418"/>
    <x v="1"/>
    <x v="7"/>
  </r>
  <r>
    <x v="12"/>
    <m/>
    <m/>
    <m/>
    <m/>
    <m/>
    <x v="418"/>
    <x v="1"/>
    <x v="7"/>
  </r>
  <r>
    <x v="13"/>
    <m/>
    <n v="580500"/>
    <m/>
    <m/>
    <m/>
    <x v="418"/>
    <x v="1"/>
    <x v="7"/>
  </r>
  <r>
    <x v="0"/>
    <m/>
    <m/>
    <m/>
    <m/>
    <m/>
    <x v="419"/>
    <x v="1"/>
    <x v="7"/>
  </r>
  <r>
    <x v="1"/>
    <m/>
    <n v="45000"/>
    <m/>
    <m/>
    <m/>
    <x v="419"/>
    <x v="1"/>
    <x v="7"/>
  </r>
  <r>
    <x v="2"/>
    <m/>
    <m/>
    <m/>
    <m/>
    <m/>
    <x v="419"/>
    <x v="1"/>
    <x v="7"/>
  </r>
  <r>
    <x v="3"/>
    <m/>
    <m/>
    <m/>
    <m/>
    <m/>
    <x v="419"/>
    <x v="1"/>
    <x v="7"/>
  </r>
  <r>
    <x v="4"/>
    <m/>
    <m/>
    <m/>
    <m/>
    <m/>
    <x v="419"/>
    <x v="1"/>
    <x v="7"/>
  </r>
  <r>
    <x v="5"/>
    <m/>
    <m/>
    <m/>
    <m/>
    <m/>
    <x v="419"/>
    <x v="1"/>
    <x v="7"/>
  </r>
  <r>
    <x v="14"/>
    <m/>
    <m/>
    <m/>
    <m/>
    <m/>
    <x v="419"/>
    <x v="1"/>
    <x v="7"/>
  </r>
  <r>
    <x v="6"/>
    <m/>
    <m/>
    <m/>
    <m/>
    <m/>
    <x v="419"/>
    <x v="1"/>
    <x v="7"/>
  </r>
  <r>
    <x v="7"/>
    <m/>
    <m/>
    <m/>
    <m/>
    <m/>
    <x v="419"/>
    <x v="1"/>
    <x v="7"/>
  </r>
  <r>
    <x v="15"/>
    <m/>
    <m/>
    <m/>
    <m/>
    <m/>
    <x v="419"/>
    <x v="1"/>
    <x v="7"/>
  </r>
  <r>
    <x v="8"/>
    <m/>
    <m/>
    <m/>
    <m/>
    <m/>
    <x v="419"/>
    <x v="1"/>
    <x v="7"/>
  </r>
  <r>
    <x v="9"/>
    <m/>
    <m/>
    <m/>
    <m/>
    <m/>
    <x v="419"/>
    <x v="1"/>
    <x v="7"/>
  </r>
  <r>
    <x v="10"/>
    <m/>
    <m/>
    <m/>
    <m/>
    <m/>
    <x v="419"/>
    <x v="1"/>
    <x v="7"/>
  </r>
  <r>
    <x v="11"/>
    <m/>
    <m/>
    <m/>
    <m/>
    <m/>
    <x v="419"/>
    <x v="1"/>
    <x v="7"/>
  </r>
  <r>
    <x v="12"/>
    <m/>
    <m/>
    <m/>
    <m/>
    <m/>
    <x v="419"/>
    <x v="1"/>
    <x v="7"/>
  </r>
  <r>
    <x v="13"/>
    <m/>
    <n v="216000"/>
    <m/>
    <m/>
    <m/>
    <x v="419"/>
    <x v="1"/>
    <x v="7"/>
  </r>
  <r>
    <x v="0"/>
    <m/>
    <m/>
    <m/>
    <m/>
    <m/>
    <x v="420"/>
    <x v="1"/>
    <x v="7"/>
  </r>
  <r>
    <x v="1"/>
    <m/>
    <m/>
    <m/>
    <m/>
    <m/>
    <x v="420"/>
    <x v="1"/>
    <x v="7"/>
  </r>
  <r>
    <x v="2"/>
    <m/>
    <m/>
    <m/>
    <n v="108000"/>
    <m/>
    <x v="420"/>
    <x v="1"/>
    <x v="7"/>
  </r>
  <r>
    <x v="3"/>
    <m/>
    <m/>
    <m/>
    <n v="324000"/>
    <m/>
    <x v="420"/>
    <x v="1"/>
    <x v="7"/>
  </r>
  <r>
    <x v="4"/>
    <n v="45000"/>
    <m/>
    <m/>
    <m/>
    <m/>
    <x v="420"/>
    <x v="1"/>
    <x v="7"/>
  </r>
  <r>
    <x v="5"/>
    <m/>
    <n v="486000"/>
    <m/>
    <n v="54000"/>
    <m/>
    <x v="420"/>
    <x v="1"/>
    <x v="7"/>
  </r>
  <r>
    <x v="14"/>
    <m/>
    <m/>
    <m/>
    <m/>
    <m/>
    <x v="420"/>
    <x v="1"/>
    <x v="7"/>
  </r>
  <r>
    <x v="6"/>
    <n v="216000"/>
    <n v="864000"/>
    <m/>
    <m/>
    <m/>
    <x v="420"/>
    <x v="1"/>
    <x v="7"/>
  </r>
  <r>
    <x v="7"/>
    <m/>
    <m/>
    <m/>
    <m/>
    <m/>
    <x v="420"/>
    <x v="1"/>
    <x v="7"/>
  </r>
  <r>
    <x v="15"/>
    <m/>
    <m/>
    <m/>
    <m/>
    <m/>
    <x v="420"/>
    <x v="1"/>
    <x v="7"/>
  </r>
  <r>
    <x v="8"/>
    <m/>
    <m/>
    <m/>
    <m/>
    <m/>
    <x v="420"/>
    <x v="1"/>
    <x v="7"/>
  </r>
  <r>
    <x v="9"/>
    <m/>
    <n v="54000"/>
    <m/>
    <n v="108000"/>
    <m/>
    <x v="420"/>
    <x v="1"/>
    <x v="7"/>
  </r>
  <r>
    <x v="10"/>
    <m/>
    <m/>
    <m/>
    <m/>
    <m/>
    <x v="420"/>
    <x v="1"/>
    <x v="7"/>
  </r>
  <r>
    <x v="11"/>
    <m/>
    <m/>
    <m/>
    <m/>
    <m/>
    <x v="420"/>
    <x v="1"/>
    <x v="7"/>
  </r>
  <r>
    <x v="12"/>
    <m/>
    <m/>
    <m/>
    <m/>
    <m/>
    <x v="420"/>
    <x v="1"/>
    <x v="7"/>
  </r>
  <r>
    <x v="13"/>
    <m/>
    <m/>
    <m/>
    <m/>
    <m/>
    <x v="420"/>
    <x v="1"/>
    <x v="7"/>
  </r>
  <r>
    <x v="0"/>
    <m/>
    <m/>
    <m/>
    <m/>
    <m/>
    <x v="421"/>
    <x v="1"/>
    <x v="7"/>
  </r>
  <r>
    <x v="1"/>
    <m/>
    <m/>
    <m/>
    <m/>
    <m/>
    <x v="421"/>
    <x v="1"/>
    <x v="7"/>
  </r>
  <r>
    <x v="2"/>
    <m/>
    <m/>
    <m/>
    <m/>
    <m/>
    <x v="421"/>
    <x v="1"/>
    <x v="7"/>
  </r>
  <r>
    <x v="3"/>
    <m/>
    <m/>
    <m/>
    <n v="162000"/>
    <m/>
    <x v="421"/>
    <x v="1"/>
    <x v="7"/>
  </r>
  <r>
    <x v="4"/>
    <m/>
    <m/>
    <m/>
    <m/>
    <m/>
    <x v="421"/>
    <x v="1"/>
    <x v="7"/>
  </r>
  <r>
    <x v="5"/>
    <m/>
    <n v="1341000"/>
    <m/>
    <n v="108000"/>
    <m/>
    <x v="421"/>
    <x v="1"/>
    <x v="7"/>
  </r>
  <r>
    <x v="14"/>
    <m/>
    <m/>
    <m/>
    <m/>
    <m/>
    <x v="421"/>
    <x v="1"/>
    <x v="7"/>
  </r>
  <r>
    <x v="6"/>
    <m/>
    <m/>
    <m/>
    <m/>
    <m/>
    <x v="421"/>
    <x v="1"/>
    <x v="7"/>
  </r>
  <r>
    <x v="7"/>
    <m/>
    <m/>
    <m/>
    <m/>
    <m/>
    <x v="421"/>
    <x v="1"/>
    <x v="7"/>
  </r>
  <r>
    <x v="15"/>
    <m/>
    <m/>
    <m/>
    <m/>
    <m/>
    <x v="421"/>
    <x v="1"/>
    <x v="7"/>
  </r>
  <r>
    <x v="8"/>
    <m/>
    <n v="855000"/>
    <m/>
    <m/>
    <m/>
    <x v="421"/>
    <x v="1"/>
    <x v="7"/>
  </r>
  <r>
    <x v="9"/>
    <m/>
    <m/>
    <m/>
    <m/>
    <m/>
    <x v="421"/>
    <x v="1"/>
    <x v="7"/>
  </r>
  <r>
    <x v="10"/>
    <m/>
    <m/>
    <m/>
    <m/>
    <m/>
    <x v="421"/>
    <x v="1"/>
    <x v="7"/>
  </r>
  <r>
    <x v="11"/>
    <m/>
    <m/>
    <m/>
    <m/>
    <m/>
    <x v="421"/>
    <x v="1"/>
    <x v="7"/>
  </r>
  <r>
    <x v="12"/>
    <m/>
    <m/>
    <m/>
    <m/>
    <m/>
    <x v="421"/>
    <x v="1"/>
    <x v="7"/>
  </r>
  <r>
    <x v="13"/>
    <m/>
    <m/>
    <m/>
    <m/>
    <m/>
    <x v="421"/>
    <x v="1"/>
    <x v="7"/>
  </r>
  <r>
    <x v="0"/>
    <m/>
    <m/>
    <m/>
    <m/>
    <m/>
    <x v="422"/>
    <x v="1"/>
    <x v="7"/>
  </r>
  <r>
    <x v="1"/>
    <m/>
    <m/>
    <m/>
    <m/>
    <m/>
    <x v="422"/>
    <x v="1"/>
    <x v="7"/>
  </r>
  <r>
    <x v="2"/>
    <m/>
    <m/>
    <m/>
    <m/>
    <m/>
    <x v="422"/>
    <x v="1"/>
    <x v="7"/>
  </r>
  <r>
    <x v="3"/>
    <m/>
    <m/>
    <m/>
    <n v="162000"/>
    <m/>
    <x v="422"/>
    <x v="1"/>
    <x v="7"/>
  </r>
  <r>
    <x v="4"/>
    <m/>
    <m/>
    <m/>
    <n v="45000"/>
    <m/>
    <x v="422"/>
    <x v="1"/>
    <x v="7"/>
  </r>
  <r>
    <x v="5"/>
    <m/>
    <n v="648000"/>
    <m/>
    <n v="108000"/>
    <m/>
    <x v="422"/>
    <x v="1"/>
    <x v="7"/>
  </r>
  <r>
    <x v="14"/>
    <m/>
    <m/>
    <m/>
    <m/>
    <m/>
    <x v="422"/>
    <x v="1"/>
    <x v="7"/>
  </r>
  <r>
    <x v="6"/>
    <m/>
    <m/>
    <m/>
    <m/>
    <m/>
    <x v="422"/>
    <x v="1"/>
    <x v="7"/>
  </r>
  <r>
    <x v="7"/>
    <m/>
    <m/>
    <m/>
    <m/>
    <m/>
    <x v="422"/>
    <x v="1"/>
    <x v="7"/>
  </r>
  <r>
    <x v="15"/>
    <m/>
    <m/>
    <m/>
    <m/>
    <m/>
    <x v="422"/>
    <x v="1"/>
    <x v="7"/>
  </r>
  <r>
    <x v="8"/>
    <n v="45000"/>
    <n v="522000"/>
    <m/>
    <m/>
    <m/>
    <x v="422"/>
    <x v="1"/>
    <x v="7"/>
  </r>
  <r>
    <x v="9"/>
    <m/>
    <n v="432000"/>
    <m/>
    <m/>
    <m/>
    <x v="422"/>
    <x v="1"/>
    <x v="7"/>
  </r>
  <r>
    <x v="10"/>
    <m/>
    <m/>
    <m/>
    <m/>
    <m/>
    <x v="422"/>
    <x v="1"/>
    <x v="7"/>
  </r>
  <r>
    <x v="11"/>
    <m/>
    <m/>
    <m/>
    <m/>
    <m/>
    <x v="422"/>
    <x v="1"/>
    <x v="7"/>
  </r>
  <r>
    <x v="12"/>
    <n v="162000"/>
    <m/>
    <n v="108000"/>
    <m/>
    <m/>
    <x v="422"/>
    <x v="1"/>
    <x v="7"/>
  </r>
  <r>
    <x v="13"/>
    <m/>
    <m/>
    <m/>
    <m/>
    <m/>
    <x v="422"/>
    <x v="1"/>
    <x v="7"/>
  </r>
  <r>
    <x v="0"/>
    <m/>
    <m/>
    <m/>
    <m/>
    <m/>
    <x v="423"/>
    <x v="1"/>
    <x v="7"/>
  </r>
  <r>
    <x v="1"/>
    <m/>
    <m/>
    <m/>
    <m/>
    <m/>
    <x v="423"/>
    <x v="1"/>
    <x v="7"/>
  </r>
  <r>
    <x v="2"/>
    <m/>
    <m/>
    <m/>
    <m/>
    <m/>
    <x v="423"/>
    <x v="1"/>
    <x v="7"/>
  </r>
  <r>
    <x v="3"/>
    <m/>
    <m/>
    <m/>
    <n v="216000"/>
    <m/>
    <x v="423"/>
    <x v="1"/>
    <x v="7"/>
  </r>
  <r>
    <x v="4"/>
    <m/>
    <m/>
    <m/>
    <m/>
    <n v="540000"/>
    <x v="423"/>
    <x v="1"/>
    <x v="7"/>
  </r>
  <r>
    <x v="5"/>
    <m/>
    <m/>
    <m/>
    <m/>
    <m/>
    <x v="423"/>
    <x v="1"/>
    <x v="7"/>
  </r>
  <r>
    <x v="14"/>
    <m/>
    <n v="419000"/>
    <m/>
    <m/>
    <m/>
    <x v="423"/>
    <x v="1"/>
    <x v="7"/>
  </r>
  <r>
    <x v="6"/>
    <m/>
    <m/>
    <m/>
    <m/>
    <m/>
    <x v="423"/>
    <x v="1"/>
    <x v="7"/>
  </r>
  <r>
    <x v="7"/>
    <m/>
    <m/>
    <m/>
    <m/>
    <m/>
    <x v="423"/>
    <x v="1"/>
    <x v="7"/>
  </r>
  <r>
    <x v="15"/>
    <m/>
    <m/>
    <m/>
    <m/>
    <m/>
    <x v="423"/>
    <x v="1"/>
    <x v="7"/>
  </r>
  <r>
    <x v="8"/>
    <m/>
    <m/>
    <m/>
    <m/>
    <m/>
    <x v="423"/>
    <x v="1"/>
    <x v="7"/>
  </r>
  <r>
    <x v="9"/>
    <m/>
    <n v="958500"/>
    <m/>
    <n v="540000"/>
    <m/>
    <x v="423"/>
    <x v="1"/>
    <x v="7"/>
  </r>
  <r>
    <x v="10"/>
    <m/>
    <m/>
    <m/>
    <m/>
    <m/>
    <x v="423"/>
    <x v="1"/>
    <x v="7"/>
  </r>
  <r>
    <x v="11"/>
    <m/>
    <m/>
    <m/>
    <m/>
    <m/>
    <x v="423"/>
    <x v="1"/>
    <x v="7"/>
  </r>
  <r>
    <x v="12"/>
    <m/>
    <m/>
    <m/>
    <m/>
    <m/>
    <x v="423"/>
    <x v="1"/>
    <x v="7"/>
  </r>
  <r>
    <x v="13"/>
    <m/>
    <m/>
    <m/>
    <m/>
    <m/>
    <x v="423"/>
    <x v="1"/>
    <x v="7"/>
  </r>
  <r>
    <x v="0"/>
    <m/>
    <m/>
    <m/>
    <m/>
    <m/>
    <x v="424"/>
    <x v="1"/>
    <x v="8"/>
  </r>
  <r>
    <x v="1"/>
    <m/>
    <m/>
    <m/>
    <m/>
    <m/>
    <x v="424"/>
    <x v="1"/>
    <x v="8"/>
  </r>
  <r>
    <x v="2"/>
    <m/>
    <m/>
    <m/>
    <m/>
    <m/>
    <x v="424"/>
    <x v="1"/>
    <x v="8"/>
  </r>
  <r>
    <x v="3"/>
    <m/>
    <m/>
    <m/>
    <m/>
    <m/>
    <x v="424"/>
    <x v="1"/>
    <x v="8"/>
  </r>
  <r>
    <x v="4"/>
    <m/>
    <m/>
    <m/>
    <m/>
    <n v="459000"/>
    <x v="424"/>
    <x v="1"/>
    <x v="8"/>
  </r>
  <r>
    <x v="5"/>
    <m/>
    <m/>
    <m/>
    <m/>
    <m/>
    <x v="424"/>
    <x v="1"/>
    <x v="8"/>
  </r>
  <r>
    <x v="14"/>
    <m/>
    <n v="365000"/>
    <m/>
    <m/>
    <m/>
    <x v="424"/>
    <x v="1"/>
    <x v="8"/>
  </r>
  <r>
    <x v="6"/>
    <m/>
    <n v="90000"/>
    <m/>
    <m/>
    <m/>
    <x v="424"/>
    <x v="1"/>
    <x v="8"/>
  </r>
  <r>
    <x v="7"/>
    <m/>
    <m/>
    <m/>
    <m/>
    <m/>
    <x v="424"/>
    <x v="1"/>
    <x v="8"/>
  </r>
  <r>
    <x v="15"/>
    <m/>
    <m/>
    <m/>
    <m/>
    <m/>
    <x v="424"/>
    <x v="1"/>
    <x v="8"/>
  </r>
  <r>
    <x v="8"/>
    <n v="972000"/>
    <m/>
    <m/>
    <m/>
    <n v="54000"/>
    <x v="424"/>
    <x v="1"/>
    <x v="8"/>
  </r>
  <r>
    <x v="9"/>
    <n v="324000"/>
    <n v="860000"/>
    <m/>
    <m/>
    <m/>
    <x v="424"/>
    <x v="1"/>
    <x v="8"/>
  </r>
  <r>
    <x v="10"/>
    <m/>
    <m/>
    <m/>
    <m/>
    <m/>
    <x v="424"/>
    <x v="1"/>
    <x v="8"/>
  </r>
  <r>
    <x v="11"/>
    <m/>
    <m/>
    <m/>
    <m/>
    <m/>
    <x v="424"/>
    <x v="1"/>
    <x v="8"/>
  </r>
  <r>
    <x v="12"/>
    <m/>
    <m/>
    <m/>
    <m/>
    <m/>
    <x v="424"/>
    <x v="1"/>
    <x v="8"/>
  </r>
  <r>
    <x v="13"/>
    <n v="535500"/>
    <m/>
    <m/>
    <m/>
    <m/>
    <x v="424"/>
    <x v="1"/>
    <x v="8"/>
  </r>
  <r>
    <x v="0"/>
    <m/>
    <m/>
    <m/>
    <m/>
    <m/>
    <x v="424"/>
    <x v="1"/>
    <x v="8"/>
  </r>
  <r>
    <x v="1"/>
    <m/>
    <m/>
    <m/>
    <m/>
    <m/>
    <x v="424"/>
    <x v="1"/>
    <x v="8"/>
  </r>
  <r>
    <x v="2"/>
    <n v="266000"/>
    <m/>
    <m/>
    <m/>
    <m/>
    <x v="424"/>
    <x v="1"/>
    <x v="8"/>
  </r>
  <r>
    <x v="3"/>
    <m/>
    <m/>
    <m/>
    <m/>
    <m/>
    <x v="424"/>
    <x v="1"/>
    <x v="8"/>
  </r>
  <r>
    <x v="4"/>
    <m/>
    <m/>
    <m/>
    <m/>
    <m/>
    <x v="424"/>
    <x v="1"/>
    <x v="8"/>
  </r>
  <r>
    <x v="5"/>
    <m/>
    <m/>
    <m/>
    <m/>
    <m/>
    <x v="424"/>
    <x v="1"/>
    <x v="8"/>
  </r>
  <r>
    <x v="14"/>
    <m/>
    <n v="425500"/>
    <m/>
    <m/>
    <m/>
    <x v="424"/>
    <x v="1"/>
    <x v="8"/>
  </r>
  <r>
    <x v="6"/>
    <m/>
    <m/>
    <m/>
    <m/>
    <m/>
    <x v="424"/>
    <x v="1"/>
    <x v="8"/>
  </r>
  <r>
    <x v="7"/>
    <m/>
    <m/>
    <m/>
    <m/>
    <m/>
    <x v="424"/>
    <x v="1"/>
    <x v="8"/>
  </r>
  <r>
    <x v="15"/>
    <m/>
    <m/>
    <m/>
    <m/>
    <m/>
    <x v="424"/>
    <x v="1"/>
    <x v="8"/>
  </r>
  <r>
    <x v="8"/>
    <n v="486000"/>
    <m/>
    <m/>
    <m/>
    <n v="594000"/>
    <x v="424"/>
    <x v="1"/>
    <x v="8"/>
  </r>
  <r>
    <x v="9"/>
    <n v="702000"/>
    <n v="648000"/>
    <m/>
    <m/>
    <m/>
    <x v="424"/>
    <x v="1"/>
    <x v="8"/>
  </r>
  <r>
    <x v="10"/>
    <m/>
    <m/>
    <m/>
    <m/>
    <m/>
    <x v="424"/>
    <x v="1"/>
    <x v="8"/>
  </r>
  <r>
    <x v="11"/>
    <m/>
    <m/>
    <m/>
    <m/>
    <m/>
    <x v="424"/>
    <x v="1"/>
    <x v="8"/>
  </r>
  <r>
    <x v="12"/>
    <m/>
    <m/>
    <m/>
    <m/>
    <m/>
    <x v="424"/>
    <x v="1"/>
    <x v="8"/>
  </r>
  <r>
    <x v="13"/>
    <n v="432000"/>
    <m/>
    <m/>
    <m/>
    <m/>
    <x v="424"/>
    <x v="1"/>
    <x v="8"/>
  </r>
  <r>
    <x v="0"/>
    <m/>
    <m/>
    <m/>
    <m/>
    <m/>
    <x v="425"/>
    <x v="1"/>
    <x v="8"/>
  </r>
  <r>
    <x v="1"/>
    <m/>
    <m/>
    <m/>
    <m/>
    <m/>
    <x v="425"/>
    <x v="1"/>
    <x v="8"/>
  </r>
  <r>
    <x v="2"/>
    <n v="860000"/>
    <m/>
    <m/>
    <m/>
    <m/>
    <x v="425"/>
    <x v="1"/>
    <x v="8"/>
  </r>
  <r>
    <x v="3"/>
    <m/>
    <m/>
    <m/>
    <n v="162000"/>
    <m/>
    <x v="425"/>
    <x v="1"/>
    <x v="8"/>
  </r>
  <r>
    <x v="4"/>
    <m/>
    <m/>
    <m/>
    <n v="54000"/>
    <m/>
    <x v="425"/>
    <x v="1"/>
    <x v="8"/>
  </r>
  <r>
    <x v="5"/>
    <m/>
    <m/>
    <m/>
    <m/>
    <m/>
    <x v="425"/>
    <x v="1"/>
    <x v="8"/>
  </r>
  <r>
    <x v="14"/>
    <n v="108000"/>
    <n v="378000"/>
    <m/>
    <m/>
    <m/>
    <x v="425"/>
    <x v="1"/>
    <x v="8"/>
  </r>
  <r>
    <x v="6"/>
    <m/>
    <m/>
    <m/>
    <m/>
    <m/>
    <x v="425"/>
    <x v="1"/>
    <x v="8"/>
  </r>
  <r>
    <x v="7"/>
    <m/>
    <m/>
    <m/>
    <m/>
    <m/>
    <x v="425"/>
    <x v="1"/>
    <x v="8"/>
  </r>
  <r>
    <x v="15"/>
    <m/>
    <m/>
    <m/>
    <m/>
    <m/>
    <x v="425"/>
    <x v="1"/>
    <x v="8"/>
  </r>
  <r>
    <x v="8"/>
    <n v="378000"/>
    <m/>
    <m/>
    <m/>
    <n v="352000"/>
    <x v="425"/>
    <x v="1"/>
    <x v="8"/>
  </r>
  <r>
    <x v="9"/>
    <n v="374000"/>
    <n v="428000"/>
    <m/>
    <n v="54000"/>
    <m/>
    <x v="425"/>
    <x v="1"/>
    <x v="8"/>
  </r>
  <r>
    <x v="10"/>
    <m/>
    <m/>
    <m/>
    <m/>
    <m/>
    <x v="425"/>
    <x v="1"/>
    <x v="8"/>
  </r>
  <r>
    <x v="11"/>
    <m/>
    <m/>
    <m/>
    <m/>
    <m/>
    <x v="425"/>
    <x v="1"/>
    <x v="8"/>
  </r>
  <r>
    <x v="12"/>
    <m/>
    <m/>
    <m/>
    <m/>
    <m/>
    <x v="425"/>
    <x v="1"/>
    <x v="8"/>
  </r>
  <r>
    <x v="13"/>
    <n v="108000"/>
    <m/>
    <m/>
    <m/>
    <m/>
    <x v="425"/>
    <x v="1"/>
    <x v="8"/>
  </r>
  <r>
    <x v="0"/>
    <m/>
    <m/>
    <m/>
    <m/>
    <m/>
    <x v="426"/>
    <x v="1"/>
    <x v="8"/>
  </r>
  <r>
    <x v="1"/>
    <m/>
    <n v="45000"/>
    <m/>
    <m/>
    <m/>
    <x v="426"/>
    <x v="1"/>
    <x v="8"/>
  </r>
  <r>
    <x v="2"/>
    <n v="540000"/>
    <m/>
    <m/>
    <m/>
    <m/>
    <x v="426"/>
    <x v="1"/>
    <x v="8"/>
  </r>
  <r>
    <x v="3"/>
    <m/>
    <m/>
    <m/>
    <m/>
    <m/>
    <x v="426"/>
    <x v="1"/>
    <x v="8"/>
  </r>
  <r>
    <x v="4"/>
    <m/>
    <m/>
    <m/>
    <m/>
    <m/>
    <x v="426"/>
    <x v="1"/>
    <x v="8"/>
  </r>
  <r>
    <x v="5"/>
    <m/>
    <n v="90000"/>
    <m/>
    <m/>
    <m/>
    <x v="426"/>
    <x v="1"/>
    <x v="8"/>
  </r>
  <r>
    <x v="14"/>
    <n v="643500"/>
    <n v="324000"/>
    <m/>
    <m/>
    <m/>
    <x v="426"/>
    <x v="1"/>
    <x v="8"/>
  </r>
  <r>
    <x v="6"/>
    <m/>
    <m/>
    <m/>
    <m/>
    <m/>
    <x v="426"/>
    <x v="1"/>
    <x v="8"/>
  </r>
  <r>
    <x v="7"/>
    <m/>
    <m/>
    <m/>
    <m/>
    <m/>
    <x v="426"/>
    <x v="1"/>
    <x v="8"/>
  </r>
  <r>
    <x v="15"/>
    <m/>
    <m/>
    <m/>
    <m/>
    <m/>
    <x v="426"/>
    <x v="1"/>
    <x v="8"/>
  </r>
  <r>
    <x v="8"/>
    <n v="207000"/>
    <m/>
    <m/>
    <m/>
    <n v="540000"/>
    <x v="426"/>
    <x v="1"/>
    <x v="8"/>
  </r>
  <r>
    <x v="9"/>
    <n v="486000"/>
    <n v="324000"/>
    <m/>
    <m/>
    <m/>
    <x v="426"/>
    <x v="1"/>
    <x v="8"/>
  </r>
  <r>
    <x v="10"/>
    <m/>
    <m/>
    <m/>
    <m/>
    <m/>
    <x v="426"/>
    <x v="1"/>
    <x v="8"/>
  </r>
  <r>
    <x v="11"/>
    <m/>
    <m/>
    <m/>
    <m/>
    <m/>
    <x v="426"/>
    <x v="1"/>
    <x v="8"/>
  </r>
  <r>
    <x v="12"/>
    <m/>
    <m/>
    <m/>
    <m/>
    <m/>
    <x v="426"/>
    <x v="1"/>
    <x v="8"/>
  </r>
  <r>
    <x v="13"/>
    <m/>
    <m/>
    <m/>
    <m/>
    <m/>
    <x v="426"/>
    <x v="1"/>
    <x v="8"/>
  </r>
  <r>
    <x v="0"/>
    <m/>
    <m/>
    <m/>
    <m/>
    <m/>
    <x v="427"/>
    <x v="1"/>
    <x v="8"/>
  </r>
  <r>
    <x v="1"/>
    <m/>
    <m/>
    <m/>
    <m/>
    <m/>
    <x v="427"/>
    <x v="1"/>
    <x v="8"/>
  </r>
  <r>
    <x v="2"/>
    <n v="1134000"/>
    <m/>
    <m/>
    <n v="54000"/>
    <m/>
    <x v="427"/>
    <x v="1"/>
    <x v="8"/>
  </r>
  <r>
    <x v="3"/>
    <m/>
    <n v="212000"/>
    <m/>
    <n v="216000"/>
    <m/>
    <x v="427"/>
    <x v="1"/>
    <x v="8"/>
  </r>
  <r>
    <x v="4"/>
    <m/>
    <m/>
    <m/>
    <n v="108000"/>
    <m/>
    <x v="427"/>
    <x v="1"/>
    <x v="8"/>
  </r>
  <r>
    <x v="5"/>
    <m/>
    <m/>
    <m/>
    <n v="54000"/>
    <m/>
    <x v="427"/>
    <x v="1"/>
    <x v="8"/>
  </r>
  <r>
    <x v="14"/>
    <n v="594000"/>
    <n v="424000"/>
    <m/>
    <m/>
    <m/>
    <x v="427"/>
    <x v="1"/>
    <x v="8"/>
  </r>
  <r>
    <x v="6"/>
    <m/>
    <n v="45000"/>
    <m/>
    <m/>
    <m/>
    <x v="427"/>
    <x v="1"/>
    <x v="8"/>
  </r>
  <r>
    <x v="7"/>
    <m/>
    <m/>
    <m/>
    <m/>
    <m/>
    <x v="427"/>
    <x v="1"/>
    <x v="8"/>
  </r>
  <r>
    <x v="15"/>
    <m/>
    <m/>
    <m/>
    <m/>
    <m/>
    <x v="427"/>
    <x v="1"/>
    <x v="8"/>
  </r>
  <r>
    <x v="8"/>
    <m/>
    <m/>
    <m/>
    <m/>
    <n v="415000"/>
    <x v="427"/>
    <x v="1"/>
    <x v="8"/>
  </r>
  <r>
    <x v="9"/>
    <n v="153000"/>
    <n v="432000"/>
    <m/>
    <n v="54000"/>
    <m/>
    <x v="427"/>
    <x v="1"/>
    <x v="8"/>
  </r>
  <r>
    <x v="10"/>
    <m/>
    <m/>
    <m/>
    <m/>
    <m/>
    <x v="427"/>
    <x v="1"/>
    <x v="8"/>
  </r>
  <r>
    <x v="11"/>
    <m/>
    <m/>
    <m/>
    <m/>
    <m/>
    <x v="427"/>
    <x v="1"/>
    <x v="8"/>
  </r>
  <r>
    <x v="12"/>
    <m/>
    <m/>
    <m/>
    <m/>
    <m/>
    <x v="427"/>
    <x v="1"/>
    <x v="8"/>
  </r>
  <r>
    <x v="13"/>
    <m/>
    <m/>
    <m/>
    <m/>
    <m/>
    <x v="427"/>
    <x v="1"/>
    <x v="8"/>
  </r>
  <r>
    <x v="0"/>
    <m/>
    <m/>
    <m/>
    <m/>
    <m/>
    <x v="428"/>
    <x v="1"/>
    <x v="8"/>
  </r>
  <r>
    <x v="1"/>
    <m/>
    <m/>
    <m/>
    <m/>
    <m/>
    <x v="428"/>
    <x v="1"/>
    <x v="8"/>
  </r>
  <r>
    <x v="2"/>
    <n v="108000"/>
    <m/>
    <m/>
    <m/>
    <m/>
    <x v="428"/>
    <x v="1"/>
    <x v="8"/>
  </r>
  <r>
    <x v="3"/>
    <m/>
    <n v="644000"/>
    <m/>
    <m/>
    <m/>
    <x v="428"/>
    <x v="1"/>
    <x v="8"/>
  </r>
  <r>
    <x v="4"/>
    <m/>
    <m/>
    <m/>
    <m/>
    <m/>
    <x v="428"/>
    <x v="1"/>
    <x v="8"/>
  </r>
  <r>
    <x v="5"/>
    <m/>
    <m/>
    <m/>
    <m/>
    <m/>
    <x v="428"/>
    <x v="1"/>
    <x v="8"/>
  </r>
  <r>
    <x v="14"/>
    <n v="162000"/>
    <m/>
    <m/>
    <m/>
    <m/>
    <x v="428"/>
    <x v="1"/>
    <x v="8"/>
  </r>
  <r>
    <x v="6"/>
    <n v="135000"/>
    <m/>
    <m/>
    <m/>
    <m/>
    <x v="428"/>
    <x v="1"/>
    <x v="8"/>
  </r>
  <r>
    <x v="7"/>
    <m/>
    <m/>
    <m/>
    <m/>
    <m/>
    <x v="428"/>
    <x v="1"/>
    <x v="8"/>
  </r>
  <r>
    <x v="15"/>
    <m/>
    <m/>
    <m/>
    <m/>
    <m/>
    <x v="428"/>
    <x v="1"/>
    <x v="8"/>
  </r>
  <r>
    <x v="8"/>
    <m/>
    <n v="324000"/>
    <m/>
    <n v="54000"/>
    <n v="45000"/>
    <x v="428"/>
    <x v="1"/>
    <x v="8"/>
  </r>
  <r>
    <x v="9"/>
    <n v="45000"/>
    <n v="216000"/>
    <m/>
    <m/>
    <m/>
    <x v="428"/>
    <x v="1"/>
    <x v="8"/>
  </r>
  <r>
    <x v="10"/>
    <m/>
    <m/>
    <m/>
    <m/>
    <m/>
    <x v="428"/>
    <x v="1"/>
    <x v="8"/>
  </r>
  <r>
    <x v="11"/>
    <m/>
    <m/>
    <m/>
    <m/>
    <m/>
    <x v="428"/>
    <x v="1"/>
    <x v="8"/>
  </r>
  <r>
    <x v="12"/>
    <m/>
    <m/>
    <m/>
    <m/>
    <m/>
    <x v="428"/>
    <x v="1"/>
    <x v="8"/>
  </r>
  <r>
    <x v="13"/>
    <m/>
    <n v="270000"/>
    <m/>
    <m/>
    <m/>
    <x v="428"/>
    <x v="1"/>
    <x v="8"/>
  </r>
  <r>
    <x v="0"/>
    <m/>
    <m/>
    <m/>
    <m/>
    <m/>
    <x v="429"/>
    <x v="1"/>
    <x v="8"/>
  </r>
  <r>
    <x v="1"/>
    <m/>
    <m/>
    <m/>
    <m/>
    <m/>
    <x v="429"/>
    <x v="1"/>
    <x v="8"/>
  </r>
  <r>
    <x v="2"/>
    <m/>
    <m/>
    <m/>
    <n v="162000"/>
    <m/>
    <x v="429"/>
    <x v="1"/>
    <x v="8"/>
  </r>
  <r>
    <x v="3"/>
    <m/>
    <n v="639000"/>
    <m/>
    <m/>
    <m/>
    <x v="429"/>
    <x v="1"/>
    <x v="8"/>
  </r>
  <r>
    <x v="4"/>
    <m/>
    <m/>
    <m/>
    <m/>
    <m/>
    <x v="429"/>
    <x v="1"/>
    <x v="8"/>
  </r>
  <r>
    <x v="5"/>
    <m/>
    <m/>
    <m/>
    <m/>
    <m/>
    <x v="429"/>
    <x v="1"/>
    <x v="8"/>
  </r>
  <r>
    <x v="14"/>
    <m/>
    <n v="162000"/>
    <m/>
    <m/>
    <m/>
    <x v="429"/>
    <x v="1"/>
    <x v="8"/>
  </r>
  <r>
    <x v="6"/>
    <m/>
    <m/>
    <m/>
    <m/>
    <m/>
    <x v="429"/>
    <x v="1"/>
    <x v="8"/>
  </r>
  <r>
    <x v="7"/>
    <m/>
    <m/>
    <m/>
    <m/>
    <m/>
    <x v="429"/>
    <x v="1"/>
    <x v="8"/>
  </r>
  <r>
    <x v="15"/>
    <m/>
    <m/>
    <m/>
    <m/>
    <m/>
    <x v="429"/>
    <x v="1"/>
    <x v="8"/>
  </r>
  <r>
    <x v="8"/>
    <m/>
    <n v="270000"/>
    <m/>
    <m/>
    <m/>
    <x v="429"/>
    <x v="1"/>
    <x v="8"/>
  </r>
  <r>
    <x v="9"/>
    <m/>
    <n v="162000"/>
    <m/>
    <m/>
    <m/>
    <x v="429"/>
    <x v="1"/>
    <x v="8"/>
  </r>
  <r>
    <x v="10"/>
    <m/>
    <m/>
    <m/>
    <m/>
    <m/>
    <x v="429"/>
    <x v="1"/>
    <x v="8"/>
  </r>
  <r>
    <x v="11"/>
    <m/>
    <m/>
    <m/>
    <m/>
    <m/>
    <x v="429"/>
    <x v="1"/>
    <x v="8"/>
  </r>
  <r>
    <x v="12"/>
    <m/>
    <m/>
    <m/>
    <m/>
    <m/>
    <x v="429"/>
    <x v="1"/>
    <x v="8"/>
  </r>
  <r>
    <x v="13"/>
    <m/>
    <n v="216000"/>
    <m/>
    <m/>
    <m/>
    <x v="429"/>
    <x v="1"/>
    <x v="8"/>
  </r>
  <r>
    <x v="0"/>
    <m/>
    <m/>
    <m/>
    <m/>
    <m/>
    <x v="430"/>
    <x v="1"/>
    <x v="8"/>
  </r>
  <r>
    <x v="1"/>
    <m/>
    <m/>
    <m/>
    <m/>
    <m/>
    <x v="430"/>
    <x v="1"/>
    <x v="8"/>
  </r>
  <r>
    <x v="2"/>
    <n v="1985000"/>
    <m/>
    <m/>
    <m/>
    <m/>
    <x v="430"/>
    <x v="1"/>
    <x v="8"/>
  </r>
  <r>
    <x v="3"/>
    <m/>
    <n v="424000"/>
    <m/>
    <n v="270000"/>
    <m/>
    <x v="430"/>
    <x v="1"/>
    <x v="8"/>
  </r>
  <r>
    <x v="4"/>
    <m/>
    <m/>
    <m/>
    <n v="108000"/>
    <m/>
    <x v="430"/>
    <x v="1"/>
    <x v="8"/>
  </r>
  <r>
    <x v="5"/>
    <n v="45000"/>
    <m/>
    <m/>
    <n v="54000"/>
    <m/>
    <x v="430"/>
    <x v="1"/>
    <x v="8"/>
  </r>
  <r>
    <x v="14"/>
    <m/>
    <n v="254000"/>
    <m/>
    <m/>
    <m/>
    <x v="430"/>
    <x v="1"/>
    <x v="8"/>
  </r>
  <r>
    <x v="6"/>
    <n v="45000"/>
    <m/>
    <m/>
    <m/>
    <m/>
    <x v="430"/>
    <x v="1"/>
    <x v="8"/>
  </r>
  <r>
    <x v="7"/>
    <m/>
    <m/>
    <m/>
    <m/>
    <m/>
    <x v="430"/>
    <x v="1"/>
    <x v="8"/>
  </r>
  <r>
    <x v="15"/>
    <m/>
    <m/>
    <m/>
    <m/>
    <m/>
    <x v="430"/>
    <x v="1"/>
    <x v="8"/>
  </r>
  <r>
    <x v="8"/>
    <m/>
    <n v="99000"/>
    <m/>
    <n v="108000"/>
    <m/>
    <x v="430"/>
    <x v="1"/>
    <x v="8"/>
  </r>
  <r>
    <x v="9"/>
    <m/>
    <n v="211500"/>
    <m/>
    <m/>
    <m/>
    <x v="430"/>
    <x v="1"/>
    <x v="8"/>
  </r>
  <r>
    <x v="10"/>
    <m/>
    <m/>
    <m/>
    <m/>
    <m/>
    <x v="430"/>
    <x v="1"/>
    <x v="8"/>
  </r>
  <r>
    <x v="11"/>
    <m/>
    <m/>
    <m/>
    <m/>
    <m/>
    <x v="430"/>
    <x v="1"/>
    <x v="8"/>
  </r>
  <r>
    <x v="12"/>
    <m/>
    <m/>
    <m/>
    <m/>
    <m/>
    <x v="430"/>
    <x v="1"/>
    <x v="8"/>
  </r>
  <r>
    <x v="13"/>
    <n v="45000"/>
    <n v="270000"/>
    <m/>
    <m/>
    <m/>
    <x v="430"/>
    <x v="1"/>
    <x v="8"/>
  </r>
  <r>
    <x v="0"/>
    <m/>
    <m/>
    <m/>
    <m/>
    <m/>
    <x v="431"/>
    <x v="1"/>
    <x v="8"/>
  </r>
  <r>
    <x v="1"/>
    <m/>
    <m/>
    <m/>
    <m/>
    <m/>
    <x v="431"/>
    <x v="1"/>
    <x v="8"/>
  </r>
  <r>
    <x v="2"/>
    <n v="374000"/>
    <m/>
    <m/>
    <m/>
    <m/>
    <x v="431"/>
    <x v="1"/>
    <x v="8"/>
  </r>
  <r>
    <x v="3"/>
    <m/>
    <m/>
    <m/>
    <m/>
    <m/>
    <x v="431"/>
    <x v="1"/>
    <x v="8"/>
  </r>
  <r>
    <x v="4"/>
    <n v="1564000"/>
    <n v="216000"/>
    <m/>
    <m/>
    <m/>
    <x v="431"/>
    <x v="1"/>
    <x v="8"/>
  </r>
  <r>
    <x v="5"/>
    <m/>
    <m/>
    <m/>
    <m/>
    <m/>
    <x v="431"/>
    <x v="1"/>
    <x v="8"/>
  </r>
  <r>
    <x v="14"/>
    <m/>
    <m/>
    <m/>
    <m/>
    <m/>
    <x v="431"/>
    <x v="1"/>
    <x v="8"/>
  </r>
  <r>
    <x v="6"/>
    <m/>
    <n v="211500"/>
    <m/>
    <m/>
    <m/>
    <x v="431"/>
    <x v="1"/>
    <x v="8"/>
  </r>
  <r>
    <x v="7"/>
    <m/>
    <m/>
    <m/>
    <m/>
    <m/>
    <x v="431"/>
    <x v="1"/>
    <x v="8"/>
  </r>
  <r>
    <x v="15"/>
    <m/>
    <m/>
    <m/>
    <m/>
    <m/>
    <x v="431"/>
    <x v="1"/>
    <x v="8"/>
  </r>
  <r>
    <x v="8"/>
    <m/>
    <n v="108000"/>
    <m/>
    <m/>
    <m/>
    <x v="431"/>
    <x v="1"/>
    <x v="8"/>
  </r>
  <r>
    <x v="9"/>
    <m/>
    <n v="270000"/>
    <m/>
    <m/>
    <m/>
    <x v="431"/>
    <x v="1"/>
    <x v="8"/>
  </r>
  <r>
    <x v="10"/>
    <m/>
    <m/>
    <m/>
    <m/>
    <m/>
    <x v="431"/>
    <x v="1"/>
    <x v="8"/>
  </r>
  <r>
    <x v="11"/>
    <m/>
    <m/>
    <m/>
    <m/>
    <m/>
    <x v="431"/>
    <x v="1"/>
    <x v="8"/>
  </r>
  <r>
    <x v="12"/>
    <m/>
    <m/>
    <m/>
    <m/>
    <m/>
    <x v="431"/>
    <x v="1"/>
    <x v="8"/>
  </r>
  <r>
    <x v="13"/>
    <m/>
    <n v="206500"/>
    <m/>
    <m/>
    <m/>
    <x v="431"/>
    <x v="1"/>
    <x v="8"/>
  </r>
  <r>
    <x v="0"/>
    <m/>
    <m/>
    <m/>
    <m/>
    <m/>
    <x v="432"/>
    <x v="1"/>
    <x v="8"/>
  </r>
  <r>
    <x v="1"/>
    <m/>
    <m/>
    <m/>
    <m/>
    <m/>
    <x v="432"/>
    <x v="1"/>
    <x v="8"/>
  </r>
  <r>
    <x v="2"/>
    <m/>
    <m/>
    <m/>
    <m/>
    <m/>
    <x v="432"/>
    <x v="1"/>
    <x v="8"/>
  </r>
  <r>
    <x v="3"/>
    <m/>
    <n v="810000"/>
    <m/>
    <m/>
    <m/>
    <x v="432"/>
    <x v="1"/>
    <x v="8"/>
  </r>
  <r>
    <x v="4"/>
    <n v="378000"/>
    <n v="162000"/>
    <m/>
    <m/>
    <n v="150000"/>
    <x v="432"/>
    <x v="1"/>
    <x v="8"/>
  </r>
  <r>
    <x v="5"/>
    <m/>
    <m/>
    <m/>
    <m/>
    <m/>
    <x v="432"/>
    <x v="1"/>
    <x v="8"/>
  </r>
  <r>
    <x v="14"/>
    <m/>
    <m/>
    <m/>
    <m/>
    <m/>
    <x v="432"/>
    <x v="1"/>
    <x v="8"/>
  </r>
  <r>
    <x v="6"/>
    <m/>
    <n v="216000"/>
    <m/>
    <m/>
    <m/>
    <x v="432"/>
    <x v="1"/>
    <x v="8"/>
  </r>
  <r>
    <x v="7"/>
    <m/>
    <m/>
    <m/>
    <m/>
    <m/>
    <x v="432"/>
    <x v="1"/>
    <x v="8"/>
  </r>
  <r>
    <x v="15"/>
    <m/>
    <m/>
    <m/>
    <m/>
    <m/>
    <x v="432"/>
    <x v="1"/>
    <x v="8"/>
  </r>
  <r>
    <x v="8"/>
    <m/>
    <n v="1107000"/>
    <m/>
    <m/>
    <m/>
    <x v="432"/>
    <x v="1"/>
    <x v="8"/>
  </r>
  <r>
    <x v="9"/>
    <m/>
    <n v="54000"/>
    <m/>
    <m/>
    <m/>
    <x v="432"/>
    <x v="1"/>
    <x v="8"/>
  </r>
  <r>
    <x v="10"/>
    <m/>
    <m/>
    <m/>
    <m/>
    <m/>
    <x v="432"/>
    <x v="1"/>
    <x v="8"/>
  </r>
  <r>
    <x v="11"/>
    <m/>
    <m/>
    <m/>
    <m/>
    <m/>
    <x v="432"/>
    <x v="1"/>
    <x v="8"/>
  </r>
  <r>
    <x v="12"/>
    <m/>
    <m/>
    <m/>
    <m/>
    <m/>
    <x v="432"/>
    <x v="1"/>
    <x v="8"/>
  </r>
  <r>
    <x v="13"/>
    <n v="90000"/>
    <m/>
    <m/>
    <m/>
    <m/>
    <x v="432"/>
    <x v="1"/>
    <x v="8"/>
  </r>
  <r>
    <x v="0"/>
    <m/>
    <m/>
    <m/>
    <m/>
    <m/>
    <x v="433"/>
    <x v="1"/>
    <x v="8"/>
  </r>
  <r>
    <x v="1"/>
    <m/>
    <m/>
    <m/>
    <m/>
    <m/>
    <x v="433"/>
    <x v="1"/>
    <x v="8"/>
  </r>
  <r>
    <x v="2"/>
    <n v="142000"/>
    <m/>
    <m/>
    <n v="54000"/>
    <m/>
    <x v="433"/>
    <x v="1"/>
    <x v="8"/>
  </r>
  <r>
    <x v="3"/>
    <n v="756000"/>
    <n v="756000"/>
    <m/>
    <n v="54000"/>
    <m/>
    <x v="433"/>
    <x v="1"/>
    <x v="8"/>
  </r>
  <r>
    <x v="4"/>
    <m/>
    <n v="324000"/>
    <m/>
    <n v="54000"/>
    <m/>
    <x v="433"/>
    <x v="1"/>
    <x v="8"/>
  </r>
  <r>
    <x v="5"/>
    <m/>
    <n v="108000"/>
    <m/>
    <m/>
    <m/>
    <x v="433"/>
    <x v="1"/>
    <x v="8"/>
  </r>
  <r>
    <x v="14"/>
    <m/>
    <m/>
    <m/>
    <m/>
    <m/>
    <x v="433"/>
    <x v="1"/>
    <x v="8"/>
  </r>
  <r>
    <x v="6"/>
    <m/>
    <n v="54000"/>
    <m/>
    <n v="54000"/>
    <m/>
    <x v="433"/>
    <x v="1"/>
    <x v="8"/>
  </r>
  <r>
    <x v="7"/>
    <m/>
    <m/>
    <m/>
    <m/>
    <m/>
    <x v="433"/>
    <x v="1"/>
    <x v="8"/>
  </r>
  <r>
    <x v="15"/>
    <m/>
    <m/>
    <m/>
    <m/>
    <m/>
    <x v="433"/>
    <x v="1"/>
    <x v="8"/>
  </r>
  <r>
    <x v="8"/>
    <m/>
    <m/>
    <m/>
    <m/>
    <m/>
    <x v="433"/>
    <x v="1"/>
    <x v="8"/>
  </r>
  <r>
    <x v="9"/>
    <m/>
    <m/>
    <m/>
    <n v="54000"/>
    <m/>
    <x v="433"/>
    <x v="1"/>
    <x v="8"/>
  </r>
  <r>
    <x v="10"/>
    <m/>
    <m/>
    <m/>
    <m/>
    <m/>
    <x v="433"/>
    <x v="1"/>
    <x v="8"/>
  </r>
  <r>
    <x v="11"/>
    <m/>
    <m/>
    <m/>
    <m/>
    <m/>
    <x v="433"/>
    <x v="1"/>
    <x v="8"/>
  </r>
  <r>
    <x v="12"/>
    <m/>
    <m/>
    <m/>
    <m/>
    <m/>
    <x v="433"/>
    <x v="1"/>
    <x v="8"/>
  </r>
  <r>
    <x v="13"/>
    <m/>
    <n v="162000"/>
    <m/>
    <m/>
    <m/>
    <x v="433"/>
    <x v="1"/>
    <x v="8"/>
  </r>
  <r>
    <x v="0"/>
    <m/>
    <m/>
    <m/>
    <m/>
    <m/>
    <x v="434"/>
    <x v="1"/>
    <x v="8"/>
  </r>
  <r>
    <x v="1"/>
    <m/>
    <m/>
    <m/>
    <m/>
    <m/>
    <x v="434"/>
    <x v="1"/>
    <x v="8"/>
  </r>
  <r>
    <x v="2"/>
    <n v="90000"/>
    <m/>
    <m/>
    <n v="108000"/>
    <m/>
    <x v="434"/>
    <x v="1"/>
    <x v="8"/>
  </r>
  <r>
    <x v="3"/>
    <n v="108000"/>
    <n v="698000"/>
    <m/>
    <n v="108000"/>
    <m/>
    <x v="434"/>
    <x v="1"/>
    <x v="8"/>
  </r>
  <r>
    <x v="4"/>
    <n v="54000"/>
    <n v="162000"/>
    <m/>
    <m/>
    <n v="50000"/>
    <x v="434"/>
    <x v="1"/>
    <x v="8"/>
  </r>
  <r>
    <x v="5"/>
    <m/>
    <n v="324000"/>
    <m/>
    <m/>
    <m/>
    <x v="434"/>
    <x v="1"/>
    <x v="8"/>
  </r>
  <r>
    <x v="14"/>
    <m/>
    <m/>
    <m/>
    <m/>
    <m/>
    <x v="434"/>
    <x v="1"/>
    <x v="8"/>
  </r>
  <r>
    <x v="6"/>
    <m/>
    <n v="432000"/>
    <m/>
    <n v="54000"/>
    <m/>
    <x v="434"/>
    <x v="1"/>
    <x v="8"/>
  </r>
  <r>
    <x v="7"/>
    <m/>
    <m/>
    <m/>
    <m/>
    <m/>
    <x v="434"/>
    <x v="1"/>
    <x v="8"/>
  </r>
  <r>
    <x v="15"/>
    <m/>
    <m/>
    <m/>
    <m/>
    <m/>
    <x v="434"/>
    <x v="1"/>
    <x v="8"/>
  </r>
  <r>
    <x v="8"/>
    <m/>
    <m/>
    <m/>
    <m/>
    <m/>
    <x v="434"/>
    <x v="1"/>
    <x v="8"/>
  </r>
  <r>
    <x v="9"/>
    <m/>
    <m/>
    <m/>
    <m/>
    <m/>
    <x v="434"/>
    <x v="1"/>
    <x v="8"/>
  </r>
  <r>
    <x v="10"/>
    <m/>
    <m/>
    <m/>
    <m/>
    <m/>
    <x v="434"/>
    <x v="1"/>
    <x v="8"/>
  </r>
  <r>
    <x v="11"/>
    <m/>
    <m/>
    <m/>
    <m/>
    <m/>
    <x v="434"/>
    <x v="1"/>
    <x v="8"/>
  </r>
  <r>
    <x v="12"/>
    <m/>
    <m/>
    <m/>
    <m/>
    <m/>
    <x v="434"/>
    <x v="1"/>
    <x v="8"/>
  </r>
  <r>
    <x v="13"/>
    <m/>
    <n v="324000"/>
    <m/>
    <m/>
    <m/>
    <x v="434"/>
    <x v="1"/>
    <x v="8"/>
  </r>
  <r>
    <x v="0"/>
    <m/>
    <m/>
    <m/>
    <m/>
    <m/>
    <x v="435"/>
    <x v="1"/>
    <x v="8"/>
  </r>
  <r>
    <x v="1"/>
    <m/>
    <m/>
    <m/>
    <m/>
    <m/>
    <x v="435"/>
    <x v="1"/>
    <x v="8"/>
  </r>
  <r>
    <x v="2"/>
    <m/>
    <m/>
    <m/>
    <m/>
    <m/>
    <x v="435"/>
    <x v="1"/>
    <x v="8"/>
  </r>
  <r>
    <x v="3"/>
    <m/>
    <n v="751500"/>
    <m/>
    <m/>
    <m/>
    <x v="435"/>
    <x v="1"/>
    <x v="8"/>
  </r>
  <r>
    <x v="4"/>
    <m/>
    <m/>
    <m/>
    <m/>
    <m/>
    <x v="435"/>
    <x v="1"/>
    <x v="8"/>
  </r>
  <r>
    <x v="5"/>
    <n v="45000"/>
    <n v="265500"/>
    <m/>
    <m/>
    <m/>
    <x v="435"/>
    <x v="1"/>
    <x v="8"/>
  </r>
  <r>
    <x v="14"/>
    <m/>
    <m/>
    <m/>
    <m/>
    <m/>
    <x v="435"/>
    <x v="1"/>
    <x v="8"/>
  </r>
  <r>
    <x v="6"/>
    <m/>
    <n v="378000"/>
    <m/>
    <m/>
    <m/>
    <x v="435"/>
    <x v="1"/>
    <x v="8"/>
  </r>
  <r>
    <x v="7"/>
    <m/>
    <m/>
    <m/>
    <m/>
    <m/>
    <x v="435"/>
    <x v="1"/>
    <x v="8"/>
  </r>
  <r>
    <x v="15"/>
    <m/>
    <m/>
    <m/>
    <m/>
    <m/>
    <x v="435"/>
    <x v="1"/>
    <x v="8"/>
  </r>
  <r>
    <x v="8"/>
    <n v="162000"/>
    <m/>
    <m/>
    <m/>
    <m/>
    <x v="435"/>
    <x v="1"/>
    <x v="8"/>
  </r>
  <r>
    <x v="9"/>
    <m/>
    <m/>
    <m/>
    <m/>
    <m/>
    <x v="435"/>
    <x v="1"/>
    <x v="8"/>
  </r>
  <r>
    <x v="10"/>
    <m/>
    <m/>
    <m/>
    <m/>
    <m/>
    <x v="435"/>
    <x v="1"/>
    <x v="8"/>
  </r>
  <r>
    <x v="11"/>
    <m/>
    <m/>
    <m/>
    <m/>
    <m/>
    <x v="435"/>
    <x v="1"/>
    <x v="8"/>
  </r>
  <r>
    <x v="12"/>
    <m/>
    <m/>
    <m/>
    <m/>
    <m/>
    <x v="435"/>
    <x v="1"/>
    <x v="8"/>
  </r>
  <r>
    <x v="13"/>
    <m/>
    <n v="103500"/>
    <m/>
    <m/>
    <m/>
    <x v="435"/>
    <x v="1"/>
    <x v="8"/>
  </r>
  <r>
    <x v="0"/>
    <m/>
    <m/>
    <m/>
    <m/>
    <m/>
    <x v="436"/>
    <x v="1"/>
    <x v="8"/>
  </r>
  <r>
    <x v="1"/>
    <m/>
    <m/>
    <m/>
    <m/>
    <m/>
    <x v="436"/>
    <x v="1"/>
    <x v="8"/>
  </r>
  <r>
    <x v="2"/>
    <n v="2052000"/>
    <m/>
    <m/>
    <m/>
    <m/>
    <x v="436"/>
    <x v="1"/>
    <x v="8"/>
  </r>
  <r>
    <x v="3"/>
    <n v="45000"/>
    <n v="693000"/>
    <m/>
    <m/>
    <m/>
    <x v="436"/>
    <x v="1"/>
    <x v="8"/>
  </r>
  <r>
    <x v="4"/>
    <m/>
    <m/>
    <m/>
    <m/>
    <m/>
    <x v="436"/>
    <x v="1"/>
    <x v="8"/>
  </r>
  <r>
    <x v="5"/>
    <m/>
    <n v="108000"/>
    <m/>
    <m/>
    <m/>
    <x v="436"/>
    <x v="1"/>
    <x v="8"/>
  </r>
  <r>
    <x v="14"/>
    <m/>
    <m/>
    <m/>
    <m/>
    <m/>
    <x v="436"/>
    <x v="1"/>
    <x v="8"/>
  </r>
  <r>
    <x v="6"/>
    <m/>
    <n v="204000"/>
    <m/>
    <m/>
    <m/>
    <x v="436"/>
    <x v="1"/>
    <x v="8"/>
  </r>
  <r>
    <x v="7"/>
    <m/>
    <m/>
    <m/>
    <m/>
    <m/>
    <x v="436"/>
    <x v="1"/>
    <x v="8"/>
  </r>
  <r>
    <x v="15"/>
    <m/>
    <m/>
    <m/>
    <m/>
    <m/>
    <x v="436"/>
    <x v="1"/>
    <x v="8"/>
  </r>
  <r>
    <x v="8"/>
    <n v="270000"/>
    <m/>
    <m/>
    <m/>
    <m/>
    <x v="436"/>
    <x v="1"/>
    <x v="8"/>
  </r>
  <r>
    <x v="9"/>
    <m/>
    <m/>
    <m/>
    <m/>
    <m/>
    <x v="436"/>
    <x v="1"/>
    <x v="8"/>
  </r>
  <r>
    <x v="10"/>
    <m/>
    <m/>
    <m/>
    <m/>
    <m/>
    <x v="436"/>
    <x v="1"/>
    <x v="8"/>
  </r>
  <r>
    <x v="11"/>
    <m/>
    <m/>
    <m/>
    <m/>
    <m/>
    <x v="436"/>
    <x v="1"/>
    <x v="8"/>
  </r>
  <r>
    <x v="12"/>
    <m/>
    <m/>
    <m/>
    <m/>
    <m/>
    <x v="436"/>
    <x v="1"/>
    <x v="8"/>
  </r>
  <r>
    <x v="13"/>
    <m/>
    <n v="54000"/>
    <m/>
    <m/>
    <m/>
    <x v="436"/>
    <x v="1"/>
    <x v="8"/>
  </r>
  <r>
    <x v="0"/>
    <m/>
    <m/>
    <m/>
    <m/>
    <m/>
    <x v="437"/>
    <x v="1"/>
    <x v="8"/>
  </r>
  <r>
    <x v="1"/>
    <m/>
    <m/>
    <m/>
    <m/>
    <m/>
    <x v="437"/>
    <x v="1"/>
    <x v="8"/>
  </r>
  <r>
    <x v="2"/>
    <n v="1458000"/>
    <m/>
    <m/>
    <m/>
    <m/>
    <x v="437"/>
    <x v="1"/>
    <x v="8"/>
  </r>
  <r>
    <x v="3"/>
    <n v="90000"/>
    <n v="752000"/>
    <m/>
    <n v="108000"/>
    <m/>
    <x v="437"/>
    <x v="1"/>
    <x v="8"/>
  </r>
  <r>
    <x v="4"/>
    <m/>
    <m/>
    <m/>
    <m/>
    <m/>
    <x v="437"/>
    <x v="1"/>
    <x v="8"/>
  </r>
  <r>
    <x v="5"/>
    <m/>
    <n v="216000"/>
    <m/>
    <n v="54000"/>
    <m/>
    <x v="437"/>
    <x v="1"/>
    <x v="8"/>
  </r>
  <r>
    <x v="14"/>
    <m/>
    <m/>
    <m/>
    <m/>
    <m/>
    <x v="437"/>
    <x v="1"/>
    <x v="8"/>
  </r>
  <r>
    <x v="6"/>
    <m/>
    <n v="216000"/>
    <m/>
    <m/>
    <m/>
    <x v="437"/>
    <x v="1"/>
    <x v="8"/>
  </r>
  <r>
    <x v="7"/>
    <m/>
    <m/>
    <m/>
    <m/>
    <m/>
    <x v="437"/>
    <x v="1"/>
    <x v="8"/>
  </r>
  <r>
    <x v="15"/>
    <m/>
    <m/>
    <m/>
    <m/>
    <m/>
    <x v="437"/>
    <x v="1"/>
    <x v="8"/>
  </r>
  <r>
    <x v="8"/>
    <n v="108000"/>
    <m/>
    <m/>
    <n v="54000"/>
    <n v="270000"/>
    <x v="437"/>
    <x v="1"/>
    <x v="8"/>
  </r>
  <r>
    <x v="9"/>
    <n v="756000"/>
    <n v="320000"/>
    <m/>
    <n v="54000"/>
    <n v="540000"/>
    <x v="437"/>
    <x v="1"/>
    <x v="8"/>
  </r>
  <r>
    <x v="10"/>
    <m/>
    <m/>
    <m/>
    <m/>
    <m/>
    <x v="437"/>
    <x v="1"/>
    <x v="8"/>
  </r>
  <r>
    <x v="11"/>
    <m/>
    <m/>
    <m/>
    <m/>
    <m/>
    <x v="437"/>
    <x v="1"/>
    <x v="8"/>
  </r>
  <r>
    <x v="12"/>
    <m/>
    <m/>
    <m/>
    <m/>
    <m/>
    <x v="437"/>
    <x v="1"/>
    <x v="8"/>
  </r>
  <r>
    <x v="13"/>
    <n v="369000"/>
    <n v="216000"/>
    <n v="162000"/>
    <m/>
    <m/>
    <x v="437"/>
    <x v="1"/>
    <x v="8"/>
  </r>
  <r>
    <x v="0"/>
    <m/>
    <m/>
    <m/>
    <m/>
    <m/>
    <x v="438"/>
    <x v="1"/>
    <x v="8"/>
  </r>
  <r>
    <x v="1"/>
    <m/>
    <m/>
    <m/>
    <m/>
    <m/>
    <x v="438"/>
    <x v="1"/>
    <x v="8"/>
  </r>
  <r>
    <x v="2"/>
    <n v="45000"/>
    <n v="864000"/>
    <m/>
    <m/>
    <m/>
    <x v="438"/>
    <x v="1"/>
    <x v="8"/>
  </r>
  <r>
    <x v="3"/>
    <m/>
    <m/>
    <m/>
    <n v="324000"/>
    <m/>
    <x v="438"/>
    <x v="1"/>
    <x v="8"/>
  </r>
  <r>
    <x v="4"/>
    <m/>
    <n v="369000"/>
    <m/>
    <n v="54000"/>
    <m/>
    <x v="438"/>
    <x v="1"/>
    <x v="8"/>
  </r>
  <r>
    <x v="5"/>
    <m/>
    <m/>
    <m/>
    <n v="54000"/>
    <m/>
    <x v="438"/>
    <x v="1"/>
    <x v="8"/>
  </r>
  <r>
    <x v="14"/>
    <m/>
    <m/>
    <m/>
    <m/>
    <m/>
    <x v="438"/>
    <x v="1"/>
    <x v="8"/>
  </r>
  <r>
    <x v="6"/>
    <n v="324000"/>
    <m/>
    <n v="216000"/>
    <n v="54000"/>
    <m/>
    <x v="438"/>
    <x v="1"/>
    <x v="8"/>
  </r>
  <r>
    <x v="7"/>
    <m/>
    <m/>
    <m/>
    <m/>
    <m/>
    <x v="438"/>
    <x v="1"/>
    <x v="8"/>
  </r>
  <r>
    <x v="15"/>
    <m/>
    <m/>
    <m/>
    <m/>
    <m/>
    <x v="438"/>
    <x v="1"/>
    <x v="8"/>
  </r>
  <r>
    <x v="8"/>
    <n v="797000"/>
    <n v="410500"/>
    <m/>
    <m/>
    <n v="482000"/>
    <x v="438"/>
    <x v="1"/>
    <x v="8"/>
  </r>
  <r>
    <x v="9"/>
    <n v="797000"/>
    <m/>
    <n v="100000"/>
    <n v="54000"/>
    <n v="315000"/>
    <x v="438"/>
    <x v="1"/>
    <x v="8"/>
  </r>
  <r>
    <x v="10"/>
    <m/>
    <m/>
    <m/>
    <m/>
    <m/>
    <x v="438"/>
    <x v="1"/>
    <x v="8"/>
  </r>
  <r>
    <x v="11"/>
    <m/>
    <m/>
    <m/>
    <m/>
    <m/>
    <x v="438"/>
    <x v="1"/>
    <x v="8"/>
  </r>
  <r>
    <x v="12"/>
    <m/>
    <n v="54000"/>
    <m/>
    <n v="54000"/>
    <m/>
    <x v="438"/>
    <x v="1"/>
    <x v="8"/>
  </r>
  <r>
    <x v="13"/>
    <n v="630000"/>
    <m/>
    <n v="52000"/>
    <m/>
    <m/>
    <x v="438"/>
    <x v="1"/>
    <x v="8"/>
  </r>
  <r>
    <x v="0"/>
    <m/>
    <m/>
    <m/>
    <m/>
    <m/>
    <x v="439"/>
    <x v="1"/>
    <x v="8"/>
  </r>
  <r>
    <x v="1"/>
    <m/>
    <m/>
    <m/>
    <m/>
    <m/>
    <x v="439"/>
    <x v="1"/>
    <x v="8"/>
  </r>
  <r>
    <x v="2"/>
    <m/>
    <n v="162000"/>
    <m/>
    <m/>
    <m/>
    <x v="439"/>
    <x v="1"/>
    <x v="8"/>
  </r>
  <r>
    <x v="3"/>
    <n v="540000"/>
    <n v="378000"/>
    <m/>
    <n v="216000"/>
    <m/>
    <x v="439"/>
    <x v="1"/>
    <x v="8"/>
  </r>
  <r>
    <x v="4"/>
    <m/>
    <m/>
    <m/>
    <n v="54000"/>
    <m/>
    <x v="439"/>
    <x v="1"/>
    <x v="8"/>
  </r>
  <r>
    <x v="5"/>
    <m/>
    <n v="108000"/>
    <m/>
    <m/>
    <m/>
    <x v="439"/>
    <x v="1"/>
    <x v="8"/>
  </r>
  <r>
    <x v="14"/>
    <m/>
    <m/>
    <m/>
    <m/>
    <m/>
    <x v="439"/>
    <x v="1"/>
    <x v="8"/>
  </r>
  <r>
    <x v="6"/>
    <n v="216000"/>
    <n v="108000"/>
    <n v="100000"/>
    <n v="54000"/>
    <m/>
    <x v="439"/>
    <x v="1"/>
    <x v="8"/>
  </r>
  <r>
    <x v="7"/>
    <m/>
    <m/>
    <m/>
    <m/>
    <m/>
    <x v="439"/>
    <x v="1"/>
    <x v="8"/>
  </r>
  <r>
    <x v="15"/>
    <m/>
    <m/>
    <m/>
    <m/>
    <m/>
    <x v="439"/>
    <x v="1"/>
    <x v="8"/>
  </r>
  <r>
    <x v="8"/>
    <n v="270000"/>
    <m/>
    <m/>
    <n v="54000"/>
    <n v="248000"/>
    <x v="439"/>
    <x v="1"/>
    <x v="8"/>
  </r>
  <r>
    <x v="9"/>
    <n v="864000"/>
    <n v="162000"/>
    <n v="45000"/>
    <n v="100000"/>
    <n v="145000"/>
    <x v="439"/>
    <x v="1"/>
    <x v="8"/>
  </r>
  <r>
    <x v="10"/>
    <m/>
    <m/>
    <m/>
    <m/>
    <m/>
    <x v="439"/>
    <x v="1"/>
    <x v="8"/>
  </r>
  <r>
    <x v="11"/>
    <m/>
    <m/>
    <m/>
    <m/>
    <m/>
    <x v="439"/>
    <x v="1"/>
    <x v="8"/>
  </r>
  <r>
    <x v="12"/>
    <m/>
    <m/>
    <m/>
    <n v="54000"/>
    <m/>
    <x v="439"/>
    <x v="1"/>
    <x v="8"/>
  </r>
  <r>
    <x v="13"/>
    <n v="153000"/>
    <n v="108000"/>
    <n v="50000"/>
    <m/>
    <m/>
    <x v="439"/>
    <x v="1"/>
    <x v="8"/>
  </r>
  <r>
    <x v="0"/>
    <m/>
    <m/>
    <m/>
    <m/>
    <m/>
    <x v="440"/>
    <x v="1"/>
    <x v="8"/>
  </r>
  <r>
    <x v="1"/>
    <m/>
    <m/>
    <m/>
    <m/>
    <m/>
    <x v="440"/>
    <x v="1"/>
    <x v="8"/>
  </r>
  <r>
    <x v="2"/>
    <n v="108000"/>
    <n v="378000"/>
    <m/>
    <m/>
    <m/>
    <x v="440"/>
    <x v="1"/>
    <x v="8"/>
  </r>
  <r>
    <x v="3"/>
    <n v="1400000"/>
    <n v="864000"/>
    <m/>
    <m/>
    <m/>
    <x v="440"/>
    <x v="1"/>
    <x v="8"/>
  </r>
  <r>
    <x v="4"/>
    <m/>
    <m/>
    <m/>
    <m/>
    <m/>
    <x v="440"/>
    <x v="1"/>
    <x v="8"/>
  </r>
  <r>
    <x v="5"/>
    <m/>
    <n v="211500"/>
    <m/>
    <m/>
    <m/>
    <x v="440"/>
    <x v="1"/>
    <x v="8"/>
  </r>
  <r>
    <x v="14"/>
    <m/>
    <m/>
    <m/>
    <m/>
    <m/>
    <x v="440"/>
    <x v="1"/>
    <x v="8"/>
  </r>
  <r>
    <x v="6"/>
    <n v="261000"/>
    <n v="90000"/>
    <m/>
    <m/>
    <m/>
    <x v="440"/>
    <x v="1"/>
    <x v="8"/>
  </r>
  <r>
    <x v="7"/>
    <m/>
    <m/>
    <m/>
    <m/>
    <m/>
    <x v="440"/>
    <x v="1"/>
    <x v="8"/>
  </r>
  <r>
    <x v="15"/>
    <m/>
    <m/>
    <m/>
    <m/>
    <m/>
    <x v="440"/>
    <x v="1"/>
    <x v="8"/>
  </r>
  <r>
    <x v="8"/>
    <n v="594000"/>
    <n v="45000"/>
    <m/>
    <m/>
    <m/>
    <x v="440"/>
    <x v="1"/>
    <x v="8"/>
  </r>
  <r>
    <x v="9"/>
    <n v="851500"/>
    <n v="54000"/>
    <n v="54000"/>
    <m/>
    <m/>
    <x v="440"/>
    <x v="1"/>
    <x v="8"/>
  </r>
  <r>
    <x v="10"/>
    <m/>
    <m/>
    <m/>
    <m/>
    <m/>
    <x v="440"/>
    <x v="1"/>
    <x v="8"/>
  </r>
  <r>
    <x v="11"/>
    <m/>
    <m/>
    <m/>
    <m/>
    <m/>
    <x v="440"/>
    <x v="1"/>
    <x v="8"/>
  </r>
  <r>
    <x v="12"/>
    <m/>
    <m/>
    <m/>
    <m/>
    <m/>
    <x v="440"/>
    <x v="1"/>
    <x v="8"/>
  </r>
  <r>
    <x v="13"/>
    <n v="45000"/>
    <n v="106000"/>
    <m/>
    <m/>
    <m/>
    <x v="440"/>
    <x v="1"/>
    <x v="8"/>
  </r>
  <r>
    <x v="0"/>
    <m/>
    <m/>
    <m/>
    <m/>
    <m/>
    <x v="441"/>
    <x v="1"/>
    <x v="8"/>
  </r>
  <r>
    <x v="1"/>
    <m/>
    <m/>
    <m/>
    <m/>
    <m/>
    <x v="441"/>
    <x v="1"/>
    <x v="8"/>
  </r>
  <r>
    <x v="2"/>
    <n v="1458000"/>
    <n v="216000"/>
    <m/>
    <m/>
    <m/>
    <x v="441"/>
    <x v="1"/>
    <x v="8"/>
  </r>
  <r>
    <x v="3"/>
    <n v="857000"/>
    <n v="594000"/>
    <n v="212000"/>
    <m/>
    <m/>
    <x v="441"/>
    <x v="1"/>
    <x v="8"/>
  </r>
  <r>
    <x v="4"/>
    <m/>
    <m/>
    <m/>
    <m/>
    <m/>
    <x v="441"/>
    <x v="1"/>
    <x v="8"/>
  </r>
  <r>
    <x v="5"/>
    <m/>
    <n v="108000"/>
    <m/>
    <m/>
    <m/>
    <x v="441"/>
    <x v="1"/>
    <x v="8"/>
  </r>
  <r>
    <x v="14"/>
    <n v="54000"/>
    <m/>
    <m/>
    <m/>
    <m/>
    <x v="441"/>
    <x v="1"/>
    <x v="8"/>
  </r>
  <r>
    <x v="6"/>
    <n v="153000"/>
    <m/>
    <n v="90000"/>
    <m/>
    <m/>
    <x v="441"/>
    <x v="1"/>
    <x v="8"/>
  </r>
  <r>
    <x v="7"/>
    <m/>
    <m/>
    <m/>
    <m/>
    <m/>
    <x v="441"/>
    <x v="1"/>
    <x v="8"/>
  </r>
  <r>
    <x v="15"/>
    <m/>
    <m/>
    <m/>
    <m/>
    <m/>
    <x v="441"/>
    <x v="1"/>
    <x v="8"/>
  </r>
  <r>
    <x v="8"/>
    <n v="50000"/>
    <m/>
    <m/>
    <m/>
    <m/>
    <x v="441"/>
    <x v="1"/>
    <x v="8"/>
  </r>
  <r>
    <x v="9"/>
    <n v="45000"/>
    <n v="47500"/>
    <m/>
    <m/>
    <m/>
    <x v="441"/>
    <x v="1"/>
    <x v="8"/>
  </r>
  <r>
    <x v="10"/>
    <m/>
    <m/>
    <m/>
    <m/>
    <m/>
    <x v="441"/>
    <x v="1"/>
    <x v="8"/>
  </r>
  <r>
    <x v="11"/>
    <m/>
    <m/>
    <m/>
    <m/>
    <m/>
    <x v="441"/>
    <x v="1"/>
    <x v="8"/>
  </r>
  <r>
    <x v="12"/>
    <m/>
    <m/>
    <m/>
    <m/>
    <m/>
    <x v="441"/>
    <x v="1"/>
    <x v="8"/>
  </r>
  <r>
    <x v="13"/>
    <n v="54000"/>
    <n v="216000"/>
    <m/>
    <m/>
    <m/>
    <x v="441"/>
    <x v="1"/>
    <x v="8"/>
  </r>
  <r>
    <x v="0"/>
    <m/>
    <m/>
    <m/>
    <m/>
    <m/>
    <x v="442"/>
    <x v="1"/>
    <x v="8"/>
  </r>
  <r>
    <x v="1"/>
    <n v="270000"/>
    <m/>
    <n v="216000"/>
    <m/>
    <m/>
    <x v="442"/>
    <x v="1"/>
    <x v="8"/>
  </r>
  <r>
    <x v="2"/>
    <n v="203500"/>
    <n v="270000"/>
    <m/>
    <m/>
    <m/>
    <x v="442"/>
    <x v="1"/>
    <x v="8"/>
  </r>
  <r>
    <x v="3"/>
    <n v="149000"/>
    <n v="972000"/>
    <n v="108000"/>
    <m/>
    <m/>
    <x v="442"/>
    <x v="1"/>
    <x v="8"/>
  </r>
  <r>
    <x v="4"/>
    <m/>
    <m/>
    <m/>
    <m/>
    <m/>
    <x v="442"/>
    <x v="1"/>
    <x v="8"/>
  </r>
  <r>
    <x v="5"/>
    <n v="54000"/>
    <n v="108000"/>
    <m/>
    <m/>
    <m/>
    <x v="442"/>
    <x v="1"/>
    <x v="8"/>
  </r>
  <r>
    <x v="14"/>
    <n v="590000"/>
    <m/>
    <m/>
    <m/>
    <m/>
    <x v="442"/>
    <x v="1"/>
    <x v="8"/>
  </r>
  <r>
    <x v="6"/>
    <n v="45000"/>
    <m/>
    <m/>
    <m/>
    <m/>
    <x v="442"/>
    <x v="1"/>
    <x v="8"/>
  </r>
  <r>
    <x v="7"/>
    <m/>
    <m/>
    <m/>
    <m/>
    <m/>
    <x v="442"/>
    <x v="1"/>
    <x v="8"/>
  </r>
  <r>
    <x v="15"/>
    <m/>
    <m/>
    <m/>
    <m/>
    <m/>
    <x v="442"/>
    <x v="1"/>
    <x v="8"/>
  </r>
  <r>
    <x v="8"/>
    <n v="104000"/>
    <m/>
    <m/>
    <m/>
    <m/>
    <x v="442"/>
    <x v="1"/>
    <x v="8"/>
  </r>
  <r>
    <x v="9"/>
    <m/>
    <n v="104000"/>
    <m/>
    <m/>
    <m/>
    <x v="442"/>
    <x v="1"/>
    <x v="8"/>
  </r>
  <r>
    <x v="10"/>
    <m/>
    <m/>
    <m/>
    <m/>
    <m/>
    <x v="442"/>
    <x v="1"/>
    <x v="8"/>
  </r>
  <r>
    <x v="11"/>
    <m/>
    <m/>
    <m/>
    <m/>
    <m/>
    <x v="442"/>
    <x v="1"/>
    <x v="8"/>
  </r>
  <r>
    <x v="12"/>
    <n v="686000"/>
    <m/>
    <m/>
    <m/>
    <m/>
    <x v="442"/>
    <x v="1"/>
    <x v="8"/>
  </r>
  <r>
    <x v="13"/>
    <n v="698000"/>
    <n v="108000"/>
    <n v="536000"/>
    <m/>
    <m/>
    <x v="442"/>
    <x v="1"/>
    <x v="8"/>
  </r>
  <r>
    <x v="0"/>
    <m/>
    <m/>
    <m/>
    <m/>
    <m/>
    <x v="443"/>
    <x v="1"/>
    <x v="9"/>
  </r>
  <r>
    <x v="1"/>
    <n v="320000"/>
    <m/>
    <n v="54000"/>
    <m/>
    <m/>
    <x v="443"/>
    <x v="1"/>
    <x v="9"/>
  </r>
  <r>
    <x v="2"/>
    <n v="270000"/>
    <n v="536000"/>
    <m/>
    <m/>
    <m/>
    <x v="443"/>
    <x v="1"/>
    <x v="9"/>
  </r>
  <r>
    <x v="3"/>
    <m/>
    <n v="216000"/>
    <m/>
    <n v="432000"/>
    <m/>
    <x v="443"/>
    <x v="1"/>
    <x v="9"/>
  </r>
  <r>
    <x v="4"/>
    <m/>
    <m/>
    <m/>
    <n v="45000"/>
    <m/>
    <x v="443"/>
    <x v="1"/>
    <x v="9"/>
  </r>
  <r>
    <x v="5"/>
    <n v="486000"/>
    <n v="54000"/>
    <m/>
    <m/>
    <m/>
    <x v="443"/>
    <x v="1"/>
    <x v="9"/>
  </r>
  <r>
    <x v="14"/>
    <n v="594000"/>
    <m/>
    <m/>
    <m/>
    <m/>
    <x v="443"/>
    <x v="1"/>
    <x v="9"/>
  </r>
  <r>
    <x v="6"/>
    <m/>
    <m/>
    <m/>
    <m/>
    <m/>
    <x v="443"/>
    <x v="1"/>
    <x v="9"/>
  </r>
  <r>
    <x v="7"/>
    <m/>
    <m/>
    <m/>
    <m/>
    <m/>
    <x v="443"/>
    <x v="1"/>
    <x v="9"/>
  </r>
  <r>
    <x v="15"/>
    <m/>
    <m/>
    <m/>
    <m/>
    <m/>
    <x v="443"/>
    <x v="1"/>
    <x v="9"/>
  </r>
  <r>
    <x v="8"/>
    <n v="185000"/>
    <n v="162000"/>
    <m/>
    <m/>
    <m/>
    <x v="443"/>
    <x v="1"/>
    <x v="9"/>
  </r>
  <r>
    <x v="9"/>
    <n v="140000"/>
    <n v="54000"/>
    <m/>
    <n v="108000"/>
    <m/>
    <x v="443"/>
    <x v="1"/>
    <x v="9"/>
  </r>
  <r>
    <x v="10"/>
    <m/>
    <m/>
    <m/>
    <m/>
    <m/>
    <x v="443"/>
    <x v="1"/>
    <x v="9"/>
  </r>
  <r>
    <x v="11"/>
    <m/>
    <m/>
    <m/>
    <m/>
    <m/>
    <x v="443"/>
    <x v="1"/>
    <x v="9"/>
  </r>
  <r>
    <x v="12"/>
    <n v="162000"/>
    <m/>
    <m/>
    <n v="54000"/>
    <m/>
    <x v="443"/>
    <x v="1"/>
    <x v="9"/>
  </r>
  <r>
    <x v="13"/>
    <n v="207000"/>
    <n v="54000"/>
    <m/>
    <m/>
    <m/>
    <x v="443"/>
    <x v="1"/>
    <x v="9"/>
  </r>
  <r>
    <x v="0"/>
    <m/>
    <m/>
    <m/>
    <m/>
    <m/>
    <x v="444"/>
    <x v="1"/>
    <x v="9"/>
  </r>
  <r>
    <x v="1"/>
    <m/>
    <m/>
    <n v="270000"/>
    <m/>
    <m/>
    <x v="444"/>
    <x v="1"/>
    <x v="9"/>
  </r>
  <r>
    <x v="2"/>
    <n v="108000"/>
    <n v="324000"/>
    <m/>
    <m/>
    <m/>
    <x v="444"/>
    <x v="1"/>
    <x v="9"/>
  </r>
  <r>
    <x v="3"/>
    <m/>
    <n v="378000"/>
    <n v="45000"/>
    <m/>
    <m/>
    <x v="444"/>
    <x v="1"/>
    <x v="9"/>
  </r>
  <r>
    <x v="4"/>
    <m/>
    <m/>
    <m/>
    <m/>
    <m/>
    <x v="444"/>
    <x v="1"/>
    <x v="9"/>
  </r>
  <r>
    <x v="5"/>
    <n v="378000"/>
    <n v="256500"/>
    <m/>
    <m/>
    <m/>
    <x v="444"/>
    <x v="1"/>
    <x v="9"/>
  </r>
  <r>
    <x v="14"/>
    <n v="594000"/>
    <m/>
    <m/>
    <m/>
    <m/>
    <x v="444"/>
    <x v="1"/>
    <x v="9"/>
  </r>
  <r>
    <x v="6"/>
    <m/>
    <m/>
    <m/>
    <m/>
    <m/>
    <x v="444"/>
    <x v="1"/>
    <x v="9"/>
  </r>
  <r>
    <x v="7"/>
    <m/>
    <m/>
    <m/>
    <m/>
    <m/>
    <x v="444"/>
    <x v="1"/>
    <x v="9"/>
  </r>
  <r>
    <x v="15"/>
    <m/>
    <m/>
    <m/>
    <m/>
    <m/>
    <x v="444"/>
    <x v="1"/>
    <x v="9"/>
  </r>
  <r>
    <x v="8"/>
    <m/>
    <n v="243000"/>
    <m/>
    <m/>
    <m/>
    <x v="444"/>
    <x v="1"/>
    <x v="9"/>
  </r>
  <r>
    <x v="9"/>
    <n v="909000"/>
    <m/>
    <m/>
    <m/>
    <n v="540000"/>
    <x v="444"/>
    <x v="1"/>
    <x v="9"/>
  </r>
  <r>
    <x v="10"/>
    <m/>
    <m/>
    <m/>
    <m/>
    <m/>
    <x v="444"/>
    <x v="1"/>
    <x v="9"/>
  </r>
  <r>
    <x v="11"/>
    <m/>
    <m/>
    <m/>
    <m/>
    <m/>
    <x v="444"/>
    <x v="1"/>
    <x v="9"/>
  </r>
  <r>
    <x v="12"/>
    <m/>
    <m/>
    <n v="99500"/>
    <m/>
    <m/>
    <x v="444"/>
    <x v="1"/>
    <x v="9"/>
  </r>
  <r>
    <x v="13"/>
    <n v="369000"/>
    <n v="99000"/>
    <n v="162000"/>
    <m/>
    <m/>
    <x v="444"/>
    <x v="1"/>
    <x v="9"/>
  </r>
  <r>
    <x v="0"/>
    <m/>
    <m/>
    <m/>
    <m/>
    <m/>
    <x v="445"/>
    <x v="1"/>
    <x v="9"/>
  </r>
  <r>
    <x v="1"/>
    <m/>
    <m/>
    <n v="54000"/>
    <m/>
    <m/>
    <x v="445"/>
    <x v="1"/>
    <x v="9"/>
  </r>
  <r>
    <x v="2"/>
    <n v="54000"/>
    <n v="629000"/>
    <m/>
    <m/>
    <m/>
    <x v="445"/>
    <x v="1"/>
    <x v="9"/>
  </r>
  <r>
    <x v="3"/>
    <n v="482000"/>
    <n v="216000"/>
    <m/>
    <m/>
    <n v="50000"/>
    <x v="445"/>
    <x v="1"/>
    <x v="9"/>
  </r>
  <r>
    <x v="4"/>
    <m/>
    <m/>
    <m/>
    <m/>
    <m/>
    <x v="445"/>
    <x v="1"/>
    <x v="9"/>
  </r>
  <r>
    <x v="5"/>
    <n v="158000"/>
    <n v="216000"/>
    <m/>
    <m/>
    <m/>
    <x v="445"/>
    <x v="1"/>
    <x v="9"/>
  </r>
  <r>
    <x v="14"/>
    <n v="540000"/>
    <m/>
    <m/>
    <m/>
    <m/>
    <x v="445"/>
    <x v="1"/>
    <x v="9"/>
  </r>
  <r>
    <x v="6"/>
    <m/>
    <m/>
    <m/>
    <m/>
    <m/>
    <x v="445"/>
    <x v="1"/>
    <x v="9"/>
  </r>
  <r>
    <x v="7"/>
    <m/>
    <m/>
    <m/>
    <m/>
    <m/>
    <x v="445"/>
    <x v="1"/>
    <x v="9"/>
  </r>
  <r>
    <x v="15"/>
    <m/>
    <m/>
    <m/>
    <m/>
    <m/>
    <x v="445"/>
    <x v="1"/>
    <x v="9"/>
  </r>
  <r>
    <x v="8"/>
    <m/>
    <n v="90000"/>
    <m/>
    <m/>
    <m/>
    <x v="445"/>
    <x v="1"/>
    <x v="9"/>
  </r>
  <r>
    <x v="9"/>
    <n v="702000"/>
    <n v="162000"/>
    <m/>
    <m/>
    <n v="482000"/>
    <x v="445"/>
    <x v="1"/>
    <x v="9"/>
  </r>
  <r>
    <x v="10"/>
    <m/>
    <m/>
    <m/>
    <m/>
    <m/>
    <x v="445"/>
    <x v="1"/>
    <x v="9"/>
  </r>
  <r>
    <x v="11"/>
    <m/>
    <m/>
    <m/>
    <m/>
    <m/>
    <x v="445"/>
    <x v="1"/>
    <x v="9"/>
  </r>
  <r>
    <x v="12"/>
    <m/>
    <m/>
    <m/>
    <m/>
    <m/>
    <x v="445"/>
    <x v="1"/>
    <x v="9"/>
  </r>
  <r>
    <x v="13"/>
    <n v="324000"/>
    <n v="50000"/>
    <m/>
    <m/>
    <m/>
    <x v="445"/>
    <x v="1"/>
    <x v="9"/>
  </r>
  <r>
    <x v="0"/>
    <m/>
    <m/>
    <m/>
    <m/>
    <m/>
    <x v="446"/>
    <x v="1"/>
    <x v="9"/>
  </r>
  <r>
    <x v="1"/>
    <m/>
    <m/>
    <m/>
    <m/>
    <m/>
    <x v="446"/>
    <x v="1"/>
    <x v="9"/>
  </r>
  <r>
    <x v="2"/>
    <n v="108000"/>
    <n v="594000"/>
    <m/>
    <m/>
    <m/>
    <x v="446"/>
    <x v="1"/>
    <x v="9"/>
  </r>
  <r>
    <x v="3"/>
    <n v="270000"/>
    <m/>
    <m/>
    <m/>
    <n v="324000"/>
    <x v="446"/>
    <x v="1"/>
    <x v="9"/>
  </r>
  <r>
    <x v="4"/>
    <m/>
    <m/>
    <m/>
    <m/>
    <m/>
    <x v="446"/>
    <x v="1"/>
    <x v="9"/>
  </r>
  <r>
    <x v="5"/>
    <m/>
    <n v="162000"/>
    <m/>
    <m/>
    <m/>
    <x v="446"/>
    <x v="1"/>
    <x v="9"/>
  </r>
  <r>
    <x v="14"/>
    <n v="432000"/>
    <m/>
    <m/>
    <m/>
    <m/>
    <x v="446"/>
    <x v="1"/>
    <x v="9"/>
  </r>
  <r>
    <x v="6"/>
    <m/>
    <m/>
    <m/>
    <m/>
    <m/>
    <x v="446"/>
    <x v="1"/>
    <x v="9"/>
  </r>
  <r>
    <x v="7"/>
    <m/>
    <m/>
    <m/>
    <m/>
    <m/>
    <x v="446"/>
    <x v="1"/>
    <x v="9"/>
  </r>
  <r>
    <x v="15"/>
    <m/>
    <m/>
    <m/>
    <m/>
    <m/>
    <x v="446"/>
    <x v="1"/>
    <x v="9"/>
  </r>
  <r>
    <x v="8"/>
    <m/>
    <m/>
    <m/>
    <m/>
    <m/>
    <x v="446"/>
    <x v="1"/>
    <x v="9"/>
  </r>
  <r>
    <x v="9"/>
    <n v="810000"/>
    <n v="270000"/>
    <m/>
    <m/>
    <n v="216000"/>
    <x v="446"/>
    <x v="1"/>
    <x v="9"/>
  </r>
  <r>
    <x v="10"/>
    <m/>
    <m/>
    <m/>
    <m/>
    <m/>
    <x v="446"/>
    <x v="1"/>
    <x v="9"/>
  </r>
  <r>
    <x v="11"/>
    <m/>
    <m/>
    <m/>
    <m/>
    <m/>
    <x v="446"/>
    <x v="1"/>
    <x v="9"/>
  </r>
  <r>
    <x v="12"/>
    <n v="150000"/>
    <m/>
    <m/>
    <m/>
    <m/>
    <x v="446"/>
    <x v="1"/>
    <x v="9"/>
  </r>
  <r>
    <x v="13"/>
    <m/>
    <n v="108000"/>
    <m/>
    <m/>
    <m/>
    <x v="446"/>
    <x v="1"/>
    <x v="9"/>
  </r>
  <r>
    <x v="0"/>
    <m/>
    <m/>
    <m/>
    <m/>
    <m/>
    <x v="447"/>
    <x v="1"/>
    <x v="9"/>
  </r>
  <r>
    <x v="1"/>
    <m/>
    <m/>
    <m/>
    <m/>
    <m/>
    <x v="447"/>
    <x v="1"/>
    <x v="9"/>
  </r>
  <r>
    <x v="2"/>
    <m/>
    <n v="688500"/>
    <m/>
    <m/>
    <m/>
    <x v="447"/>
    <x v="1"/>
    <x v="9"/>
  </r>
  <r>
    <x v="3"/>
    <n v="149000"/>
    <m/>
    <m/>
    <n v="162000"/>
    <n v="424000"/>
    <x v="447"/>
    <x v="1"/>
    <x v="9"/>
  </r>
  <r>
    <x v="4"/>
    <m/>
    <m/>
    <m/>
    <n v="54000"/>
    <m/>
    <x v="447"/>
    <x v="1"/>
    <x v="9"/>
  </r>
  <r>
    <x v="5"/>
    <m/>
    <m/>
    <m/>
    <m/>
    <m/>
    <x v="447"/>
    <x v="1"/>
    <x v="9"/>
  </r>
  <r>
    <x v="14"/>
    <n v="540000"/>
    <m/>
    <m/>
    <m/>
    <m/>
    <x v="447"/>
    <x v="1"/>
    <x v="9"/>
  </r>
  <r>
    <x v="6"/>
    <m/>
    <n v="45000"/>
    <n v="45000"/>
    <m/>
    <m/>
    <x v="447"/>
    <x v="1"/>
    <x v="9"/>
  </r>
  <r>
    <x v="7"/>
    <m/>
    <m/>
    <m/>
    <m/>
    <m/>
    <x v="447"/>
    <x v="1"/>
    <x v="9"/>
  </r>
  <r>
    <x v="15"/>
    <m/>
    <m/>
    <m/>
    <m/>
    <m/>
    <x v="447"/>
    <x v="1"/>
    <x v="9"/>
  </r>
  <r>
    <x v="8"/>
    <m/>
    <m/>
    <m/>
    <n v="54000"/>
    <m/>
    <x v="447"/>
    <x v="1"/>
    <x v="9"/>
  </r>
  <r>
    <x v="9"/>
    <n v="1565500"/>
    <n v="486000"/>
    <m/>
    <n v="54000"/>
    <n v="108000"/>
    <x v="447"/>
    <x v="1"/>
    <x v="9"/>
  </r>
  <r>
    <x v="10"/>
    <m/>
    <m/>
    <m/>
    <m/>
    <m/>
    <x v="447"/>
    <x v="1"/>
    <x v="9"/>
  </r>
  <r>
    <x v="11"/>
    <m/>
    <m/>
    <m/>
    <m/>
    <m/>
    <x v="447"/>
    <x v="1"/>
    <x v="9"/>
  </r>
  <r>
    <x v="12"/>
    <m/>
    <m/>
    <n v="50000"/>
    <n v="108000"/>
    <m/>
    <x v="447"/>
    <x v="1"/>
    <x v="9"/>
  </r>
  <r>
    <x v="13"/>
    <m/>
    <m/>
    <m/>
    <m/>
    <m/>
    <x v="447"/>
    <x v="1"/>
    <x v="9"/>
  </r>
  <r>
    <x v="0"/>
    <m/>
    <m/>
    <m/>
    <m/>
    <m/>
    <x v="448"/>
    <x v="1"/>
    <x v="9"/>
  </r>
  <r>
    <x v="1"/>
    <m/>
    <m/>
    <m/>
    <m/>
    <m/>
    <x v="448"/>
    <x v="1"/>
    <x v="9"/>
  </r>
  <r>
    <x v="2"/>
    <n v="783000"/>
    <n v="747500"/>
    <m/>
    <m/>
    <m/>
    <x v="448"/>
    <x v="1"/>
    <x v="9"/>
  </r>
  <r>
    <x v="3"/>
    <m/>
    <m/>
    <n v="135000"/>
    <n v="320000"/>
    <n v="50000"/>
    <x v="448"/>
    <x v="1"/>
    <x v="9"/>
  </r>
  <r>
    <x v="4"/>
    <m/>
    <m/>
    <m/>
    <m/>
    <m/>
    <x v="448"/>
    <x v="1"/>
    <x v="9"/>
  </r>
  <r>
    <x v="5"/>
    <m/>
    <m/>
    <m/>
    <n v="54000"/>
    <m/>
    <x v="448"/>
    <x v="1"/>
    <x v="9"/>
  </r>
  <r>
    <x v="14"/>
    <n v="162000"/>
    <m/>
    <m/>
    <m/>
    <m/>
    <x v="448"/>
    <x v="1"/>
    <x v="9"/>
  </r>
  <r>
    <x v="6"/>
    <m/>
    <m/>
    <m/>
    <m/>
    <m/>
    <x v="448"/>
    <x v="1"/>
    <x v="9"/>
  </r>
  <r>
    <x v="7"/>
    <m/>
    <m/>
    <m/>
    <m/>
    <m/>
    <x v="448"/>
    <x v="1"/>
    <x v="9"/>
  </r>
  <r>
    <x v="15"/>
    <m/>
    <m/>
    <m/>
    <m/>
    <m/>
    <x v="448"/>
    <x v="1"/>
    <x v="9"/>
  </r>
  <r>
    <x v="8"/>
    <m/>
    <m/>
    <m/>
    <m/>
    <m/>
    <x v="448"/>
    <x v="1"/>
    <x v="9"/>
  </r>
  <r>
    <x v="9"/>
    <n v="419500"/>
    <n v="594000"/>
    <m/>
    <n v="108000"/>
    <n v="324000"/>
    <x v="448"/>
    <x v="1"/>
    <x v="9"/>
  </r>
  <r>
    <x v="10"/>
    <m/>
    <m/>
    <m/>
    <m/>
    <m/>
    <x v="448"/>
    <x v="1"/>
    <x v="9"/>
  </r>
  <r>
    <x v="11"/>
    <m/>
    <m/>
    <m/>
    <m/>
    <m/>
    <x v="448"/>
    <x v="1"/>
    <x v="9"/>
  </r>
  <r>
    <x v="12"/>
    <m/>
    <m/>
    <n v="50000"/>
    <n v="54000"/>
    <m/>
    <x v="448"/>
    <x v="1"/>
    <x v="9"/>
  </r>
  <r>
    <x v="13"/>
    <m/>
    <m/>
    <m/>
    <m/>
    <m/>
    <x v="448"/>
    <x v="1"/>
    <x v="9"/>
  </r>
  <r>
    <x v="0"/>
    <m/>
    <m/>
    <m/>
    <m/>
    <m/>
    <x v="449"/>
    <x v="1"/>
    <x v="9"/>
  </r>
  <r>
    <x v="1"/>
    <m/>
    <m/>
    <m/>
    <m/>
    <m/>
    <x v="449"/>
    <x v="1"/>
    <x v="9"/>
  </r>
  <r>
    <x v="2"/>
    <n v="313500"/>
    <n v="698000"/>
    <m/>
    <m/>
    <m/>
    <x v="449"/>
    <x v="1"/>
    <x v="9"/>
  </r>
  <r>
    <x v="3"/>
    <n v="153000"/>
    <m/>
    <m/>
    <n v="216000"/>
    <n v="50000"/>
    <x v="449"/>
    <x v="1"/>
    <x v="9"/>
  </r>
  <r>
    <x v="4"/>
    <m/>
    <m/>
    <m/>
    <m/>
    <m/>
    <x v="449"/>
    <x v="1"/>
    <x v="9"/>
  </r>
  <r>
    <x v="5"/>
    <m/>
    <m/>
    <m/>
    <n v="107000"/>
    <m/>
    <x v="449"/>
    <x v="1"/>
    <x v="9"/>
  </r>
  <r>
    <x v="14"/>
    <n v="162000"/>
    <m/>
    <m/>
    <m/>
    <m/>
    <x v="449"/>
    <x v="1"/>
    <x v="9"/>
  </r>
  <r>
    <x v="6"/>
    <m/>
    <n v="45000"/>
    <m/>
    <m/>
    <m/>
    <x v="449"/>
    <x v="1"/>
    <x v="9"/>
  </r>
  <r>
    <x v="7"/>
    <m/>
    <m/>
    <m/>
    <m/>
    <m/>
    <x v="449"/>
    <x v="1"/>
    <x v="9"/>
  </r>
  <r>
    <x v="15"/>
    <m/>
    <m/>
    <m/>
    <m/>
    <m/>
    <x v="449"/>
    <x v="1"/>
    <x v="9"/>
  </r>
  <r>
    <x v="8"/>
    <m/>
    <m/>
    <m/>
    <m/>
    <m/>
    <x v="449"/>
    <x v="1"/>
    <x v="9"/>
  </r>
  <r>
    <x v="9"/>
    <n v="320000"/>
    <n v="378000"/>
    <m/>
    <n v="157500"/>
    <n v="45000"/>
    <x v="449"/>
    <x v="1"/>
    <x v="9"/>
  </r>
  <r>
    <x v="10"/>
    <m/>
    <m/>
    <m/>
    <m/>
    <m/>
    <x v="449"/>
    <x v="1"/>
    <x v="9"/>
  </r>
  <r>
    <x v="11"/>
    <m/>
    <m/>
    <m/>
    <m/>
    <m/>
    <x v="449"/>
    <x v="1"/>
    <x v="9"/>
  </r>
  <r>
    <x v="12"/>
    <m/>
    <m/>
    <m/>
    <n v="54000"/>
    <m/>
    <x v="449"/>
    <x v="1"/>
    <x v="9"/>
  </r>
  <r>
    <x v="13"/>
    <n v="45000"/>
    <m/>
    <m/>
    <m/>
    <m/>
    <x v="449"/>
    <x v="1"/>
    <x v="9"/>
  </r>
  <r>
    <x v="0"/>
    <m/>
    <m/>
    <m/>
    <m/>
    <m/>
    <x v="450"/>
    <x v="1"/>
    <x v="9"/>
  </r>
  <r>
    <x v="1"/>
    <m/>
    <m/>
    <m/>
    <m/>
    <m/>
    <x v="450"/>
    <x v="1"/>
    <x v="9"/>
  </r>
  <r>
    <x v="2"/>
    <n v="864000"/>
    <n v="378000"/>
    <m/>
    <m/>
    <m/>
    <x v="450"/>
    <x v="1"/>
    <x v="9"/>
  </r>
  <r>
    <x v="3"/>
    <m/>
    <m/>
    <m/>
    <m/>
    <n v="50000"/>
    <x v="450"/>
    <x v="1"/>
    <x v="9"/>
  </r>
  <r>
    <x v="4"/>
    <m/>
    <n v="693000"/>
    <m/>
    <m/>
    <m/>
    <x v="450"/>
    <x v="1"/>
    <x v="9"/>
  </r>
  <r>
    <x v="5"/>
    <n v="135000"/>
    <m/>
    <m/>
    <m/>
    <m/>
    <x v="450"/>
    <x v="1"/>
    <x v="9"/>
  </r>
  <r>
    <x v="14"/>
    <m/>
    <m/>
    <m/>
    <m/>
    <m/>
    <x v="450"/>
    <x v="1"/>
    <x v="9"/>
  </r>
  <r>
    <x v="6"/>
    <m/>
    <m/>
    <n v="45000"/>
    <m/>
    <m/>
    <x v="450"/>
    <x v="1"/>
    <x v="9"/>
  </r>
  <r>
    <x v="7"/>
    <m/>
    <m/>
    <m/>
    <m/>
    <m/>
    <x v="450"/>
    <x v="1"/>
    <x v="9"/>
  </r>
  <r>
    <x v="15"/>
    <m/>
    <m/>
    <m/>
    <m/>
    <m/>
    <x v="450"/>
    <x v="1"/>
    <x v="9"/>
  </r>
  <r>
    <x v="8"/>
    <n v="104000"/>
    <m/>
    <m/>
    <m/>
    <m/>
    <x v="450"/>
    <x v="1"/>
    <x v="9"/>
  </r>
  <r>
    <x v="9"/>
    <n v="216000"/>
    <m/>
    <m/>
    <m/>
    <n v="45000"/>
    <x v="450"/>
    <x v="1"/>
    <x v="9"/>
  </r>
  <r>
    <x v="10"/>
    <m/>
    <m/>
    <m/>
    <m/>
    <m/>
    <x v="450"/>
    <x v="1"/>
    <x v="9"/>
  </r>
  <r>
    <x v="11"/>
    <m/>
    <m/>
    <m/>
    <m/>
    <m/>
    <x v="450"/>
    <x v="1"/>
    <x v="9"/>
  </r>
  <r>
    <x v="12"/>
    <m/>
    <m/>
    <m/>
    <m/>
    <m/>
    <x v="450"/>
    <x v="1"/>
    <x v="9"/>
  </r>
  <r>
    <x v="13"/>
    <m/>
    <m/>
    <m/>
    <m/>
    <m/>
    <x v="450"/>
    <x v="1"/>
    <x v="9"/>
  </r>
  <r>
    <x v="0"/>
    <m/>
    <m/>
    <m/>
    <m/>
    <m/>
    <x v="451"/>
    <x v="1"/>
    <x v="9"/>
  </r>
  <r>
    <x v="1"/>
    <m/>
    <m/>
    <m/>
    <m/>
    <m/>
    <x v="451"/>
    <x v="1"/>
    <x v="9"/>
  </r>
  <r>
    <x v="2"/>
    <n v="792500"/>
    <n v="49500"/>
    <m/>
    <m/>
    <m/>
    <x v="451"/>
    <x v="1"/>
    <x v="9"/>
  </r>
  <r>
    <x v="3"/>
    <m/>
    <m/>
    <m/>
    <n v="270000"/>
    <n v="50000"/>
    <x v="451"/>
    <x v="1"/>
    <x v="9"/>
  </r>
  <r>
    <x v="4"/>
    <m/>
    <n v="864000"/>
    <m/>
    <m/>
    <m/>
    <x v="451"/>
    <x v="1"/>
    <x v="9"/>
  </r>
  <r>
    <x v="5"/>
    <m/>
    <m/>
    <m/>
    <m/>
    <m/>
    <x v="451"/>
    <x v="1"/>
    <x v="9"/>
  </r>
  <r>
    <x v="14"/>
    <m/>
    <m/>
    <m/>
    <m/>
    <m/>
    <x v="451"/>
    <x v="1"/>
    <x v="9"/>
  </r>
  <r>
    <x v="6"/>
    <m/>
    <n v="45000"/>
    <m/>
    <n v="108000"/>
    <m/>
    <x v="451"/>
    <x v="1"/>
    <x v="9"/>
  </r>
  <r>
    <x v="7"/>
    <m/>
    <m/>
    <m/>
    <m/>
    <m/>
    <x v="451"/>
    <x v="1"/>
    <x v="9"/>
  </r>
  <r>
    <x v="15"/>
    <m/>
    <m/>
    <m/>
    <m/>
    <m/>
    <x v="451"/>
    <x v="1"/>
    <x v="9"/>
  </r>
  <r>
    <x v="8"/>
    <n v="918000"/>
    <n v="864000"/>
    <m/>
    <m/>
    <m/>
    <x v="451"/>
    <x v="1"/>
    <x v="9"/>
  </r>
  <r>
    <x v="9"/>
    <n v="45000"/>
    <n v="108000"/>
    <m/>
    <n v="108000"/>
    <n v="45000"/>
    <x v="451"/>
    <x v="1"/>
    <x v="9"/>
  </r>
  <r>
    <x v="10"/>
    <m/>
    <m/>
    <m/>
    <m/>
    <m/>
    <x v="451"/>
    <x v="1"/>
    <x v="9"/>
  </r>
  <r>
    <x v="11"/>
    <m/>
    <m/>
    <m/>
    <m/>
    <m/>
    <x v="451"/>
    <x v="1"/>
    <x v="9"/>
  </r>
  <r>
    <x v="12"/>
    <m/>
    <m/>
    <m/>
    <m/>
    <m/>
    <x v="451"/>
    <x v="1"/>
    <x v="9"/>
  </r>
  <r>
    <x v="13"/>
    <n v="49500"/>
    <m/>
    <m/>
    <m/>
    <m/>
    <x v="451"/>
    <x v="1"/>
    <x v="9"/>
  </r>
  <r>
    <x v="0"/>
    <m/>
    <m/>
    <m/>
    <m/>
    <m/>
    <x v="452"/>
    <x v="1"/>
    <x v="9"/>
  </r>
  <r>
    <x v="1"/>
    <m/>
    <m/>
    <m/>
    <m/>
    <m/>
    <x v="452"/>
    <x v="1"/>
    <x v="9"/>
  </r>
  <r>
    <x v="2"/>
    <n v="316000"/>
    <n v="54000"/>
    <m/>
    <m/>
    <m/>
    <x v="452"/>
    <x v="1"/>
    <x v="9"/>
  </r>
  <r>
    <x v="3"/>
    <m/>
    <n v="90000"/>
    <m/>
    <n v="104000"/>
    <m/>
    <x v="452"/>
    <x v="1"/>
    <x v="9"/>
  </r>
  <r>
    <x v="4"/>
    <m/>
    <n v="1021500"/>
    <m/>
    <m/>
    <m/>
    <x v="452"/>
    <x v="1"/>
    <x v="9"/>
  </r>
  <r>
    <x v="5"/>
    <m/>
    <m/>
    <m/>
    <m/>
    <m/>
    <x v="452"/>
    <x v="1"/>
    <x v="9"/>
  </r>
  <r>
    <x v="14"/>
    <m/>
    <m/>
    <m/>
    <m/>
    <m/>
    <x v="452"/>
    <x v="1"/>
    <x v="9"/>
  </r>
  <r>
    <x v="6"/>
    <m/>
    <m/>
    <m/>
    <n v="162000"/>
    <m/>
    <x v="452"/>
    <x v="1"/>
    <x v="9"/>
  </r>
  <r>
    <x v="7"/>
    <m/>
    <m/>
    <m/>
    <m/>
    <m/>
    <x v="452"/>
    <x v="1"/>
    <x v="9"/>
  </r>
  <r>
    <x v="15"/>
    <m/>
    <m/>
    <m/>
    <m/>
    <m/>
    <x v="452"/>
    <x v="1"/>
    <x v="9"/>
  </r>
  <r>
    <x v="8"/>
    <n v="917500"/>
    <n v="306000"/>
    <m/>
    <m/>
    <m/>
    <x v="452"/>
    <x v="1"/>
    <x v="9"/>
  </r>
  <r>
    <x v="9"/>
    <n v="54000"/>
    <m/>
    <m/>
    <m/>
    <m/>
    <x v="452"/>
    <x v="1"/>
    <x v="9"/>
  </r>
  <r>
    <x v="10"/>
    <m/>
    <m/>
    <m/>
    <m/>
    <m/>
    <x v="452"/>
    <x v="1"/>
    <x v="9"/>
  </r>
  <r>
    <x v="11"/>
    <m/>
    <m/>
    <m/>
    <m/>
    <m/>
    <x v="452"/>
    <x v="1"/>
    <x v="9"/>
  </r>
  <r>
    <x v="12"/>
    <m/>
    <m/>
    <m/>
    <m/>
    <m/>
    <x v="452"/>
    <x v="1"/>
    <x v="9"/>
  </r>
  <r>
    <x v="13"/>
    <m/>
    <m/>
    <m/>
    <m/>
    <m/>
    <x v="452"/>
    <x v="1"/>
    <x v="9"/>
  </r>
  <r>
    <x v="0"/>
    <m/>
    <m/>
    <m/>
    <m/>
    <m/>
    <x v="453"/>
    <x v="1"/>
    <x v="9"/>
  </r>
  <r>
    <x v="1"/>
    <n v="108000"/>
    <m/>
    <m/>
    <m/>
    <m/>
    <x v="453"/>
    <x v="1"/>
    <x v="9"/>
  </r>
  <r>
    <x v="2"/>
    <n v="54000"/>
    <m/>
    <m/>
    <m/>
    <m/>
    <x v="453"/>
    <x v="1"/>
    <x v="9"/>
  </r>
  <r>
    <x v="3"/>
    <m/>
    <m/>
    <m/>
    <m/>
    <m/>
    <x v="453"/>
    <x v="1"/>
    <x v="9"/>
  </r>
  <r>
    <x v="4"/>
    <m/>
    <n v="216000"/>
    <m/>
    <m/>
    <m/>
    <x v="453"/>
    <x v="1"/>
    <x v="9"/>
  </r>
  <r>
    <x v="5"/>
    <m/>
    <m/>
    <m/>
    <m/>
    <m/>
    <x v="453"/>
    <x v="1"/>
    <x v="9"/>
  </r>
  <r>
    <x v="14"/>
    <m/>
    <m/>
    <m/>
    <m/>
    <m/>
    <x v="453"/>
    <x v="1"/>
    <x v="9"/>
  </r>
  <r>
    <x v="6"/>
    <m/>
    <m/>
    <m/>
    <m/>
    <m/>
    <x v="453"/>
    <x v="1"/>
    <x v="9"/>
  </r>
  <r>
    <x v="7"/>
    <m/>
    <n v="108000"/>
    <m/>
    <m/>
    <m/>
    <x v="453"/>
    <x v="1"/>
    <x v="9"/>
  </r>
  <r>
    <x v="15"/>
    <m/>
    <m/>
    <m/>
    <m/>
    <m/>
    <x v="453"/>
    <x v="1"/>
    <x v="9"/>
  </r>
  <r>
    <x v="8"/>
    <n v="54000"/>
    <n v="594000"/>
    <m/>
    <m/>
    <m/>
    <x v="453"/>
    <x v="1"/>
    <x v="9"/>
  </r>
  <r>
    <x v="9"/>
    <m/>
    <m/>
    <m/>
    <m/>
    <n v="194000"/>
    <x v="453"/>
    <x v="1"/>
    <x v="9"/>
  </r>
  <r>
    <x v="10"/>
    <m/>
    <m/>
    <m/>
    <m/>
    <m/>
    <x v="453"/>
    <x v="1"/>
    <x v="9"/>
  </r>
  <r>
    <x v="11"/>
    <m/>
    <m/>
    <m/>
    <m/>
    <m/>
    <x v="453"/>
    <x v="1"/>
    <x v="9"/>
  </r>
  <r>
    <x v="12"/>
    <m/>
    <m/>
    <m/>
    <m/>
    <m/>
    <x v="453"/>
    <x v="1"/>
    <x v="9"/>
  </r>
  <r>
    <x v="13"/>
    <m/>
    <m/>
    <m/>
    <m/>
    <m/>
    <x v="453"/>
    <x v="1"/>
    <x v="9"/>
  </r>
  <r>
    <x v="0"/>
    <m/>
    <m/>
    <m/>
    <m/>
    <m/>
    <x v="454"/>
    <x v="1"/>
    <x v="9"/>
  </r>
  <r>
    <x v="1"/>
    <m/>
    <m/>
    <m/>
    <m/>
    <m/>
    <x v="454"/>
    <x v="1"/>
    <x v="9"/>
  </r>
  <r>
    <x v="2"/>
    <m/>
    <m/>
    <m/>
    <m/>
    <m/>
    <x v="454"/>
    <x v="1"/>
    <x v="9"/>
  </r>
  <r>
    <x v="3"/>
    <m/>
    <n v="45000"/>
    <m/>
    <m/>
    <m/>
    <x v="454"/>
    <x v="1"/>
    <x v="9"/>
  </r>
  <r>
    <x v="4"/>
    <m/>
    <n v="54000"/>
    <m/>
    <m/>
    <m/>
    <x v="454"/>
    <x v="1"/>
    <x v="9"/>
  </r>
  <r>
    <x v="5"/>
    <m/>
    <m/>
    <m/>
    <m/>
    <m/>
    <x v="454"/>
    <x v="1"/>
    <x v="9"/>
  </r>
  <r>
    <x v="14"/>
    <m/>
    <m/>
    <m/>
    <m/>
    <m/>
    <x v="454"/>
    <x v="1"/>
    <x v="9"/>
  </r>
  <r>
    <x v="6"/>
    <n v="747500"/>
    <m/>
    <m/>
    <m/>
    <n v="261000"/>
    <x v="454"/>
    <x v="1"/>
    <x v="9"/>
  </r>
  <r>
    <x v="7"/>
    <m/>
    <n v="212000"/>
    <m/>
    <m/>
    <m/>
    <x v="454"/>
    <x v="1"/>
    <x v="9"/>
  </r>
  <r>
    <x v="15"/>
    <m/>
    <m/>
    <m/>
    <m/>
    <m/>
    <x v="454"/>
    <x v="1"/>
    <x v="9"/>
  </r>
  <r>
    <x v="8"/>
    <m/>
    <n v="378000"/>
    <m/>
    <m/>
    <m/>
    <x v="454"/>
    <x v="1"/>
    <x v="9"/>
  </r>
  <r>
    <x v="9"/>
    <m/>
    <n v="792000"/>
    <m/>
    <m/>
    <m/>
    <x v="454"/>
    <x v="1"/>
    <x v="9"/>
  </r>
  <r>
    <x v="10"/>
    <m/>
    <m/>
    <m/>
    <m/>
    <m/>
    <x v="454"/>
    <x v="1"/>
    <x v="9"/>
  </r>
  <r>
    <x v="11"/>
    <m/>
    <m/>
    <m/>
    <m/>
    <m/>
    <x v="454"/>
    <x v="1"/>
    <x v="9"/>
  </r>
  <r>
    <x v="12"/>
    <m/>
    <m/>
    <m/>
    <m/>
    <m/>
    <x v="454"/>
    <x v="1"/>
    <x v="9"/>
  </r>
  <r>
    <x v="13"/>
    <m/>
    <m/>
    <m/>
    <m/>
    <m/>
    <x v="454"/>
    <x v="1"/>
    <x v="9"/>
  </r>
  <r>
    <x v="0"/>
    <m/>
    <m/>
    <m/>
    <m/>
    <m/>
    <x v="455"/>
    <x v="1"/>
    <x v="9"/>
  </r>
  <r>
    <x v="1"/>
    <m/>
    <m/>
    <m/>
    <m/>
    <m/>
    <x v="455"/>
    <x v="1"/>
    <x v="9"/>
  </r>
  <r>
    <x v="2"/>
    <m/>
    <m/>
    <m/>
    <m/>
    <m/>
    <x v="455"/>
    <x v="1"/>
    <x v="9"/>
  </r>
  <r>
    <x v="3"/>
    <m/>
    <m/>
    <m/>
    <n v="324000"/>
    <m/>
    <x v="455"/>
    <x v="1"/>
    <x v="9"/>
  </r>
  <r>
    <x v="4"/>
    <m/>
    <m/>
    <m/>
    <m/>
    <m/>
    <x v="455"/>
    <x v="1"/>
    <x v="9"/>
  </r>
  <r>
    <x v="5"/>
    <m/>
    <m/>
    <m/>
    <m/>
    <m/>
    <x v="455"/>
    <x v="1"/>
    <x v="9"/>
  </r>
  <r>
    <x v="14"/>
    <m/>
    <m/>
    <m/>
    <m/>
    <m/>
    <x v="455"/>
    <x v="1"/>
    <x v="9"/>
  </r>
  <r>
    <x v="6"/>
    <m/>
    <m/>
    <m/>
    <m/>
    <n v="90000"/>
    <x v="455"/>
    <x v="1"/>
    <x v="9"/>
  </r>
  <r>
    <x v="7"/>
    <m/>
    <m/>
    <m/>
    <m/>
    <m/>
    <x v="455"/>
    <x v="1"/>
    <x v="9"/>
  </r>
  <r>
    <x v="15"/>
    <m/>
    <m/>
    <m/>
    <m/>
    <m/>
    <x v="455"/>
    <x v="1"/>
    <x v="9"/>
  </r>
  <r>
    <x v="8"/>
    <m/>
    <n v="216000"/>
    <m/>
    <m/>
    <m/>
    <x v="455"/>
    <x v="1"/>
    <x v="9"/>
  </r>
  <r>
    <x v="9"/>
    <m/>
    <n v="378000"/>
    <m/>
    <n v="54000"/>
    <m/>
    <x v="455"/>
    <x v="1"/>
    <x v="9"/>
  </r>
  <r>
    <x v="10"/>
    <m/>
    <m/>
    <m/>
    <m/>
    <m/>
    <x v="455"/>
    <x v="1"/>
    <x v="9"/>
  </r>
  <r>
    <x v="11"/>
    <m/>
    <m/>
    <m/>
    <m/>
    <m/>
    <x v="455"/>
    <x v="1"/>
    <x v="9"/>
  </r>
  <r>
    <x v="12"/>
    <m/>
    <m/>
    <m/>
    <m/>
    <m/>
    <x v="455"/>
    <x v="1"/>
    <x v="9"/>
  </r>
  <r>
    <x v="13"/>
    <n v="1609000"/>
    <n v="594000"/>
    <m/>
    <n v="54000"/>
    <n v="365000"/>
    <x v="455"/>
    <x v="1"/>
    <x v="9"/>
  </r>
  <r>
    <x v="0"/>
    <m/>
    <m/>
    <m/>
    <m/>
    <m/>
    <x v="456"/>
    <x v="1"/>
    <x v="9"/>
  </r>
  <r>
    <x v="1"/>
    <m/>
    <m/>
    <m/>
    <m/>
    <m/>
    <x v="456"/>
    <x v="1"/>
    <x v="9"/>
  </r>
  <r>
    <x v="2"/>
    <m/>
    <m/>
    <m/>
    <m/>
    <m/>
    <x v="456"/>
    <x v="1"/>
    <x v="9"/>
  </r>
  <r>
    <x v="3"/>
    <n v="1611000"/>
    <m/>
    <m/>
    <m/>
    <n v="432000"/>
    <x v="456"/>
    <x v="1"/>
    <x v="9"/>
  </r>
  <r>
    <x v="4"/>
    <m/>
    <m/>
    <m/>
    <m/>
    <m/>
    <x v="456"/>
    <x v="1"/>
    <x v="9"/>
  </r>
  <r>
    <x v="5"/>
    <m/>
    <m/>
    <m/>
    <m/>
    <m/>
    <x v="456"/>
    <x v="1"/>
    <x v="9"/>
  </r>
  <r>
    <x v="14"/>
    <m/>
    <m/>
    <m/>
    <m/>
    <m/>
    <x v="456"/>
    <x v="1"/>
    <x v="9"/>
  </r>
  <r>
    <x v="6"/>
    <n v="50000"/>
    <m/>
    <m/>
    <n v="108000"/>
    <m/>
    <x v="456"/>
    <x v="1"/>
    <x v="9"/>
  </r>
  <r>
    <x v="7"/>
    <m/>
    <m/>
    <m/>
    <m/>
    <m/>
    <x v="456"/>
    <x v="1"/>
    <x v="9"/>
  </r>
  <r>
    <x v="15"/>
    <m/>
    <m/>
    <m/>
    <m/>
    <m/>
    <x v="456"/>
    <x v="1"/>
    <x v="9"/>
  </r>
  <r>
    <x v="8"/>
    <m/>
    <m/>
    <m/>
    <m/>
    <m/>
    <x v="456"/>
    <x v="1"/>
    <x v="9"/>
  </r>
  <r>
    <x v="9"/>
    <m/>
    <n v="486000"/>
    <m/>
    <n v="50000"/>
    <m/>
    <x v="456"/>
    <x v="1"/>
    <x v="9"/>
  </r>
  <r>
    <x v="10"/>
    <m/>
    <m/>
    <m/>
    <m/>
    <m/>
    <x v="456"/>
    <x v="1"/>
    <x v="9"/>
  </r>
  <r>
    <x v="11"/>
    <m/>
    <m/>
    <m/>
    <m/>
    <m/>
    <x v="456"/>
    <x v="1"/>
    <x v="9"/>
  </r>
  <r>
    <x v="12"/>
    <m/>
    <m/>
    <m/>
    <m/>
    <m/>
    <x v="456"/>
    <x v="1"/>
    <x v="9"/>
  </r>
  <r>
    <x v="13"/>
    <n v="162000"/>
    <n v="430000"/>
    <m/>
    <n v="54000"/>
    <n v="90000"/>
    <x v="456"/>
    <x v="1"/>
    <x v="9"/>
  </r>
  <r>
    <x v="0"/>
    <m/>
    <m/>
    <m/>
    <m/>
    <m/>
    <x v="457"/>
    <x v="1"/>
    <x v="9"/>
  </r>
  <r>
    <x v="1"/>
    <m/>
    <m/>
    <m/>
    <m/>
    <m/>
    <x v="457"/>
    <x v="1"/>
    <x v="9"/>
  </r>
  <r>
    <x v="2"/>
    <m/>
    <n v="49500"/>
    <m/>
    <m/>
    <m/>
    <x v="457"/>
    <x v="1"/>
    <x v="9"/>
  </r>
  <r>
    <x v="3"/>
    <n v="2259000"/>
    <m/>
    <m/>
    <m/>
    <n v="689000"/>
    <x v="457"/>
    <x v="1"/>
    <x v="9"/>
  </r>
  <r>
    <x v="4"/>
    <m/>
    <m/>
    <m/>
    <n v="90000"/>
    <m/>
    <x v="457"/>
    <x v="1"/>
    <x v="9"/>
  </r>
  <r>
    <x v="5"/>
    <m/>
    <m/>
    <m/>
    <m/>
    <m/>
    <x v="457"/>
    <x v="1"/>
    <x v="9"/>
  </r>
  <r>
    <x v="14"/>
    <m/>
    <m/>
    <m/>
    <m/>
    <m/>
    <x v="457"/>
    <x v="1"/>
    <x v="9"/>
  </r>
  <r>
    <x v="6"/>
    <m/>
    <m/>
    <m/>
    <n v="162000"/>
    <n v="47000"/>
    <x v="457"/>
    <x v="1"/>
    <x v="9"/>
  </r>
  <r>
    <x v="7"/>
    <m/>
    <m/>
    <m/>
    <m/>
    <m/>
    <x v="457"/>
    <x v="1"/>
    <x v="9"/>
  </r>
  <r>
    <x v="15"/>
    <m/>
    <m/>
    <m/>
    <m/>
    <m/>
    <x v="457"/>
    <x v="1"/>
    <x v="9"/>
  </r>
  <r>
    <x v="8"/>
    <m/>
    <m/>
    <m/>
    <m/>
    <m/>
    <x v="457"/>
    <x v="1"/>
    <x v="9"/>
  </r>
  <r>
    <x v="9"/>
    <m/>
    <n v="540000"/>
    <m/>
    <m/>
    <m/>
    <x v="457"/>
    <x v="1"/>
    <x v="9"/>
  </r>
  <r>
    <x v="10"/>
    <m/>
    <m/>
    <m/>
    <m/>
    <m/>
    <x v="457"/>
    <x v="1"/>
    <x v="9"/>
  </r>
  <r>
    <x v="11"/>
    <m/>
    <m/>
    <m/>
    <m/>
    <m/>
    <x v="457"/>
    <x v="1"/>
    <x v="9"/>
  </r>
  <r>
    <x v="12"/>
    <m/>
    <m/>
    <m/>
    <m/>
    <m/>
    <x v="457"/>
    <x v="1"/>
    <x v="9"/>
  </r>
  <r>
    <x v="13"/>
    <n v="162000"/>
    <n v="108000"/>
    <m/>
    <n v="45000"/>
    <n v="45000"/>
    <x v="457"/>
    <x v="1"/>
    <x v="9"/>
  </r>
  <r>
    <x v="0"/>
    <m/>
    <m/>
    <m/>
    <m/>
    <m/>
    <x v="458"/>
    <x v="1"/>
    <x v="9"/>
  </r>
  <r>
    <x v="1"/>
    <m/>
    <m/>
    <m/>
    <m/>
    <m/>
    <x v="458"/>
    <x v="1"/>
    <x v="9"/>
  </r>
  <r>
    <x v="2"/>
    <n v="972000"/>
    <n v="216000"/>
    <n v="311000"/>
    <m/>
    <m/>
    <x v="458"/>
    <x v="1"/>
    <x v="9"/>
  </r>
  <r>
    <x v="3"/>
    <n v="536000"/>
    <m/>
    <m/>
    <m/>
    <n v="378000"/>
    <x v="458"/>
    <x v="1"/>
    <x v="9"/>
  </r>
  <r>
    <x v="4"/>
    <m/>
    <n v="108000"/>
    <m/>
    <m/>
    <m/>
    <x v="458"/>
    <x v="1"/>
    <x v="9"/>
  </r>
  <r>
    <x v="5"/>
    <m/>
    <m/>
    <m/>
    <m/>
    <m/>
    <x v="458"/>
    <x v="1"/>
    <x v="9"/>
  </r>
  <r>
    <x v="14"/>
    <m/>
    <m/>
    <m/>
    <m/>
    <m/>
    <x v="458"/>
    <x v="1"/>
    <x v="9"/>
  </r>
  <r>
    <x v="6"/>
    <m/>
    <n v="45000"/>
    <m/>
    <m/>
    <m/>
    <x v="458"/>
    <x v="1"/>
    <x v="9"/>
  </r>
  <r>
    <x v="7"/>
    <m/>
    <m/>
    <m/>
    <m/>
    <m/>
    <x v="458"/>
    <x v="1"/>
    <x v="9"/>
  </r>
  <r>
    <x v="15"/>
    <m/>
    <m/>
    <m/>
    <m/>
    <m/>
    <x v="458"/>
    <x v="1"/>
    <x v="9"/>
  </r>
  <r>
    <x v="8"/>
    <n v="753500"/>
    <n v="45000"/>
    <m/>
    <m/>
    <m/>
    <x v="458"/>
    <x v="1"/>
    <x v="9"/>
  </r>
  <r>
    <x v="9"/>
    <m/>
    <m/>
    <m/>
    <n v="50000"/>
    <m/>
    <x v="458"/>
    <x v="1"/>
    <x v="9"/>
  </r>
  <r>
    <x v="10"/>
    <m/>
    <m/>
    <m/>
    <m/>
    <m/>
    <x v="458"/>
    <x v="1"/>
    <x v="9"/>
  </r>
  <r>
    <x v="11"/>
    <m/>
    <m/>
    <m/>
    <m/>
    <m/>
    <x v="458"/>
    <x v="1"/>
    <x v="9"/>
  </r>
  <r>
    <x v="12"/>
    <m/>
    <m/>
    <m/>
    <m/>
    <m/>
    <x v="458"/>
    <x v="1"/>
    <x v="9"/>
  </r>
  <r>
    <x v="13"/>
    <m/>
    <n v="99000"/>
    <m/>
    <n v="45000"/>
    <m/>
    <x v="458"/>
    <x v="1"/>
    <x v="9"/>
  </r>
  <r>
    <x v="0"/>
    <m/>
    <m/>
    <m/>
    <m/>
    <m/>
    <x v="459"/>
    <x v="1"/>
    <x v="9"/>
  </r>
  <r>
    <x v="1"/>
    <m/>
    <m/>
    <m/>
    <m/>
    <m/>
    <x v="459"/>
    <x v="1"/>
    <x v="9"/>
  </r>
  <r>
    <x v="2"/>
    <n v="1026000"/>
    <m/>
    <n v="45000"/>
    <m/>
    <m/>
    <x v="459"/>
    <x v="1"/>
    <x v="9"/>
  </r>
  <r>
    <x v="3"/>
    <n v="90000"/>
    <m/>
    <m/>
    <m/>
    <m/>
    <x v="459"/>
    <x v="1"/>
    <x v="9"/>
  </r>
  <r>
    <x v="4"/>
    <m/>
    <n v="807800"/>
    <m/>
    <m/>
    <m/>
    <x v="459"/>
    <x v="1"/>
    <x v="9"/>
  </r>
  <r>
    <x v="5"/>
    <m/>
    <m/>
    <m/>
    <m/>
    <m/>
    <x v="459"/>
    <x v="1"/>
    <x v="9"/>
  </r>
  <r>
    <x v="14"/>
    <m/>
    <m/>
    <m/>
    <m/>
    <m/>
    <x v="459"/>
    <x v="1"/>
    <x v="9"/>
  </r>
  <r>
    <x v="6"/>
    <m/>
    <m/>
    <m/>
    <m/>
    <m/>
    <x v="459"/>
    <x v="1"/>
    <x v="9"/>
  </r>
  <r>
    <x v="7"/>
    <m/>
    <m/>
    <m/>
    <m/>
    <m/>
    <x v="459"/>
    <x v="1"/>
    <x v="9"/>
  </r>
  <r>
    <x v="15"/>
    <m/>
    <m/>
    <m/>
    <m/>
    <m/>
    <x v="459"/>
    <x v="1"/>
    <x v="9"/>
  </r>
  <r>
    <x v="8"/>
    <n v="634500"/>
    <m/>
    <m/>
    <m/>
    <m/>
    <x v="459"/>
    <x v="1"/>
    <x v="9"/>
  </r>
  <r>
    <x v="9"/>
    <m/>
    <m/>
    <m/>
    <m/>
    <m/>
    <x v="459"/>
    <x v="1"/>
    <x v="9"/>
  </r>
  <r>
    <x v="10"/>
    <m/>
    <m/>
    <m/>
    <m/>
    <m/>
    <x v="459"/>
    <x v="1"/>
    <x v="9"/>
  </r>
  <r>
    <x v="11"/>
    <m/>
    <m/>
    <m/>
    <m/>
    <m/>
    <x v="459"/>
    <x v="1"/>
    <x v="9"/>
  </r>
  <r>
    <x v="12"/>
    <n v="369000"/>
    <m/>
    <m/>
    <m/>
    <m/>
    <x v="459"/>
    <x v="1"/>
    <x v="9"/>
  </r>
  <r>
    <x v="13"/>
    <m/>
    <m/>
    <m/>
    <m/>
    <m/>
    <x v="459"/>
    <x v="1"/>
    <x v="9"/>
  </r>
  <r>
    <x v="0"/>
    <m/>
    <m/>
    <m/>
    <m/>
    <m/>
    <x v="460"/>
    <x v="1"/>
    <x v="9"/>
  </r>
  <r>
    <x v="1"/>
    <m/>
    <m/>
    <m/>
    <m/>
    <m/>
    <x v="460"/>
    <x v="1"/>
    <x v="9"/>
  </r>
  <r>
    <x v="2"/>
    <m/>
    <m/>
    <n v="99000"/>
    <m/>
    <m/>
    <x v="460"/>
    <x v="1"/>
    <x v="9"/>
  </r>
  <r>
    <x v="3"/>
    <m/>
    <n v="531000"/>
    <m/>
    <n v="531500"/>
    <m/>
    <x v="460"/>
    <x v="1"/>
    <x v="9"/>
  </r>
  <r>
    <x v="4"/>
    <m/>
    <m/>
    <m/>
    <m/>
    <m/>
    <x v="460"/>
    <x v="1"/>
    <x v="9"/>
  </r>
  <r>
    <x v="5"/>
    <m/>
    <m/>
    <m/>
    <m/>
    <m/>
    <x v="460"/>
    <x v="1"/>
    <x v="9"/>
  </r>
  <r>
    <x v="14"/>
    <m/>
    <m/>
    <m/>
    <m/>
    <m/>
    <x v="460"/>
    <x v="1"/>
    <x v="9"/>
  </r>
  <r>
    <x v="6"/>
    <m/>
    <m/>
    <m/>
    <m/>
    <m/>
    <x v="460"/>
    <x v="1"/>
    <x v="9"/>
  </r>
  <r>
    <x v="7"/>
    <m/>
    <m/>
    <m/>
    <m/>
    <m/>
    <x v="460"/>
    <x v="1"/>
    <x v="9"/>
  </r>
  <r>
    <x v="15"/>
    <m/>
    <m/>
    <m/>
    <m/>
    <m/>
    <x v="460"/>
    <x v="1"/>
    <x v="9"/>
  </r>
  <r>
    <x v="8"/>
    <n v="108000"/>
    <m/>
    <m/>
    <m/>
    <m/>
    <x v="460"/>
    <x v="1"/>
    <x v="9"/>
  </r>
  <r>
    <x v="9"/>
    <m/>
    <m/>
    <m/>
    <m/>
    <m/>
    <x v="460"/>
    <x v="1"/>
    <x v="9"/>
  </r>
  <r>
    <x v="10"/>
    <m/>
    <m/>
    <m/>
    <m/>
    <m/>
    <x v="460"/>
    <x v="1"/>
    <x v="9"/>
  </r>
  <r>
    <x v="11"/>
    <m/>
    <m/>
    <m/>
    <m/>
    <m/>
    <x v="460"/>
    <x v="1"/>
    <x v="9"/>
  </r>
  <r>
    <x v="12"/>
    <n v="580500"/>
    <m/>
    <m/>
    <m/>
    <m/>
    <x v="460"/>
    <x v="1"/>
    <x v="9"/>
  </r>
  <r>
    <x v="13"/>
    <m/>
    <m/>
    <m/>
    <m/>
    <m/>
    <x v="460"/>
    <x v="1"/>
    <x v="9"/>
  </r>
  <r>
    <x v="0"/>
    <m/>
    <m/>
    <m/>
    <m/>
    <m/>
    <x v="461"/>
    <x v="1"/>
    <x v="10"/>
  </r>
  <r>
    <x v="1"/>
    <m/>
    <m/>
    <m/>
    <m/>
    <m/>
    <x v="461"/>
    <x v="1"/>
    <x v="10"/>
  </r>
  <r>
    <x v="2"/>
    <m/>
    <m/>
    <m/>
    <m/>
    <m/>
    <x v="461"/>
    <x v="1"/>
    <x v="10"/>
  </r>
  <r>
    <x v="3"/>
    <m/>
    <n v="1079000"/>
    <m/>
    <n v="535000"/>
    <m/>
    <x v="461"/>
    <x v="1"/>
    <x v="10"/>
  </r>
  <r>
    <x v="4"/>
    <m/>
    <m/>
    <m/>
    <m/>
    <m/>
    <x v="461"/>
    <x v="1"/>
    <x v="10"/>
  </r>
  <r>
    <x v="5"/>
    <m/>
    <m/>
    <m/>
    <m/>
    <m/>
    <x v="461"/>
    <x v="1"/>
    <x v="10"/>
  </r>
  <r>
    <x v="14"/>
    <m/>
    <m/>
    <m/>
    <m/>
    <m/>
    <x v="461"/>
    <x v="1"/>
    <x v="10"/>
  </r>
  <r>
    <x v="6"/>
    <m/>
    <m/>
    <m/>
    <m/>
    <m/>
    <x v="461"/>
    <x v="1"/>
    <x v="10"/>
  </r>
  <r>
    <x v="7"/>
    <m/>
    <m/>
    <m/>
    <m/>
    <m/>
    <x v="461"/>
    <x v="1"/>
    <x v="10"/>
  </r>
  <r>
    <x v="15"/>
    <m/>
    <m/>
    <m/>
    <m/>
    <m/>
    <x v="461"/>
    <x v="1"/>
    <x v="10"/>
  </r>
  <r>
    <x v="8"/>
    <m/>
    <m/>
    <m/>
    <m/>
    <m/>
    <x v="461"/>
    <x v="1"/>
    <x v="10"/>
  </r>
  <r>
    <x v="9"/>
    <m/>
    <m/>
    <m/>
    <m/>
    <m/>
    <x v="461"/>
    <x v="1"/>
    <x v="10"/>
  </r>
  <r>
    <x v="10"/>
    <m/>
    <m/>
    <m/>
    <m/>
    <m/>
    <x v="461"/>
    <x v="1"/>
    <x v="10"/>
  </r>
  <r>
    <x v="11"/>
    <m/>
    <m/>
    <m/>
    <m/>
    <m/>
    <x v="461"/>
    <x v="1"/>
    <x v="10"/>
  </r>
  <r>
    <x v="12"/>
    <m/>
    <m/>
    <m/>
    <m/>
    <m/>
    <x v="461"/>
    <x v="1"/>
    <x v="10"/>
  </r>
  <r>
    <x v="13"/>
    <m/>
    <m/>
    <m/>
    <m/>
    <m/>
    <x v="461"/>
    <x v="1"/>
    <x v="10"/>
  </r>
  <r>
    <x v="0"/>
    <m/>
    <m/>
    <m/>
    <m/>
    <m/>
    <x v="462"/>
    <x v="1"/>
    <x v="10"/>
  </r>
  <r>
    <x v="1"/>
    <m/>
    <m/>
    <m/>
    <m/>
    <m/>
    <x v="462"/>
    <x v="1"/>
    <x v="10"/>
  </r>
  <r>
    <x v="2"/>
    <n v="211500"/>
    <m/>
    <n v="45000"/>
    <m/>
    <m/>
    <x v="462"/>
    <x v="1"/>
    <x v="10"/>
  </r>
  <r>
    <x v="3"/>
    <m/>
    <n v="1333000"/>
    <m/>
    <n v="486000"/>
    <m/>
    <x v="462"/>
    <x v="1"/>
    <x v="10"/>
  </r>
  <r>
    <x v="4"/>
    <m/>
    <m/>
    <m/>
    <m/>
    <m/>
    <x v="462"/>
    <x v="1"/>
    <x v="10"/>
  </r>
  <r>
    <x v="5"/>
    <m/>
    <m/>
    <m/>
    <m/>
    <m/>
    <x v="462"/>
    <x v="1"/>
    <x v="10"/>
  </r>
  <r>
    <x v="14"/>
    <m/>
    <m/>
    <m/>
    <m/>
    <m/>
    <x v="462"/>
    <x v="1"/>
    <x v="10"/>
  </r>
  <r>
    <x v="6"/>
    <n v="800500"/>
    <m/>
    <n v="162000"/>
    <m/>
    <m/>
    <x v="462"/>
    <x v="1"/>
    <x v="10"/>
  </r>
  <r>
    <x v="7"/>
    <m/>
    <m/>
    <m/>
    <m/>
    <m/>
    <x v="462"/>
    <x v="1"/>
    <x v="10"/>
  </r>
  <r>
    <x v="15"/>
    <m/>
    <m/>
    <m/>
    <m/>
    <m/>
    <x v="462"/>
    <x v="1"/>
    <x v="10"/>
  </r>
  <r>
    <x v="8"/>
    <m/>
    <m/>
    <m/>
    <m/>
    <m/>
    <x v="462"/>
    <x v="1"/>
    <x v="10"/>
  </r>
  <r>
    <x v="9"/>
    <m/>
    <m/>
    <m/>
    <m/>
    <m/>
    <x v="462"/>
    <x v="1"/>
    <x v="10"/>
  </r>
  <r>
    <x v="10"/>
    <m/>
    <m/>
    <m/>
    <m/>
    <m/>
    <x v="462"/>
    <x v="1"/>
    <x v="10"/>
  </r>
  <r>
    <x v="11"/>
    <m/>
    <m/>
    <m/>
    <m/>
    <m/>
    <x v="462"/>
    <x v="1"/>
    <x v="10"/>
  </r>
  <r>
    <x v="12"/>
    <m/>
    <m/>
    <m/>
    <m/>
    <m/>
    <x v="462"/>
    <x v="1"/>
    <x v="10"/>
  </r>
  <r>
    <x v="13"/>
    <m/>
    <m/>
    <m/>
    <m/>
    <m/>
    <x v="462"/>
    <x v="1"/>
    <x v="10"/>
  </r>
  <r>
    <x v="0"/>
    <m/>
    <m/>
    <m/>
    <m/>
    <m/>
    <x v="463"/>
    <x v="1"/>
    <x v="10"/>
  </r>
  <r>
    <x v="1"/>
    <m/>
    <m/>
    <m/>
    <m/>
    <m/>
    <x v="463"/>
    <x v="1"/>
    <x v="10"/>
  </r>
  <r>
    <x v="2"/>
    <n v="364500"/>
    <n v="855000"/>
    <n v="99000"/>
    <m/>
    <m/>
    <x v="463"/>
    <x v="1"/>
    <x v="10"/>
  </r>
  <r>
    <x v="3"/>
    <m/>
    <n v="54000"/>
    <m/>
    <n v="540000"/>
    <m/>
    <x v="463"/>
    <x v="1"/>
    <x v="10"/>
  </r>
  <r>
    <x v="4"/>
    <m/>
    <m/>
    <m/>
    <m/>
    <m/>
    <x v="463"/>
    <x v="1"/>
    <x v="10"/>
  </r>
  <r>
    <x v="5"/>
    <m/>
    <m/>
    <m/>
    <m/>
    <m/>
    <x v="463"/>
    <x v="1"/>
    <x v="10"/>
  </r>
  <r>
    <x v="14"/>
    <n v="1174500"/>
    <m/>
    <m/>
    <m/>
    <m/>
    <x v="463"/>
    <x v="1"/>
    <x v="10"/>
  </r>
  <r>
    <x v="6"/>
    <n v="103500"/>
    <m/>
    <m/>
    <m/>
    <m/>
    <x v="463"/>
    <x v="1"/>
    <x v="10"/>
  </r>
  <r>
    <x v="7"/>
    <m/>
    <n v="162000"/>
    <m/>
    <m/>
    <m/>
    <x v="463"/>
    <x v="1"/>
    <x v="10"/>
  </r>
  <r>
    <x v="15"/>
    <m/>
    <m/>
    <m/>
    <m/>
    <m/>
    <x v="463"/>
    <x v="1"/>
    <x v="10"/>
  </r>
  <r>
    <x v="8"/>
    <m/>
    <n v="486000"/>
    <m/>
    <m/>
    <m/>
    <x v="463"/>
    <x v="1"/>
    <x v="10"/>
  </r>
  <r>
    <x v="9"/>
    <n v="648000"/>
    <m/>
    <m/>
    <m/>
    <m/>
    <x v="463"/>
    <x v="1"/>
    <x v="10"/>
  </r>
  <r>
    <x v="10"/>
    <m/>
    <m/>
    <m/>
    <m/>
    <m/>
    <x v="463"/>
    <x v="1"/>
    <x v="10"/>
  </r>
  <r>
    <x v="11"/>
    <m/>
    <m/>
    <m/>
    <m/>
    <m/>
    <x v="463"/>
    <x v="1"/>
    <x v="10"/>
  </r>
  <r>
    <x v="12"/>
    <m/>
    <m/>
    <m/>
    <m/>
    <m/>
    <x v="463"/>
    <x v="1"/>
    <x v="10"/>
  </r>
  <r>
    <x v="13"/>
    <m/>
    <m/>
    <m/>
    <m/>
    <m/>
    <x v="463"/>
    <x v="1"/>
    <x v="10"/>
  </r>
  <r>
    <x v="0"/>
    <m/>
    <m/>
    <m/>
    <m/>
    <m/>
    <x v="464"/>
    <x v="1"/>
    <x v="10"/>
  </r>
  <r>
    <x v="1"/>
    <m/>
    <m/>
    <m/>
    <m/>
    <m/>
    <x v="464"/>
    <x v="1"/>
    <x v="10"/>
  </r>
  <r>
    <x v="2"/>
    <m/>
    <n v="533500"/>
    <m/>
    <m/>
    <m/>
    <x v="464"/>
    <x v="1"/>
    <x v="10"/>
  </r>
  <r>
    <x v="3"/>
    <m/>
    <m/>
    <m/>
    <n v="594000"/>
    <m/>
    <x v="464"/>
    <x v="1"/>
    <x v="10"/>
  </r>
  <r>
    <x v="4"/>
    <m/>
    <m/>
    <m/>
    <m/>
    <m/>
    <x v="464"/>
    <x v="1"/>
    <x v="10"/>
  </r>
  <r>
    <x v="5"/>
    <m/>
    <m/>
    <m/>
    <m/>
    <m/>
    <x v="464"/>
    <x v="1"/>
    <x v="10"/>
  </r>
  <r>
    <x v="14"/>
    <n v="373500"/>
    <m/>
    <m/>
    <m/>
    <m/>
    <x v="464"/>
    <x v="1"/>
    <x v="10"/>
  </r>
  <r>
    <x v="6"/>
    <n v="108000"/>
    <m/>
    <m/>
    <m/>
    <m/>
    <x v="464"/>
    <x v="1"/>
    <x v="10"/>
  </r>
  <r>
    <x v="7"/>
    <m/>
    <m/>
    <m/>
    <m/>
    <m/>
    <x v="464"/>
    <x v="1"/>
    <x v="10"/>
  </r>
  <r>
    <x v="15"/>
    <m/>
    <m/>
    <m/>
    <m/>
    <m/>
    <x v="464"/>
    <x v="1"/>
    <x v="10"/>
  </r>
  <r>
    <x v="8"/>
    <m/>
    <n v="414000"/>
    <m/>
    <m/>
    <m/>
    <x v="464"/>
    <x v="1"/>
    <x v="10"/>
  </r>
  <r>
    <x v="9"/>
    <n v="697500"/>
    <m/>
    <m/>
    <m/>
    <m/>
    <x v="464"/>
    <x v="1"/>
    <x v="10"/>
  </r>
  <r>
    <x v="10"/>
    <m/>
    <m/>
    <m/>
    <m/>
    <m/>
    <x v="464"/>
    <x v="1"/>
    <x v="10"/>
  </r>
  <r>
    <x v="11"/>
    <m/>
    <m/>
    <m/>
    <m/>
    <m/>
    <x v="464"/>
    <x v="1"/>
    <x v="10"/>
  </r>
  <r>
    <x v="12"/>
    <n v="50000"/>
    <m/>
    <m/>
    <m/>
    <m/>
    <x v="464"/>
    <x v="1"/>
    <x v="10"/>
  </r>
  <r>
    <x v="13"/>
    <n v="431000"/>
    <m/>
    <m/>
    <m/>
    <n v="540000"/>
    <x v="464"/>
    <x v="1"/>
    <x v="10"/>
  </r>
  <r>
    <x v="0"/>
    <m/>
    <m/>
    <m/>
    <m/>
    <m/>
    <x v="465"/>
    <x v="1"/>
    <x v="10"/>
  </r>
  <r>
    <x v="1"/>
    <m/>
    <m/>
    <m/>
    <m/>
    <m/>
    <x v="465"/>
    <x v="1"/>
    <x v="10"/>
  </r>
  <r>
    <x v="2"/>
    <n v="216000"/>
    <n v="324000"/>
    <n v="162000"/>
    <m/>
    <m/>
    <x v="465"/>
    <x v="1"/>
    <x v="10"/>
  </r>
  <r>
    <x v="3"/>
    <m/>
    <m/>
    <m/>
    <n v="374000"/>
    <m/>
    <x v="465"/>
    <x v="1"/>
    <x v="10"/>
  </r>
  <r>
    <x v="4"/>
    <m/>
    <n v="216000"/>
    <m/>
    <m/>
    <m/>
    <x v="465"/>
    <x v="1"/>
    <x v="10"/>
  </r>
  <r>
    <x v="5"/>
    <n v="324000"/>
    <m/>
    <m/>
    <m/>
    <m/>
    <x v="465"/>
    <x v="1"/>
    <x v="10"/>
  </r>
  <r>
    <x v="14"/>
    <n v="324000"/>
    <m/>
    <m/>
    <m/>
    <m/>
    <x v="465"/>
    <x v="1"/>
    <x v="10"/>
  </r>
  <r>
    <x v="6"/>
    <m/>
    <m/>
    <m/>
    <m/>
    <m/>
    <x v="465"/>
    <x v="1"/>
    <x v="10"/>
  </r>
  <r>
    <x v="7"/>
    <m/>
    <n v="54000"/>
    <m/>
    <m/>
    <m/>
    <x v="465"/>
    <x v="1"/>
    <x v="10"/>
  </r>
  <r>
    <x v="15"/>
    <m/>
    <n v="378000"/>
    <m/>
    <m/>
    <m/>
    <x v="465"/>
    <x v="1"/>
    <x v="10"/>
  </r>
  <r>
    <x v="8"/>
    <m/>
    <n v="108000"/>
    <m/>
    <m/>
    <n v="540000"/>
    <x v="465"/>
    <x v="1"/>
    <x v="10"/>
  </r>
  <r>
    <x v="9"/>
    <n v="270000"/>
    <m/>
    <m/>
    <m/>
    <m/>
    <x v="465"/>
    <x v="1"/>
    <x v="10"/>
  </r>
  <r>
    <x v="10"/>
    <m/>
    <m/>
    <m/>
    <m/>
    <m/>
    <x v="465"/>
    <x v="1"/>
    <x v="10"/>
  </r>
  <r>
    <x v="11"/>
    <m/>
    <m/>
    <m/>
    <m/>
    <m/>
    <x v="465"/>
    <x v="1"/>
    <x v="10"/>
  </r>
  <r>
    <x v="12"/>
    <m/>
    <m/>
    <m/>
    <m/>
    <m/>
    <x v="465"/>
    <x v="1"/>
    <x v="10"/>
  </r>
  <r>
    <x v="13"/>
    <n v="378000"/>
    <m/>
    <m/>
    <m/>
    <m/>
    <x v="465"/>
    <x v="1"/>
    <x v="10"/>
  </r>
  <r>
    <x v="0"/>
    <m/>
    <m/>
    <m/>
    <m/>
    <m/>
    <x v="466"/>
    <x v="1"/>
    <x v="10"/>
  </r>
  <r>
    <x v="1"/>
    <m/>
    <m/>
    <m/>
    <m/>
    <m/>
    <x v="466"/>
    <x v="1"/>
    <x v="10"/>
  </r>
  <r>
    <x v="2"/>
    <n v="378000"/>
    <n v="216000"/>
    <n v="54000"/>
    <m/>
    <m/>
    <x v="466"/>
    <x v="1"/>
    <x v="10"/>
  </r>
  <r>
    <x v="3"/>
    <m/>
    <m/>
    <m/>
    <m/>
    <m/>
    <x v="466"/>
    <x v="1"/>
    <x v="10"/>
  </r>
  <r>
    <x v="4"/>
    <m/>
    <m/>
    <m/>
    <m/>
    <m/>
    <x v="466"/>
    <x v="1"/>
    <x v="10"/>
  </r>
  <r>
    <x v="5"/>
    <n v="324000"/>
    <m/>
    <m/>
    <m/>
    <n v="297000"/>
    <x v="466"/>
    <x v="1"/>
    <x v="10"/>
  </r>
  <r>
    <x v="14"/>
    <n v="423000"/>
    <m/>
    <m/>
    <m/>
    <m/>
    <x v="466"/>
    <x v="1"/>
    <x v="10"/>
  </r>
  <r>
    <x v="6"/>
    <n v="50000"/>
    <n v="540000"/>
    <m/>
    <m/>
    <m/>
    <x v="466"/>
    <x v="1"/>
    <x v="10"/>
  </r>
  <r>
    <x v="7"/>
    <m/>
    <m/>
    <m/>
    <m/>
    <m/>
    <x v="466"/>
    <x v="1"/>
    <x v="10"/>
  </r>
  <r>
    <x v="15"/>
    <m/>
    <n v="270000"/>
    <m/>
    <m/>
    <m/>
    <x v="466"/>
    <x v="1"/>
    <x v="10"/>
  </r>
  <r>
    <x v="8"/>
    <m/>
    <m/>
    <m/>
    <m/>
    <m/>
    <x v="466"/>
    <x v="1"/>
    <x v="10"/>
  </r>
  <r>
    <x v="9"/>
    <n v="744000"/>
    <m/>
    <m/>
    <m/>
    <m/>
    <x v="466"/>
    <x v="1"/>
    <x v="10"/>
  </r>
  <r>
    <x v="10"/>
    <m/>
    <m/>
    <m/>
    <m/>
    <m/>
    <x v="466"/>
    <x v="1"/>
    <x v="10"/>
  </r>
  <r>
    <x v="11"/>
    <m/>
    <m/>
    <m/>
    <m/>
    <m/>
    <x v="466"/>
    <x v="1"/>
    <x v="10"/>
  </r>
  <r>
    <x v="12"/>
    <m/>
    <m/>
    <m/>
    <m/>
    <m/>
    <x v="466"/>
    <x v="1"/>
    <x v="10"/>
  </r>
  <r>
    <x v="13"/>
    <n v="108000"/>
    <m/>
    <m/>
    <m/>
    <m/>
    <x v="466"/>
    <x v="1"/>
    <x v="10"/>
  </r>
  <r>
    <x v="0"/>
    <m/>
    <m/>
    <m/>
    <m/>
    <m/>
    <x v="467"/>
    <x v="1"/>
    <x v="10"/>
  </r>
  <r>
    <x v="1"/>
    <m/>
    <m/>
    <m/>
    <m/>
    <m/>
    <x v="467"/>
    <x v="1"/>
    <x v="10"/>
  </r>
  <r>
    <x v="2"/>
    <m/>
    <m/>
    <m/>
    <m/>
    <m/>
    <x v="467"/>
    <x v="1"/>
    <x v="10"/>
  </r>
  <r>
    <x v="3"/>
    <m/>
    <m/>
    <m/>
    <m/>
    <m/>
    <x v="467"/>
    <x v="1"/>
    <x v="10"/>
  </r>
  <r>
    <x v="4"/>
    <m/>
    <m/>
    <m/>
    <m/>
    <m/>
    <x v="467"/>
    <x v="1"/>
    <x v="10"/>
  </r>
  <r>
    <x v="5"/>
    <n v="540000"/>
    <m/>
    <m/>
    <m/>
    <m/>
    <x v="467"/>
    <x v="1"/>
    <x v="10"/>
  </r>
  <r>
    <x v="14"/>
    <n v="967500"/>
    <m/>
    <m/>
    <m/>
    <m/>
    <x v="467"/>
    <x v="1"/>
    <x v="10"/>
  </r>
  <r>
    <x v="6"/>
    <n v="378000"/>
    <n v="810000"/>
    <m/>
    <m/>
    <m/>
    <x v="467"/>
    <x v="1"/>
    <x v="10"/>
  </r>
  <r>
    <x v="7"/>
    <m/>
    <m/>
    <m/>
    <m/>
    <m/>
    <x v="467"/>
    <x v="1"/>
    <x v="10"/>
  </r>
  <r>
    <x v="15"/>
    <m/>
    <m/>
    <m/>
    <m/>
    <m/>
    <x v="467"/>
    <x v="1"/>
    <x v="10"/>
  </r>
  <r>
    <x v="8"/>
    <m/>
    <m/>
    <m/>
    <m/>
    <m/>
    <x v="467"/>
    <x v="1"/>
    <x v="10"/>
  </r>
  <r>
    <x v="9"/>
    <n v="747000"/>
    <m/>
    <m/>
    <m/>
    <m/>
    <x v="467"/>
    <x v="1"/>
    <x v="10"/>
  </r>
  <r>
    <x v="10"/>
    <m/>
    <m/>
    <m/>
    <m/>
    <m/>
    <x v="467"/>
    <x v="1"/>
    <x v="10"/>
  </r>
  <r>
    <x v="11"/>
    <m/>
    <m/>
    <m/>
    <m/>
    <m/>
    <x v="467"/>
    <x v="1"/>
    <x v="10"/>
  </r>
  <r>
    <x v="12"/>
    <n v="486000"/>
    <m/>
    <m/>
    <m/>
    <n v="162000"/>
    <x v="467"/>
    <x v="1"/>
    <x v="10"/>
  </r>
  <r>
    <x v="13"/>
    <n v="270000"/>
    <m/>
    <m/>
    <m/>
    <m/>
    <x v="467"/>
    <x v="1"/>
    <x v="10"/>
  </r>
  <r>
    <x v="0"/>
    <m/>
    <m/>
    <m/>
    <m/>
    <m/>
    <x v="468"/>
    <x v="1"/>
    <x v="10"/>
  </r>
  <r>
    <x v="1"/>
    <m/>
    <m/>
    <m/>
    <m/>
    <m/>
    <x v="468"/>
    <x v="1"/>
    <x v="10"/>
  </r>
  <r>
    <x v="2"/>
    <m/>
    <m/>
    <m/>
    <m/>
    <m/>
    <x v="468"/>
    <x v="1"/>
    <x v="10"/>
  </r>
  <r>
    <x v="3"/>
    <m/>
    <m/>
    <m/>
    <n v="508500"/>
    <m/>
    <x v="468"/>
    <x v="1"/>
    <x v="10"/>
  </r>
  <r>
    <x v="4"/>
    <m/>
    <m/>
    <m/>
    <m/>
    <m/>
    <x v="468"/>
    <x v="1"/>
    <x v="10"/>
  </r>
  <r>
    <x v="5"/>
    <n v="212000"/>
    <m/>
    <m/>
    <m/>
    <m/>
    <x v="468"/>
    <x v="1"/>
    <x v="10"/>
  </r>
  <r>
    <x v="14"/>
    <n v="432000"/>
    <m/>
    <m/>
    <m/>
    <m/>
    <x v="468"/>
    <x v="1"/>
    <x v="10"/>
  </r>
  <r>
    <x v="6"/>
    <n v="810000"/>
    <n v="95000"/>
    <m/>
    <m/>
    <m/>
    <x v="468"/>
    <x v="1"/>
    <x v="10"/>
  </r>
  <r>
    <x v="7"/>
    <m/>
    <m/>
    <m/>
    <m/>
    <m/>
    <x v="468"/>
    <x v="1"/>
    <x v="10"/>
  </r>
  <r>
    <x v="15"/>
    <m/>
    <m/>
    <m/>
    <m/>
    <m/>
    <x v="468"/>
    <x v="1"/>
    <x v="10"/>
  </r>
  <r>
    <x v="8"/>
    <n v="910000"/>
    <m/>
    <m/>
    <m/>
    <m/>
    <x v="468"/>
    <x v="1"/>
    <x v="10"/>
  </r>
  <r>
    <x v="9"/>
    <n v="378000"/>
    <n v="324000"/>
    <m/>
    <m/>
    <m/>
    <x v="468"/>
    <x v="1"/>
    <x v="10"/>
  </r>
  <r>
    <x v="10"/>
    <m/>
    <m/>
    <m/>
    <m/>
    <m/>
    <x v="468"/>
    <x v="1"/>
    <x v="10"/>
  </r>
  <r>
    <x v="11"/>
    <m/>
    <m/>
    <m/>
    <m/>
    <m/>
    <x v="468"/>
    <x v="1"/>
    <x v="10"/>
  </r>
  <r>
    <x v="12"/>
    <n v="312000"/>
    <m/>
    <m/>
    <m/>
    <n v="135000"/>
    <x v="468"/>
    <x v="1"/>
    <x v="10"/>
  </r>
  <r>
    <x v="13"/>
    <n v="101000"/>
    <m/>
    <m/>
    <m/>
    <m/>
    <x v="468"/>
    <x v="1"/>
    <x v="10"/>
  </r>
  <r>
    <x v="0"/>
    <m/>
    <m/>
    <m/>
    <m/>
    <m/>
    <x v="469"/>
    <x v="1"/>
    <x v="10"/>
  </r>
  <r>
    <x v="1"/>
    <n v="477000"/>
    <m/>
    <m/>
    <m/>
    <m/>
    <x v="469"/>
    <x v="1"/>
    <x v="10"/>
  </r>
  <r>
    <x v="2"/>
    <n v="959000"/>
    <m/>
    <n v="185000"/>
    <m/>
    <n v="540000"/>
    <x v="469"/>
    <x v="1"/>
    <x v="10"/>
  </r>
  <r>
    <x v="3"/>
    <m/>
    <m/>
    <m/>
    <n v="508500"/>
    <m/>
    <x v="469"/>
    <x v="1"/>
    <x v="10"/>
  </r>
  <r>
    <x v="4"/>
    <n v="788000"/>
    <m/>
    <m/>
    <m/>
    <m/>
    <x v="469"/>
    <x v="1"/>
    <x v="10"/>
  </r>
  <r>
    <x v="5"/>
    <n v="54000"/>
    <m/>
    <m/>
    <m/>
    <m/>
    <x v="469"/>
    <x v="1"/>
    <x v="10"/>
  </r>
  <r>
    <x v="14"/>
    <m/>
    <m/>
    <m/>
    <m/>
    <m/>
    <x v="469"/>
    <x v="1"/>
    <x v="10"/>
  </r>
  <r>
    <x v="6"/>
    <n v="108000"/>
    <m/>
    <n v="90000"/>
    <m/>
    <m/>
    <x v="469"/>
    <x v="1"/>
    <x v="10"/>
  </r>
  <r>
    <x v="7"/>
    <m/>
    <m/>
    <m/>
    <m/>
    <m/>
    <x v="469"/>
    <x v="1"/>
    <x v="10"/>
  </r>
  <r>
    <x v="15"/>
    <m/>
    <m/>
    <m/>
    <m/>
    <m/>
    <x v="469"/>
    <x v="1"/>
    <x v="10"/>
  </r>
  <r>
    <x v="8"/>
    <n v="90000"/>
    <m/>
    <m/>
    <m/>
    <m/>
    <x v="469"/>
    <x v="1"/>
    <x v="10"/>
  </r>
  <r>
    <x v="9"/>
    <n v="805500"/>
    <n v="216000"/>
    <m/>
    <m/>
    <m/>
    <x v="469"/>
    <x v="1"/>
    <x v="10"/>
  </r>
  <r>
    <x v="10"/>
    <m/>
    <m/>
    <m/>
    <m/>
    <m/>
    <x v="469"/>
    <x v="1"/>
    <x v="10"/>
  </r>
  <r>
    <x v="11"/>
    <m/>
    <m/>
    <m/>
    <m/>
    <m/>
    <x v="469"/>
    <x v="1"/>
    <x v="10"/>
  </r>
  <r>
    <x v="16"/>
    <m/>
    <n v="590000"/>
    <m/>
    <m/>
    <m/>
    <x v="469"/>
    <x v="1"/>
    <x v="10"/>
  </r>
  <r>
    <x v="12"/>
    <m/>
    <m/>
    <m/>
    <m/>
    <m/>
    <x v="469"/>
    <x v="1"/>
    <x v="10"/>
  </r>
  <r>
    <x v="13"/>
    <m/>
    <m/>
    <m/>
    <m/>
    <m/>
    <x v="469"/>
    <x v="1"/>
    <x v="10"/>
  </r>
  <r>
    <x v="0"/>
    <m/>
    <m/>
    <m/>
    <m/>
    <m/>
    <x v="470"/>
    <x v="1"/>
    <x v="10"/>
  </r>
  <r>
    <x v="1"/>
    <m/>
    <m/>
    <m/>
    <m/>
    <m/>
    <x v="470"/>
    <x v="1"/>
    <x v="10"/>
  </r>
  <r>
    <x v="2"/>
    <n v="1220500"/>
    <m/>
    <m/>
    <m/>
    <n v="540000"/>
    <x v="470"/>
    <x v="1"/>
    <x v="10"/>
  </r>
  <r>
    <x v="3"/>
    <m/>
    <m/>
    <m/>
    <n v="517500"/>
    <m/>
    <x v="470"/>
    <x v="1"/>
    <x v="10"/>
  </r>
  <r>
    <x v="4"/>
    <n v="594000"/>
    <m/>
    <m/>
    <m/>
    <m/>
    <x v="470"/>
    <x v="1"/>
    <x v="10"/>
  </r>
  <r>
    <x v="5"/>
    <m/>
    <m/>
    <m/>
    <m/>
    <m/>
    <x v="470"/>
    <x v="1"/>
    <x v="10"/>
  </r>
  <r>
    <x v="14"/>
    <m/>
    <m/>
    <m/>
    <m/>
    <m/>
    <x v="470"/>
    <x v="1"/>
    <x v="10"/>
  </r>
  <r>
    <x v="6"/>
    <m/>
    <m/>
    <m/>
    <m/>
    <m/>
    <x v="470"/>
    <x v="1"/>
    <x v="10"/>
  </r>
  <r>
    <x v="7"/>
    <m/>
    <m/>
    <m/>
    <m/>
    <m/>
    <x v="470"/>
    <x v="1"/>
    <x v="10"/>
  </r>
  <r>
    <x v="15"/>
    <m/>
    <m/>
    <m/>
    <m/>
    <m/>
    <x v="470"/>
    <x v="1"/>
    <x v="10"/>
  </r>
  <r>
    <x v="8"/>
    <m/>
    <m/>
    <m/>
    <m/>
    <m/>
    <x v="470"/>
    <x v="1"/>
    <x v="10"/>
  </r>
  <r>
    <x v="9"/>
    <n v="702000"/>
    <m/>
    <m/>
    <m/>
    <m/>
    <x v="470"/>
    <x v="1"/>
    <x v="10"/>
  </r>
  <r>
    <x v="10"/>
    <m/>
    <m/>
    <m/>
    <m/>
    <m/>
    <x v="470"/>
    <x v="1"/>
    <x v="10"/>
  </r>
  <r>
    <x v="11"/>
    <m/>
    <m/>
    <m/>
    <m/>
    <m/>
    <x v="470"/>
    <x v="1"/>
    <x v="10"/>
  </r>
  <r>
    <x v="16"/>
    <m/>
    <m/>
    <m/>
    <m/>
    <m/>
    <x v="470"/>
    <x v="1"/>
    <x v="10"/>
  </r>
  <r>
    <x v="12"/>
    <m/>
    <m/>
    <m/>
    <m/>
    <m/>
    <x v="470"/>
    <x v="1"/>
    <x v="10"/>
  </r>
  <r>
    <x v="13"/>
    <m/>
    <m/>
    <m/>
    <m/>
    <m/>
    <x v="470"/>
    <x v="1"/>
    <x v="10"/>
  </r>
  <r>
    <x v="0"/>
    <m/>
    <m/>
    <m/>
    <m/>
    <m/>
    <x v="471"/>
    <x v="1"/>
    <x v="10"/>
  </r>
  <r>
    <x v="1"/>
    <m/>
    <m/>
    <m/>
    <m/>
    <m/>
    <x v="471"/>
    <x v="1"/>
    <x v="10"/>
  </r>
  <r>
    <x v="2"/>
    <n v="1436000"/>
    <m/>
    <m/>
    <m/>
    <n v="216000"/>
    <x v="471"/>
    <x v="1"/>
    <x v="10"/>
  </r>
  <r>
    <x v="3"/>
    <m/>
    <m/>
    <m/>
    <n v="504000"/>
    <m/>
    <x v="471"/>
    <x v="1"/>
    <x v="10"/>
  </r>
  <r>
    <x v="4"/>
    <n v="324000"/>
    <m/>
    <m/>
    <m/>
    <n v="324000"/>
    <x v="471"/>
    <x v="1"/>
    <x v="10"/>
  </r>
  <r>
    <x v="5"/>
    <m/>
    <n v="914000"/>
    <m/>
    <m/>
    <m/>
    <x v="471"/>
    <x v="1"/>
    <x v="10"/>
  </r>
  <r>
    <x v="14"/>
    <m/>
    <m/>
    <m/>
    <m/>
    <m/>
    <x v="471"/>
    <x v="1"/>
    <x v="10"/>
  </r>
  <r>
    <x v="6"/>
    <m/>
    <m/>
    <m/>
    <m/>
    <m/>
    <x v="471"/>
    <x v="1"/>
    <x v="10"/>
  </r>
  <r>
    <x v="7"/>
    <m/>
    <m/>
    <m/>
    <m/>
    <m/>
    <x v="471"/>
    <x v="1"/>
    <x v="10"/>
  </r>
  <r>
    <x v="15"/>
    <m/>
    <m/>
    <m/>
    <m/>
    <m/>
    <x v="471"/>
    <x v="1"/>
    <x v="10"/>
  </r>
  <r>
    <x v="8"/>
    <m/>
    <m/>
    <m/>
    <m/>
    <m/>
    <x v="471"/>
    <x v="1"/>
    <x v="10"/>
  </r>
  <r>
    <x v="9"/>
    <n v="747000"/>
    <m/>
    <m/>
    <m/>
    <m/>
    <x v="471"/>
    <x v="1"/>
    <x v="10"/>
  </r>
  <r>
    <x v="10"/>
    <m/>
    <m/>
    <m/>
    <m/>
    <m/>
    <x v="471"/>
    <x v="1"/>
    <x v="10"/>
  </r>
  <r>
    <x v="11"/>
    <m/>
    <m/>
    <m/>
    <m/>
    <m/>
    <x v="471"/>
    <x v="1"/>
    <x v="10"/>
  </r>
  <r>
    <x v="16"/>
    <m/>
    <m/>
    <m/>
    <m/>
    <m/>
    <x v="471"/>
    <x v="1"/>
    <x v="10"/>
  </r>
  <r>
    <x v="12"/>
    <m/>
    <m/>
    <m/>
    <m/>
    <m/>
    <x v="471"/>
    <x v="1"/>
    <x v="10"/>
  </r>
  <r>
    <x v="13"/>
    <m/>
    <m/>
    <m/>
    <m/>
    <m/>
    <x v="471"/>
    <x v="1"/>
    <x v="10"/>
  </r>
  <r>
    <x v="0"/>
    <m/>
    <m/>
    <m/>
    <m/>
    <m/>
    <x v="472"/>
    <x v="1"/>
    <x v="10"/>
  </r>
  <r>
    <x v="1"/>
    <n v="108000"/>
    <m/>
    <m/>
    <m/>
    <m/>
    <x v="472"/>
    <x v="1"/>
    <x v="10"/>
  </r>
  <r>
    <x v="2"/>
    <n v="630000"/>
    <m/>
    <m/>
    <m/>
    <m/>
    <x v="472"/>
    <x v="1"/>
    <x v="10"/>
  </r>
  <r>
    <x v="3"/>
    <n v="806000"/>
    <m/>
    <m/>
    <n v="571500"/>
    <m/>
    <x v="472"/>
    <x v="1"/>
    <x v="10"/>
  </r>
  <r>
    <x v="4"/>
    <m/>
    <m/>
    <m/>
    <m/>
    <n v="378000"/>
    <x v="472"/>
    <x v="1"/>
    <x v="10"/>
  </r>
  <r>
    <x v="5"/>
    <n v="45000"/>
    <n v="900500"/>
    <m/>
    <m/>
    <m/>
    <x v="472"/>
    <x v="1"/>
    <x v="10"/>
  </r>
  <r>
    <x v="14"/>
    <m/>
    <m/>
    <m/>
    <m/>
    <m/>
    <x v="472"/>
    <x v="1"/>
    <x v="10"/>
  </r>
  <r>
    <x v="6"/>
    <m/>
    <m/>
    <m/>
    <m/>
    <m/>
    <x v="472"/>
    <x v="1"/>
    <x v="10"/>
  </r>
  <r>
    <x v="7"/>
    <m/>
    <m/>
    <m/>
    <m/>
    <m/>
    <x v="472"/>
    <x v="1"/>
    <x v="10"/>
  </r>
  <r>
    <x v="15"/>
    <m/>
    <m/>
    <m/>
    <m/>
    <m/>
    <x v="472"/>
    <x v="1"/>
    <x v="10"/>
  </r>
  <r>
    <x v="8"/>
    <m/>
    <n v="486000"/>
    <m/>
    <m/>
    <m/>
    <x v="472"/>
    <x v="1"/>
    <x v="10"/>
  </r>
  <r>
    <x v="9"/>
    <n v="162000"/>
    <m/>
    <n v="216000"/>
    <m/>
    <m/>
    <x v="472"/>
    <x v="1"/>
    <x v="10"/>
  </r>
  <r>
    <x v="10"/>
    <m/>
    <m/>
    <m/>
    <m/>
    <m/>
    <x v="472"/>
    <x v="1"/>
    <x v="10"/>
  </r>
  <r>
    <x v="11"/>
    <m/>
    <m/>
    <m/>
    <m/>
    <m/>
    <x v="472"/>
    <x v="1"/>
    <x v="10"/>
  </r>
  <r>
    <x v="16"/>
    <m/>
    <m/>
    <m/>
    <m/>
    <m/>
    <x v="472"/>
    <x v="1"/>
    <x v="10"/>
  </r>
  <r>
    <x v="12"/>
    <m/>
    <m/>
    <m/>
    <m/>
    <m/>
    <x v="472"/>
    <x v="1"/>
    <x v="10"/>
  </r>
  <r>
    <x v="13"/>
    <n v="540000"/>
    <m/>
    <m/>
    <m/>
    <n v="486000"/>
    <x v="472"/>
    <x v="1"/>
    <x v="10"/>
  </r>
  <r>
    <x v="0"/>
    <m/>
    <m/>
    <m/>
    <m/>
    <m/>
    <x v="473"/>
    <x v="1"/>
    <x v="10"/>
  </r>
  <r>
    <x v="1"/>
    <n v="162000"/>
    <m/>
    <m/>
    <m/>
    <m/>
    <x v="473"/>
    <x v="1"/>
    <x v="10"/>
  </r>
  <r>
    <x v="2"/>
    <n v="481500"/>
    <m/>
    <m/>
    <m/>
    <n v="54000"/>
    <x v="473"/>
    <x v="1"/>
    <x v="10"/>
  </r>
  <r>
    <x v="3"/>
    <n v="842500"/>
    <m/>
    <m/>
    <n v="198000"/>
    <m/>
    <x v="473"/>
    <x v="1"/>
    <x v="10"/>
  </r>
  <r>
    <x v="4"/>
    <n v="270000"/>
    <m/>
    <m/>
    <m/>
    <n v="207000"/>
    <x v="473"/>
    <x v="1"/>
    <x v="10"/>
  </r>
  <r>
    <x v="5"/>
    <m/>
    <n v="792000"/>
    <m/>
    <m/>
    <m/>
    <x v="473"/>
    <x v="1"/>
    <x v="10"/>
  </r>
  <r>
    <x v="14"/>
    <m/>
    <m/>
    <m/>
    <m/>
    <m/>
    <x v="473"/>
    <x v="1"/>
    <x v="10"/>
  </r>
  <r>
    <x v="6"/>
    <m/>
    <m/>
    <m/>
    <n v="216000"/>
    <m/>
    <x v="473"/>
    <x v="1"/>
    <x v="10"/>
  </r>
  <r>
    <x v="7"/>
    <m/>
    <m/>
    <m/>
    <m/>
    <m/>
    <x v="473"/>
    <x v="1"/>
    <x v="10"/>
  </r>
  <r>
    <x v="15"/>
    <m/>
    <m/>
    <m/>
    <m/>
    <m/>
    <x v="473"/>
    <x v="1"/>
    <x v="10"/>
  </r>
  <r>
    <x v="8"/>
    <m/>
    <n v="522000"/>
    <m/>
    <m/>
    <m/>
    <x v="473"/>
    <x v="1"/>
    <x v="10"/>
  </r>
  <r>
    <x v="9"/>
    <n v="378000"/>
    <m/>
    <n v="423000"/>
    <m/>
    <n v="540000"/>
    <x v="473"/>
    <x v="1"/>
    <x v="10"/>
  </r>
  <r>
    <x v="10"/>
    <m/>
    <m/>
    <m/>
    <m/>
    <m/>
    <x v="473"/>
    <x v="1"/>
    <x v="10"/>
  </r>
  <r>
    <x v="11"/>
    <m/>
    <m/>
    <m/>
    <m/>
    <m/>
    <x v="473"/>
    <x v="1"/>
    <x v="10"/>
  </r>
  <r>
    <x v="16"/>
    <m/>
    <m/>
    <m/>
    <m/>
    <m/>
    <x v="473"/>
    <x v="1"/>
    <x v="10"/>
  </r>
  <r>
    <x v="12"/>
    <m/>
    <m/>
    <m/>
    <m/>
    <m/>
    <x v="473"/>
    <x v="1"/>
    <x v="10"/>
  </r>
  <r>
    <x v="13"/>
    <n v="270000"/>
    <m/>
    <m/>
    <m/>
    <n v="54000"/>
    <x v="473"/>
    <x v="1"/>
    <x v="10"/>
  </r>
  <r>
    <x v="0"/>
    <m/>
    <m/>
    <m/>
    <m/>
    <m/>
    <x v="474"/>
    <x v="1"/>
    <x v="10"/>
  </r>
  <r>
    <x v="1"/>
    <m/>
    <m/>
    <n v="270000"/>
    <m/>
    <m/>
    <x v="474"/>
    <x v="1"/>
    <x v="10"/>
  </r>
  <r>
    <x v="2"/>
    <n v="108000"/>
    <m/>
    <m/>
    <m/>
    <n v="95000"/>
    <x v="474"/>
    <x v="1"/>
    <x v="10"/>
  </r>
  <r>
    <x v="3"/>
    <n v="108000"/>
    <m/>
    <m/>
    <n v="103500"/>
    <m/>
    <x v="474"/>
    <x v="1"/>
    <x v="10"/>
  </r>
  <r>
    <x v="4"/>
    <m/>
    <m/>
    <m/>
    <m/>
    <n v="90000"/>
    <x v="474"/>
    <x v="1"/>
    <x v="10"/>
  </r>
  <r>
    <x v="5"/>
    <m/>
    <m/>
    <m/>
    <m/>
    <m/>
    <x v="474"/>
    <x v="1"/>
    <x v="10"/>
  </r>
  <r>
    <x v="14"/>
    <m/>
    <m/>
    <m/>
    <m/>
    <m/>
    <x v="474"/>
    <x v="1"/>
    <x v="10"/>
  </r>
  <r>
    <x v="6"/>
    <m/>
    <m/>
    <m/>
    <n v="481500"/>
    <m/>
    <x v="474"/>
    <x v="1"/>
    <x v="10"/>
  </r>
  <r>
    <x v="7"/>
    <m/>
    <m/>
    <m/>
    <m/>
    <m/>
    <x v="474"/>
    <x v="1"/>
    <x v="10"/>
  </r>
  <r>
    <x v="15"/>
    <m/>
    <m/>
    <m/>
    <m/>
    <m/>
    <x v="474"/>
    <x v="1"/>
    <x v="10"/>
  </r>
  <r>
    <x v="8"/>
    <m/>
    <m/>
    <m/>
    <m/>
    <m/>
    <x v="474"/>
    <x v="1"/>
    <x v="10"/>
  </r>
  <r>
    <x v="9"/>
    <n v="108000"/>
    <m/>
    <n v="99000"/>
    <m/>
    <n v="459000"/>
    <x v="474"/>
    <x v="1"/>
    <x v="10"/>
  </r>
  <r>
    <x v="10"/>
    <m/>
    <m/>
    <m/>
    <m/>
    <m/>
    <x v="474"/>
    <x v="1"/>
    <x v="10"/>
  </r>
  <r>
    <x v="11"/>
    <m/>
    <m/>
    <m/>
    <m/>
    <m/>
    <x v="474"/>
    <x v="1"/>
    <x v="10"/>
  </r>
  <r>
    <x v="16"/>
    <m/>
    <m/>
    <m/>
    <m/>
    <m/>
    <x v="474"/>
    <x v="1"/>
    <x v="10"/>
  </r>
  <r>
    <x v="12"/>
    <m/>
    <m/>
    <m/>
    <m/>
    <m/>
    <x v="474"/>
    <x v="1"/>
    <x v="10"/>
  </r>
  <r>
    <x v="13"/>
    <m/>
    <m/>
    <m/>
    <m/>
    <m/>
    <x v="474"/>
    <x v="1"/>
    <x v="10"/>
  </r>
  <r>
    <x v="0"/>
    <m/>
    <m/>
    <m/>
    <m/>
    <m/>
    <x v="475"/>
    <x v="1"/>
    <x v="10"/>
  </r>
  <r>
    <x v="1"/>
    <m/>
    <m/>
    <m/>
    <m/>
    <m/>
    <x v="475"/>
    <x v="1"/>
    <x v="10"/>
  </r>
  <r>
    <x v="2"/>
    <m/>
    <m/>
    <m/>
    <m/>
    <m/>
    <x v="475"/>
    <x v="1"/>
    <x v="10"/>
  </r>
  <r>
    <x v="3"/>
    <n v="1327500"/>
    <m/>
    <m/>
    <m/>
    <m/>
    <x v="475"/>
    <x v="1"/>
    <x v="10"/>
  </r>
  <r>
    <x v="4"/>
    <m/>
    <m/>
    <m/>
    <m/>
    <m/>
    <x v="475"/>
    <x v="1"/>
    <x v="10"/>
  </r>
  <r>
    <x v="5"/>
    <m/>
    <m/>
    <m/>
    <m/>
    <m/>
    <x v="475"/>
    <x v="1"/>
    <x v="10"/>
  </r>
  <r>
    <x v="14"/>
    <m/>
    <m/>
    <m/>
    <m/>
    <m/>
    <x v="475"/>
    <x v="1"/>
    <x v="10"/>
  </r>
  <r>
    <x v="6"/>
    <m/>
    <m/>
    <m/>
    <m/>
    <m/>
    <x v="475"/>
    <x v="1"/>
    <x v="10"/>
  </r>
  <r>
    <x v="7"/>
    <m/>
    <m/>
    <m/>
    <m/>
    <m/>
    <x v="475"/>
    <x v="1"/>
    <x v="10"/>
  </r>
  <r>
    <x v="15"/>
    <m/>
    <m/>
    <m/>
    <m/>
    <m/>
    <x v="475"/>
    <x v="1"/>
    <x v="10"/>
  </r>
  <r>
    <x v="8"/>
    <m/>
    <m/>
    <m/>
    <m/>
    <m/>
    <x v="475"/>
    <x v="1"/>
    <x v="10"/>
  </r>
  <r>
    <x v="9"/>
    <n v="54000"/>
    <m/>
    <m/>
    <m/>
    <m/>
    <x v="475"/>
    <x v="1"/>
    <x v="10"/>
  </r>
  <r>
    <x v="10"/>
    <m/>
    <m/>
    <m/>
    <m/>
    <m/>
    <x v="475"/>
    <x v="1"/>
    <x v="10"/>
  </r>
  <r>
    <x v="11"/>
    <m/>
    <m/>
    <m/>
    <m/>
    <m/>
    <x v="475"/>
    <x v="1"/>
    <x v="10"/>
  </r>
  <r>
    <x v="16"/>
    <m/>
    <m/>
    <m/>
    <m/>
    <m/>
    <x v="475"/>
    <x v="1"/>
    <x v="10"/>
  </r>
  <r>
    <x v="12"/>
    <m/>
    <m/>
    <m/>
    <m/>
    <m/>
    <x v="475"/>
    <x v="1"/>
    <x v="10"/>
  </r>
  <r>
    <x v="13"/>
    <m/>
    <m/>
    <m/>
    <m/>
    <m/>
    <x v="475"/>
    <x v="1"/>
    <x v="10"/>
  </r>
  <r>
    <x v="0"/>
    <m/>
    <m/>
    <m/>
    <m/>
    <m/>
    <x v="476"/>
    <x v="1"/>
    <x v="10"/>
  </r>
  <r>
    <x v="1"/>
    <m/>
    <m/>
    <n v="45000"/>
    <m/>
    <m/>
    <x v="476"/>
    <x v="1"/>
    <x v="10"/>
  </r>
  <r>
    <x v="2"/>
    <m/>
    <m/>
    <m/>
    <m/>
    <m/>
    <x v="476"/>
    <x v="1"/>
    <x v="10"/>
  </r>
  <r>
    <x v="3"/>
    <n v="158000"/>
    <m/>
    <m/>
    <m/>
    <m/>
    <x v="476"/>
    <x v="1"/>
    <x v="10"/>
  </r>
  <r>
    <x v="4"/>
    <n v="324000"/>
    <n v="216000"/>
    <m/>
    <n v="216000"/>
    <m/>
    <x v="476"/>
    <x v="1"/>
    <x v="10"/>
  </r>
  <r>
    <x v="5"/>
    <m/>
    <m/>
    <m/>
    <m/>
    <m/>
    <x v="476"/>
    <x v="1"/>
    <x v="10"/>
  </r>
  <r>
    <x v="14"/>
    <m/>
    <m/>
    <m/>
    <m/>
    <m/>
    <x v="476"/>
    <x v="1"/>
    <x v="10"/>
  </r>
  <r>
    <x v="6"/>
    <m/>
    <m/>
    <m/>
    <n v="50000"/>
    <m/>
    <x v="476"/>
    <x v="1"/>
    <x v="10"/>
  </r>
  <r>
    <x v="7"/>
    <m/>
    <m/>
    <m/>
    <m/>
    <m/>
    <x v="476"/>
    <x v="1"/>
    <x v="10"/>
  </r>
  <r>
    <x v="15"/>
    <m/>
    <m/>
    <m/>
    <m/>
    <m/>
    <x v="476"/>
    <x v="1"/>
    <x v="10"/>
  </r>
  <r>
    <x v="8"/>
    <n v="324000"/>
    <m/>
    <m/>
    <m/>
    <m/>
    <x v="476"/>
    <x v="1"/>
    <x v="10"/>
  </r>
  <r>
    <x v="9"/>
    <n v="162000"/>
    <m/>
    <n v="270000"/>
    <m/>
    <m/>
    <x v="476"/>
    <x v="1"/>
    <x v="10"/>
  </r>
  <r>
    <x v="10"/>
    <m/>
    <m/>
    <m/>
    <m/>
    <m/>
    <x v="476"/>
    <x v="1"/>
    <x v="10"/>
  </r>
  <r>
    <x v="11"/>
    <m/>
    <m/>
    <m/>
    <m/>
    <m/>
    <x v="476"/>
    <x v="1"/>
    <x v="10"/>
  </r>
  <r>
    <x v="16"/>
    <m/>
    <m/>
    <m/>
    <m/>
    <m/>
    <x v="476"/>
    <x v="1"/>
    <x v="10"/>
  </r>
  <r>
    <x v="12"/>
    <n v="50000"/>
    <m/>
    <m/>
    <m/>
    <m/>
    <x v="476"/>
    <x v="1"/>
    <x v="10"/>
  </r>
  <r>
    <x v="13"/>
    <m/>
    <m/>
    <m/>
    <m/>
    <m/>
    <x v="476"/>
    <x v="1"/>
    <x v="10"/>
  </r>
  <r>
    <x v="0"/>
    <m/>
    <m/>
    <m/>
    <m/>
    <m/>
    <x v="477"/>
    <x v="1"/>
    <x v="10"/>
  </r>
  <r>
    <x v="1"/>
    <m/>
    <m/>
    <m/>
    <m/>
    <m/>
    <x v="477"/>
    <x v="1"/>
    <x v="10"/>
  </r>
  <r>
    <x v="2"/>
    <m/>
    <m/>
    <m/>
    <m/>
    <m/>
    <x v="477"/>
    <x v="1"/>
    <x v="10"/>
  </r>
  <r>
    <x v="3"/>
    <n v="108000"/>
    <m/>
    <m/>
    <m/>
    <m/>
    <x v="477"/>
    <x v="1"/>
    <x v="10"/>
  </r>
  <r>
    <x v="4"/>
    <m/>
    <n v="806000"/>
    <m/>
    <m/>
    <m/>
    <x v="477"/>
    <x v="1"/>
    <x v="10"/>
  </r>
  <r>
    <x v="5"/>
    <m/>
    <m/>
    <m/>
    <m/>
    <m/>
    <x v="477"/>
    <x v="1"/>
    <x v="10"/>
  </r>
  <r>
    <x v="14"/>
    <m/>
    <m/>
    <m/>
    <m/>
    <m/>
    <x v="477"/>
    <x v="1"/>
    <x v="10"/>
  </r>
  <r>
    <x v="6"/>
    <m/>
    <m/>
    <m/>
    <m/>
    <m/>
    <x v="477"/>
    <x v="1"/>
    <x v="10"/>
  </r>
  <r>
    <x v="7"/>
    <m/>
    <m/>
    <m/>
    <m/>
    <m/>
    <x v="477"/>
    <x v="1"/>
    <x v="10"/>
  </r>
  <r>
    <x v="15"/>
    <m/>
    <m/>
    <m/>
    <m/>
    <m/>
    <x v="477"/>
    <x v="1"/>
    <x v="10"/>
  </r>
  <r>
    <x v="8"/>
    <m/>
    <m/>
    <m/>
    <m/>
    <m/>
    <x v="477"/>
    <x v="1"/>
    <x v="10"/>
  </r>
  <r>
    <x v="9"/>
    <m/>
    <m/>
    <m/>
    <m/>
    <m/>
    <x v="477"/>
    <x v="1"/>
    <x v="10"/>
  </r>
  <r>
    <x v="10"/>
    <m/>
    <m/>
    <m/>
    <m/>
    <m/>
    <x v="477"/>
    <x v="1"/>
    <x v="10"/>
  </r>
  <r>
    <x v="11"/>
    <m/>
    <m/>
    <m/>
    <m/>
    <m/>
    <x v="477"/>
    <x v="1"/>
    <x v="10"/>
  </r>
  <r>
    <x v="16"/>
    <m/>
    <m/>
    <m/>
    <m/>
    <m/>
    <x v="477"/>
    <x v="1"/>
    <x v="10"/>
  </r>
  <r>
    <x v="12"/>
    <n v="100000"/>
    <m/>
    <m/>
    <m/>
    <m/>
    <x v="477"/>
    <x v="1"/>
    <x v="10"/>
  </r>
  <r>
    <x v="13"/>
    <n v="216000"/>
    <m/>
    <m/>
    <m/>
    <m/>
    <x v="477"/>
    <x v="1"/>
    <x v="10"/>
  </r>
  <r>
    <x v="0"/>
    <m/>
    <m/>
    <m/>
    <m/>
    <m/>
    <x v="478"/>
    <x v="1"/>
    <x v="10"/>
  </r>
  <r>
    <x v="1"/>
    <m/>
    <m/>
    <n v="90000"/>
    <m/>
    <m/>
    <x v="478"/>
    <x v="1"/>
    <x v="10"/>
  </r>
  <r>
    <x v="2"/>
    <m/>
    <m/>
    <m/>
    <m/>
    <m/>
    <x v="478"/>
    <x v="1"/>
    <x v="10"/>
  </r>
  <r>
    <x v="3"/>
    <n v="1125500"/>
    <m/>
    <m/>
    <m/>
    <m/>
    <x v="478"/>
    <x v="1"/>
    <x v="10"/>
  </r>
  <r>
    <x v="4"/>
    <n v="378000"/>
    <n v="809500"/>
    <m/>
    <m/>
    <m/>
    <x v="478"/>
    <x v="1"/>
    <x v="10"/>
  </r>
  <r>
    <x v="5"/>
    <m/>
    <m/>
    <m/>
    <m/>
    <m/>
    <x v="478"/>
    <x v="1"/>
    <x v="10"/>
  </r>
  <r>
    <x v="14"/>
    <n v="162000"/>
    <n v="54000"/>
    <m/>
    <m/>
    <m/>
    <x v="478"/>
    <x v="1"/>
    <x v="10"/>
  </r>
  <r>
    <x v="6"/>
    <m/>
    <m/>
    <m/>
    <m/>
    <m/>
    <x v="478"/>
    <x v="1"/>
    <x v="10"/>
  </r>
  <r>
    <x v="7"/>
    <m/>
    <m/>
    <m/>
    <m/>
    <m/>
    <x v="478"/>
    <x v="1"/>
    <x v="10"/>
  </r>
  <r>
    <x v="15"/>
    <m/>
    <m/>
    <m/>
    <m/>
    <m/>
    <x v="478"/>
    <x v="1"/>
    <x v="10"/>
  </r>
  <r>
    <x v="8"/>
    <n v="270000"/>
    <m/>
    <m/>
    <m/>
    <m/>
    <x v="478"/>
    <x v="1"/>
    <x v="10"/>
  </r>
  <r>
    <x v="9"/>
    <n v="216000"/>
    <m/>
    <m/>
    <m/>
    <m/>
    <x v="478"/>
    <x v="1"/>
    <x v="10"/>
  </r>
  <r>
    <x v="10"/>
    <m/>
    <m/>
    <m/>
    <m/>
    <m/>
    <x v="478"/>
    <x v="1"/>
    <x v="10"/>
  </r>
  <r>
    <x v="11"/>
    <m/>
    <m/>
    <m/>
    <m/>
    <m/>
    <x v="478"/>
    <x v="1"/>
    <x v="10"/>
  </r>
  <r>
    <x v="16"/>
    <m/>
    <m/>
    <m/>
    <m/>
    <m/>
    <x v="478"/>
    <x v="1"/>
    <x v="10"/>
  </r>
  <r>
    <x v="12"/>
    <m/>
    <n v="702000"/>
    <m/>
    <m/>
    <m/>
    <x v="478"/>
    <x v="1"/>
    <x v="10"/>
  </r>
  <r>
    <x v="13"/>
    <n v="209000"/>
    <m/>
    <m/>
    <m/>
    <m/>
    <x v="478"/>
    <x v="1"/>
    <x v="10"/>
  </r>
  <r>
    <x v="0"/>
    <m/>
    <m/>
    <m/>
    <m/>
    <m/>
    <x v="479"/>
    <x v="1"/>
    <x v="10"/>
  </r>
  <r>
    <x v="1"/>
    <m/>
    <n v="809500"/>
    <m/>
    <m/>
    <m/>
    <x v="479"/>
    <x v="1"/>
    <x v="10"/>
  </r>
  <r>
    <x v="2"/>
    <n v="316000"/>
    <n v="54000"/>
    <m/>
    <m/>
    <m/>
    <x v="479"/>
    <x v="1"/>
    <x v="10"/>
  </r>
  <r>
    <x v="3"/>
    <n v="1827500"/>
    <m/>
    <m/>
    <m/>
    <m/>
    <x v="479"/>
    <x v="1"/>
    <x v="10"/>
  </r>
  <r>
    <x v="4"/>
    <n v="266000"/>
    <m/>
    <m/>
    <m/>
    <m/>
    <x v="479"/>
    <x v="1"/>
    <x v="10"/>
  </r>
  <r>
    <x v="5"/>
    <m/>
    <m/>
    <n v="108000"/>
    <m/>
    <m/>
    <x v="479"/>
    <x v="1"/>
    <x v="10"/>
  </r>
  <r>
    <x v="14"/>
    <n v="324000"/>
    <n v="1080000"/>
    <m/>
    <m/>
    <m/>
    <x v="479"/>
    <x v="1"/>
    <x v="10"/>
  </r>
  <r>
    <x v="6"/>
    <m/>
    <m/>
    <m/>
    <m/>
    <m/>
    <x v="479"/>
    <x v="1"/>
    <x v="10"/>
  </r>
  <r>
    <x v="7"/>
    <m/>
    <m/>
    <m/>
    <m/>
    <m/>
    <x v="479"/>
    <x v="1"/>
    <x v="10"/>
  </r>
  <r>
    <x v="15"/>
    <m/>
    <m/>
    <m/>
    <m/>
    <m/>
    <x v="479"/>
    <x v="1"/>
    <x v="10"/>
  </r>
  <r>
    <x v="8"/>
    <m/>
    <m/>
    <m/>
    <m/>
    <m/>
    <x v="479"/>
    <x v="1"/>
    <x v="10"/>
  </r>
  <r>
    <x v="9"/>
    <n v="270000"/>
    <m/>
    <m/>
    <m/>
    <m/>
    <x v="479"/>
    <x v="1"/>
    <x v="10"/>
  </r>
  <r>
    <x v="10"/>
    <m/>
    <m/>
    <m/>
    <m/>
    <m/>
    <x v="479"/>
    <x v="1"/>
    <x v="10"/>
  </r>
  <r>
    <x v="11"/>
    <m/>
    <m/>
    <m/>
    <m/>
    <m/>
    <x v="479"/>
    <x v="1"/>
    <x v="10"/>
  </r>
  <r>
    <x v="16"/>
    <m/>
    <m/>
    <m/>
    <m/>
    <m/>
    <x v="479"/>
    <x v="1"/>
    <x v="10"/>
  </r>
  <r>
    <x v="12"/>
    <m/>
    <n v="108000"/>
    <m/>
    <m/>
    <m/>
    <x v="479"/>
    <x v="1"/>
    <x v="10"/>
  </r>
  <r>
    <x v="13"/>
    <n v="256500"/>
    <m/>
    <m/>
    <m/>
    <m/>
    <x v="479"/>
    <x v="1"/>
    <x v="10"/>
  </r>
  <r>
    <x v="0"/>
    <m/>
    <m/>
    <m/>
    <m/>
    <m/>
    <x v="480"/>
    <x v="1"/>
    <x v="10"/>
  </r>
  <r>
    <x v="1"/>
    <m/>
    <n v="162000"/>
    <m/>
    <m/>
    <m/>
    <x v="480"/>
    <x v="1"/>
    <x v="10"/>
  </r>
  <r>
    <x v="2"/>
    <n v="216000"/>
    <m/>
    <m/>
    <m/>
    <m/>
    <x v="480"/>
    <x v="1"/>
    <x v="10"/>
  </r>
  <r>
    <x v="3"/>
    <n v="1026000"/>
    <m/>
    <m/>
    <n v="54000"/>
    <m/>
    <x v="480"/>
    <x v="1"/>
    <x v="10"/>
  </r>
  <r>
    <x v="4"/>
    <n v="270000"/>
    <n v="108000"/>
    <m/>
    <m/>
    <m/>
    <x v="480"/>
    <x v="1"/>
    <x v="10"/>
  </r>
  <r>
    <x v="5"/>
    <n v="270000"/>
    <n v="266000"/>
    <m/>
    <m/>
    <m/>
    <x v="480"/>
    <x v="1"/>
    <x v="10"/>
  </r>
  <r>
    <x v="14"/>
    <m/>
    <n v="162000"/>
    <m/>
    <m/>
    <m/>
    <x v="480"/>
    <x v="1"/>
    <x v="10"/>
  </r>
  <r>
    <x v="6"/>
    <m/>
    <m/>
    <m/>
    <m/>
    <m/>
    <x v="480"/>
    <x v="1"/>
    <x v="10"/>
  </r>
  <r>
    <x v="7"/>
    <m/>
    <m/>
    <m/>
    <m/>
    <m/>
    <x v="480"/>
    <x v="1"/>
    <x v="10"/>
  </r>
  <r>
    <x v="15"/>
    <m/>
    <m/>
    <m/>
    <m/>
    <m/>
    <x v="480"/>
    <x v="1"/>
    <x v="10"/>
  </r>
  <r>
    <x v="8"/>
    <n v="216000"/>
    <m/>
    <m/>
    <m/>
    <m/>
    <x v="480"/>
    <x v="1"/>
    <x v="10"/>
  </r>
  <r>
    <x v="9"/>
    <n v="323500"/>
    <n v="540000"/>
    <m/>
    <m/>
    <m/>
    <x v="480"/>
    <x v="1"/>
    <x v="10"/>
  </r>
  <r>
    <x v="10"/>
    <m/>
    <m/>
    <m/>
    <m/>
    <m/>
    <x v="480"/>
    <x v="1"/>
    <x v="10"/>
  </r>
  <r>
    <x v="11"/>
    <m/>
    <m/>
    <m/>
    <m/>
    <m/>
    <x v="480"/>
    <x v="1"/>
    <x v="10"/>
  </r>
  <r>
    <x v="16"/>
    <m/>
    <m/>
    <m/>
    <m/>
    <m/>
    <x v="480"/>
    <x v="1"/>
    <x v="10"/>
  </r>
  <r>
    <x v="12"/>
    <m/>
    <n v="54000"/>
    <m/>
    <m/>
    <m/>
    <x v="480"/>
    <x v="1"/>
    <x v="10"/>
  </r>
  <r>
    <x v="13"/>
    <n v="252000"/>
    <n v="270000"/>
    <m/>
    <n v="162000"/>
    <m/>
    <x v="480"/>
    <x v="1"/>
    <x v="10"/>
  </r>
  <r>
    <x v="0"/>
    <m/>
    <m/>
    <m/>
    <m/>
    <m/>
    <x v="481"/>
    <x v="1"/>
    <x v="10"/>
  </r>
  <r>
    <x v="1"/>
    <m/>
    <n v="108000"/>
    <n v="45000"/>
    <m/>
    <m/>
    <x v="481"/>
    <x v="1"/>
    <x v="10"/>
  </r>
  <r>
    <x v="2"/>
    <n v="212000"/>
    <m/>
    <m/>
    <m/>
    <m/>
    <x v="481"/>
    <x v="1"/>
    <x v="10"/>
  </r>
  <r>
    <x v="3"/>
    <n v="1026000"/>
    <m/>
    <m/>
    <m/>
    <m/>
    <x v="481"/>
    <x v="1"/>
    <x v="10"/>
  </r>
  <r>
    <x v="4"/>
    <n v="374000"/>
    <m/>
    <m/>
    <n v="270000"/>
    <m/>
    <x v="481"/>
    <x v="1"/>
    <x v="10"/>
  </r>
  <r>
    <x v="5"/>
    <n v="324000"/>
    <n v="216000"/>
    <n v="50000"/>
    <m/>
    <m/>
    <x v="481"/>
    <x v="1"/>
    <x v="10"/>
  </r>
  <r>
    <x v="14"/>
    <n v="270000"/>
    <n v="108000"/>
    <m/>
    <m/>
    <m/>
    <x v="481"/>
    <x v="1"/>
    <x v="10"/>
  </r>
  <r>
    <x v="6"/>
    <m/>
    <m/>
    <m/>
    <m/>
    <m/>
    <x v="481"/>
    <x v="1"/>
    <x v="10"/>
  </r>
  <r>
    <x v="7"/>
    <m/>
    <m/>
    <m/>
    <m/>
    <m/>
    <x v="481"/>
    <x v="1"/>
    <x v="10"/>
  </r>
  <r>
    <x v="15"/>
    <m/>
    <m/>
    <m/>
    <m/>
    <m/>
    <x v="481"/>
    <x v="1"/>
    <x v="10"/>
  </r>
  <r>
    <x v="8"/>
    <n v="208000"/>
    <n v="1008000"/>
    <n v="648000"/>
    <m/>
    <m/>
    <x v="481"/>
    <x v="1"/>
    <x v="10"/>
  </r>
  <r>
    <x v="9"/>
    <n v="270000"/>
    <n v="486000"/>
    <m/>
    <m/>
    <m/>
    <x v="481"/>
    <x v="1"/>
    <x v="10"/>
  </r>
  <r>
    <x v="10"/>
    <m/>
    <m/>
    <m/>
    <m/>
    <m/>
    <x v="481"/>
    <x v="1"/>
    <x v="10"/>
  </r>
  <r>
    <x v="11"/>
    <m/>
    <m/>
    <m/>
    <m/>
    <m/>
    <x v="481"/>
    <x v="1"/>
    <x v="10"/>
  </r>
  <r>
    <x v="16"/>
    <m/>
    <m/>
    <m/>
    <m/>
    <m/>
    <x v="481"/>
    <x v="1"/>
    <x v="10"/>
  </r>
  <r>
    <x v="12"/>
    <m/>
    <m/>
    <m/>
    <m/>
    <m/>
    <x v="481"/>
    <x v="1"/>
    <x v="10"/>
  </r>
  <r>
    <x v="13"/>
    <m/>
    <n v="320000"/>
    <m/>
    <n v="162000"/>
    <m/>
    <x v="481"/>
    <x v="1"/>
    <x v="10"/>
  </r>
  <r>
    <x v="0"/>
    <m/>
    <m/>
    <m/>
    <m/>
    <m/>
    <x v="482"/>
    <x v="1"/>
    <x v="11"/>
  </r>
  <r>
    <x v="1"/>
    <m/>
    <n v="108000"/>
    <m/>
    <m/>
    <m/>
    <x v="482"/>
    <x v="1"/>
    <x v="11"/>
  </r>
  <r>
    <x v="2"/>
    <n v="216000"/>
    <m/>
    <m/>
    <m/>
    <m/>
    <x v="482"/>
    <x v="1"/>
    <x v="11"/>
  </r>
  <r>
    <x v="3"/>
    <n v="684000"/>
    <m/>
    <m/>
    <m/>
    <m/>
    <x v="482"/>
    <x v="1"/>
    <x v="11"/>
  </r>
  <r>
    <x v="4"/>
    <n v="270000"/>
    <n v="536000"/>
    <m/>
    <m/>
    <m/>
    <x v="482"/>
    <x v="1"/>
    <x v="11"/>
  </r>
  <r>
    <x v="5"/>
    <n v="756000"/>
    <n v="432000"/>
    <n v="54000"/>
    <m/>
    <m/>
    <x v="482"/>
    <x v="1"/>
    <x v="11"/>
  </r>
  <r>
    <x v="14"/>
    <m/>
    <n v="324000"/>
    <m/>
    <m/>
    <m/>
    <x v="482"/>
    <x v="1"/>
    <x v="11"/>
  </r>
  <r>
    <x v="6"/>
    <m/>
    <n v="45000"/>
    <m/>
    <m/>
    <m/>
    <x v="482"/>
    <x v="1"/>
    <x v="11"/>
  </r>
  <r>
    <x v="7"/>
    <m/>
    <m/>
    <m/>
    <m/>
    <m/>
    <x v="482"/>
    <x v="1"/>
    <x v="11"/>
  </r>
  <r>
    <x v="15"/>
    <m/>
    <m/>
    <m/>
    <m/>
    <m/>
    <x v="482"/>
    <x v="1"/>
    <x v="11"/>
  </r>
  <r>
    <x v="8"/>
    <n v="324000"/>
    <m/>
    <m/>
    <m/>
    <m/>
    <x v="482"/>
    <x v="1"/>
    <x v="11"/>
  </r>
  <r>
    <x v="9"/>
    <n v="756000"/>
    <n v="482000"/>
    <m/>
    <m/>
    <m/>
    <x v="482"/>
    <x v="1"/>
    <x v="11"/>
  </r>
  <r>
    <x v="10"/>
    <m/>
    <m/>
    <m/>
    <m/>
    <m/>
    <x v="482"/>
    <x v="1"/>
    <x v="11"/>
  </r>
  <r>
    <x v="11"/>
    <m/>
    <m/>
    <m/>
    <m/>
    <m/>
    <x v="482"/>
    <x v="1"/>
    <x v="11"/>
  </r>
  <r>
    <x v="16"/>
    <m/>
    <m/>
    <m/>
    <m/>
    <m/>
    <x v="482"/>
    <x v="1"/>
    <x v="11"/>
  </r>
  <r>
    <x v="12"/>
    <m/>
    <n v="45000"/>
    <m/>
    <m/>
    <m/>
    <x v="482"/>
    <x v="1"/>
    <x v="11"/>
  </r>
  <r>
    <x v="13"/>
    <n v="97000"/>
    <n v="162000"/>
    <m/>
    <m/>
    <m/>
    <x v="482"/>
    <x v="1"/>
    <x v="11"/>
  </r>
  <r>
    <x v="0"/>
    <m/>
    <m/>
    <m/>
    <m/>
    <m/>
    <x v="483"/>
    <x v="1"/>
    <x v="11"/>
  </r>
  <r>
    <x v="1"/>
    <m/>
    <m/>
    <m/>
    <m/>
    <m/>
    <x v="483"/>
    <x v="1"/>
    <x v="11"/>
  </r>
  <r>
    <x v="2"/>
    <n v="486000"/>
    <m/>
    <m/>
    <m/>
    <m/>
    <x v="483"/>
    <x v="1"/>
    <x v="11"/>
  </r>
  <r>
    <x v="3"/>
    <n v="585000"/>
    <m/>
    <m/>
    <m/>
    <m/>
    <x v="483"/>
    <x v="1"/>
    <x v="11"/>
  </r>
  <r>
    <x v="4"/>
    <n v="324000"/>
    <n v="269500"/>
    <n v="158000"/>
    <n v="365000"/>
    <m/>
    <x v="483"/>
    <x v="1"/>
    <x v="11"/>
  </r>
  <r>
    <x v="5"/>
    <n v="49500"/>
    <n v="324000"/>
    <n v="90000"/>
    <m/>
    <m/>
    <x v="483"/>
    <x v="1"/>
    <x v="11"/>
  </r>
  <r>
    <x v="14"/>
    <n v="216000"/>
    <n v="216000"/>
    <m/>
    <m/>
    <m/>
    <x v="483"/>
    <x v="1"/>
    <x v="11"/>
  </r>
  <r>
    <x v="6"/>
    <n v="215500"/>
    <n v="322000"/>
    <n v="108000"/>
    <m/>
    <m/>
    <x v="483"/>
    <x v="1"/>
    <x v="11"/>
  </r>
  <r>
    <x v="7"/>
    <m/>
    <m/>
    <m/>
    <m/>
    <m/>
    <x v="483"/>
    <x v="1"/>
    <x v="11"/>
  </r>
  <r>
    <x v="15"/>
    <m/>
    <m/>
    <m/>
    <m/>
    <m/>
    <x v="483"/>
    <x v="1"/>
    <x v="11"/>
  </r>
  <r>
    <x v="8"/>
    <n v="162000"/>
    <m/>
    <n v="216000"/>
    <m/>
    <m/>
    <x v="483"/>
    <x v="1"/>
    <x v="11"/>
  </r>
  <r>
    <x v="9"/>
    <n v="540000"/>
    <n v="324000"/>
    <m/>
    <m/>
    <m/>
    <x v="483"/>
    <x v="1"/>
    <x v="11"/>
  </r>
  <r>
    <x v="10"/>
    <m/>
    <m/>
    <m/>
    <m/>
    <m/>
    <x v="483"/>
    <x v="1"/>
    <x v="11"/>
  </r>
  <r>
    <x v="11"/>
    <m/>
    <n v="486000"/>
    <m/>
    <m/>
    <m/>
    <x v="483"/>
    <x v="1"/>
    <x v="11"/>
  </r>
  <r>
    <x v="16"/>
    <m/>
    <m/>
    <m/>
    <m/>
    <m/>
    <x v="483"/>
    <x v="1"/>
    <x v="11"/>
  </r>
  <r>
    <x v="12"/>
    <m/>
    <m/>
    <m/>
    <m/>
    <m/>
    <x v="483"/>
    <x v="1"/>
    <x v="11"/>
  </r>
  <r>
    <x v="13"/>
    <m/>
    <m/>
    <m/>
    <n v="100000"/>
    <m/>
    <x v="483"/>
    <x v="1"/>
    <x v="11"/>
  </r>
  <r>
    <x v="0"/>
    <m/>
    <m/>
    <m/>
    <m/>
    <m/>
    <x v="484"/>
    <x v="1"/>
    <x v="11"/>
  </r>
  <r>
    <x v="1"/>
    <m/>
    <m/>
    <m/>
    <m/>
    <m/>
    <x v="484"/>
    <x v="1"/>
    <x v="11"/>
  </r>
  <r>
    <x v="2"/>
    <n v="216000"/>
    <m/>
    <m/>
    <m/>
    <m/>
    <x v="484"/>
    <x v="1"/>
    <x v="11"/>
  </r>
  <r>
    <x v="3"/>
    <n v="1022000"/>
    <n v="378000"/>
    <m/>
    <n v="324000"/>
    <m/>
    <x v="484"/>
    <x v="1"/>
    <x v="11"/>
  </r>
  <r>
    <x v="4"/>
    <n v="270000"/>
    <n v="369000"/>
    <n v="108000"/>
    <n v="45000"/>
    <m/>
    <x v="484"/>
    <x v="1"/>
    <x v="11"/>
  </r>
  <r>
    <x v="5"/>
    <m/>
    <n v="108000"/>
    <m/>
    <m/>
    <m/>
    <x v="484"/>
    <x v="1"/>
    <x v="11"/>
  </r>
  <r>
    <x v="14"/>
    <m/>
    <n v="162000"/>
    <m/>
    <m/>
    <m/>
    <x v="484"/>
    <x v="1"/>
    <x v="11"/>
  </r>
  <r>
    <x v="6"/>
    <n v="590000"/>
    <m/>
    <n v="162000"/>
    <m/>
    <m/>
    <x v="484"/>
    <x v="1"/>
    <x v="11"/>
  </r>
  <r>
    <x v="7"/>
    <m/>
    <m/>
    <m/>
    <m/>
    <m/>
    <x v="484"/>
    <x v="1"/>
    <x v="11"/>
  </r>
  <r>
    <x v="15"/>
    <m/>
    <m/>
    <m/>
    <m/>
    <m/>
    <x v="484"/>
    <x v="1"/>
    <x v="11"/>
  </r>
  <r>
    <x v="8"/>
    <n v="162000"/>
    <m/>
    <n v="90000"/>
    <m/>
    <m/>
    <x v="484"/>
    <x v="1"/>
    <x v="11"/>
  </r>
  <r>
    <x v="9"/>
    <n v="216000"/>
    <n v="270000"/>
    <m/>
    <m/>
    <m/>
    <x v="484"/>
    <x v="1"/>
    <x v="11"/>
  </r>
  <r>
    <x v="10"/>
    <m/>
    <m/>
    <m/>
    <m/>
    <m/>
    <x v="484"/>
    <x v="1"/>
    <x v="11"/>
  </r>
  <r>
    <x v="11"/>
    <m/>
    <n v="378000"/>
    <m/>
    <m/>
    <m/>
    <x v="484"/>
    <x v="1"/>
    <x v="11"/>
  </r>
  <r>
    <x v="16"/>
    <m/>
    <m/>
    <m/>
    <m/>
    <m/>
    <x v="484"/>
    <x v="1"/>
    <x v="11"/>
  </r>
  <r>
    <x v="12"/>
    <m/>
    <m/>
    <m/>
    <m/>
    <m/>
    <x v="484"/>
    <x v="1"/>
    <x v="11"/>
  </r>
  <r>
    <x v="13"/>
    <m/>
    <n v="54000"/>
    <m/>
    <m/>
    <m/>
    <x v="484"/>
    <x v="1"/>
    <x v="11"/>
  </r>
  <r>
    <x v="0"/>
    <m/>
    <m/>
    <m/>
    <m/>
    <m/>
    <x v="485"/>
    <x v="1"/>
    <x v="11"/>
  </r>
  <r>
    <x v="1"/>
    <m/>
    <m/>
    <m/>
    <m/>
    <m/>
    <x v="485"/>
    <x v="1"/>
    <x v="11"/>
  </r>
  <r>
    <x v="2"/>
    <n v="104000"/>
    <m/>
    <m/>
    <m/>
    <m/>
    <x v="485"/>
    <x v="1"/>
    <x v="11"/>
  </r>
  <r>
    <x v="3"/>
    <n v="1022000"/>
    <n v="428000"/>
    <m/>
    <n v="482000"/>
    <m/>
    <x v="485"/>
    <x v="1"/>
    <x v="11"/>
  </r>
  <r>
    <x v="4"/>
    <n v="157500"/>
    <n v="108000"/>
    <n v="108000"/>
    <m/>
    <m/>
    <x v="485"/>
    <x v="1"/>
    <x v="11"/>
  </r>
  <r>
    <x v="5"/>
    <m/>
    <n v="54000"/>
    <m/>
    <m/>
    <m/>
    <x v="485"/>
    <x v="1"/>
    <x v="11"/>
  </r>
  <r>
    <x v="14"/>
    <n v="216000"/>
    <n v="162000"/>
    <m/>
    <m/>
    <m/>
    <x v="485"/>
    <x v="1"/>
    <x v="11"/>
  </r>
  <r>
    <x v="6"/>
    <n v="103500"/>
    <m/>
    <n v="158000"/>
    <m/>
    <m/>
    <x v="485"/>
    <x v="1"/>
    <x v="11"/>
  </r>
  <r>
    <x v="7"/>
    <m/>
    <m/>
    <m/>
    <m/>
    <m/>
    <x v="485"/>
    <x v="1"/>
    <x v="11"/>
  </r>
  <r>
    <x v="15"/>
    <m/>
    <m/>
    <m/>
    <m/>
    <m/>
    <x v="485"/>
    <x v="1"/>
    <x v="11"/>
  </r>
  <r>
    <x v="8"/>
    <n v="100000"/>
    <m/>
    <n v="45000"/>
    <m/>
    <m/>
    <x v="485"/>
    <x v="1"/>
    <x v="11"/>
  </r>
  <r>
    <x v="9"/>
    <n v="648000"/>
    <n v="270000"/>
    <m/>
    <m/>
    <n v="540000"/>
    <x v="485"/>
    <x v="1"/>
    <x v="11"/>
  </r>
  <r>
    <x v="10"/>
    <m/>
    <m/>
    <m/>
    <m/>
    <m/>
    <x v="485"/>
    <x v="1"/>
    <x v="11"/>
  </r>
  <r>
    <x v="11"/>
    <m/>
    <n v="432000"/>
    <m/>
    <m/>
    <m/>
    <x v="485"/>
    <x v="1"/>
    <x v="11"/>
  </r>
  <r>
    <x v="16"/>
    <m/>
    <m/>
    <m/>
    <m/>
    <m/>
    <x v="485"/>
    <x v="1"/>
    <x v="11"/>
  </r>
  <r>
    <x v="12"/>
    <m/>
    <n v="108000"/>
    <m/>
    <m/>
    <m/>
    <x v="485"/>
    <x v="1"/>
    <x v="11"/>
  </r>
  <r>
    <x v="13"/>
    <m/>
    <n v="54000"/>
    <m/>
    <m/>
    <m/>
    <x v="485"/>
    <x v="1"/>
    <x v="11"/>
  </r>
  <r>
    <x v="0"/>
    <m/>
    <m/>
    <m/>
    <m/>
    <m/>
    <x v="486"/>
    <x v="1"/>
    <x v="11"/>
  </r>
  <r>
    <x v="1"/>
    <m/>
    <m/>
    <m/>
    <m/>
    <m/>
    <x v="486"/>
    <x v="1"/>
    <x v="11"/>
  </r>
  <r>
    <x v="2"/>
    <m/>
    <m/>
    <m/>
    <m/>
    <m/>
    <x v="486"/>
    <x v="1"/>
    <x v="11"/>
  </r>
  <r>
    <x v="3"/>
    <m/>
    <m/>
    <m/>
    <n v="999000"/>
    <m/>
    <x v="486"/>
    <x v="1"/>
    <x v="11"/>
  </r>
  <r>
    <x v="4"/>
    <m/>
    <m/>
    <m/>
    <m/>
    <m/>
    <x v="486"/>
    <x v="1"/>
    <x v="11"/>
  </r>
  <r>
    <x v="5"/>
    <m/>
    <m/>
    <m/>
    <m/>
    <m/>
    <x v="486"/>
    <x v="1"/>
    <x v="11"/>
  </r>
  <r>
    <x v="14"/>
    <m/>
    <m/>
    <m/>
    <m/>
    <m/>
    <x v="486"/>
    <x v="1"/>
    <x v="11"/>
  </r>
  <r>
    <x v="6"/>
    <m/>
    <m/>
    <n v="162000"/>
    <m/>
    <m/>
    <x v="486"/>
    <x v="1"/>
    <x v="11"/>
  </r>
  <r>
    <x v="7"/>
    <m/>
    <m/>
    <m/>
    <m/>
    <m/>
    <x v="486"/>
    <x v="1"/>
    <x v="11"/>
  </r>
  <r>
    <x v="15"/>
    <m/>
    <m/>
    <m/>
    <m/>
    <m/>
    <x v="486"/>
    <x v="1"/>
    <x v="11"/>
  </r>
  <r>
    <x v="8"/>
    <m/>
    <n v="486000"/>
    <m/>
    <m/>
    <m/>
    <x v="486"/>
    <x v="1"/>
    <x v="11"/>
  </r>
  <r>
    <x v="9"/>
    <m/>
    <m/>
    <m/>
    <m/>
    <n v="486000"/>
    <x v="486"/>
    <x v="1"/>
    <x v="11"/>
  </r>
  <r>
    <x v="10"/>
    <m/>
    <m/>
    <m/>
    <m/>
    <m/>
    <x v="486"/>
    <x v="1"/>
    <x v="11"/>
  </r>
  <r>
    <x v="11"/>
    <m/>
    <m/>
    <m/>
    <m/>
    <m/>
    <x v="486"/>
    <x v="1"/>
    <x v="11"/>
  </r>
  <r>
    <x v="16"/>
    <m/>
    <m/>
    <m/>
    <m/>
    <m/>
    <x v="486"/>
    <x v="1"/>
    <x v="11"/>
  </r>
  <r>
    <x v="12"/>
    <m/>
    <m/>
    <m/>
    <m/>
    <m/>
    <x v="486"/>
    <x v="1"/>
    <x v="11"/>
  </r>
  <r>
    <x v="13"/>
    <m/>
    <m/>
    <m/>
    <m/>
    <m/>
    <x v="486"/>
    <x v="1"/>
    <x v="11"/>
  </r>
  <r>
    <x v="0"/>
    <m/>
    <m/>
    <m/>
    <m/>
    <m/>
    <x v="487"/>
    <x v="1"/>
    <x v="11"/>
  </r>
  <r>
    <x v="1"/>
    <m/>
    <m/>
    <m/>
    <m/>
    <m/>
    <x v="487"/>
    <x v="1"/>
    <x v="11"/>
  </r>
  <r>
    <x v="2"/>
    <m/>
    <m/>
    <m/>
    <m/>
    <m/>
    <x v="487"/>
    <x v="1"/>
    <x v="11"/>
  </r>
  <r>
    <x v="3"/>
    <m/>
    <m/>
    <m/>
    <n v="1102500"/>
    <m/>
    <x v="487"/>
    <x v="1"/>
    <x v="11"/>
  </r>
  <r>
    <x v="4"/>
    <m/>
    <m/>
    <m/>
    <m/>
    <n v="153000"/>
    <x v="487"/>
    <x v="1"/>
    <x v="11"/>
  </r>
  <r>
    <x v="5"/>
    <m/>
    <m/>
    <m/>
    <m/>
    <m/>
    <x v="487"/>
    <x v="1"/>
    <x v="11"/>
  </r>
  <r>
    <x v="14"/>
    <m/>
    <m/>
    <m/>
    <m/>
    <m/>
    <x v="487"/>
    <x v="1"/>
    <x v="11"/>
  </r>
  <r>
    <x v="6"/>
    <m/>
    <m/>
    <m/>
    <m/>
    <m/>
    <x v="487"/>
    <x v="1"/>
    <x v="11"/>
  </r>
  <r>
    <x v="7"/>
    <m/>
    <m/>
    <m/>
    <m/>
    <m/>
    <x v="487"/>
    <x v="1"/>
    <x v="11"/>
  </r>
  <r>
    <x v="15"/>
    <m/>
    <m/>
    <m/>
    <m/>
    <m/>
    <x v="487"/>
    <x v="1"/>
    <x v="11"/>
  </r>
  <r>
    <x v="8"/>
    <m/>
    <n v="792000"/>
    <m/>
    <m/>
    <m/>
    <x v="487"/>
    <x v="1"/>
    <x v="11"/>
  </r>
  <r>
    <x v="9"/>
    <m/>
    <m/>
    <m/>
    <m/>
    <n v="162000"/>
    <x v="487"/>
    <x v="1"/>
    <x v="11"/>
  </r>
  <r>
    <x v="10"/>
    <m/>
    <m/>
    <m/>
    <m/>
    <m/>
    <x v="487"/>
    <x v="1"/>
    <x v="11"/>
  </r>
  <r>
    <x v="11"/>
    <m/>
    <m/>
    <m/>
    <m/>
    <m/>
    <x v="487"/>
    <x v="1"/>
    <x v="11"/>
  </r>
  <r>
    <x v="16"/>
    <m/>
    <m/>
    <m/>
    <m/>
    <m/>
    <x v="487"/>
    <x v="1"/>
    <x v="11"/>
  </r>
  <r>
    <x v="12"/>
    <m/>
    <m/>
    <m/>
    <m/>
    <m/>
    <x v="487"/>
    <x v="1"/>
    <x v="11"/>
  </r>
  <r>
    <x v="13"/>
    <m/>
    <m/>
    <m/>
    <m/>
    <m/>
    <x v="487"/>
    <x v="1"/>
    <x v="11"/>
  </r>
  <r>
    <x v="0"/>
    <m/>
    <m/>
    <m/>
    <m/>
    <m/>
    <x v="488"/>
    <x v="1"/>
    <x v="11"/>
  </r>
  <r>
    <x v="1"/>
    <m/>
    <m/>
    <m/>
    <m/>
    <m/>
    <x v="488"/>
    <x v="1"/>
    <x v="11"/>
  </r>
  <r>
    <x v="2"/>
    <n v="261000"/>
    <n v="139500"/>
    <m/>
    <m/>
    <n v="108000"/>
    <x v="488"/>
    <x v="1"/>
    <x v="11"/>
  </r>
  <r>
    <x v="3"/>
    <n v="270000"/>
    <n v="270000"/>
    <m/>
    <m/>
    <m/>
    <x v="488"/>
    <x v="1"/>
    <x v="11"/>
  </r>
  <r>
    <x v="4"/>
    <n v="103500"/>
    <n v="270000"/>
    <m/>
    <m/>
    <n v="212000"/>
    <x v="488"/>
    <x v="1"/>
    <x v="11"/>
  </r>
  <r>
    <x v="5"/>
    <n v="216000"/>
    <n v="158000"/>
    <m/>
    <m/>
    <m/>
    <x v="488"/>
    <x v="1"/>
    <x v="11"/>
  </r>
  <r>
    <x v="14"/>
    <m/>
    <n v="54000"/>
    <m/>
    <m/>
    <m/>
    <x v="488"/>
    <x v="1"/>
    <x v="11"/>
  </r>
  <r>
    <x v="6"/>
    <n v="90000"/>
    <m/>
    <m/>
    <m/>
    <m/>
    <x v="488"/>
    <x v="1"/>
    <x v="11"/>
  </r>
  <r>
    <x v="7"/>
    <m/>
    <m/>
    <m/>
    <m/>
    <m/>
    <x v="488"/>
    <x v="1"/>
    <x v="11"/>
  </r>
  <r>
    <x v="15"/>
    <m/>
    <m/>
    <m/>
    <m/>
    <m/>
    <x v="488"/>
    <x v="1"/>
    <x v="11"/>
  </r>
  <r>
    <x v="8"/>
    <n v="54000"/>
    <m/>
    <m/>
    <m/>
    <n v="216000"/>
    <x v="488"/>
    <x v="1"/>
    <x v="11"/>
  </r>
  <r>
    <x v="9"/>
    <n v="1076000"/>
    <n v="157500"/>
    <m/>
    <m/>
    <m/>
    <x v="488"/>
    <x v="1"/>
    <x v="11"/>
  </r>
  <r>
    <x v="10"/>
    <m/>
    <m/>
    <m/>
    <m/>
    <m/>
    <x v="488"/>
    <x v="1"/>
    <x v="11"/>
  </r>
  <r>
    <x v="11"/>
    <n v="162000"/>
    <n v="162000"/>
    <m/>
    <m/>
    <m/>
    <x v="488"/>
    <x v="1"/>
    <x v="11"/>
  </r>
  <r>
    <x v="16"/>
    <m/>
    <m/>
    <m/>
    <m/>
    <m/>
    <x v="488"/>
    <x v="1"/>
    <x v="11"/>
  </r>
  <r>
    <x v="12"/>
    <m/>
    <n v="162000"/>
    <m/>
    <m/>
    <m/>
    <x v="488"/>
    <x v="1"/>
    <x v="11"/>
  </r>
  <r>
    <x v="13"/>
    <n v="103500"/>
    <n v="315000"/>
    <m/>
    <m/>
    <m/>
    <x v="488"/>
    <x v="1"/>
    <x v="11"/>
  </r>
  <r>
    <x v="0"/>
    <m/>
    <m/>
    <m/>
    <m/>
    <m/>
    <x v="489"/>
    <x v="1"/>
    <x v="11"/>
  </r>
  <r>
    <x v="1"/>
    <m/>
    <m/>
    <m/>
    <m/>
    <m/>
    <x v="489"/>
    <x v="1"/>
    <x v="11"/>
  </r>
  <r>
    <x v="2"/>
    <n v="378000"/>
    <m/>
    <m/>
    <m/>
    <n v="45000"/>
    <x v="489"/>
    <x v="1"/>
    <x v="11"/>
  </r>
  <r>
    <x v="3"/>
    <n v="486000"/>
    <n v="324000"/>
    <m/>
    <n v="540000"/>
    <m/>
    <x v="489"/>
    <x v="1"/>
    <x v="11"/>
  </r>
  <r>
    <x v="4"/>
    <n v="270000"/>
    <n v="157500"/>
    <m/>
    <m/>
    <n v="135000"/>
    <x v="489"/>
    <x v="1"/>
    <x v="11"/>
  </r>
  <r>
    <x v="5"/>
    <n v="324000"/>
    <m/>
    <m/>
    <m/>
    <m/>
    <x v="489"/>
    <x v="1"/>
    <x v="11"/>
  </r>
  <r>
    <x v="14"/>
    <m/>
    <n v="54000"/>
    <m/>
    <m/>
    <m/>
    <x v="489"/>
    <x v="1"/>
    <x v="11"/>
  </r>
  <r>
    <x v="6"/>
    <m/>
    <n v="157500"/>
    <m/>
    <m/>
    <m/>
    <x v="489"/>
    <x v="1"/>
    <x v="11"/>
  </r>
  <r>
    <x v="7"/>
    <m/>
    <m/>
    <m/>
    <m/>
    <m/>
    <x v="489"/>
    <x v="1"/>
    <x v="11"/>
  </r>
  <r>
    <x v="15"/>
    <m/>
    <m/>
    <m/>
    <m/>
    <m/>
    <x v="489"/>
    <x v="1"/>
    <x v="11"/>
  </r>
  <r>
    <x v="8"/>
    <n v="162000"/>
    <m/>
    <m/>
    <m/>
    <n v="324000"/>
    <x v="489"/>
    <x v="1"/>
    <x v="11"/>
  </r>
  <r>
    <x v="9"/>
    <n v="216000"/>
    <n v="162000"/>
    <m/>
    <m/>
    <m/>
    <x v="489"/>
    <x v="1"/>
    <x v="11"/>
  </r>
  <r>
    <x v="10"/>
    <m/>
    <m/>
    <m/>
    <m/>
    <m/>
    <x v="489"/>
    <x v="1"/>
    <x v="11"/>
  </r>
  <r>
    <x v="11"/>
    <n v="162000"/>
    <n v="108000"/>
    <m/>
    <m/>
    <m/>
    <x v="489"/>
    <x v="1"/>
    <x v="11"/>
  </r>
  <r>
    <x v="16"/>
    <m/>
    <m/>
    <m/>
    <m/>
    <m/>
    <x v="489"/>
    <x v="1"/>
    <x v="11"/>
  </r>
  <r>
    <x v="12"/>
    <m/>
    <n v="108000"/>
    <m/>
    <m/>
    <m/>
    <x v="489"/>
    <x v="1"/>
    <x v="11"/>
  </r>
  <r>
    <x v="13"/>
    <n v="270000"/>
    <n v="211500"/>
    <m/>
    <m/>
    <m/>
    <x v="489"/>
    <x v="1"/>
    <x v="11"/>
  </r>
  <r>
    <x v="0"/>
    <m/>
    <m/>
    <m/>
    <m/>
    <m/>
    <x v="490"/>
    <x v="1"/>
    <x v="11"/>
  </r>
  <r>
    <x v="1"/>
    <m/>
    <m/>
    <m/>
    <m/>
    <m/>
    <x v="490"/>
    <x v="1"/>
    <x v="11"/>
  </r>
  <r>
    <x v="2"/>
    <m/>
    <n v="157500"/>
    <m/>
    <n v="54000"/>
    <n v="216000"/>
    <x v="490"/>
    <x v="1"/>
    <x v="11"/>
  </r>
  <r>
    <x v="3"/>
    <n v="324000"/>
    <n v="262000"/>
    <m/>
    <n v="540000"/>
    <m/>
    <x v="490"/>
    <x v="1"/>
    <x v="11"/>
  </r>
  <r>
    <x v="4"/>
    <n v="203000"/>
    <n v="54000"/>
    <m/>
    <m/>
    <m/>
    <x v="490"/>
    <x v="1"/>
    <x v="11"/>
  </r>
  <r>
    <x v="5"/>
    <n v="316000"/>
    <n v="216000"/>
    <n v="100000"/>
    <n v="54000"/>
    <m/>
    <x v="490"/>
    <x v="1"/>
    <x v="11"/>
  </r>
  <r>
    <x v="14"/>
    <m/>
    <n v="162000"/>
    <m/>
    <m/>
    <m/>
    <x v="490"/>
    <x v="1"/>
    <x v="11"/>
  </r>
  <r>
    <x v="6"/>
    <m/>
    <n v="54000"/>
    <m/>
    <n v="108000"/>
    <m/>
    <x v="490"/>
    <x v="1"/>
    <x v="11"/>
  </r>
  <r>
    <x v="7"/>
    <m/>
    <m/>
    <m/>
    <m/>
    <m/>
    <x v="490"/>
    <x v="1"/>
    <x v="11"/>
  </r>
  <r>
    <x v="15"/>
    <m/>
    <m/>
    <m/>
    <m/>
    <m/>
    <x v="490"/>
    <x v="1"/>
    <x v="11"/>
  </r>
  <r>
    <x v="8"/>
    <n v="261000"/>
    <m/>
    <m/>
    <m/>
    <n v="324000"/>
    <x v="490"/>
    <x v="1"/>
    <x v="11"/>
  </r>
  <r>
    <x v="9"/>
    <n v="378000"/>
    <n v="49500"/>
    <m/>
    <m/>
    <m/>
    <x v="490"/>
    <x v="1"/>
    <x v="11"/>
  </r>
  <r>
    <x v="10"/>
    <m/>
    <m/>
    <m/>
    <m/>
    <m/>
    <x v="490"/>
    <x v="1"/>
    <x v="11"/>
  </r>
  <r>
    <x v="11"/>
    <n v="216000"/>
    <m/>
    <m/>
    <m/>
    <m/>
    <x v="490"/>
    <x v="1"/>
    <x v="11"/>
  </r>
  <r>
    <x v="16"/>
    <m/>
    <m/>
    <m/>
    <m/>
    <m/>
    <x v="490"/>
    <x v="1"/>
    <x v="11"/>
  </r>
  <r>
    <x v="12"/>
    <n v="50000"/>
    <n v="108000"/>
    <m/>
    <m/>
    <m/>
    <x v="490"/>
    <x v="1"/>
    <x v="11"/>
  </r>
  <r>
    <x v="13"/>
    <n v="207000"/>
    <n v="162000"/>
    <m/>
    <n v="54000"/>
    <m/>
    <x v="490"/>
    <x v="1"/>
    <x v="11"/>
  </r>
  <r>
    <x v="0"/>
    <m/>
    <m/>
    <m/>
    <m/>
    <m/>
    <x v="491"/>
    <x v="1"/>
    <x v="11"/>
  </r>
  <r>
    <x v="1"/>
    <m/>
    <m/>
    <m/>
    <m/>
    <m/>
    <x v="491"/>
    <x v="1"/>
    <x v="11"/>
  </r>
  <r>
    <x v="2"/>
    <n v="216000"/>
    <n v="216000"/>
    <m/>
    <n v="108000"/>
    <n v="320000"/>
    <x v="491"/>
    <x v="1"/>
    <x v="11"/>
  </r>
  <r>
    <x v="3"/>
    <n v="432000"/>
    <n v="108000"/>
    <m/>
    <n v="535500"/>
    <m/>
    <x v="491"/>
    <x v="1"/>
    <x v="11"/>
  </r>
  <r>
    <x v="4"/>
    <n v="247500"/>
    <m/>
    <m/>
    <m/>
    <m/>
    <x v="491"/>
    <x v="1"/>
    <x v="11"/>
  </r>
  <r>
    <x v="5"/>
    <n v="162000"/>
    <n v="216000"/>
    <m/>
    <n v="54000"/>
    <m/>
    <x v="491"/>
    <x v="1"/>
    <x v="11"/>
  </r>
  <r>
    <x v="14"/>
    <m/>
    <m/>
    <m/>
    <m/>
    <m/>
    <x v="491"/>
    <x v="1"/>
    <x v="11"/>
  </r>
  <r>
    <x v="6"/>
    <m/>
    <n v="108000"/>
    <m/>
    <n v="54000"/>
    <m/>
    <x v="491"/>
    <x v="1"/>
    <x v="11"/>
  </r>
  <r>
    <x v="7"/>
    <m/>
    <m/>
    <m/>
    <m/>
    <m/>
    <x v="491"/>
    <x v="1"/>
    <x v="11"/>
  </r>
  <r>
    <x v="15"/>
    <m/>
    <m/>
    <m/>
    <m/>
    <m/>
    <x v="491"/>
    <x v="1"/>
    <x v="11"/>
  </r>
  <r>
    <x v="8"/>
    <n v="269500"/>
    <m/>
    <m/>
    <m/>
    <n v="216000"/>
    <x v="491"/>
    <x v="1"/>
    <x v="11"/>
  </r>
  <r>
    <x v="9"/>
    <n v="378000"/>
    <n v="361000"/>
    <m/>
    <m/>
    <m/>
    <x v="491"/>
    <x v="1"/>
    <x v="11"/>
  </r>
  <r>
    <x v="10"/>
    <m/>
    <m/>
    <m/>
    <m/>
    <m/>
    <x v="491"/>
    <x v="1"/>
    <x v="11"/>
  </r>
  <r>
    <x v="11"/>
    <n v="207000"/>
    <n v="216000"/>
    <m/>
    <m/>
    <m/>
    <x v="491"/>
    <x v="1"/>
    <x v="11"/>
  </r>
  <r>
    <x v="16"/>
    <m/>
    <m/>
    <m/>
    <m/>
    <m/>
    <x v="491"/>
    <x v="1"/>
    <x v="11"/>
  </r>
  <r>
    <x v="12"/>
    <m/>
    <m/>
    <m/>
    <m/>
    <m/>
    <x v="491"/>
    <x v="1"/>
    <x v="11"/>
  </r>
  <r>
    <x v="13"/>
    <n v="54000"/>
    <n v="366000"/>
    <m/>
    <n v="54000"/>
    <m/>
    <x v="491"/>
    <x v="1"/>
    <x v="11"/>
  </r>
  <r>
    <x v="0"/>
    <m/>
    <m/>
    <m/>
    <m/>
    <m/>
    <x v="492"/>
    <x v="1"/>
    <x v="11"/>
  </r>
  <r>
    <x v="1"/>
    <m/>
    <m/>
    <m/>
    <m/>
    <m/>
    <x v="492"/>
    <x v="1"/>
    <x v="11"/>
  </r>
  <r>
    <x v="2"/>
    <n v="315000"/>
    <m/>
    <m/>
    <m/>
    <n v="261000"/>
    <x v="492"/>
    <x v="1"/>
    <x v="11"/>
  </r>
  <r>
    <x v="3"/>
    <n v="206000"/>
    <n v="162000"/>
    <m/>
    <m/>
    <m/>
    <x v="492"/>
    <x v="1"/>
    <x v="11"/>
  </r>
  <r>
    <x v="4"/>
    <n v="540000"/>
    <n v="216000"/>
    <m/>
    <m/>
    <n v="99500"/>
    <x v="492"/>
    <x v="1"/>
    <x v="11"/>
  </r>
  <r>
    <x v="5"/>
    <n v="212000"/>
    <n v="54000"/>
    <m/>
    <m/>
    <m/>
    <x v="492"/>
    <x v="1"/>
    <x v="11"/>
  </r>
  <r>
    <x v="14"/>
    <m/>
    <n v="108000"/>
    <m/>
    <m/>
    <m/>
    <x v="492"/>
    <x v="1"/>
    <x v="11"/>
  </r>
  <r>
    <x v="6"/>
    <m/>
    <n v="108000"/>
    <m/>
    <m/>
    <m/>
    <x v="492"/>
    <x v="1"/>
    <x v="11"/>
  </r>
  <r>
    <x v="7"/>
    <m/>
    <m/>
    <m/>
    <m/>
    <m/>
    <x v="492"/>
    <x v="1"/>
    <x v="11"/>
  </r>
  <r>
    <x v="15"/>
    <m/>
    <m/>
    <m/>
    <m/>
    <m/>
    <x v="492"/>
    <x v="1"/>
    <x v="11"/>
  </r>
  <r>
    <x v="8"/>
    <n v="54000"/>
    <n v="1080000"/>
    <m/>
    <m/>
    <n v="324000"/>
    <x v="492"/>
    <x v="1"/>
    <x v="11"/>
  </r>
  <r>
    <x v="9"/>
    <n v="378000"/>
    <n v="158000"/>
    <m/>
    <m/>
    <m/>
    <x v="492"/>
    <x v="1"/>
    <x v="11"/>
  </r>
  <r>
    <x v="10"/>
    <m/>
    <m/>
    <m/>
    <m/>
    <m/>
    <x v="492"/>
    <x v="1"/>
    <x v="11"/>
  </r>
  <r>
    <x v="11"/>
    <n v="324000"/>
    <n v="207000"/>
    <m/>
    <m/>
    <m/>
    <x v="492"/>
    <x v="1"/>
    <x v="11"/>
  </r>
  <r>
    <x v="16"/>
    <m/>
    <m/>
    <m/>
    <m/>
    <m/>
    <x v="492"/>
    <x v="1"/>
    <x v="11"/>
  </r>
  <r>
    <x v="12"/>
    <m/>
    <m/>
    <m/>
    <m/>
    <m/>
    <x v="492"/>
    <x v="1"/>
    <x v="11"/>
  </r>
  <r>
    <x v="13"/>
    <n v="54000"/>
    <n v="207000"/>
    <m/>
    <m/>
    <m/>
    <x v="492"/>
    <x v="1"/>
    <x v="11"/>
  </r>
  <r>
    <x v="0"/>
    <m/>
    <m/>
    <m/>
    <m/>
    <m/>
    <x v="493"/>
    <x v="1"/>
    <x v="11"/>
  </r>
  <r>
    <x v="1"/>
    <m/>
    <m/>
    <m/>
    <m/>
    <m/>
    <x v="493"/>
    <x v="1"/>
    <x v="11"/>
  </r>
  <r>
    <x v="2"/>
    <n v="158000"/>
    <n v="157500"/>
    <m/>
    <n v="432000"/>
    <m/>
    <x v="493"/>
    <x v="1"/>
    <x v="11"/>
  </r>
  <r>
    <x v="3"/>
    <n v="45000"/>
    <n v="54000"/>
    <m/>
    <n v="432000"/>
    <m/>
    <x v="493"/>
    <x v="1"/>
    <x v="11"/>
  </r>
  <r>
    <x v="4"/>
    <n v="589500"/>
    <n v="261000"/>
    <m/>
    <n v="45000"/>
    <n v="100000"/>
    <x v="493"/>
    <x v="1"/>
    <x v="11"/>
  </r>
  <r>
    <x v="5"/>
    <n v="378000"/>
    <n v="108000"/>
    <m/>
    <n v="50000"/>
    <n v="378000"/>
    <x v="493"/>
    <x v="1"/>
    <x v="11"/>
  </r>
  <r>
    <x v="14"/>
    <m/>
    <n v="162000"/>
    <m/>
    <m/>
    <m/>
    <x v="493"/>
    <x v="1"/>
    <x v="11"/>
  </r>
  <r>
    <x v="6"/>
    <m/>
    <n v="54000"/>
    <m/>
    <n v="108000"/>
    <m/>
    <x v="493"/>
    <x v="1"/>
    <x v="11"/>
  </r>
  <r>
    <x v="7"/>
    <m/>
    <m/>
    <m/>
    <m/>
    <m/>
    <x v="493"/>
    <x v="1"/>
    <x v="11"/>
  </r>
  <r>
    <x v="15"/>
    <m/>
    <m/>
    <m/>
    <m/>
    <m/>
    <x v="493"/>
    <x v="1"/>
    <x v="11"/>
  </r>
  <r>
    <x v="8"/>
    <m/>
    <m/>
    <m/>
    <m/>
    <m/>
    <x v="493"/>
    <x v="1"/>
    <x v="11"/>
  </r>
  <r>
    <x v="9"/>
    <n v="756000"/>
    <n v="162000"/>
    <m/>
    <m/>
    <m/>
    <x v="493"/>
    <x v="1"/>
    <x v="11"/>
  </r>
  <r>
    <x v="10"/>
    <m/>
    <m/>
    <m/>
    <m/>
    <m/>
    <x v="493"/>
    <x v="1"/>
    <x v="11"/>
  </r>
  <r>
    <x v="11"/>
    <n v="526500"/>
    <n v="108000"/>
    <m/>
    <m/>
    <m/>
    <x v="493"/>
    <x v="1"/>
    <x v="11"/>
  </r>
  <r>
    <x v="16"/>
    <m/>
    <m/>
    <m/>
    <m/>
    <m/>
    <x v="493"/>
    <x v="1"/>
    <x v="11"/>
  </r>
  <r>
    <x v="12"/>
    <m/>
    <n v="45000"/>
    <m/>
    <m/>
    <m/>
    <x v="493"/>
    <x v="1"/>
    <x v="11"/>
  </r>
  <r>
    <x v="13"/>
    <m/>
    <n v="108000"/>
    <m/>
    <n v="108000"/>
    <m/>
    <x v="493"/>
    <x v="1"/>
    <x v="11"/>
  </r>
  <r>
    <x v="0"/>
    <m/>
    <m/>
    <m/>
    <m/>
    <m/>
    <x v="494"/>
    <x v="1"/>
    <x v="11"/>
  </r>
  <r>
    <x v="1"/>
    <n v="99000"/>
    <m/>
    <n v="315000"/>
    <m/>
    <m/>
    <x v="494"/>
    <x v="1"/>
    <x v="11"/>
  </r>
  <r>
    <x v="2"/>
    <n v="270000"/>
    <n v="108000"/>
    <m/>
    <n v="270000"/>
    <m/>
    <x v="494"/>
    <x v="1"/>
    <x v="11"/>
  </r>
  <r>
    <x v="3"/>
    <m/>
    <m/>
    <m/>
    <m/>
    <m/>
    <x v="494"/>
    <x v="1"/>
    <x v="11"/>
  </r>
  <r>
    <x v="4"/>
    <n v="702000"/>
    <n v="370000"/>
    <m/>
    <n v="45000"/>
    <m/>
    <x v="494"/>
    <x v="1"/>
    <x v="11"/>
  </r>
  <r>
    <x v="5"/>
    <n v="108000"/>
    <n v="207000"/>
    <m/>
    <m/>
    <n v="200000"/>
    <x v="494"/>
    <x v="1"/>
    <x v="11"/>
  </r>
  <r>
    <x v="14"/>
    <m/>
    <n v="216000"/>
    <m/>
    <n v="432000"/>
    <n v="270000"/>
    <x v="494"/>
    <x v="1"/>
    <x v="11"/>
  </r>
  <r>
    <x v="6"/>
    <m/>
    <n v="162000"/>
    <m/>
    <m/>
    <m/>
    <x v="494"/>
    <x v="1"/>
    <x v="11"/>
  </r>
  <r>
    <x v="7"/>
    <m/>
    <m/>
    <m/>
    <m/>
    <m/>
    <x v="494"/>
    <x v="1"/>
    <x v="11"/>
  </r>
  <r>
    <x v="15"/>
    <m/>
    <m/>
    <m/>
    <m/>
    <m/>
    <x v="494"/>
    <x v="1"/>
    <x v="11"/>
  </r>
  <r>
    <x v="8"/>
    <m/>
    <m/>
    <m/>
    <m/>
    <m/>
    <x v="494"/>
    <x v="1"/>
    <x v="11"/>
  </r>
  <r>
    <x v="9"/>
    <n v="558500"/>
    <n v="319500"/>
    <n v="266000"/>
    <m/>
    <m/>
    <x v="494"/>
    <x v="1"/>
    <x v="11"/>
  </r>
  <r>
    <x v="10"/>
    <m/>
    <m/>
    <m/>
    <m/>
    <m/>
    <x v="494"/>
    <x v="1"/>
    <x v="11"/>
  </r>
  <r>
    <x v="11"/>
    <n v="324000"/>
    <n v="162000"/>
    <m/>
    <m/>
    <m/>
    <x v="494"/>
    <x v="1"/>
    <x v="11"/>
  </r>
  <r>
    <x v="16"/>
    <m/>
    <m/>
    <m/>
    <m/>
    <m/>
    <x v="494"/>
    <x v="1"/>
    <x v="11"/>
  </r>
  <r>
    <x v="12"/>
    <m/>
    <m/>
    <m/>
    <m/>
    <m/>
    <x v="494"/>
    <x v="1"/>
    <x v="11"/>
  </r>
  <r>
    <x v="13"/>
    <n v="162000"/>
    <n v="216000"/>
    <m/>
    <m/>
    <m/>
    <x v="494"/>
    <x v="1"/>
    <x v="11"/>
  </r>
  <r>
    <x v="0"/>
    <m/>
    <m/>
    <m/>
    <m/>
    <m/>
    <x v="495"/>
    <x v="1"/>
    <x v="11"/>
  </r>
  <r>
    <x v="1"/>
    <n v="162000"/>
    <m/>
    <n v="54000"/>
    <m/>
    <m/>
    <x v="495"/>
    <x v="1"/>
    <x v="11"/>
  </r>
  <r>
    <x v="2"/>
    <n v="153000"/>
    <n v="216000"/>
    <m/>
    <m/>
    <n v="50000"/>
    <x v="495"/>
    <x v="1"/>
    <x v="11"/>
  </r>
  <r>
    <x v="3"/>
    <n v="54000"/>
    <m/>
    <m/>
    <m/>
    <m/>
    <x v="495"/>
    <x v="1"/>
    <x v="11"/>
  </r>
  <r>
    <x v="4"/>
    <n v="324000"/>
    <n v="594000"/>
    <m/>
    <m/>
    <m/>
    <x v="495"/>
    <x v="1"/>
    <x v="11"/>
  </r>
  <r>
    <x v="5"/>
    <n v="216000"/>
    <n v="162000"/>
    <m/>
    <m/>
    <m/>
    <x v="495"/>
    <x v="1"/>
    <x v="11"/>
  </r>
  <r>
    <x v="14"/>
    <n v="324000"/>
    <n v="103500"/>
    <m/>
    <m/>
    <m/>
    <x v="495"/>
    <x v="1"/>
    <x v="11"/>
  </r>
  <r>
    <x v="6"/>
    <m/>
    <n v="162000"/>
    <m/>
    <m/>
    <m/>
    <x v="495"/>
    <x v="1"/>
    <x v="11"/>
  </r>
  <r>
    <x v="7"/>
    <m/>
    <m/>
    <m/>
    <m/>
    <m/>
    <x v="495"/>
    <x v="1"/>
    <x v="11"/>
  </r>
  <r>
    <x v="15"/>
    <m/>
    <m/>
    <m/>
    <m/>
    <m/>
    <x v="495"/>
    <x v="1"/>
    <x v="11"/>
  </r>
  <r>
    <x v="8"/>
    <m/>
    <m/>
    <m/>
    <m/>
    <m/>
    <x v="495"/>
    <x v="1"/>
    <x v="11"/>
  </r>
  <r>
    <x v="9"/>
    <n v="540000"/>
    <n v="144000"/>
    <n v="594000"/>
    <m/>
    <m/>
    <x v="495"/>
    <x v="1"/>
    <x v="11"/>
  </r>
  <r>
    <x v="10"/>
    <m/>
    <m/>
    <m/>
    <m/>
    <m/>
    <x v="495"/>
    <x v="1"/>
    <x v="11"/>
  </r>
  <r>
    <x v="11"/>
    <n v="478000"/>
    <n v="108000"/>
    <m/>
    <m/>
    <m/>
    <x v="495"/>
    <x v="1"/>
    <x v="11"/>
  </r>
  <r>
    <x v="16"/>
    <m/>
    <m/>
    <m/>
    <m/>
    <m/>
    <x v="495"/>
    <x v="1"/>
    <x v="11"/>
  </r>
  <r>
    <x v="12"/>
    <m/>
    <m/>
    <m/>
    <m/>
    <m/>
    <x v="495"/>
    <x v="1"/>
    <x v="11"/>
  </r>
  <r>
    <x v="13"/>
    <n v="108000"/>
    <n v="53500"/>
    <m/>
    <m/>
    <m/>
    <x v="495"/>
    <x v="1"/>
    <x v="11"/>
  </r>
  <r>
    <x v="0"/>
    <m/>
    <m/>
    <m/>
    <m/>
    <m/>
    <x v="496"/>
    <x v="1"/>
    <x v="11"/>
  </r>
  <r>
    <x v="1"/>
    <n v="162000"/>
    <m/>
    <n v="216000"/>
    <m/>
    <m/>
    <x v="496"/>
    <x v="1"/>
    <x v="11"/>
  </r>
  <r>
    <x v="2"/>
    <n v="374000"/>
    <n v="54000"/>
    <m/>
    <m/>
    <m/>
    <x v="496"/>
    <x v="1"/>
    <x v="11"/>
  </r>
  <r>
    <x v="3"/>
    <m/>
    <m/>
    <m/>
    <m/>
    <m/>
    <x v="496"/>
    <x v="1"/>
    <x v="11"/>
  </r>
  <r>
    <x v="4"/>
    <n v="49500"/>
    <n v="216000"/>
    <m/>
    <m/>
    <m/>
    <x v="496"/>
    <x v="1"/>
    <x v="11"/>
  </r>
  <r>
    <x v="5"/>
    <n v="427500"/>
    <n v="378000"/>
    <m/>
    <n v="49500"/>
    <m/>
    <x v="496"/>
    <x v="1"/>
    <x v="11"/>
  </r>
  <r>
    <x v="14"/>
    <n v="270000"/>
    <n v="216000"/>
    <m/>
    <n v="324000"/>
    <m/>
    <x v="496"/>
    <x v="1"/>
    <x v="11"/>
  </r>
  <r>
    <x v="6"/>
    <m/>
    <m/>
    <m/>
    <n v="108000"/>
    <m/>
    <x v="496"/>
    <x v="1"/>
    <x v="11"/>
  </r>
  <r>
    <x v="7"/>
    <m/>
    <m/>
    <m/>
    <m/>
    <m/>
    <x v="496"/>
    <x v="1"/>
    <x v="11"/>
  </r>
  <r>
    <x v="15"/>
    <m/>
    <m/>
    <m/>
    <m/>
    <m/>
    <x v="496"/>
    <x v="1"/>
    <x v="11"/>
  </r>
  <r>
    <x v="8"/>
    <m/>
    <m/>
    <m/>
    <m/>
    <m/>
    <x v="496"/>
    <x v="1"/>
    <x v="11"/>
  </r>
  <r>
    <x v="9"/>
    <n v="702000"/>
    <n v="265500"/>
    <n v="50000"/>
    <m/>
    <m/>
    <x v="496"/>
    <x v="1"/>
    <x v="11"/>
  </r>
  <r>
    <x v="10"/>
    <m/>
    <m/>
    <m/>
    <m/>
    <m/>
    <x v="496"/>
    <x v="1"/>
    <x v="11"/>
  </r>
  <r>
    <x v="11"/>
    <m/>
    <n v="54000"/>
    <m/>
    <m/>
    <m/>
    <x v="496"/>
    <x v="1"/>
    <x v="11"/>
  </r>
  <r>
    <x v="16"/>
    <m/>
    <m/>
    <m/>
    <m/>
    <m/>
    <x v="496"/>
    <x v="1"/>
    <x v="11"/>
  </r>
  <r>
    <x v="12"/>
    <m/>
    <m/>
    <m/>
    <m/>
    <m/>
    <x v="496"/>
    <x v="1"/>
    <x v="11"/>
  </r>
  <r>
    <x v="13"/>
    <n v="158000"/>
    <n v="355500"/>
    <m/>
    <m/>
    <m/>
    <x v="496"/>
    <x v="1"/>
    <x v="11"/>
  </r>
  <r>
    <x v="0"/>
    <m/>
    <m/>
    <m/>
    <m/>
    <m/>
    <x v="497"/>
    <x v="1"/>
    <x v="11"/>
  </r>
  <r>
    <x v="1"/>
    <n v="108000"/>
    <m/>
    <m/>
    <m/>
    <m/>
    <x v="497"/>
    <x v="1"/>
    <x v="11"/>
  </r>
  <r>
    <x v="2"/>
    <n v="324000"/>
    <n v="108000"/>
    <m/>
    <m/>
    <m/>
    <x v="497"/>
    <x v="1"/>
    <x v="11"/>
  </r>
  <r>
    <x v="3"/>
    <m/>
    <m/>
    <m/>
    <m/>
    <m/>
    <x v="497"/>
    <x v="1"/>
    <x v="11"/>
  </r>
  <r>
    <x v="4"/>
    <n v="45000"/>
    <n v="378000"/>
    <m/>
    <m/>
    <m/>
    <x v="497"/>
    <x v="1"/>
    <x v="11"/>
  </r>
  <r>
    <x v="5"/>
    <n v="482000"/>
    <n v="216000"/>
    <m/>
    <m/>
    <m/>
    <x v="497"/>
    <x v="1"/>
    <x v="11"/>
  </r>
  <r>
    <x v="14"/>
    <n v="425000"/>
    <n v="108000"/>
    <m/>
    <n v="108000"/>
    <m/>
    <x v="497"/>
    <x v="1"/>
    <x v="11"/>
  </r>
  <r>
    <x v="6"/>
    <m/>
    <n v="108000"/>
    <m/>
    <n v="108000"/>
    <m/>
    <x v="497"/>
    <x v="1"/>
    <x v="11"/>
  </r>
  <r>
    <x v="7"/>
    <m/>
    <m/>
    <m/>
    <m/>
    <m/>
    <x v="497"/>
    <x v="1"/>
    <x v="11"/>
  </r>
  <r>
    <x v="15"/>
    <m/>
    <m/>
    <m/>
    <m/>
    <m/>
    <x v="497"/>
    <x v="1"/>
    <x v="11"/>
  </r>
  <r>
    <x v="8"/>
    <m/>
    <m/>
    <m/>
    <m/>
    <m/>
    <x v="497"/>
    <x v="1"/>
    <x v="11"/>
  </r>
  <r>
    <x v="9"/>
    <n v="756000"/>
    <n v="153000"/>
    <n v="90000"/>
    <n v="324000"/>
    <m/>
    <x v="497"/>
    <x v="1"/>
    <x v="11"/>
  </r>
  <r>
    <x v="10"/>
    <m/>
    <m/>
    <m/>
    <m/>
    <m/>
    <x v="497"/>
    <x v="1"/>
    <x v="11"/>
  </r>
  <r>
    <x v="11"/>
    <m/>
    <m/>
    <m/>
    <m/>
    <m/>
    <x v="497"/>
    <x v="1"/>
    <x v="11"/>
  </r>
  <r>
    <x v="16"/>
    <m/>
    <m/>
    <m/>
    <m/>
    <m/>
    <x v="497"/>
    <x v="1"/>
    <x v="11"/>
  </r>
  <r>
    <x v="12"/>
    <m/>
    <m/>
    <m/>
    <m/>
    <m/>
    <x v="497"/>
    <x v="1"/>
    <x v="11"/>
  </r>
  <r>
    <x v="13"/>
    <m/>
    <n v="158000"/>
    <m/>
    <m/>
    <m/>
    <x v="497"/>
    <x v="1"/>
    <x v="11"/>
  </r>
  <r>
    <x v="0"/>
    <m/>
    <m/>
    <m/>
    <m/>
    <m/>
    <x v="498"/>
    <x v="1"/>
    <x v="11"/>
  </r>
  <r>
    <x v="1"/>
    <n v="54000"/>
    <m/>
    <m/>
    <m/>
    <m/>
    <x v="498"/>
    <x v="1"/>
    <x v="11"/>
  </r>
  <r>
    <x v="2"/>
    <n v="162000"/>
    <n v="270000"/>
    <m/>
    <n v="45000"/>
    <m/>
    <x v="498"/>
    <x v="1"/>
    <x v="11"/>
  </r>
  <r>
    <x v="3"/>
    <m/>
    <m/>
    <m/>
    <n v="517500"/>
    <m/>
    <x v="498"/>
    <x v="1"/>
    <x v="11"/>
  </r>
  <r>
    <x v="4"/>
    <m/>
    <m/>
    <m/>
    <m/>
    <m/>
    <x v="498"/>
    <x v="1"/>
    <x v="11"/>
  </r>
  <r>
    <x v="5"/>
    <n v="540000"/>
    <n v="270000"/>
    <m/>
    <m/>
    <m/>
    <x v="498"/>
    <x v="1"/>
    <x v="11"/>
  </r>
  <r>
    <x v="14"/>
    <n v="486000"/>
    <n v="324000"/>
    <m/>
    <m/>
    <m/>
    <x v="498"/>
    <x v="1"/>
    <x v="11"/>
  </r>
  <r>
    <x v="6"/>
    <m/>
    <n v="108000"/>
    <m/>
    <n v="49500"/>
    <m/>
    <x v="498"/>
    <x v="1"/>
    <x v="11"/>
  </r>
  <r>
    <x v="7"/>
    <m/>
    <m/>
    <m/>
    <m/>
    <m/>
    <x v="498"/>
    <x v="1"/>
    <x v="11"/>
  </r>
  <r>
    <x v="15"/>
    <m/>
    <m/>
    <m/>
    <m/>
    <m/>
    <x v="498"/>
    <x v="1"/>
    <x v="11"/>
  </r>
  <r>
    <x v="8"/>
    <m/>
    <m/>
    <m/>
    <m/>
    <m/>
    <x v="498"/>
    <x v="1"/>
    <x v="11"/>
  </r>
  <r>
    <x v="9"/>
    <n v="962000"/>
    <n v="378000"/>
    <m/>
    <n v="162000"/>
    <m/>
    <x v="498"/>
    <x v="1"/>
    <x v="11"/>
  </r>
  <r>
    <x v="10"/>
    <m/>
    <m/>
    <m/>
    <m/>
    <m/>
    <x v="498"/>
    <x v="1"/>
    <x v="11"/>
  </r>
  <r>
    <x v="11"/>
    <m/>
    <m/>
    <m/>
    <m/>
    <m/>
    <x v="498"/>
    <x v="1"/>
    <x v="11"/>
  </r>
  <r>
    <x v="16"/>
    <m/>
    <m/>
    <m/>
    <m/>
    <m/>
    <x v="498"/>
    <x v="1"/>
    <x v="11"/>
  </r>
  <r>
    <x v="12"/>
    <m/>
    <n v="45000"/>
    <m/>
    <m/>
    <m/>
    <x v="498"/>
    <x v="1"/>
    <x v="11"/>
  </r>
  <r>
    <x v="13"/>
    <n v="135000"/>
    <n v="216000"/>
    <m/>
    <m/>
    <m/>
    <x v="498"/>
    <x v="1"/>
    <x v="11"/>
  </r>
  <r>
    <x v="0"/>
    <m/>
    <m/>
    <m/>
    <m/>
    <m/>
    <x v="499"/>
    <x v="1"/>
    <x v="11"/>
  </r>
  <r>
    <x v="1"/>
    <m/>
    <m/>
    <m/>
    <m/>
    <m/>
    <x v="499"/>
    <x v="1"/>
    <x v="11"/>
  </r>
  <r>
    <x v="2"/>
    <m/>
    <n v="162000"/>
    <m/>
    <m/>
    <m/>
    <x v="499"/>
    <x v="1"/>
    <x v="11"/>
  </r>
  <r>
    <x v="3"/>
    <m/>
    <m/>
    <m/>
    <n v="585000"/>
    <m/>
    <x v="499"/>
    <x v="1"/>
    <x v="11"/>
  </r>
  <r>
    <x v="4"/>
    <m/>
    <n v="108000"/>
    <m/>
    <m/>
    <m/>
    <x v="499"/>
    <x v="1"/>
    <x v="11"/>
  </r>
  <r>
    <x v="5"/>
    <n v="482000"/>
    <n v="54000"/>
    <m/>
    <m/>
    <m/>
    <x v="499"/>
    <x v="1"/>
    <x v="11"/>
  </r>
  <r>
    <x v="14"/>
    <n v="214000"/>
    <n v="108000"/>
    <m/>
    <m/>
    <m/>
    <x v="499"/>
    <x v="1"/>
    <x v="11"/>
  </r>
  <r>
    <x v="6"/>
    <m/>
    <n v="108000"/>
    <m/>
    <m/>
    <m/>
    <x v="499"/>
    <x v="1"/>
    <x v="11"/>
  </r>
  <r>
    <x v="7"/>
    <m/>
    <m/>
    <m/>
    <m/>
    <m/>
    <x v="499"/>
    <x v="1"/>
    <x v="11"/>
  </r>
  <r>
    <x v="15"/>
    <m/>
    <m/>
    <m/>
    <m/>
    <m/>
    <x v="499"/>
    <x v="1"/>
    <x v="11"/>
  </r>
  <r>
    <x v="8"/>
    <m/>
    <n v="702000"/>
    <m/>
    <m/>
    <m/>
    <x v="499"/>
    <x v="1"/>
    <x v="11"/>
  </r>
  <r>
    <x v="9"/>
    <n v="1350000"/>
    <n v="162000"/>
    <m/>
    <m/>
    <m/>
    <x v="499"/>
    <x v="1"/>
    <x v="11"/>
  </r>
  <r>
    <x v="10"/>
    <m/>
    <m/>
    <m/>
    <m/>
    <m/>
    <x v="499"/>
    <x v="1"/>
    <x v="11"/>
  </r>
  <r>
    <x v="11"/>
    <m/>
    <n v="54000"/>
    <m/>
    <m/>
    <m/>
    <x v="499"/>
    <x v="1"/>
    <x v="11"/>
  </r>
  <r>
    <x v="16"/>
    <m/>
    <m/>
    <m/>
    <m/>
    <m/>
    <x v="499"/>
    <x v="1"/>
    <x v="11"/>
  </r>
  <r>
    <x v="12"/>
    <m/>
    <m/>
    <m/>
    <m/>
    <m/>
    <x v="499"/>
    <x v="1"/>
    <x v="11"/>
  </r>
  <r>
    <x v="13"/>
    <m/>
    <m/>
    <m/>
    <m/>
    <m/>
    <x v="499"/>
    <x v="1"/>
    <x v="11"/>
  </r>
  <r>
    <x v="0"/>
    <m/>
    <m/>
    <m/>
    <m/>
    <m/>
    <x v="500"/>
    <x v="1"/>
    <x v="11"/>
  </r>
  <r>
    <x v="1"/>
    <m/>
    <m/>
    <m/>
    <m/>
    <m/>
    <x v="500"/>
    <x v="1"/>
    <x v="11"/>
  </r>
  <r>
    <x v="2"/>
    <n v="694000"/>
    <n v="54000"/>
    <m/>
    <m/>
    <m/>
    <x v="500"/>
    <x v="1"/>
    <x v="11"/>
  </r>
  <r>
    <x v="3"/>
    <m/>
    <m/>
    <m/>
    <n v="644000"/>
    <m/>
    <x v="500"/>
    <x v="1"/>
    <x v="11"/>
  </r>
  <r>
    <x v="4"/>
    <m/>
    <n v="315000"/>
    <m/>
    <m/>
    <m/>
    <x v="500"/>
    <x v="1"/>
    <x v="11"/>
  </r>
  <r>
    <x v="5"/>
    <m/>
    <n v="162000"/>
    <m/>
    <m/>
    <m/>
    <x v="500"/>
    <x v="1"/>
    <x v="11"/>
  </r>
  <r>
    <x v="14"/>
    <n v="54000"/>
    <n v="162000"/>
    <m/>
    <m/>
    <m/>
    <x v="500"/>
    <x v="1"/>
    <x v="11"/>
  </r>
  <r>
    <x v="6"/>
    <m/>
    <n v="161500"/>
    <m/>
    <m/>
    <m/>
    <x v="500"/>
    <x v="1"/>
    <x v="11"/>
  </r>
  <r>
    <x v="7"/>
    <m/>
    <m/>
    <m/>
    <m/>
    <m/>
    <x v="500"/>
    <x v="1"/>
    <x v="11"/>
  </r>
  <r>
    <x v="15"/>
    <m/>
    <m/>
    <m/>
    <m/>
    <m/>
    <x v="500"/>
    <x v="1"/>
    <x v="11"/>
  </r>
  <r>
    <x v="8"/>
    <m/>
    <m/>
    <m/>
    <m/>
    <m/>
    <x v="500"/>
    <x v="1"/>
    <x v="11"/>
  </r>
  <r>
    <x v="9"/>
    <n v="1179000"/>
    <n v="266000"/>
    <m/>
    <m/>
    <m/>
    <x v="500"/>
    <x v="1"/>
    <x v="11"/>
  </r>
  <r>
    <x v="10"/>
    <m/>
    <m/>
    <m/>
    <m/>
    <m/>
    <x v="500"/>
    <x v="1"/>
    <x v="11"/>
  </r>
  <r>
    <x v="11"/>
    <m/>
    <m/>
    <m/>
    <m/>
    <m/>
    <x v="500"/>
    <x v="1"/>
    <x v="11"/>
  </r>
  <r>
    <x v="16"/>
    <m/>
    <m/>
    <m/>
    <m/>
    <m/>
    <x v="500"/>
    <x v="1"/>
    <x v="11"/>
  </r>
  <r>
    <x v="12"/>
    <m/>
    <m/>
    <m/>
    <m/>
    <m/>
    <x v="500"/>
    <x v="1"/>
    <x v="11"/>
  </r>
  <r>
    <x v="13"/>
    <m/>
    <n v="270000"/>
    <m/>
    <m/>
    <m/>
    <x v="500"/>
    <x v="1"/>
    <x v="11"/>
  </r>
  <r>
    <x v="0"/>
    <m/>
    <m/>
    <m/>
    <m/>
    <m/>
    <x v="501"/>
    <x v="2"/>
    <x v="0"/>
  </r>
  <r>
    <x v="1"/>
    <m/>
    <m/>
    <m/>
    <m/>
    <m/>
    <x v="501"/>
    <x v="2"/>
    <x v="0"/>
  </r>
  <r>
    <x v="2"/>
    <m/>
    <m/>
    <m/>
    <m/>
    <m/>
    <x v="501"/>
    <x v="2"/>
    <x v="0"/>
  </r>
  <r>
    <x v="3"/>
    <m/>
    <m/>
    <m/>
    <m/>
    <m/>
    <x v="501"/>
    <x v="2"/>
    <x v="0"/>
  </r>
  <r>
    <x v="4"/>
    <m/>
    <n v="108000"/>
    <m/>
    <m/>
    <m/>
    <x v="501"/>
    <x v="2"/>
    <x v="0"/>
  </r>
  <r>
    <x v="5"/>
    <m/>
    <n v="54000"/>
    <m/>
    <m/>
    <m/>
    <x v="501"/>
    <x v="2"/>
    <x v="0"/>
  </r>
  <r>
    <x v="14"/>
    <m/>
    <m/>
    <m/>
    <m/>
    <m/>
    <x v="501"/>
    <x v="2"/>
    <x v="0"/>
  </r>
  <r>
    <x v="6"/>
    <m/>
    <m/>
    <m/>
    <m/>
    <m/>
    <x v="501"/>
    <x v="2"/>
    <x v="0"/>
  </r>
  <r>
    <x v="7"/>
    <m/>
    <m/>
    <m/>
    <m/>
    <m/>
    <x v="501"/>
    <x v="2"/>
    <x v="0"/>
  </r>
  <r>
    <x v="15"/>
    <m/>
    <m/>
    <m/>
    <m/>
    <m/>
    <x v="501"/>
    <x v="2"/>
    <x v="0"/>
  </r>
  <r>
    <x v="8"/>
    <m/>
    <m/>
    <m/>
    <m/>
    <m/>
    <x v="501"/>
    <x v="2"/>
    <x v="0"/>
  </r>
  <r>
    <x v="9"/>
    <m/>
    <n v="54000"/>
    <m/>
    <m/>
    <m/>
    <x v="501"/>
    <x v="2"/>
    <x v="0"/>
  </r>
  <r>
    <x v="10"/>
    <m/>
    <m/>
    <m/>
    <m/>
    <m/>
    <x v="501"/>
    <x v="2"/>
    <x v="0"/>
  </r>
  <r>
    <x v="11"/>
    <m/>
    <m/>
    <m/>
    <m/>
    <m/>
    <x v="501"/>
    <x v="2"/>
    <x v="0"/>
  </r>
  <r>
    <x v="16"/>
    <m/>
    <m/>
    <m/>
    <m/>
    <m/>
    <x v="501"/>
    <x v="2"/>
    <x v="0"/>
  </r>
  <r>
    <x v="12"/>
    <m/>
    <m/>
    <m/>
    <m/>
    <m/>
    <x v="501"/>
    <x v="2"/>
    <x v="0"/>
  </r>
  <r>
    <x v="13"/>
    <m/>
    <n v="108000"/>
    <m/>
    <m/>
    <m/>
    <x v="501"/>
    <x v="2"/>
    <x v="0"/>
  </r>
  <r>
    <x v="0"/>
    <m/>
    <m/>
    <m/>
    <m/>
    <m/>
    <x v="502"/>
    <x v="2"/>
    <x v="0"/>
  </r>
  <r>
    <x v="1"/>
    <m/>
    <m/>
    <m/>
    <m/>
    <m/>
    <x v="502"/>
    <x v="2"/>
    <x v="0"/>
  </r>
  <r>
    <x v="2"/>
    <m/>
    <n v="157500"/>
    <m/>
    <m/>
    <m/>
    <x v="502"/>
    <x v="2"/>
    <x v="0"/>
  </r>
  <r>
    <x v="3"/>
    <m/>
    <m/>
    <m/>
    <n v="270000"/>
    <m/>
    <x v="502"/>
    <x v="2"/>
    <x v="0"/>
  </r>
  <r>
    <x v="4"/>
    <m/>
    <m/>
    <m/>
    <n v="108000"/>
    <m/>
    <x v="502"/>
    <x v="2"/>
    <x v="0"/>
  </r>
  <r>
    <x v="5"/>
    <m/>
    <n v="162000"/>
    <m/>
    <m/>
    <m/>
    <x v="502"/>
    <x v="2"/>
    <x v="0"/>
  </r>
  <r>
    <x v="14"/>
    <m/>
    <n v="162000"/>
    <m/>
    <m/>
    <m/>
    <x v="502"/>
    <x v="2"/>
    <x v="0"/>
  </r>
  <r>
    <x v="6"/>
    <m/>
    <n v="54000"/>
    <m/>
    <m/>
    <m/>
    <x v="502"/>
    <x v="2"/>
    <x v="0"/>
  </r>
  <r>
    <x v="7"/>
    <m/>
    <m/>
    <m/>
    <m/>
    <m/>
    <x v="502"/>
    <x v="2"/>
    <x v="0"/>
  </r>
  <r>
    <x v="15"/>
    <m/>
    <m/>
    <m/>
    <m/>
    <m/>
    <x v="502"/>
    <x v="2"/>
    <x v="0"/>
  </r>
  <r>
    <x v="8"/>
    <m/>
    <m/>
    <m/>
    <m/>
    <m/>
    <x v="502"/>
    <x v="2"/>
    <x v="0"/>
  </r>
  <r>
    <x v="9"/>
    <n v="355500"/>
    <n v="153000"/>
    <m/>
    <m/>
    <m/>
    <x v="502"/>
    <x v="2"/>
    <x v="0"/>
  </r>
  <r>
    <x v="10"/>
    <m/>
    <m/>
    <m/>
    <m/>
    <m/>
    <x v="502"/>
    <x v="2"/>
    <x v="0"/>
  </r>
  <r>
    <x v="11"/>
    <m/>
    <m/>
    <m/>
    <m/>
    <m/>
    <x v="502"/>
    <x v="2"/>
    <x v="0"/>
  </r>
  <r>
    <x v="16"/>
    <m/>
    <m/>
    <m/>
    <m/>
    <m/>
    <x v="502"/>
    <x v="2"/>
    <x v="0"/>
  </r>
  <r>
    <x v="12"/>
    <m/>
    <m/>
    <m/>
    <m/>
    <m/>
    <x v="502"/>
    <x v="2"/>
    <x v="0"/>
  </r>
  <r>
    <x v="13"/>
    <m/>
    <n v="162000"/>
    <m/>
    <n v="108000"/>
    <m/>
    <x v="502"/>
    <x v="2"/>
    <x v="0"/>
  </r>
  <r>
    <x v="0"/>
    <m/>
    <m/>
    <m/>
    <m/>
    <m/>
    <x v="503"/>
    <x v="2"/>
    <x v="0"/>
  </r>
  <r>
    <x v="1"/>
    <m/>
    <m/>
    <m/>
    <m/>
    <m/>
    <x v="503"/>
    <x v="2"/>
    <x v="0"/>
  </r>
  <r>
    <x v="2"/>
    <m/>
    <n v="162000"/>
    <m/>
    <n v="45000"/>
    <m/>
    <x v="503"/>
    <x v="2"/>
    <x v="0"/>
  </r>
  <r>
    <x v="3"/>
    <m/>
    <m/>
    <m/>
    <n v="486000"/>
    <m/>
    <x v="503"/>
    <x v="2"/>
    <x v="0"/>
  </r>
  <r>
    <x v="4"/>
    <m/>
    <n v="108000"/>
    <m/>
    <n v="104000"/>
    <m/>
    <x v="503"/>
    <x v="2"/>
    <x v="0"/>
  </r>
  <r>
    <x v="5"/>
    <m/>
    <n v="265500"/>
    <m/>
    <n v="45000"/>
    <m/>
    <x v="503"/>
    <x v="2"/>
    <x v="0"/>
  </r>
  <r>
    <x v="14"/>
    <m/>
    <n v="261000"/>
    <m/>
    <m/>
    <m/>
    <x v="503"/>
    <x v="2"/>
    <x v="0"/>
  </r>
  <r>
    <x v="6"/>
    <m/>
    <m/>
    <m/>
    <m/>
    <m/>
    <x v="503"/>
    <x v="2"/>
    <x v="0"/>
  </r>
  <r>
    <x v="7"/>
    <m/>
    <m/>
    <m/>
    <m/>
    <m/>
    <x v="503"/>
    <x v="2"/>
    <x v="0"/>
  </r>
  <r>
    <x v="15"/>
    <m/>
    <m/>
    <m/>
    <m/>
    <m/>
    <x v="503"/>
    <x v="2"/>
    <x v="0"/>
  </r>
  <r>
    <x v="8"/>
    <n v="486000"/>
    <m/>
    <m/>
    <m/>
    <n v="378000"/>
    <x v="503"/>
    <x v="2"/>
    <x v="0"/>
  </r>
  <r>
    <x v="9"/>
    <n v="45000"/>
    <n v="261000"/>
    <m/>
    <m/>
    <m/>
    <x v="503"/>
    <x v="2"/>
    <x v="0"/>
  </r>
  <r>
    <x v="10"/>
    <m/>
    <m/>
    <m/>
    <m/>
    <m/>
    <x v="503"/>
    <x v="2"/>
    <x v="0"/>
  </r>
  <r>
    <x v="11"/>
    <m/>
    <m/>
    <m/>
    <m/>
    <m/>
    <x v="503"/>
    <x v="2"/>
    <x v="0"/>
  </r>
  <r>
    <x v="16"/>
    <m/>
    <m/>
    <m/>
    <m/>
    <m/>
    <x v="503"/>
    <x v="2"/>
    <x v="0"/>
  </r>
  <r>
    <x v="12"/>
    <m/>
    <m/>
    <m/>
    <m/>
    <m/>
    <x v="503"/>
    <x v="2"/>
    <x v="0"/>
  </r>
  <r>
    <x v="13"/>
    <n v="432000"/>
    <n v="162000"/>
    <m/>
    <m/>
    <m/>
    <x v="503"/>
    <x v="2"/>
    <x v="0"/>
  </r>
  <r>
    <x v="0"/>
    <m/>
    <m/>
    <m/>
    <m/>
    <m/>
    <x v="504"/>
    <x v="2"/>
    <x v="0"/>
  </r>
  <r>
    <x v="1"/>
    <m/>
    <m/>
    <m/>
    <m/>
    <m/>
    <x v="504"/>
    <x v="2"/>
    <x v="0"/>
  </r>
  <r>
    <x v="2"/>
    <m/>
    <n v="108000"/>
    <m/>
    <m/>
    <m/>
    <x v="504"/>
    <x v="2"/>
    <x v="0"/>
  </r>
  <r>
    <x v="3"/>
    <m/>
    <m/>
    <m/>
    <n v="378000"/>
    <m/>
    <x v="504"/>
    <x v="2"/>
    <x v="0"/>
  </r>
  <r>
    <x v="4"/>
    <m/>
    <n v="108000"/>
    <m/>
    <n v="54000"/>
    <m/>
    <x v="504"/>
    <x v="2"/>
    <x v="0"/>
  </r>
  <r>
    <x v="5"/>
    <m/>
    <n v="108000"/>
    <m/>
    <m/>
    <m/>
    <x v="504"/>
    <x v="2"/>
    <x v="0"/>
  </r>
  <r>
    <x v="14"/>
    <m/>
    <n v="108000"/>
    <m/>
    <m/>
    <m/>
    <x v="504"/>
    <x v="2"/>
    <x v="0"/>
  </r>
  <r>
    <x v="6"/>
    <m/>
    <n v="162000"/>
    <m/>
    <m/>
    <m/>
    <x v="504"/>
    <x v="2"/>
    <x v="0"/>
  </r>
  <r>
    <x v="7"/>
    <m/>
    <m/>
    <m/>
    <m/>
    <m/>
    <x v="504"/>
    <x v="2"/>
    <x v="0"/>
  </r>
  <r>
    <x v="15"/>
    <m/>
    <m/>
    <m/>
    <m/>
    <m/>
    <x v="504"/>
    <x v="2"/>
    <x v="0"/>
  </r>
  <r>
    <x v="8"/>
    <n v="810000"/>
    <m/>
    <m/>
    <m/>
    <n v="324000"/>
    <x v="504"/>
    <x v="2"/>
    <x v="0"/>
  </r>
  <r>
    <x v="9"/>
    <m/>
    <n v="216000"/>
    <m/>
    <m/>
    <m/>
    <x v="504"/>
    <x v="2"/>
    <x v="0"/>
  </r>
  <r>
    <x v="10"/>
    <m/>
    <m/>
    <m/>
    <m/>
    <m/>
    <x v="504"/>
    <x v="2"/>
    <x v="0"/>
  </r>
  <r>
    <x v="11"/>
    <m/>
    <m/>
    <m/>
    <m/>
    <m/>
    <x v="504"/>
    <x v="2"/>
    <x v="0"/>
  </r>
  <r>
    <x v="16"/>
    <m/>
    <m/>
    <m/>
    <m/>
    <m/>
    <x v="504"/>
    <x v="2"/>
    <x v="0"/>
  </r>
  <r>
    <x v="12"/>
    <m/>
    <m/>
    <m/>
    <m/>
    <m/>
    <x v="504"/>
    <x v="2"/>
    <x v="0"/>
  </r>
  <r>
    <x v="13"/>
    <n v="378000"/>
    <n v="54000"/>
    <m/>
    <n v="54000"/>
    <m/>
    <x v="504"/>
    <x v="2"/>
    <x v="0"/>
  </r>
  <r>
    <x v="0"/>
    <m/>
    <m/>
    <m/>
    <m/>
    <m/>
    <x v="505"/>
    <x v="2"/>
    <x v="0"/>
  </r>
  <r>
    <x v="1"/>
    <m/>
    <n v="54000"/>
    <m/>
    <m/>
    <m/>
    <x v="505"/>
    <x v="2"/>
    <x v="0"/>
  </r>
  <r>
    <x v="2"/>
    <m/>
    <m/>
    <m/>
    <m/>
    <m/>
    <x v="505"/>
    <x v="2"/>
    <x v="0"/>
  </r>
  <r>
    <x v="3"/>
    <m/>
    <n v="108000"/>
    <m/>
    <n v="162000"/>
    <m/>
    <x v="505"/>
    <x v="2"/>
    <x v="0"/>
  </r>
  <r>
    <x v="4"/>
    <m/>
    <n v="108000"/>
    <m/>
    <m/>
    <m/>
    <x v="505"/>
    <x v="2"/>
    <x v="0"/>
  </r>
  <r>
    <x v="5"/>
    <m/>
    <n v="162000"/>
    <m/>
    <m/>
    <m/>
    <x v="505"/>
    <x v="2"/>
    <x v="0"/>
  </r>
  <r>
    <x v="14"/>
    <m/>
    <n v="364500"/>
    <m/>
    <m/>
    <m/>
    <x v="505"/>
    <x v="2"/>
    <x v="0"/>
  </r>
  <r>
    <x v="6"/>
    <m/>
    <m/>
    <m/>
    <m/>
    <m/>
    <x v="505"/>
    <x v="2"/>
    <x v="0"/>
  </r>
  <r>
    <x v="7"/>
    <m/>
    <m/>
    <m/>
    <m/>
    <m/>
    <x v="505"/>
    <x v="2"/>
    <x v="0"/>
  </r>
  <r>
    <x v="15"/>
    <m/>
    <m/>
    <m/>
    <m/>
    <m/>
    <x v="505"/>
    <x v="2"/>
    <x v="0"/>
  </r>
  <r>
    <x v="8"/>
    <n v="359500"/>
    <n v="324000"/>
    <m/>
    <m/>
    <n v="162000"/>
    <x v="505"/>
    <x v="2"/>
    <x v="0"/>
  </r>
  <r>
    <x v="9"/>
    <n v="54000"/>
    <n v="162000"/>
    <m/>
    <m/>
    <m/>
    <x v="505"/>
    <x v="2"/>
    <x v="0"/>
  </r>
  <r>
    <x v="10"/>
    <m/>
    <m/>
    <m/>
    <m/>
    <m/>
    <x v="505"/>
    <x v="2"/>
    <x v="0"/>
  </r>
  <r>
    <x v="11"/>
    <m/>
    <m/>
    <m/>
    <m/>
    <m/>
    <x v="505"/>
    <x v="2"/>
    <x v="0"/>
  </r>
  <r>
    <x v="16"/>
    <m/>
    <m/>
    <m/>
    <m/>
    <m/>
    <x v="505"/>
    <x v="2"/>
    <x v="0"/>
  </r>
  <r>
    <x v="12"/>
    <n v="216000"/>
    <n v="54000"/>
    <m/>
    <m/>
    <m/>
    <x v="505"/>
    <x v="2"/>
    <x v="0"/>
  </r>
  <r>
    <x v="13"/>
    <n v="324000"/>
    <n v="108000"/>
    <m/>
    <m/>
    <n v="216000"/>
    <x v="505"/>
    <x v="2"/>
    <x v="0"/>
  </r>
  <r>
    <x v="0"/>
    <m/>
    <m/>
    <m/>
    <m/>
    <m/>
    <x v="506"/>
    <x v="2"/>
    <x v="0"/>
  </r>
  <r>
    <x v="1"/>
    <m/>
    <n v="45000"/>
    <m/>
    <m/>
    <m/>
    <x v="506"/>
    <x v="2"/>
    <x v="0"/>
  </r>
  <r>
    <x v="2"/>
    <m/>
    <n v="54000"/>
    <m/>
    <m/>
    <m/>
    <x v="506"/>
    <x v="2"/>
    <x v="0"/>
  </r>
  <r>
    <x v="3"/>
    <n v="162000"/>
    <n v="162000"/>
    <m/>
    <m/>
    <n v="324000"/>
    <x v="506"/>
    <x v="2"/>
    <x v="0"/>
  </r>
  <r>
    <x v="4"/>
    <m/>
    <m/>
    <m/>
    <n v="158000"/>
    <m/>
    <x v="506"/>
    <x v="2"/>
    <x v="0"/>
  </r>
  <r>
    <x v="5"/>
    <m/>
    <n v="162000"/>
    <m/>
    <m/>
    <m/>
    <x v="506"/>
    <x v="2"/>
    <x v="0"/>
  </r>
  <r>
    <x v="14"/>
    <m/>
    <n v="324000"/>
    <m/>
    <m/>
    <m/>
    <x v="506"/>
    <x v="2"/>
    <x v="0"/>
  </r>
  <r>
    <x v="6"/>
    <m/>
    <m/>
    <m/>
    <m/>
    <m/>
    <x v="506"/>
    <x v="2"/>
    <x v="0"/>
  </r>
  <r>
    <x v="7"/>
    <m/>
    <m/>
    <m/>
    <m/>
    <m/>
    <x v="506"/>
    <x v="2"/>
    <x v="0"/>
  </r>
  <r>
    <x v="15"/>
    <m/>
    <m/>
    <m/>
    <m/>
    <m/>
    <x v="506"/>
    <x v="2"/>
    <x v="0"/>
  </r>
  <r>
    <x v="8"/>
    <n v="108000"/>
    <n v="252000"/>
    <m/>
    <m/>
    <n v="149000"/>
    <x v="506"/>
    <x v="2"/>
    <x v="0"/>
  </r>
  <r>
    <x v="9"/>
    <n v="432000"/>
    <n v="104000"/>
    <m/>
    <m/>
    <m/>
    <x v="506"/>
    <x v="2"/>
    <x v="0"/>
  </r>
  <r>
    <x v="10"/>
    <m/>
    <m/>
    <m/>
    <m/>
    <m/>
    <x v="506"/>
    <x v="2"/>
    <x v="0"/>
  </r>
  <r>
    <x v="11"/>
    <m/>
    <m/>
    <m/>
    <m/>
    <m/>
    <x v="506"/>
    <x v="2"/>
    <x v="0"/>
  </r>
  <r>
    <x v="16"/>
    <m/>
    <m/>
    <m/>
    <m/>
    <m/>
    <x v="506"/>
    <x v="2"/>
    <x v="0"/>
  </r>
  <r>
    <x v="12"/>
    <n v="54000"/>
    <n v="108000"/>
    <m/>
    <m/>
    <m/>
    <x v="506"/>
    <x v="2"/>
    <x v="0"/>
  </r>
  <r>
    <x v="13"/>
    <m/>
    <n v="194000"/>
    <m/>
    <n v="108000"/>
    <m/>
    <x v="506"/>
    <x v="2"/>
    <x v="0"/>
  </r>
  <r>
    <x v="0"/>
    <m/>
    <m/>
    <m/>
    <m/>
    <m/>
    <x v="507"/>
    <x v="2"/>
    <x v="0"/>
  </r>
  <r>
    <x v="1"/>
    <m/>
    <n v="100000"/>
    <m/>
    <m/>
    <m/>
    <x v="507"/>
    <x v="2"/>
    <x v="0"/>
  </r>
  <r>
    <x v="2"/>
    <m/>
    <n v="108000"/>
    <m/>
    <m/>
    <m/>
    <x v="507"/>
    <x v="2"/>
    <x v="0"/>
  </r>
  <r>
    <x v="3"/>
    <n v="481500"/>
    <n v="320000"/>
    <m/>
    <m/>
    <n v="162000"/>
    <x v="507"/>
    <x v="2"/>
    <x v="0"/>
  </r>
  <r>
    <x v="4"/>
    <m/>
    <n v="162000"/>
    <m/>
    <m/>
    <m/>
    <x v="507"/>
    <x v="2"/>
    <x v="0"/>
  </r>
  <r>
    <x v="5"/>
    <m/>
    <m/>
    <m/>
    <m/>
    <m/>
    <x v="507"/>
    <x v="2"/>
    <x v="0"/>
  </r>
  <r>
    <x v="14"/>
    <m/>
    <n v="54000"/>
    <m/>
    <m/>
    <m/>
    <x v="507"/>
    <x v="2"/>
    <x v="0"/>
  </r>
  <r>
    <x v="6"/>
    <m/>
    <m/>
    <m/>
    <m/>
    <m/>
    <x v="507"/>
    <x v="2"/>
    <x v="0"/>
  </r>
  <r>
    <x v="7"/>
    <m/>
    <m/>
    <m/>
    <m/>
    <m/>
    <x v="507"/>
    <x v="2"/>
    <x v="0"/>
  </r>
  <r>
    <x v="15"/>
    <m/>
    <m/>
    <m/>
    <m/>
    <m/>
    <x v="507"/>
    <x v="2"/>
    <x v="0"/>
  </r>
  <r>
    <x v="8"/>
    <n v="162000"/>
    <n v="324000"/>
    <m/>
    <m/>
    <m/>
    <x v="507"/>
    <x v="2"/>
    <x v="0"/>
  </r>
  <r>
    <x v="9"/>
    <n v="108000"/>
    <n v="216000"/>
    <m/>
    <m/>
    <m/>
    <x v="507"/>
    <x v="2"/>
    <x v="0"/>
  </r>
  <r>
    <x v="10"/>
    <m/>
    <m/>
    <m/>
    <m/>
    <m/>
    <x v="507"/>
    <x v="2"/>
    <x v="0"/>
  </r>
  <r>
    <x v="11"/>
    <m/>
    <m/>
    <m/>
    <m/>
    <m/>
    <x v="507"/>
    <x v="2"/>
    <x v="0"/>
  </r>
  <r>
    <x v="16"/>
    <m/>
    <m/>
    <m/>
    <m/>
    <m/>
    <x v="507"/>
    <x v="2"/>
    <x v="0"/>
  </r>
  <r>
    <x v="12"/>
    <n v="54000"/>
    <m/>
    <m/>
    <m/>
    <m/>
    <x v="507"/>
    <x v="2"/>
    <x v="0"/>
  </r>
  <r>
    <x v="13"/>
    <n v="207000"/>
    <n v="108000"/>
    <m/>
    <m/>
    <m/>
    <x v="507"/>
    <x v="2"/>
    <x v="0"/>
  </r>
  <r>
    <x v="0"/>
    <m/>
    <m/>
    <m/>
    <m/>
    <m/>
    <x v="508"/>
    <x v="2"/>
    <x v="0"/>
  </r>
  <r>
    <x v="1"/>
    <m/>
    <n v="50000"/>
    <m/>
    <m/>
    <m/>
    <x v="508"/>
    <x v="2"/>
    <x v="0"/>
  </r>
  <r>
    <x v="2"/>
    <m/>
    <n v="108000"/>
    <m/>
    <m/>
    <m/>
    <x v="508"/>
    <x v="2"/>
    <x v="0"/>
  </r>
  <r>
    <x v="3"/>
    <n v="261000"/>
    <n v="216000"/>
    <m/>
    <m/>
    <n v="54000"/>
    <x v="508"/>
    <x v="2"/>
    <x v="0"/>
  </r>
  <r>
    <x v="4"/>
    <n v="432000"/>
    <n v="468000"/>
    <m/>
    <m/>
    <n v="486000"/>
    <x v="508"/>
    <x v="2"/>
    <x v="0"/>
  </r>
  <r>
    <x v="5"/>
    <n v="45000"/>
    <n v="270000"/>
    <m/>
    <m/>
    <m/>
    <x v="508"/>
    <x v="2"/>
    <x v="0"/>
  </r>
  <r>
    <x v="14"/>
    <m/>
    <n v="270000"/>
    <m/>
    <m/>
    <m/>
    <x v="508"/>
    <x v="2"/>
    <x v="0"/>
  </r>
  <r>
    <x v="6"/>
    <m/>
    <n v="54000"/>
    <m/>
    <m/>
    <m/>
    <x v="508"/>
    <x v="2"/>
    <x v="0"/>
  </r>
  <r>
    <x v="7"/>
    <m/>
    <m/>
    <m/>
    <m/>
    <m/>
    <x v="508"/>
    <x v="2"/>
    <x v="0"/>
  </r>
  <r>
    <x v="15"/>
    <m/>
    <m/>
    <m/>
    <m/>
    <m/>
    <x v="508"/>
    <x v="2"/>
    <x v="0"/>
  </r>
  <r>
    <x v="8"/>
    <n v="216000"/>
    <n v="324000"/>
    <m/>
    <m/>
    <n v="90000"/>
    <x v="508"/>
    <x v="2"/>
    <x v="0"/>
  </r>
  <r>
    <x v="9"/>
    <n v="430000"/>
    <n v="216000"/>
    <m/>
    <m/>
    <m/>
    <x v="508"/>
    <x v="2"/>
    <x v="0"/>
  </r>
  <r>
    <x v="10"/>
    <m/>
    <m/>
    <m/>
    <m/>
    <m/>
    <x v="508"/>
    <x v="2"/>
    <x v="0"/>
  </r>
  <r>
    <x v="11"/>
    <m/>
    <m/>
    <m/>
    <m/>
    <m/>
    <x v="508"/>
    <x v="2"/>
    <x v="0"/>
  </r>
  <r>
    <x v="16"/>
    <m/>
    <m/>
    <m/>
    <m/>
    <m/>
    <x v="508"/>
    <x v="2"/>
    <x v="0"/>
  </r>
  <r>
    <x v="12"/>
    <n v="158000"/>
    <n v="149000"/>
    <m/>
    <m/>
    <m/>
    <x v="508"/>
    <x v="2"/>
    <x v="0"/>
  </r>
  <r>
    <x v="13"/>
    <n v="323500"/>
    <n v="153000"/>
    <m/>
    <m/>
    <m/>
    <x v="508"/>
    <x v="2"/>
    <x v="0"/>
  </r>
  <r>
    <x v="0"/>
    <m/>
    <m/>
    <m/>
    <m/>
    <m/>
    <x v="509"/>
    <x v="2"/>
    <x v="0"/>
  </r>
  <r>
    <x v="1"/>
    <m/>
    <n v="50000"/>
    <m/>
    <m/>
    <m/>
    <x v="509"/>
    <x v="2"/>
    <x v="0"/>
  </r>
  <r>
    <x v="2"/>
    <m/>
    <n v="158000"/>
    <m/>
    <m/>
    <m/>
    <x v="509"/>
    <x v="2"/>
    <x v="0"/>
  </r>
  <r>
    <x v="3"/>
    <m/>
    <n v="265500"/>
    <m/>
    <m/>
    <m/>
    <x v="509"/>
    <x v="2"/>
    <x v="0"/>
  </r>
  <r>
    <x v="4"/>
    <n v="756000"/>
    <n v="108000"/>
    <m/>
    <n v="486000"/>
    <n v="459000"/>
    <x v="509"/>
    <x v="2"/>
    <x v="0"/>
  </r>
  <r>
    <x v="5"/>
    <n v="50000"/>
    <n v="108000"/>
    <m/>
    <m/>
    <m/>
    <x v="509"/>
    <x v="2"/>
    <x v="0"/>
  </r>
  <r>
    <x v="14"/>
    <n v="108000"/>
    <n v="108000"/>
    <m/>
    <m/>
    <m/>
    <x v="509"/>
    <x v="2"/>
    <x v="0"/>
  </r>
  <r>
    <x v="6"/>
    <m/>
    <m/>
    <m/>
    <m/>
    <m/>
    <x v="509"/>
    <x v="2"/>
    <x v="0"/>
  </r>
  <r>
    <x v="7"/>
    <m/>
    <m/>
    <m/>
    <m/>
    <m/>
    <x v="509"/>
    <x v="2"/>
    <x v="0"/>
  </r>
  <r>
    <x v="15"/>
    <m/>
    <m/>
    <m/>
    <m/>
    <m/>
    <x v="509"/>
    <x v="2"/>
    <x v="0"/>
  </r>
  <r>
    <x v="8"/>
    <n v="265500"/>
    <n v="216000"/>
    <m/>
    <m/>
    <m/>
    <x v="509"/>
    <x v="2"/>
    <x v="0"/>
  </r>
  <r>
    <x v="9"/>
    <n v="540000"/>
    <n v="54000"/>
    <m/>
    <m/>
    <m/>
    <x v="509"/>
    <x v="2"/>
    <x v="0"/>
  </r>
  <r>
    <x v="10"/>
    <m/>
    <m/>
    <m/>
    <m/>
    <m/>
    <x v="509"/>
    <x v="2"/>
    <x v="0"/>
  </r>
  <r>
    <x v="11"/>
    <m/>
    <m/>
    <m/>
    <m/>
    <m/>
    <x v="509"/>
    <x v="2"/>
    <x v="0"/>
  </r>
  <r>
    <x v="16"/>
    <m/>
    <m/>
    <m/>
    <m/>
    <m/>
    <x v="509"/>
    <x v="2"/>
    <x v="0"/>
  </r>
  <r>
    <x v="12"/>
    <n v="54000"/>
    <n v="162000"/>
    <m/>
    <m/>
    <m/>
    <x v="509"/>
    <x v="2"/>
    <x v="0"/>
  </r>
  <r>
    <x v="13"/>
    <n v="324000"/>
    <m/>
    <m/>
    <n v="108000"/>
    <m/>
    <x v="509"/>
    <x v="2"/>
    <x v="0"/>
  </r>
  <r>
    <x v="0"/>
    <m/>
    <m/>
    <m/>
    <m/>
    <m/>
    <x v="510"/>
    <x v="2"/>
    <x v="0"/>
  </r>
  <r>
    <x v="1"/>
    <m/>
    <m/>
    <m/>
    <m/>
    <m/>
    <x v="510"/>
    <x v="2"/>
    <x v="0"/>
  </r>
  <r>
    <x v="2"/>
    <m/>
    <m/>
    <m/>
    <n v="45000"/>
    <m/>
    <x v="510"/>
    <x v="2"/>
    <x v="0"/>
  </r>
  <r>
    <x v="3"/>
    <m/>
    <n v="378000"/>
    <m/>
    <m/>
    <m/>
    <x v="510"/>
    <x v="2"/>
    <x v="0"/>
  </r>
  <r>
    <x v="4"/>
    <n v="315000"/>
    <n v="486000"/>
    <m/>
    <n v="45000"/>
    <m/>
    <x v="510"/>
    <x v="2"/>
    <x v="0"/>
  </r>
  <r>
    <x v="5"/>
    <m/>
    <n v="108000"/>
    <m/>
    <m/>
    <m/>
    <x v="510"/>
    <x v="2"/>
    <x v="0"/>
  </r>
  <r>
    <x v="14"/>
    <n v="481500"/>
    <n v="369500"/>
    <m/>
    <m/>
    <n v="540000"/>
    <x v="510"/>
    <x v="2"/>
    <x v="0"/>
  </r>
  <r>
    <x v="6"/>
    <m/>
    <n v="99000"/>
    <m/>
    <m/>
    <m/>
    <x v="510"/>
    <x v="2"/>
    <x v="0"/>
  </r>
  <r>
    <x v="7"/>
    <m/>
    <m/>
    <m/>
    <m/>
    <m/>
    <x v="510"/>
    <x v="2"/>
    <x v="0"/>
  </r>
  <r>
    <x v="15"/>
    <m/>
    <m/>
    <m/>
    <m/>
    <m/>
    <x v="510"/>
    <x v="2"/>
    <x v="0"/>
  </r>
  <r>
    <x v="8"/>
    <n v="265500"/>
    <m/>
    <n v="540000"/>
    <m/>
    <n v="97000"/>
    <x v="510"/>
    <x v="2"/>
    <x v="0"/>
  </r>
  <r>
    <x v="9"/>
    <n v="373500"/>
    <n v="315000"/>
    <m/>
    <m/>
    <m/>
    <x v="510"/>
    <x v="2"/>
    <x v="0"/>
  </r>
  <r>
    <x v="10"/>
    <m/>
    <m/>
    <m/>
    <m/>
    <m/>
    <x v="510"/>
    <x v="2"/>
    <x v="0"/>
  </r>
  <r>
    <x v="11"/>
    <m/>
    <m/>
    <m/>
    <m/>
    <m/>
    <x v="510"/>
    <x v="2"/>
    <x v="0"/>
  </r>
  <r>
    <x v="16"/>
    <m/>
    <m/>
    <m/>
    <m/>
    <m/>
    <x v="510"/>
    <x v="2"/>
    <x v="0"/>
  </r>
  <r>
    <x v="12"/>
    <m/>
    <n v="211500"/>
    <m/>
    <m/>
    <m/>
    <x v="510"/>
    <x v="2"/>
    <x v="0"/>
  </r>
  <r>
    <x v="13"/>
    <n v="270000"/>
    <m/>
    <m/>
    <m/>
    <m/>
    <x v="510"/>
    <x v="2"/>
    <x v="0"/>
  </r>
  <r>
    <x v="0"/>
    <m/>
    <m/>
    <m/>
    <m/>
    <m/>
    <x v="511"/>
    <x v="2"/>
    <x v="0"/>
  </r>
  <r>
    <x v="1"/>
    <m/>
    <m/>
    <n v="50000"/>
    <m/>
    <m/>
    <x v="511"/>
    <x v="2"/>
    <x v="0"/>
  </r>
  <r>
    <x v="2"/>
    <m/>
    <n v="157500"/>
    <m/>
    <m/>
    <m/>
    <x v="511"/>
    <x v="2"/>
    <x v="0"/>
  </r>
  <r>
    <x v="3"/>
    <m/>
    <n v="369000"/>
    <m/>
    <m/>
    <m/>
    <x v="511"/>
    <x v="2"/>
    <x v="0"/>
  </r>
  <r>
    <x v="4"/>
    <n v="702000"/>
    <n v="323500"/>
    <m/>
    <n v="45000"/>
    <m/>
    <x v="511"/>
    <x v="2"/>
    <x v="0"/>
  </r>
  <r>
    <x v="5"/>
    <m/>
    <n v="324000"/>
    <m/>
    <n v="45000"/>
    <m/>
    <x v="511"/>
    <x v="2"/>
    <x v="0"/>
  </r>
  <r>
    <x v="14"/>
    <n v="540000"/>
    <n v="319500"/>
    <m/>
    <m/>
    <n v="432000"/>
    <x v="511"/>
    <x v="2"/>
    <x v="0"/>
  </r>
  <r>
    <x v="6"/>
    <m/>
    <m/>
    <m/>
    <m/>
    <m/>
    <x v="511"/>
    <x v="2"/>
    <x v="0"/>
  </r>
  <r>
    <x v="7"/>
    <m/>
    <m/>
    <m/>
    <m/>
    <m/>
    <x v="511"/>
    <x v="2"/>
    <x v="0"/>
  </r>
  <r>
    <x v="15"/>
    <m/>
    <m/>
    <m/>
    <m/>
    <m/>
    <x v="511"/>
    <x v="2"/>
    <x v="0"/>
  </r>
  <r>
    <x v="8"/>
    <n v="485500"/>
    <n v="486000"/>
    <m/>
    <m/>
    <n v="108000"/>
    <x v="511"/>
    <x v="2"/>
    <x v="0"/>
  </r>
  <r>
    <x v="9"/>
    <n v="540000"/>
    <n v="270000"/>
    <m/>
    <m/>
    <m/>
    <x v="511"/>
    <x v="2"/>
    <x v="0"/>
  </r>
  <r>
    <x v="10"/>
    <m/>
    <m/>
    <m/>
    <m/>
    <m/>
    <x v="511"/>
    <x v="2"/>
    <x v="0"/>
  </r>
  <r>
    <x v="11"/>
    <m/>
    <m/>
    <m/>
    <m/>
    <m/>
    <x v="511"/>
    <x v="2"/>
    <x v="0"/>
  </r>
  <r>
    <x v="16"/>
    <m/>
    <m/>
    <m/>
    <m/>
    <m/>
    <x v="511"/>
    <x v="2"/>
    <x v="0"/>
  </r>
  <r>
    <x v="12"/>
    <m/>
    <n v="211500"/>
    <m/>
    <m/>
    <m/>
    <x v="511"/>
    <x v="2"/>
    <x v="0"/>
  </r>
  <r>
    <x v="13"/>
    <n v="45000"/>
    <m/>
    <m/>
    <m/>
    <m/>
    <x v="511"/>
    <x v="2"/>
    <x v="0"/>
  </r>
  <r>
    <x v="0"/>
    <m/>
    <m/>
    <m/>
    <m/>
    <m/>
    <x v="512"/>
    <x v="2"/>
    <x v="0"/>
  </r>
  <r>
    <x v="1"/>
    <m/>
    <m/>
    <n v="50000"/>
    <m/>
    <m/>
    <x v="512"/>
    <x v="2"/>
    <x v="0"/>
  </r>
  <r>
    <x v="2"/>
    <m/>
    <n v="162000"/>
    <m/>
    <m/>
    <m/>
    <x v="512"/>
    <x v="2"/>
    <x v="0"/>
  </r>
  <r>
    <x v="3"/>
    <m/>
    <n v="108000"/>
    <m/>
    <m/>
    <m/>
    <x v="512"/>
    <x v="2"/>
    <x v="0"/>
  </r>
  <r>
    <x v="4"/>
    <n v="535500"/>
    <n v="108000"/>
    <m/>
    <m/>
    <m/>
    <x v="512"/>
    <x v="2"/>
    <x v="0"/>
  </r>
  <r>
    <x v="5"/>
    <m/>
    <n v="162000"/>
    <m/>
    <m/>
    <m/>
    <x v="512"/>
    <x v="2"/>
    <x v="0"/>
  </r>
  <r>
    <x v="14"/>
    <n v="648000"/>
    <n v="155500"/>
    <m/>
    <m/>
    <m/>
    <x v="512"/>
    <x v="2"/>
    <x v="0"/>
  </r>
  <r>
    <x v="6"/>
    <m/>
    <m/>
    <m/>
    <m/>
    <m/>
    <x v="512"/>
    <x v="2"/>
    <x v="0"/>
  </r>
  <r>
    <x v="7"/>
    <m/>
    <m/>
    <m/>
    <m/>
    <m/>
    <x v="512"/>
    <x v="2"/>
    <x v="0"/>
  </r>
  <r>
    <x v="15"/>
    <m/>
    <m/>
    <m/>
    <m/>
    <m/>
    <x v="512"/>
    <x v="2"/>
    <x v="0"/>
  </r>
  <r>
    <x v="8"/>
    <n v="581000"/>
    <n v="378000"/>
    <n v="50000"/>
    <m/>
    <n v="540000"/>
    <x v="512"/>
    <x v="2"/>
    <x v="0"/>
  </r>
  <r>
    <x v="9"/>
    <n v="360000"/>
    <n v="107000"/>
    <m/>
    <m/>
    <m/>
    <x v="512"/>
    <x v="2"/>
    <x v="0"/>
  </r>
  <r>
    <x v="10"/>
    <m/>
    <m/>
    <m/>
    <m/>
    <m/>
    <x v="512"/>
    <x v="2"/>
    <x v="0"/>
  </r>
  <r>
    <x v="11"/>
    <m/>
    <m/>
    <m/>
    <m/>
    <m/>
    <x v="512"/>
    <x v="2"/>
    <x v="0"/>
  </r>
  <r>
    <x v="16"/>
    <m/>
    <m/>
    <m/>
    <m/>
    <m/>
    <x v="512"/>
    <x v="2"/>
    <x v="0"/>
  </r>
  <r>
    <x v="12"/>
    <m/>
    <m/>
    <m/>
    <m/>
    <m/>
    <x v="512"/>
    <x v="2"/>
    <x v="0"/>
  </r>
  <r>
    <x v="13"/>
    <m/>
    <m/>
    <m/>
    <m/>
    <m/>
    <x v="512"/>
    <x v="2"/>
    <x v="0"/>
  </r>
  <r>
    <x v="0"/>
    <m/>
    <m/>
    <m/>
    <m/>
    <m/>
    <x v="513"/>
    <x v="2"/>
    <x v="0"/>
  </r>
  <r>
    <x v="1"/>
    <m/>
    <m/>
    <m/>
    <m/>
    <m/>
    <x v="513"/>
    <x v="2"/>
    <x v="0"/>
  </r>
  <r>
    <x v="2"/>
    <m/>
    <n v="211500"/>
    <m/>
    <m/>
    <m/>
    <x v="513"/>
    <x v="2"/>
    <x v="0"/>
  </r>
  <r>
    <x v="3"/>
    <m/>
    <n v="324000"/>
    <m/>
    <m/>
    <m/>
    <x v="513"/>
    <x v="2"/>
    <x v="0"/>
  </r>
  <r>
    <x v="4"/>
    <n v="1058000"/>
    <n v="162000"/>
    <m/>
    <m/>
    <n v="54000"/>
    <x v="513"/>
    <x v="2"/>
    <x v="0"/>
  </r>
  <r>
    <x v="5"/>
    <m/>
    <n v="319500"/>
    <m/>
    <n v="756000"/>
    <m/>
    <x v="513"/>
    <x v="2"/>
    <x v="0"/>
  </r>
  <r>
    <x v="14"/>
    <n v="216000"/>
    <n v="162000"/>
    <m/>
    <m/>
    <m/>
    <x v="513"/>
    <x v="2"/>
    <x v="0"/>
  </r>
  <r>
    <x v="6"/>
    <m/>
    <m/>
    <m/>
    <m/>
    <m/>
    <x v="513"/>
    <x v="2"/>
    <x v="0"/>
  </r>
  <r>
    <x v="7"/>
    <m/>
    <m/>
    <m/>
    <m/>
    <m/>
    <x v="513"/>
    <x v="2"/>
    <x v="0"/>
  </r>
  <r>
    <x v="15"/>
    <m/>
    <m/>
    <m/>
    <m/>
    <m/>
    <x v="513"/>
    <x v="2"/>
    <x v="0"/>
  </r>
  <r>
    <x v="8"/>
    <n v="864000"/>
    <n v="158000"/>
    <m/>
    <m/>
    <n v="648000"/>
    <x v="513"/>
    <x v="2"/>
    <x v="0"/>
  </r>
  <r>
    <x v="9"/>
    <n v="108000"/>
    <n v="162000"/>
    <m/>
    <m/>
    <m/>
    <x v="513"/>
    <x v="2"/>
    <x v="0"/>
  </r>
  <r>
    <x v="10"/>
    <m/>
    <m/>
    <m/>
    <m/>
    <m/>
    <x v="513"/>
    <x v="2"/>
    <x v="0"/>
  </r>
  <r>
    <x v="11"/>
    <m/>
    <m/>
    <m/>
    <m/>
    <m/>
    <x v="513"/>
    <x v="2"/>
    <x v="0"/>
  </r>
  <r>
    <x v="16"/>
    <m/>
    <m/>
    <m/>
    <m/>
    <m/>
    <x v="513"/>
    <x v="2"/>
    <x v="0"/>
  </r>
  <r>
    <x v="12"/>
    <m/>
    <m/>
    <m/>
    <m/>
    <m/>
    <x v="513"/>
    <x v="2"/>
    <x v="0"/>
  </r>
  <r>
    <x v="13"/>
    <m/>
    <m/>
    <m/>
    <m/>
    <m/>
    <x v="513"/>
    <x v="2"/>
    <x v="0"/>
  </r>
  <r>
    <x v="0"/>
    <m/>
    <m/>
    <m/>
    <m/>
    <m/>
    <x v="514"/>
    <x v="2"/>
    <x v="0"/>
  </r>
  <r>
    <x v="1"/>
    <n v="368000"/>
    <m/>
    <n v="324000"/>
    <m/>
    <m/>
    <x v="514"/>
    <x v="2"/>
    <x v="0"/>
  </r>
  <r>
    <x v="2"/>
    <m/>
    <n v="108000"/>
    <m/>
    <m/>
    <m/>
    <x v="514"/>
    <x v="2"/>
    <x v="0"/>
  </r>
  <r>
    <x v="3"/>
    <m/>
    <n v="370000"/>
    <m/>
    <m/>
    <m/>
    <x v="514"/>
    <x v="2"/>
    <x v="0"/>
  </r>
  <r>
    <x v="4"/>
    <m/>
    <n v="324000"/>
    <m/>
    <m/>
    <m/>
    <x v="514"/>
    <x v="2"/>
    <x v="0"/>
  </r>
  <r>
    <x v="5"/>
    <m/>
    <n v="194000"/>
    <m/>
    <n v="648000"/>
    <m/>
    <x v="514"/>
    <x v="2"/>
    <x v="0"/>
  </r>
  <r>
    <x v="14"/>
    <m/>
    <n v="162000"/>
    <m/>
    <m/>
    <m/>
    <x v="514"/>
    <x v="2"/>
    <x v="0"/>
  </r>
  <r>
    <x v="6"/>
    <m/>
    <m/>
    <m/>
    <m/>
    <m/>
    <x v="514"/>
    <x v="2"/>
    <x v="0"/>
  </r>
  <r>
    <x v="7"/>
    <m/>
    <m/>
    <m/>
    <m/>
    <m/>
    <x v="514"/>
    <x v="2"/>
    <x v="0"/>
  </r>
  <r>
    <x v="15"/>
    <m/>
    <m/>
    <m/>
    <m/>
    <m/>
    <x v="514"/>
    <x v="2"/>
    <x v="0"/>
  </r>
  <r>
    <x v="8"/>
    <n v="805000"/>
    <m/>
    <n v="378000"/>
    <m/>
    <m/>
    <x v="514"/>
    <x v="2"/>
    <x v="0"/>
  </r>
  <r>
    <x v="9"/>
    <m/>
    <n v="378000"/>
    <m/>
    <m/>
    <m/>
    <x v="514"/>
    <x v="2"/>
    <x v="0"/>
  </r>
  <r>
    <x v="10"/>
    <m/>
    <m/>
    <m/>
    <m/>
    <m/>
    <x v="514"/>
    <x v="2"/>
    <x v="0"/>
  </r>
  <r>
    <x v="11"/>
    <m/>
    <m/>
    <m/>
    <m/>
    <m/>
    <x v="514"/>
    <x v="2"/>
    <x v="0"/>
  </r>
  <r>
    <x v="16"/>
    <m/>
    <m/>
    <m/>
    <m/>
    <m/>
    <x v="514"/>
    <x v="2"/>
    <x v="0"/>
  </r>
  <r>
    <x v="12"/>
    <n v="697500"/>
    <m/>
    <m/>
    <m/>
    <m/>
    <x v="514"/>
    <x v="2"/>
    <x v="0"/>
  </r>
  <r>
    <x v="13"/>
    <m/>
    <m/>
    <m/>
    <m/>
    <m/>
    <x v="514"/>
    <x v="2"/>
    <x v="0"/>
  </r>
  <r>
    <x v="0"/>
    <m/>
    <m/>
    <m/>
    <m/>
    <m/>
    <x v="515"/>
    <x v="2"/>
    <x v="0"/>
  </r>
  <r>
    <x v="1"/>
    <n v="108000"/>
    <m/>
    <n v="373500"/>
    <m/>
    <m/>
    <x v="515"/>
    <x v="2"/>
    <x v="0"/>
  </r>
  <r>
    <x v="2"/>
    <m/>
    <n v="265000"/>
    <m/>
    <m/>
    <m/>
    <x v="515"/>
    <x v="2"/>
    <x v="0"/>
  </r>
  <r>
    <x v="3"/>
    <m/>
    <n v="211500"/>
    <m/>
    <m/>
    <m/>
    <x v="515"/>
    <x v="2"/>
    <x v="0"/>
  </r>
  <r>
    <x v="4"/>
    <m/>
    <n v="162000"/>
    <m/>
    <m/>
    <m/>
    <x v="515"/>
    <x v="2"/>
    <x v="0"/>
  </r>
  <r>
    <x v="5"/>
    <n v="585000"/>
    <n v="211500"/>
    <n v="158000"/>
    <n v="216000"/>
    <m/>
    <x v="515"/>
    <x v="2"/>
    <x v="0"/>
  </r>
  <r>
    <x v="14"/>
    <m/>
    <n v="162000"/>
    <m/>
    <n v="486000"/>
    <m/>
    <x v="515"/>
    <x v="2"/>
    <x v="0"/>
  </r>
  <r>
    <x v="6"/>
    <n v="108000"/>
    <m/>
    <m/>
    <m/>
    <m/>
    <x v="515"/>
    <x v="2"/>
    <x v="0"/>
  </r>
  <r>
    <x v="7"/>
    <m/>
    <m/>
    <m/>
    <m/>
    <m/>
    <x v="515"/>
    <x v="2"/>
    <x v="0"/>
  </r>
  <r>
    <x v="15"/>
    <m/>
    <m/>
    <m/>
    <m/>
    <m/>
    <x v="515"/>
    <x v="2"/>
    <x v="0"/>
  </r>
  <r>
    <x v="8"/>
    <n v="526500"/>
    <m/>
    <n v="162000"/>
    <m/>
    <m/>
    <x v="515"/>
    <x v="2"/>
    <x v="0"/>
  </r>
  <r>
    <x v="9"/>
    <m/>
    <n v="140000"/>
    <m/>
    <m/>
    <m/>
    <x v="515"/>
    <x v="2"/>
    <x v="0"/>
  </r>
  <r>
    <x v="10"/>
    <m/>
    <m/>
    <m/>
    <m/>
    <m/>
    <x v="515"/>
    <x v="2"/>
    <x v="0"/>
  </r>
  <r>
    <x v="11"/>
    <m/>
    <m/>
    <m/>
    <m/>
    <m/>
    <x v="515"/>
    <x v="2"/>
    <x v="0"/>
  </r>
  <r>
    <x v="16"/>
    <m/>
    <m/>
    <m/>
    <m/>
    <m/>
    <x v="515"/>
    <x v="2"/>
    <x v="0"/>
  </r>
  <r>
    <x v="12"/>
    <n v="324000"/>
    <m/>
    <m/>
    <m/>
    <m/>
    <x v="515"/>
    <x v="2"/>
    <x v="0"/>
  </r>
  <r>
    <x v="13"/>
    <m/>
    <m/>
    <n v="207000"/>
    <m/>
    <m/>
    <x v="515"/>
    <x v="2"/>
    <x v="0"/>
  </r>
  <r>
    <x v="0"/>
    <m/>
    <m/>
    <m/>
    <m/>
    <m/>
    <x v="516"/>
    <x v="2"/>
    <x v="0"/>
  </r>
  <r>
    <x v="1"/>
    <m/>
    <m/>
    <m/>
    <m/>
    <m/>
    <x v="516"/>
    <x v="2"/>
    <x v="0"/>
  </r>
  <r>
    <x v="2"/>
    <m/>
    <n v="162000"/>
    <m/>
    <m/>
    <m/>
    <x v="516"/>
    <x v="2"/>
    <x v="0"/>
  </r>
  <r>
    <x v="3"/>
    <m/>
    <n v="373000"/>
    <m/>
    <m/>
    <m/>
    <x v="516"/>
    <x v="2"/>
    <x v="0"/>
  </r>
  <r>
    <x v="4"/>
    <m/>
    <n v="211500"/>
    <m/>
    <m/>
    <m/>
    <x v="516"/>
    <x v="2"/>
    <x v="0"/>
  </r>
  <r>
    <x v="5"/>
    <n v="162000"/>
    <n v="252000"/>
    <m/>
    <m/>
    <m/>
    <x v="516"/>
    <x v="2"/>
    <x v="0"/>
  </r>
  <r>
    <x v="14"/>
    <m/>
    <n v="162000"/>
    <m/>
    <n v="54000"/>
    <m/>
    <x v="516"/>
    <x v="2"/>
    <x v="0"/>
  </r>
  <r>
    <x v="6"/>
    <n v="702000"/>
    <n v="162000"/>
    <m/>
    <m/>
    <m/>
    <x v="516"/>
    <x v="2"/>
    <x v="0"/>
  </r>
  <r>
    <x v="7"/>
    <m/>
    <m/>
    <m/>
    <m/>
    <m/>
    <x v="516"/>
    <x v="2"/>
    <x v="0"/>
  </r>
  <r>
    <x v="15"/>
    <m/>
    <m/>
    <m/>
    <m/>
    <m/>
    <x v="516"/>
    <x v="2"/>
    <x v="0"/>
  </r>
  <r>
    <x v="8"/>
    <n v="522000"/>
    <n v="648000"/>
    <m/>
    <m/>
    <m/>
    <x v="516"/>
    <x v="2"/>
    <x v="0"/>
  </r>
  <r>
    <x v="9"/>
    <n v="918000"/>
    <n v="216000"/>
    <m/>
    <m/>
    <n v="270000"/>
    <x v="516"/>
    <x v="2"/>
    <x v="0"/>
  </r>
  <r>
    <x v="10"/>
    <m/>
    <m/>
    <m/>
    <m/>
    <m/>
    <x v="516"/>
    <x v="2"/>
    <x v="0"/>
  </r>
  <r>
    <x v="11"/>
    <m/>
    <n v="108000"/>
    <m/>
    <m/>
    <m/>
    <x v="516"/>
    <x v="2"/>
    <x v="0"/>
  </r>
  <r>
    <x v="16"/>
    <m/>
    <m/>
    <m/>
    <m/>
    <m/>
    <x v="516"/>
    <x v="2"/>
    <x v="0"/>
  </r>
  <r>
    <x v="12"/>
    <n v="54000"/>
    <m/>
    <m/>
    <m/>
    <m/>
    <x v="516"/>
    <x v="2"/>
    <x v="0"/>
  </r>
  <r>
    <x v="13"/>
    <m/>
    <m/>
    <m/>
    <m/>
    <m/>
    <x v="516"/>
    <x v="2"/>
    <x v="0"/>
  </r>
  <r>
    <x v="0"/>
    <m/>
    <m/>
    <m/>
    <m/>
    <m/>
    <x v="517"/>
    <x v="2"/>
    <x v="0"/>
  </r>
  <r>
    <x v="1"/>
    <m/>
    <m/>
    <m/>
    <m/>
    <m/>
    <x v="517"/>
    <x v="2"/>
    <x v="0"/>
  </r>
  <r>
    <x v="2"/>
    <m/>
    <n v="108000"/>
    <m/>
    <m/>
    <m/>
    <x v="517"/>
    <x v="2"/>
    <x v="0"/>
  </r>
  <r>
    <x v="3"/>
    <m/>
    <n v="540000"/>
    <m/>
    <m/>
    <m/>
    <x v="517"/>
    <x v="2"/>
    <x v="0"/>
  </r>
  <r>
    <x v="4"/>
    <n v="54000"/>
    <n v="270000"/>
    <m/>
    <m/>
    <m/>
    <x v="517"/>
    <x v="2"/>
    <x v="0"/>
  </r>
  <r>
    <x v="5"/>
    <m/>
    <n v="157500"/>
    <m/>
    <m/>
    <m/>
    <x v="517"/>
    <x v="2"/>
    <x v="0"/>
  </r>
  <r>
    <x v="14"/>
    <m/>
    <n v="265500"/>
    <m/>
    <m/>
    <m/>
    <x v="517"/>
    <x v="2"/>
    <x v="0"/>
  </r>
  <r>
    <x v="6"/>
    <n v="99000"/>
    <n v="216000"/>
    <n v="270000"/>
    <m/>
    <m/>
    <x v="517"/>
    <x v="2"/>
    <x v="0"/>
  </r>
  <r>
    <x v="7"/>
    <m/>
    <m/>
    <m/>
    <m/>
    <m/>
    <x v="517"/>
    <x v="2"/>
    <x v="0"/>
  </r>
  <r>
    <x v="15"/>
    <m/>
    <m/>
    <m/>
    <m/>
    <m/>
    <x v="517"/>
    <x v="2"/>
    <x v="0"/>
  </r>
  <r>
    <x v="8"/>
    <n v="211500"/>
    <m/>
    <n v="153000"/>
    <m/>
    <m/>
    <x v="517"/>
    <x v="2"/>
    <x v="0"/>
  </r>
  <r>
    <x v="9"/>
    <n v="959500"/>
    <n v="370000"/>
    <m/>
    <m/>
    <n v="324000"/>
    <x v="517"/>
    <x v="2"/>
    <x v="0"/>
  </r>
  <r>
    <x v="10"/>
    <m/>
    <m/>
    <m/>
    <m/>
    <m/>
    <x v="517"/>
    <x v="2"/>
    <x v="0"/>
  </r>
  <r>
    <x v="11"/>
    <m/>
    <m/>
    <m/>
    <m/>
    <m/>
    <x v="517"/>
    <x v="2"/>
    <x v="0"/>
  </r>
  <r>
    <x v="16"/>
    <m/>
    <m/>
    <m/>
    <m/>
    <m/>
    <x v="517"/>
    <x v="2"/>
    <x v="0"/>
  </r>
  <r>
    <x v="12"/>
    <m/>
    <m/>
    <m/>
    <m/>
    <n v="108000"/>
    <x v="517"/>
    <x v="2"/>
    <x v="0"/>
  </r>
  <r>
    <x v="13"/>
    <m/>
    <m/>
    <n v="108000"/>
    <m/>
    <m/>
    <x v="517"/>
    <x v="2"/>
    <x v="0"/>
  </r>
  <r>
    <x v="0"/>
    <m/>
    <m/>
    <m/>
    <m/>
    <m/>
    <x v="518"/>
    <x v="2"/>
    <x v="0"/>
  </r>
  <r>
    <x v="1"/>
    <m/>
    <m/>
    <m/>
    <m/>
    <m/>
    <x v="518"/>
    <x v="2"/>
    <x v="0"/>
  </r>
  <r>
    <x v="2"/>
    <m/>
    <m/>
    <m/>
    <m/>
    <m/>
    <x v="518"/>
    <x v="2"/>
    <x v="0"/>
  </r>
  <r>
    <x v="3"/>
    <m/>
    <n v="536000"/>
    <m/>
    <m/>
    <m/>
    <x v="518"/>
    <x v="2"/>
    <x v="0"/>
  </r>
  <r>
    <x v="4"/>
    <m/>
    <n v="162000"/>
    <m/>
    <m/>
    <m/>
    <x v="518"/>
    <x v="2"/>
    <x v="0"/>
  </r>
  <r>
    <x v="5"/>
    <m/>
    <n v="270000"/>
    <m/>
    <m/>
    <m/>
    <x v="518"/>
    <x v="2"/>
    <x v="0"/>
  </r>
  <r>
    <x v="14"/>
    <m/>
    <m/>
    <m/>
    <m/>
    <m/>
    <x v="518"/>
    <x v="2"/>
    <x v="0"/>
  </r>
  <r>
    <x v="6"/>
    <m/>
    <n v="216000"/>
    <n v="54000"/>
    <m/>
    <m/>
    <x v="518"/>
    <x v="2"/>
    <x v="0"/>
  </r>
  <r>
    <x v="7"/>
    <m/>
    <m/>
    <m/>
    <m/>
    <m/>
    <x v="518"/>
    <x v="2"/>
    <x v="0"/>
  </r>
  <r>
    <x v="15"/>
    <m/>
    <m/>
    <m/>
    <m/>
    <m/>
    <x v="518"/>
    <x v="2"/>
    <x v="0"/>
  </r>
  <r>
    <x v="8"/>
    <n v="207000"/>
    <m/>
    <m/>
    <m/>
    <m/>
    <x v="518"/>
    <x v="2"/>
    <x v="0"/>
  </r>
  <r>
    <x v="9"/>
    <n v="486000"/>
    <n v="266000"/>
    <m/>
    <m/>
    <n v="468000"/>
    <x v="518"/>
    <x v="2"/>
    <x v="0"/>
  </r>
  <r>
    <x v="10"/>
    <m/>
    <m/>
    <m/>
    <m/>
    <m/>
    <x v="518"/>
    <x v="2"/>
    <x v="0"/>
  </r>
  <r>
    <x v="11"/>
    <m/>
    <m/>
    <m/>
    <m/>
    <m/>
    <x v="518"/>
    <x v="2"/>
    <x v="0"/>
  </r>
  <r>
    <x v="16"/>
    <m/>
    <m/>
    <m/>
    <m/>
    <m/>
    <x v="518"/>
    <x v="2"/>
    <x v="0"/>
  </r>
  <r>
    <x v="12"/>
    <m/>
    <m/>
    <m/>
    <m/>
    <m/>
    <x v="518"/>
    <x v="2"/>
    <x v="0"/>
  </r>
  <r>
    <x v="13"/>
    <n v="50000"/>
    <n v="216000"/>
    <m/>
    <n v="108000"/>
    <m/>
    <x v="518"/>
    <x v="2"/>
    <x v="0"/>
  </r>
  <r>
    <x v="0"/>
    <m/>
    <m/>
    <m/>
    <m/>
    <m/>
    <x v="519"/>
    <x v="2"/>
    <x v="0"/>
  </r>
  <r>
    <x v="1"/>
    <m/>
    <m/>
    <m/>
    <m/>
    <m/>
    <x v="519"/>
    <x v="2"/>
    <x v="0"/>
  </r>
  <r>
    <x v="2"/>
    <m/>
    <m/>
    <m/>
    <m/>
    <m/>
    <x v="519"/>
    <x v="2"/>
    <x v="0"/>
  </r>
  <r>
    <x v="3"/>
    <m/>
    <n v="702000"/>
    <m/>
    <m/>
    <m/>
    <x v="519"/>
    <x v="2"/>
    <x v="0"/>
  </r>
  <r>
    <x v="4"/>
    <m/>
    <n v="266000"/>
    <m/>
    <m/>
    <m/>
    <x v="519"/>
    <x v="2"/>
    <x v="0"/>
  </r>
  <r>
    <x v="5"/>
    <m/>
    <n v="54000"/>
    <m/>
    <m/>
    <m/>
    <x v="519"/>
    <x v="2"/>
    <x v="0"/>
  </r>
  <r>
    <x v="14"/>
    <m/>
    <n v="216000"/>
    <m/>
    <m/>
    <m/>
    <x v="519"/>
    <x v="2"/>
    <x v="0"/>
  </r>
  <r>
    <x v="6"/>
    <m/>
    <n v="212000"/>
    <n v="162000"/>
    <m/>
    <m/>
    <x v="519"/>
    <x v="2"/>
    <x v="0"/>
  </r>
  <r>
    <x v="7"/>
    <m/>
    <m/>
    <m/>
    <m/>
    <m/>
    <x v="519"/>
    <x v="2"/>
    <x v="0"/>
  </r>
  <r>
    <x v="15"/>
    <m/>
    <m/>
    <m/>
    <m/>
    <m/>
    <x v="519"/>
    <x v="2"/>
    <x v="0"/>
  </r>
  <r>
    <x v="8"/>
    <m/>
    <m/>
    <n v="216000"/>
    <m/>
    <m/>
    <x v="519"/>
    <x v="2"/>
    <x v="0"/>
  </r>
  <r>
    <x v="9"/>
    <m/>
    <n v="108000"/>
    <m/>
    <m/>
    <n v="45000"/>
    <x v="519"/>
    <x v="2"/>
    <x v="0"/>
  </r>
  <r>
    <x v="10"/>
    <m/>
    <m/>
    <m/>
    <m/>
    <m/>
    <x v="519"/>
    <x v="2"/>
    <x v="0"/>
  </r>
  <r>
    <x v="11"/>
    <m/>
    <m/>
    <m/>
    <m/>
    <m/>
    <x v="519"/>
    <x v="2"/>
    <x v="0"/>
  </r>
  <r>
    <x v="16"/>
    <m/>
    <m/>
    <m/>
    <m/>
    <m/>
    <x v="519"/>
    <x v="2"/>
    <x v="0"/>
  </r>
  <r>
    <x v="12"/>
    <m/>
    <m/>
    <m/>
    <m/>
    <m/>
    <x v="519"/>
    <x v="2"/>
    <x v="0"/>
  </r>
  <r>
    <x v="13"/>
    <m/>
    <n v="270000"/>
    <n v="270000"/>
    <m/>
    <m/>
    <x v="519"/>
    <x v="2"/>
    <x v="0"/>
  </r>
  <r>
    <x v="0"/>
    <m/>
    <m/>
    <m/>
    <m/>
    <m/>
    <x v="520"/>
    <x v="2"/>
    <x v="1"/>
  </r>
  <r>
    <x v="1"/>
    <m/>
    <m/>
    <m/>
    <m/>
    <m/>
    <x v="520"/>
    <x v="2"/>
    <x v="1"/>
  </r>
  <r>
    <x v="2"/>
    <m/>
    <m/>
    <m/>
    <m/>
    <m/>
    <x v="520"/>
    <x v="2"/>
    <x v="1"/>
  </r>
  <r>
    <x v="3"/>
    <m/>
    <n v="378000"/>
    <m/>
    <m/>
    <m/>
    <x v="520"/>
    <x v="2"/>
    <x v="1"/>
  </r>
  <r>
    <x v="4"/>
    <m/>
    <n v="212000"/>
    <m/>
    <m/>
    <m/>
    <x v="520"/>
    <x v="2"/>
    <x v="1"/>
  </r>
  <r>
    <x v="5"/>
    <m/>
    <n v="216000"/>
    <m/>
    <m/>
    <m/>
    <x v="520"/>
    <x v="2"/>
    <x v="1"/>
  </r>
  <r>
    <x v="14"/>
    <m/>
    <n v="216000"/>
    <m/>
    <m/>
    <m/>
    <x v="520"/>
    <x v="2"/>
    <x v="1"/>
  </r>
  <r>
    <x v="6"/>
    <n v="90000"/>
    <n v="162000"/>
    <m/>
    <m/>
    <m/>
    <x v="520"/>
    <x v="2"/>
    <x v="1"/>
  </r>
  <r>
    <x v="7"/>
    <m/>
    <m/>
    <m/>
    <m/>
    <m/>
    <x v="520"/>
    <x v="2"/>
    <x v="1"/>
  </r>
  <r>
    <x v="15"/>
    <m/>
    <m/>
    <m/>
    <m/>
    <m/>
    <x v="520"/>
    <x v="2"/>
    <x v="1"/>
  </r>
  <r>
    <x v="8"/>
    <m/>
    <m/>
    <n v="203000"/>
    <m/>
    <m/>
    <x v="520"/>
    <x v="2"/>
    <x v="1"/>
  </r>
  <r>
    <x v="9"/>
    <m/>
    <n v="108000"/>
    <m/>
    <m/>
    <n v="90000"/>
    <x v="520"/>
    <x v="2"/>
    <x v="1"/>
  </r>
  <r>
    <x v="10"/>
    <m/>
    <m/>
    <m/>
    <m/>
    <m/>
    <x v="520"/>
    <x v="2"/>
    <x v="1"/>
  </r>
  <r>
    <x v="11"/>
    <m/>
    <m/>
    <m/>
    <m/>
    <m/>
    <x v="520"/>
    <x v="2"/>
    <x v="1"/>
  </r>
  <r>
    <x v="16"/>
    <m/>
    <m/>
    <m/>
    <m/>
    <m/>
    <x v="520"/>
    <x v="2"/>
    <x v="1"/>
  </r>
  <r>
    <x v="12"/>
    <m/>
    <m/>
    <m/>
    <m/>
    <m/>
    <x v="520"/>
    <x v="2"/>
    <x v="1"/>
  </r>
  <r>
    <x v="13"/>
    <m/>
    <n v="54000"/>
    <m/>
    <m/>
    <m/>
    <x v="520"/>
    <x v="2"/>
    <x v="1"/>
  </r>
  <r>
    <x v="0"/>
    <m/>
    <m/>
    <m/>
    <m/>
    <m/>
    <x v="521"/>
    <x v="2"/>
    <x v="1"/>
  </r>
  <r>
    <x v="1"/>
    <m/>
    <n v="108000"/>
    <m/>
    <m/>
    <m/>
    <x v="521"/>
    <x v="2"/>
    <x v="1"/>
  </r>
  <r>
    <x v="2"/>
    <m/>
    <m/>
    <m/>
    <m/>
    <m/>
    <x v="521"/>
    <x v="2"/>
    <x v="1"/>
  </r>
  <r>
    <x v="3"/>
    <m/>
    <n v="594000"/>
    <m/>
    <m/>
    <m/>
    <x v="521"/>
    <x v="2"/>
    <x v="1"/>
  </r>
  <r>
    <x v="4"/>
    <m/>
    <n v="162000"/>
    <m/>
    <m/>
    <m/>
    <x v="521"/>
    <x v="2"/>
    <x v="1"/>
  </r>
  <r>
    <x v="5"/>
    <m/>
    <n v="270000"/>
    <m/>
    <m/>
    <m/>
    <x v="521"/>
    <x v="2"/>
    <x v="1"/>
  </r>
  <r>
    <x v="14"/>
    <m/>
    <m/>
    <m/>
    <m/>
    <m/>
    <x v="521"/>
    <x v="2"/>
    <x v="1"/>
  </r>
  <r>
    <x v="6"/>
    <m/>
    <n v="54000"/>
    <m/>
    <m/>
    <m/>
    <x v="521"/>
    <x v="2"/>
    <x v="1"/>
  </r>
  <r>
    <x v="7"/>
    <m/>
    <m/>
    <m/>
    <m/>
    <m/>
    <x v="521"/>
    <x v="2"/>
    <x v="1"/>
  </r>
  <r>
    <x v="15"/>
    <m/>
    <m/>
    <m/>
    <m/>
    <m/>
    <x v="521"/>
    <x v="2"/>
    <x v="1"/>
  </r>
  <r>
    <x v="8"/>
    <m/>
    <n v="324000"/>
    <n v="54000"/>
    <m/>
    <m/>
    <x v="521"/>
    <x v="2"/>
    <x v="1"/>
  </r>
  <r>
    <x v="9"/>
    <n v="90000"/>
    <n v="103500"/>
    <m/>
    <m/>
    <m/>
    <x v="521"/>
    <x v="2"/>
    <x v="1"/>
  </r>
  <r>
    <x v="10"/>
    <m/>
    <m/>
    <m/>
    <m/>
    <m/>
    <x v="521"/>
    <x v="2"/>
    <x v="1"/>
  </r>
  <r>
    <x v="11"/>
    <m/>
    <m/>
    <m/>
    <m/>
    <m/>
    <x v="521"/>
    <x v="2"/>
    <x v="1"/>
  </r>
  <r>
    <x v="16"/>
    <m/>
    <m/>
    <m/>
    <m/>
    <m/>
    <x v="521"/>
    <x v="2"/>
    <x v="1"/>
  </r>
  <r>
    <x v="12"/>
    <m/>
    <m/>
    <m/>
    <m/>
    <m/>
    <x v="521"/>
    <x v="2"/>
    <x v="1"/>
  </r>
  <r>
    <x v="13"/>
    <m/>
    <m/>
    <m/>
    <m/>
    <m/>
    <x v="521"/>
    <x v="2"/>
    <x v="1"/>
  </r>
  <r>
    <x v="0"/>
    <m/>
    <m/>
    <m/>
    <m/>
    <m/>
    <x v="522"/>
    <x v="2"/>
    <x v="1"/>
  </r>
  <r>
    <x v="1"/>
    <m/>
    <n v="108000"/>
    <m/>
    <m/>
    <m/>
    <x v="522"/>
    <x v="2"/>
    <x v="1"/>
  </r>
  <r>
    <x v="2"/>
    <m/>
    <m/>
    <m/>
    <m/>
    <m/>
    <x v="522"/>
    <x v="2"/>
    <x v="1"/>
  </r>
  <r>
    <x v="3"/>
    <m/>
    <n v="324000"/>
    <m/>
    <m/>
    <m/>
    <x v="522"/>
    <x v="2"/>
    <x v="1"/>
  </r>
  <r>
    <x v="4"/>
    <m/>
    <n v="162000"/>
    <m/>
    <m/>
    <m/>
    <x v="522"/>
    <x v="2"/>
    <x v="1"/>
  </r>
  <r>
    <x v="5"/>
    <m/>
    <n v="108000"/>
    <m/>
    <m/>
    <m/>
    <x v="522"/>
    <x v="2"/>
    <x v="1"/>
  </r>
  <r>
    <x v="14"/>
    <m/>
    <n v="207000"/>
    <m/>
    <m/>
    <m/>
    <x v="522"/>
    <x v="2"/>
    <x v="1"/>
  </r>
  <r>
    <x v="6"/>
    <m/>
    <m/>
    <m/>
    <m/>
    <m/>
    <x v="522"/>
    <x v="2"/>
    <x v="1"/>
  </r>
  <r>
    <x v="7"/>
    <m/>
    <m/>
    <m/>
    <m/>
    <m/>
    <x v="522"/>
    <x v="2"/>
    <x v="1"/>
  </r>
  <r>
    <x v="15"/>
    <m/>
    <m/>
    <m/>
    <m/>
    <m/>
    <x v="522"/>
    <x v="2"/>
    <x v="1"/>
  </r>
  <r>
    <x v="8"/>
    <m/>
    <n v="36000"/>
    <m/>
    <m/>
    <m/>
    <x v="522"/>
    <x v="2"/>
    <x v="1"/>
  </r>
  <r>
    <x v="9"/>
    <m/>
    <n v="207000"/>
    <m/>
    <m/>
    <m/>
    <x v="522"/>
    <x v="2"/>
    <x v="1"/>
  </r>
  <r>
    <x v="10"/>
    <m/>
    <m/>
    <m/>
    <m/>
    <m/>
    <x v="522"/>
    <x v="2"/>
    <x v="1"/>
  </r>
  <r>
    <x v="11"/>
    <m/>
    <m/>
    <m/>
    <m/>
    <m/>
    <x v="522"/>
    <x v="2"/>
    <x v="1"/>
  </r>
  <r>
    <x v="16"/>
    <m/>
    <m/>
    <m/>
    <m/>
    <m/>
    <x v="522"/>
    <x v="2"/>
    <x v="1"/>
  </r>
  <r>
    <x v="12"/>
    <m/>
    <m/>
    <m/>
    <m/>
    <m/>
    <x v="522"/>
    <x v="2"/>
    <x v="1"/>
  </r>
  <r>
    <x v="13"/>
    <m/>
    <m/>
    <m/>
    <m/>
    <m/>
    <x v="522"/>
    <x v="2"/>
    <x v="1"/>
  </r>
  <r>
    <x v="0"/>
    <m/>
    <m/>
    <m/>
    <m/>
    <m/>
    <x v="523"/>
    <x v="2"/>
    <x v="1"/>
  </r>
  <r>
    <x v="1"/>
    <m/>
    <n v="108000"/>
    <m/>
    <m/>
    <m/>
    <x v="523"/>
    <x v="2"/>
    <x v="1"/>
  </r>
  <r>
    <x v="2"/>
    <n v="1869000"/>
    <n v="162000"/>
    <m/>
    <m/>
    <n v="540000"/>
    <x v="523"/>
    <x v="2"/>
    <x v="1"/>
  </r>
  <r>
    <x v="3"/>
    <m/>
    <n v="594000"/>
    <m/>
    <m/>
    <m/>
    <x v="523"/>
    <x v="2"/>
    <x v="1"/>
  </r>
  <r>
    <x v="4"/>
    <m/>
    <n v="162000"/>
    <m/>
    <m/>
    <m/>
    <x v="523"/>
    <x v="2"/>
    <x v="1"/>
  </r>
  <r>
    <x v="5"/>
    <m/>
    <n v="157500"/>
    <m/>
    <m/>
    <m/>
    <x v="523"/>
    <x v="2"/>
    <x v="1"/>
  </r>
  <r>
    <x v="14"/>
    <m/>
    <n v="54000"/>
    <m/>
    <m/>
    <m/>
    <x v="523"/>
    <x v="2"/>
    <x v="1"/>
  </r>
  <r>
    <x v="6"/>
    <m/>
    <n v="108000"/>
    <m/>
    <m/>
    <m/>
    <x v="523"/>
    <x v="2"/>
    <x v="1"/>
  </r>
  <r>
    <x v="7"/>
    <m/>
    <m/>
    <m/>
    <m/>
    <m/>
    <x v="523"/>
    <x v="2"/>
    <x v="1"/>
  </r>
  <r>
    <x v="15"/>
    <m/>
    <m/>
    <m/>
    <m/>
    <m/>
    <x v="523"/>
    <x v="2"/>
    <x v="1"/>
  </r>
  <r>
    <x v="8"/>
    <m/>
    <m/>
    <m/>
    <m/>
    <m/>
    <x v="523"/>
    <x v="2"/>
    <x v="1"/>
  </r>
  <r>
    <x v="9"/>
    <m/>
    <n v="162000"/>
    <m/>
    <m/>
    <m/>
    <x v="523"/>
    <x v="2"/>
    <x v="1"/>
  </r>
  <r>
    <x v="10"/>
    <m/>
    <m/>
    <m/>
    <m/>
    <m/>
    <x v="523"/>
    <x v="2"/>
    <x v="1"/>
  </r>
  <r>
    <x v="11"/>
    <m/>
    <m/>
    <m/>
    <m/>
    <m/>
    <x v="523"/>
    <x v="2"/>
    <x v="1"/>
  </r>
  <r>
    <x v="16"/>
    <m/>
    <m/>
    <m/>
    <m/>
    <m/>
    <x v="523"/>
    <x v="2"/>
    <x v="1"/>
  </r>
  <r>
    <x v="12"/>
    <m/>
    <m/>
    <m/>
    <m/>
    <m/>
    <x v="523"/>
    <x v="2"/>
    <x v="1"/>
  </r>
  <r>
    <x v="13"/>
    <m/>
    <m/>
    <m/>
    <m/>
    <m/>
    <x v="523"/>
    <x v="2"/>
    <x v="1"/>
  </r>
  <r>
    <x v="0"/>
    <m/>
    <m/>
    <m/>
    <m/>
    <m/>
    <x v="524"/>
    <x v="2"/>
    <x v="1"/>
  </r>
  <r>
    <x v="1"/>
    <m/>
    <n v="144000"/>
    <m/>
    <m/>
    <m/>
    <x v="524"/>
    <x v="2"/>
    <x v="1"/>
  </r>
  <r>
    <x v="2"/>
    <n v="1919000"/>
    <n v="108000"/>
    <m/>
    <m/>
    <n v="590000"/>
    <x v="524"/>
    <x v="2"/>
    <x v="1"/>
  </r>
  <r>
    <x v="3"/>
    <m/>
    <n v="432000"/>
    <m/>
    <m/>
    <m/>
    <x v="524"/>
    <x v="2"/>
    <x v="1"/>
  </r>
  <r>
    <x v="4"/>
    <m/>
    <n v="162000"/>
    <m/>
    <m/>
    <m/>
    <x v="524"/>
    <x v="2"/>
    <x v="1"/>
  </r>
  <r>
    <x v="5"/>
    <m/>
    <n v="432000"/>
    <m/>
    <m/>
    <m/>
    <x v="524"/>
    <x v="2"/>
    <x v="1"/>
  </r>
  <r>
    <x v="14"/>
    <m/>
    <n v="108000"/>
    <m/>
    <m/>
    <m/>
    <x v="524"/>
    <x v="2"/>
    <x v="1"/>
  </r>
  <r>
    <x v="6"/>
    <m/>
    <m/>
    <m/>
    <m/>
    <m/>
    <x v="524"/>
    <x v="2"/>
    <x v="1"/>
  </r>
  <r>
    <x v="7"/>
    <m/>
    <m/>
    <m/>
    <m/>
    <m/>
    <x v="524"/>
    <x v="2"/>
    <x v="1"/>
  </r>
  <r>
    <x v="15"/>
    <m/>
    <m/>
    <m/>
    <m/>
    <m/>
    <x v="524"/>
    <x v="2"/>
    <x v="1"/>
  </r>
  <r>
    <x v="8"/>
    <m/>
    <n v="324000"/>
    <m/>
    <m/>
    <m/>
    <x v="524"/>
    <x v="2"/>
    <x v="1"/>
  </r>
  <r>
    <x v="9"/>
    <m/>
    <n v="216000"/>
    <m/>
    <m/>
    <m/>
    <x v="524"/>
    <x v="2"/>
    <x v="1"/>
  </r>
  <r>
    <x v="10"/>
    <m/>
    <m/>
    <m/>
    <m/>
    <m/>
    <x v="524"/>
    <x v="2"/>
    <x v="1"/>
  </r>
  <r>
    <x v="11"/>
    <m/>
    <m/>
    <m/>
    <m/>
    <m/>
    <x v="524"/>
    <x v="2"/>
    <x v="1"/>
  </r>
  <r>
    <x v="16"/>
    <m/>
    <m/>
    <m/>
    <m/>
    <m/>
    <x v="524"/>
    <x v="2"/>
    <x v="1"/>
  </r>
  <r>
    <x v="12"/>
    <m/>
    <m/>
    <m/>
    <m/>
    <m/>
    <x v="524"/>
    <x v="2"/>
    <x v="1"/>
  </r>
  <r>
    <x v="13"/>
    <m/>
    <m/>
    <m/>
    <m/>
    <m/>
    <x v="524"/>
    <x v="2"/>
    <x v="1"/>
  </r>
  <r>
    <x v="0"/>
    <m/>
    <m/>
    <m/>
    <m/>
    <m/>
    <x v="525"/>
    <x v="2"/>
    <x v="1"/>
  </r>
  <r>
    <x v="1"/>
    <m/>
    <n v="162000"/>
    <m/>
    <m/>
    <m/>
    <x v="525"/>
    <x v="2"/>
    <x v="1"/>
  </r>
  <r>
    <x v="2"/>
    <n v="108000"/>
    <n v="270000"/>
    <m/>
    <m/>
    <n v="270000"/>
    <x v="525"/>
    <x v="2"/>
    <x v="1"/>
  </r>
  <r>
    <x v="3"/>
    <m/>
    <n v="270000"/>
    <m/>
    <m/>
    <m/>
    <x v="525"/>
    <x v="2"/>
    <x v="1"/>
  </r>
  <r>
    <x v="4"/>
    <m/>
    <n v="162000"/>
    <m/>
    <m/>
    <m/>
    <x v="525"/>
    <x v="2"/>
    <x v="1"/>
  </r>
  <r>
    <x v="5"/>
    <m/>
    <n v="301500"/>
    <m/>
    <m/>
    <m/>
    <x v="525"/>
    <x v="2"/>
    <x v="1"/>
  </r>
  <r>
    <x v="14"/>
    <m/>
    <n v="162000"/>
    <m/>
    <m/>
    <m/>
    <x v="525"/>
    <x v="2"/>
    <x v="1"/>
  </r>
  <r>
    <x v="6"/>
    <m/>
    <n v="162000"/>
    <m/>
    <m/>
    <m/>
    <x v="525"/>
    <x v="2"/>
    <x v="1"/>
  </r>
  <r>
    <x v="7"/>
    <m/>
    <m/>
    <m/>
    <m/>
    <m/>
    <x v="525"/>
    <x v="2"/>
    <x v="1"/>
  </r>
  <r>
    <x v="15"/>
    <m/>
    <m/>
    <m/>
    <m/>
    <m/>
    <x v="525"/>
    <x v="2"/>
    <x v="1"/>
  </r>
  <r>
    <x v="8"/>
    <m/>
    <m/>
    <m/>
    <m/>
    <m/>
    <x v="525"/>
    <x v="2"/>
    <x v="1"/>
  </r>
  <r>
    <x v="9"/>
    <m/>
    <n v="216000"/>
    <m/>
    <m/>
    <m/>
    <x v="525"/>
    <x v="2"/>
    <x v="1"/>
  </r>
  <r>
    <x v="10"/>
    <m/>
    <m/>
    <m/>
    <m/>
    <m/>
    <x v="525"/>
    <x v="2"/>
    <x v="1"/>
  </r>
  <r>
    <x v="11"/>
    <m/>
    <m/>
    <m/>
    <m/>
    <m/>
    <x v="525"/>
    <x v="2"/>
    <x v="1"/>
  </r>
  <r>
    <x v="16"/>
    <m/>
    <m/>
    <m/>
    <m/>
    <m/>
    <x v="525"/>
    <x v="2"/>
    <x v="1"/>
  </r>
  <r>
    <x v="12"/>
    <m/>
    <m/>
    <m/>
    <m/>
    <m/>
    <x v="525"/>
    <x v="2"/>
    <x v="1"/>
  </r>
  <r>
    <x v="13"/>
    <m/>
    <m/>
    <m/>
    <m/>
    <m/>
    <x v="525"/>
    <x v="2"/>
    <x v="1"/>
  </r>
  <r>
    <x v="0"/>
    <m/>
    <m/>
    <m/>
    <m/>
    <m/>
    <x v="526"/>
    <x v="2"/>
    <x v="1"/>
  </r>
  <r>
    <x v="1"/>
    <m/>
    <n v="108000"/>
    <m/>
    <m/>
    <m/>
    <x v="526"/>
    <x v="2"/>
    <x v="1"/>
  </r>
  <r>
    <x v="2"/>
    <n v="54000"/>
    <n v="270000"/>
    <m/>
    <m/>
    <m/>
    <x v="526"/>
    <x v="2"/>
    <x v="1"/>
  </r>
  <r>
    <x v="3"/>
    <m/>
    <n v="270000"/>
    <m/>
    <m/>
    <m/>
    <x v="526"/>
    <x v="2"/>
    <x v="1"/>
  </r>
  <r>
    <x v="4"/>
    <m/>
    <n v="54000"/>
    <m/>
    <m/>
    <m/>
    <x v="526"/>
    <x v="2"/>
    <x v="1"/>
  </r>
  <r>
    <x v="5"/>
    <m/>
    <n v="49500"/>
    <m/>
    <m/>
    <m/>
    <x v="526"/>
    <x v="2"/>
    <x v="1"/>
  </r>
  <r>
    <x v="14"/>
    <m/>
    <n v="54000"/>
    <m/>
    <m/>
    <m/>
    <x v="526"/>
    <x v="2"/>
    <x v="1"/>
  </r>
  <r>
    <x v="6"/>
    <m/>
    <n v="153000"/>
    <m/>
    <m/>
    <m/>
    <x v="526"/>
    <x v="2"/>
    <x v="1"/>
  </r>
  <r>
    <x v="7"/>
    <m/>
    <m/>
    <m/>
    <m/>
    <m/>
    <x v="526"/>
    <x v="2"/>
    <x v="1"/>
  </r>
  <r>
    <x v="15"/>
    <m/>
    <m/>
    <m/>
    <m/>
    <m/>
    <x v="526"/>
    <x v="2"/>
    <x v="1"/>
  </r>
  <r>
    <x v="8"/>
    <m/>
    <m/>
    <m/>
    <m/>
    <m/>
    <x v="526"/>
    <x v="2"/>
    <x v="1"/>
  </r>
  <r>
    <x v="9"/>
    <m/>
    <m/>
    <m/>
    <m/>
    <m/>
    <x v="526"/>
    <x v="2"/>
    <x v="1"/>
  </r>
  <r>
    <x v="10"/>
    <m/>
    <m/>
    <m/>
    <m/>
    <m/>
    <x v="526"/>
    <x v="2"/>
    <x v="1"/>
  </r>
  <r>
    <x v="11"/>
    <m/>
    <m/>
    <m/>
    <m/>
    <m/>
    <x v="526"/>
    <x v="2"/>
    <x v="1"/>
  </r>
  <r>
    <x v="16"/>
    <m/>
    <m/>
    <m/>
    <m/>
    <m/>
    <x v="526"/>
    <x v="2"/>
    <x v="1"/>
  </r>
  <r>
    <x v="12"/>
    <m/>
    <m/>
    <m/>
    <m/>
    <m/>
    <x v="526"/>
    <x v="2"/>
    <x v="1"/>
  </r>
  <r>
    <x v="13"/>
    <m/>
    <m/>
    <m/>
    <m/>
    <m/>
    <x v="526"/>
    <x v="2"/>
    <x v="1"/>
  </r>
  <r>
    <x v="0"/>
    <m/>
    <m/>
    <m/>
    <m/>
    <m/>
    <x v="527"/>
    <x v="2"/>
    <x v="1"/>
  </r>
  <r>
    <x v="1"/>
    <m/>
    <n v="162000"/>
    <m/>
    <m/>
    <m/>
    <x v="527"/>
    <x v="2"/>
    <x v="1"/>
  </r>
  <r>
    <x v="2"/>
    <m/>
    <n v="54000"/>
    <m/>
    <m/>
    <m/>
    <x v="527"/>
    <x v="2"/>
    <x v="1"/>
  </r>
  <r>
    <x v="3"/>
    <m/>
    <n v="54000"/>
    <m/>
    <m/>
    <m/>
    <x v="527"/>
    <x v="2"/>
    <x v="1"/>
  </r>
  <r>
    <x v="4"/>
    <m/>
    <n v="324000"/>
    <m/>
    <m/>
    <m/>
    <x v="527"/>
    <x v="2"/>
    <x v="1"/>
  </r>
  <r>
    <x v="5"/>
    <m/>
    <n v="378000"/>
    <m/>
    <m/>
    <m/>
    <x v="527"/>
    <x v="2"/>
    <x v="1"/>
  </r>
  <r>
    <x v="14"/>
    <n v="535500"/>
    <n v="49500"/>
    <m/>
    <m/>
    <m/>
    <x v="527"/>
    <x v="2"/>
    <x v="1"/>
  </r>
  <r>
    <x v="6"/>
    <m/>
    <n v="108000"/>
    <m/>
    <m/>
    <m/>
    <x v="527"/>
    <x v="2"/>
    <x v="1"/>
  </r>
  <r>
    <x v="7"/>
    <m/>
    <m/>
    <m/>
    <m/>
    <m/>
    <x v="527"/>
    <x v="2"/>
    <x v="1"/>
  </r>
  <r>
    <x v="15"/>
    <m/>
    <m/>
    <m/>
    <m/>
    <m/>
    <x v="527"/>
    <x v="2"/>
    <x v="1"/>
  </r>
  <r>
    <x v="8"/>
    <m/>
    <m/>
    <m/>
    <m/>
    <m/>
    <x v="527"/>
    <x v="2"/>
    <x v="1"/>
  </r>
  <r>
    <x v="9"/>
    <m/>
    <n v="648000"/>
    <m/>
    <m/>
    <m/>
    <x v="527"/>
    <x v="2"/>
    <x v="1"/>
  </r>
  <r>
    <x v="10"/>
    <m/>
    <m/>
    <m/>
    <m/>
    <m/>
    <x v="527"/>
    <x v="2"/>
    <x v="1"/>
  </r>
  <r>
    <x v="11"/>
    <m/>
    <m/>
    <m/>
    <m/>
    <m/>
    <x v="527"/>
    <x v="2"/>
    <x v="1"/>
  </r>
  <r>
    <x v="16"/>
    <m/>
    <m/>
    <m/>
    <m/>
    <m/>
    <x v="527"/>
    <x v="2"/>
    <x v="1"/>
  </r>
  <r>
    <x v="12"/>
    <n v="54000"/>
    <m/>
    <m/>
    <m/>
    <m/>
    <x v="527"/>
    <x v="2"/>
    <x v="1"/>
  </r>
  <r>
    <x v="13"/>
    <m/>
    <n v="270000"/>
    <m/>
    <n v="108000"/>
    <m/>
    <x v="527"/>
    <x v="2"/>
    <x v="1"/>
  </r>
  <r>
    <x v="0"/>
    <m/>
    <m/>
    <m/>
    <m/>
    <m/>
    <x v="528"/>
    <x v="2"/>
    <x v="1"/>
  </r>
  <r>
    <x v="1"/>
    <m/>
    <n v="108000"/>
    <m/>
    <m/>
    <m/>
    <x v="528"/>
    <x v="2"/>
    <x v="1"/>
  </r>
  <r>
    <x v="2"/>
    <m/>
    <n v="162000"/>
    <m/>
    <m/>
    <m/>
    <x v="528"/>
    <x v="2"/>
    <x v="1"/>
  </r>
  <r>
    <x v="3"/>
    <m/>
    <n v="45000"/>
    <m/>
    <m/>
    <m/>
    <x v="528"/>
    <x v="2"/>
    <x v="1"/>
  </r>
  <r>
    <x v="4"/>
    <m/>
    <n v="157500"/>
    <m/>
    <m/>
    <m/>
    <x v="528"/>
    <x v="2"/>
    <x v="1"/>
  </r>
  <r>
    <x v="5"/>
    <m/>
    <n v="216000"/>
    <m/>
    <m/>
    <m/>
    <x v="528"/>
    <x v="2"/>
    <x v="1"/>
  </r>
  <r>
    <x v="14"/>
    <n v="693000"/>
    <m/>
    <m/>
    <m/>
    <m/>
    <x v="528"/>
    <x v="2"/>
    <x v="1"/>
  </r>
  <r>
    <x v="6"/>
    <n v="324000"/>
    <n v="162000"/>
    <m/>
    <m/>
    <n v="365000"/>
    <x v="528"/>
    <x v="2"/>
    <x v="1"/>
  </r>
  <r>
    <x v="7"/>
    <m/>
    <m/>
    <m/>
    <m/>
    <m/>
    <x v="528"/>
    <x v="2"/>
    <x v="1"/>
  </r>
  <r>
    <x v="15"/>
    <m/>
    <m/>
    <m/>
    <m/>
    <m/>
    <x v="528"/>
    <x v="2"/>
    <x v="1"/>
  </r>
  <r>
    <x v="8"/>
    <m/>
    <m/>
    <m/>
    <m/>
    <m/>
    <x v="528"/>
    <x v="2"/>
    <x v="1"/>
  </r>
  <r>
    <x v="9"/>
    <n v="958500"/>
    <n v="315000"/>
    <m/>
    <n v="319500"/>
    <m/>
    <x v="528"/>
    <x v="2"/>
    <x v="1"/>
  </r>
  <r>
    <x v="10"/>
    <m/>
    <m/>
    <m/>
    <m/>
    <m/>
    <x v="528"/>
    <x v="2"/>
    <x v="1"/>
  </r>
  <r>
    <x v="11"/>
    <m/>
    <m/>
    <m/>
    <m/>
    <m/>
    <x v="528"/>
    <x v="2"/>
    <x v="1"/>
  </r>
  <r>
    <x v="16"/>
    <m/>
    <m/>
    <m/>
    <m/>
    <m/>
    <x v="528"/>
    <x v="2"/>
    <x v="1"/>
  </r>
  <r>
    <x v="12"/>
    <m/>
    <m/>
    <m/>
    <m/>
    <m/>
    <x v="528"/>
    <x v="2"/>
    <x v="1"/>
  </r>
  <r>
    <x v="13"/>
    <m/>
    <n v="216000"/>
    <m/>
    <n v="216000"/>
    <m/>
    <x v="528"/>
    <x v="2"/>
    <x v="1"/>
  </r>
  <r>
    <x v="0"/>
    <m/>
    <m/>
    <m/>
    <m/>
    <m/>
    <x v="529"/>
    <x v="2"/>
    <x v="1"/>
  </r>
  <r>
    <x v="1"/>
    <m/>
    <n v="50000"/>
    <m/>
    <m/>
    <m/>
    <x v="529"/>
    <x v="2"/>
    <x v="1"/>
  </r>
  <r>
    <x v="2"/>
    <m/>
    <n v="161500"/>
    <m/>
    <m/>
    <m/>
    <x v="529"/>
    <x v="2"/>
    <x v="1"/>
  </r>
  <r>
    <x v="3"/>
    <m/>
    <m/>
    <m/>
    <m/>
    <m/>
    <x v="529"/>
    <x v="2"/>
    <x v="1"/>
  </r>
  <r>
    <x v="4"/>
    <m/>
    <n v="270000"/>
    <m/>
    <m/>
    <m/>
    <x v="529"/>
    <x v="2"/>
    <x v="1"/>
  </r>
  <r>
    <x v="5"/>
    <m/>
    <n v="216000"/>
    <m/>
    <m/>
    <m/>
    <x v="529"/>
    <x v="2"/>
    <x v="1"/>
  </r>
  <r>
    <x v="14"/>
    <n v="589500"/>
    <m/>
    <m/>
    <m/>
    <m/>
    <x v="529"/>
    <x v="2"/>
    <x v="1"/>
  </r>
  <r>
    <x v="6"/>
    <n v="486000"/>
    <n v="108000"/>
    <m/>
    <m/>
    <n v="135000"/>
    <x v="529"/>
    <x v="2"/>
    <x v="1"/>
  </r>
  <r>
    <x v="7"/>
    <m/>
    <m/>
    <m/>
    <m/>
    <m/>
    <x v="529"/>
    <x v="2"/>
    <x v="1"/>
  </r>
  <r>
    <x v="15"/>
    <m/>
    <m/>
    <m/>
    <m/>
    <m/>
    <x v="529"/>
    <x v="2"/>
    <x v="1"/>
  </r>
  <r>
    <x v="8"/>
    <m/>
    <n v="756000"/>
    <m/>
    <m/>
    <m/>
    <x v="529"/>
    <x v="2"/>
    <x v="1"/>
  </r>
  <r>
    <x v="9"/>
    <n v="859500"/>
    <n v="215500"/>
    <m/>
    <m/>
    <m/>
    <x v="529"/>
    <x v="2"/>
    <x v="1"/>
  </r>
  <r>
    <x v="10"/>
    <m/>
    <m/>
    <m/>
    <m/>
    <m/>
    <x v="529"/>
    <x v="2"/>
    <x v="1"/>
  </r>
  <r>
    <x v="11"/>
    <m/>
    <m/>
    <m/>
    <m/>
    <m/>
    <x v="529"/>
    <x v="2"/>
    <x v="1"/>
  </r>
  <r>
    <x v="16"/>
    <m/>
    <m/>
    <m/>
    <m/>
    <m/>
    <x v="529"/>
    <x v="2"/>
    <x v="1"/>
  </r>
  <r>
    <x v="12"/>
    <m/>
    <m/>
    <m/>
    <m/>
    <m/>
    <x v="529"/>
    <x v="2"/>
    <x v="1"/>
  </r>
  <r>
    <x v="13"/>
    <m/>
    <n v="261000"/>
    <m/>
    <n v="108000"/>
    <m/>
    <x v="529"/>
    <x v="2"/>
    <x v="1"/>
  </r>
  <r>
    <x v="0"/>
    <m/>
    <m/>
    <m/>
    <m/>
    <m/>
    <x v="530"/>
    <x v="2"/>
    <x v="1"/>
  </r>
  <r>
    <x v="1"/>
    <m/>
    <m/>
    <m/>
    <m/>
    <m/>
    <x v="530"/>
    <x v="2"/>
    <x v="1"/>
  </r>
  <r>
    <x v="2"/>
    <m/>
    <n v="270000"/>
    <m/>
    <m/>
    <m/>
    <x v="530"/>
    <x v="2"/>
    <x v="1"/>
  </r>
  <r>
    <x v="3"/>
    <m/>
    <m/>
    <m/>
    <m/>
    <m/>
    <x v="530"/>
    <x v="2"/>
    <x v="1"/>
  </r>
  <r>
    <x v="4"/>
    <n v="144000"/>
    <n v="54000"/>
    <m/>
    <n v="324000"/>
    <m/>
    <x v="530"/>
    <x v="2"/>
    <x v="1"/>
  </r>
  <r>
    <x v="5"/>
    <m/>
    <n v="216000"/>
    <m/>
    <m/>
    <m/>
    <x v="530"/>
    <x v="2"/>
    <x v="1"/>
  </r>
  <r>
    <x v="14"/>
    <m/>
    <m/>
    <m/>
    <m/>
    <m/>
    <x v="530"/>
    <x v="2"/>
    <x v="1"/>
  </r>
  <r>
    <x v="6"/>
    <n v="54000"/>
    <n v="162000"/>
    <m/>
    <m/>
    <m/>
    <x v="530"/>
    <x v="2"/>
    <x v="1"/>
  </r>
  <r>
    <x v="7"/>
    <m/>
    <m/>
    <m/>
    <m/>
    <m/>
    <x v="530"/>
    <x v="2"/>
    <x v="1"/>
  </r>
  <r>
    <x v="15"/>
    <m/>
    <m/>
    <m/>
    <m/>
    <m/>
    <x v="530"/>
    <x v="2"/>
    <x v="1"/>
  </r>
  <r>
    <x v="8"/>
    <m/>
    <m/>
    <m/>
    <m/>
    <m/>
    <x v="530"/>
    <x v="2"/>
    <x v="1"/>
  </r>
  <r>
    <x v="9"/>
    <n v="50000"/>
    <n v="216000"/>
    <m/>
    <n v="90000"/>
    <m/>
    <x v="530"/>
    <x v="2"/>
    <x v="1"/>
  </r>
  <r>
    <x v="10"/>
    <m/>
    <m/>
    <m/>
    <m/>
    <m/>
    <x v="530"/>
    <x v="2"/>
    <x v="1"/>
  </r>
  <r>
    <x v="11"/>
    <m/>
    <m/>
    <m/>
    <m/>
    <m/>
    <x v="530"/>
    <x v="2"/>
    <x v="1"/>
  </r>
  <r>
    <x v="16"/>
    <m/>
    <m/>
    <m/>
    <m/>
    <m/>
    <x v="530"/>
    <x v="2"/>
    <x v="1"/>
  </r>
  <r>
    <x v="12"/>
    <m/>
    <n v="216000"/>
    <m/>
    <m/>
    <m/>
    <x v="530"/>
    <x v="2"/>
    <x v="1"/>
  </r>
  <r>
    <x v="13"/>
    <m/>
    <n v="324000"/>
    <m/>
    <m/>
    <m/>
    <x v="530"/>
    <x v="2"/>
    <x v="1"/>
  </r>
  <r>
    <x v="0"/>
    <m/>
    <m/>
    <m/>
    <m/>
    <m/>
    <x v="531"/>
    <x v="2"/>
    <x v="1"/>
  </r>
  <r>
    <x v="1"/>
    <m/>
    <m/>
    <m/>
    <m/>
    <m/>
    <x v="531"/>
    <x v="2"/>
    <x v="1"/>
  </r>
  <r>
    <x v="2"/>
    <m/>
    <n v="162000"/>
    <m/>
    <m/>
    <m/>
    <x v="531"/>
    <x v="2"/>
    <x v="1"/>
  </r>
  <r>
    <x v="3"/>
    <m/>
    <m/>
    <m/>
    <m/>
    <m/>
    <x v="531"/>
    <x v="2"/>
    <x v="1"/>
  </r>
  <r>
    <x v="4"/>
    <m/>
    <n v="216000"/>
    <m/>
    <n v="270000"/>
    <m/>
    <x v="531"/>
    <x v="2"/>
    <x v="1"/>
  </r>
  <r>
    <x v="5"/>
    <m/>
    <n v="323500"/>
    <m/>
    <m/>
    <m/>
    <x v="531"/>
    <x v="2"/>
    <x v="1"/>
  </r>
  <r>
    <x v="14"/>
    <m/>
    <m/>
    <m/>
    <m/>
    <m/>
    <x v="531"/>
    <x v="2"/>
    <x v="1"/>
  </r>
  <r>
    <x v="6"/>
    <n v="45000"/>
    <n v="216000"/>
    <m/>
    <m/>
    <m/>
    <x v="531"/>
    <x v="2"/>
    <x v="1"/>
  </r>
  <r>
    <x v="7"/>
    <m/>
    <m/>
    <m/>
    <m/>
    <m/>
    <x v="531"/>
    <x v="2"/>
    <x v="1"/>
  </r>
  <r>
    <x v="15"/>
    <m/>
    <m/>
    <m/>
    <m/>
    <m/>
    <x v="531"/>
    <x v="2"/>
    <x v="1"/>
  </r>
  <r>
    <x v="8"/>
    <m/>
    <m/>
    <m/>
    <m/>
    <m/>
    <x v="531"/>
    <x v="2"/>
    <x v="1"/>
  </r>
  <r>
    <x v="9"/>
    <n v="108000"/>
    <n v="315000"/>
    <m/>
    <m/>
    <m/>
    <x v="531"/>
    <x v="2"/>
    <x v="1"/>
  </r>
  <r>
    <x v="10"/>
    <m/>
    <m/>
    <m/>
    <m/>
    <m/>
    <x v="531"/>
    <x v="2"/>
    <x v="1"/>
  </r>
  <r>
    <x v="11"/>
    <m/>
    <m/>
    <m/>
    <m/>
    <m/>
    <x v="531"/>
    <x v="2"/>
    <x v="1"/>
  </r>
  <r>
    <x v="16"/>
    <m/>
    <m/>
    <m/>
    <m/>
    <m/>
    <x v="531"/>
    <x v="2"/>
    <x v="1"/>
  </r>
  <r>
    <x v="12"/>
    <m/>
    <n v="216000"/>
    <m/>
    <m/>
    <m/>
    <x v="531"/>
    <x v="2"/>
    <x v="1"/>
  </r>
  <r>
    <x v="13"/>
    <m/>
    <n v="108000"/>
    <m/>
    <m/>
    <m/>
    <x v="531"/>
    <x v="2"/>
    <x v="1"/>
  </r>
  <r>
    <x v="0"/>
    <m/>
    <m/>
    <m/>
    <m/>
    <m/>
    <x v="532"/>
    <x v="2"/>
    <x v="1"/>
  </r>
  <r>
    <x v="1"/>
    <m/>
    <m/>
    <m/>
    <m/>
    <m/>
    <x v="532"/>
    <x v="2"/>
    <x v="1"/>
  </r>
  <r>
    <x v="2"/>
    <n v="50000"/>
    <n v="216000"/>
    <m/>
    <m/>
    <m/>
    <x v="532"/>
    <x v="2"/>
    <x v="1"/>
  </r>
  <r>
    <x v="3"/>
    <m/>
    <m/>
    <m/>
    <m/>
    <m/>
    <x v="532"/>
    <x v="2"/>
    <x v="1"/>
  </r>
  <r>
    <x v="4"/>
    <n v="1179000"/>
    <n v="162000"/>
    <m/>
    <m/>
    <n v="1080000"/>
    <x v="532"/>
    <x v="2"/>
    <x v="1"/>
  </r>
  <r>
    <x v="5"/>
    <m/>
    <n v="486000"/>
    <m/>
    <m/>
    <m/>
    <x v="532"/>
    <x v="2"/>
    <x v="1"/>
  </r>
  <r>
    <x v="14"/>
    <n v="90000"/>
    <n v="104000"/>
    <m/>
    <m/>
    <m/>
    <x v="532"/>
    <x v="2"/>
    <x v="1"/>
  </r>
  <r>
    <x v="6"/>
    <n v="45000"/>
    <m/>
    <m/>
    <m/>
    <m/>
    <x v="532"/>
    <x v="2"/>
    <x v="1"/>
  </r>
  <r>
    <x v="7"/>
    <m/>
    <m/>
    <m/>
    <m/>
    <m/>
    <x v="532"/>
    <x v="2"/>
    <x v="1"/>
  </r>
  <r>
    <x v="15"/>
    <m/>
    <m/>
    <m/>
    <m/>
    <m/>
    <x v="532"/>
    <x v="2"/>
    <x v="1"/>
  </r>
  <r>
    <x v="8"/>
    <m/>
    <m/>
    <m/>
    <m/>
    <m/>
    <x v="532"/>
    <x v="2"/>
    <x v="1"/>
  </r>
  <r>
    <x v="9"/>
    <m/>
    <n v="162000"/>
    <m/>
    <m/>
    <m/>
    <x v="532"/>
    <x v="2"/>
    <x v="1"/>
  </r>
  <r>
    <x v="10"/>
    <m/>
    <m/>
    <m/>
    <m/>
    <m/>
    <x v="532"/>
    <x v="2"/>
    <x v="1"/>
  </r>
  <r>
    <x v="11"/>
    <m/>
    <m/>
    <m/>
    <m/>
    <m/>
    <x v="532"/>
    <x v="2"/>
    <x v="1"/>
  </r>
  <r>
    <x v="16"/>
    <m/>
    <m/>
    <m/>
    <m/>
    <m/>
    <x v="532"/>
    <x v="2"/>
    <x v="1"/>
  </r>
  <r>
    <x v="12"/>
    <m/>
    <n v="216000"/>
    <m/>
    <m/>
    <m/>
    <x v="532"/>
    <x v="2"/>
    <x v="1"/>
  </r>
  <r>
    <x v="13"/>
    <m/>
    <n v="49500"/>
    <m/>
    <m/>
    <m/>
    <x v="532"/>
    <x v="2"/>
    <x v="1"/>
  </r>
  <r>
    <x v="0"/>
    <m/>
    <m/>
    <m/>
    <m/>
    <m/>
    <x v="532"/>
    <x v="2"/>
    <x v="1"/>
  </r>
  <r>
    <x v="1"/>
    <m/>
    <n v="52000"/>
    <m/>
    <m/>
    <m/>
    <x v="532"/>
    <x v="2"/>
    <x v="1"/>
  </r>
  <r>
    <x v="2"/>
    <m/>
    <n v="162000"/>
    <m/>
    <m/>
    <m/>
    <x v="532"/>
    <x v="2"/>
    <x v="1"/>
  </r>
  <r>
    <x v="3"/>
    <m/>
    <m/>
    <m/>
    <m/>
    <m/>
    <x v="532"/>
    <x v="2"/>
    <x v="1"/>
  </r>
  <r>
    <x v="4"/>
    <n v="1496000"/>
    <n v="162000"/>
    <m/>
    <m/>
    <n v="420000"/>
    <x v="532"/>
    <x v="2"/>
    <x v="1"/>
  </r>
  <r>
    <x v="5"/>
    <m/>
    <n v="576000"/>
    <m/>
    <m/>
    <m/>
    <x v="532"/>
    <x v="2"/>
    <x v="1"/>
  </r>
  <r>
    <x v="14"/>
    <n v="90000"/>
    <m/>
    <m/>
    <m/>
    <m/>
    <x v="532"/>
    <x v="2"/>
    <x v="1"/>
  </r>
  <r>
    <x v="6"/>
    <m/>
    <m/>
    <m/>
    <m/>
    <m/>
    <x v="532"/>
    <x v="2"/>
    <x v="1"/>
  </r>
  <r>
    <x v="7"/>
    <m/>
    <m/>
    <m/>
    <m/>
    <m/>
    <x v="532"/>
    <x v="2"/>
    <x v="1"/>
  </r>
  <r>
    <x v="15"/>
    <m/>
    <m/>
    <m/>
    <m/>
    <m/>
    <x v="532"/>
    <x v="2"/>
    <x v="1"/>
  </r>
  <r>
    <x v="8"/>
    <n v="432000"/>
    <m/>
    <m/>
    <m/>
    <m/>
    <x v="532"/>
    <x v="2"/>
    <x v="1"/>
  </r>
  <r>
    <x v="9"/>
    <n v="320000"/>
    <m/>
    <m/>
    <n v="45000"/>
    <m/>
    <x v="532"/>
    <x v="2"/>
    <x v="1"/>
  </r>
  <r>
    <x v="10"/>
    <m/>
    <m/>
    <m/>
    <m/>
    <m/>
    <x v="532"/>
    <x v="2"/>
    <x v="1"/>
  </r>
  <r>
    <x v="11"/>
    <m/>
    <m/>
    <m/>
    <m/>
    <m/>
    <x v="532"/>
    <x v="2"/>
    <x v="1"/>
  </r>
  <r>
    <x v="16"/>
    <m/>
    <m/>
    <m/>
    <m/>
    <m/>
    <x v="532"/>
    <x v="2"/>
    <x v="1"/>
  </r>
  <r>
    <x v="12"/>
    <m/>
    <n v="378000"/>
    <m/>
    <m/>
    <m/>
    <x v="532"/>
    <x v="2"/>
    <x v="1"/>
  </r>
  <r>
    <x v="13"/>
    <m/>
    <n v="149000"/>
    <m/>
    <m/>
    <m/>
    <x v="532"/>
    <x v="2"/>
    <x v="1"/>
  </r>
  <r>
    <x v="0"/>
    <m/>
    <m/>
    <m/>
    <m/>
    <m/>
    <x v="533"/>
    <x v="2"/>
    <x v="1"/>
  </r>
  <r>
    <x v="1"/>
    <m/>
    <n v="90000"/>
    <m/>
    <m/>
    <m/>
    <x v="533"/>
    <x v="2"/>
    <x v="1"/>
  </r>
  <r>
    <x v="2"/>
    <m/>
    <m/>
    <m/>
    <m/>
    <m/>
    <x v="533"/>
    <x v="2"/>
    <x v="1"/>
  </r>
  <r>
    <x v="3"/>
    <m/>
    <m/>
    <m/>
    <m/>
    <m/>
    <x v="533"/>
    <x v="2"/>
    <x v="1"/>
  </r>
  <r>
    <x v="4"/>
    <n v="324000"/>
    <m/>
    <m/>
    <m/>
    <m/>
    <x v="533"/>
    <x v="2"/>
    <x v="1"/>
  </r>
  <r>
    <x v="5"/>
    <m/>
    <n v="1186000"/>
    <m/>
    <m/>
    <m/>
    <x v="533"/>
    <x v="2"/>
    <x v="1"/>
  </r>
  <r>
    <x v="14"/>
    <m/>
    <m/>
    <n v="108000"/>
    <m/>
    <m/>
    <x v="533"/>
    <x v="2"/>
    <x v="1"/>
  </r>
  <r>
    <x v="6"/>
    <n v="585000"/>
    <m/>
    <n v="216000"/>
    <m/>
    <m/>
    <x v="533"/>
    <x v="2"/>
    <x v="1"/>
  </r>
  <r>
    <x v="7"/>
    <m/>
    <m/>
    <m/>
    <m/>
    <m/>
    <x v="533"/>
    <x v="2"/>
    <x v="1"/>
  </r>
  <r>
    <x v="15"/>
    <m/>
    <m/>
    <m/>
    <m/>
    <m/>
    <x v="533"/>
    <x v="2"/>
    <x v="1"/>
  </r>
  <r>
    <x v="8"/>
    <n v="594000"/>
    <m/>
    <m/>
    <m/>
    <n v="540000"/>
    <x v="533"/>
    <x v="2"/>
    <x v="1"/>
  </r>
  <r>
    <x v="9"/>
    <n v="540000"/>
    <m/>
    <m/>
    <m/>
    <m/>
    <x v="533"/>
    <x v="2"/>
    <x v="1"/>
  </r>
  <r>
    <x v="10"/>
    <m/>
    <m/>
    <m/>
    <m/>
    <m/>
    <x v="533"/>
    <x v="2"/>
    <x v="1"/>
  </r>
  <r>
    <x v="11"/>
    <m/>
    <m/>
    <m/>
    <m/>
    <m/>
    <x v="533"/>
    <x v="2"/>
    <x v="1"/>
  </r>
  <r>
    <x v="16"/>
    <m/>
    <m/>
    <m/>
    <m/>
    <m/>
    <x v="533"/>
    <x v="2"/>
    <x v="1"/>
  </r>
  <r>
    <x v="12"/>
    <n v="432000"/>
    <m/>
    <m/>
    <m/>
    <m/>
    <x v="533"/>
    <x v="2"/>
    <x v="1"/>
  </r>
  <r>
    <x v="13"/>
    <m/>
    <m/>
    <n v="162000"/>
    <m/>
    <m/>
    <x v="533"/>
    <x v="2"/>
    <x v="1"/>
  </r>
  <r>
    <x v="0"/>
    <m/>
    <m/>
    <m/>
    <m/>
    <m/>
    <x v="534"/>
    <x v="2"/>
    <x v="1"/>
  </r>
  <r>
    <x v="1"/>
    <m/>
    <m/>
    <m/>
    <m/>
    <m/>
    <x v="534"/>
    <x v="2"/>
    <x v="1"/>
  </r>
  <r>
    <x v="2"/>
    <m/>
    <m/>
    <m/>
    <m/>
    <m/>
    <x v="534"/>
    <x v="2"/>
    <x v="1"/>
  </r>
  <r>
    <x v="3"/>
    <m/>
    <m/>
    <m/>
    <m/>
    <m/>
    <x v="534"/>
    <x v="2"/>
    <x v="1"/>
  </r>
  <r>
    <x v="4"/>
    <m/>
    <n v="54000"/>
    <m/>
    <m/>
    <m/>
    <x v="534"/>
    <x v="2"/>
    <x v="1"/>
  </r>
  <r>
    <x v="5"/>
    <m/>
    <n v="477000"/>
    <m/>
    <m/>
    <m/>
    <x v="534"/>
    <x v="2"/>
    <x v="1"/>
  </r>
  <r>
    <x v="14"/>
    <n v="320000"/>
    <m/>
    <n v="270000"/>
    <m/>
    <m/>
    <x v="534"/>
    <x v="2"/>
    <x v="1"/>
  </r>
  <r>
    <x v="6"/>
    <n v="108000"/>
    <m/>
    <n v="144000"/>
    <m/>
    <m/>
    <x v="534"/>
    <x v="2"/>
    <x v="1"/>
  </r>
  <r>
    <x v="7"/>
    <m/>
    <m/>
    <m/>
    <m/>
    <m/>
    <x v="534"/>
    <x v="2"/>
    <x v="1"/>
  </r>
  <r>
    <x v="15"/>
    <m/>
    <m/>
    <m/>
    <m/>
    <m/>
    <x v="534"/>
    <x v="2"/>
    <x v="1"/>
  </r>
  <r>
    <x v="8"/>
    <n v="270000"/>
    <n v="432000"/>
    <m/>
    <m/>
    <n v="315000"/>
    <x v="534"/>
    <x v="2"/>
    <x v="1"/>
  </r>
  <r>
    <x v="9"/>
    <n v="486000"/>
    <n v="486000"/>
    <m/>
    <n v="45000"/>
    <m/>
    <x v="534"/>
    <x v="2"/>
    <x v="1"/>
  </r>
  <r>
    <x v="10"/>
    <m/>
    <m/>
    <m/>
    <m/>
    <m/>
    <x v="534"/>
    <x v="2"/>
    <x v="1"/>
  </r>
  <r>
    <x v="11"/>
    <m/>
    <m/>
    <m/>
    <m/>
    <m/>
    <x v="534"/>
    <x v="2"/>
    <x v="1"/>
  </r>
  <r>
    <x v="16"/>
    <m/>
    <m/>
    <m/>
    <m/>
    <m/>
    <x v="534"/>
    <x v="2"/>
    <x v="1"/>
  </r>
  <r>
    <x v="12"/>
    <n v="540000"/>
    <n v="54000"/>
    <m/>
    <m/>
    <m/>
    <x v="534"/>
    <x v="2"/>
    <x v="1"/>
  </r>
  <r>
    <x v="13"/>
    <n v="580500"/>
    <m/>
    <n v="162000"/>
    <m/>
    <m/>
    <x v="534"/>
    <x v="2"/>
    <x v="1"/>
  </r>
  <r>
    <x v="0"/>
    <m/>
    <m/>
    <m/>
    <m/>
    <m/>
    <x v="535"/>
    <x v="2"/>
    <x v="1"/>
  </r>
  <r>
    <x v="1"/>
    <m/>
    <m/>
    <m/>
    <m/>
    <m/>
    <x v="535"/>
    <x v="2"/>
    <x v="1"/>
  </r>
  <r>
    <x v="2"/>
    <n v="266000"/>
    <m/>
    <m/>
    <m/>
    <m/>
    <x v="535"/>
    <x v="2"/>
    <x v="1"/>
  </r>
  <r>
    <x v="3"/>
    <n v="648000"/>
    <m/>
    <n v="162000"/>
    <m/>
    <m/>
    <x v="535"/>
    <x v="2"/>
    <x v="1"/>
  </r>
  <r>
    <x v="4"/>
    <m/>
    <m/>
    <m/>
    <m/>
    <m/>
    <x v="535"/>
    <x v="2"/>
    <x v="1"/>
  </r>
  <r>
    <x v="5"/>
    <m/>
    <n v="378000"/>
    <m/>
    <n v="369000"/>
    <m/>
    <x v="535"/>
    <x v="2"/>
    <x v="1"/>
  </r>
  <r>
    <x v="14"/>
    <n v="162000"/>
    <n v="216000"/>
    <m/>
    <m/>
    <m/>
    <x v="535"/>
    <x v="2"/>
    <x v="1"/>
  </r>
  <r>
    <x v="6"/>
    <n v="50000"/>
    <m/>
    <n v="140000"/>
    <m/>
    <m/>
    <x v="535"/>
    <x v="2"/>
    <x v="1"/>
  </r>
  <r>
    <x v="7"/>
    <m/>
    <m/>
    <m/>
    <m/>
    <m/>
    <x v="535"/>
    <x v="2"/>
    <x v="1"/>
  </r>
  <r>
    <x v="15"/>
    <m/>
    <m/>
    <m/>
    <m/>
    <m/>
    <x v="535"/>
    <x v="2"/>
    <x v="1"/>
  </r>
  <r>
    <x v="8"/>
    <n v="702000"/>
    <n v="378000"/>
    <m/>
    <m/>
    <n v="145000"/>
    <x v="535"/>
    <x v="2"/>
    <x v="1"/>
  </r>
  <r>
    <x v="9"/>
    <n v="154000"/>
    <n v="54000"/>
    <m/>
    <m/>
    <m/>
    <x v="535"/>
    <x v="2"/>
    <x v="1"/>
  </r>
  <r>
    <x v="10"/>
    <m/>
    <m/>
    <m/>
    <m/>
    <m/>
    <x v="535"/>
    <x v="2"/>
    <x v="1"/>
  </r>
  <r>
    <x v="11"/>
    <m/>
    <m/>
    <m/>
    <m/>
    <m/>
    <x v="535"/>
    <x v="2"/>
    <x v="1"/>
  </r>
  <r>
    <x v="16"/>
    <m/>
    <m/>
    <m/>
    <m/>
    <m/>
    <x v="535"/>
    <x v="2"/>
    <x v="1"/>
  </r>
  <r>
    <x v="12"/>
    <n v="54000"/>
    <m/>
    <m/>
    <m/>
    <m/>
    <x v="535"/>
    <x v="2"/>
    <x v="1"/>
  </r>
  <r>
    <x v="13"/>
    <n v="424000"/>
    <m/>
    <m/>
    <m/>
    <m/>
    <x v="535"/>
    <x v="2"/>
    <x v="1"/>
  </r>
  <r>
    <x v="0"/>
    <m/>
    <m/>
    <m/>
    <m/>
    <m/>
    <x v="535"/>
    <x v="2"/>
    <x v="1"/>
  </r>
  <r>
    <x v="1"/>
    <m/>
    <m/>
    <m/>
    <m/>
    <m/>
    <x v="535"/>
    <x v="2"/>
    <x v="1"/>
  </r>
  <r>
    <x v="2"/>
    <m/>
    <m/>
    <m/>
    <m/>
    <m/>
    <x v="535"/>
    <x v="2"/>
    <x v="1"/>
  </r>
  <r>
    <x v="3"/>
    <n v="1489500"/>
    <n v="45000"/>
    <n v="702000"/>
    <m/>
    <n v="486000"/>
    <x v="535"/>
    <x v="2"/>
    <x v="1"/>
  </r>
  <r>
    <x v="4"/>
    <m/>
    <m/>
    <m/>
    <m/>
    <m/>
    <x v="535"/>
    <x v="2"/>
    <x v="1"/>
  </r>
  <r>
    <x v="5"/>
    <m/>
    <n v="639000"/>
    <m/>
    <n v="90000"/>
    <m/>
    <x v="535"/>
    <x v="2"/>
    <x v="1"/>
  </r>
  <r>
    <x v="14"/>
    <n v="54000"/>
    <n v="540000"/>
    <m/>
    <m/>
    <m/>
    <x v="535"/>
    <x v="2"/>
    <x v="1"/>
  </r>
  <r>
    <x v="6"/>
    <m/>
    <m/>
    <m/>
    <m/>
    <m/>
    <x v="535"/>
    <x v="2"/>
    <x v="1"/>
  </r>
  <r>
    <x v="7"/>
    <m/>
    <m/>
    <m/>
    <m/>
    <m/>
    <x v="535"/>
    <x v="2"/>
    <x v="1"/>
  </r>
  <r>
    <x v="15"/>
    <m/>
    <m/>
    <m/>
    <m/>
    <m/>
    <x v="535"/>
    <x v="2"/>
    <x v="1"/>
  </r>
  <r>
    <x v="8"/>
    <m/>
    <m/>
    <m/>
    <m/>
    <m/>
    <x v="535"/>
    <x v="2"/>
    <x v="1"/>
  </r>
  <r>
    <x v="9"/>
    <m/>
    <n v="270000"/>
    <m/>
    <m/>
    <m/>
    <x v="535"/>
    <x v="2"/>
    <x v="1"/>
  </r>
  <r>
    <x v="10"/>
    <m/>
    <m/>
    <m/>
    <m/>
    <m/>
    <x v="535"/>
    <x v="2"/>
    <x v="1"/>
  </r>
  <r>
    <x v="11"/>
    <m/>
    <m/>
    <m/>
    <m/>
    <m/>
    <x v="535"/>
    <x v="2"/>
    <x v="1"/>
  </r>
  <r>
    <x v="16"/>
    <m/>
    <m/>
    <m/>
    <m/>
    <m/>
    <x v="535"/>
    <x v="2"/>
    <x v="1"/>
  </r>
  <r>
    <x v="12"/>
    <m/>
    <m/>
    <m/>
    <m/>
    <m/>
    <x v="535"/>
    <x v="2"/>
    <x v="1"/>
  </r>
  <r>
    <x v="13"/>
    <m/>
    <m/>
    <m/>
    <m/>
    <m/>
    <x v="535"/>
    <x v="2"/>
    <x v="1"/>
  </r>
  <r>
    <x v="0"/>
    <m/>
    <m/>
    <m/>
    <m/>
    <m/>
    <x v="536"/>
    <x v="2"/>
    <x v="1"/>
  </r>
  <r>
    <x v="1"/>
    <m/>
    <m/>
    <m/>
    <m/>
    <m/>
    <x v="536"/>
    <x v="2"/>
    <x v="1"/>
  </r>
  <r>
    <x v="2"/>
    <m/>
    <m/>
    <m/>
    <m/>
    <m/>
    <x v="536"/>
    <x v="2"/>
    <x v="1"/>
  </r>
  <r>
    <x v="3"/>
    <n v="1935500"/>
    <m/>
    <n v="45000"/>
    <m/>
    <n v="540000"/>
    <x v="536"/>
    <x v="2"/>
    <x v="1"/>
  </r>
  <r>
    <x v="4"/>
    <m/>
    <m/>
    <m/>
    <m/>
    <m/>
    <x v="536"/>
    <x v="2"/>
    <x v="1"/>
  </r>
  <r>
    <x v="5"/>
    <m/>
    <n v="702000"/>
    <n v="270000"/>
    <m/>
    <m/>
    <x v="536"/>
    <x v="2"/>
    <x v="1"/>
  </r>
  <r>
    <x v="14"/>
    <m/>
    <n v="684500"/>
    <n v="54000"/>
    <m/>
    <m/>
    <x v="536"/>
    <x v="2"/>
    <x v="1"/>
  </r>
  <r>
    <x v="6"/>
    <m/>
    <m/>
    <m/>
    <m/>
    <m/>
    <x v="536"/>
    <x v="2"/>
    <x v="1"/>
  </r>
  <r>
    <x v="7"/>
    <m/>
    <m/>
    <m/>
    <m/>
    <m/>
    <x v="536"/>
    <x v="2"/>
    <x v="1"/>
  </r>
  <r>
    <x v="15"/>
    <m/>
    <m/>
    <m/>
    <m/>
    <m/>
    <x v="536"/>
    <x v="2"/>
    <x v="1"/>
  </r>
  <r>
    <x v="8"/>
    <m/>
    <n v="306000"/>
    <m/>
    <m/>
    <m/>
    <x v="536"/>
    <x v="2"/>
    <x v="1"/>
  </r>
  <r>
    <x v="9"/>
    <m/>
    <n v="378000"/>
    <m/>
    <m/>
    <m/>
    <x v="536"/>
    <x v="2"/>
    <x v="1"/>
  </r>
  <r>
    <x v="10"/>
    <m/>
    <m/>
    <m/>
    <m/>
    <m/>
    <x v="536"/>
    <x v="2"/>
    <x v="1"/>
  </r>
  <r>
    <x v="11"/>
    <m/>
    <m/>
    <m/>
    <m/>
    <m/>
    <x v="536"/>
    <x v="2"/>
    <x v="1"/>
  </r>
  <r>
    <x v="16"/>
    <m/>
    <m/>
    <m/>
    <m/>
    <m/>
    <x v="536"/>
    <x v="2"/>
    <x v="1"/>
  </r>
  <r>
    <x v="12"/>
    <m/>
    <m/>
    <m/>
    <m/>
    <m/>
    <x v="536"/>
    <x v="2"/>
    <x v="1"/>
  </r>
  <r>
    <x v="13"/>
    <m/>
    <m/>
    <n v="54000"/>
    <m/>
    <m/>
    <x v="536"/>
    <x v="2"/>
    <x v="1"/>
  </r>
  <r>
    <x v="0"/>
    <m/>
    <m/>
    <m/>
    <m/>
    <m/>
    <x v="537"/>
    <x v="2"/>
    <x v="2"/>
  </r>
  <r>
    <x v="1"/>
    <m/>
    <m/>
    <m/>
    <m/>
    <m/>
    <x v="537"/>
    <x v="2"/>
    <x v="2"/>
  </r>
  <r>
    <x v="2"/>
    <m/>
    <m/>
    <m/>
    <m/>
    <m/>
    <x v="537"/>
    <x v="2"/>
    <x v="2"/>
  </r>
  <r>
    <x v="3"/>
    <m/>
    <m/>
    <m/>
    <m/>
    <m/>
    <x v="537"/>
    <x v="2"/>
    <x v="2"/>
  </r>
  <r>
    <x v="4"/>
    <m/>
    <m/>
    <m/>
    <m/>
    <m/>
    <x v="537"/>
    <x v="2"/>
    <x v="2"/>
  </r>
  <r>
    <x v="5"/>
    <m/>
    <n v="108000"/>
    <m/>
    <m/>
    <m/>
    <x v="537"/>
    <x v="2"/>
    <x v="2"/>
  </r>
  <r>
    <x v="14"/>
    <m/>
    <n v="54000"/>
    <m/>
    <m/>
    <m/>
    <x v="537"/>
    <x v="2"/>
    <x v="2"/>
  </r>
  <r>
    <x v="6"/>
    <m/>
    <m/>
    <m/>
    <m/>
    <m/>
    <x v="537"/>
    <x v="2"/>
    <x v="2"/>
  </r>
  <r>
    <x v="7"/>
    <m/>
    <m/>
    <m/>
    <m/>
    <m/>
    <x v="537"/>
    <x v="2"/>
    <x v="2"/>
  </r>
  <r>
    <x v="15"/>
    <m/>
    <m/>
    <m/>
    <m/>
    <m/>
    <x v="537"/>
    <x v="2"/>
    <x v="2"/>
  </r>
  <r>
    <x v="8"/>
    <m/>
    <m/>
    <m/>
    <m/>
    <m/>
    <x v="537"/>
    <x v="2"/>
    <x v="2"/>
  </r>
  <r>
    <x v="9"/>
    <m/>
    <m/>
    <m/>
    <m/>
    <m/>
    <x v="537"/>
    <x v="2"/>
    <x v="2"/>
  </r>
  <r>
    <x v="10"/>
    <m/>
    <m/>
    <m/>
    <m/>
    <m/>
    <x v="537"/>
    <x v="2"/>
    <x v="2"/>
  </r>
  <r>
    <x v="11"/>
    <m/>
    <m/>
    <m/>
    <m/>
    <m/>
    <x v="537"/>
    <x v="2"/>
    <x v="2"/>
  </r>
  <r>
    <x v="16"/>
    <m/>
    <m/>
    <m/>
    <m/>
    <m/>
    <x v="537"/>
    <x v="2"/>
    <x v="2"/>
  </r>
  <r>
    <x v="12"/>
    <m/>
    <m/>
    <m/>
    <m/>
    <m/>
    <x v="537"/>
    <x v="2"/>
    <x v="2"/>
  </r>
  <r>
    <x v="13"/>
    <m/>
    <m/>
    <m/>
    <m/>
    <m/>
    <x v="537"/>
    <x v="2"/>
    <x v="2"/>
  </r>
  <r>
    <x v="0"/>
    <m/>
    <m/>
    <m/>
    <m/>
    <m/>
    <x v="538"/>
    <x v="2"/>
    <x v="2"/>
  </r>
  <r>
    <x v="1"/>
    <m/>
    <m/>
    <m/>
    <m/>
    <m/>
    <x v="538"/>
    <x v="2"/>
    <x v="2"/>
  </r>
  <r>
    <x v="2"/>
    <n v="54000"/>
    <m/>
    <m/>
    <m/>
    <m/>
    <x v="538"/>
    <x v="2"/>
    <x v="2"/>
  </r>
  <r>
    <x v="3"/>
    <n v="864000"/>
    <m/>
    <n v="90000"/>
    <m/>
    <n v="423000"/>
    <x v="538"/>
    <x v="2"/>
    <x v="2"/>
  </r>
  <r>
    <x v="4"/>
    <n v="378000"/>
    <m/>
    <n v="324000"/>
    <m/>
    <m/>
    <x v="538"/>
    <x v="2"/>
    <x v="2"/>
  </r>
  <r>
    <x v="5"/>
    <n v="54000"/>
    <n v="486000"/>
    <m/>
    <m/>
    <m/>
    <x v="538"/>
    <x v="2"/>
    <x v="2"/>
  </r>
  <r>
    <x v="14"/>
    <n v="54000"/>
    <n v="1120500"/>
    <m/>
    <m/>
    <m/>
    <x v="538"/>
    <x v="2"/>
    <x v="2"/>
  </r>
  <r>
    <x v="6"/>
    <m/>
    <m/>
    <m/>
    <m/>
    <m/>
    <x v="538"/>
    <x v="2"/>
    <x v="2"/>
  </r>
  <r>
    <x v="7"/>
    <m/>
    <m/>
    <m/>
    <m/>
    <m/>
    <x v="538"/>
    <x v="2"/>
    <x v="2"/>
  </r>
  <r>
    <x v="15"/>
    <m/>
    <m/>
    <m/>
    <m/>
    <m/>
    <x v="538"/>
    <x v="2"/>
    <x v="2"/>
  </r>
  <r>
    <x v="8"/>
    <m/>
    <n v="378000"/>
    <m/>
    <m/>
    <m/>
    <x v="538"/>
    <x v="2"/>
    <x v="2"/>
  </r>
  <r>
    <x v="9"/>
    <m/>
    <n v="54000"/>
    <m/>
    <m/>
    <m/>
    <x v="538"/>
    <x v="2"/>
    <x v="2"/>
  </r>
  <r>
    <x v="10"/>
    <m/>
    <m/>
    <m/>
    <m/>
    <m/>
    <x v="538"/>
    <x v="2"/>
    <x v="2"/>
  </r>
  <r>
    <x v="11"/>
    <m/>
    <m/>
    <m/>
    <m/>
    <m/>
    <x v="538"/>
    <x v="2"/>
    <x v="2"/>
  </r>
  <r>
    <x v="16"/>
    <m/>
    <m/>
    <m/>
    <m/>
    <m/>
    <x v="538"/>
    <x v="2"/>
    <x v="2"/>
  </r>
  <r>
    <x v="12"/>
    <m/>
    <m/>
    <m/>
    <m/>
    <m/>
    <x v="538"/>
    <x v="2"/>
    <x v="2"/>
  </r>
  <r>
    <x v="13"/>
    <m/>
    <m/>
    <m/>
    <m/>
    <m/>
    <x v="538"/>
    <x v="2"/>
    <x v="2"/>
  </r>
  <r>
    <x v="0"/>
    <m/>
    <m/>
    <m/>
    <m/>
    <m/>
    <x v="539"/>
    <x v="2"/>
    <x v="2"/>
  </r>
  <r>
    <x v="1"/>
    <m/>
    <m/>
    <m/>
    <m/>
    <m/>
    <x v="539"/>
    <x v="2"/>
    <x v="2"/>
  </r>
  <r>
    <x v="2"/>
    <m/>
    <m/>
    <m/>
    <m/>
    <m/>
    <x v="539"/>
    <x v="2"/>
    <x v="2"/>
  </r>
  <r>
    <x v="3"/>
    <n v="157500"/>
    <m/>
    <m/>
    <m/>
    <n v="594000"/>
    <x v="539"/>
    <x v="2"/>
    <x v="2"/>
  </r>
  <r>
    <x v="4"/>
    <n v="270000"/>
    <m/>
    <m/>
    <m/>
    <m/>
    <x v="539"/>
    <x v="2"/>
    <x v="2"/>
  </r>
  <r>
    <x v="5"/>
    <n v="427500"/>
    <n v="589500"/>
    <m/>
    <m/>
    <m/>
    <x v="539"/>
    <x v="2"/>
    <x v="2"/>
  </r>
  <r>
    <x v="14"/>
    <n v="270000"/>
    <n v="796500"/>
    <m/>
    <m/>
    <m/>
    <x v="539"/>
    <x v="2"/>
    <x v="2"/>
  </r>
  <r>
    <x v="6"/>
    <m/>
    <n v="108000"/>
    <m/>
    <m/>
    <m/>
    <x v="539"/>
    <x v="2"/>
    <x v="2"/>
  </r>
  <r>
    <x v="7"/>
    <m/>
    <m/>
    <m/>
    <m/>
    <m/>
    <x v="539"/>
    <x v="2"/>
    <x v="2"/>
  </r>
  <r>
    <x v="15"/>
    <m/>
    <m/>
    <m/>
    <m/>
    <m/>
    <x v="539"/>
    <x v="2"/>
    <x v="2"/>
  </r>
  <r>
    <x v="8"/>
    <m/>
    <n v="162000"/>
    <m/>
    <m/>
    <m/>
    <x v="539"/>
    <x v="2"/>
    <x v="2"/>
  </r>
  <r>
    <x v="9"/>
    <n v="270000"/>
    <m/>
    <m/>
    <m/>
    <m/>
    <x v="539"/>
    <x v="2"/>
    <x v="2"/>
  </r>
  <r>
    <x v="10"/>
    <m/>
    <m/>
    <m/>
    <m/>
    <m/>
    <x v="539"/>
    <x v="2"/>
    <x v="2"/>
  </r>
  <r>
    <x v="11"/>
    <m/>
    <m/>
    <m/>
    <m/>
    <m/>
    <x v="539"/>
    <x v="2"/>
    <x v="2"/>
  </r>
  <r>
    <x v="16"/>
    <m/>
    <m/>
    <m/>
    <m/>
    <m/>
    <x v="539"/>
    <x v="2"/>
    <x v="2"/>
  </r>
  <r>
    <x v="12"/>
    <n v="378000"/>
    <m/>
    <n v="216000"/>
    <m/>
    <m/>
    <x v="539"/>
    <x v="2"/>
    <x v="2"/>
  </r>
  <r>
    <x v="13"/>
    <n v="45000"/>
    <m/>
    <m/>
    <m/>
    <m/>
    <x v="539"/>
    <x v="2"/>
    <x v="2"/>
  </r>
  <r>
    <x v="0"/>
    <m/>
    <m/>
    <m/>
    <m/>
    <m/>
    <x v="540"/>
    <x v="2"/>
    <x v="2"/>
  </r>
  <r>
    <x v="1"/>
    <n v="157000"/>
    <m/>
    <m/>
    <m/>
    <m/>
    <x v="540"/>
    <x v="2"/>
    <x v="2"/>
  </r>
  <r>
    <x v="2"/>
    <n v="90000"/>
    <m/>
    <m/>
    <m/>
    <m/>
    <x v="540"/>
    <x v="2"/>
    <x v="2"/>
  </r>
  <r>
    <x v="3"/>
    <n v="320000"/>
    <m/>
    <m/>
    <m/>
    <n v="311000"/>
    <x v="540"/>
    <x v="2"/>
    <x v="2"/>
  </r>
  <r>
    <x v="4"/>
    <m/>
    <n v="806000"/>
    <m/>
    <m/>
    <m/>
    <x v="540"/>
    <x v="2"/>
    <x v="2"/>
  </r>
  <r>
    <x v="5"/>
    <m/>
    <n v="104000"/>
    <m/>
    <m/>
    <m/>
    <x v="540"/>
    <x v="2"/>
    <x v="2"/>
  </r>
  <r>
    <x v="14"/>
    <n v="211500"/>
    <n v="693000"/>
    <m/>
    <m/>
    <m/>
    <x v="540"/>
    <x v="2"/>
    <x v="2"/>
  </r>
  <r>
    <x v="6"/>
    <m/>
    <m/>
    <m/>
    <m/>
    <m/>
    <x v="540"/>
    <x v="2"/>
    <x v="2"/>
  </r>
  <r>
    <x v="7"/>
    <m/>
    <m/>
    <m/>
    <m/>
    <m/>
    <x v="540"/>
    <x v="2"/>
    <x v="2"/>
  </r>
  <r>
    <x v="15"/>
    <m/>
    <m/>
    <m/>
    <m/>
    <m/>
    <x v="540"/>
    <x v="2"/>
    <x v="2"/>
  </r>
  <r>
    <x v="8"/>
    <m/>
    <m/>
    <m/>
    <m/>
    <m/>
    <x v="540"/>
    <x v="2"/>
    <x v="2"/>
  </r>
  <r>
    <x v="9"/>
    <n v="265500"/>
    <m/>
    <m/>
    <m/>
    <n v="108000"/>
    <x v="540"/>
    <x v="2"/>
    <x v="2"/>
  </r>
  <r>
    <x v="10"/>
    <m/>
    <m/>
    <m/>
    <m/>
    <m/>
    <x v="540"/>
    <x v="2"/>
    <x v="2"/>
  </r>
  <r>
    <x v="11"/>
    <m/>
    <m/>
    <m/>
    <m/>
    <m/>
    <x v="540"/>
    <x v="2"/>
    <x v="2"/>
  </r>
  <r>
    <x v="16"/>
    <m/>
    <m/>
    <m/>
    <m/>
    <m/>
    <x v="540"/>
    <x v="2"/>
    <x v="2"/>
  </r>
  <r>
    <x v="12"/>
    <n v="54000"/>
    <n v="45000"/>
    <m/>
    <m/>
    <m/>
    <x v="540"/>
    <x v="2"/>
    <x v="2"/>
  </r>
  <r>
    <x v="13"/>
    <n v="108000"/>
    <m/>
    <m/>
    <m/>
    <n v="162000"/>
    <x v="540"/>
    <x v="2"/>
    <x v="2"/>
  </r>
  <r>
    <x v="0"/>
    <m/>
    <m/>
    <m/>
    <m/>
    <m/>
    <x v="541"/>
    <x v="2"/>
    <x v="2"/>
  </r>
  <r>
    <x v="1"/>
    <n v="108000"/>
    <m/>
    <m/>
    <m/>
    <m/>
    <x v="541"/>
    <x v="2"/>
    <x v="2"/>
  </r>
  <r>
    <x v="2"/>
    <n v="90000"/>
    <m/>
    <m/>
    <m/>
    <m/>
    <x v="541"/>
    <x v="2"/>
    <x v="2"/>
  </r>
  <r>
    <x v="3"/>
    <n v="378000"/>
    <m/>
    <m/>
    <m/>
    <n v="54000"/>
    <x v="541"/>
    <x v="2"/>
    <x v="2"/>
  </r>
  <r>
    <x v="4"/>
    <m/>
    <n v="464500"/>
    <m/>
    <m/>
    <m/>
    <x v="541"/>
    <x v="2"/>
    <x v="2"/>
  </r>
  <r>
    <x v="5"/>
    <n v="108000"/>
    <n v="49500"/>
    <m/>
    <m/>
    <m/>
    <x v="541"/>
    <x v="2"/>
    <x v="2"/>
  </r>
  <r>
    <x v="14"/>
    <n v="162000"/>
    <n v="54000"/>
    <m/>
    <m/>
    <m/>
    <x v="541"/>
    <x v="2"/>
    <x v="2"/>
  </r>
  <r>
    <x v="6"/>
    <n v="50000"/>
    <m/>
    <m/>
    <m/>
    <m/>
    <x v="541"/>
    <x v="2"/>
    <x v="2"/>
  </r>
  <r>
    <x v="7"/>
    <m/>
    <m/>
    <m/>
    <m/>
    <m/>
    <x v="541"/>
    <x v="2"/>
    <x v="2"/>
  </r>
  <r>
    <x v="15"/>
    <m/>
    <m/>
    <m/>
    <m/>
    <m/>
    <x v="541"/>
    <x v="2"/>
    <x v="2"/>
  </r>
  <r>
    <x v="8"/>
    <m/>
    <n v="810000"/>
    <m/>
    <m/>
    <m/>
    <x v="541"/>
    <x v="2"/>
    <x v="2"/>
  </r>
  <r>
    <x v="9"/>
    <n v="216000"/>
    <m/>
    <m/>
    <m/>
    <n v="162000"/>
    <x v="541"/>
    <x v="2"/>
    <x v="2"/>
  </r>
  <r>
    <x v="10"/>
    <m/>
    <m/>
    <m/>
    <m/>
    <m/>
    <x v="541"/>
    <x v="2"/>
    <x v="2"/>
  </r>
  <r>
    <x v="11"/>
    <m/>
    <m/>
    <m/>
    <m/>
    <m/>
    <x v="541"/>
    <x v="2"/>
    <x v="2"/>
  </r>
  <r>
    <x v="16"/>
    <m/>
    <m/>
    <m/>
    <m/>
    <m/>
    <x v="541"/>
    <x v="2"/>
    <x v="2"/>
  </r>
  <r>
    <x v="12"/>
    <m/>
    <m/>
    <m/>
    <m/>
    <m/>
    <x v="541"/>
    <x v="2"/>
    <x v="2"/>
  </r>
  <r>
    <x v="13"/>
    <n v="324000"/>
    <m/>
    <m/>
    <m/>
    <n v="216000"/>
    <x v="541"/>
    <x v="2"/>
    <x v="2"/>
  </r>
  <r>
    <x v="0"/>
    <m/>
    <m/>
    <m/>
    <m/>
    <m/>
    <x v="542"/>
    <x v="2"/>
    <x v="2"/>
  </r>
  <r>
    <x v="1"/>
    <m/>
    <m/>
    <m/>
    <m/>
    <m/>
    <x v="542"/>
    <x v="2"/>
    <x v="2"/>
  </r>
  <r>
    <x v="2"/>
    <m/>
    <m/>
    <m/>
    <m/>
    <m/>
    <x v="542"/>
    <x v="2"/>
    <x v="2"/>
  </r>
  <r>
    <x v="3"/>
    <n v="540000"/>
    <m/>
    <m/>
    <m/>
    <m/>
    <x v="542"/>
    <x v="2"/>
    <x v="2"/>
  </r>
  <r>
    <x v="4"/>
    <n v="54000"/>
    <m/>
    <m/>
    <m/>
    <m/>
    <x v="542"/>
    <x v="2"/>
    <x v="2"/>
  </r>
  <r>
    <x v="5"/>
    <n v="216000"/>
    <m/>
    <m/>
    <m/>
    <m/>
    <x v="542"/>
    <x v="2"/>
    <x v="2"/>
  </r>
  <r>
    <x v="14"/>
    <n v="522000"/>
    <m/>
    <m/>
    <m/>
    <m/>
    <x v="542"/>
    <x v="2"/>
    <x v="2"/>
  </r>
  <r>
    <x v="6"/>
    <m/>
    <m/>
    <m/>
    <m/>
    <m/>
    <x v="542"/>
    <x v="2"/>
    <x v="2"/>
  </r>
  <r>
    <x v="7"/>
    <m/>
    <m/>
    <m/>
    <m/>
    <m/>
    <x v="542"/>
    <x v="2"/>
    <x v="2"/>
  </r>
  <r>
    <x v="15"/>
    <m/>
    <m/>
    <m/>
    <m/>
    <m/>
    <x v="542"/>
    <x v="2"/>
    <x v="2"/>
  </r>
  <r>
    <x v="8"/>
    <m/>
    <n v="216000"/>
    <m/>
    <m/>
    <m/>
    <x v="542"/>
    <x v="2"/>
    <x v="2"/>
  </r>
  <r>
    <x v="9"/>
    <n v="431500"/>
    <m/>
    <m/>
    <m/>
    <n v="810000"/>
    <x v="542"/>
    <x v="2"/>
    <x v="2"/>
  </r>
  <r>
    <x v="10"/>
    <m/>
    <m/>
    <m/>
    <m/>
    <m/>
    <x v="542"/>
    <x v="2"/>
    <x v="2"/>
  </r>
  <r>
    <x v="11"/>
    <m/>
    <m/>
    <m/>
    <m/>
    <m/>
    <x v="542"/>
    <x v="2"/>
    <x v="2"/>
  </r>
  <r>
    <x v="16"/>
    <m/>
    <m/>
    <m/>
    <m/>
    <m/>
    <x v="542"/>
    <x v="2"/>
    <x v="2"/>
  </r>
  <r>
    <x v="12"/>
    <m/>
    <m/>
    <m/>
    <m/>
    <m/>
    <x v="542"/>
    <x v="2"/>
    <x v="2"/>
  </r>
  <r>
    <x v="13"/>
    <n v="378000"/>
    <m/>
    <m/>
    <m/>
    <m/>
    <x v="542"/>
    <x v="2"/>
    <x v="2"/>
  </r>
  <r>
    <x v="0"/>
    <m/>
    <m/>
    <m/>
    <m/>
    <m/>
    <x v="543"/>
    <x v="2"/>
    <x v="2"/>
  </r>
  <r>
    <x v="1"/>
    <m/>
    <m/>
    <m/>
    <m/>
    <n v="432000"/>
    <x v="543"/>
    <x v="2"/>
    <x v="2"/>
  </r>
  <r>
    <x v="2"/>
    <m/>
    <m/>
    <m/>
    <m/>
    <m/>
    <x v="543"/>
    <x v="2"/>
    <x v="2"/>
  </r>
  <r>
    <x v="3"/>
    <n v="261000"/>
    <m/>
    <m/>
    <m/>
    <m/>
    <x v="543"/>
    <x v="2"/>
    <x v="2"/>
  </r>
  <r>
    <x v="4"/>
    <m/>
    <n v="972000"/>
    <m/>
    <m/>
    <m/>
    <x v="543"/>
    <x v="2"/>
    <x v="2"/>
  </r>
  <r>
    <x v="5"/>
    <n v="162000"/>
    <m/>
    <m/>
    <m/>
    <m/>
    <x v="543"/>
    <x v="2"/>
    <x v="2"/>
  </r>
  <r>
    <x v="14"/>
    <n v="216000"/>
    <m/>
    <m/>
    <m/>
    <m/>
    <x v="543"/>
    <x v="2"/>
    <x v="2"/>
  </r>
  <r>
    <x v="6"/>
    <m/>
    <m/>
    <m/>
    <m/>
    <m/>
    <x v="543"/>
    <x v="2"/>
    <x v="2"/>
  </r>
  <r>
    <x v="7"/>
    <m/>
    <m/>
    <m/>
    <m/>
    <m/>
    <x v="543"/>
    <x v="2"/>
    <x v="2"/>
  </r>
  <r>
    <x v="15"/>
    <m/>
    <m/>
    <m/>
    <m/>
    <m/>
    <x v="543"/>
    <x v="2"/>
    <x v="2"/>
  </r>
  <r>
    <x v="8"/>
    <m/>
    <n v="351000"/>
    <m/>
    <m/>
    <m/>
    <x v="543"/>
    <x v="2"/>
    <x v="2"/>
  </r>
  <r>
    <x v="9"/>
    <n v="216000"/>
    <m/>
    <m/>
    <m/>
    <n v="369000"/>
    <x v="543"/>
    <x v="2"/>
    <x v="2"/>
  </r>
  <r>
    <x v="10"/>
    <m/>
    <m/>
    <m/>
    <m/>
    <m/>
    <x v="543"/>
    <x v="2"/>
    <x v="2"/>
  </r>
  <r>
    <x v="11"/>
    <m/>
    <m/>
    <m/>
    <m/>
    <m/>
    <x v="543"/>
    <x v="2"/>
    <x v="2"/>
  </r>
  <r>
    <x v="16"/>
    <m/>
    <m/>
    <m/>
    <m/>
    <m/>
    <x v="543"/>
    <x v="2"/>
    <x v="2"/>
  </r>
  <r>
    <x v="12"/>
    <m/>
    <m/>
    <m/>
    <m/>
    <m/>
    <x v="543"/>
    <x v="2"/>
    <x v="2"/>
  </r>
  <r>
    <x v="13"/>
    <n v="214000"/>
    <m/>
    <m/>
    <m/>
    <m/>
    <x v="543"/>
    <x v="2"/>
    <x v="2"/>
  </r>
  <r>
    <x v="0"/>
    <m/>
    <m/>
    <m/>
    <m/>
    <m/>
    <x v="544"/>
    <x v="2"/>
    <x v="2"/>
  </r>
  <r>
    <x v="1"/>
    <n v="135000"/>
    <m/>
    <m/>
    <m/>
    <n v="162000"/>
    <x v="544"/>
    <x v="2"/>
    <x v="2"/>
  </r>
  <r>
    <x v="2"/>
    <m/>
    <m/>
    <m/>
    <m/>
    <m/>
    <x v="544"/>
    <x v="2"/>
    <x v="2"/>
  </r>
  <r>
    <x v="3"/>
    <n v="162000"/>
    <n v="972000"/>
    <m/>
    <n v="270000"/>
    <m/>
    <x v="544"/>
    <x v="2"/>
    <x v="2"/>
  </r>
  <r>
    <x v="4"/>
    <n v="594000"/>
    <m/>
    <m/>
    <m/>
    <m/>
    <x v="544"/>
    <x v="2"/>
    <x v="2"/>
  </r>
  <r>
    <x v="5"/>
    <m/>
    <m/>
    <m/>
    <m/>
    <m/>
    <x v="544"/>
    <x v="2"/>
    <x v="2"/>
  </r>
  <r>
    <x v="14"/>
    <n v="153000"/>
    <m/>
    <m/>
    <m/>
    <m/>
    <x v="544"/>
    <x v="2"/>
    <x v="2"/>
  </r>
  <r>
    <x v="6"/>
    <m/>
    <m/>
    <m/>
    <m/>
    <m/>
    <x v="544"/>
    <x v="2"/>
    <x v="2"/>
  </r>
  <r>
    <x v="7"/>
    <m/>
    <m/>
    <m/>
    <m/>
    <m/>
    <x v="544"/>
    <x v="2"/>
    <x v="2"/>
  </r>
  <r>
    <x v="15"/>
    <m/>
    <m/>
    <m/>
    <m/>
    <m/>
    <x v="544"/>
    <x v="2"/>
    <x v="2"/>
  </r>
  <r>
    <x v="8"/>
    <n v="270000"/>
    <n v="693000"/>
    <m/>
    <m/>
    <m/>
    <x v="544"/>
    <x v="2"/>
    <x v="2"/>
  </r>
  <r>
    <x v="9"/>
    <n v="216000"/>
    <m/>
    <m/>
    <m/>
    <n v="50000"/>
    <x v="544"/>
    <x v="2"/>
    <x v="2"/>
  </r>
  <r>
    <x v="10"/>
    <m/>
    <m/>
    <m/>
    <m/>
    <m/>
    <x v="544"/>
    <x v="2"/>
    <x v="2"/>
  </r>
  <r>
    <x v="11"/>
    <m/>
    <m/>
    <m/>
    <m/>
    <m/>
    <x v="544"/>
    <x v="2"/>
    <x v="2"/>
  </r>
  <r>
    <x v="16"/>
    <m/>
    <m/>
    <m/>
    <m/>
    <m/>
    <x v="544"/>
    <x v="2"/>
    <x v="2"/>
  </r>
  <r>
    <x v="12"/>
    <m/>
    <m/>
    <m/>
    <m/>
    <m/>
    <x v="544"/>
    <x v="2"/>
    <x v="2"/>
  </r>
  <r>
    <x v="13"/>
    <n v="54000"/>
    <m/>
    <m/>
    <m/>
    <m/>
    <x v="544"/>
    <x v="2"/>
    <x v="2"/>
  </r>
  <r>
    <x v="0"/>
    <m/>
    <m/>
    <m/>
    <m/>
    <m/>
    <x v="545"/>
    <x v="2"/>
    <x v="2"/>
  </r>
  <r>
    <x v="1"/>
    <n v="99000"/>
    <m/>
    <m/>
    <m/>
    <m/>
    <x v="545"/>
    <x v="2"/>
    <x v="2"/>
  </r>
  <r>
    <x v="2"/>
    <m/>
    <m/>
    <m/>
    <m/>
    <m/>
    <x v="545"/>
    <x v="2"/>
    <x v="2"/>
  </r>
  <r>
    <x v="3"/>
    <m/>
    <n v="1332500"/>
    <m/>
    <n v="648000"/>
    <m/>
    <x v="545"/>
    <x v="2"/>
    <x v="2"/>
  </r>
  <r>
    <x v="4"/>
    <m/>
    <n v="157500"/>
    <m/>
    <m/>
    <m/>
    <x v="545"/>
    <x v="2"/>
    <x v="2"/>
  </r>
  <r>
    <x v="5"/>
    <n v="693000"/>
    <m/>
    <m/>
    <m/>
    <m/>
    <x v="545"/>
    <x v="2"/>
    <x v="2"/>
  </r>
  <r>
    <x v="14"/>
    <n v="554000"/>
    <m/>
    <m/>
    <m/>
    <m/>
    <x v="545"/>
    <x v="2"/>
    <x v="2"/>
  </r>
  <r>
    <x v="6"/>
    <m/>
    <m/>
    <m/>
    <m/>
    <m/>
    <x v="545"/>
    <x v="2"/>
    <x v="2"/>
  </r>
  <r>
    <x v="7"/>
    <m/>
    <m/>
    <m/>
    <m/>
    <m/>
    <x v="545"/>
    <x v="2"/>
    <x v="2"/>
  </r>
  <r>
    <x v="15"/>
    <m/>
    <m/>
    <m/>
    <m/>
    <m/>
    <x v="545"/>
    <x v="2"/>
    <x v="2"/>
  </r>
  <r>
    <x v="8"/>
    <m/>
    <m/>
    <m/>
    <m/>
    <m/>
    <x v="545"/>
    <x v="2"/>
    <x v="2"/>
  </r>
  <r>
    <x v="9"/>
    <n v="855500"/>
    <m/>
    <m/>
    <m/>
    <m/>
    <x v="545"/>
    <x v="2"/>
    <x v="2"/>
  </r>
  <r>
    <x v="10"/>
    <m/>
    <m/>
    <m/>
    <m/>
    <m/>
    <x v="545"/>
    <x v="2"/>
    <x v="2"/>
  </r>
  <r>
    <x v="11"/>
    <m/>
    <m/>
    <m/>
    <m/>
    <m/>
    <x v="545"/>
    <x v="2"/>
    <x v="2"/>
  </r>
  <r>
    <x v="16"/>
    <m/>
    <m/>
    <m/>
    <m/>
    <m/>
    <x v="545"/>
    <x v="2"/>
    <x v="2"/>
  </r>
  <r>
    <x v="12"/>
    <m/>
    <m/>
    <m/>
    <m/>
    <m/>
    <x v="545"/>
    <x v="2"/>
    <x v="2"/>
  </r>
  <r>
    <x v="13"/>
    <m/>
    <m/>
    <m/>
    <m/>
    <m/>
    <x v="545"/>
    <x v="2"/>
    <x v="2"/>
  </r>
  <r>
    <x v="0"/>
    <m/>
    <m/>
    <m/>
    <m/>
    <m/>
    <x v="546"/>
    <x v="2"/>
    <x v="2"/>
  </r>
  <r>
    <x v="1"/>
    <m/>
    <m/>
    <m/>
    <m/>
    <m/>
    <x v="546"/>
    <x v="2"/>
    <x v="2"/>
  </r>
  <r>
    <x v="2"/>
    <m/>
    <m/>
    <m/>
    <m/>
    <m/>
    <x v="546"/>
    <x v="2"/>
    <x v="2"/>
  </r>
  <r>
    <x v="3"/>
    <n v="54000"/>
    <n v="1008000"/>
    <m/>
    <n v="972000"/>
    <m/>
    <x v="546"/>
    <x v="2"/>
    <x v="2"/>
  </r>
  <r>
    <x v="4"/>
    <m/>
    <n v="378000"/>
    <m/>
    <m/>
    <m/>
    <x v="546"/>
    <x v="2"/>
    <x v="2"/>
  </r>
  <r>
    <x v="5"/>
    <n v="54000"/>
    <n v="50000"/>
    <m/>
    <m/>
    <m/>
    <x v="546"/>
    <x v="2"/>
    <x v="2"/>
  </r>
  <r>
    <x v="14"/>
    <n v="751500"/>
    <n v="53500"/>
    <m/>
    <m/>
    <m/>
    <x v="546"/>
    <x v="2"/>
    <x v="2"/>
  </r>
  <r>
    <x v="6"/>
    <m/>
    <m/>
    <m/>
    <m/>
    <m/>
    <x v="546"/>
    <x v="2"/>
    <x v="2"/>
  </r>
  <r>
    <x v="7"/>
    <m/>
    <m/>
    <m/>
    <m/>
    <m/>
    <x v="546"/>
    <x v="2"/>
    <x v="2"/>
  </r>
  <r>
    <x v="15"/>
    <m/>
    <m/>
    <m/>
    <m/>
    <m/>
    <x v="546"/>
    <x v="2"/>
    <x v="2"/>
  </r>
  <r>
    <x v="8"/>
    <m/>
    <m/>
    <m/>
    <m/>
    <m/>
    <x v="546"/>
    <x v="2"/>
    <x v="2"/>
  </r>
  <r>
    <x v="9"/>
    <n v="1134000"/>
    <m/>
    <m/>
    <m/>
    <m/>
    <x v="546"/>
    <x v="2"/>
    <x v="2"/>
  </r>
  <r>
    <x v="10"/>
    <m/>
    <m/>
    <m/>
    <m/>
    <m/>
    <x v="546"/>
    <x v="2"/>
    <x v="2"/>
  </r>
  <r>
    <x v="11"/>
    <m/>
    <m/>
    <m/>
    <m/>
    <m/>
    <x v="546"/>
    <x v="2"/>
    <x v="2"/>
  </r>
  <r>
    <x v="16"/>
    <m/>
    <m/>
    <m/>
    <m/>
    <m/>
    <x v="546"/>
    <x v="2"/>
    <x v="2"/>
  </r>
  <r>
    <x v="12"/>
    <m/>
    <n v="49000"/>
    <m/>
    <m/>
    <m/>
    <x v="546"/>
    <x v="2"/>
    <x v="2"/>
  </r>
  <r>
    <x v="13"/>
    <m/>
    <m/>
    <m/>
    <m/>
    <m/>
    <x v="546"/>
    <x v="2"/>
    <x v="2"/>
  </r>
  <r>
    <x v="0"/>
    <m/>
    <m/>
    <m/>
    <m/>
    <m/>
    <x v="547"/>
    <x v="2"/>
    <x v="2"/>
  </r>
  <r>
    <x v="1"/>
    <m/>
    <m/>
    <m/>
    <m/>
    <m/>
    <x v="547"/>
    <x v="2"/>
    <x v="2"/>
  </r>
  <r>
    <x v="2"/>
    <m/>
    <m/>
    <m/>
    <m/>
    <m/>
    <x v="547"/>
    <x v="2"/>
    <x v="2"/>
  </r>
  <r>
    <x v="3"/>
    <n v="54000"/>
    <n v="540000"/>
    <m/>
    <n v="432000"/>
    <m/>
    <x v="547"/>
    <x v="2"/>
    <x v="2"/>
  </r>
  <r>
    <x v="4"/>
    <n v="50000"/>
    <n v="536000"/>
    <m/>
    <m/>
    <m/>
    <x v="547"/>
    <x v="2"/>
    <x v="2"/>
  </r>
  <r>
    <x v="5"/>
    <m/>
    <n v="99000"/>
    <m/>
    <m/>
    <m/>
    <x v="547"/>
    <x v="2"/>
    <x v="2"/>
  </r>
  <r>
    <x v="14"/>
    <m/>
    <m/>
    <m/>
    <m/>
    <m/>
    <x v="547"/>
    <x v="2"/>
    <x v="2"/>
  </r>
  <r>
    <x v="6"/>
    <n v="49500"/>
    <m/>
    <m/>
    <m/>
    <m/>
    <x v="547"/>
    <x v="2"/>
    <x v="2"/>
  </r>
  <r>
    <x v="7"/>
    <m/>
    <m/>
    <m/>
    <m/>
    <m/>
    <x v="547"/>
    <x v="2"/>
    <x v="2"/>
  </r>
  <r>
    <x v="15"/>
    <m/>
    <m/>
    <m/>
    <m/>
    <m/>
    <x v="547"/>
    <x v="2"/>
    <x v="2"/>
  </r>
  <r>
    <x v="8"/>
    <n v="1026000"/>
    <m/>
    <m/>
    <m/>
    <n v="270000"/>
    <x v="547"/>
    <x v="2"/>
    <x v="2"/>
  </r>
  <r>
    <x v="9"/>
    <n v="569500"/>
    <m/>
    <m/>
    <m/>
    <m/>
    <x v="547"/>
    <x v="2"/>
    <x v="2"/>
  </r>
  <r>
    <x v="10"/>
    <m/>
    <m/>
    <m/>
    <m/>
    <m/>
    <x v="547"/>
    <x v="2"/>
    <x v="2"/>
  </r>
  <r>
    <x v="11"/>
    <m/>
    <m/>
    <m/>
    <m/>
    <m/>
    <x v="547"/>
    <x v="2"/>
    <x v="2"/>
  </r>
  <r>
    <x v="16"/>
    <m/>
    <m/>
    <m/>
    <m/>
    <m/>
    <x v="547"/>
    <x v="2"/>
    <x v="2"/>
  </r>
  <r>
    <x v="12"/>
    <m/>
    <m/>
    <m/>
    <m/>
    <m/>
    <x v="547"/>
    <x v="2"/>
    <x v="2"/>
  </r>
  <r>
    <x v="13"/>
    <m/>
    <m/>
    <m/>
    <m/>
    <m/>
    <x v="547"/>
    <x v="2"/>
    <x v="2"/>
  </r>
  <r>
    <x v="0"/>
    <m/>
    <m/>
    <m/>
    <m/>
    <m/>
    <x v="548"/>
    <x v="2"/>
    <x v="2"/>
  </r>
  <r>
    <x v="1"/>
    <m/>
    <m/>
    <m/>
    <m/>
    <m/>
    <x v="548"/>
    <x v="2"/>
    <x v="2"/>
  </r>
  <r>
    <x v="2"/>
    <n v="108000"/>
    <m/>
    <m/>
    <m/>
    <m/>
    <x v="548"/>
    <x v="2"/>
    <x v="2"/>
  </r>
  <r>
    <x v="3"/>
    <n v="54000"/>
    <n v="265500"/>
    <m/>
    <m/>
    <m/>
    <x v="548"/>
    <x v="2"/>
    <x v="2"/>
  </r>
  <r>
    <x v="4"/>
    <m/>
    <n v="270000"/>
    <m/>
    <m/>
    <m/>
    <x v="548"/>
    <x v="2"/>
    <x v="2"/>
  </r>
  <r>
    <x v="5"/>
    <m/>
    <m/>
    <m/>
    <m/>
    <m/>
    <x v="548"/>
    <x v="2"/>
    <x v="2"/>
  </r>
  <r>
    <x v="14"/>
    <m/>
    <m/>
    <m/>
    <m/>
    <m/>
    <x v="548"/>
    <x v="2"/>
    <x v="2"/>
  </r>
  <r>
    <x v="6"/>
    <m/>
    <m/>
    <m/>
    <m/>
    <m/>
    <x v="548"/>
    <x v="2"/>
    <x v="2"/>
  </r>
  <r>
    <x v="7"/>
    <m/>
    <m/>
    <m/>
    <m/>
    <m/>
    <x v="548"/>
    <x v="2"/>
    <x v="2"/>
  </r>
  <r>
    <x v="15"/>
    <m/>
    <m/>
    <m/>
    <m/>
    <m/>
    <x v="548"/>
    <x v="2"/>
    <x v="2"/>
  </r>
  <r>
    <x v="8"/>
    <n v="1134000"/>
    <m/>
    <m/>
    <m/>
    <n v="536000"/>
    <x v="548"/>
    <x v="2"/>
    <x v="2"/>
  </r>
  <r>
    <x v="9"/>
    <m/>
    <m/>
    <m/>
    <m/>
    <m/>
    <x v="548"/>
    <x v="2"/>
    <x v="2"/>
  </r>
  <r>
    <x v="10"/>
    <m/>
    <m/>
    <m/>
    <m/>
    <m/>
    <x v="548"/>
    <x v="2"/>
    <x v="2"/>
  </r>
  <r>
    <x v="11"/>
    <m/>
    <m/>
    <m/>
    <m/>
    <m/>
    <x v="548"/>
    <x v="2"/>
    <x v="2"/>
  </r>
  <r>
    <x v="16"/>
    <m/>
    <m/>
    <m/>
    <m/>
    <m/>
    <x v="548"/>
    <x v="2"/>
    <x v="2"/>
  </r>
  <r>
    <x v="12"/>
    <n v="54000"/>
    <m/>
    <m/>
    <m/>
    <m/>
    <x v="548"/>
    <x v="2"/>
    <x v="2"/>
  </r>
  <r>
    <x v="13"/>
    <m/>
    <m/>
    <m/>
    <m/>
    <m/>
    <x v="548"/>
    <x v="2"/>
    <x v="2"/>
  </r>
  <r>
    <x v="0"/>
    <m/>
    <m/>
    <m/>
    <m/>
    <m/>
    <x v="549"/>
    <x v="2"/>
    <x v="2"/>
  </r>
  <r>
    <x v="1"/>
    <m/>
    <m/>
    <m/>
    <m/>
    <m/>
    <x v="549"/>
    <x v="2"/>
    <x v="2"/>
  </r>
  <r>
    <x v="2"/>
    <n v="644000"/>
    <m/>
    <m/>
    <m/>
    <m/>
    <x v="549"/>
    <x v="2"/>
    <x v="2"/>
  </r>
  <r>
    <x v="3"/>
    <n v="702000"/>
    <m/>
    <m/>
    <m/>
    <m/>
    <x v="549"/>
    <x v="2"/>
    <x v="2"/>
  </r>
  <r>
    <x v="4"/>
    <m/>
    <n v="810000"/>
    <m/>
    <m/>
    <m/>
    <x v="549"/>
    <x v="2"/>
    <x v="2"/>
  </r>
  <r>
    <x v="5"/>
    <m/>
    <m/>
    <m/>
    <m/>
    <m/>
    <x v="549"/>
    <x v="2"/>
    <x v="2"/>
  </r>
  <r>
    <x v="14"/>
    <m/>
    <m/>
    <m/>
    <m/>
    <m/>
    <x v="549"/>
    <x v="2"/>
    <x v="2"/>
  </r>
  <r>
    <x v="6"/>
    <m/>
    <n v="45000"/>
    <m/>
    <m/>
    <m/>
    <x v="549"/>
    <x v="2"/>
    <x v="2"/>
  </r>
  <r>
    <x v="7"/>
    <m/>
    <m/>
    <m/>
    <m/>
    <m/>
    <x v="549"/>
    <x v="2"/>
    <x v="2"/>
  </r>
  <r>
    <x v="15"/>
    <m/>
    <m/>
    <m/>
    <m/>
    <m/>
    <x v="549"/>
    <x v="2"/>
    <x v="2"/>
  </r>
  <r>
    <x v="8"/>
    <n v="54000"/>
    <m/>
    <m/>
    <m/>
    <n v="428000"/>
    <x v="549"/>
    <x v="2"/>
    <x v="2"/>
  </r>
  <r>
    <x v="9"/>
    <m/>
    <m/>
    <m/>
    <m/>
    <m/>
    <x v="549"/>
    <x v="2"/>
    <x v="2"/>
  </r>
  <r>
    <x v="10"/>
    <m/>
    <m/>
    <m/>
    <m/>
    <m/>
    <x v="549"/>
    <x v="2"/>
    <x v="2"/>
  </r>
  <r>
    <x v="11"/>
    <m/>
    <m/>
    <m/>
    <m/>
    <m/>
    <x v="549"/>
    <x v="2"/>
    <x v="2"/>
  </r>
  <r>
    <x v="16"/>
    <m/>
    <m/>
    <m/>
    <m/>
    <m/>
    <x v="549"/>
    <x v="2"/>
    <x v="2"/>
  </r>
  <r>
    <x v="12"/>
    <m/>
    <n v="45000"/>
    <m/>
    <m/>
    <m/>
    <x v="549"/>
    <x v="2"/>
    <x v="2"/>
  </r>
  <r>
    <x v="13"/>
    <n v="162000"/>
    <m/>
    <m/>
    <m/>
    <m/>
    <x v="549"/>
    <x v="2"/>
    <x v="2"/>
  </r>
  <r>
    <x v="0"/>
    <m/>
    <m/>
    <m/>
    <m/>
    <m/>
    <x v="550"/>
    <x v="2"/>
    <x v="2"/>
  </r>
  <r>
    <x v="1"/>
    <m/>
    <m/>
    <m/>
    <m/>
    <m/>
    <x v="550"/>
    <x v="2"/>
    <x v="2"/>
  </r>
  <r>
    <x v="2"/>
    <n v="270000"/>
    <m/>
    <m/>
    <m/>
    <m/>
    <x v="550"/>
    <x v="2"/>
    <x v="2"/>
  </r>
  <r>
    <x v="3"/>
    <n v="540000"/>
    <m/>
    <m/>
    <m/>
    <m/>
    <x v="550"/>
    <x v="2"/>
    <x v="2"/>
  </r>
  <r>
    <x v="4"/>
    <m/>
    <n v="540000"/>
    <m/>
    <m/>
    <m/>
    <x v="550"/>
    <x v="2"/>
    <x v="2"/>
  </r>
  <r>
    <x v="5"/>
    <m/>
    <m/>
    <m/>
    <m/>
    <m/>
    <x v="550"/>
    <x v="2"/>
    <x v="2"/>
  </r>
  <r>
    <x v="14"/>
    <m/>
    <m/>
    <m/>
    <m/>
    <m/>
    <x v="550"/>
    <x v="2"/>
    <x v="2"/>
  </r>
  <r>
    <x v="6"/>
    <m/>
    <n v="99000"/>
    <m/>
    <m/>
    <m/>
    <x v="550"/>
    <x v="2"/>
    <x v="2"/>
  </r>
  <r>
    <x v="7"/>
    <m/>
    <m/>
    <m/>
    <m/>
    <m/>
    <x v="550"/>
    <x v="2"/>
    <x v="2"/>
  </r>
  <r>
    <x v="15"/>
    <m/>
    <m/>
    <m/>
    <m/>
    <m/>
    <x v="550"/>
    <x v="2"/>
    <x v="2"/>
  </r>
  <r>
    <x v="8"/>
    <m/>
    <m/>
    <m/>
    <m/>
    <n v="216000"/>
    <x v="550"/>
    <x v="2"/>
    <x v="2"/>
  </r>
  <r>
    <x v="9"/>
    <n v="269500"/>
    <n v="377500"/>
    <m/>
    <m/>
    <n v="54000"/>
    <x v="550"/>
    <x v="2"/>
    <x v="2"/>
  </r>
  <r>
    <x v="10"/>
    <m/>
    <m/>
    <m/>
    <m/>
    <m/>
    <x v="550"/>
    <x v="2"/>
    <x v="2"/>
  </r>
  <r>
    <x v="11"/>
    <m/>
    <m/>
    <m/>
    <m/>
    <m/>
    <x v="550"/>
    <x v="2"/>
    <x v="2"/>
  </r>
  <r>
    <x v="16"/>
    <m/>
    <m/>
    <m/>
    <m/>
    <m/>
    <x v="550"/>
    <x v="2"/>
    <x v="2"/>
  </r>
  <r>
    <x v="12"/>
    <n v="50000"/>
    <n v="45000"/>
    <m/>
    <m/>
    <m/>
    <x v="550"/>
    <x v="2"/>
    <x v="2"/>
  </r>
  <r>
    <x v="13"/>
    <n v="216000"/>
    <n v="484000"/>
    <m/>
    <m/>
    <n v="324000"/>
    <x v="550"/>
    <x v="2"/>
    <x v="2"/>
  </r>
  <r>
    <x v="0"/>
    <m/>
    <m/>
    <m/>
    <m/>
    <m/>
    <x v="551"/>
    <x v="2"/>
    <x v="2"/>
  </r>
  <r>
    <x v="1"/>
    <m/>
    <m/>
    <m/>
    <m/>
    <m/>
    <x v="551"/>
    <x v="2"/>
    <x v="2"/>
  </r>
  <r>
    <x v="2"/>
    <n v="162000"/>
    <m/>
    <m/>
    <m/>
    <m/>
    <x v="551"/>
    <x v="2"/>
    <x v="2"/>
  </r>
  <r>
    <x v="3"/>
    <n v="918000"/>
    <m/>
    <m/>
    <m/>
    <m/>
    <x v="551"/>
    <x v="2"/>
    <x v="2"/>
  </r>
  <r>
    <x v="4"/>
    <m/>
    <m/>
    <m/>
    <m/>
    <m/>
    <x v="551"/>
    <x v="2"/>
    <x v="2"/>
  </r>
  <r>
    <x v="5"/>
    <m/>
    <m/>
    <m/>
    <m/>
    <m/>
    <x v="551"/>
    <x v="2"/>
    <x v="2"/>
  </r>
  <r>
    <x v="14"/>
    <m/>
    <m/>
    <m/>
    <m/>
    <m/>
    <x v="551"/>
    <x v="2"/>
    <x v="2"/>
  </r>
  <r>
    <x v="6"/>
    <n v="211500"/>
    <n v="540000"/>
    <m/>
    <n v="162000"/>
    <m/>
    <x v="551"/>
    <x v="2"/>
    <x v="2"/>
  </r>
  <r>
    <x v="7"/>
    <m/>
    <m/>
    <m/>
    <m/>
    <m/>
    <x v="551"/>
    <x v="2"/>
    <x v="2"/>
  </r>
  <r>
    <x v="15"/>
    <m/>
    <m/>
    <m/>
    <m/>
    <m/>
    <x v="551"/>
    <x v="2"/>
    <x v="2"/>
  </r>
  <r>
    <x v="8"/>
    <m/>
    <m/>
    <m/>
    <m/>
    <n v="50000"/>
    <x v="551"/>
    <x v="2"/>
    <x v="2"/>
  </r>
  <r>
    <x v="9"/>
    <n v="162000"/>
    <n v="805500"/>
    <m/>
    <m/>
    <m/>
    <x v="551"/>
    <x v="2"/>
    <x v="2"/>
  </r>
  <r>
    <x v="10"/>
    <m/>
    <m/>
    <m/>
    <m/>
    <n v="270000"/>
    <x v="551"/>
    <x v="2"/>
    <x v="2"/>
  </r>
  <r>
    <x v="11"/>
    <m/>
    <m/>
    <m/>
    <m/>
    <m/>
    <x v="551"/>
    <x v="2"/>
    <x v="2"/>
  </r>
  <r>
    <x v="16"/>
    <m/>
    <m/>
    <m/>
    <m/>
    <m/>
    <x v="551"/>
    <x v="2"/>
    <x v="2"/>
  </r>
  <r>
    <x v="12"/>
    <m/>
    <m/>
    <m/>
    <m/>
    <m/>
    <x v="551"/>
    <x v="2"/>
    <x v="2"/>
  </r>
  <r>
    <x v="13"/>
    <n v="211500"/>
    <n v="378000"/>
    <m/>
    <n v="108000"/>
    <n v="54000"/>
    <x v="551"/>
    <x v="2"/>
    <x v="2"/>
  </r>
  <r>
    <x v="0"/>
    <m/>
    <m/>
    <m/>
    <m/>
    <m/>
    <x v="552"/>
    <x v="2"/>
    <x v="2"/>
  </r>
  <r>
    <x v="1"/>
    <m/>
    <m/>
    <m/>
    <m/>
    <m/>
    <x v="552"/>
    <x v="2"/>
    <x v="2"/>
  </r>
  <r>
    <x v="2"/>
    <m/>
    <m/>
    <m/>
    <m/>
    <m/>
    <x v="552"/>
    <x v="2"/>
    <x v="2"/>
  </r>
  <r>
    <x v="3"/>
    <n v="972000"/>
    <m/>
    <m/>
    <m/>
    <m/>
    <x v="552"/>
    <x v="2"/>
    <x v="2"/>
  </r>
  <r>
    <x v="4"/>
    <n v="45000"/>
    <n v="54000"/>
    <m/>
    <m/>
    <m/>
    <x v="552"/>
    <x v="2"/>
    <x v="2"/>
  </r>
  <r>
    <x v="5"/>
    <m/>
    <m/>
    <m/>
    <m/>
    <m/>
    <x v="552"/>
    <x v="2"/>
    <x v="2"/>
  </r>
  <r>
    <x v="14"/>
    <n v="54000"/>
    <m/>
    <m/>
    <m/>
    <m/>
    <x v="552"/>
    <x v="2"/>
    <x v="2"/>
  </r>
  <r>
    <x v="6"/>
    <m/>
    <n v="162000"/>
    <m/>
    <n v="54000"/>
    <n v="99000"/>
    <x v="552"/>
    <x v="2"/>
    <x v="2"/>
  </r>
  <r>
    <x v="7"/>
    <m/>
    <m/>
    <m/>
    <m/>
    <m/>
    <x v="552"/>
    <x v="2"/>
    <x v="2"/>
  </r>
  <r>
    <x v="15"/>
    <m/>
    <m/>
    <m/>
    <m/>
    <m/>
    <x v="552"/>
    <x v="2"/>
    <x v="2"/>
  </r>
  <r>
    <x v="8"/>
    <m/>
    <n v="486000"/>
    <m/>
    <m/>
    <m/>
    <x v="552"/>
    <x v="2"/>
    <x v="2"/>
  </r>
  <r>
    <x v="9"/>
    <n v="216000"/>
    <n v="432000"/>
    <m/>
    <m/>
    <n v="162000"/>
    <x v="552"/>
    <x v="2"/>
    <x v="2"/>
  </r>
  <r>
    <x v="10"/>
    <m/>
    <m/>
    <m/>
    <m/>
    <m/>
    <x v="552"/>
    <x v="2"/>
    <x v="2"/>
  </r>
  <r>
    <x v="11"/>
    <m/>
    <m/>
    <m/>
    <m/>
    <m/>
    <x v="552"/>
    <x v="2"/>
    <x v="2"/>
  </r>
  <r>
    <x v="16"/>
    <m/>
    <m/>
    <m/>
    <m/>
    <m/>
    <x v="552"/>
    <x v="2"/>
    <x v="2"/>
  </r>
  <r>
    <x v="12"/>
    <n v="45000"/>
    <m/>
    <m/>
    <m/>
    <m/>
    <x v="552"/>
    <x v="2"/>
    <x v="2"/>
  </r>
  <r>
    <x v="13"/>
    <n v="54000"/>
    <m/>
    <m/>
    <n v="162000"/>
    <m/>
    <x v="552"/>
    <x v="2"/>
    <x v="2"/>
  </r>
  <r>
    <x v="0"/>
    <m/>
    <m/>
    <m/>
    <m/>
    <m/>
    <x v="553"/>
    <x v="2"/>
    <x v="2"/>
  </r>
  <r>
    <x v="1"/>
    <m/>
    <m/>
    <m/>
    <m/>
    <m/>
    <x v="553"/>
    <x v="2"/>
    <x v="2"/>
  </r>
  <r>
    <x v="2"/>
    <m/>
    <m/>
    <m/>
    <m/>
    <m/>
    <x v="553"/>
    <x v="2"/>
    <x v="2"/>
  </r>
  <r>
    <x v="3"/>
    <n v="373500"/>
    <m/>
    <m/>
    <m/>
    <m/>
    <x v="553"/>
    <x v="2"/>
    <x v="2"/>
  </r>
  <r>
    <x v="4"/>
    <m/>
    <m/>
    <m/>
    <m/>
    <m/>
    <x v="553"/>
    <x v="2"/>
    <x v="2"/>
  </r>
  <r>
    <x v="5"/>
    <n v="162000"/>
    <m/>
    <m/>
    <m/>
    <m/>
    <x v="553"/>
    <x v="2"/>
    <x v="2"/>
  </r>
  <r>
    <x v="14"/>
    <n v="54000"/>
    <n v="54000"/>
    <m/>
    <m/>
    <m/>
    <x v="553"/>
    <x v="2"/>
    <x v="2"/>
  </r>
  <r>
    <x v="6"/>
    <n v="103500"/>
    <n v="54000"/>
    <m/>
    <m/>
    <m/>
    <x v="553"/>
    <x v="2"/>
    <x v="2"/>
  </r>
  <r>
    <x v="7"/>
    <m/>
    <m/>
    <m/>
    <m/>
    <m/>
    <x v="553"/>
    <x v="2"/>
    <x v="2"/>
  </r>
  <r>
    <x v="15"/>
    <m/>
    <m/>
    <m/>
    <m/>
    <m/>
    <x v="553"/>
    <x v="2"/>
    <x v="2"/>
  </r>
  <r>
    <x v="8"/>
    <m/>
    <n v="306000"/>
    <m/>
    <m/>
    <m/>
    <x v="553"/>
    <x v="2"/>
    <x v="2"/>
  </r>
  <r>
    <x v="9"/>
    <n v="211500"/>
    <n v="648000"/>
    <m/>
    <m/>
    <n v="212000"/>
    <x v="553"/>
    <x v="2"/>
    <x v="2"/>
  </r>
  <r>
    <x v="10"/>
    <m/>
    <m/>
    <m/>
    <m/>
    <m/>
    <x v="553"/>
    <x v="2"/>
    <x v="2"/>
  </r>
  <r>
    <x v="11"/>
    <m/>
    <m/>
    <m/>
    <m/>
    <m/>
    <x v="553"/>
    <x v="2"/>
    <x v="2"/>
  </r>
  <r>
    <x v="16"/>
    <m/>
    <m/>
    <m/>
    <m/>
    <m/>
    <x v="553"/>
    <x v="2"/>
    <x v="2"/>
  </r>
  <r>
    <x v="12"/>
    <m/>
    <m/>
    <m/>
    <m/>
    <m/>
    <x v="553"/>
    <x v="2"/>
    <x v="2"/>
  </r>
  <r>
    <x v="13"/>
    <n v="158000"/>
    <n v="45000"/>
    <m/>
    <n v="108000"/>
    <m/>
    <x v="553"/>
    <x v="2"/>
    <x v="2"/>
  </r>
  <r>
    <x v="0"/>
    <m/>
    <m/>
    <m/>
    <m/>
    <m/>
    <x v="554"/>
    <x v="2"/>
    <x v="2"/>
  </r>
  <r>
    <x v="1"/>
    <m/>
    <m/>
    <m/>
    <m/>
    <m/>
    <x v="554"/>
    <x v="2"/>
    <x v="2"/>
  </r>
  <r>
    <x v="2"/>
    <m/>
    <m/>
    <m/>
    <m/>
    <m/>
    <x v="554"/>
    <x v="2"/>
    <x v="2"/>
  </r>
  <r>
    <x v="3"/>
    <n v="648000"/>
    <m/>
    <m/>
    <m/>
    <n v="90000"/>
    <x v="554"/>
    <x v="2"/>
    <x v="2"/>
  </r>
  <r>
    <x v="4"/>
    <m/>
    <m/>
    <m/>
    <m/>
    <m/>
    <x v="554"/>
    <x v="2"/>
    <x v="2"/>
  </r>
  <r>
    <x v="5"/>
    <n v="371500"/>
    <m/>
    <m/>
    <m/>
    <n v="150000"/>
    <x v="554"/>
    <x v="2"/>
    <x v="2"/>
  </r>
  <r>
    <x v="14"/>
    <n v="162000"/>
    <n v="428000"/>
    <m/>
    <m/>
    <m/>
    <x v="554"/>
    <x v="2"/>
    <x v="2"/>
  </r>
  <r>
    <x v="6"/>
    <m/>
    <n v="54000"/>
    <m/>
    <m/>
    <m/>
    <x v="554"/>
    <x v="2"/>
    <x v="2"/>
  </r>
  <r>
    <x v="7"/>
    <m/>
    <m/>
    <m/>
    <m/>
    <m/>
    <x v="554"/>
    <x v="2"/>
    <x v="2"/>
  </r>
  <r>
    <x v="15"/>
    <m/>
    <m/>
    <m/>
    <m/>
    <m/>
    <x v="554"/>
    <x v="2"/>
    <x v="2"/>
  </r>
  <r>
    <x v="8"/>
    <m/>
    <n v="216000"/>
    <m/>
    <m/>
    <m/>
    <x v="554"/>
    <x v="2"/>
    <x v="2"/>
  </r>
  <r>
    <x v="9"/>
    <n v="324000"/>
    <n v="324000"/>
    <m/>
    <m/>
    <m/>
    <x v="554"/>
    <x v="2"/>
    <x v="2"/>
  </r>
  <r>
    <x v="10"/>
    <m/>
    <m/>
    <m/>
    <m/>
    <m/>
    <x v="554"/>
    <x v="2"/>
    <x v="2"/>
  </r>
  <r>
    <x v="11"/>
    <m/>
    <m/>
    <m/>
    <m/>
    <m/>
    <x v="554"/>
    <x v="2"/>
    <x v="2"/>
  </r>
  <r>
    <x v="16"/>
    <m/>
    <m/>
    <m/>
    <m/>
    <m/>
    <x v="554"/>
    <x v="2"/>
    <x v="2"/>
  </r>
  <r>
    <x v="12"/>
    <m/>
    <m/>
    <m/>
    <m/>
    <m/>
    <x v="554"/>
    <x v="2"/>
    <x v="2"/>
  </r>
  <r>
    <x v="13"/>
    <n v="54000"/>
    <m/>
    <m/>
    <m/>
    <m/>
    <x v="554"/>
    <x v="2"/>
    <x v="2"/>
  </r>
  <r>
    <x v="0"/>
    <m/>
    <m/>
    <m/>
    <m/>
    <m/>
    <x v="555"/>
    <x v="2"/>
    <x v="2"/>
  </r>
  <r>
    <x v="1"/>
    <m/>
    <n v="270000"/>
    <m/>
    <m/>
    <m/>
    <x v="555"/>
    <x v="2"/>
    <x v="2"/>
  </r>
  <r>
    <x v="2"/>
    <m/>
    <m/>
    <m/>
    <m/>
    <m/>
    <x v="555"/>
    <x v="2"/>
    <x v="2"/>
  </r>
  <r>
    <x v="3"/>
    <n v="1134000"/>
    <m/>
    <m/>
    <m/>
    <m/>
    <x v="555"/>
    <x v="2"/>
    <x v="2"/>
  </r>
  <r>
    <x v="4"/>
    <m/>
    <m/>
    <m/>
    <m/>
    <m/>
    <x v="555"/>
    <x v="2"/>
    <x v="2"/>
  </r>
  <r>
    <x v="5"/>
    <n v="958500"/>
    <m/>
    <m/>
    <m/>
    <m/>
    <x v="555"/>
    <x v="2"/>
    <x v="2"/>
  </r>
  <r>
    <x v="14"/>
    <m/>
    <n v="324000"/>
    <m/>
    <m/>
    <m/>
    <x v="555"/>
    <x v="2"/>
    <x v="2"/>
  </r>
  <r>
    <x v="6"/>
    <m/>
    <m/>
    <m/>
    <m/>
    <n v="50000"/>
    <x v="555"/>
    <x v="2"/>
    <x v="2"/>
  </r>
  <r>
    <x v="7"/>
    <m/>
    <m/>
    <m/>
    <m/>
    <m/>
    <x v="555"/>
    <x v="2"/>
    <x v="2"/>
  </r>
  <r>
    <x v="15"/>
    <m/>
    <m/>
    <m/>
    <m/>
    <m/>
    <x v="555"/>
    <x v="2"/>
    <x v="2"/>
  </r>
  <r>
    <x v="8"/>
    <m/>
    <n v="162000"/>
    <m/>
    <m/>
    <m/>
    <x v="555"/>
    <x v="2"/>
    <x v="2"/>
  </r>
  <r>
    <x v="9"/>
    <m/>
    <n v="270000"/>
    <m/>
    <m/>
    <m/>
    <x v="555"/>
    <x v="2"/>
    <x v="2"/>
  </r>
  <r>
    <x v="10"/>
    <m/>
    <m/>
    <m/>
    <m/>
    <m/>
    <x v="555"/>
    <x v="2"/>
    <x v="2"/>
  </r>
  <r>
    <x v="11"/>
    <m/>
    <m/>
    <m/>
    <m/>
    <m/>
    <x v="555"/>
    <x v="2"/>
    <x v="2"/>
  </r>
  <r>
    <x v="16"/>
    <m/>
    <m/>
    <m/>
    <m/>
    <m/>
    <x v="555"/>
    <x v="2"/>
    <x v="2"/>
  </r>
  <r>
    <x v="12"/>
    <m/>
    <m/>
    <m/>
    <m/>
    <m/>
    <x v="555"/>
    <x v="2"/>
    <x v="2"/>
  </r>
  <r>
    <x v="13"/>
    <n v="50000"/>
    <m/>
    <m/>
    <m/>
    <m/>
    <x v="555"/>
    <x v="2"/>
    <x v="2"/>
  </r>
  <r>
    <x v="0"/>
    <m/>
    <m/>
    <m/>
    <m/>
    <m/>
    <x v="556"/>
    <x v="2"/>
    <x v="2"/>
  </r>
  <r>
    <x v="1"/>
    <m/>
    <n v="265500"/>
    <m/>
    <m/>
    <m/>
    <x v="556"/>
    <x v="2"/>
    <x v="2"/>
  </r>
  <r>
    <x v="2"/>
    <m/>
    <m/>
    <m/>
    <m/>
    <m/>
    <x v="556"/>
    <x v="2"/>
    <x v="2"/>
  </r>
  <r>
    <x v="3"/>
    <n v="810000"/>
    <m/>
    <m/>
    <m/>
    <m/>
    <x v="556"/>
    <x v="2"/>
    <x v="2"/>
  </r>
  <r>
    <x v="4"/>
    <m/>
    <m/>
    <m/>
    <m/>
    <m/>
    <x v="556"/>
    <x v="2"/>
    <x v="2"/>
  </r>
  <r>
    <x v="5"/>
    <n v="360000"/>
    <m/>
    <m/>
    <m/>
    <m/>
    <x v="556"/>
    <x v="2"/>
    <x v="2"/>
  </r>
  <r>
    <x v="14"/>
    <m/>
    <n v="432000"/>
    <m/>
    <m/>
    <m/>
    <x v="556"/>
    <x v="2"/>
    <x v="2"/>
  </r>
  <r>
    <x v="6"/>
    <n v="162000"/>
    <m/>
    <m/>
    <n v="54000"/>
    <n v="150000"/>
    <x v="556"/>
    <x v="2"/>
    <x v="2"/>
  </r>
  <r>
    <x v="7"/>
    <m/>
    <m/>
    <m/>
    <m/>
    <m/>
    <x v="556"/>
    <x v="2"/>
    <x v="2"/>
  </r>
  <r>
    <x v="15"/>
    <m/>
    <m/>
    <m/>
    <m/>
    <m/>
    <x v="556"/>
    <x v="2"/>
    <x v="2"/>
  </r>
  <r>
    <x v="8"/>
    <m/>
    <m/>
    <m/>
    <m/>
    <m/>
    <x v="556"/>
    <x v="2"/>
    <x v="2"/>
  </r>
  <r>
    <x v="9"/>
    <m/>
    <n v="45000"/>
    <m/>
    <m/>
    <m/>
    <x v="556"/>
    <x v="2"/>
    <x v="2"/>
  </r>
  <r>
    <x v="10"/>
    <m/>
    <m/>
    <m/>
    <m/>
    <m/>
    <x v="556"/>
    <x v="2"/>
    <x v="2"/>
  </r>
  <r>
    <x v="11"/>
    <m/>
    <m/>
    <m/>
    <m/>
    <m/>
    <x v="556"/>
    <x v="2"/>
    <x v="2"/>
  </r>
  <r>
    <x v="16"/>
    <m/>
    <m/>
    <m/>
    <m/>
    <m/>
    <x v="556"/>
    <x v="2"/>
    <x v="2"/>
  </r>
  <r>
    <x v="12"/>
    <m/>
    <m/>
    <m/>
    <m/>
    <m/>
    <x v="556"/>
    <x v="2"/>
    <x v="2"/>
  </r>
  <r>
    <x v="13"/>
    <n v="54000"/>
    <m/>
    <m/>
    <m/>
    <m/>
    <x v="556"/>
    <x v="2"/>
    <x v="2"/>
  </r>
  <r>
    <x v="0"/>
    <m/>
    <m/>
    <m/>
    <m/>
    <m/>
    <x v="557"/>
    <x v="2"/>
    <x v="2"/>
  </r>
  <r>
    <x v="1"/>
    <m/>
    <n v="270000"/>
    <m/>
    <m/>
    <m/>
    <x v="557"/>
    <x v="2"/>
    <x v="2"/>
  </r>
  <r>
    <x v="2"/>
    <m/>
    <m/>
    <m/>
    <m/>
    <m/>
    <x v="557"/>
    <x v="2"/>
    <x v="2"/>
  </r>
  <r>
    <x v="3"/>
    <n v="594000"/>
    <m/>
    <m/>
    <m/>
    <m/>
    <x v="557"/>
    <x v="2"/>
    <x v="2"/>
  </r>
  <r>
    <x v="4"/>
    <m/>
    <m/>
    <m/>
    <m/>
    <m/>
    <x v="557"/>
    <x v="2"/>
    <x v="2"/>
  </r>
  <r>
    <x v="5"/>
    <n v="45000"/>
    <m/>
    <m/>
    <m/>
    <m/>
    <x v="557"/>
    <x v="2"/>
    <x v="2"/>
  </r>
  <r>
    <x v="14"/>
    <n v="320000"/>
    <n v="540000"/>
    <m/>
    <m/>
    <m/>
    <x v="557"/>
    <x v="2"/>
    <x v="2"/>
  </r>
  <r>
    <x v="6"/>
    <m/>
    <m/>
    <m/>
    <m/>
    <m/>
    <x v="557"/>
    <x v="2"/>
    <x v="2"/>
  </r>
  <r>
    <x v="7"/>
    <m/>
    <m/>
    <m/>
    <m/>
    <m/>
    <x v="557"/>
    <x v="2"/>
    <x v="2"/>
  </r>
  <r>
    <x v="15"/>
    <m/>
    <m/>
    <m/>
    <m/>
    <m/>
    <x v="557"/>
    <x v="2"/>
    <x v="2"/>
  </r>
  <r>
    <x v="8"/>
    <m/>
    <m/>
    <m/>
    <m/>
    <m/>
    <x v="557"/>
    <x v="2"/>
    <x v="2"/>
  </r>
  <r>
    <x v="9"/>
    <m/>
    <m/>
    <m/>
    <m/>
    <m/>
    <x v="557"/>
    <x v="2"/>
    <x v="2"/>
  </r>
  <r>
    <x v="10"/>
    <m/>
    <m/>
    <m/>
    <m/>
    <m/>
    <x v="557"/>
    <x v="2"/>
    <x v="2"/>
  </r>
  <r>
    <x v="11"/>
    <m/>
    <m/>
    <m/>
    <m/>
    <m/>
    <x v="557"/>
    <x v="2"/>
    <x v="2"/>
  </r>
  <r>
    <x v="16"/>
    <m/>
    <m/>
    <m/>
    <m/>
    <m/>
    <x v="557"/>
    <x v="2"/>
    <x v="2"/>
  </r>
  <r>
    <x v="12"/>
    <m/>
    <m/>
    <m/>
    <m/>
    <m/>
    <x v="557"/>
    <x v="2"/>
    <x v="2"/>
  </r>
  <r>
    <x v="13"/>
    <m/>
    <m/>
    <m/>
    <n v="54000"/>
    <m/>
    <x v="557"/>
    <x v="2"/>
    <x v="2"/>
  </r>
  <r>
    <x v="0"/>
    <m/>
    <m/>
    <m/>
    <m/>
    <m/>
    <x v="558"/>
    <x v="2"/>
    <x v="2"/>
  </r>
  <r>
    <x v="1"/>
    <m/>
    <n v="149000"/>
    <m/>
    <m/>
    <m/>
    <x v="558"/>
    <x v="2"/>
    <x v="2"/>
  </r>
  <r>
    <x v="2"/>
    <n v="639000"/>
    <n v="855000"/>
    <m/>
    <m/>
    <n v="432000"/>
    <x v="558"/>
    <x v="2"/>
    <x v="2"/>
  </r>
  <r>
    <x v="3"/>
    <n v="153000"/>
    <m/>
    <m/>
    <m/>
    <m/>
    <x v="558"/>
    <x v="2"/>
    <x v="2"/>
  </r>
  <r>
    <x v="4"/>
    <m/>
    <m/>
    <m/>
    <m/>
    <m/>
    <x v="558"/>
    <x v="2"/>
    <x v="2"/>
  </r>
  <r>
    <x v="5"/>
    <m/>
    <m/>
    <m/>
    <m/>
    <n v="50000"/>
    <x v="558"/>
    <x v="2"/>
    <x v="2"/>
  </r>
  <r>
    <x v="14"/>
    <n v="755500"/>
    <n v="540000"/>
    <m/>
    <m/>
    <m/>
    <x v="558"/>
    <x v="2"/>
    <x v="2"/>
  </r>
  <r>
    <x v="6"/>
    <m/>
    <n v="45000"/>
    <m/>
    <m/>
    <m/>
    <x v="558"/>
    <x v="2"/>
    <x v="2"/>
  </r>
  <r>
    <x v="7"/>
    <m/>
    <m/>
    <m/>
    <m/>
    <m/>
    <x v="558"/>
    <x v="2"/>
    <x v="2"/>
  </r>
  <r>
    <x v="15"/>
    <m/>
    <m/>
    <m/>
    <m/>
    <m/>
    <x v="558"/>
    <x v="2"/>
    <x v="2"/>
  </r>
  <r>
    <x v="8"/>
    <m/>
    <n v="378000"/>
    <m/>
    <m/>
    <m/>
    <x v="558"/>
    <x v="2"/>
    <x v="2"/>
  </r>
  <r>
    <x v="9"/>
    <m/>
    <m/>
    <m/>
    <m/>
    <m/>
    <x v="558"/>
    <x v="2"/>
    <x v="2"/>
  </r>
  <r>
    <x v="10"/>
    <m/>
    <m/>
    <m/>
    <m/>
    <m/>
    <x v="558"/>
    <x v="2"/>
    <x v="2"/>
  </r>
  <r>
    <x v="11"/>
    <m/>
    <m/>
    <m/>
    <m/>
    <m/>
    <x v="558"/>
    <x v="2"/>
    <x v="2"/>
  </r>
  <r>
    <x v="16"/>
    <m/>
    <m/>
    <m/>
    <m/>
    <m/>
    <x v="558"/>
    <x v="2"/>
    <x v="2"/>
  </r>
  <r>
    <x v="12"/>
    <m/>
    <m/>
    <m/>
    <m/>
    <m/>
    <x v="558"/>
    <x v="2"/>
    <x v="2"/>
  </r>
  <r>
    <x v="13"/>
    <m/>
    <m/>
    <m/>
    <m/>
    <m/>
    <x v="558"/>
    <x v="2"/>
    <x v="2"/>
  </r>
  <r>
    <x v="0"/>
    <m/>
    <m/>
    <m/>
    <m/>
    <m/>
    <x v="559"/>
    <x v="2"/>
    <x v="3"/>
  </r>
  <r>
    <x v="1"/>
    <m/>
    <m/>
    <m/>
    <m/>
    <m/>
    <x v="559"/>
    <x v="2"/>
    <x v="3"/>
  </r>
  <r>
    <x v="2"/>
    <n v="270000"/>
    <m/>
    <m/>
    <m/>
    <n v="432000"/>
    <x v="559"/>
    <x v="2"/>
    <x v="3"/>
  </r>
  <r>
    <x v="3"/>
    <n v="50000"/>
    <m/>
    <m/>
    <m/>
    <m/>
    <x v="559"/>
    <x v="2"/>
    <x v="3"/>
  </r>
  <r>
    <x v="4"/>
    <n v="378000"/>
    <m/>
    <m/>
    <m/>
    <m/>
    <x v="559"/>
    <x v="2"/>
    <x v="3"/>
  </r>
  <r>
    <x v="5"/>
    <m/>
    <m/>
    <m/>
    <m/>
    <m/>
    <x v="559"/>
    <x v="2"/>
    <x v="3"/>
  </r>
  <r>
    <x v="14"/>
    <n v="378000"/>
    <n v="540000"/>
    <m/>
    <m/>
    <n v="270000"/>
    <x v="559"/>
    <x v="2"/>
    <x v="3"/>
  </r>
  <r>
    <x v="6"/>
    <m/>
    <m/>
    <m/>
    <m/>
    <m/>
    <x v="559"/>
    <x v="2"/>
    <x v="3"/>
  </r>
  <r>
    <x v="7"/>
    <m/>
    <m/>
    <m/>
    <m/>
    <m/>
    <x v="559"/>
    <x v="2"/>
    <x v="3"/>
  </r>
  <r>
    <x v="15"/>
    <m/>
    <m/>
    <m/>
    <m/>
    <m/>
    <x v="559"/>
    <x v="2"/>
    <x v="3"/>
  </r>
  <r>
    <x v="8"/>
    <n v="539500"/>
    <n v="324000"/>
    <m/>
    <m/>
    <m/>
    <x v="559"/>
    <x v="2"/>
    <x v="3"/>
  </r>
  <r>
    <x v="9"/>
    <m/>
    <m/>
    <m/>
    <m/>
    <m/>
    <x v="559"/>
    <x v="2"/>
    <x v="3"/>
  </r>
  <r>
    <x v="10"/>
    <m/>
    <m/>
    <m/>
    <m/>
    <m/>
    <x v="559"/>
    <x v="2"/>
    <x v="3"/>
  </r>
  <r>
    <x v="11"/>
    <m/>
    <m/>
    <m/>
    <m/>
    <m/>
    <x v="559"/>
    <x v="2"/>
    <x v="3"/>
  </r>
  <r>
    <x v="16"/>
    <m/>
    <m/>
    <m/>
    <m/>
    <m/>
    <x v="559"/>
    <x v="2"/>
    <x v="3"/>
  </r>
  <r>
    <x v="12"/>
    <m/>
    <m/>
    <m/>
    <m/>
    <m/>
    <x v="559"/>
    <x v="2"/>
    <x v="3"/>
  </r>
  <r>
    <x v="13"/>
    <m/>
    <n v="270000"/>
    <m/>
    <m/>
    <m/>
    <x v="559"/>
    <x v="2"/>
    <x v="3"/>
  </r>
  <r>
    <x v="0"/>
    <m/>
    <m/>
    <m/>
    <m/>
    <m/>
    <x v="560"/>
    <x v="2"/>
    <x v="3"/>
  </r>
  <r>
    <x v="1"/>
    <m/>
    <n v="45000"/>
    <m/>
    <m/>
    <m/>
    <x v="560"/>
    <x v="2"/>
    <x v="3"/>
  </r>
  <r>
    <x v="2"/>
    <n v="432000"/>
    <m/>
    <m/>
    <m/>
    <m/>
    <x v="560"/>
    <x v="2"/>
    <x v="3"/>
  </r>
  <r>
    <x v="3"/>
    <n v="49500"/>
    <m/>
    <m/>
    <m/>
    <m/>
    <x v="560"/>
    <x v="2"/>
    <x v="3"/>
  </r>
  <r>
    <x v="4"/>
    <n v="647500"/>
    <m/>
    <m/>
    <m/>
    <n v="378000"/>
    <x v="560"/>
    <x v="2"/>
    <x v="3"/>
  </r>
  <r>
    <x v="5"/>
    <m/>
    <m/>
    <m/>
    <m/>
    <m/>
    <x v="560"/>
    <x v="2"/>
    <x v="3"/>
  </r>
  <r>
    <x v="14"/>
    <n v="270000"/>
    <n v="216000"/>
    <m/>
    <m/>
    <n v="270000"/>
    <x v="560"/>
    <x v="2"/>
    <x v="3"/>
  </r>
  <r>
    <x v="6"/>
    <n v="432000"/>
    <n v="647500"/>
    <m/>
    <m/>
    <m/>
    <x v="560"/>
    <x v="2"/>
    <x v="3"/>
  </r>
  <r>
    <x v="7"/>
    <m/>
    <m/>
    <m/>
    <m/>
    <m/>
    <x v="560"/>
    <x v="2"/>
    <x v="3"/>
  </r>
  <r>
    <x v="15"/>
    <m/>
    <m/>
    <m/>
    <m/>
    <m/>
    <x v="560"/>
    <x v="2"/>
    <x v="3"/>
  </r>
  <r>
    <x v="8"/>
    <m/>
    <n v="270000"/>
    <m/>
    <m/>
    <m/>
    <x v="560"/>
    <x v="2"/>
    <x v="3"/>
  </r>
  <r>
    <x v="9"/>
    <n v="270000"/>
    <m/>
    <m/>
    <m/>
    <m/>
    <x v="560"/>
    <x v="2"/>
    <x v="3"/>
  </r>
  <r>
    <x v="10"/>
    <m/>
    <m/>
    <m/>
    <m/>
    <m/>
    <x v="560"/>
    <x v="2"/>
    <x v="3"/>
  </r>
  <r>
    <x v="11"/>
    <m/>
    <m/>
    <m/>
    <m/>
    <m/>
    <x v="560"/>
    <x v="2"/>
    <x v="3"/>
  </r>
  <r>
    <x v="16"/>
    <m/>
    <m/>
    <m/>
    <m/>
    <m/>
    <x v="560"/>
    <x v="2"/>
    <x v="3"/>
  </r>
  <r>
    <x v="12"/>
    <m/>
    <m/>
    <m/>
    <m/>
    <m/>
    <x v="560"/>
    <x v="2"/>
    <x v="3"/>
  </r>
  <r>
    <x v="13"/>
    <m/>
    <n v="108000"/>
    <m/>
    <m/>
    <m/>
    <x v="560"/>
    <x v="2"/>
    <x v="3"/>
  </r>
  <r>
    <x v="0"/>
    <m/>
    <m/>
    <m/>
    <m/>
    <m/>
    <x v="561"/>
    <x v="2"/>
    <x v="3"/>
  </r>
  <r>
    <x v="1"/>
    <m/>
    <m/>
    <m/>
    <m/>
    <m/>
    <x v="561"/>
    <x v="2"/>
    <x v="3"/>
  </r>
  <r>
    <x v="2"/>
    <n v="369000"/>
    <m/>
    <m/>
    <m/>
    <m/>
    <x v="561"/>
    <x v="2"/>
    <x v="3"/>
  </r>
  <r>
    <x v="3"/>
    <m/>
    <m/>
    <m/>
    <m/>
    <m/>
    <x v="561"/>
    <x v="2"/>
    <x v="3"/>
  </r>
  <r>
    <x v="4"/>
    <n v="319500"/>
    <m/>
    <m/>
    <m/>
    <n v="270000"/>
    <x v="561"/>
    <x v="2"/>
    <x v="3"/>
  </r>
  <r>
    <x v="5"/>
    <m/>
    <m/>
    <m/>
    <m/>
    <m/>
    <x v="561"/>
    <x v="2"/>
    <x v="3"/>
  </r>
  <r>
    <x v="14"/>
    <n v="265500"/>
    <m/>
    <m/>
    <m/>
    <m/>
    <x v="561"/>
    <x v="2"/>
    <x v="3"/>
  </r>
  <r>
    <x v="6"/>
    <n v="319500"/>
    <m/>
    <m/>
    <m/>
    <n v="108000"/>
    <x v="561"/>
    <x v="2"/>
    <x v="3"/>
  </r>
  <r>
    <x v="7"/>
    <m/>
    <m/>
    <m/>
    <m/>
    <m/>
    <x v="561"/>
    <x v="2"/>
    <x v="3"/>
  </r>
  <r>
    <x v="15"/>
    <m/>
    <m/>
    <m/>
    <m/>
    <m/>
    <x v="561"/>
    <x v="2"/>
    <x v="3"/>
  </r>
  <r>
    <x v="8"/>
    <m/>
    <n v="198000"/>
    <m/>
    <m/>
    <m/>
    <x v="561"/>
    <x v="2"/>
    <x v="3"/>
  </r>
  <r>
    <x v="9"/>
    <n v="108000"/>
    <n v="810000"/>
    <m/>
    <m/>
    <m/>
    <x v="561"/>
    <x v="2"/>
    <x v="3"/>
  </r>
  <r>
    <x v="10"/>
    <m/>
    <m/>
    <m/>
    <m/>
    <m/>
    <x v="561"/>
    <x v="2"/>
    <x v="3"/>
  </r>
  <r>
    <x v="11"/>
    <m/>
    <m/>
    <m/>
    <m/>
    <m/>
    <x v="561"/>
    <x v="2"/>
    <x v="3"/>
  </r>
  <r>
    <x v="16"/>
    <m/>
    <m/>
    <m/>
    <m/>
    <m/>
    <x v="561"/>
    <x v="2"/>
    <x v="3"/>
  </r>
  <r>
    <x v="12"/>
    <m/>
    <m/>
    <m/>
    <m/>
    <m/>
    <x v="561"/>
    <x v="2"/>
    <x v="3"/>
  </r>
  <r>
    <x v="13"/>
    <m/>
    <m/>
    <m/>
    <m/>
    <m/>
    <x v="561"/>
    <x v="2"/>
    <x v="3"/>
  </r>
  <r>
    <x v="0"/>
    <m/>
    <m/>
    <m/>
    <m/>
    <m/>
    <x v="562"/>
    <x v="2"/>
    <x v="3"/>
  </r>
  <r>
    <x v="1"/>
    <m/>
    <m/>
    <m/>
    <m/>
    <m/>
    <x v="562"/>
    <x v="2"/>
    <x v="3"/>
  </r>
  <r>
    <x v="2"/>
    <n v="139500"/>
    <m/>
    <m/>
    <m/>
    <m/>
    <x v="562"/>
    <x v="2"/>
    <x v="3"/>
  </r>
  <r>
    <x v="3"/>
    <m/>
    <m/>
    <m/>
    <m/>
    <m/>
    <x v="562"/>
    <x v="2"/>
    <x v="3"/>
  </r>
  <r>
    <x v="4"/>
    <n v="162000"/>
    <m/>
    <m/>
    <m/>
    <m/>
    <x v="562"/>
    <x v="2"/>
    <x v="3"/>
  </r>
  <r>
    <x v="5"/>
    <n v="468000"/>
    <n v="216000"/>
    <m/>
    <m/>
    <m/>
    <x v="562"/>
    <x v="2"/>
    <x v="3"/>
  </r>
  <r>
    <x v="14"/>
    <n v="216000"/>
    <n v="54000"/>
    <m/>
    <n v="54000"/>
    <m/>
    <x v="562"/>
    <x v="2"/>
    <x v="3"/>
  </r>
  <r>
    <x v="6"/>
    <n v="162000"/>
    <n v="99000"/>
    <m/>
    <n v="103500"/>
    <m/>
    <x v="562"/>
    <x v="2"/>
    <x v="3"/>
  </r>
  <r>
    <x v="7"/>
    <m/>
    <m/>
    <m/>
    <m/>
    <m/>
    <x v="562"/>
    <x v="2"/>
    <x v="3"/>
  </r>
  <r>
    <x v="15"/>
    <m/>
    <m/>
    <m/>
    <m/>
    <m/>
    <x v="562"/>
    <x v="2"/>
    <x v="3"/>
  </r>
  <r>
    <x v="8"/>
    <n v="432000"/>
    <m/>
    <m/>
    <m/>
    <m/>
    <x v="562"/>
    <x v="2"/>
    <x v="3"/>
  </r>
  <r>
    <x v="9"/>
    <n v="698000"/>
    <n v="432000"/>
    <m/>
    <m/>
    <m/>
    <x v="562"/>
    <x v="2"/>
    <x v="3"/>
  </r>
  <r>
    <x v="10"/>
    <m/>
    <m/>
    <m/>
    <m/>
    <m/>
    <x v="562"/>
    <x v="2"/>
    <x v="3"/>
  </r>
  <r>
    <x v="11"/>
    <m/>
    <m/>
    <m/>
    <m/>
    <m/>
    <x v="562"/>
    <x v="2"/>
    <x v="3"/>
  </r>
  <r>
    <x v="16"/>
    <m/>
    <m/>
    <m/>
    <m/>
    <m/>
    <x v="562"/>
    <x v="2"/>
    <x v="3"/>
  </r>
  <r>
    <x v="12"/>
    <m/>
    <m/>
    <m/>
    <m/>
    <m/>
    <x v="562"/>
    <x v="2"/>
    <x v="3"/>
  </r>
  <r>
    <x v="13"/>
    <m/>
    <m/>
    <m/>
    <n v="54000"/>
    <m/>
    <x v="562"/>
    <x v="2"/>
    <x v="3"/>
  </r>
  <r>
    <x v="0"/>
    <m/>
    <m/>
    <m/>
    <m/>
    <m/>
    <x v="563"/>
    <x v="2"/>
    <x v="3"/>
  </r>
  <r>
    <x v="1"/>
    <m/>
    <m/>
    <m/>
    <m/>
    <m/>
    <x v="563"/>
    <x v="2"/>
    <x v="3"/>
  </r>
  <r>
    <x v="2"/>
    <n v="45000"/>
    <m/>
    <m/>
    <m/>
    <m/>
    <x v="563"/>
    <x v="2"/>
    <x v="3"/>
  </r>
  <r>
    <x v="3"/>
    <n v="54000"/>
    <m/>
    <m/>
    <m/>
    <m/>
    <x v="563"/>
    <x v="2"/>
    <x v="3"/>
  </r>
  <r>
    <x v="4"/>
    <n v="414000"/>
    <m/>
    <m/>
    <m/>
    <m/>
    <x v="563"/>
    <x v="2"/>
    <x v="3"/>
  </r>
  <r>
    <x v="5"/>
    <n v="477000"/>
    <n v="1122000"/>
    <m/>
    <m/>
    <m/>
    <x v="563"/>
    <x v="2"/>
    <x v="3"/>
  </r>
  <r>
    <x v="14"/>
    <n v="216000"/>
    <m/>
    <m/>
    <n v="378000"/>
    <m/>
    <x v="563"/>
    <x v="2"/>
    <x v="3"/>
  </r>
  <r>
    <x v="6"/>
    <n v="423000"/>
    <n v="99000"/>
    <m/>
    <m/>
    <m/>
    <x v="563"/>
    <x v="2"/>
    <x v="3"/>
  </r>
  <r>
    <x v="7"/>
    <m/>
    <m/>
    <m/>
    <m/>
    <m/>
    <x v="563"/>
    <x v="2"/>
    <x v="3"/>
  </r>
  <r>
    <x v="15"/>
    <m/>
    <m/>
    <m/>
    <m/>
    <m/>
    <x v="563"/>
    <x v="2"/>
    <x v="3"/>
  </r>
  <r>
    <x v="8"/>
    <n v="374000"/>
    <m/>
    <m/>
    <m/>
    <m/>
    <x v="563"/>
    <x v="2"/>
    <x v="3"/>
  </r>
  <r>
    <x v="9"/>
    <n v="526500"/>
    <n v="852000"/>
    <m/>
    <m/>
    <m/>
    <x v="563"/>
    <x v="2"/>
    <x v="3"/>
  </r>
  <r>
    <x v="10"/>
    <m/>
    <m/>
    <m/>
    <m/>
    <m/>
    <x v="563"/>
    <x v="2"/>
    <x v="3"/>
  </r>
  <r>
    <x v="11"/>
    <n v="108000"/>
    <m/>
    <m/>
    <m/>
    <m/>
    <x v="563"/>
    <x v="2"/>
    <x v="3"/>
  </r>
  <r>
    <x v="16"/>
    <m/>
    <m/>
    <m/>
    <m/>
    <m/>
    <x v="563"/>
    <x v="2"/>
    <x v="3"/>
  </r>
  <r>
    <x v="12"/>
    <m/>
    <m/>
    <m/>
    <m/>
    <m/>
    <x v="563"/>
    <x v="2"/>
    <x v="3"/>
  </r>
  <r>
    <x v="13"/>
    <m/>
    <m/>
    <m/>
    <m/>
    <m/>
    <x v="563"/>
    <x v="2"/>
    <x v="3"/>
  </r>
  <r>
    <x v="0"/>
    <m/>
    <m/>
    <m/>
    <m/>
    <m/>
    <x v="564"/>
    <x v="2"/>
    <x v="3"/>
  </r>
  <r>
    <x v="1"/>
    <m/>
    <m/>
    <m/>
    <m/>
    <m/>
    <x v="564"/>
    <x v="2"/>
    <x v="3"/>
  </r>
  <r>
    <x v="2"/>
    <m/>
    <n v="45000"/>
    <m/>
    <m/>
    <m/>
    <x v="564"/>
    <x v="2"/>
    <x v="3"/>
  </r>
  <r>
    <x v="3"/>
    <m/>
    <m/>
    <m/>
    <m/>
    <m/>
    <x v="564"/>
    <x v="2"/>
    <x v="3"/>
  </r>
  <r>
    <x v="4"/>
    <n v="270000"/>
    <m/>
    <m/>
    <m/>
    <m/>
    <x v="564"/>
    <x v="2"/>
    <x v="3"/>
  </r>
  <r>
    <x v="5"/>
    <n v="216000"/>
    <n v="963000"/>
    <m/>
    <m/>
    <m/>
    <x v="564"/>
    <x v="2"/>
    <x v="3"/>
  </r>
  <r>
    <x v="14"/>
    <m/>
    <m/>
    <m/>
    <n v="108000"/>
    <m/>
    <x v="564"/>
    <x v="2"/>
    <x v="3"/>
  </r>
  <r>
    <x v="6"/>
    <n v="157500"/>
    <m/>
    <m/>
    <m/>
    <m/>
    <x v="564"/>
    <x v="2"/>
    <x v="3"/>
  </r>
  <r>
    <x v="7"/>
    <m/>
    <m/>
    <m/>
    <m/>
    <m/>
    <x v="564"/>
    <x v="2"/>
    <x v="3"/>
  </r>
  <r>
    <x v="15"/>
    <m/>
    <m/>
    <m/>
    <m/>
    <m/>
    <x v="564"/>
    <x v="2"/>
    <x v="3"/>
  </r>
  <r>
    <x v="8"/>
    <n v="270000"/>
    <m/>
    <m/>
    <m/>
    <m/>
    <x v="564"/>
    <x v="2"/>
    <x v="3"/>
  </r>
  <r>
    <x v="9"/>
    <n v="432000"/>
    <n v="535500"/>
    <m/>
    <m/>
    <m/>
    <x v="564"/>
    <x v="2"/>
    <x v="3"/>
  </r>
  <r>
    <x v="10"/>
    <m/>
    <m/>
    <m/>
    <m/>
    <m/>
    <x v="564"/>
    <x v="2"/>
    <x v="3"/>
  </r>
  <r>
    <x v="11"/>
    <n v="216000"/>
    <m/>
    <m/>
    <m/>
    <m/>
    <x v="564"/>
    <x v="2"/>
    <x v="3"/>
  </r>
  <r>
    <x v="16"/>
    <m/>
    <m/>
    <m/>
    <m/>
    <m/>
    <x v="564"/>
    <x v="2"/>
    <x v="3"/>
  </r>
  <r>
    <x v="12"/>
    <m/>
    <m/>
    <m/>
    <m/>
    <m/>
    <x v="564"/>
    <x v="2"/>
    <x v="3"/>
  </r>
  <r>
    <x v="13"/>
    <m/>
    <m/>
    <m/>
    <m/>
    <m/>
    <x v="564"/>
    <x v="2"/>
    <x v="3"/>
  </r>
  <r>
    <x v="0"/>
    <m/>
    <m/>
    <m/>
    <m/>
    <m/>
    <x v="565"/>
    <x v="2"/>
    <x v="3"/>
  </r>
  <r>
    <x v="1"/>
    <m/>
    <m/>
    <m/>
    <m/>
    <m/>
    <x v="565"/>
    <x v="2"/>
    <x v="3"/>
  </r>
  <r>
    <x v="2"/>
    <m/>
    <m/>
    <m/>
    <n v="297000"/>
    <m/>
    <x v="565"/>
    <x v="2"/>
    <x v="3"/>
  </r>
  <r>
    <x v="3"/>
    <m/>
    <n v="319500"/>
    <m/>
    <m/>
    <m/>
    <x v="565"/>
    <x v="2"/>
    <x v="3"/>
  </r>
  <r>
    <x v="4"/>
    <n v="108000"/>
    <m/>
    <m/>
    <m/>
    <n v="50000"/>
    <x v="565"/>
    <x v="2"/>
    <x v="3"/>
  </r>
  <r>
    <x v="5"/>
    <n v="324000"/>
    <n v="54000"/>
    <m/>
    <m/>
    <m/>
    <x v="565"/>
    <x v="2"/>
    <x v="3"/>
  </r>
  <r>
    <x v="14"/>
    <m/>
    <m/>
    <m/>
    <m/>
    <m/>
    <x v="565"/>
    <x v="2"/>
    <x v="3"/>
  </r>
  <r>
    <x v="6"/>
    <n v="99000"/>
    <m/>
    <m/>
    <n v="49500"/>
    <n v="153000"/>
    <x v="565"/>
    <x v="2"/>
    <x v="3"/>
  </r>
  <r>
    <x v="7"/>
    <m/>
    <m/>
    <m/>
    <m/>
    <m/>
    <x v="565"/>
    <x v="2"/>
    <x v="3"/>
  </r>
  <r>
    <x v="15"/>
    <m/>
    <m/>
    <m/>
    <m/>
    <m/>
    <x v="565"/>
    <x v="2"/>
    <x v="3"/>
  </r>
  <r>
    <x v="8"/>
    <n v="162000"/>
    <n v="324000"/>
    <m/>
    <m/>
    <n v="162000"/>
    <x v="565"/>
    <x v="2"/>
    <x v="3"/>
  </r>
  <r>
    <x v="9"/>
    <n v="270000"/>
    <n v="108000"/>
    <m/>
    <m/>
    <n v="162000"/>
    <x v="565"/>
    <x v="2"/>
    <x v="3"/>
  </r>
  <r>
    <x v="10"/>
    <m/>
    <m/>
    <m/>
    <m/>
    <m/>
    <x v="565"/>
    <x v="2"/>
    <x v="3"/>
  </r>
  <r>
    <x v="11"/>
    <n v="158000"/>
    <m/>
    <m/>
    <m/>
    <m/>
    <x v="565"/>
    <x v="2"/>
    <x v="3"/>
  </r>
  <r>
    <x v="16"/>
    <m/>
    <m/>
    <m/>
    <m/>
    <m/>
    <x v="565"/>
    <x v="2"/>
    <x v="3"/>
  </r>
  <r>
    <x v="12"/>
    <m/>
    <m/>
    <m/>
    <m/>
    <m/>
    <x v="565"/>
    <x v="2"/>
    <x v="3"/>
  </r>
  <r>
    <x v="13"/>
    <m/>
    <m/>
    <m/>
    <m/>
    <m/>
    <x v="565"/>
    <x v="2"/>
    <x v="3"/>
  </r>
  <r>
    <x v="0"/>
    <m/>
    <m/>
    <m/>
    <m/>
    <m/>
    <x v="566"/>
    <x v="2"/>
    <x v="3"/>
  </r>
  <r>
    <x v="1"/>
    <m/>
    <m/>
    <m/>
    <m/>
    <m/>
    <x v="566"/>
    <x v="2"/>
    <x v="3"/>
  </r>
  <r>
    <x v="2"/>
    <m/>
    <n v="99000"/>
    <m/>
    <m/>
    <m/>
    <x v="566"/>
    <x v="2"/>
    <x v="3"/>
  </r>
  <r>
    <x v="3"/>
    <m/>
    <n v="216000"/>
    <m/>
    <m/>
    <m/>
    <x v="566"/>
    <x v="2"/>
    <x v="3"/>
  </r>
  <r>
    <x v="4"/>
    <n v="108000"/>
    <m/>
    <m/>
    <m/>
    <m/>
    <x v="566"/>
    <x v="2"/>
    <x v="3"/>
  </r>
  <r>
    <x v="5"/>
    <n v="103500"/>
    <m/>
    <m/>
    <m/>
    <m/>
    <x v="566"/>
    <x v="2"/>
    <x v="3"/>
  </r>
  <r>
    <x v="14"/>
    <m/>
    <m/>
    <m/>
    <m/>
    <m/>
    <x v="566"/>
    <x v="2"/>
    <x v="3"/>
  </r>
  <r>
    <x v="6"/>
    <n v="162000"/>
    <m/>
    <m/>
    <m/>
    <n v="324000"/>
    <x v="566"/>
    <x v="2"/>
    <x v="3"/>
  </r>
  <r>
    <x v="7"/>
    <m/>
    <m/>
    <m/>
    <m/>
    <m/>
    <x v="566"/>
    <x v="2"/>
    <x v="3"/>
  </r>
  <r>
    <x v="15"/>
    <m/>
    <m/>
    <m/>
    <m/>
    <m/>
    <x v="566"/>
    <x v="2"/>
    <x v="3"/>
  </r>
  <r>
    <x v="8"/>
    <m/>
    <n v="540000"/>
    <m/>
    <m/>
    <n v="108000"/>
    <x v="566"/>
    <x v="2"/>
    <x v="3"/>
  </r>
  <r>
    <x v="9"/>
    <n v="108000"/>
    <n v="108000"/>
    <m/>
    <m/>
    <n v="54000"/>
    <x v="566"/>
    <x v="2"/>
    <x v="3"/>
  </r>
  <r>
    <x v="10"/>
    <m/>
    <m/>
    <m/>
    <m/>
    <m/>
    <x v="566"/>
    <x v="2"/>
    <x v="3"/>
  </r>
  <r>
    <x v="11"/>
    <n v="54000"/>
    <m/>
    <m/>
    <m/>
    <m/>
    <x v="566"/>
    <x v="2"/>
    <x v="3"/>
  </r>
  <r>
    <x v="16"/>
    <m/>
    <m/>
    <m/>
    <m/>
    <m/>
    <x v="566"/>
    <x v="2"/>
    <x v="3"/>
  </r>
  <r>
    <x v="12"/>
    <m/>
    <m/>
    <m/>
    <m/>
    <m/>
    <x v="566"/>
    <x v="2"/>
    <x v="3"/>
  </r>
  <r>
    <x v="13"/>
    <m/>
    <m/>
    <m/>
    <m/>
    <m/>
    <x v="566"/>
    <x v="2"/>
    <x v="3"/>
  </r>
  <r>
    <x v="0"/>
    <m/>
    <m/>
    <m/>
    <m/>
    <m/>
    <x v="567"/>
    <x v="2"/>
    <x v="3"/>
  </r>
  <r>
    <x v="1"/>
    <m/>
    <m/>
    <m/>
    <m/>
    <m/>
    <x v="567"/>
    <x v="2"/>
    <x v="3"/>
  </r>
  <r>
    <x v="2"/>
    <m/>
    <n v="162000"/>
    <m/>
    <m/>
    <m/>
    <x v="567"/>
    <x v="2"/>
    <x v="3"/>
  </r>
  <r>
    <x v="3"/>
    <m/>
    <n v="270000"/>
    <m/>
    <m/>
    <m/>
    <x v="567"/>
    <x v="2"/>
    <x v="3"/>
  </r>
  <r>
    <x v="4"/>
    <n v="162000"/>
    <m/>
    <m/>
    <m/>
    <m/>
    <x v="567"/>
    <x v="2"/>
    <x v="3"/>
  </r>
  <r>
    <x v="5"/>
    <n v="216000"/>
    <n v="162000"/>
    <m/>
    <m/>
    <m/>
    <x v="567"/>
    <x v="2"/>
    <x v="3"/>
  </r>
  <r>
    <x v="14"/>
    <m/>
    <m/>
    <m/>
    <m/>
    <m/>
    <x v="567"/>
    <x v="2"/>
    <x v="3"/>
  </r>
  <r>
    <x v="6"/>
    <n v="108000"/>
    <m/>
    <m/>
    <m/>
    <m/>
    <x v="567"/>
    <x v="2"/>
    <x v="3"/>
  </r>
  <r>
    <x v="7"/>
    <m/>
    <m/>
    <m/>
    <m/>
    <m/>
    <x v="567"/>
    <x v="2"/>
    <x v="3"/>
  </r>
  <r>
    <x v="15"/>
    <m/>
    <m/>
    <m/>
    <m/>
    <m/>
    <x v="567"/>
    <x v="2"/>
    <x v="3"/>
  </r>
  <r>
    <x v="8"/>
    <n v="270000"/>
    <n v="360000"/>
    <m/>
    <m/>
    <m/>
    <x v="567"/>
    <x v="2"/>
    <x v="3"/>
  </r>
  <r>
    <x v="9"/>
    <n v="270000"/>
    <n v="54000"/>
    <m/>
    <m/>
    <m/>
    <x v="567"/>
    <x v="2"/>
    <x v="3"/>
  </r>
  <r>
    <x v="10"/>
    <m/>
    <m/>
    <m/>
    <m/>
    <m/>
    <x v="567"/>
    <x v="2"/>
    <x v="3"/>
  </r>
  <r>
    <x v="11"/>
    <n v="216000"/>
    <m/>
    <m/>
    <m/>
    <m/>
    <x v="567"/>
    <x v="2"/>
    <x v="3"/>
  </r>
  <r>
    <x v="16"/>
    <m/>
    <m/>
    <m/>
    <m/>
    <m/>
    <x v="567"/>
    <x v="2"/>
    <x v="3"/>
  </r>
  <r>
    <x v="12"/>
    <m/>
    <m/>
    <m/>
    <m/>
    <m/>
    <x v="567"/>
    <x v="2"/>
    <x v="3"/>
  </r>
  <r>
    <x v="13"/>
    <m/>
    <n v="45000"/>
    <m/>
    <m/>
    <m/>
    <x v="567"/>
    <x v="2"/>
    <x v="3"/>
  </r>
  <r>
    <x v="0"/>
    <m/>
    <m/>
    <m/>
    <m/>
    <m/>
    <x v="568"/>
    <x v="2"/>
    <x v="3"/>
  </r>
  <r>
    <x v="1"/>
    <m/>
    <m/>
    <m/>
    <m/>
    <m/>
    <x v="568"/>
    <x v="2"/>
    <x v="3"/>
  </r>
  <r>
    <x v="2"/>
    <n v="211500"/>
    <n v="535500"/>
    <m/>
    <m/>
    <m/>
    <x v="568"/>
    <x v="2"/>
    <x v="3"/>
  </r>
  <r>
    <x v="3"/>
    <m/>
    <n v="1026000"/>
    <m/>
    <m/>
    <m/>
    <x v="568"/>
    <x v="2"/>
    <x v="3"/>
  </r>
  <r>
    <x v="4"/>
    <n v="481500"/>
    <m/>
    <m/>
    <m/>
    <n v="108000"/>
    <x v="568"/>
    <x v="2"/>
    <x v="3"/>
  </r>
  <r>
    <x v="5"/>
    <n v="103500"/>
    <n v="49500"/>
    <m/>
    <m/>
    <m/>
    <x v="568"/>
    <x v="2"/>
    <x v="3"/>
  </r>
  <r>
    <x v="14"/>
    <m/>
    <m/>
    <m/>
    <m/>
    <m/>
    <x v="568"/>
    <x v="2"/>
    <x v="3"/>
  </r>
  <r>
    <x v="6"/>
    <m/>
    <m/>
    <m/>
    <n v="149000"/>
    <n v="108000"/>
    <x v="568"/>
    <x v="2"/>
    <x v="3"/>
  </r>
  <r>
    <x v="7"/>
    <m/>
    <m/>
    <m/>
    <m/>
    <m/>
    <x v="568"/>
    <x v="2"/>
    <x v="3"/>
  </r>
  <r>
    <x v="15"/>
    <m/>
    <m/>
    <m/>
    <m/>
    <m/>
    <x v="568"/>
    <x v="2"/>
    <x v="3"/>
  </r>
  <r>
    <x v="8"/>
    <n v="324000"/>
    <m/>
    <m/>
    <m/>
    <n v="216000"/>
    <x v="568"/>
    <x v="2"/>
    <x v="3"/>
  </r>
  <r>
    <x v="9"/>
    <n v="427500"/>
    <n v="162000"/>
    <m/>
    <m/>
    <n v="162000"/>
    <x v="568"/>
    <x v="2"/>
    <x v="3"/>
  </r>
  <r>
    <x v="10"/>
    <m/>
    <m/>
    <m/>
    <m/>
    <m/>
    <x v="568"/>
    <x v="2"/>
    <x v="3"/>
  </r>
  <r>
    <x v="11"/>
    <n v="265500"/>
    <m/>
    <m/>
    <m/>
    <m/>
    <x v="568"/>
    <x v="2"/>
    <x v="3"/>
  </r>
  <r>
    <x v="16"/>
    <m/>
    <m/>
    <m/>
    <m/>
    <m/>
    <x v="568"/>
    <x v="2"/>
    <x v="3"/>
  </r>
  <r>
    <x v="12"/>
    <m/>
    <m/>
    <m/>
    <m/>
    <m/>
    <x v="568"/>
    <x v="2"/>
    <x v="3"/>
  </r>
  <r>
    <x v="13"/>
    <m/>
    <m/>
    <m/>
    <m/>
    <m/>
    <x v="568"/>
    <x v="2"/>
    <x v="3"/>
  </r>
  <r>
    <x v="0"/>
    <m/>
    <m/>
    <m/>
    <m/>
    <m/>
    <x v="569"/>
    <x v="2"/>
    <x v="3"/>
  </r>
  <r>
    <x v="1"/>
    <m/>
    <m/>
    <m/>
    <m/>
    <m/>
    <x v="569"/>
    <x v="2"/>
    <x v="3"/>
  </r>
  <r>
    <x v="2"/>
    <n v="49500"/>
    <m/>
    <m/>
    <m/>
    <m/>
    <x v="569"/>
    <x v="2"/>
    <x v="3"/>
  </r>
  <r>
    <x v="3"/>
    <m/>
    <n v="1399500"/>
    <m/>
    <m/>
    <m/>
    <x v="569"/>
    <x v="2"/>
    <x v="3"/>
  </r>
  <r>
    <x v="4"/>
    <n v="427500"/>
    <m/>
    <m/>
    <m/>
    <n v="54000"/>
    <x v="569"/>
    <x v="2"/>
    <x v="3"/>
  </r>
  <r>
    <x v="5"/>
    <m/>
    <n v="49500"/>
    <m/>
    <m/>
    <m/>
    <x v="569"/>
    <x v="2"/>
    <x v="3"/>
  </r>
  <r>
    <x v="14"/>
    <m/>
    <m/>
    <m/>
    <m/>
    <m/>
    <x v="569"/>
    <x v="2"/>
    <x v="3"/>
  </r>
  <r>
    <x v="6"/>
    <m/>
    <m/>
    <m/>
    <m/>
    <n v="54000"/>
    <x v="569"/>
    <x v="2"/>
    <x v="3"/>
  </r>
  <r>
    <x v="7"/>
    <m/>
    <m/>
    <m/>
    <m/>
    <m/>
    <x v="569"/>
    <x v="2"/>
    <x v="3"/>
  </r>
  <r>
    <x v="15"/>
    <m/>
    <m/>
    <m/>
    <m/>
    <m/>
    <x v="569"/>
    <x v="2"/>
    <x v="3"/>
  </r>
  <r>
    <x v="8"/>
    <n v="161500"/>
    <m/>
    <m/>
    <m/>
    <n v="108000"/>
    <x v="569"/>
    <x v="2"/>
    <x v="3"/>
  </r>
  <r>
    <x v="9"/>
    <n v="1026000"/>
    <m/>
    <m/>
    <n v="54000"/>
    <n v="54000"/>
    <x v="569"/>
    <x v="2"/>
    <x v="3"/>
  </r>
  <r>
    <x v="10"/>
    <m/>
    <m/>
    <m/>
    <m/>
    <m/>
    <x v="569"/>
    <x v="2"/>
    <x v="3"/>
  </r>
  <r>
    <x v="11"/>
    <n v="324000"/>
    <m/>
    <m/>
    <m/>
    <m/>
    <x v="569"/>
    <x v="2"/>
    <x v="3"/>
  </r>
  <r>
    <x v="16"/>
    <m/>
    <m/>
    <m/>
    <m/>
    <m/>
    <x v="569"/>
    <x v="2"/>
    <x v="3"/>
  </r>
  <r>
    <x v="12"/>
    <m/>
    <m/>
    <m/>
    <m/>
    <m/>
    <x v="569"/>
    <x v="2"/>
    <x v="3"/>
  </r>
  <r>
    <x v="13"/>
    <n v="90000"/>
    <m/>
    <m/>
    <m/>
    <m/>
    <x v="569"/>
    <x v="2"/>
    <x v="3"/>
  </r>
  <r>
    <x v="0"/>
    <m/>
    <m/>
    <m/>
    <m/>
    <m/>
    <x v="570"/>
    <x v="2"/>
    <x v="3"/>
  </r>
  <r>
    <x v="1"/>
    <m/>
    <m/>
    <m/>
    <m/>
    <m/>
    <x v="570"/>
    <x v="2"/>
    <x v="3"/>
  </r>
  <r>
    <x v="2"/>
    <n v="107500"/>
    <m/>
    <m/>
    <m/>
    <m/>
    <x v="570"/>
    <x v="2"/>
    <x v="3"/>
  </r>
  <r>
    <x v="3"/>
    <m/>
    <n v="702000"/>
    <m/>
    <m/>
    <m/>
    <x v="570"/>
    <x v="2"/>
    <x v="3"/>
  </r>
  <r>
    <x v="4"/>
    <n v="322000"/>
    <m/>
    <m/>
    <m/>
    <n v="95000"/>
    <x v="570"/>
    <x v="2"/>
    <x v="3"/>
  </r>
  <r>
    <x v="5"/>
    <m/>
    <m/>
    <m/>
    <m/>
    <m/>
    <x v="570"/>
    <x v="2"/>
    <x v="3"/>
  </r>
  <r>
    <x v="14"/>
    <m/>
    <m/>
    <m/>
    <m/>
    <m/>
    <x v="570"/>
    <x v="2"/>
    <x v="3"/>
  </r>
  <r>
    <x v="6"/>
    <n v="90000"/>
    <m/>
    <m/>
    <m/>
    <m/>
    <x v="570"/>
    <x v="2"/>
    <x v="3"/>
  </r>
  <r>
    <x v="7"/>
    <m/>
    <m/>
    <m/>
    <m/>
    <m/>
    <x v="570"/>
    <x v="2"/>
    <x v="3"/>
  </r>
  <r>
    <x v="15"/>
    <m/>
    <m/>
    <m/>
    <m/>
    <m/>
    <x v="570"/>
    <x v="2"/>
    <x v="3"/>
  </r>
  <r>
    <x v="8"/>
    <m/>
    <n v="486000"/>
    <m/>
    <m/>
    <n v="648000"/>
    <x v="570"/>
    <x v="2"/>
    <x v="3"/>
  </r>
  <r>
    <x v="9"/>
    <n v="45000"/>
    <m/>
    <m/>
    <n v="378000"/>
    <n v="54000"/>
    <x v="570"/>
    <x v="2"/>
    <x v="3"/>
  </r>
  <r>
    <x v="10"/>
    <m/>
    <m/>
    <m/>
    <m/>
    <m/>
    <x v="570"/>
    <x v="2"/>
    <x v="3"/>
  </r>
  <r>
    <x v="11"/>
    <m/>
    <m/>
    <m/>
    <m/>
    <m/>
    <x v="570"/>
    <x v="2"/>
    <x v="3"/>
  </r>
  <r>
    <x v="16"/>
    <m/>
    <m/>
    <m/>
    <m/>
    <m/>
    <x v="570"/>
    <x v="2"/>
    <x v="3"/>
  </r>
  <r>
    <x v="12"/>
    <m/>
    <m/>
    <m/>
    <m/>
    <m/>
    <x v="570"/>
    <x v="2"/>
    <x v="3"/>
  </r>
  <r>
    <x v="13"/>
    <m/>
    <m/>
    <m/>
    <n v="54000"/>
    <m/>
    <x v="570"/>
    <x v="2"/>
    <x v="3"/>
  </r>
  <r>
    <x v="0"/>
    <m/>
    <m/>
    <m/>
    <m/>
    <m/>
    <x v="571"/>
    <x v="2"/>
    <x v="3"/>
  </r>
  <r>
    <x v="1"/>
    <m/>
    <m/>
    <m/>
    <m/>
    <m/>
    <x v="571"/>
    <x v="2"/>
    <x v="3"/>
  </r>
  <r>
    <x v="2"/>
    <m/>
    <n v="45000"/>
    <m/>
    <m/>
    <m/>
    <x v="571"/>
    <x v="2"/>
    <x v="3"/>
  </r>
  <r>
    <x v="3"/>
    <m/>
    <n v="162000"/>
    <m/>
    <m/>
    <m/>
    <x v="571"/>
    <x v="2"/>
    <x v="3"/>
  </r>
  <r>
    <x v="4"/>
    <m/>
    <m/>
    <m/>
    <m/>
    <m/>
    <x v="571"/>
    <x v="2"/>
    <x v="3"/>
  </r>
  <r>
    <x v="5"/>
    <m/>
    <n v="54000"/>
    <m/>
    <m/>
    <m/>
    <x v="571"/>
    <x v="2"/>
    <x v="3"/>
  </r>
  <r>
    <x v="14"/>
    <m/>
    <m/>
    <m/>
    <m/>
    <m/>
    <x v="571"/>
    <x v="2"/>
    <x v="3"/>
  </r>
  <r>
    <x v="6"/>
    <n v="45000"/>
    <n v="45000"/>
    <m/>
    <m/>
    <m/>
    <x v="571"/>
    <x v="2"/>
    <x v="3"/>
  </r>
  <r>
    <x v="7"/>
    <m/>
    <m/>
    <m/>
    <m/>
    <m/>
    <x v="571"/>
    <x v="2"/>
    <x v="3"/>
  </r>
  <r>
    <x v="15"/>
    <m/>
    <m/>
    <m/>
    <m/>
    <m/>
    <x v="571"/>
    <x v="2"/>
    <x v="3"/>
  </r>
  <r>
    <x v="8"/>
    <m/>
    <n v="324000"/>
    <m/>
    <m/>
    <m/>
    <x v="571"/>
    <x v="2"/>
    <x v="3"/>
  </r>
  <r>
    <x v="9"/>
    <m/>
    <n v="45000"/>
    <m/>
    <n v="432000"/>
    <n v="216000"/>
    <x v="571"/>
    <x v="2"/>
    <x v="3"/>
  </r>
  <r>
    <x v="10"/>
    <m/>
    <m/>
    <m/>
    <m/>
    <m/>
    <x v="571"/>
    <x v="2"/>
    <x v="3"/>
  </r>
  <r>
    <x v="11"/>
    <m/>
    <m/>
    <m/>
    <m/>
    <m/>
    <x v="571"/>
    <x v="2"/>
    <x v="3"/>
  </r>
  <r>
    <x v="16"/>
    <m/>
    <m/>
    <m/>
    <m/>
    <m/>
    <x v="571"/>
    <x v="2"/>
    <x v="3"/>
  </r>
  <r>
    <x v="12"/>
    <m/>
    <m/>
    <m/>
    <m/>
    <m/>
    <x v="571"/>
    <x v="2"/>
    <x v="3"/>
  </r>
  <r>
    <x v="13"/>
    <m/>
    <n v="45000"/>
    <m/>
    <m/>
    <m/>
    <x v="571"/>
    <x v="2"/>
    <x v="3"/>
  </r>
  <r>
    <x v="0"/>
    <m/>
    <n v="486000"/>
    <m/>
    <m/>
    <m/>
    <x v="572"/>
    <x v="2"/>
    <x v="3"/>
  </r>
  <r>
    <x v="1"/>
    <m/>
    <m/>
    <m/>
    <m/>
    <m/>
    <x v="572"/>
    <x v="2"/>
    <x v="3"/>
  </r>
  <r>
    <x v="2"/>
    <m/>
    <m/>
    <m/>
    <m/>
    <m/>
    <x v="572"/>
    <x v="2"/>
    <x v="3"/>
  </r>
  <r>
    <x v="3"/>
    <m/>
    <m/>
    <m/>
    <m/>
    <m/>
    <x v="572"/>
    <x v="2"/>
    <x v="3"/>
  </r>
  <r>
    <x v="4"/>
    <m/>
    <m/>
    <m/>
    <m/>
    <m/>
    <x v="572"/>
    <x v="2"/>
    <x v="3"/>
  </r>
  <r>
    <x v="5"/>
    <m/>
    <m/>
    <m/>
    <m/>
    <m/>
    <x v="572"/>
    <x v="2"/>
    <x v="3"/>
  </r>
  <r>
    <x v="14"/>
    <m/>
    <m/>
    <m/>
    <m/>
    <m/>
    <x v="572"/>
    <x v="2"/>
    <x v="3"/>
  </r>
  <r>
    <x v="6"/>
    <m/>
    <m/>
    <m/>
    <m/>
    <m/>
    <x v="572"/>
    <x v="2"/>
    <x v="3"/>
  </r>
  <r>
    <x v="7"/>
    <m/>
    <m/>
    <m/>
    <m/>
    <m/>
    <x v="572"/>
    <x v="2"/>
    <x v="3"/>
  </r>
  <r>
    <x v="15"/>
    <m/>
    <m/>
    <m/>
    <m/>
    <m/>
    <x v="572"/>
    <x v="2"/>
    <x v="3"/>
  </r>
  <r>
    <x v="8"/>
    <m/>
    <n v="162000"/>
    <m/>
    <m/>
    <m/>
    <x v="572"/>
    <x v="2"/>
    <x v="3"/>
  </r>
  <r>
    <x v="9"/>
    <m/>
    <m/>
    <m/>
    <m/>
    <m/>
    <x v="572"/>
    <x v="2"/>
    <x v="3"/>
  </r>
  <r>
    <x v="10"/>
    <m/>
    <m/>
    <m/>
    <m/>
    <m/>
    <x v="572"/>
    <x v="2"/>
    <x v="3"/>
  </r>
  <r>
    <x v="11"/>
    <m/>
    <m/>
    <m/>
    <m/>
    <m/>
    <x v="572"/>
    <x v="2"/>
    <x v="3"/>
  </r>
  <r>
    <x v="16"/>
    <m/>
    <m/>
    <m/>
    <m/>
    <m/>
    <x v="572"/>
    <x v="2"/>
    <x v="3"/>
  </r>
  <r>
    <x v="12"/>
    <m/>
    <m/>
    <m/>
    <m/>
    <m/>
    <x v="572"/>
    <x v="2"/>
    <x v="3"/>
  </r>
  <r>
    <x v="13"/>
    <m/>
    <m/>
    <m/>
    <m/>
    <m/>
    <x v="572"/>
    <x v="2"/>
    <x v="3"/>
  </r>
  <r>
    <x v="0"/>
    <m/>
    <m/>
    <m/>
    <m/>
    <m/>
    <x v="573"/>
    <x v="2"/>
    <x v="3"/>
  </r>
  <r>
    <x v="1"/>
    <m/>
    <m/>
    <m/>
    <m/>
    <m/>
    <x v="573"/>
    <x v="2"/>
    <x v="3"/>
  </r>
  <r>
    <x v="2"/>
    <m/>
    <m/>
    <m/>
    <m/>
    <m/>
    <x v="573"/>
    <x v="2"/>
    <x v="3"/>
  </r>
  <r>
    <x v="3"/>
    <m/>
    <m/>
    <m/>
    <m/>
    <m/>
    <x v="573"/>
    <x v="2"/>
    <x v="3"/>
  </r>
  <r>
    <x v="4"/>
    <m/>
    <m/>
    <m/>
    <m/>
    <m/>
    <x v="573"/>
    <x v="2"/>
    <x v="3"/>
  </r>
  <r>
    <x v="5"/>
    <m/>
    <m/>
    <m/>
    <m/>
    <m/>
    <x v="573"/>
    <x v="2"/>
    <x v="3"/>
  </r>
  <r>
    <x v="14"/>
    <m/>
    <m/>
    <m/>
    <m/>
    <m/>
    <x v="573"/>
    <x v="2"/>
    <x v="3"/>
  </r>
  <r>
    <x v="6"/>
    <m/>
    <m/>
    <m/>
    <m/>
    <m/>
    <x v="573"/>
    <x v="2"/>
    <x v="3"/>
  </r>
  <r>
    <x v="7"/>
    <m/>
    <m/>
    <m/>
    <m/>
    <m/>
    <x v="573"/>
    <x v="2"/>
    <x v="3"/>
  </r>
  <r>
    <x v="15"/>
    <m/>
    <m/>
    <m/>
    <m/>
    <m/>
    <x v="573"/>
    <x v="2"/>
    <x v="3"/>
  </r>
  <r>
    <x v="8"/>
    <m/>
    <n v="306000"/>
    <m/>
    <m/>
    <m/>
    <x v="573"/>
    <x v="2"/>
    <x v="3"/>
  </r>
  <r>
    <x v="9"/>
    <m/>
    <m/>
    <m/>
    <n v="135000"/>
    <m/>
    <x v="573"/>
    <x v="2"/>
    <x v="3"/>
  </r>
  <r>
    <x v="10"/>
    <m/>
    <m/>
    <m/>
    <m/>
    <m/>
    <x v="573"/>
    <x v="2"/>
    <x v="3"/>
  </r>
  <r>
    <x v="11"/>
    <m/>
    <m/>
    <m/>
    <m/>
    <m/>
    <x v="573"/>
    <x v="2"/>
    <x v="3"/>
  </r>
  <r>
    <x v="16"/>
    <m/>
    <m/>
    <m/>
    <m/>
    <m/>
    <x v="573"/>
    <x v="2"/>
    <x v="3"/>
  </r>
  <r>
    <x v="12"/>
    <m/>
    <m/>
    <m/>
    <m/>
    <m/>
    <x v="573"/>
    <x v="2"/>
    <x v="3"/>
  </r>
  <r>
    <x v="13"/>
    <m/>
    <m/>
    <m/>
    <m/>
    <m/>
    <x v="573"/>
    <x v="2"/>
    <x v="3"/>
  </r>
  <r>
    <x v="0"/>
    <m/>
    <m/>
    <m/>
    <m/>
    <m/>
    <x v="574"/>
    <x v="2"/>
    <x v="3"/>
  </r>
  <r>
    <x v="1"/>
    <n v="158000"/>
    <m/>
    <m/>
    <m/>
    <m/>
    <x v="574"/>
    <x v="2"/>
    <x v="3"/>
  </r>
  <r>
    <x v="2"/>
    <m/>
    <m/>
    <m/>
    <m/>
    <m/>
    <x v="574"/>
    <x v="2"/>
    <x v="3"/>
  </r>
  <r>
    <x v="3"/>
    <n v="540000"/>
    <m/>
    <m/>
    <m/>
    <m/>
    <x v="574"/>
    <x v="2"/>
    <x v="3"/>
  </r>
  <r>
    <x v="4"/>
    <m/>
    <m/>
    <m/>
    <m/>
    <m/>
    <x v="574"/>
    <x v="2"/>
    <x v="3"/>
  </r>
  <r>
    <x v="5"/>
    <m/>
    <m/>
    <n v="162000"/>
    <m/>
    <m/>
    <x v="574"/>
    <x v="2"/>
    <x v="3"/>
  </r>
  <r>
    <x v="14"/>
    <n v="54000"/>
    <m/>
    <m/>
    <m/>
    <m/>
    <x v="574"/>
    <x v="2"/>
    <x v="3"/>
  </r>
  <r>
    <x v="6"/>
    <m/>
    <m/>
    <m/>
    <m/>
    <m/>
    <x v="574"/>
    <x v="2"/>
    <x v="3"/>
  </r>
  <r>
    <x v="7"/>
    <m/>
    <m/>
    <m/>
    <m/>
    <m/>
    <x v="574"/>
    <x v="2"/>
    <x v="3"/>
  </r>
  <r>
    <x v="15"/>
    <m/>
    <m/>
    <m/>
    <m/>
    <m/>
    <x v="574"/>
    <x v="2"/>
    <x v="3"/>
  </r>
  <r>
    <x v="8"/>
    <m/>
    <m/>
    <n v="54000"/>
    <m/>
    <m/>
    <x v="574"/>
    <x v="2"/>
    <x v="3"/>
  </r>
  <r>
    <x v="9"/>
    <m/>
    <m/>
    <n v="54000"/>
    <m/>
    <m/>
    <x v="574"/>
    <x v="2"/>
    <x v="3"/>
  </r>
  <r>
    <x v="10"/>
    <m/>
    <m/>
    <m/>
    <m/>
    <m/>
    <x v="574"/>
    <x v="2"/>
    <x v="3"/>
  </r>
  <r>
    <x v="11"/>
    <m/>
    <m/>
    <m/>
    <m/>
    <m/>
    <x v="574"/>
    <x v="2"/>
    <x v="3"/>
  </r>
  <r>
    <x v="16"/>
    <m/>
    <m/>
    <m/>
    <m/>
    <m/>
    <x v="574"/>
    <x v="2"/>
    <x v="3"/>
  </r>
  <r>
    <x v="12"/>
    <m/>
    <m/>
    <m/>
    <m/>
    <m/>
    <x v="574"/>
    <x v="2"/>
    <x v="3"/>
  </r>
  <r>
    <x v="13"/>
    <n v="108000"/>
    <m/>
    <m/>
    <m/>
    <m/>
    <x v="574"/>
    <x v="2"/>
    <x v="3"/>
  </r>
  <r>
    <x v="0"/>
    <m/>
    <m/>
    <m/>
    <m/>
    <m/>
    <x v="575"/>
    <x v="2"/>
    <x v="3"/>
  </r>
  <r>
    <x v="1"/>
    <m/>
    <m/>
    <m/>
    <m/>
    <m/>
    <x v="575"/>
    <x v="2"/>
    <x v="3"/>
  </r>
  <r>
    <x v="2"/>
    <m/>
    <m/>
    <m/>
    <m/>
    <m/>
    <x v="575"/>
    <x v="2"/>
    <x v="3"/>
  </r>
  <r>
    <x v="3"/>
    <m/>
    <m/>
    <m/>
    <m/>
    <m/>
    <x v="575"/>
    <x v="2"/>
    <x v="3"/>
  </r>
  <r>
    <x v="4"/>
    <n v="162000"/>
    <m/>
    <n v="270000"/>
    <m/>
    <m/>
    <x v="575"/>
    <x v="2"/>
    <x v="3"/>
  </r>
  <r>
    <x v="5"/>
    <n v="486000"/>
    <m/>
    <m/>
    <m/>
    <m/>
    <x v="575"/>
    <x v="2"/>
    <x v="3"/>
  </r>
  <r>
    <x v="14"/>
    <n v="594000"/>
    <m/>
    <n v="108000"/>
    <m/>
    <m/>
    <x v="575"/>
    <x v="2"/>
    <x v="3"/>
  </r>
  <r>
    <x v="6"/>
    <m/>
    <m/>
    <m/>
    <m/>
    <m/>
    <x v="575"/>
    <x v="2"/>
    <x v="3"/>
  </r>
  <r>
    <x v="7"/>
    <m/>
    <m/>
    <m/>
    <m/>
    <m/>
    <x v="575"/>
    <x v="2"/>
    <x v="3"/>
  </r>
  <r>
    <x v="15"/>
    <m/>
    <m/>
    <m/>
    <m/>
    <m/>
    <x v="575"/>
    <x v="2"/>
    <x v="3"/>
  </r>
  <r>
    <x v="8"/>
    <n v="540000"/>
    <n v="162000"/>
    <n v="108000"/>
    <m/>
    <m/>
    <x v="575"/>
    <x v="2"/>
    <x v="3"/>
  </r>
  <r>
    <x v="9"/>
    <n v="756000"/>
    <n v="1242000"/>
    <n v="108000"/>
    <m/>
    <m/>
    <x v="575"/>
    <x v="2"/>
    <x v="3"/>
  </r>
  <r>
    <x v="10"/>
    <m/>
    <m/>
    <m/>
    <m/>
    <m/>
    <x v="575"/>
    <x v="2"/>
    <x v="3"/>
  </r>
  <r>
    <x v="11"/>
    <m/>
    <m/>
    <m/>
    <m/>
    <m/>
    <x v="575"/>
    <x v="2"/>
    <x v="3"/>
  </r>
  <r>
    <x v="16"/>
    <m/>
    <m/>
    <m/>
    <m/>
    <m/>
    <x v="575"/>
    <x v="2"/>
    <x v="3"/>
  </r>
  <r>
    <x v="12"/>
    <m/>
    <m/>
    <m/>
    <m/>
    <m/>
    <x v="575"/>
    <x v="2"/>
    <x v="3"/>
  </r>
  <r>
    <x v="13"/>
    <m/>
    <m/>
    <m/>
    <m/>
    <m/>
    <x v="575"/>
    <x v="2"/>
    <x v="3"/>
  </r>
  <r>
    <x v="0"/>
    <m/>
    <m/>
    <m/>
    <m/>
    <m/>
    <x v="576"/>
    <x v="2"/>
    <x v="3"/>
  </r>
  <r>
    <x v="1"/>
    <m/>
    <m/>
    <m/>
    <m/>
    <m/>
    <x v="576"/>
    <x v="2"/>
    <x v="3"/>
  </r>
  <r>
    <x v="2"/>
    <m/>
    <m/>
    <m/>
    <m/>
    <m/>
    <x v="576"/>
    <x v="2"/>
    <x v="3"/>
  </r>
  <r>
    <x v="3"/>
    <m/>
    <m/>
    <m/>
    <m/>
    <m/>
    <x v="576"/>
    <x v="2"/>
    <x v="3"/>
  </r>
  <r>
    <x v="4"/>
    <n v="639000"/>
    <m/>
    <n v="216000"/>
    <m/>
    <m/>
    <x v="576"/>
    <x v="2"/>
    <x v="3"/>
  </r>
  <r>
    <x v="5"/>
    <n v="482000"/>
    <m/>
    <n v="162000"/>
    <m/>
    <m/>
    <x v="576"/>
    <x v="2"/>
    <x v="3"/>
  </r>
  <r>
    <x v="14"/>
    <n v="536000"/>
    <m/>
    <n v="270000"/>
    <m/>
    <m/>
    <x v="576"/>
    <x v="2"/>
    <x v="3"/>
  </r>
  <r>
    <x v="6"/>
    <m/>
    <n v="756000"/>
    <m/>
    <m/>
    <m/>
    <x v="576"/>
    <x v="2"/>
    <x v="3"/>
  </r>
  <r>
    <x v="7"/>
    <m/>
    <m/>
    <m/>
    <m/>
    <m/>
    <x v="576"/>
    <x v="2"/>
    <x v="3"/>
  </r>
  <r>
    <x v="15"/>
    <m/>
    <m/>
    <m/>
    <m/>
    <m/>
    <x v="576"/>
    <x v="2"/>
    <x v="3"/>
  </r>
  <r>
    <x v="8"/>
    <n v="540000"/>
    <n v="540000"/>
    <n v="212000"/>
    <m/>
    <m/>
    <x v="576"/>
    <x v="2"/>
    <x v="3"/>
  </r>
  <r>
    <x v="9"/>
    <n v="486000"/>
    <n v="432000"/>
    <n v="216000"/>
    <m/>
    <m/>
    <x v="576"/>
    <x v="2"/>
    <x v="3"/>
  </r>
  <r>
    <x v="10"/>
    <m/>
    <m/>
    <m/>
    <m/>
    <m/>
    <x v="576"/>
    <x v="2"/>
    <x v="3"/>
  </r>
  <r>
    <x v="11"/>
    <m/>
    <m/>
    <m/>
    <m/>
    <m/>
    <x v="576"/>
    <x v="2"/>
    <x v="3"/>
  </r>
  <r>
    <x v="16"/>
    <m/>
    <m/>
    <m/>
    <m/>
    <m/>
    <x v="576"/>
    <x v="2"/>
    <x v="3"/>
  </r>
  <r>
    <x v="12"/>
    <m/>
    <m/>
    <m/>
    <m/>
    <m/>
    <x v="576"/>
    <x v="2"/>
    <x v="3"/>
  </r>
  <r>
    <x v="13"/>
    <m/>
    <m/>
    <m/>
    <m/>
    <m/>
    <x v="576"/>
    <x v="2"/>
    <x v="3"/>
  </r>
  <r>
    <x v="0"/>
    <m/>
    <m/>
    <m/>
    <m/>
    <m/>
    <x v="577"/>
    <x v="2"/>
    <x v="4"/>
  </r>
  <r>
    <x v="1"/>
    <m/>
    <m/>
    <m/>
    <m/>
    <m/>
    <x v="577"/>
    <x v="2"/>
    <x v="4"/>
  </r>
  <r>
    <x v="2"/>
    <m/>
    <m/>
    <m/>
    <m/>
    <m/>
    <x v="577"/>
    <x v="2"/>
    <x v="4"/>
  </r>
  <r>
    <x v="3"/>
    <m/>
    <m/>
    <m/>
    <m/>
    <m/>
    <x v="577"/>
    <x v="2"/>
    <x v="4"/>
  </r>
  <r>
    <x v="4"/>
    <n v="216000"/>
    <m/>
    <m/>
    <m/>
    <m/>
    <x v="577"/>
    <x v="2"/>
    <x v="4"/>
  </r>
  <r>
    <x v="5"/>
    <m/>
    <m/>
    <m/>
    <m/>
    <m/>
    <x v="577"/>
    <x v="2"/>
    <x v="4"/>
  </r>
  <r>
    <x v="14"/>
    <n v="270000"/>
    <m/>
    <m/>
    <m/>
    <m/>
    <x v="577"/>
    <x v="2"/>
    <x v="4"/>
  </r>
  <r>
    <x v="6"/>
    <m/>
    <m/>
    <m/>
    <m/>
    <m/>
    <x v="577"/>
    <x v="2"/>
    <x v="4"/>
  </r>
  <r>
    <x v="7"/>
    <m/>
    <m/>
    <m/>
    <m/>
    <m/>
    <x v="577"/>
    <x v="2"/>
    <x v="4"/>
  </r>
  <r>
    <x v="15"/>
    <m/>
    <m/>
    <m/>
    <m/>
    <m/>
    <x v="577"/>
    <x v="2"/>
    <x v="4"/>
  </r>
  <r>
    <x v="8"/>
    <n v="108000"/>
    <m/>
    <m/>
    <m/>
    <m/>
    <x v="577"/>
    <x v="2"/>
    <x v="4"/>
  </r>
  <r>
    <x v="9"/>
    <n v="104000"/>
    <m/>
    <m/>
    <m/>
    <m/>
    <x v="577"/>
    <x v="2"/>
    <x v="4"/>
  </r>
  <r>
    <x v="10"/>
    <m/>
    <m/>
    <m/>
    <m/>
    <m/>
    <x v="577"/>
    <x v="2"/>
    <x v="4"/>
  </r>
  <r>
    <x v="11"/>
    <m/>
    <m/>
    <m/>
    <m/>
    <m/>
    <x v="577"/>
    <x v="2"/>
    <x v="4"/>
  </r>
  <r>
    <x v="16"/>
    <m/>
    <m/>
    <m/>
    <m/>
    <m/>
    <x v="577"/>
    <x v="2"/>
    <x v="4"/>
  </r>
  <r>
    <x v="12"/>
    <m/>
    <m/>
    <m/>
    <m/>
    <m/>
    <x v="577"/>
    <x v="2"/>
    <x v="4"/>
  </r>
  <r>
    <x v="13"/>
    <m/>
    <m/>
    <m/>
    <m/>
    <m/>
    <x v="577"/>
    <x v="2"/>
    <x v="4"/>
  </r>
  <r>
    <x v="0"/>
    <m/>
    <m/>
    <m/>
    <m/>
    <m/>
    <x v="578"/>
    <x v="2"/>
    <x v="4"/>
  </r>
  <r>
    <x v="1"/>
    <m/>
    <m/>
    <m/>
    <m/>
    <m/>
    <x v="578"/>
    <x v="2"/>
    <x v="4"/>
  </r>
  <r>
    <x v="2"/>
    <m/>
    <m/>
    <m/>
    <m/>
    <m/>
    <x v="578"/>
    <x v="2"/>
    <x v="4"/>
  </r>
  <r>
    <x v="3"/>
    <m/>
    <m/>
    <m/>
    <m/>
    <m/>
    <x v="578"/>
    <x v="2"/>
    <x v="4"/>
  </r>
  <r>
    <x v="4"/>
    <n v="756000"/>
    <m/>
    <m/>
    <m/>
    <m/>
    <x v="578"/>
    <x v="2"/>
    <x v="4"/>
  </r>
  <r>
    <x v="5"/>
    <m/>
    <n v="580500"/>
    <m/>
    <m/>
    <m/>
    <x v="578"/>
    <x v="2"/>
    <x v="4"/>
  </r>
  <r>
    <x v="14"/>
    <n v="427500"/>
    <m/>
    <m/>
    <m/>
    <m/>
    <x v="578"/>
    <x v="2"/>
    <x v="4"/>
  </r>
  <r>
    <x v="6"/>
    <m/>
    <n v="589500"/>
    <m/>
    <m/>
    <m/>
    <x v="578"/>
    <x v="2"/>
    <x v="4"/>
  </r>
  <r>
    <x v="7"/>
    <m/>
    <m/>
    <m/>
    <m/>
    <m/>
    <x v="578"/>
    <x v="2"/>
    <x v="4"/>
  </r>
  <r>
    <x v="15"/>
    <m/>
    <m/>
    <m/>
    <m/>
    <m/>
    <x v="578"/>
    <x v="2"/>
    <x v="4"/>
  </r>
  <r>
    <x v="8"/>
    <n v="742500"/>
    <n v="306000"/>
    <m/>
    <m/>
    <m/>
    <x v="578"/>
    <x v="2"/>
    <x v="4"/>
  </r>
  <r>
    <x v="9"/>
    <n v="378000"/>
    <n v="270000"/>
    <m/>
    <m/>
    <m/>
    <x v="578"/>
    <x v="2"/>
    <x v="4"/>
  </r>
  <r>
    <x v="10"/>
    <m/>
    <m/>
    <m/>
    <m/>
    <m/>
    <x v="578"/>
    <x v="2"/>
    <x v="4"/>
  </r>
  <r>
    <x v="11"/>
    <m/>
    <m/>
    <m/>
    <m/>
    <m/>
    <x v="578"/>
    <x v="2"/>
    <x v="4"/>
  </r>
  <r>
    <x v="16"/>
    <m/>
    <m/>
    <m/>
    <m/>
    <m/>
    <x v="578"/>
    <x v="2"/>
    <x v="4"/>
  </r>
  <r>
    <x v="12"/>
    <m/>
    <m/>
    <m/>
    <m/>
    <m/>
    <x v="578"/>
    <x v="2"/>
    <x v="4"/>
  </r>
  <r>
    <x v="13"/>
    <m/>
    <n v="45000"/>
    <m/>
    <n v="162000"/>
    <m/>
    <x v="578"/>
    <x v="2"/>
    <x v="4"/>
  </r>
  <r>
    <x v="0"/>
    <m/>
    <m/>
    <m/>
    <m/>
    <m/>
    <x v="579"/>
    <x v="2"/>
    <x v="4"/>
  </r>
  <r>
    <x v="1"/>
    <m/>
    <m/>
    <m/>
    <m/>
    <m/>
    <x v="579"/>
    <x v="2"/>
    <x v="4"/>
  </r>
  <r>
    <x v="2"/>
    <m/>
    <m/>
    <m/>
    <m/>
    <m/>
    <x v="579"/>
    <x v="2"/>
    <x v="4"/>
  </r>
  <r>
    <x v="3"/>
    <m/>
    <m/>
    <m/>
    <m/>
    <m/>
    <x v="579"/>
    <x v="2"/>
    <x v="4"/>
  </r>
  <r>
    <x v="4"/>
    <n v="108000"/>
    <m/>
    <n v="108000"/>
    <m/>
    <m/>
    <x v="579"/>
    <x v="2"/>
    <x v="4"/>
  </r>
  <r>
    <x v="5"/>
    <n v="1026000"/>
    <n v="688500"/>
    <n v="108000"/>
    <m/>
    <m/>
    <x v="579"/>
    <x v="2"/>
    <x v="4"/>
  </r>
  <r>
    <x v="14"/>
    <m/>
    <m/>
    <n v="108000"/>
    <m/>
    <m/>
    <x v="579"/>
    <x v="2"/>
    <x v="4"/>
  </r>
  <r>
    <x v="6"/>
    <m/>
    <n v="540000"/>
    <m/>
    <m/>
    <m/>
    <x v="579"/>
    <x v="2"/>
    <x v="4"/>
  </r>
  <r>
    <x v="7"/>
    <m/>
    <m/>
    <m/>
    <m/>
    <m/>
    <x v="579"/>
    <x v="2"/>
    <x v="4"/>
  </r>
  <r>
    <x v="15"/>
    <m/>
    <m/>
    <m/>
    <m/>
    <m/>
    <x v="579"/>
    <x v="2"/>
    <x v="4"/>
  </r>
  <r>
    <x v="8"/>
    <n v="54000"/>
    <m/>
    <n v="216000"/>
    <m/>
    <m/>
    <x v="579"/>
    <x v="2"/>
    <x v="4"/>
  </r>
  <r>
    <x v="9"/>
    <n v="103500"/>
    <n v="108000"/>
    <n v="103500"/>
    <m/>
    <m/>
    <x v="579"/>
    <x v="2"/>
    <x v="4"/>
  </r>
  <r>
    <x v="10"/>
    <m/>
    <m/>
    <m/>
    <m/>
    <m/>
    <x v="579"/>
    <x v="2"/>
    <x v="4"/>
  </r>
  <r>
    <x v="11"/>
    <m/>
    <m/>
    <m/>
    <m/>
    <m/>
    <x v="579"/>
    <x v="2"/>
    <x v="4"/>
  </r>
  <r>
    <x v="16"/>
    <m/>
    <m/>
    <m/>
    <m/>
    <m/>
    <x v="579"/>
    <x v="2"/>
    <x v="4"/>
  </r>
  <r>
    <x v="12"/>
    <m/>
    <m/>
    <m/>
    <m/>
    <m/>
    <x v="579"/>
    <x v="2"/>
    <x v="4"/>
  </r>
  <r>
    <x v="13"/>
    <m/>
    <m/>
    <m/>
    <m/>
    <m/>
    <x v="579"/>
    <x v="2"/>
    <x v="4"/>
  </r>
  <r>
    <x v="0"/>
    <m/>
    <m/>
    <m/>
    <m/>
    <m/>
    <x v="580"/>
    <x v="2"/>
    <x v="4"/>
  </r>
  <r>
    <x v="1"/>
    <m/>
    <m/>
    <m/>
    <m/>
    <m/>
    <x v="580"/>
    <x v="2"/>
    <x v="4"/>
  </r>
  <r>
    <x v="2"/>
    <m/>
    <m/>
    <m/>
    <m/>
    <m/>
    <x v="580"/>
    <x v="2"/>
    <x v="4"/>
  </r>
  <r>
    <x v="3"/>
    <n v="1134000"/>
    <m/>
    <n v="108000"/>
    <m/>
    <m/>
    <x v="580"/>
    <x v="2"/>
    <x v="4"/>
  </r>
  <r>
    <x v="4"/>
    <n v="108000"/>
    <m/>
    <n v="54000"/>
    <m/>
    <m/>
    <x v="580"/>
    <x v="2"/>
    <x v="4"/>
  </r>
  <r>
    <x v="5"/>
    <n v="540000"/>
    <n v="756000"/>
    <n v="54000"/>
    <m/>
    <m/>
    <x v="580"/>
    <x v="2"/>
    <x v="4"/>
  </r>
  <r>
    <x v="14"/>
    <m/>
    <m/>
    <m/>
    <m/>
    <m/>
    <x v="580"/>
    <x v="2"/>
    <x v="4"/>
  </r>
  <r>
    <x v="6"/>
    <n v="265500"/>
    <n v="306000"/>
    <m/>
    <m/>
    <m/>
    <x v="580"/>
    <x v="2"/>
    <x v="4"/>
  </r>
  <r>
    <x v="7"/>
    <m/>
    <m/>
    <m/>
    <m/>
    <m/>
    <x v="580"/>
    <x v="2"/>
    <x v="4"/>
  </r>
  <r>
    <x v="15"/>
    <m/>
    <m/>
    <m/>
    <m/>
    <m/>
    <x v="580"/>
    <x v="2"/>
    <x v="4"/>
  </r>
  <r>
    <x v="8"/>
    <n v="162000"/>
    <m/>
    <m/>
    <m/>
    <m/>
    <x v="580"/>
    <x v="2"/>
    <x v="4"/>
  </r>
  <r>
    <x v="9"/>
    <n v="270000"/>
    <m/>
    <n v="54000"/>
    <m/>
    <m/>
    <x v="580"/>
    <x v="2"/>
    <x v="4"/>
  </r>
  <r>
    <x v="10"/>
    <m/>
    <m/>
    <m/>
    <m/>
    <m/>
    <x v="580"/>
    <x v="2"/>
    <x v="4"/>
  </r>
  <r>
    <x v="11"/>
    <m/>
    <m/>
    <m/>
    <m/>
    <m/>
    <x v="580"/>
    <x v="2"/>
    <x v="4"/>
  </r>
  <r>
    <x v="16"/>
    <m/>
    <m/>
    <m/>
    <m/>
    <m/>
    <x v="580"/>
    <x v="2"/>
    <x v="4"/>
  </r>
  <r>
    <x v="12"/>
    <m/>
    <m/>
    <m/>
    <m/>
    <m/>
    <x v="580"/>
    <x v="2"/>
    <x v="4"/>
  </r>
  <r>
    <x v="13"/>
    <m/>
    <m/>
    <m/>
    <m/>
    <m/>
    <x v="580"/>
    <x v="2"/>
    <x v="4"/>
  </r>
  <r>
    <x v="0"/>
    <m/>
    <m/>
    <m/>
    <m/>
    <m/>
    <x v="581"/>
    <x v="2"/>
    <x v="4"/>
  </r>
  <r>
    <x v="1"/>
    <m/>
    <m/>
    <m/>
    <m/>
    <m/>
    <x v="581"/>
    <x v="2"/>
    <x v="4"/>
  </r>
  <r>
    <x v="2"/>
    <m/>
    <n v="54000"/>
    <m/>
    <m/>
    <m/>
    <x v="581"/>
    <x v="2"/>
    <x v="4"/>
  </r>
  <r>
    <x v="3"/>
    <n v="216000"/>
    <m/>
    <m/>
    <m/>
    <m/>
    <x v="581"/>
    <x v="2"/>
    <x v="4"/>
  </r>
  <r>
    <x v="4"/>
    <m/>
    <m/>
    <n v="54000"/>
    <m/>
    <m/>
    <x v="581"/>
    <x v="2"/>
    <x v="4"/>
  </r>
  <r>
    <x v="5"/>
    <n v="589500"/>
    <n v="963000"/>
    <m/>
    <m/>
    <m/>
    <x v="581"/>
    <x v="2"/>
    <x v="4"/>
  </r>
  <r>
    <x v="14"/>
    <m/>
    <m/>
    <m/>
    <n v="216000"/>
    <m/>
    <x v="581"/>
    <x v="2"/>
    <x v="4"/>
  </r>
  <r>
    <x v="6"/>
    <n v="139500"/>
    <n v="216000"/>
    <m/>
    <m/>
    <m/>
    <x v="581"/>
    <x v="2"/>
    <x v="4"/>
  </r>
  <r>
    <x v="7"/>
    <m/>
    <m/>
    <m/>
    <m/>
    <m/>
    <x v="581"/>
    <x v="2"/>
    <x v="4"/>
  </r>
  <r>
    <x v="15"/>
    <m/>
    <m/>
    <m/>
    <m/>
    <m/>
    <x v="581"/>
    <x v="2"/>
    <x v="4"/>
  </r>
  <r>
    <x v="8"/>
    <m/>
    <n v="216000"/>
    <n v="54000"/>
    <m/>
    <m/>
    <x v="581"/>
    <x v="2"/>
    <x v="4"/>
  </r>
  <r>
    <x v="9"/>
    <n v="1399500"/>
    <m/>
    <n v="54000"/>
    <m/>
    <m/>
    <x v="581"/>
    <x v="2"/>
    <x v="4"/>
  </r>
  <r>
    <x v="10"/>
    <m/>
    <m/>
    <m/>
    <m/>
    <m/>
    <x v="581"/>
    <x v="2"/>
    <x v="4"/>
  </r>
  <r>
    <x v="11"/>
    <m/>
    <m/>
    <m/>
    <m/>
    <m/>
    <x v="581"/>
    <x v="2"/>
    <x v="4"/>
  </r>
  <r>
    <x v="16"/>
    <m/>
    <m/>
    <m/>
    <m/>
    <m/>
    <x v="581"/>
    <x v="2"/>
    <x v="4"/>
  </r>
  <r>
    <x v="12"/>
    <m/>
    <m/>
    <m/>
    <m/>
    <m/>
    <x v="581"/>
    <x v="2"/>
    <x v="4"/>
  </r>
  <r>
    <x v="13"/>
    <m/>
    <m/>
    <m/>
    <m/>
    <m/>
    <x v="581"/>
    <x v="2"/>
    <x v="4"/>
  </r>
  <r>
    <x v="0"/>
    <m/>
    <m/>
    <m/>
    <m/>
    <m/>
    <x v="582"/>
    <x v="2"/>
    <x v="4"/>
  </r>
  <r>
    <x v="1"/>
    <m/>
    <m/>
    <m/>
    <m/>
    <m/>
    <x v="582"/>
    <x v="2"/>
    <x v="4"/>
  </r>
  <r>
    <x v="2"/>
    <m/>
    <m/>
    <m/>
    <m/>
    <m/>
    <x v="582"/>
    <x v="2"/>
    <x v="4"/>
  </r>
  <r>
    <x v="3"/>
    <n v="162000"/>
    <m/>
    <m/>
    <m/>
    <m/>
    <x v="582"/>
    <x v="2"/>
    <x v="4"/>
  </r>
  <r>
    <x v="4"/>
    <m/>
    <m/>
    <n v="54000"/>
    <m/>
    <m/>
    <x v="582"/>
    <x v="2"/>
    <x v="4"/>
  </r>
  <r>
    <x v="5"/>
    <n v="214000"/>
    <n v="1076000"/>
    <n v="108000"/>
    <m/>
    <m/>
    <x v="582"/>
    <x v="2"/>
    <x v="4"/>
  </r>
  <r>
    <x v="14"/>
    <m/>
    <m/>
    <n v="54000"/>
    <n v="432000"/>
    <m/>
    <x v="582"/>
    <x v="2"/>
    <x v="4"/>
  </r>
  <r>
    <x v="6"/>
    <n v="49500"/>
    <n v="45000"/>
    <m/>
    <m/>
    <m/>
    <x v="582"/>
    <x v="2"/>
    <x v="4"/>
  </r>
  <r>
    <x v="7"/>
    <m/>
    <m/>
    <m/>
    <m/>
    <m/>
    <x v="582"/>
    <x v="2"/>
    <x v="4"/>
  </r>
  <r>
    <x v="15"/>
    <m/>
    <m/>
    <m/>
    <m/>
    <m/>
    <x v="582"/>
    <x v="2"/>
    <x v="4"/>
  </r>
  <r>
    <x v="8"/>
    <m/>
    <n v="108000"/>
    <n v="108000"/>
    <m/>
    <m/>
    <x v="582"/>
    <x v="2"/>
    <x v="4"/>
  </r>
  <r>
    <x v="9"/>
    <n v="1287000"/>
    <m/>
    <n v="54000"/>
    <m/>
    <m/>
    <x v="582"/>
    <x v="2"/>
    <x v="4"/>
  </r>
  <r>
    <x v="10"/>
    <m/>
    <m/>
    <m/>
    <m/>
    <m/>
    <x v="582"/>
    <x v="2"/>
    <x v="4"/>
  </r>
  <r>
    <x v="11"/>
    <m/>
    <m/>
    <m/>
    <m/>
    <m/>
    <x v="582"/>
    <x v="2"/>
    <x v="4"/>
  </r>
  <r>
    <x v="16"/>
    <m/>
    <m/>
    <m/>
    <m/>
    <m/>
    <x v="582"/>
    <x v="2"/>
    <x v="4"/>
  </r>
  <r>
    <x v="12"/>
    <m/>
    <m/>
    <m/>
    <m/>
    <m/>
    <x v="582"/>
    <x v="2"/>
    <x v="4"/>
  </r>
  <r>
    <x v="13"/>
    <n v="432000"/>
    <m/>
    <m/>
    <m/>
    <m/>
    <x v="582"/>
    <x v="2"/>
    <x v="4"/>
  </r>
  <r>
    <x v="0"/>
    <m/>
    <m/>
    <m/>
    <m/>
    <m/>
    <x v="583"/>
    <x v="2"/>
    <x v="4"/>
  </r>
  <r>
    <x v="1"/>
    <m/>
    <m/>
    <m/>
    <m/>
    <m/>
    <x v="583"/>
    <x v="2"/>
    <x v="4"/>
  </r>
  <r>
    <x v="2"/>
    <m/>
    <m/>
    <m/>
    <m/>
    <m/>
    <x v="583"/>
    <x v="2"/>
    <x v="4"/>
  </r>
  <r>
    <x v="3"/>
    <m/>
    <m/>
    <m/>
    <m/>
    <m/>
    <x v="583"/>
    <x v="2"/>
    <x v="4"/>
  </r>
  <r>
    <x v="4"/>
    <m/>
    <m/>
    <n v="54000"/>
    <m/>
    <m/>
    <x v="583"/>
    <x v="2"/>
    <x v="4"/>
  </r>
  <r>
    <x v="5"/>
    <m/>
    <n v="54000"/>
    <m/>
    <m/>
    <m/>
    <x v="583"/>
    <x v="2"/>
    <x v="4"/>
  </r>
  <r>
    <x v="14"/>
    <m/>
    <n v="1200000"/>
    <m/>
    <n v="432000"/>
    <m/>
    <x v="583"/>
    <x v="2"/>
    <x v="4"/>
  </r>
  <r>
    <x v="6"/>
    <m/>
    <n v="45000"/>
    <m/>
    <m/>
    <m/>
    <x v="583"/>
    <x v="2"/>
    <x v="4"/>
  </r>
  <r>
    <x v="7"/>
    <m/>
    <m/>
    <m/>
    <m/>
    <m/>
    <x v="583"/>
    <x v="2"/>
    <x v="4"/>
  </r>
  <r>
    <x v="15"/>
    <m/>
    <m/>
    <m/>
    <m/>
    <m/>
    <x v="583"/>
    <x v="2"/>
    <x v="4"/>
  </r>
  <r>
    <x v="8"/>
    <n v="2322000"/>
    <n v="216000"/>
    <n v="162000"/>
    <m/>
    <m/>
    <x v="583"/>
    <x v="2"/>
    <x v="4"/>
  </r>
  <r>
    <x v="9"/>
    <m/>
    <m/>
    <n v="54000"/>
    <m/>
    <m/>
    <x v="583"/>
    <x v="2"/>
    <x v="4"/>
  </r>
  <r>
    <x v="10"/>
    <m/>
    <m/>
    <m/>
    <m/>
    <m/>
    <x v="583"/>
    <x v="2"/>
    <x v="4"/>
  </r>
  <r>
    <x v="11"/>
    <m/>
    <m/>
    <m/>
    <m/>
    <m/>
    <x v="583"/>
    <x v="2"/>
    <x v="4"/>
  </r>
  <r>
    <x v="16"/>
    <m/>
    <m/>
    <m/>
    <m/>
    <m/>
    <x v="583"/>
    <x v="2"/>
    <x v="4"/>
  </r>
  <r>
    <x v="12"/>
    <m/>
    <m/>
    <m/>
    <m/>
    <m/>
    <x v="583"/>
    <x v="2"/>
    <x v="4"/>
  </r>
  <r>
    <x v="13"/>
    <m/>
    <m/>
    <n v="54000"/>
    <m/>
    <m/>
    <x v="583"/>
    <x v="2"/>
    <x v="4"/>
  </r>
  <r>
    <x v="0"/>
    <m/>
    <m/>
    <m/>
    <m/>
    <m/>
    <x v="584"/>
    <x v="2"/>
    <x v="4"/>
  </r>
  <r>
    <x v="1"/>
    <m/>
    <m/>
    <m/>
    <m/>
    <m/>
    <x v="584"/>
    <x v="2"/>
    <x v="4"/>
  </r>
  <r>
    <x v="2"/>
    <m/>
    <m/>
    <m/>
    <m/>
    <m/>
    <x v="584"/>
    <x v="2"/>
    <x v="4"/>
  </r>
  <r>
    <x v="3"/>
    <m/>
    <m/>
    <m/>
    <m/>
    <m/>
    <x v="584"/>
    <x v="2"/>
    <x v="4"/>
  </r>
  <r>
    <x v="4"/>
    <m/>
    <m/>
    <n v="50000"/>
    <m/>
    <m/>
    <x v="584"/>
    <x v="2"/>
    <x v="4"/>
  </r>
  <r>
    <x v="5"/>
    <m/>
    <n v="90000"/>
    <m/>
    <m/>
    <m/>
    <x v="584"/>
    <x v="2"/>
    <x v="4"/>
  </r>
  <r>
    <x v="14"/>
    <m/>
    <n v="1337000"/>
    <m/>
    <m/>
    <m/>
    <x v="584"/>
    <x v="2"/>
    <x v="4"/>
  </r>
  <r>
    <x v="6"/>
    <m/>
    <m/>
    <m/>
    <m/>
    <m/>
    <x v="584"/>
    <x v="2"/>
    <x v="4"/>
  </r>
  <r>
    <x v="7"/>
    <m/>
    <m/>
    <m/>
    <m/>
    <m/>
    <x v="584"/>
    <x v="2"/>
    <x v="4"/>
  </r>
  <r>
    <x v="15"/>
    <m/>
    <m/>
    <m/>
    <m/>
    <m/>
    <x v="584"/>
    <x v="2"/>
    <x v="4"/>
  </r>
  <r>
    <x v="8"/>
    <n v="162000"/>
    <n v="162000"/>
    <n v="378000"/>
    <m/>
    <m/>
    <x v="584"/>
    <x v="2"/>
    <x v="4"/>
  </r>
  <r>
    <x v="9"/>
    <n v="501000"/>
    <n v="216000"/>
    <n v="594000"/>
    <m/>
    <m/>
    <x v="584"/>
    <x v="2"/>
    <x v="4"/>
  </r>
  <r>
    <x v="10"/>
    <m/>
    <m/>
    <m/>
    <m/>
    <m/>
    <x v="584"/>
    <x v="2"/>
    <x v="4"/>
  </r>
  <r>
    <x v="11"/>
    <m/>
    <m/>
    <m/>
    <m/>
    <m/>
    <x v="584"/>
    <x v="2"/>
    <x v="4"/>
  </r>
  <r>
    <x v="16"/>
    <m/>
    <m/>
    <m/>
    <m/>
    <m/>
    <x v="584"/>
    <x v="2"/>
    <x v="4"/>
  </r>
  <r>
    <x v="12"/>
    <m/>
    <m/>
    <m/>
    <m/>
    <m/>
    <x v="584"/>
    <x v="2"/>
    <x v="4"/>
  </r>
  <r>
    <x v="13"/>
    <m/>
    <m/>
    <n v="54000"/>
    <m/>
    <m/>
    <x v="584"/>
    <x v="2"/>
    <x v="4"/>
  </r>
  <r>
    <x v="0"/>
    <m/>
    <m/>
    <m/>
    <m/>
    <m/>
    <x v="585"/>
    <x v="2"/>
    <x v="4"/>
  </r>
  <r>
    <x v="1"/>
    <m/>
    <m/>
    <m/>
    <m/>
    <m/>
    <x v="585"/>
    <x v="2"/>
    <x v="4"/>
  </r>
  <r>
    <x v="2"/>
    <m/>
    <m/>
    <m/>
    <m/>
    <m/>
    <x v="585"/>
    <x v="2"/>
    <x v="4"/>
  </r>
  <r>
    <x v="3"/>
    <m/>
    <m/>
    <m/>
    <m/>
    <m/>
    <x v="585"/>
    <x v="2"/>
    <x v="4"/>
  </r>
  <r>
    <x v="4"/>
    <m/>
    <m/>
    <n v="50000"/>
    <m/>
    <m/>
    <x v="585"/>
    <x v="2"/>
    <x v="4"/>
  </r>
  <r>
    <x v="5"/>
    <m/>
    <n v="54000"/>
    <m/>
    <m/>
    <m/>
    <x v="585"/>
    <x v="2"/>
    <x v="4"/>
  </r>
  <r>
    <x v="14"/>
    <m/>
    <n v="108000"/>
    <m/>
    <m/>
    <m/>
    <x v="585"/>
    <x v="2"/>
    <x v="4"/>
  </r>
  <r>
    <x v="6"/>
    <m/>
    <m/>
    <m/>
    <m/>
    <m/>
    <x v="585"/>
    <x v="2"/>
    <x v="4"/>
  </r>
  <r>
    <x v="7"/>
    <m/>
    <m/>
    <m/>
    <m/>
    <m/>
    <x v="585"/>
    <x v="2"/>
    <x v="4"/>
  </r>
  <r>
    <x v="15"/>
    <m/>
    <m/>
    <m/>
    <m/>
    <m/>
    <x v="585"/>
    <x v="2"/>
    <x v="4"/>
  </r>
  <r>
    <x v="8"/>
    <m/>
    <m/>
    <n v="162000"/>
    <m/>
    <m/>
    <x v="585"/>
    <x v="2"/>
    <x v="4"/>
  </r>
  <r>
    <x v="9"/>
    <n v="2377000"/>
    <n v="428000"/>
    <n v="108000"/>
    <m/>
    <m/>
    <x v="585"/>
    <x v="2"/>
    <x v="4"/>
  </r>
  <r>
    <x v="10"/>
    <m/>
    <m/>
    <m/>
    <m/>
    <m/>
    <x v="585"/>
    <x v="2"/>
    <x v="4"/>
  </r>
  <r>
    <x v="11"/>
    <m/>
    <m/>
    <m/>
    <m/>
    <m/>
    <x v="585"/>
    <x v="2"/>
    <x v="4"/>
  </r>
  <r>
    <x v="16"/>
    <m/>
    <m/>
    <m/>
    <m/>
    <m/>
    <x v="585"/>
    <x v="2"/>
    <x v="4"/>
  </r>
  <r>
    <x v="12"/>
    <m/>
    <m/>
    <m/>
    <m/>
    <m/>
    <x v="585"/>
    <x v="2"/>
    <x v="4"/>
  </r>
  <r>
    <x v="13"/>
    <m/>
    <m/>
    <m/>
    <m/>
    <m/>
    <x v="585"/>
    <x v="2"/>
    <x v="4"/>
  </r>
  <r>
    <x v="0"/>
    <m/>
    <m/>
    <m/>
    <m/>
    <m/>
    <x v="586"/>
    <x v="2"/>
    <x v="4"/>
  </r>
  <r>
    <x v="1"/>
    <m/>
    <m/>
    <m/>
    <m/>
    <m/>
    <x v="586"/>
    <x v="2"/>
    <x v="4"/>
  </r>
  <r>
    <x v="2"/>
    <m/>
    <m/>
    <m/>
    <m/>
    <m/>
    <x v="586"/>
    <x v="2"/>
    <x v="4"/>
  </r>
  <r>
    <x v="3"/>
    <m/>
    <m/>
    <m/>
    <m/>
    <m/>
    <x v="586"/>
    <x v="2"/>
    <x v="4"/>
  </r>
  <r>
    <x v="4"/>
    <m/>
    <m/>
    <n v="90000"/>
    <m/>
    <m/>
    <x v="586"/>
    <x v="2"/>
    <x v="4"/>
  </r>
  <r>
    <x v="5"/>
    <m/>
    <m/>
    <m/>
    <m/>
    <m/>
    <x v="586"/>
    <x v="2"/>
    <x v="4"/>
  </r>
  <r>
    <x v="14"/>
    <m/>
    <m/>
    <m/>
    <m/>
    <m/>
    <x v="586"/>
    <x v="2"/>
    <x v="4"/>
  </r>
  <r>
    <x v="6"/>
    <m/>
    <m/>
    <m/>
    <m/>
    <m/>
    <x v="586"/>
    <x v="2"/>
    <x v="4"/>
  </r>
  <r>
    <x v="7"/>
    <m/>
    <m/>
    <m/>
    <m/>
    <m/>
    <x v="586"/>
    <x v="2"/>
    <x v="4"/>
  </r>
  <r>
    <x v="15"/>
    <m/>
    <m/>
    <m/>
    <m/>
    <m/>
    <x v="586"/>
    <x v="2"/>
    <x v="4"/>
  </r>
  <r>
    <x v="8"/>
    <m/>
    <n v="432000"/>
    <n v="486000"/>
    <m/>
    <m/>
    <x v="586"/>
    <x v="2"/>
    <x v="4"/>
  </r>
  <r>
    <x v="9"/>
    <n v="216000"/>
    <m/>
    <n v="423500"/>
    <m/>
    <m/>
    <x v="586"/>
    <x v="2"/>
    <x v="4"/>
  </r>
  <r>
    <x v="10"/>
    <m/>
    <m/>
    <m/>
    <m/>
    <m/>
    <x v="586"/>
    <x v="2"/>
    <x v="4"/>
  </r>
  <r>
    <x v="11"/>
    <m/>
    <m/>
    <m/>
    <m/>
    <m/>
    <x v="586"/>
    <x v="2"/>
    <x v="4"/>
  </r>
  <r>
    <x v="16"/>
    <m/>
    <m/>
    <m/>
    <m/>
    <m/>
    <x v="586"/>
    <x v="2"/>
    <x v="4"/>
  </r>
  <r>
    <x v="12"/>
    <m/>
    <m/>
    <m/>
    <m/>
    <m/>
    <x v="586"/>
    <x v="2"/>
    <x v="4"/>
  </r>
  <r>
    <x v="13"/>
    <m/>
    <n v="994000"/>
    <m/>
    <m/>
    <m/>
    <x v="586"/>
    <x v="2"/>
    <x v="4"/>
  </r>
  <r>
    <x v="0"/>
    <m/>
    <m/>
    <m/>
    <m/>
    <m/>
    <x v="587"/>
    <x v="2"/>
    <x v="4"/>
  </r>
  <r>
    <x v="1"/>
    <m/>
    <m/>
    <m/>
    <m/>
    <m/>
    <x v="587"/>
    <x v="2"/>
    <x v="4"/>
  </r>
  <r>
    <x v="2"/>
    <m/>
    <m/>
    <m/>
    <m/>
    <m/>
    <x v="587"/>
    <x v="2"/>
    <x v="4"/>
  </r>
  <r>
    <x v="3"/>
    <m/>
    <n v="1188000"/>
    <m/>
    <m/>
    <m/>
    <x v="587"/>
    <x v="2"/>
    <x v="4"/>
  </r>
  <r>
    <x v="4"/>
    <m/>
    <m/>
    <m/>
    <m/>
    <m/>
    <x v="587"/>
    <x v="2"/>
    <x v="4"/>
  </r>
  <r>
    <x v="5"/>
    <m/>
    <m/>
    <m/>
    <m/>
    <m/>
    <x v="587"/>
    <x v="2"/>
    <x v="4"/>
  </r>
  <r>
    <x v="14"/>
    <m/>
    <m/>
    <m/>
    <m/>
    <m/>
    <x v="587"/>
    <x v="2"/>
    <x v="4"/>
  </r>
  <r>
    <x v="6"/>
    <m/>
    <n v="314500"/>
    <m/>
    <n v="432000"/>
    <m/>
    <x v="587"/>
    <x v="2"/>
    <x v="4"/>
  </r>
  <r>
    <x v="7"/>
    <m/>
    <m/>
    <m/>
    <m/>
    <m/>
    <x v="587"/>
    <x v="2"/>
    <x v="4"/>
  </r>
  <r>
    <x v="15"/>
    <m/>
    <m/>
    <m/>
    <m/>
    <m/>
    <x v="587"/>
    <x v="2"/>
    <x v="4"/>
  </r>
  <r>
    <x v="8"/>
    <m/>
    <m/>
    <n v="162000"/>
    <m/>
    <m/>
    <x v="587"/>
    <x v="2"/>
    <x v="4"/>
  </r>
  <r>
    <x v="9"/>
    <m/>
    <n v="54000"/>
    <n v="108000"/>
    <m/>
    <m/>
    <x v="587"/>
    <x v="2"/>
    <x v="4"/>
  </r>
  <r>
    <x v="10"/>
    <m/>
    <m/>
    <m/>
    <m/>
    <m/>
    <x v="587"/>
    <x v="2"/>
    <x v="4"/>
  </r>
  <r>
    <x v="11"/>
    <m/>
    <m/>
    <m/>
    <m/>
    <m/>
    <x v="587"/>
    <x v="2"/>
    <x v="4"/>
  </r>
  <r>
    <x v="16"/>
    <m/>
    <m/>
    <m/>
    <m/>
    <m/>
    <x v="587"/>
    <x v="2"/>
    <x v="4"/>
  </r>
  <r>
    <x v="12"/>
    <m/>
    <m/>
    <m/>
    <m/>
    <m/>
    <x v="587"/>
    <x v="2"/>
    <x v="4"/>
  </r>
  <r>
    <x v="13"/>
    <m/>
    <m/>
    <m/>
    <m/>
    <m/>
    <x v="587"/>
    <x v="2"/>
    <x v="4"/>
  </r>
  <r>
    <x v="0"/>
    <m/>
    <m/>
    <m/>
    <m/>
    <m/>
    <x v="588"/>
    <x v="2"/>
    <x v="4"/>
  </r>
  <r>
    <x v="1"/>
    <m/>
    <m/>
    <m/>
    <m/>
    <m/>
    <x v="588"/>
    <x v="2"/>
    <x v="4"/>
  </r>
  <r>
    <x v="2"/>
    <m/>
    <m/>
    <m/>
    <m/>
    <m/>
    <x v="588"/>
    <x v="2"/>
    <x v="4"/>
  </r>
  <r>
    <x v="3"/>
    <m/>
    <n v="1026000"/>
    <m/>
    <m/>
    <m/>
    <x v="588"/>
    <x v="2"/>
    <x v="4"/>
  </r>
  <r>
    <x v="4"/>
    <m/>
    <m/>
    <m/>
    <m/>
    <m/>
    <x v="588"/>
    <x v="2"/>
    <x v="4"/>
  </r>
  <r>
    <x v="5"/>
    <m/>
    <m/>
    <m/>
    <m/>
    <m/>
    <x v="588"/>
    <x v="2"/>
    <x v="4"/>
  </r>
  <r>
    <x v="14"/>
    <m/>
    <m/>
    <m/>
    <m/>
    <m/>
    <x v="588"/>
    <x v="2"/>
    <x v="4"/>
  </r>
  <r>
    <x v="6"/>
    <m/>
    <n v="270000"/>
    <m/>
    <n v="54000"/>
    <m/>
    <x v="588"/>
    <x v="2"/>
    <x v="4"/>
  </r>
  <r>
    <x v="7"/>
    <m/>
    <m/>
    <m/>
    <m/>
    <m/>
    <x v="588"/>
    <x v="2"/>
    <x v="4"/>
  </r>
  <r>
    <x v="15"/>
    <m/>
    <m/>
    <m/>
    <m/>
    <m/>
    <x v="588"/>
    <x v="2"/>
    <x v="4"/>
  </r>
  <r>
    <x v="8"/>
    <m/>
    <m/>
    <n v="270000"/>
    <m/>
    <m/>
    <x v="588"/>
    <x v="2"/>
    <x v="4"/>
  </r>
  <r>
    <x v="9"/>
    <m/>
    <m/>
    <m/>
    <m/>
    <m/>
    <x v="588"/>
    <x v="2"/>
    <x v="4"/>
  </r>
  <r>
    <x v="10"/>
    <m/>
    <m/>
    <m/>
    <m/>
    <m/>
    <x v="588"/>
    <x v="2"/>
    <x v="4"/>
  </r>
  <r>
    <x v="11"/>
    <m/>
    <m/>
    <m/>
    <m/>
    <m/>
    <x v="588"/>
    <x v="2"/>
    <x v="4"/>
  </r>
  <r>
    <x v="16"/>
    <m/>
    <m/>
    <m/>
    <m/>
    <m/>
    <x v="588"/>
    <x v="2"/>
    <x v="4"/>
  </r>
  <r>
    <x v="12"/>
    <m/>
    <m/>
    <m/>
    <m/>
    <m/>
    <x v="588"/>
    <x v="2"/>
    <x v="4"/>
  </r>
  <r>
    <x v="13"/>
    <m/>
    <n v="104000"/>
    <m/>
    <m/>
    <m/>
    <x v="588"/>
    <x v="2"/>
    <x v="4"/>
  </r>
  <r>
    <x v="0"/>
    <m/>
    <m/>
    <m/>
    <m/>
    <m/>
    <x v="589"/>
    <x v="2"/>
    <x v="4"/>
  </r>
  <r>
    <x v="1"/>
    <m/>
    <m/>
    <m/>
    <m/>
    <m/>
    <x v="589"/>
    <x v="2"/>
    <x v="4"/>
  </r>
  <r>
    <x v="2"/>
    <m/>
    <m/>
    <m/>
    <m/>
    <m/>
    <x v="589"/>
    <x v="2"/>
    <x v="4"/>
  </r>
  <r>
    <x v="3"/>
    <m/>
    <n v="918000"/>
    <m/>
    <m/>
    <m/>
    <x v="589"/>
    <x v="2"/>
    <x v="4"/>
  </r>
  <r>
    <x v="4"/>
    <m/>
    <m/>
    <m/>
    <m/>
    <m/>
    <x v="589"/>
    <x v="2"/>
    <x v="4"/>
  </r>
  <r>
    <x v="5"/>
    <m/>
    <n v="162000"/>
    <m/>
    <m/>
    <m/>
    <x v="589"/>
    <x v="2"/>
    <x v="4"/>
  </r>
  <r>
    <x v="14"/>
    <m/>
    <n v="54000"/>
    <m/>
    <m/>
    <m/>
    <x v="589"/>
    <x v="2"/>
    <x v="4"/>
  </r>
  <r>
    <x v="6"/>
    <m/>
    <n v="162000"/>
    <m/>
    <m/>
    <m/>
    <x v="589"/>
    <x v="2"/>
    <x v="4"/>
  </r>
  <r>
    <x v="7"/>
    <m/>
    <m/>
    <m/>
    <m/>
    <m/>
    <x v="589"/>
    <x v="2"/>
    <x v="4"/>
  </r>
  <r>
    <x v="15"/>
    <m/>
    <m/>
    <m/>
    <m/>
    <m/>
    <x v="589"/>
    <x v="2"/>
    <x v="4"/>
  </r>
  <r>
    <x v="8"/>
    <m/>
    <m/>
    <m/>
    <m/>
    <m/>
    <x v="589"/>
    <x v="2"/>
    <x v="4"/>
  </r>
  <r>
    <x v="9"/>
    <m/>
    <m/>
    <m/>
    <m/>
    <m/>
    <x v="589"/>
    <x v="2"/>
    <x v="4"/>
  </r>
  <r>
    <x v="10"/>
    <m/>
    <m/>
    <m/>
    <m/>
    <m/>
    <x v="589"/>
    <x v="2"/>
    <x v="4"/>
  </r>
  <r>
    <x v="11"/>
    <m/>
    <m/>
    <m/>
    <m/>
    <m/>
    <x v="589"/>
    <x v="2"/>
    <x v="4"/>
  </r>
  <r>
    <x v="16"/>
    <m/>
    <m/>
    <m/>
    <m/>
    <m/>
    <x v="589"/>
    <x v="2"/>
    <x v="4"/>
  </r>
  <r>
    <x v="12"/>
    <m/>
    <m/>
    <m/>
    <m/>
    <m/>
    <x v="589"/>
    <x v="2"/>
    <x v="4"/>
  </r>
  <r>
    <x v="13"/>
    <m/>
    <m/>
    <m/>
    <m/>
    <m/>
    <x v="589"/>
    <x v="2"/>
    <x v="4"/>
  </r>
  <r>
    <x v="0"/>
    <m/>
    <m/>
    <m/>
    <m/>
    <m/>
    <x v="590"/>
    <x v="2"/>
    <x v="4"/>
  </r>
  <r>
    <x v="1"/>
    <m/>
    <m/>
    <m/>
    <m/>
    <m/>
    <x v="590"/>
    <x v="2"/>
    <x v="4"/>
  </r>
  <r>
    <x v="2"/>
    <m/>
    <m/>
    <m/>
    <m/>
    <m/>
    <x v="590"/>
    <x v="2"/>
    <x v="4"/>
  </r>
  <r>
    <x v="3"/>
    <m/>
    <n v="810000"/>
    <m/>
    <m/>
    <m/>
    <x v="590"/>
    <x v="2"/>
    <x v="4"/>
  </r>
  <r>
    <x v="4"/>
    <m/>
    <m/>
    <m/>
    <m/>
    <m/>
    <x v="590"/>
    <x v="2"/>
    <x v="4"/>
  </r>
  <r>
    <x v="5"/>
    <m/>
    <n v="216000"/>
    <m/>
    <m/>
    <m/>
    <x v="590"/>
    <x v="2"/>
    <x v="4"/>
  </r>
  <r>
    <x v="14"/>
    <m/>
    <m/>
    <m/>
    <m/>
    <m/>
    <x v="590"/>
    <x v="2"/>
    <x v="4"/>
  </r>
  <r>
    <x v="6"/>
    <m/>
    <n v="157500"/>
    <m/>
    <m/>
    <m/>
    <x v="590"/>
    <x v="2"/>
    <x v="4"/>
  </r>
  <r>
    <x v="7"/>
    <m/>
    <m/>
    <m/>
    <m/>
    <m/>
    <x v="590"/>
    <x v="2"/>
    <x v="4"/>
  </r>
  <r>
    <x v="15"/>
    <m/>
    <m/>
    <m/>
    <m/>
    <m/>
    <x v="590"/>
    <x v="2"/>
    <x v="4"/>
  </r>
  <r>
    <x v="8"/>
    <m/>
    <m/>
    <n v="149500"/>
    <m/>
    <m/>
    <x v="590"/>
    <x v="2"/>
    <x v="4"/>
  </r>
  <r>
    <x v="9"/>
    <m/>
    <m/>
    <m/>
    <m/>
    <m/>
    <x v="590"/>
    <x v="2"/>
    <x v="4"/>
  </r>
  <r>
    <x v="10"/>
    <m/>
    <m/>
    <m/>
    <m/>
    <m/>
    <x v="590"/>
    <x v="2"/>
    <x v="4"/>
  </r>
  <r>
    <x v="11"/>
    <m/>
    <m/>
    <m/>
    <m/>
    <m/>
    <x v="590"/>
    <x v="2"/>
    <x v="4"/>
  </r>
  <r>
    <x v="16"/>
    <m/>
    <m/>
    <m/>
    <m/>
    <m/>
    <x v="590"/>
    <x v="2"/>
    <x v="4"/>
  </r>
  <r>
    <x v="12"/>
    <m/>
    <m/>
    <m/>
    <m/>
    <m/>
    <x v="590"/>
    <x v="2"/>
    <x v="4"/>
  </r>
  <r>
    <x v="13"/>
    <m/>
    <n v="153000"/>
    <m/>
    <m/>
    <m/>
    <x v="590"/>
    <x v="2"/>
    <x v="4"/>
  </r>
  <r>
    <x v="0"/>
    <m/>
    <m/>
    <m/>
    <m/>
    <m/>
    <x v="590"/>
    <x v="2"/>
    <x v="4"/>
  </r>
  <r>
    <x v="1"/>
    <m/>
    <m/>
    <m/>
    <m/>
    <m/>
    <x v="590"/>
    <x v="2"/>
    <x v="4"/>
  </r>
  <r>
    <x v="2"/>
    <m/>
    <m/>
    <m/>
    <m/>
    <m/>
    <x v="590"/>
    <x v="2"/>
    <x v="4"/>
  </r>
  <r>
    <x v="3"/>
    <m/>
    <n v="1080000"/>
    <m/>
    <m/>
    <m/>
    <x v="590"/>
    <x v="2"/>
    <x v="4"/>
  </r>
  <r>
    <x v="4"/>
    <m/>
    <m/>
    <m/>
    <m/>
    <m/>
    <x v="590"/>
    <x v="2"/>
    <x v="4"/>
  </r>
  <r>
    <x v="5"/>
    <m/>
    <n v="270000"/>
    <m/>
    <m/>
    <m/>
    <x v="590"/>
    <x v="2"/>
    <x v="4"/>
  </r>
  <r>
    <x v="14"/>
    <n v="972000"/>
    <m/>
    <m/>
    <m/>
    <m/>
    <x v="590"/>
    <x v="2"/>
    <x v="4"/>
  </r>
  <r>
    <x v="6"/>
    <m/>
    <m/>
    <m/>
    <m/>
    <m/>
    <x v="590"/>
    <x v="2"/>
    <x v="4"/>
  </r>
  <r>
    <x v="7"/>
    <m/>
    <m/>
    <m/>
    <m/>
    <m/>
    <x v="590"/>
    <x v="2"/>
    <x v="4"/>
  </r>
  <r>
    <x v="15"/>
    <m/>
    <m/>
    <m/>
    <m/>
    <m/>
    <x v="590"/>
    <x v="2"/>
    <x v="4"/>
  </r>
  <r>
    <x v="8"/>
    <m/>
    <m/>
    <m/>
    <m/>
    <m/>
    <x v="590"/>
    <x v="2"/>
    <x v="4"/>
  </r>
  <r>
    <x v="9"/>
    <m/>
    <m/>
    <m/>
    <m/>
    <m/>
    <x v="590"/>
    <x v="2"/>
    <x v="4"/>
  </r>
  <r>
    <x v="10"/>
    <m/>
    <m/>
    <m/>
    <m/>
    <m/>
    <x v="590"/>
    <x v="2"/>
    <x v="4"/>
  </r>
  <r>
    <x v="11"/>
    <m/>
    <m/>
    <m/>
    <m/>
    <m/>
    <x v="590"/>
    <x v="2"/>
    <x v="4"/>
  </r>
  <r>
    <x v="16"/>
    <m/>
    <m/>
    <m/>
    <m/>
    <m/>
    <x v="590"/>
    <x v="2"/>
    <x v="4"/>
  </r>
  <r>
    <x v="12"/>
    <m/>
    <m/>
    <m/>
    <m/>
    <m/>
    <x v="590"/>
    <x v="2"/>
    <x v="4"/>
  </r>
  <r>
    <x v="13"/>
    <m/>
    <m/>
    <m/>
    <m/>
    <m/>
    <x v="590"/>
    <x v="2"/>
    <x v="4"/>
  </r>
  <r>
    <x v="0"/>
    <m/>
    <m/>
    <m/>
    <m/>
    <m/>
    <x v="591"/>
    <x v="2"/>
    <x v="4"/>
  </r>
  <r>
    <x v="1"/>
    <m/>
    <m/>
    <m/>
    <m/>
    <m/>
    <x v="591"/>
    <x v="2"/>
    <x v="4"/>
  </r>
  <r>
    <x v="2"/>
    <m/>
    <m/>
    <m/>
    <m/>
    <m/>
    <x v="591"/>
    <x v="2"/>
    <x v="4"/>
  </r>
  <r>
    <x v="3"/>
    <n v="1944000"/>
    <m/>
    <n v="162000"/>
    <m/>
    <m/>
    <x v="591"/>
    <x v="2"/>
    <x v="4"/>
  </r>
  <r>
    <x v="4"/>
    <m/>
    <m/>
    <m/>
    <m/>
    <m/>
    <x v="591"/>
    <x v="2"/>
    <x v="4"/>
  </r>
  <r>
    <x v="5"/>
    <m/>
    <n v="864000"/>
    <m/>
    <m/>
    <m/>
    <x v="591"/>
    <x v="2"/>
    <x v="4"/>
  </r>
  <r>
    <x v="14"/>
    <m/>
    <n v="540000"/>
    <n v="54000"/>
    <m/>
    <m/>
    <x v="591"/>
    <x v="2"/>
    <x v="4"/>
  </r>
  <r>
    <x v="6"/>
    <n v="108000"/>
    <m/>
    <m/>
    <m/>
    <m/>
    <x v="591"/>
    <x v="2"/>
    <x v="4"/>
  </r>
  <r>
    <x v="7"/>
    <m/>
    <m/>
    <m/>
    <m/>
    <m/>
    <x v="591"/>
    <x v="2"/>
    <x v="4"/>
  </r>
  <r>
    <x v="15"/>
    <m/>
    <m/>
    <m/>
    <m/>
    <m/>
    <x v="591"/>
    <x v="2"/>
    <x v="4"/>
  </r>
  <r>
    <x v="8"/>
    <m/>
    <n v="378000"/>
    <m/>
    <m/>
    <m/>
    <x v="591"/>
    <x v="2"/>
    <x v="4"/>
  </r>
  <r>
    <x v="9"/>
    <m/>
    <m/>
    <m/>
    <m/>
    <m/>
    <x v="591"/>
    <x v="2"/>
    <x v="4"/>
  </r>
  <r>
    <x v="10"/>
    <m/>
    <m/>
    <m/>
    <m/>
    <m/>
    <x v="591"/>
    <x v="2"/>
    <x v="4"/>
  </r>
  <r>
    <x v="11"/>
    <m/>
    <m/>
    <m/>
    <m/>
    <m/>
    <x v="591"/>
    <x v="2"/>
    <x v="4"/>
  </r>
  <r>
    <x v="16"/>
    <m/>
    <m/>
    <m/>
    <m/>
    <m/>
    <x v="591"/>
    <x v="2"/>
    <x v="4"/>
  </r>
  <r>
    <x v="12"/>
    <m/>
    <m/>
    <m/>
    <m/>
    <m/>
    <x v="591"/>
    <x v="2"/>
    <x v="4"/>
  </r>
  <r>
    <x v="13"/>
    <n v="401000"/>
    <m/>
    <n v="54000"/>
    <m/>
    <m/>
    <x v="591"/>
    <x v="2"/>
    <x v="4"/>
  </r>
  <r>
    <x v="0"/>
    <m/>
    <m/>
    <m/>
    <m/>
    <m/>
    <x v="592"/>
    <x v="2"/>
    <x v="4"/>
  </r>
  <r>
    <x v="1"/>
    <m/>
    <m/>
    <m/>
    <m/>
    <m/>
    <x v="592"/>
    <x v="2"/>
    <x v="4"/>
  </r>
  <r>
    <x v="2"/>
    <m/>
    <m/>
    <m/>
    <m/>
    <m/>
    <x v="592"/>
    <x v="2"/>
    <x v="4"/>
  </r>
  <r>
    <x v="3"/>
    <m/>
    <m/>
    <n v="162000"/>
    <m/>
    <m/>
    <x v="592"/>
    <x v="2"/>
    <x v="4"/>
  </r>
  <r>
    <x v="4"/>
    <m/>
    <m/>
    <m/>
    <m/>
    <m/>
    <x v="592"/>
    <x v="2"/>
    <x v="4"/>
  </r>
  <r>
    <x v="5"/>
    <m/>
    <n v="589500"/>
    <m/>
    <m/>
    <m/>
    <x v="592"/>
    <x v="2"/>
    <x v="4"/>
  </r>
  <r>
    <x v="14"/>
    <n v="270000"/>
    <n v="590000"/>
    <n v="54000"/>
    <m/>
    <m/>
    <x v="592"/>
    <x v="2"/>
    <x v="4"/>
  </r>
  <r>
    <x v="6"/>
    <n v="477000"/>
    <n v="50000"/>
    <n v="54000"/>
    <m/>
    <m/>
    <x v="592"/>
    <x v="2"/>
    <x v="4"/>
  </r>
  <r>
    <x v="7"/>
    <m/>
    <m/>
    <m/>
    <m/>
    <m/>
    <x v="592"/>
    <x v="2"/>
    <x v="4"/>
  </r>
  <r>
    <x v="15"/>
    <m/>
    <m/>
    <m/>
    <m/>
    <m/>
    <x v="592"/>
    <x v="2"/>
    <x v="4"/>
  </r>
  <r>
    <x v="8"/>
    <n v="797000"/>
    <n v="576000"/>
    <n v="270000"/>
    <m/>
    <m/>
    <x v="592"/>
    <x v="2"/>
    <x v="4"/>
  </r>
  <r>
    <x v="9"/>
    <m/>
    <m/>
    <m/>
    <m/>
    <m/>
    <x v="592"/>
    <x v="2"/>
    <x v="4"/>
  </r>
  <r>
    <x v="10"/>
    <m/>
    <m/>
    <m/>
    <m/>
    <m/>
    <x v="592"/>
    <x v="2"/>
    <x v="4"/>
  </r>
  <r>
    <x v="11"/>
    <m/>
    <m/>
    <m/>
    <m/>
    <m/>
    <x v="592"/>
    <x v="2"/>
    <x v="4"/>
  </r>
  <r>
    <x v="16"/>
    <m/>
    <m/>
    <m/>
    <m/>
    <m/>
    <x v="592"/>
    <x v="2"/>
    <x v="4"/>
  </r>
  <r>
    <x v="12"/>
    <m/>
    <m/>
    <m/>
    <m/>
    <m/>
    <x v="592"/>
    <x v="2"/>
    <x v="4"/>
  </r>
  <r>
    <x v="13"/>
    <n v="536000"/>
    <m/>
    <m/>
    <m/>
    <m/>
    <x v="592"/>
    <x v="2"/>
    <x v="4"/>
  </r>
  <r>
    <x v="0"/>
    <m/>
    <m/>
    <m/>
    <m/>
    <m/>
    <x v="593"/>
    <x v="2"/>
    <x v="4"/>
  </r>
  <r>
    <x v="1"/>
    <m/>
    <m/>
    <m/>
    <m/>
    <m/>
    <x v="593"/>
    <x v="2"/>
    <x v="4"/>
  </r>
  <r>
    <x v="2"/>
    <m/>
    <m/>
    <m/>
    <m/>
    <m/>
    <x v="593"/>
    <x v="2"/>
    <x v="4"/>
  </r>
  <r>
    <x v="3"/>
    <n v="108000"/>
    <m/>
    <n v="216000"/>
    <m/>
    <m/>
    <x v="593"/>
    <x v="2"/>
    <x v="4"/>
  </r>
  <r>
    <x v="4"/>
    <m/>
    <n v="432000"/>
    <m/>
    <m/>
    <m/>
    <x v="593"/>
    <x v="2"/>
    <x v="4"/>
  </r>
  <r>
    <x v="5"/>
    <m/>
    <n v="320000"/>
    <m/>
    <m/>
    <m/>
    <x v="593"/>
    <x v="2"/>
    <x v="4"/>
  </r>
  <r>
    <x v="14"/>
    <n v="108000"/>
    <n v="162000"/>
    <n v="108000"/>
    <m/>
    <m/>
    <x v="593"/>
    <x v="2"/>
    <x v="4"/>
  </r>
  <r>
    <x v="6"/>
    <n v="212000"/>
    <m/>
    <n v="162000"/>
    <m/>
    <m/>
    <x v="593"/>
    <x v="2"/>
    <x v="4"/>
  </r>
  <r>
    <x v="7"/>
    <m/>
    <m/>
    <m/>
    <m/>
    <m/>
    <x v="593"/>
    <x v="2"/>
    <x v="4"/>
  </r>
  <r>
    <x v="15"/>
    <m/>
    <m/>
    <m/>
    <m/>
    <m/>
    <x v="593"/>
    <x v="2"/>
    <x v="4"/>
  </r>
  <r>
    <x v="8"/>
    <n v="162000"/>
    <n v="324000"/>
    <n v="212000"/>
    <m/>
    <m/>
    <x v="593"/>
    <x v="2"/>
    <x v="4"/>
  </r>
  <r>
    <x v="9"/>
    <n v="351000"/>
    <n v="485500"/>
    <m/>
    <n v="540000"/>
    <m/>
    <x v="593"/>
    <x v="2"/>
    <x v="4"/>
  </r>
  <r>
    <x v="10"/>
    <m/>
    <m/>
    <m/>
    <m/>
    <m/>
    <x v="593"/>
    <x v="2"/>
    <x v="4"/>
  </r>
  <r>
    <x v="11"/>
    <m/>
    <m/>
    <m/>
    <m/>
    <m/>
    <x v="593"/>
    <x v="2"/>
    <x v="4"/>
  </r>
  <r>
    <x v="16"/>
    <m/>
    <m/>
    <m/>
    <m/>
    <m/>
    <x v="593"/>
    <x v="2"/>
    <x v="4"/>
  </r>
  <r>
    <x v="12"/>
    <m/>
    <m/>
    <m/>
    <m/>
    <m/>
    <x v="593"/>
    <x v="2"/>
    <x v="4"/>
  </r>
  <r>
    <x v="13"/>
    <n v="54000"/>
    <m/>
    <n v="162000"/>
    <m/>
    <m/>
    <x v="593"/>
    <x v="2"/>
    <x v="4"/>
  </r>
  <r>
    <x v="0"/>
    <m/>
    <m/>
    <m/>
    <m/>
    <m/>
    <x v="594"/>
    <x v="2"/>
    <x v="4"/>
  </r>
  <r>
    <x v="1"/>
    <m/>
    <m/>
    <m/>
    <m/>
    <m/>
    <x v="594"/>
    <x v="2"/>
    <x v="4"/>
  </r>
  <r>
    <x v="2"/>
    <m/>
    <m/>
    <m/>
    <m/>
    <m/>
    <x v="594"/>
    <x v="2"/>
    <x v="4"/>
  </r>
  <r>
    <x v="3"/>
    <m/>
    <m/>
    <m/>
    <m/>
    <m/>
    <x v="594"/>
    <x v="2"/>
    <x v="4"/>
  </r>
  <r>
    <x v="4"/>
    <m/>
    <n v="324000"/>
    <m/>
    <m/>
    <m/>
    <x v="594"/>
    <x v="2"/>
    <x v="4"/>
  </r>
  <r>
    <x v="5"/>
    <m/>
    <n v="586000"/>
    <m/>
    <m/>
    <m/>
    <x v="594"/>
    <x v="2"/>
    <x v="4"/>
  </r>
  <r>
    <x v="14"/>
    <n v="54000"/>
    <m/>
    <n v="270000"/>
    <m/>
    <m/>
    <x v="594"/>
    <x v="2"/>
    <x v="4"/>
  </r>
  <r>
    <x v="6"/>
    <m/>
    <n v="45000"/>
    <m/>
    <m/>
    <m/>
    <x v="594"/>
    <x v="2"/>
    <x v="4"/>
  </r>
  <r>
    <x v="7"/>
    <m/>
    <m/>
    <m/>
    <m/>
    <m/>
    <x v="594"/>
    <x v="2"/>
    <x v="4"/>
  </r>
  <r>
    <x v="15"/>
    <m/>
    <m/>
    <m/>
    <m/>
    <m/>
    <x v="594"/>
    <x v="2"/>
    <x v="4"/>
  </r>
  <r>
    <x v="8"/>
    <m/>
    <m/>
    <n v="432000"/>
    <m/>
    <m/>
    <x v="594"/>
    <x v="2"/>
    <x v="4"/>
  </r>
  <r>
    <x v="9"/>
    <m/>
    <n v="428000"/>
    <m/>
    <m/>
    <m/>
    <x v="594"/>
    <x v="2"/>
    <x v="4"/>
  </r>
  <r>
    <x v="10"/>
    <m/>
    <m/>
    <m/>
    <m/>
    <m/>
    <x v="594"/>
    <x v="2"/>
    <x v="4"/>
  </r>
  <r>
    <x v="11"/>
    <m/>
    <m/>
    <m/>
    <m/>
    <m/>
    <x v="594"/>
    <x v="2"/>
    <x v="4"/>
  </r>
  <r>
    <x v="16"/>
    <m/>
    <m/>
    <m/>
    <m/>
    <m/>
    <x v="594"/>
    <x v="2"/>
    <x v="4"/>
  </r>
  <r>
    <x v="12"/>
    <m/>
    <m/>
    <m/>
    <m/>
    <m/>
    <x v="594"/>
    <x v="2"/>
    <x v="4"/>
  </r>
  <r>
    <x v="13"/>
    <m/>
    <m/>
    <m/>
    <m/>
    <m/>
    <x v="594"/>
    <x v="2"/>
    <x v="4"/>
  </r>
  <r>
    <x v="0"/>
    <m/>
    <m/>
    <m/>
    <m/>
    <m/>
    <x v="595"/>
    <x v="2"/>
    <x v="4"/>
  </r>
  <r>
    <x v="1"/>
    <m/>
    <m/>
    <m/>
    <m/>
    <m/>
    <x v="595"/>
    <x v="2"/>
    <x v="4"/>
  </r>
  <r>
    <x v="2"/>
    <m/>
    <m/>
    <m/>
    <m/>
    <m/>
    <x v="595"/>
    <x v="2"/>
    <x v="4"/>
  </r>
  <r>
    <x v="3"/>
    <m/>
    <m/>
    <m/>
    <m/>
    <m/>
    <x v="595"/>
    <x v="2"/>
    <x v="4"/>
  </r>
  <r>
    <x v="4"/>
    <m/>
    <n v="270000"/>
    <m/>
    <m/>
    <m/>
    <x v="595"/>
    <x v="2"/>
    <x v="4"/>
  </r>
  <r>
    <x v="5"/>
    <m/>
    <n v="540000"/>
    <m/>
    <m/>
    <m/>
    <x v="595"/>
    <x v="2"/>
    <x v="4"/>
  </r>
  <r>
    <x v="14"/>
    <m/>
    <n v="270000"/>
    <n v="378000"/>
    <m/>
    <m/>
    <x v="595"/>
    <x v="2"/>
    <x v="4"/>
  </r>
  <r>
    <x v="6"/>
    <m/>
    <m/>
    <n v="135000"/>
    <m/>
    <m/>
    <x v="595"/>
    <x v="2"/>
    <x v="4"/>
  </r>
  <r>
    <x v="7"/>
    <m/>
    <m/>
    <m/>
    <m/>
    <m/>
    <x v="595"/>
    <x v="2"/>
    <x v="4"/>
  </r>
  <r>
    <x v="15"/>
    <m/>
    <m/>
    <m/>
    <m/>
    <m/>
    <x v="595"/>
    <x v="2"/>
    <x v="4"/>
  </r>
  <r>
    <x v="8"/>
    <n v="108000"/>
    <m/>
    <n v="216000"/>
    <m/>
    <m/>
    <x v="595"/>
    <x v="2"/>
    <x v="4"/>
  </r>
  <r>
    <x v="9"/>
    <m/>
    <n v="428000"/>
    <m/>
    <m/>
    <m/>
    <x v="595"/>
    <x v="2"/>
    <x v="4"/>
  </r>
  <r>
    <x v="10"/>
    <m/>
    <m/>
    <m/>
    <m/>
    <m/>
    <x v="595"/>
    <x v="2"/>
    <x v="4"/>
  </r>
  <r>
    <x v="11"/>
    <m/>
    <m/>
    <m/>
    <m/>
    <m/>
    <x v="595"/>
    <x v="2"/>
    <x v="4"/>
  </r>
  <r>
    <x v="16"/>
    <m/>
    <m/>
    <m/>
    <m/>
    <m/>
    <x v="595"/>
    <x v="2"/>
    <x v="4"/>
  </r>
  <r>
    <x v="12"/>
    <m/>
    <m/>
    <m/>
    <m/>
    <m/>
    <x v="595"/>
    <x v="2"/>
    <x v="4"/>
  </r>
  <r>
    <x v="13"/>
    <n v="54000"/>
    <m/>
    <m/>
    <m/>
    <m/>
    <x v="595"/>
    <x v="2"/>
    <x v="4"/>
  </r>
  <r>
    <x v="0"/>
    <m/>
    <m/>
    <m/>
    <m/>
    <m/>
    <x v="596"/>
    <x v="2"/>
    <x v="5"/>
  </r>
  <r>
    <x v="1"/>
    <m/>
    <m/>
    <m/>
    <m/>
    <m/>
    <x v="596"/>
    <x v="2"/>
    <x v="5"/>
  </r>
  <r>
    <x v="2"/>
    <m/>
    <m/>
    <m/>
    <m/>
    <m/>
    <x v="596"/>
    <x v="2"/>
    <x v="5"/>
  </r>
  <r>
    <x v="3"/>
    <m/>
    <m/>
    <m/>
    <m/>
    <m/>
    <x v="596"/>
    <x v="2"/>
    <x v="5"/>
  </r>
  <r>
    <x v="4"/>
    <m/>
    <n v="54000"/>
    <m/>
    <m/>
    <m/>
    <x v="596"/>
    <x v="2"/>
    <x v="5"/>
  </r>
  <r>
    <x v="5"/>
    <n v="216000"/>
    <n v="108000"/>
    <n v="108000"/>
    <m/>
    <m/>
    <x v="596"/>
    <x v="2"/>
    <x v="5"/>
  </r>
  <r>
    <x v="14"/>
    <n v="162000"/>
    <n v="54000"/>
    <n v="108000"/>
    <m/>
    <m/>
    <x v="596"/>
    <x v="2"/>
    <x v="5"/>
  </r>
  <r>
    <x v="6"/>
    <m/>
    <m/>
    <m/>
    <m/>
    <m/>
    <x v="596"/>
    <x v="2"/>
    <x v="5"/>
  </r>
  <r>
    <x v="7"/>
    <m/>
    <m/>
    <m/>
    <m/>
    <m/>
    <x v="596"/>
    <x v="2"/>
    <x v="5"/>
  </r>
  <r>
    <x v="15"/>
    <m/>
    <m/>
    <m/>
    <m/>
    <m/>
    <x v="596"/>
    <x v="2"/>
    <x v="5"/>
  </r>
  <r>
    <x v="8"/>
    <m/>
    <m/>
    <m/>
    <m/>
    <m/>
    <x v="596"/>
    <x v="2"/>
    <x v="5"/>
  </r>
  <r>
    <x v="9"/>
    <n v="216000"/>
    <n v="108000"/>
    <n v="54000"/>
    <m/>
    <m/>
    <x v="596"/>
    <x v="2"/>
    <x v="5"/>
  </r>
  <r>
    <x v="10"/>
    <m/>
    <m/>
    <m/>
    <m/>
    <m/>
    <x v="596"/>
    <x v="2"/>
    <x v="5"/>
  </r>
  <r>
    <x v="11"/>
    <m/>
    <m/>
    <m/>
    <m/>
    <m/>
    <x v="596"/>
    <x v="2"/>
    <x v="5"/>
  </r>
  <r>
    <x v="16"/>
    <m/>
    <m/>
    <m/>
    <m/>
    <m/>
    <x v="596"/>
    <x v="2"/>
    <x v="5"/>
  </r>
  <r>
    <x v="12"/>
    <m/>
    <m/>
    <m/>
    <m/>
    <m/>
    <x v="596"/>
    <x v="2"/>
    <x v="5"/>
  </r>
  <r>
    <x v="13"/>
    <m/>
    <m/>
    <m/>
    <m/>
    <m/>
    <x v="596"/>
    <x v="2"/>
    <x v="5"/>
  </r>
  <r>
    <x v="0"/>
    <m/>
    <m/>
    <m/>
    <m/>
    <m/>
    <x v="597"/>
    <x v="2"/>
    <x v="5"/>
  </r>
  <r>
    <x v="1"/>
    <m/>
    <m/>
    <m/>
    <m/>
    <m/>
    <x v="597"/>
    <x v="2"/>
    <x v="5"/>
  </r>
  <r>
    <x v="2"/>
    <m/>
    <m/>
    <m/>
    <m/>
    <m/>
    <x v="597"/>
    <x v="2"/>
    <x v="5"/>
  </r>
  <r>
    <x v="3"/>
    <m/>
    <m/>
    <m/>
    <m/>
    <m/>
    <x v="597"/>
    <x v="2"/>
    <x v="5"/>
  </r>
  <r>
    <x v="4"/>
    <m/>
    <n v="486000"/>
    <m/>
    <m/>
    <m/>
    <x v="597"/>
    <x v="2"/>
    <x v="5"/>
  </r>
  <r>
    <x v="5"/>
    <n v="797500"/>
    <n v="54000"/>
    <n v="54000"/>
    <m/>
    <m/>
    <x v="597"/>
    <x v="2"/>
    <x v="5"/>
  </r>
  <r>
    <x v="14"/>
    <n v="693000"/>
    <n v="216000"/>
    <n v="108000"/>
    <m/>
    <m/>
    <x v="597"/>
    <x v="2"/>
    <x v="5"/>
  </r>
  <r>
    <x v="6"/>
    <m/>
    <m/>
    <m/>
    <m/>
    <m/>
    <x v="597"/>
    <x v="2"/>
    <x v="5"/>
  </r>
  <r>
    <x v="7"/>
    <m/>
    <m/>
    <m/>
    <m/>
    <m/>
    <x v="597"/>
    <x v="2"/>
    <x v="5"/>
  </r>
  <r>
    <x v="15"/>
    <m/>
    <m/>
    <m/>
    <m/>
    <m/>
    <x v="597"/>
    <x v="2"/>
    <x v="5"/>
  </r>
  <r>
    <x v="8"/>
    <n v="324000"/>
    <m/>
    <n v="54000"/>
    <m/>
    <m/>
    <x v="597"/>
    <x v="2"/>
    <x v="5"/>
  </r>
  <r>
    <x v="9"/>
    <n v="702000"/>
    <n v="644000"/>
    <n v="108000"/>
    <m/>
    <m/>
    <x v="597"/>
    <x v="2"/>
    <x v="5"/>
  </r>
  <r>
    <x v="10"/>
    <m/>
    <m/>
    <m/>
    <m/>
    <m/>
    <x v="597"/>
    <x v="2"/>
    <x v="5"/>
  </r>
  <r>
    <x v="11"/>
    <m/>
    <m/>
    <m/>
    <m/>
    <m/>
    <x v="597"/>
    <x v="2"/>
    <x v="5"/>
  </r>
  <r>
    <x v="16"/>
    <m/>
    <m/>
    <m/>
    <m/>
    <m/>
    <x v="597"/>
    <x v="2"/>
    <x v="5"/>
  </r>
  <r>
    <x v="12"/>
    <m/>
    <m/>
    <m/>
    <m/>
    <m/>
    <x v="597"/>
    <x v="2"/>
    <x v="5"/>
  </r>
  <r>
    <x v="13"/>
    <m/>
    <m/>
    <m/>
    <m/>
    <m/>
    <x v="597"/>
    <x v="2"/>
    <x v="5"/>
  </r>
  <r>
    <x v="0"/>
    <m/>
    <m/>
    <m/>
    <m/>
    <m/>
    <x v="598"/>
    <x v="2"/>
    <x v="5"/>
  </r>
  <r>
    <x v="1"/>
    <m/>
    <m/>
    <m/>
    <m/>
    <m/>
    <x v="598"/>
    <x v="2"/>
    <x v="5"/>
  </r>
  <r>
    <x v="2"/>
    <m/>
    <m/>
    <m/>
    <m/>
    <m/>
    <x v="598"/>
    <x v="2"/>
    <x v="5"/>
  </r>
  <r>
    <x v="3"/>
    <m/>
    <m/>
    <m/>
    <m/>
    <m/>
    <x v="598"/>
    <x v="2"/>
    <x v="5"/>
  </r>
  <r>
    <x v="4"/>
    <m/>
    <n v="432000"/>
    <m/>
    <m/>
    <m/>
    <x v="598"/>
    <x v="2"/>
    <x v="5"/>
  </r>
  <r>
    <x v="5"/>
    <m/>
    <m/>
    <m/>
    <m/>
    <m/>
    <x v="598"/>
    <x v="2"/>
    <x v="5"/>
  </r>
  <r>
    <x v="14"/>
    <n v="585500"/>
    <n v="54000"/>
    <n v="54000"/>
    <m/>
    <m/>
    <x v="598"/>
    <x v="2"/>
    <x v="5"/>
  </r>
  <r>
    <x v="6"/>
    <m/>
    <m/>
    <m/>
    <m/>
    <m/>
    <x v="598"/>
    <x v="2"/>
    <x v="5"/>
  </r>
  <r>
    <x v="7"/>
    <m/>
    <m/>
    <m/>
    <m/>
    <m/>
    <x v="598"/>
    <x v="2"/>
    <x v="5"/>
  </r>
  <r>
    <x v="15"/>
    <m/>
    <m/>
    <m/>
    <m/>
    <m/>
    <x v="598"/>
    <x v="2"/>
    <x v="5"/>
  </r>
  <r>
    <x v="8"/>
    <n v="702000"/>
    <n v="540000"/>
    <n v="108000"/>
    <m/>
    <m/>
    <x v="598"/>
    <x v="2"/>
    <x v="5"/>
  </r>
  <r>
    <x v="9"/>
    <n v="486000"/>
    <n v="486000"/>
    <n v="104000"/>
    <m/>
    <m/>
    <x v="598"/>
    <x v="2"/>
    <x v="5"/>
  </r>
  <r>
    <x v="10"/>
    <m/>
    <m/>
    <m/>
    <m/>
    <m/>
    <x v="598"/>
    <x v="2"/>
    <x v="5"/>
  </r>
  <r>
    <x v="11"/>
    <m/>
    <m/>
    <m/>
    <m/>
    <m/>
    <x v="598"/>
    <x v="2"/>
    <x v="5"/>
  </r>
  <r>
    <x v="16"/>
    <m/>
    <m/>
    <m/>
    <m/>
    <m/>
    <x v="598"/>
    <x v="2"/>
    <x v="5"/>
  </r>
  <r>
    <x v="12"/>
    <m/>
    <m/>
    <m/>
    <m/>
    <m/>
    <x v="598"/>
    <x v="2"/>
    <x v="5"/>
  </r>
  <r>
    <x v="13"/>
    <m/>
    <m/>
    <m/>
    <m/>
    <m/>
    <x v="598"/>
    <x v="2"/>
    <x v="5"/>
  </r>
  <r>
    <x v="0"/>
    <m/>
    <m/>
    <m/>
    <m/>
    <m/>
    <x v="598"/>
    <x v="2"/>
    <x v="5"/>
  </r>
  <r>
    <x v="1"/>
    <m/>
    <m/>
    <m/>
    <m/>
    <m/>
    <x v="598"/>
    <x v="2"/>
    <x v="5"/>
  </r>
  <r>
    <x v="2"/>
    <m/>
    <m/>
    <m/>
    <m/>
    <m/>
    <x v="598"/>
    <x v="2"/>
    <x v="5"/>
  </r>
  <r>
    <x v="3"/>
    <m/>
    <m/>
    <m/>
    <m/>
    <m/>
    <x v="598"/>
    <x v="2"/>
    <x v="5"/>
  </r>
  <r>
    <x v="4"/>
    <m/>
    <m/>
    <m/>
    <m/>
    <m/>
    <x v="598"/>
    <x v="2"/>
    <x v="5"/>
  </r>
  <r>
    <x v="5"/>
    <m/>
    <m/>
    <m/>
    <m/>
    <m/>
    <x v="598"/>
    <x v="2"/>
    <x v="5"/>
  </r>
  <r>
    <x v="14"/>
    <m/>
    <m/>
    <m/>
    <m/>
    <m/>
    <x v="598"/>
    <x v="2"/>
    <x v="5"/>
  </r>
  <r>
    <x v="6"/>
    <m/>
    <m/>
    <m/>
    <m/>
    <m/>
    <x v="598"/>
    <x v="2"/>
    <x v="5"/>
  </r>
  <r>
    <x v="7"/>
    <m/>
    <m/>
    <m/>
    <m/>
    <m/>
    <x v="598"/>
    <x v="2"/>
    <x v="5"/>
  </r>
  <r>
    <x v="15"/>
    <m/>
    <m/>
    <m/>
    <m/>
    <m/>
    <x v="598"/>
    <x v="2"/>
    <x v="5"/>
  </r>
  <r>
    <x v="8"/>
    <m/>
    <n v="324000"/>
    <m/>
    <m/>
    <m/>
    <x v="598"/>
    <x v="2"/>
    <x v="5"/>
  </r>
  <r>
    <x v="9"/>
    <m/>
    <m/>
    <m/>
    <m/>
    <m/>
    <x v="598"/>
    <x v="2"/>
    <x v="5"/>
  </r>
  <r>
    <x v="10"/>
    <m/>
    <m/>
    <m/>
    <m/>
    <m/>
    <x v="598"/>
    <x v="2"/>
    <x v="5"/>
  </r>
  <r>
    <x v="11"/>
    <m/>
    <m/>
    <m/>
    <m/>
    <m/>
    <x v="598"/>
    <x v="2"/>
    <x v="5"/>
  </r>
  <r>
    <x v="16"/>
    <m/>
    <m/>
    <m/>
    <m/>
    <m/>
    <x v="598"/>
    <x v="2"/>
    <x v="5"/>
  </r>
  <r>
    <x v="12"/>
    <m/>
    <m/>
    <m/>
    <m/>
    <m/>
    <x v="598"/>
    <x v="2"/>
    <x v="5"/>
  </r>
  <r>
    <x v="13"/>
    <m/>
    <m/>
    <m/>
    <m/>
    <m/>
    <x v="598"/>
    <x v="2"/>
    <x v="5"/>
  </r>
  <r>
    <x v="0"/>
    <m/>
    <m/>
    <m/>
    <m/>
    <m/>
    <x v="599"/>
    <x v="2"/>
    <x v="5"/>
  </r>
  <r>
    <x v="1"/>
    <m/>
    <m/>
    <m/>
    <m/>
    <m/>
    <x v="599"/>
    <x v="2"/>
    <x v="5"/>
  </r>
  <r>
    <x v="2"/>
    <m/>
    <m/>
    <m/>
    <m/>
    <m/>
    <x v="599"/>
    <x v="2"/>
    <x v="5"/>
  </r>
  <r>
    <x v="3"/>
    <m/>
    <m/>
    <m/>
    <m/>
    <m/>
    <x v="599"/>
    <x v="2"/>
    <x v="5"/>
  </r>
  <r>
    <x v="4"/>
    <m/>
    <n v="216000"/>
    <m/>
    <m/>
    <m/>
    <x v="599"/>
    <x v="2"/>
    <x v="5"/>
  </r>
  <r>
    <x v="5"/>
    <n v="135000"/>
    <m/>
    <m/>
    <m/>
    <m/>
    <x v="599"/>
    <x v="2"/>
    <x v="5"/>
  </r>
  <r>
    <x v="14"/>
    <n v="810000"/>
    <m/>
    <n v="54000"/>
    <m/>
    <m/>
    <x v="599"/>
    <x v="2"/>
    <x v="5"/>
  </r>
  <r>
    <x v="6"/>
    <m/>
    <m/>
    <m/>
    <m/>
    <m/>
    <x v="599"/>
    <x v="2"/>
    <x v="5"/>
  </r>
  <r>
    <x v="7"/>
    <m/>
    <m/>
    <m/>
    <m/>
    <m/>
    <x v="599"/>
    <x v="2"/>
    <x v="5"/>
  </r>
  <r>
    <x v="15"/>
    <m/>
    <m/>
    <m/>
    <m/>
    <m/>
    <x v="599"/>
    <x v="2"/>
    <x v="5"/>
  </r>
  <r>
    <x v="8"/>
    <n v="647500"/>
    <n v="576000"/>
    <n v="108000"/>
    <m/>
    <m/>
    <x v="599"/>
    <x v="2"/>
    <x v="5"/>
  </r>
  <r>
    <x v="9"/>
    <n v="427500"/>
    <n v="270000"/>
    <m/>
    <m/>
    <m/>
    <x v="599"/>
    <x v="2"/>
    <x v="5"/>
  </r>
  <r>
    <x v="10"/>
    <m/>
    <m/>
    <m/>
    <m/>
    <m/>
    <x v="599"/>
    <x v="2"/>
    <x v="5"/>
  </r>
  <r>
    <x v="11"/>
    <m/>
    <m/>
    <m/>
    <m/>
    <m/>
    <x v="599"/>
    <x v="2"/>
    <x v="5"/>
  </r>
  <r>
    <x v="16"/>
    <m/>
    <m/>
    <m/>
    <m/>
    <m/>
    <x v="599"/>
    <x v="2"/>
    <x v="5"/>
  </r>
  <r>
    <x v="12"/>
    <m/>
    <n v="45000"/>
    <m/>
    <m/>
    <m/>
    <x v="599"/>
    <x v="2"/>
    <x v="5"/>
  </r>
  <r>
    <x v="13"/>
    <m/>
    <m/>
    <m/>
    <m/>
    <m/>
    <x v="599"/>
    <x v="2"/>
    <x v="5"/>
  </r>
  <r>
    <x v="0"/>
    <m/>
    <m/>
    <m/>
    <m/>
    <m/>
    <x v="600"/>
    <x v="2"/>
    <x v="5"/>
  </r>
  <r>
    <x v="1"/>
    <m/>
    <m/>
    <m/>
    <m/>
    <m/>
    <x v="600"/>
    <x v="2"/>
    <x v="5"/>
  </r>
  <r>
    <x v="2"/>
    <m/>
    <m/>
    <m/>
    <m/>
    <m/>
    <x v="600"/>
    <x v="2"/>
    <x v="5"/>
  </r>
  <r>
    <x v="3"/>
    <m/>
    <m/>
    <m/>
    <m/>
    <m/>
    <x v="600"/>
    <x v="2"/>
    <x v="5"/>
  </r>
  <r>
    <x v="4"/>
    <m/>
    <n v="216000"/>
    <m/>
    <m/>
    <m/>
    <x v="600"/>
    <x v="2"/>
    <x v="5"/>
  </r>
  <r>
    <x v="5"/>
    <n v="50000"/>
    <n v="161500"/>
    <m/>
    <m/>
    <m/>
    <x v="600"/>
    <x v="2"/>
    <x v="5"/>
  </r>
  <r>
    <x v="14"/>
    <n v="792500"/>
    <m/>
    <n v="162000"/>
    <m/>
    <m/>
    <x v="600"/>
    <x v="2"/>
    <x v="5"/>
  </r>
  <r>
    <x v="6"/>
    <m/>
    <m/>
    <m/>
    <m/>
    <m/>
    <x v="600"/>
    <x v="2"/>
    <x v="5"/>
  </r>
  <r>
    <x v="7"/>
    <m/>
    <m/>
    <m/>
    <m/>
    <m/>
    <x v="600"/>
    <x v="2"/>
    <x v="5"/>
  </r>
  <r>
    <x v="15"/>
    <m/>
    <m/>
    <m/>
    <m/>
    <m/>
    <x v="600"/>
    <x v="2"/>
    <x v="5"/>
  </r>
  <r>
    <x v="8"/>
    <n v="378000"/>
    <n v="432000"/>
    <n v="216000"/>
    <m/>
    <m/>
    <x v="600"/>
    <x v="2"/>
    <x v="5"/>
  </r>
  <r>
    <x v="9"/>
    <n v="671000"/>
    <n v="648000"/>
    <n v="162000"/>
    <m/>
    <m/>
    <x v="600"/>
    <x v="2"/>
    <x v="5"/>
  </r>
  <r>
    <x v="10"/>
    <m/>
    <m/>
    <m/>
    <m/>
    <m/>
    <x v="600"/>
    <x v="2"/>
    <x v="5"/>
  </r>
  <r>
    <x v="11"/>
    <m/>
    <m/>
    <m/>
    <m/>
    <m/>
    <x v="600"/>
    <x v="2"/>
    <x v="5"/>
  </r>
  <r>
    <x v="16"/>
    <m/>
    <m/>
    <m/>
    <m/>
    <m/>
    <x v="600"/>
    <x v="2"/>
    <x v="5"/>
  </r>
  <r>
    <x v="12"/>
    <m/>
    <n v="99000"/>
    <m/>
    <m/>
    <m/>
    <x v="600"/>
    <x v="2"/>
    <x v="5"/>
  </r>
  <r>
    <x v="13"/>
    <m/>
    <m/>
    <m/>
    <m/>
    <m/>
    <x v="600"/>
    <x v="2"/>
    <x v="5"/>
  </r>
  <r>
    <x v="0"/>
    <m/>
    <m/>
    <m/>
    <m/>
    <m/>
    <x v="601"/>
    <x v="2"/>
    <x v="5"/>
  </r>
  <r>
    <x v="1"/>
    <m/>
    <m/>
    <m/>
    <m/>
    <m/>
    <x v="601"/>
    <x v="2"/>
    <x v="5"/>
  </r>
  <r>
    <x v="2"/>
    <m/>
    <m/>
    <m/>
    <m/>
    <m/>
    <x v="601"/>
    <x v="2"/>
    <x v="5"/>
  </r>
  <r>
    <x v="3"/>
    <m/>
    <m/>
    <m/>
    <m/>
    <m/>
    <x v="601"/>
    <x v="2"/>
    <x v="5"/>
  </r>
  <r>
    <x v="4"/>
    <m/>
    <n v="162000"/>
    <m/>
    <m/>
    <m/>
    <x v="601"/>
    <x v="2"/>
    <x v="5"/>
  </r>
  <r>
    <x v="5"/>
    <m/>
    <m/>
    <m/>
    <m/>
    <m/>
    <x v="601"/>
    <x v="2"/>
    <x v="5"/>
  </r>
  <r>
    <x v="14"/>
    <n v="108000"/>
    <m/>
    <m/>
    <m/>
    <m/>
    <x v="601"/>
    <x v="2"/>
    <x v="5"/>
  </r>
  <r>
    <x v="6"/>
    <m/>
    <m/>
    <m/>
    <m/>
    <m/>
    <x v="601"/>
    <x v="2"/>
    <x v="5"/>
  </r>
  <r>
    <x v="7"/>
    <m/>
    <m/>
    <m/>
    <m/>
    <m/>
    <x v="601"/>
    <x v="2"/>
    <x v="5"/>
  </r>
  <r>
    <x v="15"/>
    <m/>
    <m/>
    <m/>
    <m/>
    <m/>
    <x v="601"/>
    <x v="2"/>
    <x v="5"/>
  </r>
  <r>
    <x v="8"/>
    <n v="54000"/>
    <n v="270000"/>
    <n v="648000"/>
    <m/>
    <m/>
    <x v="601"/>
    <x v="2"/>
    <x v="5"/>
  </r>
  <r>
    <x v="9"/>
    <m/>
    <m/>
    <n v="270000"/>
    <m/>
    <m/>
    <x v="601"/>
    <x v="2"/>
    <x v="5"/>
  </r>
  <r>
    <x v="10"/>
    <m/>
    <m/>
    <m/>
    <m/>
    <m/>
    <x v="601"/>
    <x v="2"/>
    <x v="5"/>
  </r>
  <r>
    <x v="11"/>
    <m/>
    <m/>
    <m/>
    <m/>
    <m/>
    <x v="601"/>
    <x v="2"/>
    <x v="5"/>
  </r>
  <r>
    <x v="16"/>
    <m/>
    <m/>
    <m/>
    <m/>
    <m/>
    <x v="601"/>
    <x v="2"/>
    <x v="5"/>
  </r>
  <r>
    <x v="12"/>
    <m/>
    <m/>
    <m/>
    <m/>
    <m/>
    <x v="601"/>
    <x v="2"/>
    <x v="5"/>
  </r>
  <r>
    <x v="13"/>
    <m/>
    <m/>
    <m/>
    <m/>
    <m/>
    <x v="601"/>
    <x v="2"/>
    <x v="5"/>
  </r>
  <r>
    <x v="0"/>
    <m/>
    <m/>
    <m/>
    <m/>
    <m/>
    <x v="602"/>
    <x v="2"/>
    <x v="5"/>
  </r>
  <r>
    <x v="1"/>
    <m/>
    <m/>
    <m/>
    <m/>
    <m/>
    <x v="602"/>
    <x v="2"/>
    <x v="5"/>
  </r>
  <r>
    <x v="2"/>
    <m/>
    <m/>
    <m/>
    <m/>
    <m/>
    <x v="602"/>
    <x v="2"/>
    <x v="5"/>
  </r>
  <r>
    <x v="3"/>
    <m/>
    <m/>
    <m/>
    <m/>
    <m/>
    <x v="602"/>
    <x v="2"/>
    <x v="5"/>
  </r>
  <r>
    <x v="4"/>
    <m/>
    <m/>
    <m/>
    <m/>
    <m/>
    <x v="602"/>
    <x v="2"/>
    <x v="5"/>
  </r>
  <r>
    <x v="5"/>
    <m/>
    <m/>
    <n v="90000"/>
    <m/>
    <m/>
    <x v="602"/>
    <x v="2"/>
    <x v="5"/>
  </r>
  <r>
    <x v="14"/>
    <m/>
    <n v="54000"/>
    <m/>
    <m/>
    <m/>
    <x v="602"/>
    <x v="2"/>
    <x v="5"/>
  </r>
  <r>
    <x v="6"/>
    <m/>
    <m/>
    <m/>
    <m/>
    <m/>
    <x v="602"/>
    <x v="2"/>
    <x v="5"/>
  </r>
  <r>
    <x v="7"/>
    <m/>
    <m/>
    <m/>
    <m/>
    <m/>
    <x v="602"/>
    <x v="2"/>
    <x v="5"/>
  </r>
  <r>
    <x v="15"/>
    <m/>
    <m/>
    <m/>
    <m/>
    <m/>
    <x v="602"/>
    <x v="2"/>
    <x v="5"/>
  </r>
  <r>
    <x v="8"/>
    <n v="54000"/>
    <m/>
    <m/>
    <m/>
    <m/>
    <x v="602"/>
    <x v="2"/>
    <x v="5"/>
  </r>
  <r>
    <x v="9"/>
    <m/>
    <m/>
    <n v="270000"/>
    <m/>
    <m/>
    <x v="602"/>
    <x v="2"/>
    <x v="5"/>
  </r>
  <r>
    <x v="10"/>
    <m/>
    <m/>
    <m/>
    <m/>
    <m/>
    <x v="602"/>
    <x v="2"/>
    <x v="5"/>
  </r>
  <r>
    <x v="11"/>
    <m/>
    <m/>
    <m/>
    <m/>
    <m/>
    <x v="602"/>
    <x v="2"/>
    <x v="5"/>
  </r>
  <r>
    <x v="16"/>
    <m/>
    <m/>
    <m/>
    <m/>
    <m/>
    <x v="602"/>
    <x v="2"/>
    <x v="5"/>
  </r>
  <r>
    <x v="12"/>
    <m/>
    <m/>
    <m/>
    <m/>
    <m/>
    <x v="602"/>
    <x v="2"/>
    <x v="5"/>
  </r>
  <r>
    <x v="13"/>
    <m/>
    <m/>
    <m/>
    <m/>
    <m/>
    <x v="602"/>
    <x v="2"/>
    <x v="5"/>
  </r>
  <r>
    <x v="0"/>
    <m/>
    <m/>
    <m/>
    <m/>
    <m/>
    <x v="603"/>
    <x v="2"/>
    <x v="5"/>
  </r>
  <r>
    <x v="1"/>
    <m/>
    <m/>
    <m/>
    <m/>
    <m/>
    <x v="603"/>
    <x v="2"/>
    <x v="5"/>
  </r>
  <r>
    <x v="2"/>
    <n v="648000"/>
    <m/>
    <n v="432000"/>
    <m/>
    <m/>
    <x v="603"/>
    <x v="2"/>
    <x v="5"/>
  </r>
  <r>
    <x v="3"/>
    <m/>
    <m/>
    <m/>
    <m/>
    <m/>
    <x v="603"/>
    <x v="2"/>
    <x v="5"/>
  </r>
  <r>
    <x v="4"/>
    <m/>
    <m/>
    <m/>
    <m/>
    <m/>
    <x v="603"/>
    <x v="2"/>
    <x v="5"/>
  </r>
  <r>
    <x v="5"/>
    <m/>
    <m/>
    <m/>
    <m/>
    <m/>
    <x v="603"/>
    <x v="2"/>
    <x v="5"/>
  </r>
  <r>
    <x v="14"/>
    <m/>
    <m/>
    <m/>
    <m/>
    <m/>
    <x v="603"/>
    <x v="2"/>
    <x v="5"/>
  </r>
  <r>
    <x v="6"/>
    <m/>
    <m/>
    <m/>
    <m/>
    <m/>
    <x v="603"/>
    <x v="2"/>
    <x v="5"/>
  </r>
  <r>
    <x v="7"/>
    <m/>
    <m/>
    <m/>
    <m/>
    <m/>
    <x v="603"/>
    <x v="2"/>
    <x v="5"/>
  </r>
  <r>
    <x v="15"/>
    <m/>
    <m/>
    <m/>
    <m/>
    <m/>
    <x v="603"/>
    <x v="2"/>
    <x v="5"/>
  </r>
  <r>
    <x v="8"/>
    <m/>
    <m/>
    <m/>
    <m/>
    <m/>
    <x v="603"/>
    <x v="2"/>
    <x v="5"/>
  </r>
  <r>
    <x v="9"/>
    <m/>
    <m/>
    <m/>
    <m/>
    <m/>
    <x v="603"/>
    <x v="2"/>
    <x v="5"/>
  </r>
  <r>
    <x v="10"/>
    <m/>
    <m/>
    <m/>
    <m/>
    <m/>
    <x v="603"/>
    <x v="2"/>
    <x v="5"/>
  </r>
  <r>
    <x v="11"/>
    <m/>
    <m/>
    <m/>
    <m/>
    <m/>
    <x v="603"/>
    <x v="2"/>
    <x v="5"/>
  </r>
  <r>
    <x v="16"/>
    <m/>
    <m/>
    <m/>
    <m/>
    <m/>
    <x v="603"/>
    <x v="2"/>
    <x v="5"/>
  </r>
  <r>
    <x v="12"/>
    <m/>
    <m/>
    <m/>
    <m/>
    <m/>
    <x v="603"/>
    <x v="2"/>
    <x v="5"/>
  </r>
  <r>
    <x v="13"/>
    <m/>
    <m/>
    <m/>
    <m/>
    <m/>
    <x v="603"/>
    <x v="2"/>
    <x v="5"/>
  </r>
  <r>
    <x v="0"/>
    <m/>
    <m/>
    <m/>
    <m/>
    <m/>
    <x v="604"/>
    <x v="2"/>
    <x v="5"/>
  </r>
  <r>
    <x v="1"/>
    <m/>
    <m/>
    <m/>
    <m/>
    <m/>
    <x v="604"/>
    <x v="2"/>
    <x v="5"/>
  </r>
  <r>
    <x v="2"/>
    <n v="103500"/>
    <m/>
    <n v="157500"/>
    <m/>
    <m/>
    <x v="604"/>
    <x v="2"/>
    <x v="5"/>
  </r>
  <r>
    <x v="3"/>
    <m/>
    <m/>
    <m/>
    <m/>
    <m/>
    <x v="604"/>
    <x v="2"/>
    <x v="5"/>
  </r>
  <r>
    <x v="4"/>
    <m/>
    <m/>
    <m/>
    <m/>
    <m/>
    <x v="604"/>
    <x v="2"/>
    <x v="5"/>
  </r>
  <r>
    <x v="5"/>
    <m/>
    <m/>
    <n v="45000"/>
    <m/>
    <m/>
    <x v="604"/>
    <x v="2"/>
    <x v="5"/>
  </r>
  <r>
    <x v="14"/>
    <m/>
    <m/>
    <m/>
    <m/>
    <m/>
    <x v="604"/>
    <x v="2"/>
    <x v="5"/>
  </r>
  <r>
    <x v="6"/>
    <m/>
    <m/>
    <n v="45000"/>
    <m/>
    <m/>
    <x v="604"/>
    <x v="2"/>
    <x v="5"/>
  </r>
  <r>
    <x v="7"/>
    <m/>
    <m/>
    <m/>
    <m/>
    <m/>
    <x v="604"/>
    <x v="2"/>
    <x v="5"/>
  </r>
  <r>
    <x v="15"/>
    <m/>
    <m/>
    <m/>
    <m/>
    <m/>
    <x v="604"/>
    <x v="2"/>
    <x v="5"/>
  </r>
  <r>
    <x v="8"/>
    <m/>
    <m/>
    <m/>
    <m/>
    <m/>
    <x v="604"/>
    <x v="2"/>
    <x v="5"/>
  </r>
  <r>
    <x v="9"/>
    <m/>
    <m/>
    <m/>
    <m/>
    <m/>
    <x v="604"/>
    <x v="2"/>
    <x v="5"/>
  </r>
  <r>
    <x v="10"/>
    <m/>
    <m/>
    <m/>
    <m/>
    <m/>
    <x v="604"/>
    <x v="2"/>
    <x v="5"/>
  </r>
  <r>
    <x v="11"/>
    <m/>
    <m/>
    <m/>
    <m/>
    <m/>
    <x v="604"/>
    <x v="2"/>
    <x v="5"/>
  </r>
  <r>
    <x v="16"/>
    <m/>
    <m/>
    <m/>
    <m/>
    <m/>
    <x v="604"/>
    <x v="2"/>
    <x v="5"/>
  </r>
  <r>
    <x v="12"/>
    <m/>
    <m/>
    <m/>
    <m/>
    <m/>
    <x v="604"/>
    <x v="2"/>
    <x v="5"/>
  </r>
  <r>
    <x v="13"/>
    <m/>
    <m/>
    <m/>
    <m/>
    <m/>
    <x v="604"/>
    <x v="2"/>
    <x v="5"/>
  </r>
  <r>
    <x v="0"/>
    <m/>
    <m/>
    <m/>
    <m/>
    <m/>
    <x v="605"/>
    <x v="2"/>
    <x v="5"/>
  </r>
  <r>
    <x v="1"/>
    <m/>
    <m/>
    <m/>
    <m/>
    <m/>
    <x v="605"/>
    <x v="2"/>
    <x v="5"/>
  </r>
  <r>
    <x v="2"/>
    <m/>
    <m/>
    <m/>
    <m/>
    <m/>
    <x v="605"/>
    <x v="2"/>
    <x v="5"/>
  </r>
  <r>
    <x v="3"/>
    <n v="1998000"/>
    <m/>
    <m/>
    <m/>
    <m/>
    <x v="605"/>
    <x v="2"/>
    <x v="5"/>
  </r>
  <r>
    <x v="4"/>
    <m/>
    <m/>
    <m/>
    <m/>
    <m/>
    <x v="605"/>
    <x v="2"/>
    <x v="5"/>
  </r>
  <r>
    <x v="5"/>
    <m/>
    <m/>
    <m/>
    <m/>
    <m/>
    <x v="605"/>
    <x v="2"/>
    <x v="5"/>
  </r>
  <r>
    <x v="14"/>
    <m/>
    <m/>
    <m/>
    <m/>
    <m/>
    <x v="605"/>
    <x v="2"/>
    <x v="5"/>
  </r>
  <r>
    <x v="6"/>
    <m/>
    <m/>
    <m/>
    <m/>
    <m/>
    <x v="605"/>
    <x v="2"/>
    <x v="5"/>
  </r>
  <r>
    <x v="7"/>
    <m/>
    <m/>
    <m/>
    <m/>
    <m/>
    <x v="605"/>
    <x v="2"/>
    <x v="5"/>
  </r>
  <r>
    <x v="15"/>
    <m/>
    <m/>
    <m/>
    <m/>
    <m/>
    <x v="605"/>
    <x v="2"/>
    <x v="5"/>
  </r>
  <r>
    <x v="8"/>
    <m/>
    <m/>
    <m/>
    <m/>
    <m/>
    <x v="605"/>
    <x v="2"/>
    <x v="5"/>
  </r>
  <r>
    <x v="9"/>
    <m/>
    <n v="270000"/>
    <m/>
    <m/>
    <m/>
    <x v="605"/>
    <x v="2"/>
    <x v="5"/>
  </r>
  <r>
    <x v="10"/>
    <m/>
    <m/>
    <m/>
    <m/>
    <m/>
    <x v="605"/>
    <x v="2"/>
    <x v="5"/>
  </r>
  <r>
    <x v="11"/>
    <m/>
    <m/>
    <m/>
    <m/>
    <m/>
    <x v="605"/>
    <x v="2"/>
    <x v="5"/>
  </r>
  <r>
    <x v="16"/>
    <m/>
    <m/>
    <m/>
    <m/>
    <m/>
    <x v="605"/>
    <x v="2"/>
    <x v="5"/>
  </r>
  <r>
    <x v="12"/>
    <m/>
    <m/>
    <m/>
    <m/>
    <m/>
    <x v="605"/>
    <x v="2"/>
    <x v="5"/>
  </r>
  <r>
    <x v="13"/>
    <m/>
    <m/>
    <m/>
    <m/>
    <m/>
    <x v="605"/>
    <x v="2"/>
    <x v="5"/>
  </r>
  <r>
    <x v="0"/>
    <m/>
    <m/>
    <m/>
    <m/>
    <m/>
    <x v="606"/>
    <x v="2"/>
    <x v="5"/>
  </r>
  <r>
    <x v="1"/>
    <m/>
    <m/>
    <m/>
    <m/>
    <m/>
    <x v="606"/>
    <x v="2"/>
    <x v="5"/>
  </r>
  <r>
    <x v="2"/>
    <m/>
    <m/>
    <m/>
    <m/>
    <m/>
    <x v="606"/>
    <x v="2"/>
    <x v="5"/>
  </r>
  <r>
    <x v="3"/>
    <m/>
    <m/>
    <m/>
    <m/>
    <m/>
    <x v="606"/>
    <x v="2"/>
    <x v="5"/>
  </r>
  <r>
    <x v="4"/>
    <m/>
    <m/>
    <m/>
    <m/>
    <m/>
    <x v="606"/>
    <x v="2"/>
    <x v="5"/>
  </r>
  <r>
    <x v="5"/>
    <m/>
    <m/>
    <m/>
    <m/>
    <m/>
    <x v="606"/>
    <x v="2"/>
    <x v="5"/>
  </r>
  <r>
    <x v="14"/>
    <m/>
    <m/>
    <m/>
    <m/>
    <m/>
    <x v="606"/>
    <x v="2"/>
    <x v="5"/>
  </r>
  <r>
    <x v="6"/>
    <m/>
    <n v="108000"/>
    <m/>
    <n v="108000"/>
    <m/>
    <x v="606"/>
    <x v="2"/>
    <x v="5"/>
  </r>
  <r>
    <x v="7"/>
    <m/>
    <m/>
    <m/>
    <m/>
    <m/>
    <x v="606"/>
    <x v="2"/>
    <x v="5"/>
  </r>
  <r>
    <x v="15"/>
    <m/>
    <m/>
    <m/>
    <m/>
    <m/>
    <x v="606"/>
    <x v="2"/>
    <x v="5"/>
  </r>
  <r>
    <x v="8"/>
    <m/>
    <n v="486000"/>
    <m/>
    <m/>
    <m/>
    <x v="606"/>
    <x v="2"/>
    <x v="5"/>
  </r>
  <r>
    <x v="9"/>
    <m/>
    <n v="486000"/>
    <m/>
    <m/>
    <m/>
    <x v="606"/>
    <x v="2"/>
    <x v="5"/>
  </r>
  <r>
    <x v="10"/>
    <m/>
    <m/>
    <m/>
    <m/>
    <m/>
    <x v="606"/>
    <x v="2"/>
    <x v="5"/>
  </r>
  <r>
    <x v="11"/>
    <m/>
    <m/>
    <m/>
    <m/>
    <m/>
    <x v="606"/>
    <x v="2"/>
    <x v="5"/>
  </r>
  <r>
    <x v="16"/>
    <m/>
    <m/>
    <m/>
    <m/>
    <m/>
    <x v="606"/>
    <x v="2"/>
    <x v="5"/>
  </r>
  <r>
    <x v="12"/>
    <m/>
    <m/>
    <m/>
    <m/>
    <m/>
    <x v="606"/>
    <x v="2"/>
    <x v="5"/>
  </r>
  <r>
    <x v="13"/>
    <m/>
    <m/>
    <m/>
    <m/>
    <m/>
    <x v="606"/>
    <x v="2"/>
    <x v="5"/>
  </r>
  <r>
    <x v="0"/>
    <m/>
    <m/>
    <m/>
    <m/>
    <m/>
    <x v="607"/>
    <x v="2"/>
    <x v="5"/>
  </r>
  <r>
    <x v="1"/>
    <m/>
    <m/>
    <m/>
    <m/>
    <m/>
    <x v="607"/>
    <x v="2"/>
    <x v="5"/>
  </r>
  <r>
    <x v="2"/>
    <m/>
    <m/>
    <m/>
    <m/>
    <m/>
    <x v="607"/>
    <x v="2"/>
    <x v="5"/>
  </r>
  <r>
    <x v="3"/>
    <m/>
    <m/>
    <m/>
    <m/>
    <m/>
    <x v="607"/>
    <x v="2"/>
    <x v="5"/>
  </r>
  <r>
    <x v="4"/>
    <m/>
    <m/>
    <m/>
    <m/>
    <m/>
    <x v="607"/>
    <x v="2"/>
    <x v="5"/>
  </r>
  <r>
    <x v="5"/>
    <m/>
    <m/>
    <m/>
    <m/>
    <m/>
    <x v="607"/>
    <x v="2"/>
    <x v="5"/>
  </r>
  <r>
    <x v="14"/>
    <n v="108000"/>
    <m/>
    <m/>
    <m/>
    <m/>
    <x v="607"/>
    <x v="2"/>
    <x v="5"/>
  </r>
  <r>
    <x v="6"/>
    <m/>
    <n v="751500"/>
    <m/>
    <n v="270000"/>
    <m/>
    <x v="607"/>
    <x v="2"/>
    <x v="5"/>
  </r>
  <r>
    <x v="7"/>
    <m/>
    <m/>
    <m/>
    <m/>
    <m/>
    <x v="607"/>
    <x v="2"/>
    <x v="5"/>
  </r>
  <r>
    <x v="15"/>
    <m/>
    <m/>
    <m/>
    <m/>
    <m/>
    <x v="607"/>
    <x v="2"/>
    <x v="5"/>
  </r>
  <r>
    <x v="8"/>
    <m/>
    <n v="306000"/>
    <m/>
    <m/>
    <m/>
    <x v="607"/>
    <x v="2"/>
    <x v="5"/>
  </r>
  <r>
    <x v="9"/>
    <m/>
    <n v="324000"/>
    <m/>
    <m/>
    <m/>
    <x v="607"/>
    <x v="2"/>
    <x v="5"/>
  </r>
  <r>
    <x v="10"/>
    <m/>
    <m/>
    <m/>
    <m/>
    <m/>
    <x v="607"/>
    <x v="2"/>
    <x v="5"/>
  </r>
  <r>
    <x v="11"/>
    <m/>
    <m/>
    <m/>
    <m/>
    <m/>
    <x v="607"/>
    <x v="2"/>
    <x v="5"/>
  </r>
  <r>
    <x v="16"/>
    <m/>
    <m/>
    <m/>
    <m/>
    <m/>
    <x v="607"/>
    <x v="2"/>
    <x v="5"/>
  </r>
  <r>
    <x v="12"/>
    <m/>
    <m/>
    <m/>
    <m/>
    <m/>
    <x v="607"/>
    <x v="2"/>
    <x v="5"/>
  </r>
  <r>
    <x v="13"/>
    <m/>
    <m/>
    <m/>
    <m/>
    <m/>
    <x v="607"/>
    <x v="2"/>
    <x v="5"/>
  </r>
  <r>
    <x v="0"/>
    <m/>
    <m/>
    <m/>
    <m/>
    <m/>
    <x v="608"/>
    <x v="2"/>
    <x v="5"/>
  </r>
  <r>
    <x v="1"/>
    <m/>
    <m/>
    <m/>
    <m/>
    <m/>
    <x v="608"/>
    <x v="2"/>
    <x v="5"/>
  </r>
  <r>
    <x v="2"/>
    <m/>
    <m/>
    <m/>
    <m/>
    <m/>
    <x v="608"/>
    <x v="2"/>
    <x v="5"/>
  </r>
  <r>
    <x v="3"/>
    <m/>
    <m/>
    <m/>
    <m/>
    <m/>
    <x v="608"/>
    <x v="2"/>
    <x v="5"/>
  </r>
  <r>
    <x v="4"/>
    <m/>
    <n v="702000"/>
    <m/>
    <n v="324000"/>
    <m/>
    <x v="608"/>
    <x v="2"/>
    <x v="5"/>
  </r>
  <r>
    <x v="5"/>
    <m/>
    <m/>
    <m/>
    <m/>
    <m/>
    <x v="608"/>
    <x v="2"/>
    <x v="5"/>
  </r>
  <r>
    <x v="14"/>
    <m/>
    <n v="594000"/>
    <m/>
    <m/>
    <m/>
    <x v="608"/>
    <x v="2"/>
    <x v="5"/>
  </r>
  <r>
    <x v="6"/>
    <m/>
    <n v="162000"/>
    <m/>
    <n v="54000"/>
    <m/>
    <x v="608"/>
    <x v="2"/>
    <x v="5"/>
  </r>
  <r>
    <x v="7"/>
    <m/>
    <m/>
    <m/>
    <m/>
    <m/>
    <x v="608"/>
    <x v="2"/>
    <x v="5"/>
  </r>
  <r>
    <x v="15"/>
    <m/>
    <m/>
    <m/>
    <m/>
    <m/>
    <x v="608"/>
    <x v="2"/>
    <x v="5"/>
  </r>
  <r>
    <x v="8"/>
    <m/>
    <m/>
    <m/>
    <m/>
    <m/>
    <x v="608"/>
    <x v="2"/>
    <x v="5"/>
  </r>
  <r>
    <x v="9"/>
    <m/>
    <m/>
    <m/>
    <m/>
    <m/>
    <x v="608"/>
    <x v="2"/>
    <x v="5"/>
  </r>
  <r>
    <x v="10"/>
    <m/>
    <m/>
    <m/>
    <m/>
    <m/>
    <x v="608"/>
    <x v="2"/>
    <x v="5"/>
  </r>
  <r>
    <x v="11"/>
    <m/>
    <m/>
    <m/>
    <m/>
    <m/>
    <x v="608"/>
    <x v="2"/>
    <x v="5"/>
  </r>
  <r>
    <x v="16"/>
    <m/>
    <m/>
    <m/>
    <m/>
    <m/>
    <x v="608"/>
    <x v="2"/>
    <x v="5"/>
  </r>
  <r>
    <x v="12"/>
    <m/>
    <m/>
    <m/>
    <m/>
    <m/>
    <x v="608"/>
    <x v="2"/>
    <x v="5"/>
  </r>
  <r>
    <x v="13"/>
    <m/>
    <m/>
    <m/>
    <m/>
    <m/>
    <x v="608"/>
    <x v="2"/>
    <x v="5"/>
  </r>
  <r>
    <x v="0"/>
    <m/>
    <m/>
    <m/>
    <m/>
    <m/>
    <x v="609"/>
    <x v="2"/>
    <x v="5"/>
  </r>
  <r>
    <x v="1"/>
    <m/>
    <m/>
    <m/>
    <m/>
    <m/>
    <x v="609"/>
    <x v="2"/>
    <x v="5"/>
  </r>
  <r>
    <x v="2"/>
    <m/>
    <m/>
    <m/>
    <m/>
    <m/>
    <x v="609"/>
    <x v="2"/>
    <x v="5"/>
  </r>
  <r>
    <x v="3"/>
    <m/>
    <m/>
    <m/>
    <m/>
    <m/>
    <x v="609"/>
    <x v="2"/>
    <x v="5"/>
  </r>
  <r>
    <x v="4"/>
    <m/>
    <n v="585500"/>
    <m/>
    <n v="162000"/>
    <m/>
    <x v="609"/>
    <x v="2"/>
    <x v="5"/>
  </r>
  <r>
    <x v="5"/>
    <m/>
    <m/>
    <m/>
    <m/>
    <m/>
    <x v="609"/>
    <x v="2"/>
    <x v="5"/>
  </r>
  <r>
    <x v="14"/>
    <m/>
    <n v="639500"/>
    <m/>
    <m/>
    <m/>
    <x v="609"/>
    <x v="2"/>
    <x v="5"/>
  </r>
  <r>
    <x v="6"/>
    <n v="540000"/>
    <n v="162000"/>
    <n v="108000"/>
    <n v="54000"/>
    <m/>
    <x v="609"/>
    <x v="2"/>
    <x v="5"/>
  </r>
  <r>
    <x v="7"/>
    <m/>
    <m/>
    <m/>
    <m/>
    <m/>
    <x v="609"/>
    <x v="2"/>
    <x v="5"/>
  </r>
  <r>
    <x v="15"/>
    <m/>
    <m/>
    <m/>
    <m/>
    <m/>
    <x v="609"/>
    <x v="2"/>
    <x v="5"/>
  </r>
  <r>
    <x v="8"/>
    <m/>
    <n v="270000"/>
    <m/>
    <m/>
    <m/>
    <x v="609"/>
    <x v="2"/>
    <x v="5"/>
  </r>
  <r>
    <x v="9"/>
    <n v="1134000"/>
    <m/>
    <n v="162000"/>
    <m/>
    <m/>
    <x v="609"/>
    <x v="2"/>
    <x v="5"/>
  </r>
  <r>
    <x v="10"/>
    <m/>
    <m/>
    <m/>
    <m/>
    <m/>
    <x v="609"/>
    <x v="2"/>
    <x v="5"/>
  </r>
  <r>
    <x v="11"/>
    <m/>
    <m/>
    <m/>
    <m/>
    <m/>
    <x v="609"/>
    <x v="2"/>
    <x v="5"/>
  </r>
  <r>
    <x v="16"/>
    <m/>
    <m/>
    <m/>
    <m/>
    <m/>
    <x v="609"/>
    <x v="2"/>
    <x v="5"/>
  </r>
  <r>
    <x v="12"/>
    <m/>
    <m/>
    <m/>
    <m/>
    <m/>
    <x v="609"/>
    <x v="2"/>
    <x v="5"/>
  </r>
  <r>
    <x v="13"/>
    <m/>
    <m/>
    <m/>
    <m/>
    <m/>
    <x v="609"/>
    <x v="2"/>
    <x v="5"/>
  </r>
  <r>
    <x v="0"/>
    <m/>
    <m/>
    <m/>
    <m/>
    <m/>
    <x v="610"/>
    <x v="2"/>
    <x v="5"/>
  </r>
  <r>
    <x v="1"/>
    <m/>
    <m/>
    <m/>
    <m/>
    <m/>
    <x v="610"/>
    <x v="2"/>
    <x v="5"/>
  </r>
  <r>
    <x v="2"/>
    <n v="45000"/>
    <m/>
    <m/>
    <m/>
    <m/>
    <x v="610"/>
    <x v="2"/>
    <x v="5"/>
  </r>
  <r>
    <x v="3"/>
    <m/>
    <m/>
    <m/>
    <m/>
    <m/>
    <x v="610"/>
    <x v="2"/>
    <x v="5"/>
  </r>
  <r>
    <x v="4"/>
    <m/>
    <n v="518500"/>
    <m/>
    <n v="216000"/>
    <m/>
    <x v="610"/>
    <x v="2"/>
    <x v="5"/>
  </r>
  <r>
    <x v="5"/>
    <m/>
    <m/>
    <m/>
    <m/>
    <m/>
    <x v="610"/>
    <x v="2"/>
    <x v="5"/>
  </r>
  <r>
    <x v="14"/>
    <m/>
    <n v="531500"/>
    <m/>
    <m/>
    <m/>
    <x v="610"/>
    <x v="2"/>
    <x v="5"/>
  </r>
  <r>
    <x v="6"/>
    <n v="203000"/>
    <m/>
    <n v="54000"/>
    <n v="108000"/>
    <m/>
    <x v="610"/>
    <x v="2"/>
    <x v="5"/>
  </r>
  <r>
    <x v="7"/>
    <m/>
    <m/>
    <m/>
    <m/>
    <m/>
    <x v="610"/>
    <x v="2"/>
    <x v="5"/>
  </r>
  <r>
    <x v="15"/>
    <m/>
    <m/>
    <m/>
    <m/>
    <m/>
    <x v="610"/>
    <x v="2"/>
    <x v="5"/>
  </r>
  <r>
    <x v="8"/>
    <n v="261000"/>
    <m/>
    <n v="54000"/>
    <m/>
    <m/>
    <x v="610"/>
    <x v="2"/>
    <x v="5"/>
  </r>
  <r>
    <x v="9"/>
    <n v="891500"/>
    <n v="216000"/>
    <n v="54000"/>
    <m/>
    <m/>
    <x v="610"/>
    <x v="2"/>
    <x v="5"/>
  </r>
  <r>
    <x v="10"/>
    <m/>
    <m/>
    <m/>
    <m/>
    <m/>
    <x v="610"/>
    <x v="2"/>
    <x v="5"/>
  </r>
  <r>
    <x v="11"/>
    <m/>
    <m/>
    <m/>
    <m/>
    <m/>
    <x v="610"/>
    <x v="2"/>
    <x v="5"/>
  </r>
  <r>
    <x v="16"/>
    <m/>
    <m/>
    <m/>
    <m/>
    <m/>
    <x v="610"/>
    <x v="2"/>
    <x v="5"/>
  </r>
  <r>
    <x v="12"/>
    <n v="432000"/>
    <m/>
    <n v="54000"/>
    <m/>
    <m/>
    <x v="610"/>
    <x v="2"/>
    <x v="5"/>
  </r>
  <r>
    <x v="13"/>
    <m/>
    <m/>
    <m/>
    <m/>
    <m/>
    <x v="610"/>
    <x v="2"/>
    <x v="5"/>
  </r>
  <r>
    <x v="0"/>
    <m/>
    <m/>
    <m/>
    <m/>
    <m/>
    <x v="611"/>
    <x v="2"/>
    <x v="5"/>
  </r>
  <r>
    <x v="1"/>
    <m/>
    <n v="261000"/>
    <m/>
    <m/>
    <m/>
    <x v="611"/>
    <x v="2"/>
    <x v="5"/>
  </r>
  <r>
    <x v="2"/>
    <m/>
    <m/>
    <m/>
    <m/>
    <m/>
    <x v="611"/>
    <x v="2"/>
    <x v="5"/>
  </r>
  <r>
    <x v="3"/>
    <m/>
    <m/>
    <m/>
    <m/>
    <m/>
    <x v="611"/>
    <x v="2"/>
    <x v="5"/>
  </r>
  <r>
    <x v="4"/>
    <m/>
    <n v="378000"/>
    <m/>
    <n v="108000"/>
    <m/>
    <x v="611"/>
    <x v="2"/>
    <x v="5"/>
  </r>
  <r>
    <x v="5"/>
    <m/>
    <m/>
    <m/>
    <m/>
    <m/>
    <x v="611"/>
    <x v="2"/>
    <x v="5"/>
  </r>
  <r>
    <x v="14"/>
    <m/>
    <n v="216000"/>
    <m/>
    <m/>
    <m/>
    <x v="611"/>
    <x v="2"/>
    <x v="5"/>
  </r>
  <r>
    <x v="6"/>
    <n v="54000"/>
    <m/>
    <n v="54000"/>
    <m/>
    <m/>
    <x v="611"/>
    <x v="2"/>
    <x v="5"/>
  </r>
  <r>
    <x v="7"/>
    <m/>
    <m/>
    <m/>
    <m/>
    <m/>
    <x v="611"/>
    <x v="2"/>
    <x v="5"/>
  </r>
  <r>
    <x v="15"/>
    <m/>
    <m/>
    <m/>
    <m/>
    <m/>
    <x v="611"/>
    <x v="2"/>
    <x v="5"/>
  </r>
  <r>
    <x v="8"/>
    <n v="315000"/>
    <n v="162000"/>
    <n v="270000"/>
    <m/>
    <m/>
    <x v="611"/>
    <x v="2"/>
    <x v="5"/>
  </r>
  <r>
    <x v="9"/>
    <n v="913500"/>
    <n v="216000"/>
    <n v="594000"/>
    <n v="648000"/>
    <m/>
    <x v="611"/>
    <x v="2"/>
    <x v="5"/>
  </r>
  <r>
    <x v="10"/>
    <m/>
    <m/>
    <m/>
    <m/>
    <m/>
    <x v="611"/>
    <x v="2"/>
    <x v="5"/>
  </r>
  <r>
    <x v="11"/>
    <n v="270000"/>
    <m/>
    <n v="162000"/>
    <m/>
    <m/>
    <x v="611"/>
    <x v="2"/>
    <x v="5"/>
  </r>
  <r>
    <x v="16"/>
    <m/>
    <m/>
    <m/>
    <m/>
    <m/>
    <x v="611"/>
    <x v="2"/>
    <x v="5"/>
  </r>
  <r>
    <x v="12"/>
    <m/>
    <m/>
    <n v="54000"/>
    <m/>
    <m/>
    <x v="611"/>
    <x v="2"/>
    <x v="5"/>
  </r>
  <r>
    <x v="13"/>
    <m/>
    <m/>
    <m/>
    <m/>
    <m/>
    <x v="611"/>
    <x v="2"/>
    <x v="5"/>
  </r>
  <r>
    <x v="0"/>
    <m/>
    <m/>
    <m/>
    <m/>
    <m/>
    <x v="612"/>
    <x v="2"/>
    <x v="5"/>
  </r>
  <r>
    <x v="1"/>
    <m/>
    <n v="324000"/>
    <m/>
    <m/>
    <m/>
    <x v="612"/>
    <x v="2"/>
    <x v="5"/>
  </r>
  <r>
    <x v="2"/>
    <m/>
    <m/>
    <m/>
    <m/>
    <m/>
    <x v="612"/>
    <x v="2"/>
    <x v="5"/>
  </r>
  <r>
    <x v="3"/>
    <m/>
    <m/>
    <m/>
    <m/>
    <m/>
    <x v="612"/>
    <x v="2"/>
    <x v="5"/>
  </r>
  <r>
    <x v="4"/>
    <m/>
    <n v="216000"/>
    <m/>
    <n v="95000"/>
    <m/>
    <x v="612"/>
    <x v="2"/>
    <x v="5"/>
  </r>
  <r>
    <x v="5"/>
    <m/>
    <m/>
    <m/>
    <m/>
    <m/>
    <x v="612"/>
    <x v="2"/>
    <x v="5"/>
  </r>
  <r>
    <x v="14"/>
    <m/>
    <n v="270000"/>
    <m/>
    <m/>
    <m/>
    <x v="612"/>
    <x v="2"/>
    <x v="5"/>
  </r>
  <r>
    <x v="6"/>
    <m/>
    <m/>
    <n v="45000"/>
    <m/>
    <m/>
    <x v="612"/>
    <x v="2"/>
    <x v="5"/>
  </r>
  <r>
    <x v="7"/>
    <m/>
    <m/>
    <m/>
    <m/>
    <m/>
    <x v="612"/>
    <x v="2"/>
    <x v="5"/>
  </r>
  <r>
    <x v="15"/>
    <m/>
    <m/>
    <m/>
    <m/>
    <m/>
    <x v="612"/>
    <x v="2"/>
    <x v="5"/>
  </r>
  <r>
    <x v="8"/>
    <n v="108000"/>
    <m/>
    <m/>
    <m/>
    <m/>
    <x v="612"/>
    <x v="2"/>
    <x v="5"/>
  </r>
  <r>
    <x v="9"/>
    <m/>
    <n v="270000"/>
    <n v="90000"/>
    <m/>
    <m/>
    <x v="612"/>
    <x v="2"/>
    <x v="5"/>
  </r>
  <r>
    <x v="10"/>
    <m/>
    <m/>
    <m/>
    <m/>
    <m/>
    <x v="612"/>
    <x v="2"/>
    <x v="5"/>
  </r>
  <r>
    <x v="11"/>
    <n v="589500"/>
    <m/>
    <n v="162000"/>
    <m/>
    <m/>
    <x v="612"/>
    <x v="2"/>
    <x v="5"/>
  </r>
  <r>
    <x v="16"/>
    <m/>
    <m/>
    <m/>
    <m/>
    <m/>
    <x v="612"/>
    <x v="2"/>
    <x v="5"/>
  </r>
  <r>
    <x v="12"/>
    <m/>
    <m/>
    <m/>
    <m/>
    <m/>
    <x v="612"/>
    <x v="2"/>
    <x v="5"/>
  </r>
  <r>
    <x v="13"/>
    <m/>
    <m/>
    <m/>
    <m/>
    <m/>
    <x v="612"/>
    <x v="2"/>
    <x v="5"/>
  </r>
  <r>
    <x v="0"/>
    <m/>
    <m/>
    <m/>
    <m/>
    <m/>
    <x v="613"/>
    <x v="2"/>
    <x v="5"/>
  </r>
  <r>
    <x v="1"/>
    <m/>
    <m/>
    <m/>
    <m/>
    <m/>
    <x v="613"/>
    <x v="2"/>
    <x v="5"/>
  </r>
  <r>
    <x v="2"/>
    <m/>
    <m/>
    <m/>
    <m/>
    <m/>
    <x v="613"/>
    <x v="2"/>
    <x v="5"/>
  </r>
  <r>
    <x v="3"/>
    <m/>
    <m/>
    <m/>
    <m/>
    <m/>
    <x v="613"/>
    <x v="2"/>
    <x v="5"/>
  </r>
  <r>
    <x v="4"/>
    <m/>
    <m/>
    <m/>
    <m/>
    <m/>
    <x v="613"/>
    <x v="2"/>
    <x v="5"/>
  </r>
  <r>
    <x v="5"/>
    <m/>
    <m/>
    <m/>
    <m/>
    <m/>
    <x v="613"/>
    <x v="2"/>
    <x v="5"/>
  </r>
  <r>
    <x v="14"/>
    <m/>
    <m/>
    <m/>
    <m/>
    <m/>
    <x v="613"/>
    <x v="2"/>
    <x v="5"/>
  </r>
  <r>
    <x v="6"/>
    <m/>
    <m/>
    <n v="45000"/>
    <m/>
    <m/>
    <x v="613"/>
    <x v="2"/>
    <x v="5"/>
  </r>
  <r>
    <x v="7"/>
    <m/>
    <m/>
    <m/>
    <m/>
    <m/>
    <x v="613"/>
    <x v="2"/>
    <x v="5"/>
  </r>
  <r>
    <x v="15"/>
    <m/>
    <m/>
    <m/>
    <m/>
    <m/>
    <x v="613"/>
    <x v="2"/>
    <x v="5"/>
  </r>
  <r>
    <x v="8"/>
    <m/>
    <m/>
    <m/>
    <m/>
    <m/>
    <x v="613"/>
    <x v="2"/>
    <x v="5"/>
  </r>
  <r>
    <x v="9"/>
    <n v="50000"/>
    <m/>
    <m/>
    <m/>
    <m/>
    <x v="613"/>
    <x v="2"/>
    <x v="5"/>
  </r>
  <r>
    <x v="10"/>
    <m/>
    <m/>
    <m/>
    <m/>
    <m/>
    <x v="613"/>
    <x v="2"/>
    <x v="5"/>
  </r>
  <r>
    <x v="11"/>
    <n v="140000"/>
    <m/>
    <m/>
    <m/>
    <m/>
    <x v="613"/>
    <x v="2"/>
    <x v="5"/>
  </r>
  <r>
    <x v="16"/>
    <m/>
    <m/>
    <m/>
    <m/>
    <m/>
    <x v="613"/>
    <x v="2"/>
    <x v="5"/>
  </r>
  <r>
    <x v="12"/>
    <m/>
    <m/>
    <m/>
    <m/>
    <m/>
    <x v="613"/>
    <x v="2"/>
    <x v="5"/>
  </r>
  <r>
    <x v="13"/>
    <m/>
    <m/>
    <m/>
    <m/>
    <m/>
    <x v="613"/>
    <x v="2"/>
    <x v="5"/>
  </r>
  <r>
    <x v="0"/>
    <m/>
    <m/>
    <m/>
    <m/>
    <m/>
    <x v="614"/>
    <x v="2"/>
    <x v="5"/>
  </r>
  <r>
    <x v="1"/>
    <m/>
    <n v="162000"/>
    <m/>
    <m/>
    <m/>
    <x v="614"/>
    <x v="2"/>
    <x v="5"/>
  </r>
  <r>
    <x v="2"/>
    <m/>
    <m/>
    <m/>
    <m/>
    <m/>
    <x v="614"/>
    <x v="2"/>
    <x v="5"/>
  </r>
  <r>
    <x v="3"/>
    <m/>
    <m/>
    <m/>
    <m/>
    <m/>
    <x v="614"/>
    <x v="2"/>
    <x v="5"/>
  </r>
  <r>
    <x v="4"/>
    <m/>
    <n v="162000"/>
    <m/>
    <n v="94500"/>
    <m/>
    <x v="614"/>
    <x v="2"/>
    <x v="5"/>
  </r>
  <r>
    <x v="5"/>
    <m/>
    <m/>
    <m/>
    <m/>
    <m/>
    <x v="614"/>
    <x v="2"/>
    <x v="5"/>
  </r>
  <r>
    <x v="14"/>
    <m/>
    <n v="162000"/>
    <m/>
    <m/>
    <m/>
    <x v="614"/>
    <x v="2"/>
    <x v="5"/>
  </r>
  <r>
    <x v="6"/>
    <m/>
    <m/>
    <n v="45000"/>
    <m/>
    <m/>
    <x v="614"/>
    <x v="2"/>
    <x v="5"/>
  </r>
  <r>
    <x v="7"/>
    <m/>
    <m/>
    <m/>
    <m/>
    <m/>
    <x v="614"/>
    <x v="2"/>
    <x v="5"/>
  </r>
  <r>
    <x v="15"/>
    <m/>
    <m/>
    <m/>
    <m/>
    <m/>
    <x v="614"/>
    <x v="2"/>
    <x v="5"/>
  </r>
  <r>
    <x v="8"/>
    <m/>
    <m/>
    <m/>
    <m/>
    <m/>
    <x v="614"/>
    <x v="2"/>
    <x v="5"/>
  </r>
  <r>
    <x v="9"/>
    <m/>
    <n v="432000"/>
    <m/>
    <m/>
    <m/>
    <x v="614"/>
    <x v="2"/>
    <x v="5"/>
  </r>
  <r>
    <x v="10"/>
    <m/>
    <m/>
    <m/>
    <m/>
    <m/>
    <x v="614"/>
    <x v="2"/>
    <x v="5"/>
  </r>
  <r>
    <x v="11"/>
    <m/>
    <m/>
    <m/>
    <m/>
    <m/>
    <x v="614"/>
    <x v="2"/>
    <x v="5"/>
  </r>
  <r>
    <x v="16"/>
    <m/>
    <m/>
    <m/>
    <m/>
    <m/>
    <x v="614"/>
    <x v="2"/>
    <x v="5"/>
  </r>
  <r>
    <x v="12"/>
    <m/>
    <m/>
    <m/>
    <m/>
    <m/>
    <x v="614"/>
    <x v="2"/>
    <x v="5"/>
  </r>
  <r>
    <x v="13"/>
    <m/>
    <m/>
    <m/>
    <m/>
    <m/>
    <x v="614"/>
    <x v="2"/>
    <x v="5"/>
  </r>
  <r>
    <x v="0"/>
    <m/>
    <m/>
    <m/>
    <m/>
    <m/>
    <x v="615"/>
    <x v="2"/>
    <x v="5"/>
  </r>
  <r>
    <x v="1"/>
    <m/>
    <n v="54000"/>
    <m/>
    <m/>
    <m/>
    <x v="615"/>
    <x v="2"/>
    <x v="5"/>
  </r>
  <r>
    <x v="2"/>
    <m/>
    <m/>
    <m/>
    <m/>
    <m/>
    <x v="615"/>
    <x v="2"/>
    <x v="5"/>
  </r>
  <r>
    <x v="3"/>
    <m/>
    <m/>
    <m/>
    <m/>
    <m/>
    <x v="615"/>
    <x v="2"/>
    <x v="5"/>
  </r>
  <r>
    <x v="4"/>
    <m/>
    <m/>
    <m/>
    <m/>
    <m/>
    <x v="615"/>
    <x v="2"/>
    <x v="5"/>
  </r>
  <r>
    <x v="5"/>
    <m/>
    <m/>
    <m/>
    <m/>
    <m/>
    <x v="615"/>
    <x v="2"/>
    <x v="5"/>
  </r>
  <r>
    <x v="14"/>
    <m/>
    <m/>
    <m/>
    <m/>
    <m/>
    <x v="615"/>
    <x v="2"/>
    <x v="5"/>
  </r>
  <r>
    <x v="6"/>
    <m/>
    <m/>
    <m/>
    <m/>
    <m/>
    <x v="615"/>
    <x v="2"/>
    <x v="5"/>
  </r>
  <r>
    <x v="7"/>
    <m/>
    <m/>
    <m/>
    <m/>
    <m/>
    <x v="615"/>
    <x v="2"/>
    <x v="5"/>
  </r>
  <r>
    <x v="15"/>
    <m/>
    <m/>
    <m/>
    <m/>
    <m/>
    <x v="615"/>
    <x v="2"/>
    <x v="5"/>
  </r>
  <r>
    <x v="8"/>
    <m/>
    <n v="432000"/>
    <m/>
    <m/>
    <m/>
    <x v="615"/>
    <x v="2"/>
    <x v="5"/>
  </r>
  <r>
    <x v="9"/>
    <n v="540000"/>
    <n v="647500"/>
    <m/>
    <n v="50000"/>
    <m/>
    <x v="615"/>
    <x v="2"/>
    <x v="5"/>
  </r>
  <r>
    <x v="10"/>
    <m/>
    <m/>
    <m/>
    <m/>
    <m/>
    <x v="615"/>
    <x v="2"/>
    <x v="5"/>
  </r>
  <r>
    <x v="11"/>
    <m/>
    <m/>
    <m/>
    <m/>
    <m/>
    <x v="615"/>
    <x v="2"/>
    <x v="5"/>
  </r>
  <r>
    <x v="16"/>
    <m/>
    <m/>
    <m/>
    <m/>
    <m/>
    <x v="615"/>
    <x v="2"/>
    <x v="5"/>
  </r>
  <r>
    <x v="12"/>
    <m/>
    <m/>
    <m/>
    <m/>
    <m/>
    <x v="615"/>
    <x v="2"/>
    <x v="5"/>
  </r>
  <r>
    <x v="13"/>
    <m/>
    <m/>
    <m/>
    <m/>
    <m/>
    <x v="615"/>
    <x v="2"/>
    <x v="5"/>
  </r>
  <r>
    <x v="0"/>
    <m/>
    <m/>
    <m/>
    <m/>
    <m/>
    <x v="616"/>
    <x v="2"/>
    <x v="5"/>
  </r>
  <r>
    <x v="1"/>
    <m/>
    <n v="108000"/>
    <m/>
    <m/>
    <m/>
    <x v="616"/>
    <x v="2"/>
    <x v="5"/>
  </r>
  <r>
    <x v="2"/>
    <m/>
    <m/>
    <m/>
    <m/>
    <m/>
    <x v="616"/>
    <x v="2"/>
    <x v="5"/>
  </r>
  <r>
    <x v="3"/>
    <m/>
    <m/>
    <m/>
    <m/>
    <m/>
    <x v="616"/>
    <x v="2"/>
    <x v="5"/>
  </r>
  <r>
    <x v="4"/>
    <m/>
    <n v="324000"/>
    <m/>
    <m/>
    <m/>
    <x v="616"/>
    <x v="2"/>
    <x v="5"/>
  </r>
  <r>
    <x v="5"/>
    <n v="864000"/>
    <m/>
    <n v="216000"/>
    <m/>
    <m/>
    <x v="616"/>
    <x v="2"/>
    <x v="5"/>
  </r>
  <r>
    <x v="14"/>
    <n v="378000"/>
    <m/>
    <m/>
    <n v="162000"/>
    <m/>
    <x v="616"/>
    <x v="2"/>
    <x v="5"/>
  </r>
  <r>
    <x v="6"/>
    <m/>
    <m/>
    <m/>
    <m/>
    <m/>
    <x v="616"/>
    <x v="2"/>
    <x v="5"/>
  </r>
  <r>
    <x v="7"/>
    <m/>
    <m/>
    <m/>
    <m/>
    <m/>
    <x v="616"/>
    <x v="2"/>
    <x v="5"/>
  </r>
  <r>
    <x v="15"/>
    <m/>
    <m/>
    <m/>
    <m/>
    <m/>
    <x v="616"/>
    <x v="2"/>
    <x v="5"/>
  </r>
  <r>
    <x v="8"/>
    <n v="693500"/>
    <m/>
    <n v="216000"/>
    <m/>
    <m/>
    <x v="616"/>
    <x v="2"/>
    <x v="5"/>
  </r>
  <r>
    <x v="9"/>
    <n v="536000"/>
    <n v="797000"/>
    <n v="162000"/>
    <n v="270000"/>
    <m/>
    <x v="616"/>
    <x v="2"/>
    <x v="5"/>
  </r>
  <r>
    <x v="10"/>
    <m/>
    <m/>
    <m/>
    <m/>
    <m/>
    <x v="616"/>
    <x v="2"/>
    <x v="5"/>
  </r>
  <r>
    <x v="11"/>
    <m/>
    <m/>
    <m/>
    <m/>
    <m/>
    <x v="616"/>
    <x v="2"/>
    <x v="5"/>
  </r>
  <r>
    <x v="16"/>
    <m/>
    <m/>
    <m/>
    <m/>
    <m/>
    <x v="616"/>
    <x v="2"/>
    <x v="5"/>
  </r>
  <r>
    <x v="12"/>
    <m/>
    <m/>
    <m/>
    <m/>
    <m/>
    <x v="616"/>
    <x v="2"/>
    <x v="5"/>
  </r>
  <r>
    <x v="13"/>
    <m/>
    <m/>
    <m/>
    <m/>
    <m/>
    <x v="616"/>
    <x v="2"/>
    <x v="5"/>
  </r>
  <r>
    <x v="0"/>
    <m/>
    <m/>
    <m/>
    <m/>
    <m/>
    <x v="617"/>
    <x v="2"/>
    <x v="5"/>
  </r>
  <r>
    <x v="1"/>
    <n v="262000"/>
    <n v="45000"/>
    <n v="216000"/>
    <m/>
    <m/>
    <x v="617"/>
    <x v="2"/>
    <x v="5"/>
  </r>
  <r>
    <x v="2"/>
    <m/>
    <m/>
    <m/>
    <m/>
    <m/>
    <x v="617"/>
    <x v="2"/>
    <x v="5"/>
  </r>
  <r>
    <x v="3"/>
    <m/>
    <m/>
    <m/>
    <m/>
    <m/>
    <x v="617"/>
    <x v="2"/>
    <x v="5"/>
  </r>
  <r>
    <x v="4"/>
    <m/>
    <n v="108000"/>
    <m/>
    <m/>
    <m/>
    <x v="617"/>
    <x v="2"/>
    <x v="5"/>
  </r>
  <r>
    <x v="5"/>
    <n v="216000"/>
    <m/>
    <m/>
    <m/>
    <m/>
    <x v="617"/>
    <x v="2"/>
    <x v="5"/>
  </r>
  <r>
    <x v="14"/>
    <n v="540000"/>
    <m/>
    <m/>
    <m/>
    <m/>
    <x v="617"/>
    <x v="2"/>
    <x v="5"/>
  </r>
  <r>
    <x v="6"/>
    <m/>
    <m/>
    <m/>
    <m/>
    <m/>
    <x v="617"/>
    <x v="2"/>
    <x v="5"/>
  </r>
  <r>
    <x v="7"/>
    <m/>
    <m/>
    <m/>
    <m/>
    <m/>
    <x v="617"/>
    <x v="2"/>
    <x v="5"/>
  </r>
  <r>
    <x v="15"/>
    <m/>
    <m/>
    <m/>
    <m/>
    <m/>
    <x v="617"/>
    <x v="2"/>
    <x v="5"/>
  </r>
  <r>
    <x v="8"/>
    <n v="486000"/>
    <m/>
    <n v="216000"/>
    <m/>
    <m/>
    <x v="617"/>
    <x v="2"/>
    <x v="5"/>
  </r>
  <r>
    <x v="9"/>
    <n v="377500"/>
    <n v="1283500"/>
    <n v="216000"/>
    <m/>
    <m/>
    <x v="617"/>
    <x v="2"/>
    <x v="5"/>
  </r>
  <r>
    <x v="10"/>
    <m/>
    <m/>
    <m/>
    <m/>
    <m/>
    <x v="617"/>
    <x v="2"/>
    <x v="5"/>
  </r>
  <r>
    <x v="11"/>
    <m/>
    <m/>
    <m/>
    <m/>
    <m/>
    <x v="617"/>
    <x v="2"/>
    <x v="5"/>
  </r>
  <r>
    <x v="16"/>
    <m/>
    <m/>
    <m/>
    <m/>
    <m/>
    <x v="617"/>
    <x v="2"/>
    <x v="5"/>
  </r>
  <r>
    <x v="12"/>
    <m/>
    <m/>
    <m/>
    <m/>
    <m/>
    <x v="617"/>
    <x v="2"/>
    <x v="5"/>
  </r>
  <r>
    <x v="13"/>
    <m/>
    <m/>
    <m/>
    <m/>
    <m/>
    <x v="617"/>
    <x v="2"/>
    <x v="5"/>
  </r>
  <r>
    <x v="0"/>
    <m/>
    <m/>
    <m/>
    <m/>
    <m/>
    <x v="618"/>
    <x v="2"/>
    <x v="6"/>
  </r>
  <r>
    <x v="1"/>
    <n v="216000"/>
    <n v="45000"/>
    <n v="54000"/>
    <m/>
    <m/>
    <x v="618"/>
    <x v="2"/>
    <x v="6"/>
  </r>
  <r>
    <x v="2"/>
    <m/>
    <m/>
    <m/>
    <m/>
    <m/>
    <x v="618"/>
    <x v="2"/>
    <x v="6"/>
  </r>
  <r>
    <x v="3"/>
    <n v="648000"/>
    <m/>
    <n v="54000"/>
    <m/>
    <m/>
    <x v="618"/>
    <x v="2"/>
    <x v="6"/>
  </r>
  <r>
    <x v="4"/>
    <m/>
    <m/>
    <m/>
    <m/>
    <m/>
    <x v="618"/>
    <x v="2"/>
    <x v="6"/>
  </r>
  <r>
    <x v="5"/>
    <n v="162000"/>
    <m/>
    <m/>
    <m/>
    <m/>
    <x v="618"/>
    <x v="2"/>
    <x v="6"/>
  </r>
  <r>
    <x v="14"/>
    <n v="266000"/>
    <m/>
    <n v="108000"/>
    <m/>
    <m/>
    <x v="618"/>
    <x v="2"/>
    <x v="6"/>
  </r>
  <r>
    <x v="6"/>
    <m/>
    <m/>
    <m/>
    <m/>
    <m/>
    <x v="618"/>
    <x v="2"/>
    <x v="6"/>
  </r>
  <r>
    <x v="7"/>
    <m/>
    <n v="432000"/>
    <m/>
    <m/>
    <m/>
    <x v="618"/>
    <x v="2"/>
    <x v="6"/>
  </r>
  <r>
    <x v="15"/>
    <m/>
    <m/>
    <m/>
    <m/>
    <m/>
    <x v="618"/>
    <x v="2"/>
    <x v="6"/>
  </r>
  <r>
    <x v="8"/>
    <n v="108000"/>
    <n v="414000"/>
    <n v="216000"/>
    <m/>
    <m/>
    <x v="618"/>
    <x v="2"/>
    <x v="6"/>
  </r>
  <r>
    <x v="9"/>
    <n v="455000"/>
    <n v="679500"/>
    <n v="216000"/>
    <m/>
    <m/>
    <x v="618"/>
    <x v="2"/>
    <x v="6"/>
  </r>
  <r>
    <x v="10"/>
    <m/>
    <m/>
    <m/>
    <m/>
    <m/>
    <x v="618"/>
    <x v="2"/>
    <x v="6"/>
  </r>
  <r>
    <x v="11"/>
    <m/>
    <m/>
    <m/>
    <m/>
    <m/>
    <x v="618"/>
    <x v="2"/>
    <x v="6"/>
  </r>
  <r>
    <x v="16"/>
    <m/>
    <m/>
    <m/>
    <m/>
    <m/>
    <x v="618"/>
    <x v="2"/>
    <x v="6"/>
  </r>
  <r>
    <x v="12"/>
    <m/>
    <m/>
    <m/>
    <m/>
    <m/>
    <x v="618"/>
    <x v="2"/>
    <x v="6"/>
  </r>
  <r>
    <x v="13"/>
    <n v="310500"/>
    <m/>
    <n v="54000"/>
    <m/>
    <m/>
    <x v="618"/>
    <x v="2"/>
    <x v="6"/>
  </r>
  <r>
    <x v="0"/>
    <m/>
    <m/>
    <m/>
    <m/>
    <m/>
    <x v="619"/>
    <x v="2"/>
    <x v="6"/>
  </r>
  <r>
    <x v="1"/>
    <m/>
    <m/>
    <m/>
    <m/>
    <m/>
    <x v="619"/>
    <x v="2"/>
    <x v="6"/>
  </r>
  <r>
    <x v="2"/>
    <m/>
    <m/>
    <m/>
    <m/>
    <m/>
    <x v="619"/>
    <x v="2"/>
    <x v="6"/>
  </r>
  <r>
    <x v="3"/>
    <n v="1134000"/>
    <m/>
    <n v="270000"/>
    <m/>
    <m/>
    <x v="619"/>
    <x v="2"/>
    <x v="6"/>
  </r>
  <r>
    <x v="4"/>
    <m/>
    <m/>
    <m/>
    <m/>
    <m/>
    <x v="619"/>
    <x v="2"/>
    <x v="6"/>
  </r>
  <r>
    <x v="5"/>
    <m/>
    <m/>
    <n v="50000"/>
    <m/>
    <m/>
    <x v="619"/>
    <x v="2"/>
    <x v="6"/>
  </r>
  <r>
    <x v="14"/>
    <m/>
    <m/>
    <n v="54000"/>
    <m/>
    <m/>
    <x v="619"/>
    <x v="2"/>
    <x v="6"/>
  </r>
  <r>
    <x v="6"/>
    <m/>
    <m/>
    <m/>
    <m/>
    <m/>
    <x v="619"/>
    <x v="2"/>
    <x v="6"/>
  </r>
  <r>
    <x v="7"/>
    <m/>
    <n v="54000"/>
    <m/>
    <m/>
    <m/>
    <x v="619"/>
    <x v="2"/>
    <x v="6"/>
  </r>
  <r>
    <x v="15"/>
    <m/>
    <m/>
    <m/>
    <m/>
    <m/>
    <x v="619"/>
    <x v="2"/>
    <x v="6"/>
  </r>
  <r>
    <x v="8"/>
    <n v="53500"/>
    <n v="270000"/>
    <m/>
    <m/>
    <m/>
    <x v="619"/>
    <x v="2"/>
    <x v="6"/>
  </r>
  <r>
    <x v="9"/>
    <n v="195000"/>
    <n v="324000"/>
    <n v="54000"/>
    <m/>
    <m/>
    <x v="619"/>
    <x v="2"/>
    <x v="6"/>
  </r>
  <r>
    <x v="10"/>
    <m/>
    <m/>
    <m/>
    <m/>
    <m/>
    <x v="619"/>
    <x v="2"/>
    <x v="6"/>
  </r>
  <r>
    <x v="11"/>
    <m/>
    <m/>
    <m/>
    <m/>
    <m/>
    <x v="619"/>
    <x v="2"/>
    <x v="6"/>
  </r>
  <r>
    <x v="16"/>
    <m/>
    <m/>
    <m/>
    <m/>
    <m/>
    <x v="619"/>
    <x v="2"/>
    <x v="6"/>
  </r>
  <r>
    <x v="12"/>
    <m/>
    <m/>
    <m/>
    <m/>
    <m/>
    <x v="619"/>
    <x v="2"/>
    <x v="6"/>
  </r>
  <r>
    <x v="13"/>
    <n v="49500"/>
    <m/>
    <n v="54000"/>
    <m/>
    <m/>
    <x v="619"/>
    <x v="2"/>
    <x v="6"/>
  </r>
  <r>
    <x v="0"/>
    <m/>
    <m/>
    <m/>
    <m/>
    <m/>
    <x v="620"/>
    <x v="2"/>
    <x v="6"/>
  </r>
  <r>
    <x v="1"/>
    <n v="216000"/>
    <m/>
    <m/>
    <m/>
    <m/>
    <x v="620"/>
    <x v="2"/>
    <x v="6"/>
  </r>
  <r>
    <x v="2"/>
    <m/>
    <m/>
    <m/>
    <m/>
    <m/>
    <x v="620"/>
    <x v="2"/>
    <x v="6"/>
  </r>
  <r>
    <x v="3"/>
    <n v="270000"/>
    <m/>
    <n v="378000"/>
    <m/>
    <m/>
    <x v="620"/>
    <x v="2"/>
    <x v="6"/>
  </r>
  <r>
    <x v="4"/>
    <m/>
    <m/>
    <m/>
    <m/>
    <m/>
    <x v="620"/>
    <x v="2"/>
    <x v="6"/>
  </r>
  <r>
    <x v="5"/>
    <m/>
    <m/>
    <m/>
    <m/>
    <m/>
    <x v="620"/>
    <x v="2"/>
    <x v="6"/>
  </r>
  <r>
    <x v="14"/>
    <n v="162000"/>
    <m/>
    <n v="216000"/>
    <m/>
    <m/>
    <x v="620"/>
    <x v="2"/>
    <x v="6"/>
  </r>
  <r>
    <x v="6"/>
    <m/>
    <m/>
    <m/>
    <m/>
    <m/>
    <x v="620"/>
    <x v="2"/>
    <x v="6"/>
  </r>
  <r>
    <x v="7"/>
    <m/>
    <n v="54000"/>
    <m/>
    <m/>
    <m/>
    <x v="620"/>
    <x v="2"/>
    <x v="6"/>
  </r>
  <r>
    <x v="15"/>
    <m/>
    <m/>
    <m/>
    <m/>
    <m/>
    <x v="620"/>
    <x v="2"/>
    <x v="6"/>
  </r>
  <r>
    <x v="8"/>
    <m/>
    <m/>
    <m/>
    <m/>
    <m/>
    <x v="620"/>
    <x v="2"/>
    <x v="6"/>
  </r>
  <r>
    <x v="9"/>
    <n v="1323500"/>
    <n v="1282500"/>
    <n v="162000"/>
    <n v="95000"/>
    <m/>
    <x v="620"/>
    <x v="2"/>
    <x v="6"/>
  </r>
  <r>
    <x v="10"/>
    <m/>
    <m/>
    <m/>
    <m/>
    <m/>
    <x v="620"/>
    <x v="2"/>
    <x v="6"/>
  </r>
  <r>
    <x v="11"/>
    <m/>
    <m/>
    <m/>
    <m/>
    <m/>
    <x v="620"/>
    <x v="2"/>
    <x v="6"/>
  </r>
  <r>
    <x v="16"/>
    <m/>
    <m/>
    <m/>
    <m/>
    <m/>
    <x v="620"/>
    <x v="2"/>
    <x v="6"/>
  </r>
  <r>
    <x v="12"/>
    <m/>
    <m/>
    <m/>
    <m/>
    <m/>
    <x v="620"/>
    <x v="2"/>
    <x v="6"/>
  </r>
  <r>
    <x v="13"/>
    <n v="153500"/>
    <m/>
    <n v="54000"/>
    <m/>
    <m/>
    <x v="620"/>
    <x v="2"/>
    <x v="6"/>
  </r>
  <r>
    <x v="0"/>
    <m/>
    <m/>
    <m/>
    <m/>
    <m/>
    <x v="621"/>
    <x v="2"/>
    <x v="6"/>
  </r>
  <r>
    <x v="1"/>
    <m/>
    <m/>
    <n v="50000"/>
    <m/>
    <m/>
    <x v="621"/>
    <x v="2"/>
    <x v="6"/>
  </r>
  <r>
    <x v="2"/>
    <m/>
    <m/>
    <m/>
    <m/>
    <m/>
    <x v="621"/>
    <x v="2"/>
    <x v="6"/>
  </r>
  <r>
    <x v="3"/>
    <m/>
    <m/>
    <n v="108000"/>
    <m/>
    <m/>
    <x v="621"/>
    <x v="2"/>
    <x v="6"/>
  </r>
  <r>
    <x v="4"/>
    <m/>
    <m/>
    <m/>
    <m/>
    <m/>
    <x v="621"/>
    <x v="2"/>
    <x v="6"/>
  </r>
  <r>
    <x v="5"/>
    <m/>
    <m/>
    <n v="108000"/>
    <m/>
    <m/>
    <x v="621"/>
    <x v="2"/>
    <x v="6"/>
  </r>
  <r>
    <x v="14"/>
    <m/>
    <m/>
    <n v="54000"/>
    <m/>
    <m/>
    <x v="621"/>
    <x v="2"/>
    <x v="6"/>
  </r>
  <r>
    <x v="6"/>
    <m/>
    <m/>
    <n v="45000"/>
    <m/>
    <m/>
    <x v="621"/>
    <x v="2"/>
    <x v="6"/>
  </r>
  <r>
    <x v="7"/>
    <m/>
    <m/>
    <m/>
    <m/>
    <m/>
    <x v="621"/>
    <x v="2"/>
    <x v="6"/>
  </r>
  <r>
    <x v="15"/>
    <m/>
    <m/>
    <m/>
    <m/>
    <m/>
    <x v="621"/>
    <x v="2"/>
    <x v="6"/>
  </r>
  <r>
    <x v="8"/>
    <m/>
    <n v="324000"/>
    <m/>
    <m/>
    <m/>
    <x v="621"/>
    <x v="2"/>
    <x v="6"/>
  </r>
  <r>
    <x v="9"/>
    <m/>
    <n v="162000"/>
    <n v="1017000"/>
    <m/>
    <m/>
    <x v="621"/>
    <x v="2"/>
    <x v="6"/>
  </r>
  <r>
    <x v="10"/>
    <m/>
    <m/>
    <m/>
    <m/>
    <m/>
    <x v="621"/>
    <x v="2"/>
    <x v="6"/>
  </r>
  <r>
    <x v="11"/>
    <m/>
    <m/>
    <m/>
    <m/>
    <m/>
    <x v="621"/>
    <x v="2"/>
    <x v="6"/>
  </r>
  <r>
    <x v="16"/>
    <m/>
    <m/>
    <m/>
    <m/>
    <m/>
    <x v="621"/>
    <x v="2"/>
    <x v="6"/>
  </r>
  <r>
    <x v="12"/>
    <m/>
    <m/>
    <m/>
    <m/>
    <m/>
    <x v="621"/>
    <x v="2"/>
    <x v="6"/>
  </r>
  <r>
    <x v="13"/>
    <m/>
    <m/>
    <m/>
    <m/>
    <m/>
    <x v="621"/>
    <x v="2"/>
    <x v="6"/>
  </r>
  <r>
    <x v="0"/>
    <m/>
    <m/>
    <m/>
    <m/>
    <m/>
    <x v="622"/>
    <x v="2"/>
    <x v="6"/>
  </r>
  <r>
    <x v="1"/>
    <m/>
    <m/>
    <n v="180000"/>
    <m/>
    <m/>
    <x v="622"/>
    <x v="2"/>
    <x v="6"/>
  </r>
  <r>
    <x v="2"/>
    <m/>
    <m/>
    <m/>
    <m/>
    <m/>
    <x v="622"/>
    <x v="2"/>
    <x v="6"/>
  </r>
  <r>
    <x v="3"/>
    <m/>
    <m/>
    <m/>
    <m/>
    <m/>
    <x v="622"/>
    <x v="2"/>
    <x v="6"/>
  </r>
  <r>
    <x v="4"/>
    <m/>
    <n v="161500"/>
    <m/>
    <m/>
    <m/>
    <x v="622"/>
    <x v="2"/>
    <x v="6"/>
  </r>
  <r>
    <x v="5"/>
    <m/>
    <m/>
    <m/>
    <m/>
    <m/>
    <x v="622"/>
    <x v="2"/>
    <x v="6"/>
  </r>
  <r>
    <x v="14"/>
    <n v="54000"/>
    <m/>
    <m/>
    <m/>
    <m/>
    <x v="622"/>
    <x v="2"/>
    <x v="6"/>
  </r>
  <r>
    <x v="6"/>
    <m/>
    <m/>
    <m/>
    <m/>
    <m/>
    <x v="622"/>
    <x v="2"/>
    <x v="6"/>
  </r>
  <r>
    <x v="7"/>
    <m/>
    <m/>
    <m/>
    <m/>
    <m/>
    <x v="622"/>
    <x v="2"/>
    <x v="6"/>
  </r>
  <r>
    <x v="15"/>
    <m/>
    <m/>
    <m/>
    <m/>
    <m/>
    <x v="622"/>
    <x v="2"/>
    <x v="6"/>
  </r>
  <r>
    <x v="8"/>
    <m/>
    <m/>
    <m/>
    <m/>
    <m/>
    <x v="622"/>
    <x v="2"/>
    <x v="6"/>
  </r>
  <r>
    <x v="9"/>
    <n v="906000"/>
    <n v="216000"/>
    <n v="207000"/>
    <m/>
    <m/>
    <x v="622"/>
    <x v="2"/>
    <x v="6"/>
  </r>
  <r>
    <x v="10"/>
    <m/>
    <m/>
    <m/>
    <m/>
    <m/>
    <x v="622"/>
    <x v="2"/>
    <x v="6"/>
  </r>
  <r>
    <x v="11"/>
    <m/>
    <m/>
    <m/>
    <m/>
    <m/>
    <x v="622"/>
    <x v="2"/>
    <x v="6"/>
  </r>
  <r>
    <x v="16"/>
    <m/>
    <m/>
    <m/>
    <m/>
    <m/>
    <x v="622"/>
    <x v="2"/>
    <x v="6"/>
  </r>
  <r>
    <x v="12"/>
    <m/>
    <m/>
    <m/>
    <m/>
    <m/>
    <x v="622"/>
    <x v="2"/>
    <x v="6"/>
  </r>
  <r>
    <x v="13"/>
    <n v="108000"/>
    <n v="216000"/>
    <m/>
    <m/>
    <m/>
    <x v="622"/>
    <x v="2"/>
    <x v="6"/>
  </r>
  <r>
    <x v="0"/>
    <m/>
    <m/>
    <m/>
    <m/>
    <m/>
    <x v="623"/>
    <x v="2"/>
    <x v="6"/>
  </r>
  <r>
    <x v="1"/>
    <m/>
    <m/>
    <m/>
    <m/>
    <m/>
    <x v="623"/>
    <x v="2"/>
    <x v="6"/>
  </r>
  <r>
    <x v="2"/>
    <m/>
    <m/>
    <m/>
    <m/>
    <m/>
    <x v="623"/>
    <x v="2"/>
    <x v="6"/>
  </r>
  <r>
    <x v="3"/>
    <m/>
    <m/>
    <m/>
    <m/>
    <m/>
    <x v="623"/>
    <x v="2"/>
    <x v="6"/>
  </r>
  <r>
    <x v="4"/>
    <m/>
    <n v="324000"/>
    <m/>
    <m/>
    <m/>
    <x v="623"/>
    <x v="2"/>
    <x v="6"/>
  </r>
  <r>
    <x v="5"/>
    <m/>
    <m/>
    <m/>
    <m/>
    <m/>
    <x v="623"/>
    <x v="2"/>
    <x v="6"/>
  </r>
  <r>
    <x v="14"/>
    <m/>
    <m/>
    <m/>
    <m/>
    <m/>
    <x v="623"/>
    <x v="2"/>
    <x v="6"/>
  </r>
  <r>
    <x v="6"/>
    <m/>
    <m/>
    <m/>
    <m/>
    <m/>
    <x v="623"/>
    <x v="2"/>
    <x v="6"/>
  </r>
  <r>
    <x v="7"/>
    <m/>
    <m/>
    <m/>
    <m/>
    <m/>
    <x v="623"/>
    <x v="2"/>
    <x v="6"/>
  </r>
  <r>
    <x v="15"/>
    <m/>
    <m/>
    <m/>
    <m/>
    <m/>
    <x v="623"/>
    <x v="2"/>
    <x v="6"/>
  </r>
  <r>
    <x v="8"/>
    <m/>
    <m/>
    <n v="270000"/>
    <m/>
    <m/>
    <x v="623"/>
    <x v="2"/>
    <x v="6"/>
  </r>
  <r>
    <x v="9"/>
    <n v="1009000"/>
    <n v="54000"/>
    <n v="324000"/>
    <m/>
    <m/>
    <x v="623"/>
    <x v="2"/>
    <x v="6"/>
  </r>
  <r>
    <x v="10"/>
    <m/>
    <m/>
    <m/>
    <m/>
    <m/>
    <x v="623"/>
    <x v="2"/>
    <x v="6"/>
  </r>
  <r>
    <x v="11"/>
    <m/>
    <m/>
    <m/>
    <m/>
    <m/>
    <x v="623"/>
    <x v="2"/>
    <x v="6"/>
  </r>
  <r>
    <x v="16"/>
    <m/>
    <m/>
    <m/>
    <m/>
    <m/>
    <x v="623"/>
    <x v="2"/>
    <x v="6"/>
  </r>
  <r>
    <x v="12"/>
    <n v="378000"/>
    <n v="162000"/>
    <m/>
    <m/>
    <m/>
    <x v="623"/>
    <x v="2"/>
    <x v="6"/>
  </r>
  <r>
    <x v="13"/>
    <n v="162000"/>
    <n v="211500"/>
    <m/>
    <m/>
    <m/>
    <x v="623"/>
    <x v="2"/>
    <x v="6"/>
  </r>
  <r>
    <x v="0"/>
    <m/>
    <m/>
    <m/>
    <m/>
    <m/>
    <x v="624"/>
    <x v="2"/>
    <x v="6"/>
  </r>
  <r>
    <x v="1"/>
    <m/>
    <m/>
    <m/>
    <m/>
    <m/>
    <x v="624"/>
    <x v="2"/>
    <x v="6"/>
  </r>
  <r>
    <x v="2"/>
    <m/>
    <m/>
    <m/>
    <m/>
    <m/>
    <x v="624"/>
    <x v="2"/>
    <x v="6"/>
  </r>
  <r>
    <x v="3"/>
    <m/>
    <m/>
    <m/>
    <m/>
    <m/>
    <x v="624"/>
    <x v="2"/>
    <x v="6"/>
  </r>
  <r>
    <x v="4"/>
    <m/>
    <n v="432000"/>
    <m/>
    <m/>
    <m/>
    <x v="624"/>
    <x v="2"/>
    <x v="6"/>
  </r>
  <r>
    <x v="5"/>
    <m/>
    <m/>
    <m/>
    <m/>
    <m/>
    <x v="624"/>
    <x v="2"/>
    <x v="6"/>
  </r>
  <r>
    <x v="14"/>
    <m/>
    <m/>
    <m/>
    <m/>
    <m/>
    <x v="624"/>
    <x v="2"/>
    <x v="6"/>
  </r>
  <r>
    <x v="6"/>
    <m/>
    <m/>
    <m/>
    <m/>
    <m/>
    <x v="624"/>
    <x v="2"/>
    <x v="6"/>
  </r>
  <r>
    <x v="7"/>
    <m/>
    <m/>
    <m/>
    <m/>
    <m/>
    <x v="624"/>
    <x v="2"/>
    <x v="6"/>
  </r>
  <r>
    <x v="15"/>
    <m/>
    <m/>
    <m/>
    <m/>
    <m/>
    <x v="624"/>
    <x v="2"/>
    <x v="6"/>
  </r>
  <r>
    <x v="8"/>
    <m/>
    <m/>
    <n v="270000"/>
    <m/>
    <m/>
    <x v="624"/>
    <x v="2"/>
    <x v="6"/>
  </r>
  <r>
    <x v="9"/>
    <n v="1670000"/>
    <m/>
    <n v="378000"/>
    <n v="108000"/>
    <m/>
    <x v="624"/>
    <x v="2"/>
    <x v="6"/>
  </r>
  <r>
    <x v="10"/>
    <m/>
    <m/>
    <m/>
    <m/>
    <m/>
    <x v="624"/>
    <x v="2"/>
    <x v="6"/>
  </r>
  <r>
    <x v="11"/>
    <m/>
    <m/>
    <m/>
    <m/>
    <m/>
    <x v="624"/>
    <x v="2"/>
    <x v="6"/>
  </r>
  <r>
    <x v="16"/>
    <m/>
    <m/>
    <m/>
    <m/>
    <m/>
    <x v="624"/>
    <x v="2"/>
    <x v="6"/>
  </r>
  <r>
    <x v="12"/>
    <n v="162000"/>
    <n v="270000"/>
    <m/>
    <m/>
    <m/>
    <x v="624"/>
    <x v="2"/>
    <x v="6"/>
  </r>
  <r>
    <x v="13"/>
    <m/>
    <n v="369000"/>
    <m/>
    <m/>
    <m/>
    <x v="624"/>
    <x v="2"/>
    <x v="6"/>
  </r>
  <r>
    <x v="0"/>
    <m/>
    <m/>
    <m/>
    <m/>
    <m/>
    <x v="625"/>
    <x v="2"/>
    <x v="6"/>
  </r>
  <r>
    <x v="1"/>
    <m/>
    <m/>
    <m/>
    <m/>
    <m/>
    <x v="625"/>
    <x v="2"/>
    <x v="6"/>
  </r>
  <r>
    <x v="2"/>
    <m/>
    <m/>
    <m/>
    <m/>
    <m/>
    <x v="625"/>
    <x v="2"/>
    <x v="6"/>
  </r>
  <r>
    <x v="3"/>
    <m/>
    <m/>
    <m/>
    <m/>
    <m/>
    <x v="625"/>
    <x v="2"/>
    <x v="6"/>
  </r>
  <r>
    <x v="4"/>
    <m/>
    <n v="216000"/>
    <m/>
    <m/>
    <m/>
    <x v="625"/>
    <x v="2"/>
    <x v="6"/>
  </r>
  <r>
    <x v="5"/>
    <m/>
    <n v="216000"/>
    <m/>
    <n v="108000"/>
    <m/>
    <x v="625"/>
    <x v="2"/>
    <x v="6"/>
  </r>
  <r>
    <x v="14"/>
    <n v="162000"/>
    <m/>
    <n v="162000"/>
    <m/>
    <m/>
    <x v="625"/>
    <x v="2"/>
    <x v="6"/>
  </r>
  <r>
    <x v="6"/>
    <n v="377500"/>
    <m/>
    <n v="162000"/>
    <m/>
    <m/>
    <x v="625"/>
    <x v="2"/>
    <x v="6"/>
  </r>
  <r>
    <x v="7"/>
    <m/>
    <m/>
    <m/>
    <m/>
    <m/>
    <x v="625"/>
    <x v="2"/>
    <x v="6"/>
  </r>
  <r>
    <x v="15"/>
    <m/>
    <m/>
    <m/>
    <m/>
    <m/>
    <x v="625"/>
    <x v="2"/>
    <x v="6"/>
  </r>
  <r>
    <x v="8"/>
    <n v="270000"/>
    <n v="216000"/>
    <n v="216000"/>
    <m/>
    <m/>
    <x v="625"/>
    <x v="2"/>
    <x v="6"/>
  </r>
  <r>
    <x v="9"/>
    <n v="324000"/>
    <m/>
    <n v="108000"/>
    <m/>
    <m/>
    <x v="625"/>
    <x v="2"/>
    <x v="6"/>
  </r>
  <r>
    <x v="10"/>
    <m/>
    <m/>
    <m/>
    <m/>
    <m/>
    <x v="625"/>
    <x v="2"/>
    <x v="6"/>
  </r>
  <r>
    <x v="11"/>
    <n v="373500"/>
    <m/>
    <m/>
    <m/>
    <m/>
    <x v="625"/>
    <x v="2"/>
    <x v="6"/>
  </r>
  <r>
    <x v="16"/>
    <m/>
    <m/>
    <m/>
    <m/>
    <m/>
    <x v="625"/>
    <x v="2"/>
    <x v="6"/>
  </r>
  <r>
    <x v="12"/>
    <m/>
    <n v="216000"/>
    <m/>
    <m/>
    <m/>
    <x v="625"/>
    <x v="2"/>
    <x v="6"/>
  </r>
  <r>
    <x v="13"/>
    <m/>
    <n v="162000"/>
    <m/>
    <m/>
    <m/>
    <x v="625"/>
    <x v="2"/>
    <x v="6"/>
  </r>
  <r>
    <x v="0"/>
    <m/>
    <m/>
    <m/>
    <m/>
    <m/>
    <x v="626"/>
    <x v="2"/>
    <x v="6"/>
  </r>
  <r>
    <x v="1"/>
    <m/>
    <m/>
    <m/>
    <m/>
    <m/>
    <x v="626"/>
    <x v="2"/>
    <x v="6"/>
  </r>
  <r>
    <x v="2"/>
    <m/>
    <m/>
    <m/>
    <m/>
    <m/>
    <x v="626"/>
    <x v="2"/>
    <x v="6"/>
  </r>
  <r>
    <x v="3"/>
    <m/>
    <m/>
    <m/>
    <m/>
    <m/>
    <x v="626"/>
    <x v="2"/>
    <x v="6"/>
  </r>
  <r>
    <x v="4"/>
    <m/>
    <n v="270000"/>
    <m/>
    <m/>
    <m/>
    <x v="626"/>
    <x v="2"/>
    <x v="6"/>
  </r>
  <r>
    <x v="5"/>
    <m/>
    <n v="373500"/>
    <m/>
    <m/>
    <m/>
    <x v="626"/>
    <x v="2"/>
    <x v="6"/>
  </r>
  <r>
    <x v="14"/>
    <n v="216000"/>
    <m/>
    <n v="324000"/>
    <m/>
    <m/>
    <x v="626"/>
    <x v="2"/>
    <x v="6"/>
  </r>
  <r>
    <x v="6"/>
    <n v="306500"/>
    <m/>
    <n v="108000"/>
    <m/>
    <m/>
    <x v="626"/>
    <x v="2"/>
    <x v="6"/>
  </r>
  <r>
    <x v="7"/>
    <m/>
    <m/>
    <m/>
    <m/>
    <m/>
    <x v="626"/>
    <x v="2"/>
    <x v="6"/>
  </r>
  <r>
    <x v="15"/>
    <m/>
    <m/>
    <m/>
    <m/>
    <m/>
    <x v="626"/>
    <x v="2"/>
    <x v="6"/>
  </r>
  <r>
    <x v="8"/>
    <n v="324000"/>
    <n v="324000"/>
    <n v="162000"/>
    <m/>
    <m/>
    <x v="626"/>
    <x v="2"/>
    <x v="6"/>
  </r>
  <r>
    <x v="9"/>
    <n v="432000"/>
    <n v="108000"/>
    <n v="216000"/>
    <m/>
    <m/>
    <x v="626"/>
    <x v="2"/>
    <x v="6"/>
  </r>
  <r>
    <x v="10"/>
    <m/>
    <m/>
    <m/>
    <m/>
    <m/>
    <x v="626"/>
    <x v="2"/>
    <x v="6"/>
  </r>
  <r>
    <x v="11"/>
    <n v="324000"/>
    <m/>
    <m/>
    <m/>
    <m/>
    <x v="626"/>
    <x v="2"/>
    <x v="6"/>
  </r>
  <r>
    <x v="16"/>
    <m/>
    <m/>
    <m/>
    <m/>
    <m/>
    <x v="626"/>
    <x v="2"/>
    <x v="6"/>
  </r>
  <r>
    <x v="12"/>
    <m/>
    <n v="108000"/>
    <m/>
    <m/>
    <m/>
    <x v="626"/>
    <x v="2"/>
    <x v="6"/>
  </r>
  <r>
    <x v="13"/>
    <m/>
    <n v="270000"/>
    <m/>
    <m/>
    <m/>
    <x v="626"/>
    <x v="2"/>
    <x v="6"/>
  </r>
  <r>
    <x v="0"/>
    <m/>
    <m/>
    <m/>
    <m/>
    <m/>
    <x v="627"/>
    <x v="2"/>
    <x v="6"/>
  </r>
  <r>
    <x v="1"/>
    <m/>
    <m/>
    <m/>
    <m/>
    <m/>
    <x v="627"/>
    <x v="2"/>
    <x v="6"/>
  </r>
  <r>
    <x v="2"/>
    <m/>
    <m/>
    <m/>
    <m/>
    <m/>
    <x v="627"/>
    <x v="2"/>
    <x v="6"/>
  </r>
  <r>
    <x v="3"/>
    <n v="639000"/>
    <m/>
    <n v="162000"/>
    <m/>
    <m/>
    <x v="627"/>
    <x v="2"/>
    <x v="6"/>
  </r>
  <r>
    <x v="4"/>
    <m/>
    <n v="324000"/>
    <m/>
    <m/>
    <m/>
    <x v="627"/>
    <x v="2"/>
    <x v="6"/>
  </r>
  <r>
    <x v="5"/>
    <m/>
    <n v="370000"/>
    <m/>
    <n v="90000"/>
    <m/>
    <x v="627"/>
    <x v="2"/>
    <x v="6"/>
  </r>
  <r>
    <x v="14"/>
    <n v="216000"/>
    <m/>
    <n v="216000"/>
    <m/>
    <m/>
    <x v="627"/>
    <x v="2"/>
    <x v="6"/>
  </r>
  <r>
    <x v="6"/>
    <n v="108000"/>
    <m/>
    <n v="135000"/>
    <m/>
    <m/>
    <x v="627"/>
    <x v="2"/>
    <x v="6"/>
  </r>
  <r>
    <x v="7"/>
    <m/>
    <m/>
    <m/>
    <m/>
    <m/>
    <x v="627"/>
    <x v="2"/>
    <x v="6"/>
  </r>
  <r>
    <x v="15"/>
    <m/>
    <m/>
    <m/>
    <m/>
    <m/>
    <x v="627"/>
    <x v="2"/>
    <x v="6"/>
  </r>
  <r>
    <x v="8"/>
    <n v="270000"/>
    <n v="486000"/>
    <n v="162000"/>
    <m/>
    <m/>
    <x v="627"/>
    <x v="2"/>
    <x v="6"/>
  </r>
  <r>
    <x v="9"/>
    <n v="424000"/>
    <m/>
    <n v="158000"/>
    <m/>
    <m/>
    <x v="627"/>
    <x v="2"/>
    <x v="6"/>
  </r>
  <r>
    <x v="10"/>
    <m/>
    <m/>
    <m/>
    <m/>
    <m/>
    <x v="627"/>
    <x v="2"/>
    <x v="6"/>
  </r>
  <r>
    <x v="11"/>
    <n v="162000"/>
    <m/>
    <m/>
    <m/>
    <m/>
    <x v="627"/>
    <x v="2"/>
    <x v="6"/>
  </r>
  <r>
    <x v="16"/>
    <m/>
    <m/>
    <m/>
    <m/>
    <m/>
    <x v="627"/>
    <x v="2"/>
    <x v="6"/>
  </r>
  <r>
    <x v="12"/>
    <m/>
    <m/>
    <m/>
    <m/>
    <m/>
    <x v="627"/>
    <x v="2"/>
    <x v="6"/>
  </r>
  <r>
    <x v="13"/>
    <m/>
    <n v="324000"/>
    <m/>
    <m/>
    <m/>
    <x v="627"/>
    <x v="2"/>
    <x v="6"/>
  </r>
  <r>
    <x v="0"/>
    <m/>
    <m/>
    <m/>
    <m/>
    <m/>
    <x v="628"/>
    <x v="2"/>
    <x v="6"/>
  </r>
  <r>
    <x v="1"/>
    <m/>
    <m/>
    <m/>
    <m/>
    <m/>
    <x v="628"/>
    <x v="2"/>
    <x v="6"/>
  </r>
  <r>
    <x v="2"/>
    <m/>
    <m/>
    <m/>
    <m/>
    <m/>
    <x v="628"/>
    <x v="2"/>
    <x v="6"/>
  </r>
  <r>
    <x v="3"/>
    <n v="531000"/>
    <m/>
    <n v="54000"/>
    <m/>
    <m/>
    <x v="628"/>
    <x v="2"/>
    <x v="6"/>
  </r>
  <r>
    <x v="4"/>
    <m/>
    <n v="162000"/>
    <m/>
    <m/>
    <m/>
    <x v="628"/>
    <x v="2"/>
    <x v="6"/>
  </r>
  <r>
    <x v="5"/>
    <m/>
    <n v="535500"/>
    <m/>
    <m/>
    <m/>
    <x v="628"/>
    <x v="2"/>
    <x v="6"/>
  </r>
  <r>
    <x v="14"/>
    <n v="162000"/>
    <m/>
    <n v="108000"/>
    <m/>
    <m/>
    <x v="628"/>
    <x v="2"/>
    <x v="6"/>
  </r>
  <r>
    <x v="6"/>
    <m/>
    <m/>
    <n v="50000"/>
    <m/>
    <m/>
    <x v="628"/>
    <x v="2"/>
    <x v="6"/>
  </r>
  <r>
    <x v="7"/>
    <m/>
    <m/>
    <m/>
    <m/>
    <m/>
    <x v="628"/>
    <x v="2"/>
    <x v="6"/>
  </r>
  <r>
    <x v="15"/>
    <m/>
    <m/>
    <m/>
    <m/>
    <m/>
    <x v="628"/>
    <x v="2"/>
    <x v="6"/>
  </r>
  <r>
    <x v="8"/>
    <n v="270000"/>
    <n v="324000"/>
    <n v="324000"/>
    <m/>
    <m/>
    <x v="628"/>
    <x v="2"/>
    <x v="6"/>
  </r>
  <r>
    <x v="9"/>
    <n v="265500"/>
    <n v="54000"/>
    <n v="432000"/>
    <m/>
    <m/>
    <x v="628"/>
    <x v="2"/>
    <x v="6"/>
  </r>
  <r>
    <x v="10"/>
    <m/>
    <m/>
    <m/>
    <m/>
    <m/>
    <x v="628"/>
    <x v="2"/>
    <x v="6"/>
  </r>
  <r>
    <x v="11"/>
    <n v="108000"/>
    <m/>
    <m/>
    <m/>
    <m/>
    <x v="628"/>
    <x v="2"/>
    <x v="6"/>
  </r>
  <r>
    <x v="16"/>
    <m/>
    <m/>
    <m/>
    <m/>
    <m/>
    <x v="628"/>
    <x v="2"/>
    <x v="6"/>
  </r>
  <r>
    <x v="12"/>
    <m/>
    <m/>
    <m/>
    <m/>
    <m/>
    <x v="628"/>
    <x v="2"/>
    <x v="6"/>
  </r>
  <r>
    <x v="13"/>
    <m/>
    <n v="153000"/>
    <m/>
    <m/>
    <m/>
    <x v="628"/>
    <x v="2"/>
    <x v="6"/>
  </r>
  <r>
    <x v="0"/>
    <m/>
    <m/>
    <m/>
    <m/>
    <m/>
    <x v="629"/>
    <x v="2"/>
    <x v="6"/>
  </r>
  <r>
    <x v="1"/>
    <m/>
    <m/>
    <m/>
    <m/>
    <m/>
    <x v="629"/>
    <x v="2"/>
    <x v="6"/>
  </r>
  <r>
    <x v="2"/>
    <m/>
    <m/>
    <m/>
    <m/>
    <m/>
    <x v="629"/>
    <x v="2"/>
    <x v="6"/>
  </r>
  <r>
    <x v="3"/>
    <n v="153000"/>
    <m/>
    <m/>
    <m/>
    <m/>
    <x v="629"/>
    <x v="2"/>
    <x v="6"/>
  </r>
  <r>
    <x v="4"/>
    <m/>
    <n v="108000"/>
    <m/>
    <m/>
    <m/>
    <x v="629"/>
    <x v="2"/>
    <x v="6"/>
  </r>
  <r>
    <x v="5"/>
    <m/>
    <n v="531500"/>
    <m/>
    <m/>
    <m/>
    <x v="629"/>
    <x v="2"/>
    <x v="6"/>
  </r>
  <r>
    <x v="14"/>
    <n v="162000"/>
    <m/>
    <m/>
    <m/>
    <m/>
    <x v="629"/>
    <x v="2"/>
    <x v="6"/>
  </r>
  <r>
    <x v="6"/>
    <n v="54000"/>
    <m/>
    <m/>
    <m/>
    <m/>
    <x v="629"/>
    <x v="2"/>
    <x v="6"/>
  </r>
  <r>
    <x v="7"/>
    <m/>
    <m/>
    <m/>
    <m/>
    <m/>
    <x v="629"/>
    <x v="2"/>
    <x v="6"/>
  </r>
  <r>
    <x v="15"/>
    <m/>
    <m/>
    <m/>
    <m/>
    <m/>
    <x v="629"/>
    <x v="2"/>
    <x v="6"/>
  </r>
  <r>
    <x v="8"/>
    <n v="216000"/>
    <m/>
    <n v="486000"/>
    <m/>
    <m/>
    <x v="629"/>
    <x v="2"/>
    <x v="6"/>
  </r>
  <r>
    <x v="9"/>
    <n v="418500"/>
    <n v="90000"/>
    <n v="432000"/>
    <m/>
    <m/>
    <x v="629"/>
    <x v="2"/>
    <x v="6"/>
  </r>
  <r>
    <x v="10"/>
    <m/>
    <m/>
    <m/>
    <m/>
    <m/>
    <x v="629"/>
    <x v="2"/>
    <x v="6"/>
  </r>
  <r>
    <x v="11"/>
    <n v="270000"/>
    <m/>
    <m/>
    <m/>
    <m/>
    <x v="629"/>
    <x v="2"/>
    <x v="6"/>
  </r>
  <r>
    <x v="16"/>
    <m/>
    <m/>
    <m/>
    <m/>
    <m/>
    <x v="629"/>
    <x v="2"/>
    <x v="6"/>
  </r>
  <r>
    <x v="12"/>
    <m/>
    <m/>
    <m/>
    <m/>
    <m/>
    <x v="629"/>
    <x v="2"/>
    <x v="6"/>
  </r>
  <r>
    <x v="13"/>
    <m/>
    <n v="54000"/>
    <m/>
    <m/>
    <m/>
    <x v="629"/>
    <x v="2"/>
    <x v="6"/>
  </r>
  <r>
    <x v="0"/>
    <n v="216000"/>
    <m/>
    <m/>
    <m/>
    <m/>
    <x v="630"/>
    <x v="2"/>
    <x v="6"/>
  </r>
  <r>
    <x v="1"/>
    <m/>
    <m/>
    <m/>
    <m/>
    <m/>
    <x v="630"/>
    <x v="2"/>
    <x v="6"/>
  </r>
  <r>
    <x v="2"/>
    <m/>
    <m/>
    <m/>
    <m/>
    <m/>
    <x v="630"/>
    <x v="2"/>
    <x v="6"/>
  </r>
  <r>
    <x v="3"/>
    <m/>
    <m/>
    <m/>
    <m/>
    <m/>
    <x v="630"/>
    <x v="2"/>
    <x v="6"/>
  </r>
  <r>
    <x v="4"/>
    <m/>
    <m/>
    <m/>
    <m/>
    <m/>
    <x v="630"/>
    <x v="2"/>
    <x v="6"/>
  </r>
  <r>
    <x v="5"/>
    <m/>
    <n v="427500"/>
    <m/>
    <m/>
    <m/>
    <x v="630"/>
    <x v="2"/>
    <x v="6"/>
  </r>
  <r>
    <x v="14"/>
    <n v="270000"/>
    <m/>
    <m/>
    <m/>
    <m/>
    <x v="630"/>
    <x v="2"/>
    <x v="6"/>
  </r>
  <r>
    <x v="6"/>
    <n v="153000"/>
    <m/>
    <m/>
    <m/>
    <m/>
    <x v="630"/>
    <x v="2"/>
    <x v="6"/>
  </r>
  <r>
    <x v="7"/>
    <m/>
    <m/>
    <m/>
    <m/>
    <m/>
    <x v="630"/>
    <x v="2"/>
    <x v="6"/>
  </r>
  <r>
    <x v="15"/>
    <m/>
    <m/>
    <m/>
    <m/>
    <m/>
    <x v="630"/>
    <x v="2"/>
    <x v="6"/>
  </r>
  <r>
    <x v="8"/>
    <n v="270000"/>
    <m/>
    <n v="270000"/>
    <m/>
    <m/>
    <x v="630"/>
    <x v="2"/>
    <x v="6"/>
  </r>
  <r>
    <x v="9"/>
    <n v="216000"/>
    <n v="378000"/>
    <n v="486000"/>
    <m/>
    <m/>
    <x v="630"/>
    <x v="2"/>
    <x v="6"/>
  </r>
  <r>
    <x v="10"/>
    <m/>
    <m/>
    <m/>
    <m/>
    <m/>
    <x v="630"/>
    <x v="2"/>
    <x v="6"/>
  </r>
  <r>
    <x v="11"/>
    <m/>
    <m/>
    <m/>
    <m/>
    <m/>
    <x v="630"/>
    <x v="2"/>
    <x v="6"/>
  </r>
  <r>
    <x v="16"/>
    <m/>
    <m/>
    <m/>
    <m/>
    <m/>
    <x v="630"/>
    <x v="2"/>
    <x v="6"/>
  </r>
  <r>
    <x v="12"/>
    <m/>
    <m/>
    <m/>
    <m/>
    <m/>
    <x v="630"/>
    <x v="2"/>
    <x v="6"/>
  </r>
  <r>
    <x v="13"/>
    <n v="202500"/>
    <m/>
    <n v="216000"/>
    <m/>
    <m/>
    <x v="630"/>
    <x v="2"/>
    <x v="6"/>
  </r>
  <r>
    <x v="0"/>
    <n v="108000"/>
    <m/>
    <m/>
    <m/>
    <m/>
    <x v="631"/>
    <x v="2"/>
    <x v="6"/>
  </r>
  <r>
    <x v="1"/>
    <m/>
    <m/>
    <m/>
    <m/>
    <m/>
    <x v="631"/>
    <x v="2"/>
    <x v="6"/>
  </r>
  <r>
    <x v="2"/>
    <m/>
    <m/>
    <m/>
    <m/>
    <m/>
    <x v="631"/>
    <x v="2"/>
    <x v="6"/>
  </r>
  <r>
    <x v="3"/>
    <n v="536000"/>
    <m/>
    <n v="216000"/>
    <m/>
    <m/>
    <x v="631"/>
    <x v="2"/>
    <x v="6"/>
  </r>
  <r>
    <x v="4"/>
    <m/>
    <m/>
    <m/>
    <m/>
    <m/>
    <x v="631"/>
    <x v="2"/>
    <x v="6"/>
  </r>
  <r>
    <x v="5"/>
    <n v="216000"/>
    <m/>
    <n v="108000"/>
    <m/>
    <m/>
    <x v="631"/>
    <x v="2"/>
    <x v="6"/>
  </r>
  <r>
    <x v="14"/>
    <n v="54000"/>
    <m/>
    <m/>
    <m/>
    <m/>
    <x v="631"/>
    <x v="2"/>
    <x v="6"/>
  </r>
  <r>
    <x v="6"/>
    <m/>
    <m/>
    <m/>
    <m/>
    <m/>
    <x v="631"/>
    <x v="2"/>
    <x v="6"/>
  </r>
  <r>
    <x v="7"/>
    <m/>
    <m/>
    <m/>
    <m/>
    <m/>
    <x v="631"/>
    <x v="2"/>
    <x v="6"/>
  </r>
  <r>
    <x v="15"/>
    <m/>
    <m/>
    <m/>
    <m/>
    <m/>
    <x v="631"/>
    <x v="2"/>
    <x v="6"/>
  </r>
  <r>
    <x v="8"/>
    <n v="107500"/>
    <m/>
    <n v="270000"/>
    <m/>
    <m/>
    <x v="631"/>
    <x v="2"/>
    <x v="6"/>
  </r>
  <r>
    <x v="9"/>
    <n v="157500"/>
    <n v="1021500"/>
    <n v="261000"/>
    <m/>
    <m/>
    <x v="631"/>
    <x v="2"/>
    <x v="6"/>
  </r>
  <r>
    <x v="10"/>
    <m/>
    <m/>
    <m/>
    <m/>
    <m/>
    <x v="631"/>
    <x v="2"/>
    <x v="6"/>
  </r>
  <r>
    <x v="11"/>
    <m/>
    <m/>
    <m/>
    <m/>
    <m/>
    <x v="631"/>
    <x v="2"/>
    <x v="6"/>
  </r>
  <r>
    <x v="16"/>
    <m/>
    <m/>
    <m/>
    <m/>
    <m/>
    <x v="631"/>
    <x v="2"/>
    <x v="6"/>
  </r>
  <r>
    <x v="12"/>
    <m/>
    <m/>
    <m/>
    <m/>
    <m/>
    <x v="631"/>
    <x v="2"/>
    <x v="6"/>
  </r>
  <r>
    <x v="13"/>
    <n v="158000"/>
    <m/>
    <n v="108000"/>
    <m/>
    <m/>
    <x v="631"/>
    <x v="2"/>
    <x v="6"/>
  </r>
  <r>
    <x v="0"/>
    <n v="99000"/>
    <n v="211500"/>
    <m/>
    <m/>
    <m/>
    <x v="632"/>
    <x v="2"/>
    <x v="6"/>
  </r>
  <r>
    <x v="1"/>
    <m/>
    <m/>
    <m/>
    <m/>
    <m/>
    <x v="632"/>
    <x v="2"/>
    <x v="6"/>
  </r>
  <r>
    <x v="2"/>
    <m/>
    <m/>
    <m/>
    <m/>
    <m/>
    <x v="632"/>
    <x v="2"/>
    <x v="6"/>
  </r>
  <r>
    <x v="3"/>
    <n v="486000"/>
    <m/>
    <m/>
    <m/>
    <m/>
    <x v="632"/>
    <x v="2"/>
    <x v="6"/>
  </r>
  <r>
    <x v="4"/>
    <m/>
    <m/>
    <m/>
    <m/>
    <m/>
    <x v="632"/>
    <x v="2"/>
    <x v="6"/>
  </r>
  <r>
    <x v="5"/>
    <n v="270000"/>
    <m/>
    <m/>
    <m/>
    <m/>
    <x v="632"/>
    <x v="2"/>
    <x v="6"/>
  </r>
  <r>
    <x v="14"/>
    <n v="108000"/>
    <m/>
    <m/>
    <m/>
    <m/>
    <x v="632"/>
    <x v="2"/>
    <x v="6"/>
  </r>
  <r>
    <x v="6"/>
    <m/>
    <m/>
    <m/>
    <m/>
    <m/>
    <x v="632"/>
    <x v="2"/>
    <x v="6"/>
  </r>
  <r>
    <x v="7"/>
    <m/>
    <m/>
    <m/>
    <m/>
    <m/>
    <x v="632"/>
    <x v="2"/>
    <x v="6"/>
  </r>
  <r>
    <x v="15"/>
    <m/>
    <m/>
    <m/>
    <m/>
    <m/>
    <x v="632"/>
    <x v="2"/>
    <x v="6"/>
  </r>
  <r>
    <x v="8"/>
    <n v="216000"/>
    <m/>
    <n v="54000"/>
    <m/>
    <m/>
    <x v="632"/>
    <x v="2"/>
    <x v="6"/>
  </r>
  <r>
    <x v="9"/>
    <n v="158000"/>
    <n v="270000"/>
    <n v="257000"/>
    <m/>
    <m/>
    <x v="632"/>
    <x v="2"/>
    <x v="6"/>
  </r>
  <r>
    <x v="10"/>
    <m/>
    <m/>
    <m/>
    <m/>
    <m/>
    <x v="632"/>
    <x v="2"/>
    <x v="6"/>
  </r>
  <r>
    <x v="11"/>
    <m/>
    <n v="316000"/>
    <m/>
    <m/>
    <m/>
    <x v="632"/>
    <x v="2"/>
    <x v="6"/>
  </r>
  <r>
    <x v="16"/>
    <m/>
    <m/>
    <m/>
    <m/>
    <m/>
    <x v="632"/>
    <x v="2"/>
    <x v="6"/>
  </r>
  <r>
    <x v="12"/>
    <m/>
    <m/>
    <m/>
    <m/>
    <m/>
    <x v="632"/>
    <x v="2"/>
    <x v="6"/>
  </r>
  <r>
    <x v="13"/>
    <n v="49500"/>
    <m/>
    <n v="54000"/>
    <m/>
    <m/>
    <x v="632"/>
    <x v="2"/>
    <x v="6"/>
  </r>
  <r>
    <x v="0"/>
    <n v="162000"/>
    <n v="198000"/>
    <m/>
    <m/>
    <m/>
    <x v="633"/>
    <x v="2"/>
    <x v="6"/>
  </r>
  <r>
    <x v="1"/>
    <m/>
    <m/>
    <m/>
    <m/>
    <m/>
    <x v="633"/>
    <x v="2"/>
    <x v="6"/>
  </r>
  <r>
    <x v="2"/>
    <m/>
    <m/>
    <m/>
    <m/>
    <m/>
    <x v="633"/>
    <x v="2"/>
    <x v="6"/>
  </r>
  <r>
    <x v="3"/>
    <n v="324000"/>
    <m/>
    <m/>
    <m/>
    <m/>
    <x v="633"/>
    <x v="2"/>
    <x v="6"/>
  </r>
  <r>
    <x v="4"/>
    <m/>
    <m/>
    <m/>
    <m/>
    <m/>
    <x v="633"/>
    <x v="2"/>
    <x v="6"/>
  </r>
  <r>
    <x v="5"/>
    <n v="311000"/>
    <m/>
    <m/>
    <m/>
    <m/>
    <x v="633"/>
    <x v="2"/>
    <x v="6"/>
  </r>
  <r>
    <x v="14"/>
    <n v="162000"/>
    <m/>
    <m/>
    <m/>
    <m/>
    <x v="633"/>
    <x v="2"/>
    <x v="6"/>
  </r>
  <r>
    <x v="6"/>
    <m/>
    <m/>
    <m/>
    <m/>
    <m/>
    <x v="633"/>
    <x v="2"/>
    <x v="6"/>
  </r>
  <r>
    <x v="7"/>
    <m/>
    <m/>
    <m/>
    <m/>
    <m/>
    <x v="633"/>
    <x v="2"/>
    <x v="6"/>
  </r>
  <r>
    <x v="15"/>
    <m/>
    <m/>
    <m/>
    <m/>
    <m/>
    <x v="633"/>
    <x v="2"/>
    <x v="6"/>
  </r>
  <r>
    <x v="8"/>
    <n v="162000"/>
    <n v="414000"/>
    <m/>
    <m/>
    <m/>
    <x v="633"/>
    <x v="2"/>
    <x v="6"/>
  </r>
  <r>
    <x v="9"/>
    <n v="108000"/>
    <n v="252000"/>
    <m/>
    <m/>
    <m/>
    <x v="633"/>
    <x v="2"/>
    <x v="6"/>
  </r>
  <r>
    <x v="10"/>
    <m/>
    <m/>
    <m/>
    <m/>
    <m/>
    <x v="633"/>
    <x v="2"/>
    <x v="6"/>
  </r>
  <r>
    <x v="11"/>
    <m/>
    <n v="270000"/>
    <m/>
    <m/>
    <m/>
    <x v="633"/>
    <x v="2"/>
    <x v="6"/>
  </r>
  <r>
    <x v="16"/>
    <m/>
    <m/>
    <m/>
    <m/>
    <m/>
    <x v="633"/>
    <x v="2"/>
    <x v="6"/>
  </r>
  <r>
    <x v="12"/>
    <m/>
    <m/>
    <m/>
    <m/>
    <m/>
    <x v="633"/>
    <x v="2"/>
    <x v="6"/>
  </r>
  <r>
    <x v="13"/>
    <n v="108000"/>
    <m/>
    <m/>
    <m/>
    <m/>
    <x v="633"/>
    <x v="2"/>
    <x v="6"/>
  </r>
  <r>
    <x v="0"/>
    <n v="216000"/>
    <m/>
    <m/>
    <m/>
    <m/>
    <x v="634"/>
    <x v="2"/>
    <x v="6"/>
  </r>
  <r>
    <x v="1"/>
    <m/>
    <m/>
    <m/>
    <m/>
    <m/>
    <x v="634"/>
    <x v="2"/>
    <x v="6"/>
  </r>
  <r>
    <x v="2"/>
    <m/>
    <m/>
    <m/>
    <m/>
    <m/>
    <x v="634"/>
    <x v="2"/>
    <x v="6"/>
  </r>
  <r>
    <x v="3"/>
    <m/>
    <m/>
    <m/>
    <m/>
    <m/>
    <x v="634"/>
    <x v="2"/>
    <x v="6"/>
  </r>
  <r>
    <x v="4"/>
    <m/>
    <m/>
    <m/>
    <m/>
    <m/>
    <x v="634"/>
    <x v="2"/>
    <x v="6"/>
  </r>
  <r>
    <x v="5"/>
    <n v="423500"/>
    <m/>
    <m/>
    <m/>
    <m/>
    <x v="634"/>
    <x v="2"/>
    <x v="6"/>
  </r>
  <r>
    <x v="14"/>
    <m/>
    <m/>
    <m/>
    <m/>
    <m/>
    <x v="634"/>
    <x v="2"/>
    <x v="6"/>
  </r>
  <r>
    <x v="6"/>
    <m/>
    <m/>
    <m/>
    <m/>
    <m/>
    <x v="634"/>
    <x v="2"/>
    <x v="6"/>
  </r>
  <r>
    <x v="7"/>
    <m/>
    <m/>
    <m/>
    <m/>
    <m/>
    <x v="634"/>
    <x v="2"/>
    <x v="6"/>
  </r>
  <r>
    <x v="15"/>
    <m/>
    <m/>
    <m/>
    <m/>
    <m/>
    <x v="634"/>
    <x v="2"/>
    <x v="6"/>
  </r>
  <r>
    <x v="8"/>
    <n v="270000"/>
    <n v="162000"/>
    <m/>
    <m/>
    <m/>
    <x v="634"/>
    <x v="2"/>
    <x v="6"/>
  </r>
  <r>
    <x v="9"/>
    <m/>
    <n v="319500"/>
    <m/>
    <m/>
    <m/>
    <x v="634"/>
    <x v="2"/>
    <x v="6"/>
  </r>
  <r>
    <x v="10"/>
    <m/>
    <m/>
    <m/>
    <m/>
    <m/>
    <x v="634"/>
    <x v="2"/>
    <x v="6"/>
  </r>
  <r>
    <x v="11"/>
    <n v="270000"/>
    <n v="432000"/>
    <m/>
    <m/>
    <m/>
    <x v="634"/>
    <x v="2"/>
    <x v="6"/>
  </r>
  <r>
    <x v="16"/>
    <m/>
    <m/>
    <m/>
    <m/>
    <m/>
    <x v="634"/>
    <x v="2"/>
    <x v="6"/>
  </r>
  <r>
    <x v="12"/>
    <m/>
    <m/>
    <m/>
    <m/>
    <m/>
    <x v="634"/>
    <x v="2"/>
    <x v="6"/>
  </r>
  <r>
    <x v="13"/>
    <n v="270000"/>
    <m/>
    <m/>
    <m/>
    <m/>
    <x v="634"/>
    <x v="2"/>
    <x v="6"/>
  </r>
  <r>
    <x v="0"/>
    <n v="216000"/>
    <n v="306000"/>
    <m/>
    <m/>
    <m/>
    <x v="635"/>
    <x v="2"/>
    <x v="6"/>
  </r>
  <r>
    <x v="1"/>
    <m/>
    <m/>
    <m/>
    <m/>
    <m/>
    <x v="635"/>
    <x v="2"/>
    <x v="6"/>
  </r>
  <r>
    <x v="2"/>
    <m/>
    <m/>
    <m/>
    <m/>
    <m/>
    <x v="635"/>
    <x v="2"/>
    <x v="6"/>
  </r>
  <r>
    <x v="3"/>
    <m/>
    <m/>
    <m/>
    <m/>
    <m/>
    <x v="635"/>
    <x v="2"/>
    <x v="6"/>
  </r>
  <r>
    <x v="4"/>
    <m/>
    <m/>
    <m/>
    <m/>
    <m/>
    <x v="635"/>
    <x v="2"/>
    <x v="6"/>
  </r>
  <r>
    <x v="5"/>
    <n v="216000"/>
    <m/>
    <m/>
    <m/>
    <m/>
    <x v="635"/>
    <x v="2"/>
    <x v="6"/>
  </r>
  <r>
    <x v="14"/>
    <n v="108000"/>
    <m/>
    <m/>
    <m/>
    <m/>
    <x v="635"/>
    <x v="2"/>
    <x v="6"/>
  </r>
  <r>
    <x v="6"/>
    <m/>
    <m/>
    <m/>
    <m/>
    <m/>
    <x v="635"/>
    <x v="2"/>
    <x v="6"/>
  </r>
  <r>
    <x v="7"/>
    <m/>
    <m/>
    <m/>
    <m/>
    <m/>
    <x v="635"/>
    <x v="2"/>
    <x v="6"/>
  </r>
  <r>
    <x v="15"/>
    <m/>
    <m/>
    <m/>
    <m/>
    <m/>
    <x v="635"/>
    <x v="2"/>
    <x v="6"/>
  </r>
  <r>
    <x v="8"/>
    <n v="324000"/>
    <m/>
    <m/>
    <m/>
    <m/>
    <x v="635"/>
    <x v="2"/>
    <x v="6"/>
  </r>
  <r>
    <x v="9"/>
    <n v="419000"/>
    <m/>
    <m/>
    <m/>
    <m/>
    <x v="635"/>
    <x v="2"/>
    <x v="6"/>
  </r>
  <r>
    <x v="10"/>
    <m/>
    <m/>
    <m/>
    <m/>
    <m/>
    <x v="635"/>
    <x v="2"/>
    <x v="6"/>
  </r>
  <r>
    <x v="11"/>
    <n v="54000"/>
    <n v="482000"/>
    <m/>
    <m/>
    <m/>
    <x v="635"/>
    <x v="2"/>
    <x v="6"/>
  </r>
  <r>
    <x v="16"/>
    <m/>
    <m/>
    <m/>
    <m/>
    <m/>
    <x v="635"/>
    <x v="2"/>
    <x v="6"/>
  </r>
  <r>
    <x v="12"/>
    <m/>
    <m/>
    <m/>
    <m/>
    <m/>
    <x v="635"/>
    <x v="2"/>
    <x v="6"/>
  </r>
  <r>
    <x v="13"/>
    <n v="162000"/>
    <m/>
    <m/>
    <m/>
    <m/>
    <x v="635"/>
    <x v="2"/>
    <x v="6"/>
  </r>
  <r>
    <x v="0"/>
    <n v="540000"/>
    <n v="216000"/>
    <m/>
    <m/>
    <m/>
    <x v="636"/>
    <x v="2"/>
    <x v="6"/>
  </r>
  <r>
    <x v="1"/>
    <m/>
    <m/>
    <m/>
    <m/>
    <m/>
    <x v="636"/>
    <x v="2"/>
    <x v="6"/>
  </r>
  <r>
    <x v="2"/>
    <n v="54000"/>
    <m/>
    <m/>
    <m/>
    <m/>
    <x v="636"/>
    <x v="2"/>
    <x v="6"/>
  </r>
  <r>
    <x v="3"/>
    <m/>
    <m/>
    <m/>
    <m/>
    <m/>
    <x v="636"/>
    <x v="2"/>
    <x v="6"/>
  </r>
  <r>
    <x v="4"/>
    <n v="108000"/>
    <m/>
    <m/>
    <m/>
    <m/>
    <x v="636"/>
    <x v="2"/>
    <x v="6"/>
  </r>
  <r>
    <x v="5"/>
    <n v="315000"/>
    <m/>
    <m/>
    <m/>
    <m/>
    <x v="636"/>
    <x v="2"/>
    <x v="6"/>
  </r>
  <r>
    <x v="14"/>
    <m/>
    <m/>
    <m/>
    <n v="216000"/>
    <n v="158000"/>
    <x v="636"/>
    <x v="2"/>
    <x v="6"/>
  </r>
  <r>
    <x v="6"/>
    <m/>
    <m/>
    <m/>
    <m/>
    <m/>
    <x v="636"/>
    <x v="2"/>
    <x v="6"/>
  </r>
  <r>
    <x v="7"/>
    <m/>
    <m/>
    <m/>
    <m/>
    <m/>
    <x v="636"/>
    <x v="2"/>
    <x v="6"/>
  </r>
  <r>
    <x v="15"/>
    <m/>
    <m/>
    <m/>
    <m/>
    <m/>
    <x v="636"/>
    <x v="2"/>
    <x v="6"/>
  </r>
  <r>
    <x v="8"/>
    <n v="370000"/>
    <m/>
    <m/>
    <m/>
    <n v="216000"/>
    <x v="636"/>
    <x v="2"/>
    <x v="6"/>
  </r>
  <r>
    <x v="9"/>
    <n v="540000"/>
    <n v="486000"/>
    <m/>
    <n v="270000"/>
    <n v="162000"/>
    <x v="636"/>
    <x v="2"/>
    <x v="6"/>
  </r>
  <r>
    <x v="10"/>
    <m/>
    <m/>
    <m/>
    <m/>
    <m/>
    <x v="636"/>
    <x v="2"/>
    <x v="6"/>
  </r>
  <r>
    <x v="11"/>
    <m/>
    <m/>
    <m/>
    <m/>
    <m/>
    <x v="636"/>
    <x v="2"/>
    <x v="6"/>
  </r>
  <r>
    <x v="16"/>
    <m/>
    <m/>
    <m/>
    <m/>
    <m/>
    <x v="636"/>
    <x v="2"/>
    <x v="6"/>
  </r>
  <r>
    <x v="12"/>
    <m/>
    <m/>
    <m/>
    <m/>
    <m/>
    <x v="636"/>
    <x v="2"/>
    <x v="6"/>
  </r>
  <r>
    <x v="13"/>
    <m/>
    <m/>
    <m/>
    <m/>
    <m/>
    <x v="636"/>
    <x v="2"/>
    <x v="6"/>
  </r>
  <r>
    <x v="0"/>
    <m/>
    <m/>
    <m/>
    <m/>
    <m/>
    <x v="637"/>
    <x v="2"/>
    <x v="7"/>
  </r>
  <r>
    <x v="1"/>
    <m/>
    <m/>
    <m/>
    <m/>
    <m/>
    <x v="637"/>
    <x v="2"/>
    <x v="7"/>
  </r>
  <r>
    <x v="2"/>
    <m/>
    <m/>
    <m/>
    <m/>
    <m/>
    <x v="637"/>
    <x v="2"/>
    <x v="7"/>
  </r>
  <r>
    <x v="3"/>
    <m/>
    <m/>
    <m/>
    <m/>
    <m/>
    <x v="637"/>
    <x v="2"/>
    <x v="7"/>
  </r>
  <r>
    <x v="4"/>
    <n v="108000"/>
    <m/>
    <m/>
    <m/>
    <m/>
    <x v="637"/>
    <x v="2"/>
    <x v="7"/>
  </r>
  <r>
    <x v="5"/>
    <n v="54000"/>
    <m/>
    <m/>
    <m/>
    <m/>
    <x v="637"/>
    <x v="2"/>
    <x v="7"/>
  </r>
  <r>
    <x v="14"/>
    <m/>
    <m/>
    <m/>
    <m/>
    <n v="108000"/>
    <x v="637"/>
    <x v="2"/>
    <x v="7"/>
  </r>
  <r>
    <x v="6"/>
    <n v="104000"/>
    <m/>
    <m/>
    <m/>
    <n v="54000"/>
    <x v="637"/>
    <x v="2"/>
    <x v="7"/>
  </r>
  <r>
    <x v="7"/>
    <m/>
    <m/>
    <m/>
    <m/>
    <m/>
    <x v="637"/>
    <x v="2"/>
    <x v="7"/>
  </r>
  <r>
    <x v="15"/>
    <m/>
    <m/>
    <m/>
    <m/>
    <m/>
    <x v="637"/>
    <x v="2"/>
    <x v="7"/>
  </r>
  <r>
    <x v="8"/>
    <n v="108000"/>
    <m/>
    <m/>
    <m/>
    <n v="162000"/>
    <x v="637"/>
    <x v="2"/>
    <x v="7"/>
  </r>
  <r>
    <x v="9"/>
    <n v="54000"/>
    <m/>
    <m/>
    <m/>
    <n v="54000"/>
    <x v="637"/>
    <x v="2"/>
    <x v="7"/>
  </r>
  <r>
    <x v="10"/>
    <m/>
    <m/>
    <m/>
    <m/>
    <m/>
    <x v="637"/>
    <x v="2"/>
    <x v="7"/>
  </r>
  <r>
    <x v="11"/>
    <m/>
    <m/>
    <m/>
    <m/>
    <m/>
    <x v="637"/>
    <x v="2"/>
    <x v="7"/>
  </r>
  <r>
    <x v="16"/>
    <m/>
    <m/>
    <m/>
    <m/>
    <m/>
    <x v="637"/>
    <x v="2"/>
    <x v="7"/>
  </r>
  <r>
    <x v="12"/>
    <m/>
    <m/>
    <m/>
    <m/>
    <m/>
    <x v="637"/>
    <x v="2"/>
    <x v="7"/>
  </r>
  <r>
    <x v="13"/>
    <n v="54000"/>
    <m/>
    <m/>
    <m/>
    <m/>
    <x v="637"/>
    <x v="2"/>
    <x v="7"/>
  </r>
  <r>
    <x v="0"/>
    <n v="108000"/>
    <n v="108000"/>
    <m/>
    <m/>
    <m/>
    <x v="638"/>
    <x v="2"/>
    <x v="7"/>
  </r>
  <r>
    <x v="1"/>
    <m/>
    <m/>
    <m/>
    <m/>
    <m/>
    <x v="638"/>
    <x v="2"/>
    <x v="7"/>
  </r>
  <r>
    <x v="2"/>
    <n v="162000"/>
    <m/>
    <m/>
    <m/>
    <m/>
    <x v="638"/>
    <x v="2"/>
    <x v="7"/>
  </r>
  <r>
    <x v="3"/>
    <m/>
    <m/>
    <m/>
    <m/>
    <m/>
    <x v="638"/>
    <x v="2"/>
    <x v="7"/>
  </r>
  <r>
    <x v="4"/>
    <n v="99500"/>
    <m/>
    <m/>
    <m/>
    <m/>
    <x v="638"/>
    <x v="2"/>
    <x v="7"/>
  </r>
  <r>
    <x v="5"/>
    <n v="153000"/>
    <n v="216000"/>
    <m/>
    <m/>
    <m/>
    <x v="638"/>
    <x v="2"/>
    <x v="7"/>
  </r>
  <r>
    <x v="14"/>
    <n v="162000"/>
    <n v="108000"/>
    <m/>
    <n v="216000"/>
    <n v="108000"/>
    <x v="638"/>
    <x v="2"/>
    <x v="7"/>
  </r>
  <r>
    <x v="6"/>
    <n v="162000"/>
    <n v="104000"/>
    <m/>
    <m/>
    <n v="108000"/>
    <x v="638"/>
    <x v="2"/>
    <x v="7"/>
  </r>
  <r>
    <x v="7"/>
    <m/>
    <m/>
    <m/>
    <m/>
    <m/>
    <x v="638"/>
    <x v="2"/>
    <x v="7"/>
  </r>
  <r>
    <x v="15"/>
    <m/>
    <m/>
    <m/>
    <m/>
    <m/>
    <x v="638"/>
    <x v="2"/>
    <x v="7"/>
  </r>
  <r>
    <x v="8"/>
    <n v="270000"/>
    <n v="315000"/>
    <m/>
    <m/>
    <n v="108000"/>
    <x v="638"/>
    <x v="2"/>
    <x v="7"/>
  </r>
  <r>
    <x v="9"/>
    <n v="324000"/>
    <n v="54000"/>
    <m/>
    <n v="216000"/>
    <n v="108000"/>
    <x v="638"/>
    <x v="2"/>
    <x v="7"/>
  </r>
  <r>
    <x v="10"/>
    <m/>
    <m/>
    <m/>
    <m/>
    <m/>
    <x v="638"/>
    <x v="2"/>
    <x v="7"/>
  </r>
  <r>
    <x v="11"/>
    <n v="162000"/>
    <n v="162000"/>
    <m/>
    <m/>
    <m/>
    <x v="638"/>
    <x v="2"/>
    <x v="7"/>
  </r>
  <r>
    <x v="16"/>
    <m/>
    <m/>
    <m/>
    <m/>
    <m/>
    <x v="638"/>
    <x v="2"/>
    <x v="7"/>
  </r>
  <r>
    <x v="12"/>
    <m/>
    <m/>
    <m/>
    <m/>
    <m/>
    <x v="638"/>
    <x v="2"/>
    <x v="7"/>
  </r>
  <r>
    <x v="13"/>
    <n v="108000"/>
    <n v="108000"/>
    <m/>
    <n v="162000"/>
    <n v="108000"/>
    <x v="638"/>
    <x v="2"/>
    <x v="7"/>
  </r>
  <r>
    <x v="0"/>
    <n v="216000"/>
    <n v="108000"/>
    <m/>
    <m/>
    <m/>
    <x v="639"/>
    <x v="2"/>
    <x v="7"/>
  </r>
  <r>
    <x v="1"/>
    <m/>
    <m/>
    <m/>
    <m/>
    <m/>
    <x v="639"/>
    <x v="2"/>
    <x v="7"/>
  </r>
  <r>
    <x v="2"/>
    <n v="162000"/>
    <m/>
    <m/>
    <m/>
    <m/>
    <x v="639"/>
    <x v="2"/>
    <x v="7"/>
  </r>
  <r>
    <x v="3"/>
    <m/>
    <m/>
    <m/>
    <m/>
    <m/>
    <x v="639"/>
    <x v="2"/>
    <x v="7"/>
  </r>
  <r>
    <x v="4"/>
    <n v="270000"/>
    <m/>
    <m/>
    <m/>
    <m/>
    <x v="639"/>
    <x v="2"/>
    <x v="7"/>
  </r>
  <r>
    <x v="5"/>
    <n v="108000"/>
    <n v="157000"/>
    <m/>
    <m/>
    <m/>
    <x v="639"/>
    <x v="2"/>
    <x v="7"/>
  </r>
  <r>
    <x v="14"/>
    <n v="162000"/>
    <m/>
    <m/>
    <n v="270000"/>
    <n v="54000"/>
    <x v="639"/>
    <x v="2"/>
    <x v="7"/>
  </r>
  <r>
    <x v="6"/>
    <n v="108000"/>
    <n v="108000"/>
    <m/>
    <m/>
    <n v="108000"/>
    <x v="639"/>
    <x v="2"/>
    <x v="7"/>
  </r>
  <r>
    <x v="7"/>
    <m/>
    <m/>
    <m/>
    <m/>
    <m/>
    <x v="639"/>
    <x v="2"/>
    <x v="7"/>
  </r>
  <r>
    <x v="15"/>
    <m/>
    <m/>
    <m/>
    <m/>
    <m/>
    <x v="639"/>
    <x v="2"/>
    <x v="7"/>
  </r>
  <r>
    <x v="8"/>
    <n v="212000"/>
    <n v="324000"/>
    <m/>
    <m/>
    <n v="324000"/>
    <x v="639"/>
    <x v="2"/>
    <x v="7"/>
  </r>
  <r>
    <x v="9"/>
    <n v="266000"/>
    <n v="108000"/>
    <m/>
    <n v="270000"/>
    <n v="90000"/>
    <x v="639"/>
    <x v="2"/>
    <x v="7"/>
  </r>
  <r>
    <x v="10"/>
    <m/>
    <m/>
    <m/>
    <m/>
    <m/>
    <x v="639"/>
    <x v="2"/>
    <x v="7"/>
  </r>
  <r>
    <x v="11"/>
    <n v="162000"/>
    <n v="50000"/>
    <m/>
    <m/>
    <m/>
    <x v="639"/>
    <x v="2"/>
    <x v="7"/>
  </r>
  <r>
    <x v="16"/>
    <m/>
    <m/>
    <m/>
    <m/>
    <m/>
    <x v="639"/>
    <x v="2"/>
    <x v="7"/>
  </r>
  <r>
    <x v="12"/>
    <m/>
    <m/>
    <m/>
    <m/>
    <m/>
    <x v="639"/>
    <x v="2"/>
    <x v="7"/>
  </r>
  <r>
    <x v="13"/>
    <n v="162000"/>
    <n v="108000"/>
    <m/>
    <n v="54000"/>
    <n v="108000"/>
    <x v="639"/>
    <x v="2"/>
    <x v="7"/>
  </r>
  <r>
    <x v="0"/>
    <n v="216000"/>
    <n v="99000"/>
    <m/>
    <m/>
    <m/>
    <x v="640"/>
    <x v="2"/>
    <x v="7"/>
  </r>
  <r>
    <x v="1"/>
    <m/>
    <m/>
    <m/>
    <m/>
    <m/>
    <x v="640"/>
    <x v="2"/>
    <x v="7"/>
  </r>
  <r>
    <x v="2"/>
    <n v="108000"/>
    <m/>
    <m/>
    <m/>
    <m/>
    <x v="640"/>
    <x v="2"/>
    <x v="7"/>
  </r>
  <r>
    <x v="3"/>
    <m/>
    <m/>
    <m/>
    <m/>
    <m/>
    <x v="640"/>
    <x v="2"/>
    <x v="7"/>
  </r>
  <r>
    <x v="4"/>
    <n v="108000"/>
    <m/>
    <m/>
    <m/>
    <m/>
    <x v="640"/>
    <x v="2"/>
    <x v="7"/>
  </r>
  <r>
    <x v="5"/>
    <n v="215500"/>
    <n v="216000"/>
    <m/>
    <m/>
    <n v="108000"/>
    <x v="640"/>
    <x v="2"/>
    <x v="7"/>
  </r>
  <r>
    <x v="14"/>
    <n v="216000"/>
    <n v="162000"/>
    <m/>
    <n v="212000"/>
    <n v="162000"/>
    <x v="640"/>
    <x v="2"/>
    <x v="7"/>
  </r>
  <r>
    <x v="6"/>
    <n v="108000"/>
    <n v="54000"/>
    <m/>
    <m/>
    <m/>
    <x v="640"/>
    <x v="2"/>
    <x v="7"/>
  </r>
  <r>
    <x v="7"/>
    <m/>
    <m/>
    <m/>
    <m/>
    <m/>
    <x v="640"/>
    <x v="2"/>
    <x v="7"/>
  </r>
  <r>
    <x v="15"/>
    <n v="270000"/>
    <m/>
    <m/>
    <m/>
    <m/>
    <x v="640"/>
    <x v="2"/>
    <x v="7"/>
  </r>
  <r>
    <x v="8"/>
    <n v="216000"/>
    <n v="297000"/>
    <m/>
    <m/>
    <n v="162000"/>
    <x v="640"/>
    <x v="2"/>
    <x v="7"/>
  </r>
  <r>
    <x v="9"/>
    <n v="378000"/>
    <n v="54000"/>
    <m/>
    <n v="423000"/>
    <n v="158000"/>
    <x v="640"/>
    <x v="2"/>
    <x v="7"/>
  </r>
  <r>
    <x v="10"/>
    <m/>
    <m/>
    <m/>
    <m/>
    <m/>
    <x v="640"/>
    <x v="2"/>
    <x v="7"/>
  </r>
  <r>
    <x v="11"/>
    <n v="99000"/>
    <m/>
    <m/>
    <m/>
    <m/>
    <x v="640"/>
    <x v="2"/>
    <x v="7"/>
  </r>
  <r>
    <x v="16"/>
    <m/>
    <m/>
    <m/>
    <m/>
    <m/>
    <x v="640"/>
    <x v="2"/>
    <x v="7"/>
  </r>
  <r>
    <x v="12"/>
    <m/>
    <m/>
    <m/>
    <m/>
    <m/>
    <x v="640"/>
    <x v="2"/>
    <x v="7"/>
  </r>
  <r>
    <x v="13"/>
    <m/>
    <n v="54000"/>
    <m/>
    <n v="54000"/>
    <m/>
    <x v="640"/>
    <x v="2"/>
    <x v="7"/>
  </r>
  <r>
    <x v="0"/>
    <n v="216000"/>
    <n v="108000"/>
    <m/>
    <m/>
    <m/>
    <x v="641"/>
    <x v="2"/>
    <x v="7"/>
  </r>
  <r>
    <x v="1"/>
    <m/>
    <m/>
    <m/>
    <m/>
    <m/>
    <x v="641"/>
    <x v="2"/>
    <x v="7"/>
  </r>
  <r>
    <x v="2"/>
    <m/>
    <m/>
    <m/>
    <m/>
    <m/>
    <x v="641"/>
    <x v="2"/>
    <x v="7"/>
  </r>
  <r>
    <x v="3"/>
    <m/>
    <m/>
    <m/>
    <m/>
    <m/>
    <x v="641"/>
    <x v="2"/>
    <x v="7"/>
  </r>
  <r>
    <x v="4"/>
    <n v="202500"/>
    <m/>
    <m/>
    <m/>
    <m/>
    <x v="641"/>
    <x v="2"/>
    <x v="7"/>
  </r>
  <r>
    <x v="5"/>
    <n v="212000"/>
    <n v="365500"/>
    <m/>
    <m/>
    <m/>
    <x v="641"/>
    <x v="2"/>
    <x v="7"/>
  </r>
  <r>
    <x v="14"/>
    <n v="162000"/>
    <n v="270000"/>
    <m/>
    <m/>
    <n v="54000"/>
    <x v="641"/>
    <x v="2"/>
    <x v="7"/>
  </r>
  <r>
    <x v="6"/>
    <n v="158000"/>
    <n v="216000"/>
    <m/>
    <m/>
    <m/>
    <x v="641"/>
    <x v="2"/>
    <x v="7"/>
  </r>
  <r>
    <x v="7"/>
    <m/>
    <m/>
    <m/>
    <m/>
    <m/>
    <x v="641"/>
    <x v="2"/>
    <x v="7"/>
  </r>
  <r>
    <x v="15"/>
    <n v="270000"/>
    <m/>
    <m/>
    <m/>
    <m/>
    <x v="641"/>
    <x v="2"/>
    <x v="7"/>
  </r>
  <r>
    <x v="8"/>
    <n v="216000"/>
    <m/>
    <m/>
    <m/>
    <n v="576000"/>
    <x v="641"/>
    <x v="2"/>
    <x v="7"/>
  </r>
  <r>
    <x v="9"/>
    <n v="270000"/>
    <n v="108000"/>
    <m/>
    <n v="787500"/>
    <n v="108000"/>
    <x v="641"/>
    <x v="2"/>
    <x v="7"/>
  </r>
  <r>
    <x v="10"/>
    <m/>
    <m/>
    <m/>
    <m/>
    <m/>
    <x v="641"/>
    <x v="2"/>
    <x v="7"/>
  </r>
  <r>
    <x v="11"/>
    <n v="216000"/>
    <m/>
    <m/>
    <m/>
    <m/>
    <x v="641"/>
    <x v="2"/>
    <x v="7"/>
  </r>
  <r>
    <x v="16"/>
    <m/>
    <m/>
    <m/>
    <m/>
    <m/>
    <x v="641"/>
    <x v="2"/>
    <x v="7"/>
  </r>
  <r>
    <x v="12"/>
    <m/>
    <m/>
    <m/>
    <m/>
    <m/>
    <x v="641"/>
    <x v="2"/>
    <x v="7"/>
  </r>
  <r>
    <x v="13"/>
    <n v="208000"/>
    <n v="49500"/>
    <m/>
    <m/>
    <m/>
    <x v="641"/>
    <x v="2"/>
    <x v="7"/>
  </r>
  <r>
    <x v="0"/>
    <n v="162000"/>
    <m/>
    <m/>
    <m/>
    <m/>
    <x v="642"/>
    <x v="2"/>
    <x v="7"/>
  </r>
  <r>
    <x v="1"/>
    <m/>
    <m/>
    <m/>
    <m/>
    <m/>
    <x v="642"/>
    <x v="2"/>
    <x v="7"/>
  </r>
  <r>
    <x v="2"/>
    <m/>
    <m/>
    <m/>
    <m/>
    <m/>
    <x v="642"/>
    <x v="2"/>
    <x v="7"/>
  </r>
  <r>
    <x v="3"/>
    <m/>
    <m/>
    <m/>
    <m/>
    <m/>
    <x v="642"/>
    <x v="2"/>
    <x v="7"/>
  </r>
  <r>
    <x v="4"/>
    <n v="104000"/>
    <m/>
    <m/>
    <m/>
    <m/>
    <x v="642"/>
    <x v="2"/>
    <x v="7"/>
  </r>
  <r>
    <x v="5"/>
    <n v="378000"/>
    <n v="918000"/>
    <m/>
    <m/>
    <m/>
    <x v="642"/>
    <x v="2"/>
    <x v="7"/>
  </r>
  <r>
    <x v="14"/>
    <n v="270000"/>
    <n v="482000"/>
    <m/>
    <m/>
    <m/>
    <x v="642"/>
    <x v="2"/>
    <x v="7"/>
  </r>
  <r>
    <x v="6"/>
    <n v="270000"/>
    <m/>
    <m/>
    <m/>
    <n v="108000"/>
    <x v="642"/>
    <x v="2"/>
    <x v="7"/>
  </r>
  <r>
    <x v="7"/>
    <m/>
    <m/>
    <m/>
    <m/>
    <m/>
    <x v="642"/>
    <x v="2"/>
    <x v="7"/>
  </r>
  <r>
    <x v="15"/>
    <m/>
    <m/>
    <m/>
    <m/>
    <m/>
    <x v="642"/>
    <x v="2"/>
    <x v="7"/>
  </r>
  <r>
    <x v="8"/>
    <n v="212000"/>
    <m/>
    <m/>
    <m/>
    <n v="54000"/>
    <x v="642"/>
    <x v="2"/>
    <x v="7"/>
  </r>
  <r>
    <x v="9"/>
    <n v="315000"/>
    <m/>
    <m/>
    <n v="747000"/>
    <n v="270000"/>
    <x v="642"/>
    <x v="2"/>
    <x v="7"/>
  </r>
  <r>
    <x v="10"/>
    <m/>
    <m/>
    <m/>
    <m/>
    <m/>
    <x v="642"/>
    <x v="2"/>
    <x v="7"/>
  </r>
  <r>
    <x v="11"/>
    <n v="216000"/>
    <m/>
    <m/>
    <m/>
    <m/>
    <x v="642"/>
    <x v="2"/>
    <x v="7"/>
  </r>
  <r>
    <x v="16"/>
    <m/>
    <m/>
    <m/>
    <m/>
    <m/>
    <x v="642"/>
    <x v="2"/>
    <x v="7"/>
  </r>
  <r>
    <x v="12"/>
    <m/>
    <m/>
    <m/>
    <m/>
    <m/>
    <x v="642"/>
    <x v="2"/>
    <x v="7"/>
  </r>
  <r>
    <x v="13"/>
    <n v="270000"/>
    <n v="54000"/>
    <m/>
    <m/>
    <m/>
    <x v="642"/>
    <x v="2"/>
    <x v="7"/>
  </r>
  <r>
    <x v="0"/>
    <n v="270000"/>
    <n v="100000"/>
    <m/>
    <m/>
    <m/>
    <x v="643"/>
    <x v="2"/>
    <x v="7"/>
  </r>
  <r>
    <x v="1"/>
    <m/>
    <m/>
    <m/>
    <m/>
    <m/>
    <x v="643"/>
    <x v="2"/>
    <x v="7"/>
  </r>
  <r>
    <x v="2"/>
    <m/>
    <m/>
    <m/>
    <m/>
    <m/>
    <x v="643"/>
    <x v="2"/>
    <x v="7"/>
  </r>
  <r>
    <x v="3"/>
    <m/>
    <m/>
    <m/>
    <m/>
    <m/>
    <x v="643"/>
    <x v="2"/>
    <x v="7"/>
  </r>
  <r>
    <x v="4"/>
    <m/>
    <m/>
    <m/>
    <m/>
    <m/>
    <x v="643"/>
    <x v="2"/>
    <x v="7"/>
  </r>
  <r>
    <x v="5"/>
    <n v="378000"/>
    <n v="427500"/>
    <m/>
    <m/>
    <n v="45000"/>
    <x v="643"/>
    <x v="2"/>
    <x v="7"/>
  </r>
  <r>
    <x v="14"/>
    <n v="162000"/>
    <n v="162000"/>
    <m/>
    <n v="162000"/>
    <m/>
    <x v="643"/>
    <x v="2"/>
    <x v="7"/>
  </r>
  <r>
    <x v="6"/>
    <n v="208000"/>
    <n v="373500"/>
    <m/>
    <m/>
    <m/>
    <x v="643"/>
    <x v="2"/>
    <x v="7"/>
  </r>
  <r>
    <x v="7"/>
    <m/>
    <m/>
    <m/>
    <m/>
    <m/>
    <x v="643"/>
    <x v="2"/>
    <x v="7"/>
  </r>
  <r>
    <x v="15"/>
    <m/>
    <m/>
    <m/>
    <m/>
    <m/>
    <x v="643"/>
    <x v="2"/>
    <x v="7"/>
  </r>
  <r>
    <x v="8"/>
    <n v="108000"/>
    <m/>
    <m/>
    <m/>
    <m/>
    <x v="643"/>
    <x v="2"/>
    <x v="7"/>
  </r>
  <r>
    <x v="9"/>
    <n v="486000"/>
    <n v="54000"/>
    <m/>
    <n v="108000"/>
    <n v="518000"/>
    <x v="643"/>
    <x v="2"/>
    <x v="7"/>
  </r>
  <r>
    <x v="10"/>
    <m/>
    <m/>
    <m/>
    <m/>
    <m/>
    <x v="643"/>
    <x v="2"/>
    <x v="7"/>
  </r>
  <r>
    <x v="11"/>
    <n v="103500"/>
    <m/>
    <m/>
    <m/>
    <m/>
    <x v="643"/>
    <x v="2"/>
    <x v="7"/>
  </r>
  <r>
    <x v="16"/>
    <m/>
    <m/>
    <m/>
    <m/>
    <m/>
    <x v="643"/>
    <x v="2"/>
    <x v="7"/>
  </r>
  <r>
    <x v="12"/>
    <m/>
    <m/>
    <m/>
    <m/>
    <m/>
    <x v="643"/>
    <x v="2"/>
    <x v="7"/>
  </r>
  <r>
    <x v="13"/>
    <m/>
    <m/>
    <m/>
    <m/>
    <m/>
    <x v="643"/>
    <x v="2"/>
    <x v="7"/>
  </r>
  <r>
    <x v="0"/>
    <n v="54000"/>
    <n v="432000"/>
    <m/>
    <m/>
    <m/>
    <x v="644"/>
    <x v="2"/>
    <x v="7"/>
  </r>
  <r>
    <x v="1"/>
    <m/>
    <m/>
    <m/>
    <m/>
    <m/>
    <x v="644"/>
    <x v="2"/>
    <x v="7"/>
  </r>
  <r>
    <x v="2"/>
    <m/>
    <m/>
    <m/>
    <m/>
    <m/>
    <x v="644"/>
    <x v="2"/>
    <x v="7"/>
  </r>
  <r>
    <x v="3"/>
    <m/>
    <m/>
    <m/>
    <m/>
    <m/>
    <x v="644"/>
    <x v="2"/>
    <x v="7"/>
  </r>
  <r>
    <x v="4"/>
    <m/>
    <m/>
    <m/>
    <m/>
    <m/>
    <x v="644"/>
    <x v="2"/>
    <x v="7"/>
  </r>
  <r>
    <x v="5"/>
    <n v="54000"/>
    <n v="108000"/>
    <m/>
    <m/>
    <m/>
    <x v="644"/>
    <x v="2"/>
    <x v="7"/>
  </r>
  <r>
    <x v="14"/>
    <n v="54000"/>
    <n v="54000"/>
    <m/>
    <m/>
    <m/>
    <x v="644"/>
    <x v="2"/>
    <x v="7"/>
  </r>
  <r>
    <x v="6"/>
    <n v="54000"/>
    <n v="324000"/>
    <m/>
    <m/>
    <m/>
    <x v="644"/>
    <x v="2"/>
    <x v="7"/>
  </r>
  <r>
    <x v="7"/>
    <m/>
    <m/>
    <m/>
    <m/>
    <m/>
    <x v="644"/>
    <x v="2"/>
    <x v="7"/>
  </r>
  <r>
    <x v="15"/>
    <m/>
    <m/>
    <m/>
    <m/>
    <m/>
    <x v="644"/>
    <x v="2"/>
    <x v="7"/>
  </r>
  <r>
    <x v="8"/>
    <n v="54000"/>
    <n v="702000"/>
    <m/>
    <m/>
    <m/>
    <x v="644"/>
    <x v="2"/>
    <x v="7"/>
  </r>
  <r>
    <x v="9"/>
    <n v="216000"/>
    <m/>
    <m/>
    <n v="54000"/>
    <n v="801000"/>
    <x v="644"/>
    <x v="2"/>
    <x v="7"/>
  </r>
  <r>
    <x v="10"/>
    <m/>
    <m/>
    <m/>
    <m/>
    <m/>
    <x v="644"/>
    <x v="2"/>
    <x v="7"/>
  </r>
  <r>
    <x v="11"/>
    <n v="54000"/>
    <m/>
    <m/>
    <m/>
    <m/>
    <x v="644"/>
    <x v="2"/>
    <x v="7"/>
  </r>
  <r>
    <x v="16"/>
    <m/>
    <m/>
    <m/>
    <m/>
    <m/>
    <x v="644"/>
    <x v="2"/>
    <x v="7"/>
  </r>
  <r>
    <x v="12"/>
    <m/>
    <m/>
    <m/>
    <m/>
    <m/>
    <x v="644"/>
    <x v="2"/>
    <x v="7"/>
  </r>
  <r>
    <x v="13"/>
    <m/>
    <m/>
    <m/>
    <m/>
    <m/>
    <x v="644"/>
    <x v="2"/>
    <x v="7"/>
  </r>
  <r>
    <x v="0"/>
    <n v="108000"/>
    <n v="531500"/>
    <m/>
    <m/>
    <m/>
    <x v="645"/>
    <x v="2"/>
    <x v="7"/>
  </r>
  <r>
    <x v="1"/>
    <m/>
    <m/>
    <m/>
    <m/>
    <m/>
    <x v="645"/>
    <x v="2"/>
    <x v="7"/>
  </r>
  <r>
    <x v="2"/>
    <n v="108000"/>
    <m/>
    <m/>
    <m/>
    <m/>
    <x v="645"/>
    <x v="2"/>
    <x v="7"/>
  </r>
  <r>
    <x v="3"/>
    <m/>
    <m/>
    <m/>
    <m/>
    <m/>
    <x v="645"/>
    <x v="2"/>
    <x v="7"/>
  </r>
  <r>
    <x v="4"/>
    <m/>
    <m/>
    <m/>
    <m/>
    <m/>
    <x v="645"/>
    <x v="2"/>
    <x v="7"/>
  </r>
  <r>
    <x v="5"/>
    <n v="108000"/>
    <n v="45000"/>
    <m/>
    <m/>
    <m/>
    <x v="645"/>
    <x v="2"/>
    <x v="7"/>
  </r>
  <r>
    <x v="14"/>
    <n v="324000"/>
    <m/>
    <m/>
    <m/>
    <m/>
    <x v="645"/>
    <x v="2"/>
    <x v="7"/>
  </r>
  <r>
    <x v="6"/>
    <m/>
    <m/>
    <m/>
    <m/>
    <m/>
    <x v="645"/>
    <x v="2"/>
    <x v="7"/>
  </r>
  <r>
    <x v="7"/>
    <m/>
    <m/>
    <m/>
    <m/>
    <m/>
    <x v="645"/>
    <x v="2"/>
    <x v="7"/>
  </r>
  <r>
    <x v="15"/>
    <m/>
    <m/>
    <m/>
    <m/>
    <m/>
    <x v="645"/>
    <x v="2"/>
    <x v="7"/>
  </r>
  <r>
    <x v="8"/>
    <n v="54000"/>
    <n v="99000"/>
    <m/>
    <m/>
    <m/>
    <x v="645"/>
    <x v="2"/>
    <x v="7"/>
  </r>
  <r>
    <x v="9"/>
    <n v="702000"/>
    <n v="1242000"/>
    <m/>
    <m/>
    <n v="594000"/>
    <x v="645"/>
    <x v="2"/>
    <x v="7"/>
  </r>
  <r>
    <x v="10"/>
    <m/>
    <m/>
    <m/>
    <m/>
    <m/>
    <x v="645"/>
    <x v="2"/>
    <x v="7"/>
  </r>
  <r>
    <x v="11"/>
    <n v="206500"/>
    <m/>
    <m/>
    <m/>
    <m/>
    <x v="645"/>
    <x v="2"/>
    <x v="7"/>
  </r>
  <r>
    <x v="16"/>
    <m/>
    <m/>
    <m/>
    <m/>
    <m/>
    <x v="645"/>
    <x v="2"/>
    <x v="7"/>
  </r>
  <r>
    <x v="12"/>
    <m/>
    <m/>
    <m/>
    <m/>
    <m/>
    <x v="645"/>
    <x v="2"/>
    <x v="7"/>
  </r>
  <r>
    <x v="13"/>
    <m/>
    <m/>
    <m/>
    <m/>
    <m/>
    <x v="645"/>
    <x v="2"/>
    <x v="7"/>
  </r>
  <r>
    <x v="0"/>
    <n v="266000"/>
    <n v="319500"/>
    <m/>
    <m/>
    <m/>
    <x v="646"/>
    <x v="2"/>
    <x v="7"/>
  </r>
  <r>
    <x v="1"/>
    <m/>
    <m/>
    <m/>
    <m/>
    <m/>
    <x v="646"/>
    <x v="2"/>
    <x v="7"/>
  </r>
  <r>
    <x v="2"/>
    <n v="162000"/>
    <m/>
    <m/>
    <m/>
    <m/>
    <x v="646"/>
    <x v="2"/>
    <x v="7"/>
  </r>
  <r>
    <x v="3"/>
    <m/>
    <m/>
    <m/>
    <m/>
    <m/>
    <x v="646"/>
    <x v="2"/>
    <x v="7"/>
  </r>
  <r>
    <x v="4"/>
    <m/>
    <m/>
    <m/>
    <m/>
    <m/>
    <x v="646"/>
    <x v="2"/>
    <x v="7"/>
  </r>
  <r>
    <x v="5"/>
    <n v="414500"/>
    <n v="45000"/>
    <m/>
    <m/>
    <n v="45000"/>
    <x v="646"/>
    <x v="2"/>
    <x v="7"/>
  </r>
  <r>
    <x v="14"/>
    <n v="216000"/>
    <m/>
    <m/>
    <m/>
    <m/>
    <x v="646"/>
    <x v="2"/>
    <x v="7"/>
  </r>
  <r>
    <x v="6"/>
    <m/>
    <m/>
    <m/>
    <m/>
    <m/>
    <x v="646"/>
    <x v="2"/>
    <x v="7"/>
  </r>
  <r>
    <x v="7"/>
    <m/>
    <m/>
    <m/>
    <m/>
    <m/>
    <x v="646"/>
    <x v="2"/>
    <x v="7"/>
  </r>
  <r>
    <x v="15"/>
    <m/>
    <m/>
    <m/>
    <m/>
    <m/>
    <x v="646"/>
    <x v="2"/>
    <x v="7"/>
  </r>
  <r>
    <x v="8"/>
    <n v="108000"/>
    <m/>
    <m/>
    <m/>
    <m/>
    <x v="646"/>
    <x v="2"/>
    <x v="7"/>
  </r>
  <r>
    <x v="9"/>
    <n v="265500"/>
    <n v="918000"/>
    <m/>
    <n v="918000"/>
    <n v="135000"/>
    <x v="646"/>
    <x v="2"/>
    <x v="7"/>
  </r>
  <r>
    <x v="10"/>
    <m/>
    <m/>
    <m/>
    <m/>
    <m/>
    <x v="646"/>
    <x v="2"/>
    <x v="7"/>
  </r>
  <r>
    <x v="11"/>
    <n v="162000"/>
    <m/>
    <m/>
    <m/>
    <m/>
    <x v="646"/>
    <x v="2"/>
    <x v="7"/>
  </r>
  <r>
    <x v="16"/>
    <m/>
    <m/>
    <m/>
    <m/>
    <m/>
    <x v="646"/>
    <x v="2"/>
    <x v="7"/>
  </r>
  <r>
    <x v="12"/>
    <m/>
    <m/>
    <m/>
    <m/>
    <m/>
    <x v="646"/>
    <x v="2"/>
    <x v="7"/>
  </r>
  <r>
    <x v="13"/>
    <m/>
    <n v="54000"/>
    <m/>
    <m/>
    <m/>
    <x v="646"/>
    <x v="2"/>
    <x v="7"/>
  </r>
  <r>
    <x v="0"/>
    <n v="158000"/>
    <n v="139500"/>
    <m/>
    <m/>
    <m/>
    <x v="647"/>
    <x v="2"/>
    <x v="7"/>
  </r>
  <r>
    <x v="1"/>
    <m/>
    <m/>
    <m/>
    <m/>
    <m/>
    <x v="647"/>
    <x v="2"/>
    <x v="7"/>
  </r>
  <r>
    <x v="2"/>
    <n v="216000"/>
    <n v="207000"/>
    <m/>
    <m/>
    <m/>
    <x v="647"/>
    <x v="2"/>
    <x v="7"/>
  </r>
  <r>
    <x v="3"/>
    <m/>
    <m/>
    <m/>
    <m/>
    <m/>
    <x v="647"/>
    <x v="2"/>
    <x v="7"/>
  </r>
  <r>
    <x v="4"/>
    <m/>
    <m/>
    <m/>
    <m/>
    <m/>
    <x v="647"/>
    <x v="2"/>
    <x v="7"/>
  </r>
  <r>
    <x v="5"/>
    <n v="481500"/>
    <m/>
    <m/>
    <m/>
    <m/>
    <x v="647"/>
    <x v="2"/>
    <x v="7"/>
  </r>
  <r>
    <x v="14"/>
    <m/>
    <n v="158000"/>
    <m/>
    <m/>
    <m/>
    <x v="647"/>
    <x v="2"/>
    <x v="7"/>
  </r>
  <r>
    <x v="6"/>
    <m/>
    <m/>
    <m/>
    <m/>
    <m/>
    <x v="647"/>
    <x v="2"/>
    <x v="7"/>
  </r>
  <r>
    <x v="7"/>
    <m/>
    <m/>
    <m/>
    <m/>
    <m/>
    <x v="647"/>
    <x v="2"/>
    <x v="7"/>
  </r>
  <r>
    <x v="15"/>
    <m/>
    <m/>
    <m/>
    <m/>
    <m/>
    <x v="647"/>
    <x v="2"/>
    <x v="7"/>
  </r>
  <r>
    <x v="8"/>
    <m/>
    <n v="540000"/>
    <n v="702000"/>
    <m/>
    <m/>
    <x v="647"/>
    <x v="2"/>
    <x v="7"/>
  </r>
  <r>
    <x v="9"/>
    <n v="373500"/>
    <m/>
    <m/>
    <n v="216000"/>
    <m/>
    <x v="647"/>
    <x v="2"/>
    <x v="7"/>
  </r>
  <r>
    <x v="10"/>
    <m/>
    <m/>
    <m/>
    <m/>
    <m/>
    <x v="647"/>
    <x v="2"/>
    <x v="7"/>
  </r>
  <r>
    <x v="11"/>
    <n v="374000"/>
    <m/>
    <m/>
    <m/>
    <m/>
    <x v="647"/>
    <x v="2"/>
    <x v="7"/>
  </r>
  <r>
    <x v="16"/>
    <m/>
    <m/>
    <m/>
    <m/>
    <m/>
    <x v="647"/>
    <x v="2"/>
    <x v="7"/>
  </r>
  <r>
    <x v="12"/>
    <n v="54000"/>
    <m/>
    <m/>
    <m/>
    <m/>
    <x v="647"/>
    <x v="2"/>
    <x v="7"/>
  </r>
  <r>
    <x v="13"/>
    <m/>
    <m/>
    <m/>
    <m/>
    <m/>
    <x v="647"/>
    <x v="2"/>
    <x v="7"/>
  </r>
  <r>
    <x v="0"/>
    <m/>
    <m/>
    <m/>
    <m/>
    <m/>
    <x v="647"/>
    <x v="2"/>
    <x v="7"/>
  </r>
  <r>
    <x v="1"/>
    <m/>
    <m/>
    <m/>
    <m/>
    <m/>
    <x v="647"/>
    <x v="2"/>
    <x v="7"/>
  </r>
  <r>
    <x v="2"/>
    <m/>
    <m/>
    <m/>
    <m/>
    <m/>
    <x v="647"/>
    <x v="2"/>
    <x v="7"/>
  </r>
  <r>
    <x v="3"/>
    <m/>
    <m/>
    <m/>
    <m/>
    <m/>
    <x v="647"/>
    <x v="2"/>
    <x v="7"/>
  </r>
  <r>
    <x v="4"/>
    <m/>
    <m/>
    <m/>
    <m/>
    <m/>
    <x v="647"/>
    <x v="2"/>
    <x v="7"/>
  </r>
  <r>
    <x v="5"/>
    <m/>
    <m/>
    <m/>
    <m/>
    <m/>
    <x v="647"/>
    <x v="2"/>
    <x v="7"/>
  </r>
  <r>
    <x v="14"/>
    <m/>
    <m/>
    <m/>
    <m/>
    <m/>
    <x v="647"/>
    <x v="2"/>
    <x v="7"/>
  </r>
  <r>
    <x v="6"/>
    <m/>
    <m/>
    <m/>
    <m/>
    <m/>
    <x v="647"/>
    <x v="2"/>
    <x v="7"/>
  </r>
  <r>
    <x v="7"/>
    <m/>
    <m/>
    <m/>
    <m/>
    <m/>
    <x v="647"/>
    <x v="2"/>
    <x v="7"/>
  </r>
  <r>
    <x v="15"/>
    <m/>
    <m/>
    <m/>
    <m/>
    <m/>
    <x v="647"/>
    <x v="2"/>
    <x v="7"/>
  </r>
  <r>
    <x v="8"/>
    <m/>
    <m/>
    <m/>
    <m/>
    <m/>
    <x v="647"/>
    <x v="2"/>
    <x v="7"/>
  </r>
  <r>
    <x v="9"/>
    <m/>
    <m/>
    <m/>
    <n v="54000"/>
    <m/>
    <x v="647"/>
    <x v="2"/>
    <x v="7"/>
  </r>
  <r>
    <x v="10"/>
    <m/>
    <m/>
    <m/>
    <m/>
    <m/>
    <x v="647"/>
    <x v="2"/>
    <x v="7"/>
  </r>
  <r>
    <x v="11"/>
    <m/>
    <m/>
    <m/>
    <m/>
    <m/>
    <x v="647"/>
    <x v="2"/>
    <x v="7"/>
  </r>
  <r>
    <x v="16"/>
    <m/>
    <m/>
    <m/>
    <m/>
    <m/>
    <x v="647"/>
    <x v="2"/>
    <x v="7"/>
  </r>
  <r>
    <x v="12"/>
    <m/>
    <m/>
    <m/>
    <m/>
    <m/>
    <x v="647"/>
    <x v="2"/>
    <x v="7"/>
  </r>
  <r>
    <x v="13"/>
    <m/>
    <m/>
    <m/>
    <m/>
    <m/>
    <x v="647"/>
    <x v="2"/>
    <x v="7"/>
  </r>
  <r>
    <x v="0"/>
    <n v="54000"/>
    <m/>
    <m/>
    <m/>
    <m/>
    <x v="648"/>
    <x v="2"/>
    <x v="7"/>
  </r>
  <r>
    <x v="1"/>
    <m/>
    <m/>
    <m/>
    <m/>
    <m/>
    <x v="648"/>
    <x v="2"/>
    <x v="7"/>
  </r>
  <r>
    <x v="2"/>
    <n v="54000"/>
    <m/>
    <m/>
    <m/>
    <m/>
    <x v="648"/>
    <x v="2"/>
    <x v="7"/>
  </r>
  <r>
    <x v="3"/>
    <m/>
    <m/>
    <m/>
    <m/>
    <m/>
    <x v="648"/>
    <x v="2"/>
    <x v="7"/>
  </r>
  <r>
    <x v="4"/>
    <n v="108000"/>
    <m/>
    <m/>
    <m/>
    <m/>
    <x v="648"/>
    <x v="2"/>
    <x v="7"/>
  </r>
  <r>
    <x v="5"/>
    <n v="270000"/>
    <m/>
    <m/>
    <m/>
    <m/>
    <x v="648"/>
    <x v="2"/>
    <x v="7"/>
  </r>
  <r>
    <x v="14"/>
    <m/>
    <n v="797000"/>
    <m/>
    <m/>
    <m/>
    <x v="648"/>
    <x v="2"/>
    <x v="7"/>
  </r>
  <r>
    <x v="6"/>
    <m/>
    <m/>
    <m/>
    <m/>
    <m/>
    <x v="648"/>
    <x v="2"/>
    <x v="7"/>
  </r>
  <r>
    <x v="7"/>
    <m/>
    <m/>
    <m/>
    <m/>
    <m/>
    <x v="648"/>
    <x v="2"/>
    <x v="7"/>
  </r>
  <r>
    <x v="15"/>
    <m/>
    <m/>
    <m/>
    <m/>
    <m/>
    <x v="648"/>
    <x v="2"/>
    <x v="7"/>
  </r>
  <r>
    <x v="8"/>
    <n v="162000"/>
    <n v="648000"/>
    <n v="378000"/>
    <m/>
    <m/>
    <x v="648"/>
    <x v="2"/>
    <x v="7"/>
  </r>
  <r>
    <x v="9"/>
    <n v="162000"/>
    <m/>
    <m/>
    <n v="54000"/>
    <m/>
    <x v="648"/>
    <x v="2"/>
    <x v="7"/>
  </r>
  <r>
    <x v="10"/>
    <m/>
    <m/>
    <m/>
    <m/>
    <m/>
    <x v="648"/>
    <x v="2"/>
    <x v="7"/>
  </r>
  <r>
    <x v="11"/>
    <m/>
    <m/>
    <m/>
    <m/>
    <m/>
    <x v="648"/>
    <x v="2"/>
    <x v="7"/>
  </r>
  <r>
    <x v="16"/>
    <m/>
    <m/>
    <m/>
    <m/>
    <m/>
    <x v="648"/>
    <x v="2"/>
    <x v="7"/>
  </r>
  <r>
    <x v="12"/>
    <m/>
    <m/>
    <m/>
    <m/>
    <m/>
    <x v="648"/>
    <x v="2"/>
    <x v="7"/>
  </r>
  <r>
    <x v="13"/>
    <m/>
    <m/>
    <m/>
    <m/>
    <m/>
    <x v="648"/>
    <x v="2"/>
    <x v="7"/>
  </r>
  <r>
    <x v="0"/>
    <n v="49500"/>
    <m/>
    <m/>
    <m/>
    <m/>
    <x v="649"/>
    <x v="2"/>
    <x v="7"/>
  </r>
  <r>
    <x v="1"/>
    <m/>
    <m/>
    <m/>
    <m/>
    <m/>
    <x v="649"/>
    <x v="2"/>
    <x v="7"/>
  </r>
  <r>
    <x v="2"/>
    <m/>
    <m/>
    <m/>
    <m/>
    <m/>
    <x v="649"/>
    <x v="2"/>
    <x v="7"/>
  </r>
  <r>
    <x v="3"/>
    <m/>
    <m/>
    <m/>
    <m/>
    <m/>
    <x v="649"/>
    <x v="2"/>
    <x v="7"/>
  </r>
  <r>
    <x v="4"/>
    <n v="162000"/>
    <m/>
    <m/>
    <m/>
    <m/>
    <x v="649"/>
    <x v="2"/>
    <x v="7"/>
  </r>
  <r>
    <x v="5"/>
    <n v="162000"/>
    <m/>
    <m/>
    <m/>
    <m/>
    <x v="649"/>
    <x v="2"/>
    <x v="7"/>
  </r>
  <r>
    <x v="14"/>
    <m/>
    <n v="855500"/>
    <m/>
    <m/>
    <m/>
    <x v="649"/>
    <x v="2"/>
    <x v="7"/>
  </r>
  <r>
    <x v="6"/>
    <m/>
    <n v="486000"/>
    <m/>
    <m/>
    <m/>
    <x v="649"/>
    <x v="2"/>
    <x v="7"/>
  </r>
  <r>
    <x v="7"/>
    <m/>
    <m/>
    <m/>
    <m/>
    <m/>
    <x v="649"/>
    <x v="2"/>
    <x v="7"/>
  </r>
  <r>
    <x v="15"/>
    <m/>
    <m/>
    <m/>
    <m/>
    <m/>
    <x v="649"/>
    <x v="2"/>
    <x v="7"/>
  </r>
  <r>
    <x v="8"/>
    <n v="162000"/>
    <n v="189000"/>
    <m/>
    <m/>
    <m/>
    <x v="649"/>
    <x v="2"/>
    <x v="7"/>
  </r>
  <r>
    <x v="9"/>
    <n v="648000"/>
    <m/>
    <m/>
    <n v="54000"/>
    <m/>
    <x v="649"/>
    <x v="2"/>
    <x v="7"/>
  </r>
  <r>
    <x v="10"/>
    <m/>
    <m/>
    <m/>
    <m/>
    <m/>
    <x v="649"/>
    <x v="2"/>
    <x v="7"/>
  </r>
  <r>
    <x v="11"/>
    <n v="216000"/>
    <m/>
    <m/>
    <m/>
    <m/>
    <x v="649"/>
    <x v="2"/>
    <x v="7"/>
  </r>
  <r>
    <x v="16"/>
    <m/>
    <m/>
    <m/>
    <m/>
    <m/>
    <x v="649"/>
    <x v="2"/>
    <x v="7"/>
  </r>
  <r>
    <x v="12"/>
    <m/>
    <m/>
    <m/>
    <m/>
    <m/>
    <x v="649"/>
    <x v="2"/>
    <x v="7"/>
  </r>
  <r>
    <x v="13"/>
    <n v="45000"/>
    <m/>
    <m/>
    <m/>
    <m/>
    <x v="649"/>
    <x v="2"/>
    <x v="7"/>
  </r>
  <r>
    <x v="0"/>
    <n v="54000"/>
    <m/>
    <m/>
    <m/>
    <m/>
    <x v="650"/>
    <x v="2"/>
    <x v="7"/>
  </r>
  <r>
    <x v="1"/>
    <m/>
    <m/>
    <m/>
    <m/>
    <m/>
    <x v="650"/>
    <x v="2"/>
    <x v="7"/>
  </r>
  <r>
    <x v="2"/>
    <m/>
    <m/>
    <m/>
    <m/>
    <m/>
    <x v="650"/>
    <x v="2"/>
    <x v="7"/>
  </r>
  <r>
    <x v="3"/>
    <m/>
    <m/>
    <m/>
    <m/>
    <m/>
    <x v="650"/>
    <x v="2"/>
    <x v="7"/>
  </r>
  <r>
    <x v="4"/>
    <n v="216000"/>
    <m/>
    <m/>
    <m/>
    <m/>
    <x v="650"/>
    <x v="2"/>
    <x v="7"/>
  </r>
  <r>
    <x v="5"/>
    <n v="431500"/>
    <m/>
    <m/>
    <m/>
    <m/>
    <x v="650"/>
    <x v="2"/>
    <x v="7"/>
  </r>
  <r>
    <x v="14"/>
    <m/>
    <n v="108000"/>
    <m/>
    <m/>
    <m/>
    <x v="650"/>
    <x v="2"/>
    <x v="7"/>
  </r>
  <r>
    <x v="6"/>
    <n v="324000"/>
    <n v="1012500"/>
    <m/>
    <m/>
    <m/>
    <x v="650"/>
    <x v="2"/>
    <x v="7"/>
  </r>
  <r>
    <x v="7"/>
    <m/>
    <m/>
    <m/>
    <m/>
    <m/>
    <x v="650"/>
    <x v="2"/>
    <x v="7"/>
  </r>
  <r>
    <x v="15"/>
    <m/>
    <m/>
    <m/>
    <m/>
    <m/>
    <x v="650"/>
    <x v="2"/>
    <x v="7"/>
  </r>
  <r>
    <x v="8"/>
    <n v="162000"/>
    <m/>
    <m/>
    <m/>
    <m/>
    <x v="650"/>
    <x v="2"/>
    <x v="7"/>
  </r>
  <r>
    <x v="9"/>
    <n v="585000"/>
    <m/>
    <m/>
    <m/>
    <m/>
    <x v="650"/>
    <x v="2"/>
    <x v="7"/>
  </r>
  <r>
    <x v="10"/>
    <m/>
    <m/>
    <m/>
    <m/>
    <m/>
    <x v="650"/>
    <x v="2"/>
    <x v="7"/>
  </r>
  <r>
    <x v="11"/>
    <n v="351000"/>
    <n v="540000"/>
    <m/>
    <m/>
    <m/>
    <x v="650"/>
    <x v="2"/>
    <x v="7"/>
  </r>
  <r>
    <x v="16"/>
    <m/>
    <m/>
    <m/>
    <m/>
    <m/>
    <x v="650"/>
    <x v="2"/>
    <x v="7"/>
  </r>
  <r>
    <x v="12"/>
    <m/>
    <m/>
    <m/>
    <m/>
    <m/>
    <x v="650"/>
    <x v="2"/>
    <x v="7"/>
  </r>
  <r>
    <x v="13"/>
    <n v="45000"/>
    <m/>
    <m/>
    <m/>
    <m/>
    <x v="650"/>
    <x v="2"/>
    <x v="7"/>
  </r>
  <r>
    <x v="0"/>
    <m/>
    <m/>
    <m/>
    <m/>
    <m/>
    <x v="651"/>
    <x v="2"/>
    <x v="7"/>
  </r>
  <r>
    <x v="1"/>
    <m/>
    <n v="108000"/>
    <m/>
    <m/>
    <m/>
    <x v="651"/>
    <x v="2"/>
    <x v="7"/>
  </r>
  <r>
    <x v="2"/>
    <m/>
    <m/>
    <m/>
    <m/>
    <m/>
    <x v="651"/>
    <x v="2"/>
    <x v="7"/>
  </r>
  <r>
    <x v="3"/>
    <m/>
    <m/>
    <m/>
    <n v="639000"/>
    <m/>
    <x v="651"/>
    <x v="2"/>
    <x v="7"/>
  </r>
  <r>
    <x v="4"/>
    <n v="108000"/>
    <m/>
    <m/>
    <m/>
    <m/>
    <x v="651"/>
    <x v="2"/>
    <x v="7"/>
  </r>
  <r>
    <x v="5"/>
    <n v="535500"/>
    <m/>
    <m/>
    <m/>
    <m/>
    <x v="651"/>
    <x v="2"/>
    <x v="7"/>
  </r>
  <r>
    <x v="14"/>
    <m/>
    <m/>
    <m/>
    <m/>
    <m/>
    <x v="651"/>
    <x v="2"/>
    <x v="7"/>
  </r>
  <r>
    <x v="6"/>
    <n v="324000"/>
    <m/>
    <m/>
    <m/>
    <m/>
    <x v="651"/>
    <x v="2"/>
    <x v="7"/>
  </r>
  <r>
    <x v="7"/>
    <m/>
    <m/>
    <m/>
    <m/>
    <m/>
    <x v="651"/>
    <x v="2"/>
    <x v="7"/>
  </r>
  <r>
    <x v="15"/>
    <m/>
    <m/>
    <m/>
    <m/>
    <m/>
    <x v="651"/>
    <x v="2"/>
    <x v="7"/>
  </r>
  <r>
    <x v="8"/>
    <n v="378000"/>
    <m/>
    <m/>
    <m/>
    <m/>
    <x v="651"/>
    <x v="2"/>
    <x v="7"/>
  </r>
  <r>
    <x v="9"/>
    <n v="643500"/>
    <m/>
    <m/>
    <m/>
    <m/>
    <x v="651"/>
    <x v="2"/>
    <x v="7"/>
  </r>
  <r>
    <x v="10"/>
    <m/>
    <m/>
    <m/>
    <m/>
    <m/>
    <x v="651"/>
    <x v="2"/>
    <x v="7"/>
  </r>
  <r>
    <x v="11"/>
    <n v="54000"/>
    <n v="360000"/>
    <m/>
    <m/>
    <m/>
    <x v="651"/>
    <x v="2"/>
    <x v="7"/>
  </r>
  <r>
    <x v="16"/>
    <m/>
    <m/>
    <m/>
    <m/>
    <m/>
    <x v="651"/>
    <x v="2"/>
    <x v="7"/>
  </r>
  <r>
    <x v="12"/>
    <m/>
    <m/>
    <m/>
    <m/>
    <m/>
    <x v="651"/>
    <x v="2"/>
    <x v="7"/>
  </r>
  <r>
    <x v="13"/>
    <m/>
    <n v="54000"/>
    <m/>
    <m/>
    <m/>
    <x v="651"/>
    <x v="2"/>
    <x v="7"/>
  </r>
  <r>
    <x v="0"/>
    <m/>
    <m/>
    <m/>
    <m/>
    <m/>
    <x v="652"/>
    <x v="2"/>
    <x v="7"/>
  </r>
  <r>
    <x v="1"/>
    <m/>
    <n v="99000"/>
    <m/>
    <m/>
    <m/>
    <x v="652"/>
    <x v="2"/>
    <x v="7"/>
  </r>
  <r>
    <x v="2"/>
    <m/>
    <m/>
    <m/>
    <m/>
    <m/>
    <x v="652"/>
    <x v="2"/>
    <x v="7"/>
  </r>
  <r>
    <x v="3"/>
    <m/>
    <m/>
    <m/>
    <n v="639000"/>
    <m/>
    <x v="652"/>
    <x v="2"/>
    <x v="7"/>
  </r>
  <r>
    <x v="4"/>
    <m/>
    <m/>
    <m/>
    <m/>
    <m/>
    <x v="652"/>
    <x v="2"/>
    <x v="7"/>
  </r>
  <r>
    <x v="5"/>
    <n v="270000"/>
    <m/>
    <m/>
    <m/>
    <m/>
    <x v="652"/>
    <x v="2"/>
    <x v="7"/>
  </r>
  <r>
    <x v="14"/>
    <m/>
    <m/>
    <m/>
    <m/>
    <m/>
    <x v="652"/>
    <x v="2"/>
    <x v="7"/>
  </r>
  <r>
    <x v="6"/>
    <n v="270000"/>
    <m/>
    <m/>
    <m/>
    <m/>
    <x v="652"/>
    <x v="2"/>
    <x v="7"/>
  </r>
  <r>
    <x v="7"/>
    <n v="270000"/>
    <m/>
    <m/>
    <m/>
    <m/>
    <x v="652"/>
    <x v="2"/>
    <x v="7"/>
  </r>
  <r>
    <x v="15"/>
    <m/>
    <m/>
    <m/>
    <m/>
    <m/>
    <x v="652"/>
    <x v="2"/>
    <x v="7"/>
  </r>
  <r>
    <x v="8"/>
    <n v="216000"/>
    <m/>
    <m/>
    <m/>
    <m/>
    <x v="652"/>
    <x v="2"/>
    <x v="7"/>
  </r>
  <r>
    <x v="9"/>
    <n v="162000"/>
    <m/>
    <m/>
    <m/>
    <m/>
    <x v="652"/>
    <x v="2"/>
    <x v="7"/>
  </r>
  <r>
    <x v="10"/>
    <m/>
    <m/>
    <m/>
    <m/>
    <m/>
    <x v="652"/>
    <x v="2"/>
    <x v="7"/>
  </r>
  <r>
    <x v="11"/>
    <m/>
    <m/>
    <m/>
    <m/>
    <m/>
    <x v="652"/>
    <x v="2"/>
    <x v="7"/>
  </r>
  <r>
    <x v="16"/>
    <m/>
    <m/>
    <m/>
    <m/>
    <m/>
    <x v="652"/>
    <x v="2"/>
    <x v="7"/>
  </r>
  <r>
    <x v="12"/>
    <m/>
    <m/>
    <m/>
    <m/>
    <m/>
    <x v="652"/>
    <x v="2"/>
    <x v="7"/>
  </r>
  <r>
    <x v="13"/>
    <n v="212000"/>
    <m/>
    <n v="378000"/>
    <m/>
    <m/>
    <x v="652"/>
    <x v="2"/>
    <x v="7"/>
  </r>
  <r>
    <x v="0"/>
    <m/>
    <m/>
    <m/>
    <m/>
    <m/>
    <x v="653"/>
    <x v="2"/>
    <x v="7"/>
  </r>
  <r>
    <x v="1"/>
    <m/>
    <m/>
    <m/>
    <m/>
    <m/>
    <x v="653"/>
    <x v="2"/>
    <x v="7"/>
  </r>
  <r>
    <x v="2"/>
    <m/>
    <m/>
    <m/>
    <m/>
    <m/>
    <x v="653"/>
    <x v="2"/>
    <x v="7"/>
  </r>
  <r>
    <x v="3"/>
    <m/>
    <m/>
    <m/>
    <n v="580500"/>
    <m/>
    <x v="653"/>
    <x v="2"/>
    <x v="7"/>
  </r>
  <r>
    <x v="4"/>
    <m/>
    <m/>
    <m/>
    <m/>
    <m/>
    <x v="653"/>
    <x v="2"/>
    <x v="7"/>
  </r>
  <r>
    <x v="5"/>
    <n v="432000"/>
    <m/>
    <m/>
    <m/>
    <m/>
    <x v="653"/>
    <x v="2"/>
    <x v="7"/>
  </r>
  <r>
    <x v="14"/>
    <m/>
    <m/>
    <m/>
    <m/>
    <m/>
    <x v="653"/>
    <x v="2"/>
    <x v="7"/>
  </r>
  <r>
    <x v="6"/>
    <n v="108000"/>
    <m/>
    <m/>
    <m/>
    <m/>
    <x v="653"/>
    <x v="2"/>
    <x v="7"/>
  </r>
  <r>
    <x v="7"/>
    <n v="216000"/>
    <m/>
    <m/>
    <m/>
    <m/>
    <x v="653"/>
    <x v="2"/>
    <x v="7"/>
  </r>
  <r>
    <x v="15"/>
    <m/>
    <m/>
    <m/>
    <m/>
    <m/>
    <x v="653"/>
    <x v="2"/>
    <x v="7"/>
  </r>
  <r>
    <x v="8"/>
    <n v="270000"/>
    <m/>
    <m/>
    <m/>
    <m/>
    <x v="653"/>
    <x v="2"/>
    <x v="7"/>
  </r>
  <r>
    <x v="9"/>
    <n v="424000"/>
    <n v="1238000"/>
    <m/>
    <m/>
    <n v="540000"/>
    <x v="653"/>
    <x v="2"/>
    <x v="7"/>
  </r>
  <r>
    <x v="10"/>
    <m/>
    <m/>
    <m/>
    <m/>
    <m/>
    <x v="653"/>
    <x v="2"/>
    <x v="7"/>
  </r>
  <r>
    <x v="11"/>
    <m/>
    <m/>
    <m/>
    <m/>
    <m/>
    <x v="653"/>
    <x v="2"/>
    <x v="7"/>
  </r>
  <r>
    <x v="16"/>
    <m/>
    <m/>
    <m/>
    <m/>
    <m/>
    <x v="653"/>
    <x v="2"/>
    <x v="7"/>
  </r>
  <r>
    <x v="12"/>
    <m/>
    <m/>
    <m/>
    <m/>
    <m/>
    <x v="653"/>
    <x v="2"/>
    <x v="7"/>
  </r>
  <r>
    <x v="13"/>
    <n v="324000"/>
    <m/>
    <m/>
    <m/>
    <m/>
    <x v="653"/>
    <x v="2"/>
    <x v="7"/>
  </r>
  <r>
    <x v="0"/>
    <m/>
    <m/>
    <m/>
    <m/>
    <m/>
    <x v="654"/>
    <x v="2"/>
    <x v="7"/>
  </r>
  <r>
    <x v="1"/>
    <m/>
    <m/>
    <m/>
    <m/>
    <m/>
    <x v="654"/>
    <x v="2"/>
    <x v="7"/>
  </r>
  <r>
    <x v="2"/>
    <m/>
    <m/>
    <m/>
    <m/>
    <m/>
    <x v="654"/>
    <x v="2"/>
    <x v="7"/>
  </r>
  <r>
    <x v="3"/>
    <m/>
    <n v="810000"/>
    <m/>
    <n v="261000"/>
    <m/>
    <x v="654"/>
    <x v="2"/>
    <x v="7"/>
  </r>
  <r>
    <x v="4"/>
    <m/>
    <m/>
    <m/>
    <m/>
    <m/>
    <x v="654"/>
    <x v="2"/>
    <x v="7"/>
  </r>
  <r>
    <x v="5"/>
    <n v="432000"/>
    <m/>
    <m/>
    <m/>
    <m/>
    <x v="654"/>
    <x v="2"/>
    <x v="7"/>
  </r>
  <r>
    <x v="14"/>
    <m/>
    <m/>
    <m/>
    <m/>
    <m/>
    <x v="654"/>
    <x v="2"/>
    <x v="7"/>
  </r>
  <r>
    <x v="6"/>
    <n v="374000"/>
    <m/>
    <m/>
    <m/>
    <m/>
    <x v="654"/>
    <x v="2"/>
    <x v="7"/>
  </r>
  <r>
    <x v="7"/>
    <n v="432000"/>
    <m/>
    <m/>
    <m/>
    <m/>
    <x v="654"/>
    <x v="2"/>
    <x v="7"/>
  </r>
  <r>
    <x v="15"/>
    <m/>
    <m/>
    <m/>
    <m/>
    <m/>
    <x v="654"/>
    <x v="2"/>
    <x v="7"/>
  </r>
  <r>
    <x v="8"/>
    <m/>
    <n v="288000"/>
    <m/>
    <m/>
    <m/>
    <x v="654"/>
    <x v="2"/>
    <x v="7"/>
  </r>
  <r>
    <x v="9"/>
    <n v="756000"/>
    <n v="482000"/>
    <n v="365000"/>
    <m/>
    <n v="486000"/>
    <x v="654"/>
    <x v="2"/>
    <x v="7"/>
  </r>
  <r>
    <x v="10"/>
    <m/>
    <m/>
    <m/>
    <m/>
    <m/>
    <x v="654"/>
    <x v="2"/>
    <x v="7"/>
  </r>
  <r>
    <x v="11"/>
    <m/>
    <m/>
    <m/>
    <m/>
    <m/>
    <x v="654"/>
    <x v="2"/>
    <x v="7"/>
  </r>
  <r>
    <x v="16"/>
    <m/>
    <m/>
    <m/>
    <m/>
    <m/>
    <x v="654"/>
    <x v="2"/>
    <x v="7"/>
  </r>
  <r>
    <x v="12"/>
    <m/>
    <m/>
    <m/>
    <m/>
    <m/>
    <x v="654"/>
    <x v="2"/>
    <x v="7"/>
  </r>
  <r>
    <x v="13"/>
    <n v="324000"/>
    <m/>
    <m/>
    <m/>
    <m/>
    <x v="654"/>
    <x v="2"/>
    <x v="7"/>
  </r>
  <r>
    <x v="0"/>
    <m/>
    <m/>
    <m/>
    <m/>
    <m/>
    <x v="655"/>
    <x v="2"/>
    <x v="7"/>
  </r>
  <r>
    <x v="1"/>
    <m/>
    <m/>
    <m/>
    <m/>
    <m/>
    <x v="655"/>
    <x v="2"/>
    <x v="7"/>
  </r>
  <r>
    <x v="2"/>
    <m/>
    <m/>
    <m/>
    <m/>
    <m/>
    <x v="655"/>
    <x v="2"/>
    <x v="7"/>
  </r>
  <r>
    <x v="3"/>
    <m/>
    <n v="1134000"/>
    <m/>
    <n v="49500"/>
    <m/>
    <x v="655"/>
    <x v="2"/>
    <x v="7"/>
  </r>
  <r>
    <x v="4"/>
    <m/>
    <m/>
    <m/>
    <m/>
    <m/>
    <x v="655"/>
    <x v="2"/>
    <x v="7"/>
  </r>
  <r>
    <x v="5"/>
    <n v="104000"/>
    <m/>
    <m/>
    <m/>
    <m/>
    <x v="655"/>
    <x v="2"/>
    <x v="7"/>
  </r>
  <r>
    <x v="14"/>
    <m/>
    <m/>
    <m/>
    <m/>
    <m/>
    <x v="655"/>
    <x v="2"/>
    <x v="7"/>
  </r>
  <r>
    <x v="6"/>
    <m/>
    <m/>
    <m/>
    <m/>
    <m/>
    <x v="655"/>
    <x v="2"/>
    <x v="7"/>
  </r>
  <r>
    <x v="7"/>
    <n v="701500"/>
    <m/>
    <m/>
    <m/>
    <m/>
    <x v="655"/>
    <x v="2"/>
    <x v="7"/>
  </r>
  <r>
    <x v="15"/>
    <m/>
    <m/>
    <m/>
    <m/>
    <m/>
    <x v="655"/>
    <x v="2"/>
    <x v="7"/>
  </r>
  <r>
    <x v="8"/>
    <m/>
    <n v="216000"/>
    <m/>
    <m/>
    <m/>
    <x v="655"/>
    <x v="2"/>
    <x v="7"/>
  </r>
  <r>
    <x v="9"/>
    <n v="1296000"/>
    <n v="99500"/>
    <n v="90000"/>
    <m/>
    <n v="468000"/>
    <x v="655"/>
    <x v="2"/>
    <x v="7"/>
  </r>
  <r>
    <x v="10"/>
    <m/>
    <m/>
    <m/>
    <m/>
    <m/>
    <x v="655"/>
    <x v="2"/>
    <x v="7"/>
  </r>
  <r>
    <x v="11"/>
    <m/>
    <m/>
    <m/>
    <m/>
    <m/>
    <x v="655"/>
    <x v="2"/>
    <x v="7"/>
  </r>
  <r>
    <x v="16"/>
    <m/>
    <m/>
    <m/>
    <m/>
    <m/>
    <x v="655"/>
    <x v="2"/>
    <x v="7"/>
  </r>
  <r>
    <x v="12"/>
    <m/>
    <m/>
    <m/>
    <m/>
    <m/>
    <x v="655"/>
    <x v="2"/>
    <x v="7"/>
  </r>
  <r>
    <x v="13"/>
    <n v="162000"/>
    <m/>
    <m/>
    <m/>
    <m/>
    <x v="655"/>
    <x v="2"/>
    <x v="7"/>
  </r>
  <r>
    <x v="0"/>
    <m/>
    <n v="54000"/>
    <m/>
    <m/>
    <m/>
    <x v="656"/>
    <x v="2"/>
    <x v="8"/>
  </r>
  <r>
    <x v="1"/>
    <m/>
    <n v="45000"/>
    <m/>
    <m/>
    <m/>
    <x v="656"/>
    <x v="2"/>
    <x v="8"/>
  </r>
  <r>
    <x v="2"/>
    <m/>
    <m/>
    <m/>
    <m/>
    <m/>
    <x v="656"/>
    <x v="2"/>
    <x v="8"/>
  </r>
  <r>
    <x v="3"/>
    <m/>
    <n v="324000"/>
    <m/>
    <n v="153000"/>
    <m/>
    <x v="656"/>
    <x v="2"/>
    <x v="8"/>
  </r>
  <r>
    <x v="4"/>
    <m/>
    <m/>
    <m/>
    <m/>
    <m/>
    <x v="656"/>
    <x v="2"/>
    <x v="8"/>
  </r>
  <r>
    <x v="5"/>
    <n v="212000"/>
    <m/>
    <m/>
    <m/>
    <m/>
    <x v="656"/>
    <x v="2"/>
    <x v="8"/>
  </r>
  <r>
    <x v="14"/>
    <m/>
    <m/>
    <m/>
    <m/>
    <m/>
    <x v="656"/>
    <x v="2"/>
    <x v="8"/>
  </r>
  <r>
    <x v="6"/>
    <n v="49500"/>
    <m/>
    <m/>
    <m/>
    <m/>
    <x v="656"/>
    <x v="2"/>
    <x v="8"/>
  </r>
  <r>
    <x v="7"/>
    <n v="540000"/>
    <m/>
    <m/>
    <m/>
    <m/>
    <x v="656"/>
    <x v="2"/>
    <x v="8"/>
  </r>
  <r>
    <x v="15"/>
    <m/>
    <m/>
    <m/>
    <m/>
    <m/>
    <x v="656"/>
    <x v="2"/>
    <x v="8"/>
  </r>
  <r>
    <x v="8"/>
    <m/>
    <m/>
    <m/>
    <m/>
    <m/>
    <x v="656"/>
    <x v="2"/>
    <x v="8"/>
  </r>
  <r>
    <x v="9"/>
    <n v="1080000"/>
    <n v="104000"/>
    <n v="45000"/>
    <m/>
    <n v="585000"/>
    <x v="656"/>
    <x v="2"/>
    <x v="8"/>
  </r>
  <r>
    <x v="10"/>
    <m/>
    <m/>
    <m/>
    <m/>
    <m/>
    <x v="656"/>
    <x v="2"/>
    <x v="8"/>
  </r>
  <r>
    <x v="11"/>
    <m/>
    <m/>
    <m/>
    <m/>
    <m/>
    <x v="656"/>
    <x v="2"/>
    <x v="8"/>
  </r>
  <r>
    <x v="16"/>
    <m/>
    <m/>
    <m/>
    <m/>
    <m/>
    <x v="656"/>
    <x v="2"/>
    <x v="8"/>
  </r>
  <r>
    <x v="12"/>
    <m/>
    <m/>
    <m/>
    <m/>
    <m/>
    <x v="656"/>
    <x v="2"/>
    <x v="8"/>
  </r>
  <r>
    <x v="13"/>
    <n v="54000"/>
    <n v="162000"/>
    <m/>
    <m/>
    <m/>
    <x v="656"/>
    <x v="2"/>
    <x v="8"/>
  </r>
  <r>
    <x v="0"/>
    <m/>
    <m/>
    <m/>
    <m/>
    <m/>
    <x v="657"/>
    <x v="2"/>
    <x v="8"/>
  </r>
  <r>
    <x v="1"/>
    <m/>
    <m/>
    <m/>
    <m/>
    <m/>
    <x v="657"/>
    <x v="2"/>
    <x v="8"/>
  </r>
  <r>
    <x v="2"/>
    <m/>
    <m/>
    <m/>
    <m/>
    <m/>
    <x v="657"/>
    <x v="2"/>
    <x v="8"/>
  </r>
  <r>
    <x v="3"/>
    <m/>
    <m/>
    <m/>
    <m/>
    <m/>
    <x v="657"/>
    <x v="2"/>
    <x v="8"/>
  </r>
  <r>
    <x v="4"/>
    <m/>
    <m/>
    <m/>
    <m/>
    <m/>
    <x v="657"/>
    <x v="2"/>
    <x v="8"/>
  </r>
  <r>
    <x v="5"/>
    <n v="54000"/>
    <m/>
    <m/>
    <m/>
    <m/>
    <x v="657"/>
    <x v="2"/>
    <x v="8"/>
  </r>
  <r>
    <x v="14"/>
    <m/>
    <m/>
    <m/>
    <m/>
    <m/>
    <x v="657"/>
    <x v="2"/>
    <x v="8"/>
  </r>
  <r>
    <x v="6"/>
    <n v="50000"/>
    <m/>
    <m/>
    <m/>
    <m/>
    <x v="657"/>
    <x v="2"/>
    <x v="8"/>
  </r>
  <r>
    <x v="7"/>
    <n v="108000"/>
    <m/>
    <m/>
    <m/>
    <m/>
    <x v="657"/>
    <x v="2"/>
    <x v="8"/>
  </r>
  <r>
    <x v="15"/>
    <m/>
    <m/>
    <m/>
    <m/>
    <m/>
    <x v="657"/>
    <x v="2"/>
    <x v="8"/>
  </r>
  <r>
    <x v="8"/>
    <m/>
    <m/>
    <m/>
    <m/>
    <m/>
    <x v="657"/>
    <x v="2"/>
    <x v="8"/>
  </r>
  <r>
    <x v="9"/>
    <n v="1827000"/>
    <n v="54000"/>
    <m/>
    <m/>
    <n v="540000"/>
    <x v="657"/>
    <x v="2"/>
    <x v="8"/>
  </r>
  <r>
    <x v="10"/>
    <m/>
    <m/>
    <m/>
    <m/>
    <m/>
    <x v="657"/>
    <x v="2"/>
    <x v="8"/>
  </r>
  <r>
    <x v="11"/>
    <m/>
    <m/>
    <m/>
    <m/>
    <m/>
    <x v="657"/>
    <x v="2"/>
    <x v="8"/>
  </r>
  <r>
    <x v="16"/>
    <m/>
    <m/>
    <m/>
    <m/>
    <m/>
    <x v="657"/>
    <x v="2"/>
    <x v="8"/>
  </r>
  <r>
    <x v="12"/>
    <m/>
    <m/>
    <m/>
    <m/>
    <m/>
    <x v="657"/>
    <x v="2"/>
    <x v="8"/>
  </r>
  <r>
    <x v="13"/>
    <m/>
    <n v="486000"/>
    <m/>
    <n v="162000"/>
    <m/>
    <x v="657"/>
    <x v="2"/>
    <x v="8"/>
  </r>
  <r>
    <x v="0"/>
    <m/>
    <m/>
    <m/>
    <m/>
    <m/>
    <x v="658"/>
    <x v="2"/>
    <x v="8"/>
  </r>
  <r>
    <x v="1"/>
    <m/>
    <m/>
    <m/>
    <m/>
    <m/>
    <x v="658"/>
    <x v="2"/>
    <x v="8"/>
  </r>
  <r>
    <x v="2"/>
    <m/>
    <m/>
    <m/>
    <m/>
    <m/>
    <x v="658"/>
    <x v="2"/>
    <x v="8"/>
  </r>
  <r>
    <x v="3"/>
    <m/>
    <m/>
    <m/>
    <m/>
    <m/>
    <x v="658"/>
    <x v="2"/>
    <x v="8"/>
  </r>
  <r>
    <x v="4"/>
    <m/>
    <m/>
    <m/>
    <m/>
    <m/>
    <x v="658"/>
    <x v="2"/>
    <x v="8"/>
  </r>
  <r>
    <x v="5"/>
    <n v="594000"/>
    <m/>
    <n v="162000"/>
    <m/>
    <m/>
    <x v="658"/>
    <x v="2"/>
    <x v="8"/>
  </r>
  <r>
    <x v="14"/>
    <m/>
    <m/>
    <m/>
    <m/>
    <m/>
    <x v="658"/>
    <x v="2"/>
    <x v="8"/>
  </r>
  <r>
    <x v="6"/>
    <m/>
    <m/>
    <m/>
    <m/>
    <m/>
    <x v="658"/>
    <x v="2"/>
    <x v="8"/>
  </r>
  <r>
    <x v="7"/>
    <m/>
    <m/>
    <m/>
    <m/>
    <m/>
    <x v="658"/>
    <x v="2"/>
    <x v="8"/>
  </r>
  <r>
    <x v="15"/>
    <m/>
    <m/>
    <m/>
    <m/>
    <m/>
    <x v="658"/>
    <x v="2"/>
    <x v="8"/>
  </r>
  <r>
    <x v="8"/>
    <n v="540000"/>
    <m/>
    <m/>
    <m/>
    <m/>
    <x v="658"/>
    <x v="2"/>
    <x v="8"/>
  </r>
  <r>
    <x v="9"/>
    <m/>
    <m/>
    <m/>
    <m/>
    <n v="378000"/>
    <x v="658"/>
    <x v="2"/>
    <x v="8"/>
  </r>
  <r>
    <x v="10"/>
    <m/>
    <m/>
    <m/>
    <m/>
    <m/>
    <x v="658"/>
    <x v="2"/>
    <x v="8"/>
  </r>
  <r>
    <x v="11"/>
    <n v="864000"/>
    <n v="99000"/>
    <m/>
    <m/>
    <m/>
    <x v="658"/>
    <x v="2"/>
    <x v="8"/>
  </r>
  <r>
    <x v="16"/>
    <m/>
    <m/>
    <m/>
    <m/>
    <m/>
    <x v="658"/>
    <x v="2"/>
    <x v="8"/>
  </r>
  <r>
    <x v="12"/>
    <m/>
    <m/>
    <m/>
    <m/>
    <m/>
    <x v="658"/>
    <x v="2"/>
    <x v="8"/>
  </r>
  <r>
    <x v="13"/>
    <n v="104000"/>
    <m/>
    <m/>
    <m/>
    <m/>
    <x v="658"/>
    <x v="2"/>
    <x v="8"/>
  </r>
  <r>
    <x v="0"/>
    <m/>
    <m/>
    <m/>
    <m/>
    <m/>
    <x v="659"/>
    <x v="2"/>
    <x v="8"/>
  </r>
  <r>
    <x v="1"/>
    <m/>
    <m/>
    <m/>
    <m/>
    <m/>
    <x v="659"/>
    <x v="2"/>
    <x v="8"/>
  </r>
  <r>
    <x v="2"/>
    <m/>
    <m/>
    <m/>
    <m/>
    <m/>
    <x v="659"/>
    <x v="2"/>
    <x v="8"/>
  </r>
  <r>
    <x v="3"/>
    <m/>
    <m/>
    <m/>
    <m/>
    <m/>
    <x v="659"/>
    <x v="2"/>
    <x v="8"/>
  </r>
  <r>
    <x v="4"/>
    <m/>
    <m/>
    <m/>
    <m/>
    <m/>
    <x v="659"/>
    <x v="2"/>
    <x v="8"/>
  </r>
  <r>
    <x v="5"/>
    <n v="1017500"/>
    <n v="640000"/>
    <n v="45000"/>
    <m/>
    <m/>
    <x v="659"/>
    <x v="2"/>
    <x v="8"/>
  </r>
  <r>
    <x v="14"/>
    <m/>
    <m/>
    <m/>
    <m/>
    <m/>
    <x v="659"/>
    <x v="2"/>
    <x v="8"/>
  </r>
  <r>
    <x v="6"/>
    <m/>
    <m/>
    <m/>
    <m/>
    <m/>
    <x v="659"/>
    <x v="2"/>
    <x v="8"/>
  </r>
  <r>
    <x v="7"/>
    <n v="108000"/>
    <m/>
    <m/>
    <m/>
    <m/>
    <x v="659"/>
    <x v="2"/>
    <x v="8"/>
  </r>
  <r>
    <x v="15"/>
    <m/>
    <m/>
    <m/>
    <m/>
    <m/>
    <x v="659"/>
    <x v="2"/>
    <x v="8"/>
  </r>
  <r>
    <x v="8"/>
    <n v="432000"/>
    <m/>
    <m/>
    <m/>
    <m/>
    <x v="659"/>
    <x v="2"/>
    <x v="8"/>
  </r>
  <r>
    <x v="9"/>
    <n v="431500"/>
    <m/>
    <m/>
    <m/>
    <m/>
    <x v="659"/>
    <x v="2"/>
    <x v="8"/>
  </r>
  <r>
    <x v="10"/>
    <m/>
    <m/>
    <m/>
    <m/>
    <m/>
    <x v="659"/>
    <x v="2"/>
    <x v="8"/>
  </r>
  <r>
    <x v="11"/>
    <n v="162000"/>
    <m/>
    <m/>
    <m/>
    <m/>
    <x v="659"/>
    <x v="2"/>
    <x v="8"/>
  </r>
  <r>
    <x v="16"/>
    <m/>
    <m/>
    <m/>
    <m/>
    <m/>
    <x v="659"/>
    <x v="2"/>
    <x v="8"/>
  </r>
  <r>
    <x v="12"/>
    <m/>
    <m/>
    <m/>
    <m/>
    <m/>
    <x v="659"/>
    <x v="2"/>
    <x v="8"/>
  </r>
  <r>
    <x v="13"/>
    <m/>
    <n v="50000"/>
    <m/>
    <m/>
    <m/>
    <x v="659"/>
    <x v="2"/>
    <x v="8"/>
  </r>
  <r>
    <x v="0"/>
    <m/>
    <m/>
    <m/>
    <m/>
    <m/>
    <x v="660"/>
    <x v="2"/>
    <x v="8"/>
  </r>
  <r>
    <x v="1"/>
    <m/>
    <n v="90000"/>
    <m/>
    <m/>
    <m/>
    <x v="660"/>
    <x v="2"/>
    <x v="8"/>
  </r>
  <r>
    <x v="2"/>
    <m/>
    <m/>
    <m/>
    <m/>
    <m/>
    <x v="660"/>
    <x v="2"/>
    <x v="8"/>
  </r>
  <r>
    <x v="3"/>
    <m/>
    <n v="54000"/>
    <m/>
    <m/>
    <m/>
    <x v="660"/>
    <x v="2"/>
    <x v="8"/>
  </r>
  <r>
    <x v="4"/>
    <m/>
    <m/>
    <m/>
    <m/>
    <m/>
    <x v="660"/>
    <x v="2"/>
    <x v="8"/>
  </r>
  <r>
    <x v="5"/>
    <n v="756000"/>
    <n v="54000"/>
    <m/>
    <m/>
    <m/>
    <x v="660"/>
    <x v="2"/>
    <x v="8"/>
  </r>
  <r>
    <x v="14"/>
    <m/>
    <m/>
    <m/>
    <m/>
    <m/>
    <x v="660"/>
    <x v="2"/>
    <x v="8"/>
  </r>
  <r>
    <x v="6"/>
    <m/>
    <m/>
    <m/>
    <m/>
    <m/>
    <x v="660"/>
    <x v="2"/>
    <x v="8"/>
  </r>
  <r>
    <x v="7"/>
    <m/>
    <m/>
    <m/>
    <m/>
    <m/>
    <x v="660"/>
    <x v="2"/>
    <x v="8"/>
  </r>
  <r>
    <x v="15"/>
    <m/>
    <m/>
    <m/>
    <m/>
    <m/>
    <x v="660"/>
    <x v="2"/>
    <x v="8"/>
  </r>
  <r>
    <x v="8"/>
    <n v="54000"/>
    <m/>
    <m/>
    <m/>
    <m/>
    <x v="660"/>
    <x v="2"/>
    <x v="8"/>
  </r>
  <r>
    <x v="9"/>
    <n v="590000"/>
    <m/>
    <m/>
    <m/>
    <m/>
    <x v="660"/>
    <x v="2"/>
    <x v="8"/>
  </r>
  <r>
    <x v="10"/>
    <m/>
    <m/>
    <m/>
    <m/>
    <m/>
    <x v="660"/>
    <x v="2"/>
    <x v="8"/>
  </r>
  <r>
    <x v="11"/>
    <m/>
    <m/>
    <m/>
    <m/>
    <m/>
    <x v="660"/>
    <x v="2"/>
    <x v="8"/>
  </r>
  <r>
    <x v="16"/>
    <m/>
    <m/>
    <m/>
    <m/>
    <m/>
    <x v="660"/>
    <x v="2"/>
    <x v="8"/>
  </r>
  <r>
    <x v="12"/>
    <m/>
    <m/>
    <m/>
    <m/>
    <m/>
    <x v="660"/>
    <x v="2"/>
    <x v="8"/>
  </r>
  <r>
    <x v="13"/>
    <m/>
    <m/>
    <m/>
    <m/>
    <m/>
    <x v="660"/>
    <x v="2"/>
    <x v="8"/>
  </r>
  <r>
    <x v="0"/>
    <m/>
    <m/>
    <m/>
    <m/>
    <m/>
    <x v="660"/>
    <x v="2"/>
    <x v="8"/>
  </r>
  <r>
    <x v="1"/>
    <m/>
    <m/>
    <m/>
    <m/>
    <m/>
    <x v="660"/>
    <x v="2"/>
    <x v="8"/>
  </r>
  <r>
    <x v="2"/>
    <m/>
    <m/>
    <m/>
    <m/>
    <m/>
    <x v="660"/>
    <x v="2"/>
    <x v="8"/>
  </r>
  <r>
    <x v="3"/>
    <m/>
    <m/>
    <m/>
    <m/>
    <m/>
    <x v="660"/>
    <x v="2"/>
    <x v="8"/>
  </r>
  <r>
    <x v="4"/>
    <m/>
    <m/>
    <m/>
    <m/>
    <m/>
    <x v="660"/>
    <x v="2"/>
    <x v="8"/>
  </r>
  <r>
    <x v="5"/>
    <n v="752000"/>
    <m/>
    <n v="90000"/>
    <m/>
    <m/>
    <x v="660"/>
    <x v="2"/>
    <x v="8"/>
  </r>
  <r>
    <x v="14"/>
    <m/>
    <n v="918000"/>
    <m/>
    <n v="270000"/>
    <m/>
    <x v="660"/>
    <x v="2"/>
    <x v="8"/>
  </r>
  <r>
    <x v="6"/>
    <m/>
    <m/>
    <m/>
    <m/>
    <m/>
    <x v="660"/>
    <x v="2"/>
    <x v="8"/>
  </r>
  <r>
    <x v="7"/>
    <m/>
    <m/>
    <m/>
    <m/>
    <m/>
    <x v="660"/>
    <x v="2"/>
    <x v="8"/>
  </r>
  <r>
    <x v="15"/>
    <m/>
    <m/>
    <m/>
    <m/>
    <m/>
    <x v="660"/>
    <x v="2"/>
    <x v="8"/>
  </r>
  <r>
    <x v="8"/>
    <n v="54000"/>
    <m/>
    <m/>
    <m/>
    <m/>
    <x v="660"/>
    <x v="2"/>
    <x v="8"/>
  </r>
  <r>
    <x v="9"/>
    <n v="1121000"/>
    <m/>
    <m/>
    <m/>
    <m/>
    <x v="660"/>
    <x v="2"/>
    <x v="8"/>
  </r>
  <r>
    <x v="10"/>
    <m/>
    <m/>
    <m/>
    <m/>
    <m/>
    <x v="660"/>
    <x v="2"/>
    <x v="8"/>
  </r>
  <r>
    <x v="11"/>
    <m/>
    <m/>
    <m/>
    <m/>
    <m/>
    <x v="660"/>
    <x v="2"/>
    <x v="8"/>
  </r>
  <r>
    <x v="16"/>
    <m/>
    <m/>
    <m/>
    <m/>
    <m/>
    <x v="660"/>
    <x v="2"/>
    <x v="8"/>
  </r>
  <r>
    <x v="12"/>
    <m/>
    <m/>
    <m/>
    <m/>
    <m/>
    <x v="660"/>
    <x v="2"/>
    <x v="8"/>
  </r>
  <r>
    <x v="13"/>
    <m/>
    <m/>
    <m/>
    <m/>
    <m/>
    <x v="660"/>
    <x v="2"/>
    <x v="8"/>
  </r>
  <r>
    <x v="0"/>
    <m/>
    <m/>
    <m/>
    <m/>
    <m/>
    <x v="661"/>
    <x v="2"/>
    <x v="8"/>
  </r>
  <r>
    <x v="1"/>
    <m/>
    <m/>
    <m/>
    <m/>
    <m/>
    <x v="661"/>
    <x v="2"/>
    <x v="8"/>
  </r>
  <r>
    <x v="2"/>
    <m/>
    <m/>
    <m/>
    <m/>
    <m/>
    <x v="661"/>
    <x v="2"/>
    <x v="8"/>
  </r>
  <r>
    <x v="3"/>
    <m/>
    <m/>
    <m/>
    <m/>
    <m/>
    <x v="661"/>
    <x v="2"/>
    <x v="8"/>
  </r>
  <r>
    <x v="4"/>
    <m/>
    <m/>
    <m/>
    <m/>
    <m/>
    <x v="661"/>
    <x v="2"/>
    <x v="8"/>
  </r>
  <r>
    <x v="5"/>
    <n v="378000"/>
    <m/>
    <m/>
    <m/>
    <m/>
    <x v="661"/>
    <x v="2"/>
    <x v="8"/>
  </r>
  <r>
    <x v="14"/>
    <m/>
    <m/>
    <m/>
    <m/>
    <m/>
    <x v="661"/>
    <x v="2"/>
    <x v="8"/>
  </r>
  <r>
    <x v="6"/>
    <m/>
    <m/>
    <m/>
    <m/>
    <m/>
    <x v="661"/>
    <x v="2"/>
    <x v="8"/>
  </r>
  <r>
    <x v="7"/>
    <m/>
    <m/>
    <m/>
    <m/>
    <m/>
    <x v="661"/>
    <x v="2"/>
    <x v="8"/>
  </r>
  <r>
    <x v="15"/>
    <m/>
    <m/>
    <m/>
    <m/>
    <m/>
    <x v="661"/>
    <x v="2"/>
    <x v="8"/>
  </r>
  <r>
    <x v="8"/>
    <m/>
    <m/>
    <m/>
    <m/>
    <m/>
    <x v="661"/>
    <x v="2"/>
    <x v="8"/>
  </r>
  <r>
    <x v="9"/>
    <m/>
    <n v="427500"/>
    <m/>
    <m/>
    <m/>
    <x v="661"/>
    <x v="2"/>
    <x v="8"/>
  </r>
  <r>
    <x v="10"/>
    <m/>
    <m/>
    <m/>
    <m/>
    <m/>
    <x v="661"/>
    <x v="2"/>
    <x v="8"/>
  </r>
  <r>
    <x v="11"/>
    <n v="45000"/>
    <m/>
    <m/>
    <m/>
    <m/>
    <x v="661"/>
    <x v="2"/>
    <x v="8"/>
  </r>
  <r>
    <x v="16"/>
    <m/>
    <m/>
    <m/>
    <m/>
    <m/>
    <x v="661"/>
    <x v="2"/>
    <x v="8"/>
  </r>
  <r>
    <x v="17"/>
    <n v="369500"/>
    <m/>
    <m/>
    <m/>
    <m/>
    <x v="661"/>
    <x v="2"/>
    <x v="8"/>
  </r>
  <r>
    <x v="12"/>
    <m/>
    <m/>
    <m/>
    <m/>
    <m/>
    <x v="661"/>
    <x v="2"/>
    <x v="8"/>
  </r>
  <r>
    <x v="13"/>
    <m/>
    <m/>
    <m/>
    <m/>
    <m/>
    <x v="661"/>
    <x v="2"/>
    <x v="8"/>
  </r>
  <r>
    <x v="0"/>
    <m/>
    <m/>
    <m/>
    <m/>
    <m/>
    <x v="662"/>
    <x v="2"/>
    <x v="8"/>
  </r>
  <r>
    <x v="1"/>
    <m/>
    <m/>
    <m/>
    <m/>
    <m/>
    <x v="662"/>
    <x v="2"/>
    <x v="8"/>
  </r>
  <r>
    <x v="2"/>
    <n v="540000"/>
    <m/>
    <n v="324000"/>
    <m/>
    <m/>
    <x v="662"/>
    <x v="2"/>
    <x v="8"/>
  </r>
  <r>
    <x v="3"/>
    <m/>
    <m/>
    <m/>
    <m/>
    <m/>
    <x v="662"/>
    <x v="2"/>
    <x v="8"/>
  </r>
  <r>
    <x v="4"/>
    <m/>
    <m/>
    <m/>
    <m/>
    <m/>
    <x v="662"/>
    <x v="2"/>
    <x v="8"/>
  </r>
  <r>
    <x v="5"/>
    <m/>
    <m/>
    <m/>
    <m/>
    <m/>
    <x v="662"/>
    <x v="2"/>
    <x v="8"/>
  </r>
  <r>
    <x v="14"/>
    <n v="108000"/>
    <m/>
    <m/>
    <m/>
    <m/>
    <x v="662"/>
    <x v="2"/>
    <x v="8"/>
  </r>
  <r>
    <x v="6"/>
    <m/>
    <m/>
    <m/>
    <m/>
    <m/>
    <x v="662"/>
    <x v="2"/>
    <x v="8"/>
  </r>
  <r>
    <x v="7"/>
    <m/>
    <m/>
    <m/>
    <m/>
    <m/>
    <x v="662"/>
    <x v="2"/>
    <x v="8"/>
  </r>
  <r>
    <x v="15"/>
    <m/>
    <m/>
    <m/>
    <m/>
    <m/>
    <x v="662"/>
    <x v="2"/>
    <x v="8"/>
  </r>
  <r>
    <x v="8"/>
    <m/>
    <m/>
    <m/>
    <m/>
    <m/>
    <x v="662"/>
    <x v="2"/>
    <x v="8"/>
  </r>
  <r>
    <x v="9"/>
    <m/>
    <n v="486000"/>
    <m/>
    <m/>
    <m/>
    <x v="662"/>
    <x v="2"/>
    <x v="8"/>
  </r>
  <r>
    <x v="10"/>
    <m/>
    <m/>
    <m/>
    <m/>
    <m/>
    <x v="662"/>
    <x v="2"/>
    <x v="8"/>
  </r>
  <r>
    <x v="11"/>
    <m/>
    <m/>
    <m/>
    <m/>
    <m/>
    <x v="662"/>
    <x v="2"/>
    <x v="8"/>
  </r>
  <r>
    <x v="16"/>
    <m/>
    <m/>
    <m/>
    <m/>
    <m/>
    <x v="662"/>
    <x v="2"/>
    <x v="8"/>
  </r>
  <r>
    <x v="17"/>
    <m/>
    <m/>
    <m/>
    <m/>
    <m/>
    <x v="662"/>
    <x v="2"/>
    <x v="8"/>
  </r>
  <r>
    <x v="12"/>
    <m/>
    <m/>
    <m/>
    <m/>
    <m/>
    <x v="662"/>
    <x v="2"/>
    <x v="8"/>
  </r>
  <r>
    <x v="13"/>
    <m/>
    <m/>
    <m/>
    <m/>
    <m/>
    <x v="662"/>
    <x v="2"/>
    <x v="8"/>
  </r>
  <r>
    <x v="0"/>
    <m/>
    <m/>
    <m/>
    <m/>
    <m/>
    <x v="662"/>
    <x v="2"/>
    <x v="8"/>
  </r>
  <r>
    <x v="1"/>
    <m/>
    <m/>
    <m/>
    <m/>
    <m/>
    <x v="662"/>
    <x v="2"/>
    <x v="8"/>
  </r>
  <r>
    <x v="2"/>
    <n v="414500"/>
    <m/>
    <n v="675000"/>
    <m/>
    <m/>
    <x v="662"/>
    <x v="2"/>
    <x v="8"/>
  </r>
  <r>
    <x v="3"/>
    <m/>
    <m/>
    <m/>
    <m/>
    <m/>
    <x v="662"/>
    <x v="2"/>
    <x v="8"/>
  </r>
  <r>
    <x v="4"/>
    <m/>
    <m/>
    <m/>
    <m/>
    <m/>
    <x v="662"/>
    <x v="2"/>
    <x v="8"/>
  </r>
  <r>
    <x v="5"/>
    <m/>
    <m/>
    <m/>
    <m/>
    <m/>
    <x v="662"/>
    <x v="2"/>
    <x v="8"/>
  </r>
  <r>
    <x v="14"/>
    <n v="1026000"/>
    <m/>
    <m/>
    <m/>
    <m/>
    <x v="662"/>
    <x v="2"/>
    <x v="8"/>
  </r>
  <r>
    <x v="6"/>
    <m/>
    <m/>
    <m/>
    <m/>
    <m/>
    <x v="662"/>
    <x v="2"/>
    <x v="8"/>
  </r>
  <r>
    <x v="7"/>
    <m/>
    <m/>
    <m/>
    <m/>
    <m/>
    <x v="662"/>
    <x v="2"/>
    <x v="8"/>
  </r>
  <r>
    <x v="15"/>
    <m/>
    <m/>
    <m/>
    <m/>
    <m/>
    <x v="662"/>
    <x v="2"/>
    <x v="8"/>
  </r>
  <r>
    <x v="8"/>
    <m/>
    <m/>
    <m/>
    <m/>
    <m/>
    <x v="662"/>
    <x v="2"/>
    <x v="8"/>
  </r>
  <r>
    <x v="9"/>
    <m/>
    <n v="324000"/>
    <m/>
    <m/>
    <m/>
    <x v="662"/>
    <x v="2"/>
    <x v="8"/>
  </r>
  <r>
    <x v="10"/>
    <m/>
    <m/>
    <m/>
    <m/>
    <m/>
    <x v="662"/>
    <x v="2"/>
    <x v="8"/>
  </r>
  <r>
    <x v="11"/>
    <m/>
    <m/>
    <m/>
    <m/>
    <m/>
    <x v="662"/>
    <x v="2"/>
    <x v="8"/>
  </r>
  <r>
    <x v="16"/>
    <m/>
    <m/>
    <m/>
    <m/>
    <m/>
    <x v="662"/>
    <x v="2"/>
    <x v="8"/>
  </r>
  <r>
    <x v="17"/>
    <m/>
    <m/>
    <m/>
    <m/>
    <m/>
    <x v="662"/>
    <x v="2"/>
    <x v="8"/>
  </r>
  <r>
    <x v="12"/>
    <m/>
    <m/>
    <m/>
    <m/>
    <m/>
    <x v="662"/>
    <x v="2"/>
    <x v="8"/>
  </r>
  <r>
    <x v="13"/>
    <m/>
    <m/>
    <m/>
    <m/>
    <m/>
    <x v="662"/>
    <x v="2"/>
    <x v="8"/>
  </r>
  <r>
    <x v="0"/>
    <m/>
    <m/>
    <m/>
    <m/>
    <m/>
    <x v="663"/>
    <x v="2"/>
    <x v="8"/>
  </r>
  <r>
    <x v="1"/>
    <m/>
    <m/>
    <m/>
    <m/>
    <m/>
    <x v="663"/>
    <x v="2"/>
    <x v="8"/>
  </r>
  <r>
    <x v="2"/>
    <m/>
    <m/>
    <m/>
    <m/>
    <m/>
    <x v="663"/>
    <x v="2"/>
    <x v="8"/>
  </r>
  <r>
    <x v="3"/>
    <m/>
    <m/>
    <m/>
    <m/>
    <m/>
    <x v="663"/>
    <x v="2"/>
    <x v="8"/>
  </r>
  <r>
    <x v="4"/>
    <m/>
    <m/>
    <m/>
    <m/>
    <m/>
    <x v="663"/>
    <x v="2"/>
    <x v="8"/>
  </r>
  <r>
    <x v="5"/>
    <m/>
    <m/>
    <m/>
    <m/>
    <m/>
    <x v="663"/>
    <x v="2"/>
    <x v="8"/>
  </r>
  <r>
    <x v="14"/>
    <n v="536000"/>
    <m/>
    <n v="270000"/>
    <m/>
    <m/>
    <x v="663"/>
    <x v="2"/>
    <x v="8"/>
  </r>
  <r>
    <x v="6"/>
    <m/>
    <m/>
    <m/>
    <m/>
    <m/>
    <x v="663"/>
    <x v="2"/>
    <x v="8"/>
  </r>
  <r>
    <x v="7"/>
    <m/>
    <m/>
    <m/>
    <m/>
    <m/>
    <x v="663"/>
    <x v="2"/>
    <x v="8"/>
  </r>
  <r>
    <x v="15"/>
    <m/>
    <m/>
    <m/>
    <m/>
    <m/>
    <x v="663"/>
    <x v="2"/>
    <x v="8"/>
  </r>
  <r>
    <x v="8"/>
    <n v="918000"/>
    <n v="846000"/>
    <n v="432000"/>
    <m/>
    <m/>
    <x v="663"/>
    <x v="2"/>
    <x v="8"/>
  </r>
  <r>
    <x v="9"/>
    <m/>
    <m/>
    <m/>
    <m/>
    <m/>
    <x v="663"/>
    <x v="2"/>
    <x v="8"/>
  </r>
  <r>
    <x v="10"/>
    <m/>
    <m/>
    <m/>
    <m/>
    <m/>
    <x v="663"/>
    <x v="2"/>
    <x v="8"/>
  </r>
  <r>
    <x v="11"/>
    <m/>
    <m/>
    <m/>
    <m/>
    <m/>
    <x v="663"/>
    <x v="2"/>
    <x v="8"/>
  </r>
  <r>
    <x v="16"/>
    <m/>
    <m/>
    <m/>
    <m/>
    <m/>
    <x v="663"/>
    <x v="2"/>
    <x v="8"/>
  </r>
  <r>
    <x v="17"/>
    <m/>
    <m/>
    <m/>
    <m/>
    <m/>
    <x v="663"/>
    <x v="2"/>
    <x v="8"/>
  </r>
  <r>
    <x v="12"/>
    <m/>
    <m/>
    <m/>
    <m/>
    <m/>
    <x v="663"/>
    <x v="2"/>
    <x v="8"/>
  </r>
  <r>
    <x v="13"/>
    <m/>
    <m/>
    <m/>
    <m/>
    <m/>
    <x v="663"/>
    <x v="2"/>
    <x v="8"/>
  </r>
  <r>
    <x v="0"/>
    <m/>
    <m/>
    <m/>
    <m/>
    <m/>
    <x v="664"/>
    <x v="2"/>
    <x v="8"/>
  </r>
  <r>
    <x v="1"/>
    <m/>
    <m/>
    <m/>
    <m/>
    <m/>
    <x v="664"/>
    <x v="2"/>
    <x v="8"/>
  </r>
  <r>
    <x v="2"/>
    <n v="594000"/>
    <m/>
    <m/>
    <m/>
    <m/>
    <x v="664"/>
    <x v="2"/>
    <x v="8"/>
  </r>
  <r>
    <x v="3"/>
    <m/>
    <m/>
    <m/>
    <m/>
    <m/>
    <x v="664"/>
    <x v="2"/>
    <x v="8"/>
  </r>
  <r>
    <x v="4"/>
    <m/>
    <m/>
    <m/>
    <m/>
    <m/>
    <x v="664"/>
    <x v="2"/>
    <x v="8"/>
  </r>
  <r>
    <x v="5"/>
    <m/>
    <m/>
    <m/>
    <m/>
    <m/>
    <x v="664"/>
    <x v="2"/>
    <x v="8"/>
  </r>
  <r>
    <x v="14"/>
    <m/>
    <m/>
    <n v="54000"/>
    <m/>
    <m/>
    <x v="664"/>
    <x v="2"/>
    <x v="8"/>
  </r>
  <r>
    <x v="6"/>
    <m/>
    <m/>
    <m/>
    <m/>
    <m/>
    <x v="664"/>
    <x v="2"/>
    <x v="8"/>
  </r>
  <r>
    <x v="7"/>
    <m/>
    <m/>
    <m/>
    <m/>
    <m/>
    <x v="664"/>
    <x v="2"/>
    <x v="8"/>
  </r>
  <r>
    <x v="15"/>
    <m/>
    <m/>
    <m/>
    <m/>
    <m/>
    <x v="664"/>
    <x v="2"/>
    <x v="8"/>
  </r>
  <r>
    <x v="8"/>
    <n v="1026000"/>
    <n v="207000"/>
    <n v="594000"/>
    <m/>
    <m/>
    <x v="664"/>
    <x v="2"/>
    <x v="8"/>
  </r>
  <r>
    <x v="9"/>
    <m/>
    <m/>
    <m/>
    <m/>
    <m/>
    <x v="664"/>
    <x v="2"/>
    <x v="8"/>
  </r>
  <r>
    <x v="10"/>
    <m/>
    <m/>
    <m/>
    <m/>
    <m/>
    <x v="664"/>
    <x v="2"/>
    <x v="8"/>
  </r>
  <r>
    <x v="11"/>
    <m/>
    <m/>
    <m/>
    <m/>
    <m/>
    <x v="664"/>
    <x v="2"/>
    <x v="8"/>
  </r>
  <r>
    <x v="16"/>
    <m/>
    <m/>
    <m/>
    <m/>
    <m/>
    <x v="664"/>
    <x v="2"/>
    <x v="8"/>
  </r>
  <r>
    <x v="17"/>
    <m/>
    <m/>
    <m/>
    <m/>
    <m/>
    <x v="664"/>
    <x v="2"/>
    <x v="8"/>
  </r>
  <r>
    <x v="12"/>
    <m/>
    <m/>
    <m/>
    <m/>
    <m/>
    <x v="664"/>
    <x v="2"/>
    <x v="8"/>
  </r>
  <r>
    <x v="13"/>
    <m/>
    <n v="54000"/>
    <m/>
    <m/>
    <m/>
    <x v="664"/>
    <x v="2"/>
    <x v="8"/>
  </r>
  <r>
    <x v="0"/>
    <m/>
    <m/>
    <m/>
    <m/>
    <m/>
    <x v="665"/>
    <x v="2"/>
    <x v="8"/>
  </r>
  <r>
    <x v="1"/>
    <m/>
    <m/>
    <m/>
    <m/>
    <m/>
    <x v="665"/>
    <x v="2"/>
    <x v="8"/>
  </r>
  <r>
    <x v="2"/>
    <n v="270000"/>
    <m/>
    <m/>
    <m/>
    <m/>
    <x v="665"/>
    <x v="2"/>
    <x v="8"/>
  </r>
  <r>
    <x v="3"/>
    <m/>
    <m/>
    <m/>
    <m/>
    <m/>
    <x v="665"/>
    <x v="2"/>
    <x v="8"/>
  </r>
  <r>
    <x v="4"/>
    <m/>
    <m/>
    <m/>
    <m/>
    <m/>
    <x v="665"/>
    <x v="2"/>
    <x v="8"/>
  </r>
  <r>
    <x v="5"/>
    <m/>
    <m/>
    <m/>
    <m/>
    <m/>
    <x v="665"/>
    <x v="2"/>
    <x v="8"/>
  </r>
  <r>
    <x v="14"/>
    <m/>
    <m/>
    <m/>
    <m/>
    <m/>
    <x v="665"/>
    <x v="2"/>
    <x v="8"/>
  </r>
  <r>
    <x v="6"/>
    <m/>
    <m/>
    <m/>
    <m/>
    <m/>
    <x v="665"/>
    <x v="2"/>
    <x v="8"/>
  </r>
  <r>
    <x v="7"/>
    <m/>
    <m/>
    <m/>
    <m/>
    <m/>
    <x v="665"/>
    <x v="2"/>
    <x v="8"/>
  </r>
  <r>
    <x v="15"/>
    <m/>
    <m/>
    <m/>
    <m/>
    <m/>
    <x v="665"/>
    <x v="2"/>
    <x v="8"/>
  </r>
  <r>
    <x v="8"/>
    <n v="702000"/>
    <m/>
    <n v="54000"/>
    <m/>
    <m/>
    <x v="665"/>
    <x v="2"/>
    <x v="8"/>
  </r>
  <r>
    <x v="9"/>
    <m/>
    <m/>
    <m/>
    <m/>
    <m/>
    <x v="665"/>
    <x v="2"/>
    <x v="8"/>
  </r>
  <r>
    <x v="10"/>
    <m/>
    <m/>
    <m/>
    <m/>
    <m/>
    <x v="665"/>
    <x v="2"/>
    <x v="8"/>
  </r>
  <r>
    <x v="11"/>
    <m/>
    <m/>
    <m/>
    <m/>
    <m/>
    <x v="665"/>
    <x v="2"/>
    <x v="8"/>
  </r>
  <r>
    <x v="16"/>
    <m/>
    <m/>
    <m/>
    <m/>
    <m/>
    <x v="665"/>
    <x v="2"/>
    <x v="8"/>
  </r>
  <r>
    <x v="17"/>
    <m/>
    <m/>
    <m/>
    <m/>
    <m/>
    <x v="665"/>
    <x v="2"/>
    <x v="8"/>
  </r>
  <r>
    <x v="12"/>
    <m/>
    <m/>
    <m/>
    <m/>
    <m/>
    <x v="665"/>
    <x v="2"/>
    <x v="8"/>
  </r>
  <r>
    <x v="13"/>
    <m/>
    <m/>
    <m/>
    <m/>
    <m/>
    <x v="665"/>
    <x v="2"/>
    <x v="8"/>
  </r>
  <r>
    <x v="0"/>
    <m/>
    <m/>
    <m/>
    <m/>
    <m/>
    <x v="666"/>
    <x v="2"/>
    <x v="8"/>
  </r>
  <r>
    <x v="1"/>
    <m/>
    <m/>
    <m/>
    <m/>
    <m/>
    <x v="666"/>
    <x v="2"/>
    <x v="8"/>
  </r>
  <r>
    <x v="2"/>
    <m/>
    <m/>
    <m/>
    <m/>
    <m/>
    <x v="666"/>
    <x v="2"/>
    <x v="8"/>
  </r>
  <r>
    <x v="3"/>
    <m/>
    <m/>
    <m/>
    <m/>
    <m/>
    <x v="666"/>
    <x v="2"/>
    <x v="8"/>
  </r>
  <r>
    <x v="4"/>
    <m/>
    <m/>
    <m/>
    <m/>
    <m/>
    <x v="666"/>
    <x v="2"/>
    <x v="8"/>
  </r>
  <r>
    <x v="5"/>
    <m/>
    <m/>
    <m/>
    <m/>
    <m/>
    <x v="666"/>
    <x v="2"/>
    <x v="8"/>
  </r>
  <r>
    <x v="14"/>
    <m/>
    <m/>
    <m/>
    <m/>
    <m/>
    <x v="666"/>
    <x v="2"/>
    <x v="8"/>
  </r>
  <r>
    <x v="6"/>
    <m/>
    <m/>
    <m/>
    <m/>
    <m/>
    <x v="666"/>
    <x v="2"/>
    <x v="8"/>
  </r>
  <r>
    <x v="7"/>
    <m/>
    <m/>
    <m/>
    <m/>
    <m/>
    <x v="666"/>
    <x v="2"/>
    <x v="8"/>
  </r>
  <r>
    <x v="15"/>
    <m/>
    <m/>
    <m/>
    <m/>
    <m/>
    <x v="666"/>
    <x v="2"/>
    <x v="8"/>
  </r>
  <r>
    <x v="8"/>
    <m/>
    <m/>
    <m/>
    <m/>
    <m/>
    <x v="666"/>
    <x v="2"/>
    <x v="8"/>
  </r>
  <r>
    <x v="9"/>
    <m/>
    <n v="432000"/>
    <n v="756000"/>
    <m/>
    <m/>
    <x v="666"/>
    <x v="2"/>
    <x v="8"/>
  </r>
  <r>
    <x v="10"/>
    <m/>
    <m/>
    <m/>
    <m/>
    <m/>
    <x v="666"/>
    <x v="2"/>
    <x v="8"/>
  </r>
  <r>
    <x v="11"/>
    <m/>
    <m/>
    <m/>
    <m/>
    <m/>
    <x v="666"/>
    <x v="2"/>
    <x v="8"/>
  </r>
  <r>
    <x v="16"/>
    <m/>
    <m/>
    <m/>
    <m/>
    <m/>
    <x v="666"/>
    <x v="2"/>
    <x v="8"/>
  </r>
  <r>
    <x v="17"/>
    <m/>
    <m/>
    <m/>
    <m/>
    <m/>
    <x v="666"/>
    <x v="2"/>
    <x v="8"/>
  </r>
  <r>
    <x v="12"/>
    <m/>
    <m/>
    <m/>
    <m/>
    <m/>
    <x v="666"/>
    <x v="2"/>
    <x v="8"/>
  </r>
  <r>
    <x v="13"/>
    <m/>
    <m/>
    <m/>
    <m/>
    <m/>
    <x v="666"/>
    <x v="2"/>
    <x v="8"/>
  </r>
  <r>
    <x v="0"/>
    <m/>
    <m/>
    <m/>
    <m/>
    <m/>
    <x v="667"/>
    <x v="2"/>
    <x v="8"/>
  </r>
  <r>
    <x v="1"/>
    <m/>
    <m/>
    <m/>
    <m/>
    <m/>
    <x v="667"/>
    <x v="2"/>
    <x v="8"/>
  </r>
  <r>
    <x v="2"/>
    <m/>
    <m/>
    <m/>
    <m/>
    <m/>
    <x v="667"/>
    <x v="2"/>
    <x v="8"/>
  </r>
  <r>
    <x v="3"/>
    <m/>
    <m/>
    <m/>
    <m/>
    <m/>
    <x v="667"/>
    <x v="2"/>
    <x v="8"/>
  </r>
  <r>
    <x v="4"/>
    <m/>
    <m/>
    <m/>
    <m/>
    <m/>
    <x v="667"/>
    <x v="2"/>
    <x v="8"/>
  </r>
  <r>
    <x v="5"/>
    <m/>
    <m/>
    <m/>
    <m/>
    <m/>
    <x v="667"/>
    <x v="2"/>
    <x v="8"/>
  </r>
  <r>
    <x v="14"/>
    <m/>
    <m/>
    <m/>
    <m/>
    <m/>
    <x v="667"/>
    <x v="2"/>
    <x v="8"/>
  </r>
  <r>
    <x v="6"/>
    <m/>
    <m/>
    <m/>
    <m/>
    <m/>
    <x v="667"/>
    <x v="2"/>
    <x v="8"/>
  </r>
  <r>
    <x v="7"/>
    <m/>
    <m/>
    <m/>
    <m/>
    <m/>
    <x v="667"/>
    <x v="2"/>
    <x v="8"/>
  </r>
  <r>
    <x v="15"/>
    <m/>
    <m/>
    <m/>
    <m/>
    <m/>
    <x v="667"/>
    <x v="2"/>
    <x v="8"/>
  </r>
  <r>
    <x v="8"/>
    <n v="54000"/>
    <m/>
    <m/>
    <m/>
    <m/>
    <x v="667"/>
    <x v="2"/>
    <x v="8"/>
  </r>
  <r>
    <x v="9"/>
    <n v="484000"/>
    <n v="859500"/>
    <n v="153000"/>
    <n v="1026000"/>
    <m/>
    <x v="667"/>
    <x v="2"/>
    <x v="8"/>
  </r>
  <r>
    <x v="10"/>
    <m/>
    <m/>
    <m/>
    <m/>
    <m/>
    <x v="667"/>
    <x v="2"/>
    <x v="8"/>
  </r>
  <r>
    <x v="11"/>
    <m/>
    <m/>
    <m/>
    <m/>
    <m/>
    <x v="667"/>
    <x v="2"/>
    <x v="8"/>
  </r>
  <r>
    <x v="16"/>
    <m/>
    <m/>
    <m/>
    <m/>
    <m/>
    <x v="667"/>
    <x v="2"/>
    <x v="8"/>
  </r>
  <r>
    <x v="17"/>
    <m/>
    <n v="324000"/>
    <m/>
    <m/>
    <m/>
    <x v="667"/>
    <x v="2"/>
    <x v="8"/>
  </r>
  <r>
    <x v="12"/>
    <m/>
    <n v="432000"/>
    <m/>
    <m/>
    <m/>
    <x v="667"/>
    <x v="2"/>
    <x v="8"/>
  </r>
  <r>
    <x v="13"/>
    <m/>
    <m/>
    <m/>
    <m/>
    <m/>
    <x v="667"/>
    <x v="2"/>
    <x v="8"/>
  </r>
  <r>
    <x v="0"/>
    <m/>
    <m/>
    <m/>
    <m/>
    <m/>
    <x v="668"/>
    <x v="2"/>
    <x v="8"/>
  </r>
  <r>
    <x v="1"/>
    <m/>
    <m/>
    <m/>
    <m/>
    <m/>
    <x v="668"/>
    <x v="2"/>
    <x v="8"/>
  </r>
  <r>
    <x v="2"/>
    <n v="135000"/>
    <m/>
    <m/>
    <m/>
    <m/>
    <x v="668"/>
    <x v="2"/>
    <x v="8"/>
  </r>
  <r>
    <x v="3"/>
    <m/>
    <m/>
    <m/>
    <m/>
    <m/>
    <x v="668"/>
    <x v="2"/>
    <x v="8"/>
  </r>
  <r>
    <x v="4"/>
    <m/>
    <m/>
    <m/>
    <m/>
    <m/>
    <x v="668"/>
    <x v="2"/>
    <x v="8"/>
  </r>
  <r>
    <x v="5"/>
    <m/>
    <m/>
    <m/>
    <m/>
    <m/>
    <x v="668"/>
    <x v="2"/>
    <x v="8"/>
  </r>
  <r>
    <x v="14"/>
    <m/>
    <m/>
    <m/>
    <m/>
    <m/>
    <x v="668"/>
    <x v="2"/>
    <x v="8"/>
  </r>
  <r>
    <x v="6"/>
    <n v="900000"/>
    <m/>
    <n v="108000"/>
    <m/>
    <m/>
    <x v="668"/>
    <x v="2"/>
    <x v="8"/>
  </r>
  <r>
    <x v="7"/>
    <m/>
    <m/>
    <m/>
    <m/>
    <m/>
    <x v="668"/>
    <x v="2"/>
    <x v="8"/>
  </r>
  <r>
    <x v="15"/>
    <m/>
    <m/>
    <m/>
    <m/>
    <m/>
    <x v="668"/>
    <x v="2"/>
    <x v="8"/>
  </r>
  <r>
    <x v="8"/>
    <m/>
    <m/>
    <m/>
    <m/>
    <m/>
    <x v="668"/>
    <x v="2"/>
    <x v="8"/>
  </r>
  <r>
    <x v="9"/>
    <n v="697500"/>
    <n v="1279000"/>
    <m/>
    <n v="270000"/>
    <m/>
    <x v="668"/>
    <x v="2"/>
    <x v="8"/>
  </r>
  <r>
    <x v="10"/>
    <m/>
    <m/>
    <m/>
    <m/>
    <m/>
    <x v="668"/>
    <x v="2"/>
    <x v="8"/>
  </r>
  <r>
    <x v="11"/>
    <n v="90000"/>
    <m/>
    <m/>
    <m/>
    <m/>
    <x v="668"/>
    <x v="2"/>
    <x v="8"/>
  </r>
  <r>
    <x v="16"/>
    <m/>
    <m/>
    <m/>
    <m/>
    <m/>
    <x v="668"/>
    <x v="2"/>
    <x v="8"/>
  </r>
  <r>
    <x v="17"/>
    <m/>
    <n v="54000"/>
    <m/>
    <m/>
    <m/>
    <x v="668"/>
    <x v="2"/>
    <x v="8"/>
  </r>
  <r>
    <x v="12"/>
    <m/>
    <n v="535500"/>
    <m/>
    <m/>
    <m/>
    <x v="668"/>
    <x v="2"/>
    <x v="8"/>
  </r>
  <r>
    <x v="13"/>
    <m/>
    <m/>
    <m/>
    <m/>
    <m/>
    <x v="668"/>
    <x v="2"/>
    <x v="8"/>
  </r>
  <r>
    <x v="0"/>
    <m/>
    <m/>
    <m/>
    <m/>
    <m/>
    <x v="669"/>
    <x v="2"/>
    <x v="8"/>
  </r>
  <r>
    <x v="1"/>
    <m/>
    <m/>
    <m/>
    <m/>
    <m/>
    <x v="669"/>
    <x v="2"/>
    <x v="8"/>
  </r>
  <r>
    <x v="2"/>
    <n v="810000"/>
    <m/>
    <m/>
    <m/>
    <m/>
    <x v="669"/>
    <x v="2"/>
    <x v="8"/>
  </r>
  <r>
    <x v="3"/>
    <m/>
    <n v="1404000"/>
    <m/>
    <m/>
    <m/>
    <x v="669"/>
    <x v="2"/>
    <x v="8"/>
  </r>
  <r>
    <x v="4"/>
    <m/>
    <m/>
    <m/>
    <m/>
    <m/>
    <x v="669"/>
    <x v="2"/>
    <x v="8"/>
  </r>
  <r>
    <x v="5"/>
    <m/>
    <m/>
    <m/>
    <m/>
    <m/>
    <x v="669"/>
    <x v="2"/>
    <x v="8"/>
  </r>
  <r>
    <x v="14"/>
    <m/>
    <m/>
    <m/>
    <m/>
    <m/>
    <x v="669"/>
    <x v="2"/>
    <x v="8"/>
  </r>
  <r>
    <x v="6"/>
    <m/>
    <m/>
    <n v="140000"/>
    <m/>
    <m/>
    <x v="669"/>
    <x v="2"/>
    <x v="8"/>
  </r>
  <r>
    <x v="7"/>
    <m/>
    <m/>
    <m/>
    <m/>
    <m/>
    <x v="669"/>
    <x v="2"/>
    <x v="8"/>
  </r>
  <r>
    <x v="15"/>
    <m/>
    <m/>
    <m/>
    <m/>
    <m/>
    <x v="669"/>
    <x v="2"/>
    <x v="8"/>
  </r>
  <r>
    <x v="8"/>
    <m/>
    <m/>
    <m/>
    <m/>
    <m/>
    <x v="669"/>
    <x v="2"/>
    <x v="8"/>
  </r>
  <r>
    <x v="9"/>
    <m/>
    <n v="469000"/>
    <m/>
    <m/>
    <m/>
    <x v="669"/>
    <x v="2"/>
    <x v="8"/>
  </r>
  <r>
    <x v="10"/>
    <m/>
    <m/>
    <m/>
    <m/>
    <m/>
    <x v="669"/>
    <x v="2"/>
    <x v="8"/>
  </r>
  <r>
    <x v="11"/>
    <m/>
    <m/>
    <m/>
    <m/>
    <m/>
    <x v="669"/>
    <x v="2"/>
    <x v="8"/>
  </r>
  <r>
    <x v="16"/>
    <m/>
    <m/>
    <m/>
    <m/>
    <m/>
    <x v="669"/>
    <x v="2"/>
    <x v="8"/>
  </r>
  <r>
    <x v="17"/>
    <m/>
    <m/>
    <m/>
    <m/>
    <m/>
    <x v="669"/>
    <x v="2"/>
    <x v="8"/>
  </r>
  <r>
    <x v="12"/>
    <m/>
    <m/>
    <m/>
    <m/>
    <m/>
    <x v="669"/>
    <x v="2"/>
    <x v="8"/>
  </r>
  <r>
    <x v="13"/>
    <m/>
    <m/>
    <m/>
    <m/>
    <m/>
    <x v="669"/>
    <x v="2"/>
    <x v="8"/>
  </r>
  <r>
    <x v="0"/>
    <m/>
    <m/>
    <m/>
    <m/>
    <m/>
    <x v="670"/>
    <x v="2"/>
    <x v="8"/>
  </r>
  <r>
    <x v="1"/>
    <m/>
    <m/>
    <m/>
    <m/>
    <m/>
    <x v="670"/>
    <x v="2"/>
    <x v="8"/>
  </r>
  <r>
    <x v="2"/>
    <n v="50000"/>
    <m/>
    <m/>
    <m/>
    <m/>
    <x v="670"/>
    <x v="2"/>
    <x v="8"/>
  </r>
  <r>
    <x v="3"/>
    <m/>
    <n v="1350000"/>
    <m/>
    <m/>
    <m/>
    <x v="670"/>
    <x v="2"/>
    <x v="8"/>
  </r>
  <r>
    <x v="4"/>
    <m/>
    <m/>
    <m/>
    <m/>
    <m/>
    <x v="670"/>
    <x v="2"/>
    <x v="8"/>
  </r>
  <r>
    <x v="5"/>
    <m/>
    <n v="162000"/>
    <m/>
    <m/>
    <m/>
    <x v="670"/>
    <x v="2"/>
    <x v="8"/>
  </r>
  <r>
    <x v="14"/>
    <m/>
    <m/>
    <m/>
    <m/>
    <m/>
    <x v="670"/>
    <x v="2"/>
    <x v="8"/>
  </r>
  <r>
    <x v="6"/>
    <m/>
    <m/>
    <m/>
    <m/>
    <m/>
    <x v="670"/>
    <x v="2"/>
    <x v="8"/>
  </r>
  <r>
    <x v="7"/>
    <m/>
    <m/>
    <m/>
    <m/>
    <m/>
    <x v="670"/>
    <x v="2"/>
    <x v="8"/>
  </r>
  <r>
    <x v="15"/>
    <m/>
    <m/>
    <m/>
    <m/>
    <m/>
    <x v="670"/>
    <x v="2"/>
    <x v="8"/>
  </r>
  <r>
    <x v="8"/>
    <m/>
    <m/>
    <m/>
    <m/>
    <m/>
    <x v="670"/>
    <x v="2"/>
    <x v="8"/>
  </r>
  <r>
    <x v="9"/>
    <m/>
    <n v="423000"/>
    <m/>
    <m/>
    <m/>
    <x v="670"/>
    <x v="2"/>
    <x v="8"/>
  </r>
  <r>
    <x v="10"/>
    <m/>
    <m/>
    <m/>
    <m/>
    <m/>
    <x v="670"/>
    <x v="2"/>
    <x v="8"/>
  </r>
  <r>
    <x v="11"/>
    <m/>
    <m/>
    <m/>
    <m/>
    <m/>
    <x v="670"/>
    <x v="2"/>
    <x v="8"/>
  </r>
  <r>
    <x v="16"/>
    <m/>
    <m/>
    <m/>
    <m/>
    <m/>
    <x v="670"/>
    <x v="2"/>
    <x v="8"/>
  </r>
  <r>
    <x v="17"/>
    <m/>
    <m/>
    <m/>
    <m/>
    <m/>
    <x v="670"/>
    <x v="2"/>
    <x v="8"/>
  </r>
  <r>
    <x v="12"/>
    <m/>
    <m/>
    <m/>
    <m/>
    <m/>
    <x v="670"/>
    <x v="2"/>
    <x v="8"/>
  </r>
  <r>
    <x v="13"/>
    <m/>
    <n v="216000"/>
    <m/>
    <n v="108000"/>
    <m/>
    <x v="670"/>
    <x v="2"/>
    <x v="8"/>
  </r>
  <r>
    <x v="0"/>
    <m/>
    <m/>
    <m/>
    <m/>
    <m/>
    <x v="671"/>
    <x v="2"/>
    <x v="8"/>
  </r>
  <r>
    <x v="1"/>
    <m/>
    <m/>
    <m/>
    <m/>
    <m/>
    <x v="671"/>
    <x v="2"/>
    <x v="8"/>
  </r>
  <r>
    <x v="2"/>
    <n v="50000"/>
    <m/>
    <m/>
    <m/>
    <m/>
    <x v="671"/>
    <x v="2"/>
    <x v="8"/>
  </r>
  <r>
    <x v="3"/>
    <n v="2214000"/>
    <n v="1724000"/>
    <n v="270000"/>
    <m/>
    <m/>
    <x v="671"/>
    <x v="2"/>
    <x v="8"/>
  </r>
  <r>
    <x v="4"/>
    <m/>
    <m/>
    <m/>
    <m/>
    <m/>
    <x v="671"/>
    <x v="2"/>
    <x v="8"/>
  </r>
  <r>
    <x v="5"/>
    <m/>
    <n v="54000"/>
    <m/>
    <m/>
    <m/>
    <x v="671"/>
    <x v="2"/>
    <x v="8"/>
  </r>
  <r>
    <x v="14"/>
    <m/>
    <m/>
    <m/>
    <m/>
    <m/>
    <x v="671"/>
    <x v="2"/>
    <x v="8"/>
  </r>
  <r>
    <x v="6"/>
    <m/>
    <m/>
    <n v="50000"/>
    <m/>
    <m/>
    <x v="671"/>
    <x v="2"/>
    <x v="8"/>
  </r>
  <r>
    <x v="7"/>
    <m/>
    <m/>
    <m/>
    <m/>
    <m/>
    <x v="671"/>
    <x v="2"/>
    <x v="8"/>
  </r>
  <r>
    <x v="15"/>
    <m/>
    <m/>
    <m/>
    <m/>
    <m/>
    <x v="671"/>
    <x v="2"/>
    <x v="8"/>
  </r>
  <r>
    <x v="8"/>
    <m/>
    <m/>
    <m/>
    <m/>
    <m/>
    <x v="671"/>
    <x v="2"/>
    <x v="8"/>
  </r>
  <r>
    <x v="9"/>
    <m/>
    <n v="202000"/>
    <m/>
    <m/>
    <m/>
    <x v="671"/>
    <x v="2"/>
    <x v="8"/>
  </r>
  <r>
    <x v="10"/>
    <m/>
    <m/>
    <m/>
    <m/>
    <m/>
    <x v="671"/>
    <x v="2"/>
    <x v="8"/>
  </r>
  <r>
    <x v="11"/>
    <m/>
    <m/>
    <m/>
    <m/>
    <m/>
    <x v="671"/>
    <x v="2"/>
    <x v="8"/>
  </r>
  <r>
    <x v="16"/>
    <m/>
    <m/>
    <m/>
    <m/>
    <m/>
    <x v="671"/>
    <x v="2"/>
    <x v="8"/>
  </r>
  <r>
    <x v="17"/>
    <m/>
    <m/>
    <m/>
    <m/>
    <m/>
    <x v="671"/>
    <x v="2"/>
    <x v="8"/>
  </r>
  <r>
    <x v="12"/>
    <m/>
    <m/>
    <m/>
    <n v="54000"/>
    <m/>
    <x v="671"/>
    <x v="2"/>
    <x v="8"/>
  </r>
  <r>
    <x v="13"/>
    <m/>
    <n v="108000"/>
    <m/>
    <m/>
    <m/>
    <x v="671"/>
    <x v="2"/>
    <x v="8"/>
  </r>
  <r>
    <x v="0"/>
    <m/>
    <m/>
    <m/>
    <m/>
    <m/>
    <x v="672"/>
    <x v="2"/>
    <x v="8"/>
  </r>
  <r>
    <x v="1"/>
    <m/>
    <m/>
    <m/>
    <m/>
    <m/>
    <x v="672"/>
    <x v="2"/>
    <x v="8"/>
  </r>
  <r>
    <x v="2"/>
    <n v="45000"/>
    <m/>
    <m/>
    <m/>
    <m/>
    <x v="672"/>
    <x v="2"/>
    <x v="8"/>
  </r>
  <r>
    <x v="3"/>
    <n v="1728000"/>
    <n v="486000"/>
    <n v="216000"/>
    <m/>
    <m/>
    <x v="672"/>
    <x v="2"/>
    <x v="8"/>
  </r>
  <r>
    <x v="4"/>
    <m/>
    <m/>
    <m/>
    <m/>
    <m/>
    <x v="672"/>
    <x v="2"/>
    <x v="8"/>
  </r>
  <r>
    <x v="5"/>
    <m/>
    <m/>
    <m/>
    <m/>
    <m/>
    <x v="672"/>
    <x v="2"/>
    <x v="8"/>
  </r>
  <r>
    <x v="14"/>
    <m/>
    <m/>
    <m/>
    <m/>
    <m/>
    <x v="672"/>
    <x v="2"/>
    <x v="8"/>
  </r>
  <r>
    <x v="6"/>
    <m/>
    <m/>
    <m/>
    <m/>
    <m/>
    <x v="672"/>
    <x v="2"/>
    <x v="8"/>
  </r>
  <r>
    <x v="7"/>
    <m/>
    <m/>
    <m/>
    <m/>
    <m/>
    <x v="672"/>
    <x v="2"/>
    <x v="8"/>
  </r>
  <r>
    <x v="15"/>
    <m/>
    <m/>
    <m/>
    <m/>
    <m/>
    <x v="672"/>
    <x v="2"/>
    <x v="8"/>
  </r>
  <r>
    <x v="8"/>
    <m/>
    <n v="504000"/>
    <m/>
    <m/>
    <m/>
    <x v="672"/>
    <x v="2"/>
    <x v="8"/>
  </r>
  <r>
    <x v="9"/>
    <m/>
    <n v="207000"/>
    <m/>
    <n v="540000"/>
    <m/>
    <x v="672"/>
    <x v="2"/>
    <x v="8"/>
  </r>
  <r>
    <x v="10"/>
    <m/>
    <m/>
    <m/>
    <m/>
    <m/>
    <x v="672"/>
    <x v="2"/>
    <x v="8"/>
  </r>
  <r>
    <x v="11"/>
    <m/>
    <m/>
    <m/>
    <m/>
    <m/>
    <x v="672"/>
    <x v="2"/>
    <x v="8"/>
  </r>
  <r>
    <x v="16"/>
    <m/>
    <m/>
    <m/>
    <m/>
    <m/>
    <x v="672"/>
    <x v="2"/>
    <x v="8"/>
  </r>
  <r>
    <x v="17"/>
    <m/>
    <m/>
    <m/>
    <m/>
    <m/>
    <x v="672"/>
    <x v="2"/>
    <x v="8"/>
  </r>
  <r>
    <x v="12"/>
    <m/>
    <m/>
    <m/>
    <m/>
    <m/>
    <x v="672"/>
    <x v="2"/>
    <x v="8"/>
  </r>
  <r>
    <x v="13"/>
    <m/>
    <m/>
    <m/>
    <m/>
    <m/>
    <x v="672"/>
    <x v="2"/>
    <x v="8"/>
  </r>
  <r>
    <x v="0"/>
    <m/>
    <m/>
    <m/>
    <m/>
    <m/>
    <x v="673"/>
    <x v="2"/>
    <x v="8"/>
  </r>
  <r>
    <x v="1"/>
    <m/>
    <m/>
    <m/>
    <m/>
    <m/>
    <x v="673"/>
    <x v="2"/>
    <x v="8"/>
  </r>
  <r>
    <x v="2"/>
    <m/>
    <m/>
    <m/>
    <m/>
    <m/>
    <x v="673"/>
    <x v="2"/>
    <x v="8"/>
  </r>
  <r>
    <x v="3"/>
    <n v="108000"/>
    <n v="648000"/>
    <n v="54000"/>
    <m/>
    <m/>
    <x v="673"/>
    <x v="2"/>
    <x v="8"/>
  </r>
  <r>
    <x v="4"/>
    <m/>
    <m/>
    <m/>
    <m/>
    <m/>
    <x v="673"/>
    <x v="2"/>
    <x v="8"/>
  </r>
  <r>
    <x v="5"/>
    <m/>
    <m/>
    <m/>
    <m/>
    <m/>
    <x v="673"/>
    <x v="2"/>
    <x v="8"/>
  </r>
  <r>
    <x v="14"/>
    <n v="1836000"/>
    <m/>
    <n v="594000"/>
    <m/>
    <m/>
    <x v="673"/>
    <x v="2"/>
    <x v="8"/>
  </r>
  <r>
    <x v="6"/>
    <m/>
    <m/>
    <m/>
    <m/>
    <m/>
    <x v="673"/>
    <x v="2"/>
    <x v="8"/>
  </r>
  <r>
    <x v="7"/>
    <m/>
    <m/>
    <m/>
    <m/>
    <m/>
    <x v="673"/>
    <x v="2"/>
    <x v="8"/>
  </r>
  <r>
    <x v="15"/>
    <m/>
    <m/>
    <m/>
    <m/>
    <m/>
    <x v="673"/>
    <x v="2"/>
    <x v="8"/>
  </r>
  <r>
    <x v="8"/>
    <m/>
    <n v="531000"/>
    <m/>
    <m/>
    <m/>
    <x v="673"/>
    <x v="2"/>
    <x v="8"/>
  </r>
  <r>
    <x v="9"/>
    <m/>
    <n v="424000"/>
    <m/>
    <n v="54000"/>
    <m/>
    <x v="673"/>
    <x v="2"/>
    <x v="8"/>
  </r>
  <r>
    <x v="10"/>
    <m/>
    <m/>
    <m/>
    <m/>
    <m/>
    <x v="673"/>
    <x v="2"/>
    <x v="8"/>
  </r>
  <r>
    <x v="11"/>
    <m/>
    <m/>
    <m/>
    <m/>
    <m/>
    <x v="673"/>
    <x v="2"/>
    <x v="8"/>
  </r>
  <r>
    <x v="16"/>
    <m/>
    <m/>
    <m/>
    <m/>
    <m/>
    <x v="673"/>
    <x v="2"/>
    <x v="8"/>
  </r>
  <r>
    <x v="17"/>
    <m/>
    <m/>
    <m/>
    <m/>
    <m/>
    <x v="673"/>
    <x v="2"/>
    <x v="8"/>
  </r>
  <r>
    <x v="12"/>
    <m/>
    <m/>
    <m/>
    <m/>
    <m/>
    <x v="673"/>
    <x v="2"/>
    <x v="8"/>
  </r>
  <r>
    <x v="13"/>
    <m/>
    <n v="531000"/>
    <m/>
    <m/>
    <m/>
    <x v="673"/>
    <x v="2"/>
    <x v="8"/>
  </r>
  <r>
    <x v="0"/>
    <m/>
    <m/>
    <m/>
    <m/>
    <m/>
    <x v="674"/>
    <x v="2"/>
    <x v="9"/>
  </r>
  <r>
    <x v="1"/>
    <m/>
    <m/>
    <m/>
    <m/>
    <m/>
    <x v="674"/>
    <x v="2"/>
    <x v="9"/>
  </r>
  <r>
    <x v="2"/>
    <m/>
    <m/>
    <m/>
    <m/>
    <m/>
    <x v="674"/>
    <x v="2"/>
    <x v="9"/>
  </r>
  <r>
    <x v="3"/>
    <m/>
    <n v="324000"/>
    <m/>
    <m/>
    <m/>
    <x v="674"/>
    <x v="2"/>
    <x v="9"/>
  </r>
  <r>
    <x v="4"/>
    <m/>
    <m/>
    <m/>
    <m/>
    <m/>
    <x v="674"/>
    <x v="2"/>
    <x v="9"/>
  </r>
  <r>
    <x v="5"/>
    <m/>
    <m/>
    <m/>
    <m/>
    <m/>
    <x v="674"/>
    <x v="2"/>
    <x v="9"/>
  </r>
  <r>
    <x v="14"/>
    <n v="162000"/>
    <m/>
    <m/>
    <m/>
    <m/>
    <x v="674"/>
    <x v="2"/>
    <x v="9"/>
  </r>
  <r>
    <x v="6"/>
    <m/>
    <m/>
    <m/>
    <m/>
    <m/>
    <x v="674"/>
    <x v="2"/>
    <x v="9"/>
  </r>
  <r>
    <x v="7"/>
    <m/>
    <m/>
    <m/>
    <m/>
    <m/>
    <x v="674"/>
    <x v="2"/>
    <x v="9"/>
  </r>
  <r>
    <x v="15"/>
    <m/>
    <m/>
    <m/>
    <m/>
    <m/>
    <x v="674"/>
    <x v="2"/>
    <x v="9"/>
  </r>
  <r>
    <x v="8"/>
    <m/>
    <m/>
    <m/>
    <m/>
    <m/>
    <x v="674"/>
    <x v="2"/>
    <x v="9"/>
  </r>
  <r>
    <x v="9"/>
    <m/>
    <n v="162000"/>
    <m/>
    <m/>
    <m/>
    <x v="674"/>
    <x v="2"/>
    <x v="9"/>
  </r>
  <r>
    <x v="10"/>
    <m/>
    <m/>
    <m/>
    <m/>
    <m/>
    <x v="674"/>
    <x v="2"/>
    <x v="9"/>
  </r>
  <r>
    <x v="11"/>
    <n v="374000"/>
    <m/>
    <m/>
    <m/>
    <m/>
    <x v="674"/>
    <x v="2"/>
    <x v="9"/>
  </r>
  <r>
    <x v="16"/>
    <m/>
    <m/>
    <m/>
    <m/>
    <m/>
    <x v="674"/>
    <x v="2"/>
    <x v="9"/>
  </r>
  <r>
    <x v="17"/>
    <m/>
    <m/>
    <m/>
    <m/>
    <m/>
    <x v="674"/>
    <x v="2"/>
    <x v="9"/>
  </r>
  <r>
    <x v="12"/>
    <m/>
    <m/>
    <m/>
    <m/>
    <m/>
    <x v="674"/>
    <x v="2"/>
    <x v="9"/>
  </r>
  <r>
    <x v="13"/>
    <m/>
    <n v="50000"/>
    <m/>
    <m/>
    <m/>
    <x v="674"/>
    <x v="2"/>
    <x v="9"/>
  </r>
  <r>
    <x v="0"/>
    <m/>
    <m/>
    <m/>
    <m/>
    <m/>
    <x v="675"/>
    <x v="2"/>
    <x v="9"/>
  </r>
  <r>
    <x v="1"/>
    <m/>
    <m/>
    <m/>
    <m/>
    <m/>
    <x v="675"/>
    <x v="2"/>
    <x v="9"/>
  </r>
  <r>
    <x v="2"/>
    <m/>
    <m/>
    <m/>
    <m/>
    <m/>
    <x v="675"/>
    <x v="2"/>
    <x v="9"/>
  </r>
  <r>
    <x v="3"/>
    <m/>
    <n v="486000"/>
    <m/>
    <m/>
    <m/>
    <x v="675"/>
    <x v="2"/>
    <x v="9"/>
  </r>
  <r>
    <x v="4"/>
    <m/>
    <m/>
    <m/>
    <m/>
    <m/>
    <x v="675"/>
    <x v="2"/>
    <x v="9"/>
  </r>
  <r>
    <x v="5"/>
    <m/>
    <m/>
    <m/>
    <m/>
    <m/>
    <x v="675"/>
    <x v="2"/>
    <x v="9"/>
  </r>
  <r>
    <x v="14"/>
    <m/>
    <m/>
    <m/>
    <m/>
    <m/>
    <x v="675"/>
    <x v="2"/>
    <x v="9"/>
  </r>
  <r>
    <x v="6"/>
    <m/>
    <m/>
    <m/>
    <m/>
    <m/>
    <x v="675"/>
    <x v="2"/>
    <x v="9"/>
  </r>
  <r>
    <x v="7"/>
    <m/>
    <m/>
    <m/>
    <m/>
    <m/>
    <x v="675"/>
    <x v="2"/>
    <x v="9"/>
  </r>
  <r>
    <x v="15"/>
    <m/>
    <m/>
    <m/>
    <m/>
    <m/>
    <x v="675"/>
    <x v="2"/>
    <x v="9"/>
  </r>
  <r>
    <x v="8"/>
    <m/>
    <n v="324000"/>
    <m/>
    <m/>
    <m/>
    <x v="675"/>
    <x v="2"/>
    <x v="9"/>
  </r>
  <r>
    <x v="9"/>
    <m/>
    <n v="265500"/>
    <m/>
    <n v="108000"/>
    <m/>
    <x v="675"/>
    <x v="2"/>
    <x v="9"/>
  </r>
  <r>
    <x v="10"/>
    <m/>
    <m/>
    <m/>
    <m/>
    <m/>
    <x v="675"/>
    <x v="2"/>
    <x v="9"/>
  </r>
  <r>
    <x v="11"/>
    <n v="859500"/>
    <m/>
    <m/>
    <m/>
    <m/>
    <x v="675"/>
    <x v="2"/>
    <x v="9"/>
  </r>
  <r>
    <x v="16"/>
    <m/>
    <m/>
    <m/>
    <m/>
    <m/>
    <x v="675"/>
    <x v="2"/>
    <x v="9"/>
  </r>
  <r>
    <x v="17"/>
    <m/>
    <m/>
    <m/>
    <m/>
    <m/>
    <x v="675"/>
    <x v="2"/>
    <x v="9"/>
  </r>
  <r>
    <x v="12"/>
    <m/>
    <m/>
    <m/>
    <m/>
    <m/>
    <x v="675"/>
    <x v="2"/>
    <x v="9"/>
  </r>
  <r>
    <x v="13"/>
    <m/>
    <n v="50000"/>
    <m/>
    <m/>
    <m/>
    <x v="675"/>
    <x v="2"/>
    <x v="9"/>
  </r>
  <r>
    <x v="0"/>
    <m/>
    <m/>
    <m/>
    <m/>
    <m/>
    <x v="676"/>
    <x v="2"/>
    <x v="9"/>
  </r>
  <r>
    <x v="1"/>
    <m/>
    <m/>
    <m/>
    <m/>
    <m/>
    <x v="676"/>
    <x v="2"/>
    <x v="9"/>
  </r>
  <r>
    <x v="2"/>
    <m/>
    <m/>
    <m/>
    <m/>
    <m/>
    <x v="676"/>
    <x v="2"/>
    <x v="9"/>
  </r>
  <r>
    <x v="3"/>
    <m/>
    <n v="1017000"/>
    <m/>
    <m/>
    <m/>
    <x v="676"/>
    <x v="2"/>
    <x v="9"/>
  </r>
  <r>
    <x v="4"/>
    <m/>
    <m/>
    <m/>
    <m/>
    <m/>
    <x v="676"/>
    <x v="2"/>
    <x v="9"/>
  </r>
  <r>
    <x v="5"/>
    <m/>
    <m/>
    <m/>
    <m/>
    <m/>
    <x v="676"/>
    <x v="2"/>
    <x v="9"/>
  </r>
  <r>
    <x v="14"/>
    <m/>
    <m/>
    <m/>
    <m/>
    <m/>
    <x v="676"/>
    <x v="2"/>
    <x v="9"/>
  </r>
  <r>
    <x v="6"/>
    <n v="45000"/>
    <m/>
    <m/>
    <m/>
    <m/>
    <x v="676"/>
    <x v="2"/>
    <x v="9"/>
  </r>
  <r>
    <x v="7"/>
    <m/>
    <m/>
    <m/>
    <m/>
    <m/>
    <x v="676"/>
    <x v="2"/>
    <x v="9"/>
  </r>
  <r>
    <x v="15"/>
    <m/>
    <m/>
    <m/>
    <m/>
    <m/>
    <x v="676"/>
    <x v="2"/>
    <x v="9"/>
  </r>
  <r>
    <x v="8"/>
    <m/>
    <n v="135000"/>
    <m/>
    <m/>
    <m/>
    <x v="676"/>
    <x v="2"/>
    <x v="9"/>
  </r>
  <r>
    <x v="9"/>
    <m/>
    <n v="469000"/>
    <m/>
    <m/>
    <m/>
    <x v="676"/>
    <x v="2"/>
    <x v="9"/>
  </r>
  <r>
    <x v="10"/>
    <m/>
    <m/>
    <m/>
    <m/>
    <m/>
    <x v="676"/>
    <x v="2"/>
    <x v="9"/>
  </r>
  <r>
    <x v="11"/>
    <n v="702000"/>
    <m/>
    <m/>
    <m/>
    <m/>
    <x v="676"/>
    <x v="2"/>
    <x v="9"/>
  </r>
  <r>
    <x v="16"/>
    <m/>
    <m/>
    <m/>
    <m/>
    <m/>
    <x v="676"/>
    <x v="2"/>
    <x v="9"/>
  </r>
  <r>
    <x v="17"/>
    <m/>
    <m/>
    <m/>
    <m/>
    <m/>
    <x v="676"/>
    <x v="2"/>
    <x v="9"/>
  </r>
  <r>
    <x v="12"/>
    <n v="54000"/>
    <m/>
    <m/>
    <m/>
    <m/>
    <x v="676"/>
    <x v="2"/>
    <x v="9"/>
  </r>
  <r>
    <x v="13"/>
    <n v="1076000"/>
    <n v="99500"/>
    <n v="162000"/>
    <m/>
    <m/>
    <x v="676"/>
    <x v="2"/>
    <x v="9"/>
  </r>
  <r>
    <x v="0"/>
    <m/>
    <m/>
    <m/>
    <m/>
    <m/>
    <x v="677"/>
    <x v="2"/>
    <x v="9"/>
  </r>
  <r>
    <x v="1"/>
    <m/>
    <m/>
    <m/>
    <m/>
    <m/>
    <x v="677"/>
    <x v="2"/>
    <x v="9"/>
  </r>
  <r>
    <x v="2"/>
    <m/>
    <m/>
    <m/>
    <m/>
    <m/>
    <x v="677"/>
    <x v="2"/>
    <x v="9"/>
  </r>
  <r>
    <x v="3"/>
    <m/>
    <n v="540000"/>
    <m/>
    <m/>
    <m/>
    <x v="677"/>
    <x v="2"/>
    <x v="9"/>
  </r>
  <r>
    <x v="4"/>
    <m/>
    <m/>
    <m/>
    <m/>
    <m/>
    <x v="677"/>
    <x v="2"/>
    <x v="9"/>
  </r>
  <r>
    <x v="5"/>
    <m/>
    <m/>
    <m/>
    <m/>
    <m/>
    <x v="677"/>
    <x v="2"/>
    <x v="9"/>
  </r>
  <r>
    <x v="14"/>
    <m/>
    <m/>
    <m/>
    <m/>
    <m/>
    <x v="677"/>
    <x v="2"/>
    <x v="9"/>
  </r>
  <r>
    <x v="6"/>
    <n v="54000"/>
    <m/>
    <m/>
    <m/>
    <m/>
    <x v="677"/>
    <x v="2"/>
    <x v="9"/>
  </r>
  <r>
    <x v="7"/>
    <n v="54000"/>
    <m/>
    <m/>
    <m/>
    <m/>
    <x v="677"/>
    <x v="2"/>
    <x v="9"/>
  </r>
  <r>
    <x v="15"/>
    <m/>
    <m/>
    <m/>
    <m/>
    <m/>
    <x v="677"/>
    <x v="2"/>
    <x v="9"/>
  </r>
  <r>
    <x v="8"/>
    <m/>
    <m/>
    <m/>
    <m/>
    <m/>
    <x v="677"/>
    <x v="2"/>
    <x v="9"/>
  </r>
  <r>
    <x v="9"/>
    <m/>
    <n v="1350000"/>
    <m/>
    <m/>
    <m/>
    <x v="677"/>
    <x v="2"/>
    <x v="9"/>
  </r>
  <r>
    <x v="10"/>
    <m/>
    <m/>
    <m/>
    <m/>
    <m/>
    <x v="677"/>
    <x v="2"/>
    <x v="9"/>
  </r>
  <r>
    <x v="11"/>
    <n v="485500"/>
    <m/>
    <m/>
    <m/>
    <m/>
    <x v="677"/>
    <x v="2"/>
    <x v="9"/>
  </r>
  <r>
    <x v="16"/>
    <m/>
    <m/>
    <m/>
    <m/>
    <m/>
    <x v="677"/>
    <x v="2"/>
    <x v="9"/>
  </r>
  <r>
    <x v="17"/>
    <m/>
    <m/>
    <m/>
    <m/>
    <m/>
    <x v="677"/>
    <x v="2"/>
    <x v="9"/>
  </r>
  <r>
    <x v="12"/>
    <m/>
    <m/>
    <m/>
    <m/>
    <m/>
    <x v="677"/>
    <x v="2"/>
    <x v="9"/>
  </r>
  <r>
    <x v="13"/>
    <n v="1291500"/>
    <m/>
    <m/>
    <m/>
    <m/>
    <x v="677"/>
    <x v="2"/>
    <x v="9"/>
  </r>
  <r>
    <x v="0"/>
    <m/>
    <m/>
    <m/>
    <m/>
    <m/>
    <x v="678"/>
    <x v="2"/>
    <x v="9"/>
  </r>
  <r>
    <x v="1"/>
    <m/>
    <m/>
    <m/>
    <m/>
    <m/>
    <x v="678"/>
    <x v="2"/>
    <x v="9"/>
  </r>
  <r>
    <x v="2"/>
    <n v="45000"/>
    <m/>
    <m/>
    <m/>
    <m/>
    <x v="678"/>
    <x v="2"/>
    <x v="9"/>
  </r>
  <r>
    <x v="3"/>
    <m/>
    <n v="54000"/>
    <m/>
    <m/>
    <m/>
    <x v="678"/>
    <x v="2"/>
    <x v="9"/>
  </r>
  <r>
    <x v="4"/>
    <m/>
    <m/>
    <m/>
    <m/>
    <m/>
    <x v="678"/>
    <x v="2"/>
    <x v="9"/>
  </r>
  <r>
    <x v="5"/>
    <m/>
    <m/>
    <m/>
    <m/>
    <m/>
    <x v="678"/>
    <x v="2"/>
    <x v="9"/>
  </r>
  <r>
    <x v="14"/>
    <m/>
    <m/>
    <m/>
    <m/>
    <m/>
    <x v="678"/>
    <x v="2"/>
    <x v="9"/>
  </r>
  <r>
    <x v="6"/>
    <n v="211500"/>
    <n v="1071000"/>
    <m/>
    <m/>
    <m/>
    <x v="678"/>
    <x v="2"/>
    <x v="9"/>
  </r>
  <r>
    <x v="7"/>
    <m/>
    <m/>
    <m/>
    <m/>
    <m/>
    <x v="678"/>
    <x v="2"/>
    <x v="9"/>
  </r>
  <r>
    <x v="15"/>
    <m/>
    <m/>
    <m/>
    <m/>
    <m/>
    <x v="678"/>
    <x v="2"/>
    <x v="9"/>
  </r>
  <r>
    <x v="8"/>
    <m/>
    <m/>
    <m/>
    <m/>
    <m/>
    <x v="678"/>
    <x v="2"/>
    <x v="9"/>
  </r>
  <r>
    <x v="9"/>
    <m/>
    <m/>
    <m/>
    <m/>
    <m/>
    <x v="678"/>
    <x v="2"/>
    <x v="9"/>
  </r>
  <r>
    <x v="10"/>
    <m/>
    <m/>
    <m/>
    <m/>
    <m/>
    <x v="678"/>
    <x v="2"/>
    <x v="9"/>
  </r>
  <r>
    <x v="11"/>
    <n v="644000"/>
    <m/>
    <m/>
    <m/>
    <m/>
    <x v="678"/>
    <x v="2"/>
    <x v="9"/>
  </r>
  <r>
    <x v="16"/>
    <m/>
    <m/>
    <m/>
    <m/>
    <m/>
    <x v="678"/>
    <x v="2"/>
    <x v="9"/>
  </r>
  <r>
    <x v="17"/>
    <m/>
    <m/>
    <m/>
    <m/>
    <m/>
    <x v="678"/>
    <x v="2"/>
    <x v="9"/>
  </r>
  <r>
    <x v="12"/>
    <m/>
    <m/>
    <m/>
    <m/>
    <m/>
    <x v="678"/>
    <x v="2"/>
    <x v="9"/>
  </r>
  <r>
    <x v="13"/>
    <n v="270000"/>
    <n v="193500"/>
    <m/>
    <m/>
    <m/>
    <x v="678"/>
    <x v="2"/>
    <x v="9"/>
  </r>
  <r>
    <x v="0"/>
    <m/>
    <m/>
    <m/>
    <m/>
    <m/>
    <x v="679"/>
    <x v="2"/>
    <x v="9"/>
  </r>
  <r>
    <x v="1"/>
    <m/>
    <m/>
    <m/>
    <m/>
    <m/>
    <x v="679"/>
    <x v="2"/>
    <x v="9"/>
  </r>
  <r>
    <x v="2"/>
    <n v="45000"/>
    <m/>
    <m/>
    <m/>
    <m/>
    <x v="679"/>
    <x v="2"/>
    <x v="9"/>
  </r>
  <r>
    <x v="3"/>
    <m/>
    <n v="54000"/>
    <m/>
    <m/>
    <m/>
    <x v="679"/>
    <x v="2"/>
    <x v="9"/>
  </r>
  <r>
    <x v="4"/>
    <m/>
    <m/>
    <m/>
    <m/>
    <m/>
    <x v="679"/>
    <x v="2"/>
    <x v="9"/>
  </r>
  <r>
    <x v="5"/>
    <m/>
    <m/>
    <m/>
    <m/>
    <m/>
    <x v="679"/>
    <x v="2"/>
    <x v="9"/>
  </r>
  <r>
    <x v="14"/>
    <m/>
    <m/>
    <m/>
    <m/>
    <m/>
    <x v="679"/>
    <x v="2"/>
    <x v="9"/>
  </r>
  <r>
    <x v="6"/>
    <n v="365000"/>
    <n v="54000"/>
    <m/>
    <m/>
    <m/>
    <x v="679"/>
    <x v="2"/>
    <x v="9"/>
  </r>
  <r>
    <x v="7"/>
    <m/>
    <m/>
    <m/>
    <m/>
    <m/>
    <x v="679"/>
    <x v="2"/>
    <x v="9"/>
  </r>
  <r>
    <x v="15"/>
    <m/>
    <m/>
    <m/>
    <m/>
    <m/>
    <x v="679"/>
    <x v="2"/>
    <x v="9"/>
  </r>
  <r>
    <x v="8"/>
    <m/>
    <m/>
    <m/>
    <m/>
    <m/>
    <x v="679"/>
    <x v="2"/>
    <x v="9"/>
  </r>
  <r>
    <x v="9"/>
    <n v="594000"/>
    <m/>
    <n v="702000"/>
    <m/>
    <m/>
    <x v="679"/>
    <x v="2"/>
    <x v="9"/>
  </r>
  <r>
    <x v="10"/>
    <m/>
    <m/>
    <m/>
    <m/>
    <m/>
    <x v="679"/>
    <x v="2"/>
    <x v="9"/>
  </r>
  <r>
    <x v="11"/>
    <n v="378000"/>
    <m/>
    <m/>
    <m/>
    <m/>
    <x v="679"/>
    <x v="2"/>
    <x v="9"/>
  </r>
  <r>
    <x v="16"/>
    <m/>
    <m/>
    <m/>
    <m/>
    <m/>
    <x v="679"/>
    <x v="2"/>
    <x v="9"/>
  </r>
  <r>
    <x v="17"/>
    <m/>
    <m/>
    <m/>
    <m/>
    <m/>
    <x v="679"/>
    <x v="2"/>
    <x v="9"/>
  </r>
  <r>
    <x v="12"/>
    <m/>
    <m/>
    <m/>
    <m/>
    <m/>
    <x v="679"/>
    <x v="2"/>
    <x v="9"/>
  </r>
  <r>
    <x v="13"/>
    <n v="216000"/>
    <m/>
    <m/>
    <m/>
    <m/>
    <x v="679"/>
    <x v="2"/>
    <x v="9"/>
  </r>
  <r>
    <x v="0"/>
    <m/>
    <m/>
    <m/>
    <m/>
    <m/>
    <x v="679"/>
    <x v="2"/>
    <x v="9"/>
  </r>
  <r>
    <x v="1"/>
    <m/>
    <m/>
    <m/>
    <m/>
    <m/>
    <x v="679"/>
    <x v="2"/>
    <x v="9"/>
  </r>
  <r>
    <x v="2"/>
    <m/>
    <m/>
    <m/>
    <m/>
    <m/>
    <x v="679"/>
    <x v="2"/>
    <x v="9"/>
  </r>
  <r>
    <x v="3"/>
    <m/>
    <m/>
    <m/>
    <m/>
    <m/>
    <x v="679"/>
    <x v="2"/>
    <x v="9"/>
  </r>
  <r>
    <x v="4"/>
    <m/>
    <m/>
    <m/>
    <m/>
    <m/>
    <x v="679"/>
    <x v="2"/>
    <x v="9"/>
  </r>
  <r>
    <x v="5"/>
    <m/>
    <m/>
    <m/>
    <m/>
    <m/>
    <x v="679"/>
    <x v="2"/>
    <x v="9"/>
  </r>
  <r>
    <x v="14"/>
    <m/>
    <m/>
    <m/>
    <m/>
    <m/>
    <x v="679"/>
    <x v="2"/>
    <x v="9"/>
  </r>
  <r>
    <x v="6"/>
    <n v="157500"/>
    <m/>
    <m/>
    <m/>
    <m/>
    <x v="679"/>
    <x v="2"/>
    <x v="9"/>
  </r>
  <r>
    <x v="7"/>
    <m/>
    <m/>
    <m/>
    <m/>
    <m/>
    <x v="679"/>
    <x v="2"/>
    <x v="9"/>
  </r>
  <r>
    <x v="15"/>
    <m/>
    <m/>
    <m/>
    <m/>
    <m/>
    <x v="679"/>
    <x v="2"/>
    <x v="9"/>
  </r>
  <r>
    <x v="8"/>
    <m/>
    <m/>
    <m/>
    <m/>
    <m/>
    <x v="679"/>
    <x v="2"/>
    <x v="9"/>
  </r>
  <r>
    <x v="9"/>
    <n v="594000"/>
    <m/>
    <n v="810000"/>
    <m/>
    <m/>
    <x v="679"/>
    <x v="2"/>
    <x v="9"/>
  </r>
  <r>
    <x v="10"/>
    <m/>
    <m/>
    <m/>
    <m/>
    <m/>
    <x v="679"/>
    <x v="2"/>
    <x v="9"/>
  </r>
  <r>
    <x v="11"/>
    <n v="324000"/>
    <m/>
    <m/>
    <m/>
    <m/>
    <x v="679"/>
    <x v="2"/>
    <x v="9"/>
  </r>
  <r>
    <x v="16"/>
    <m/>
    <m/>
    <m/>
    <m/>
    <m/>
    <x v="679"/>
    <x v="2"/>
    <x v="9"/>
  </r>
  <r>
    <x v="17"/>
    <m/>
    <m/>
    <m/>
    <m/>
    <m/>
    <x v="679"/>
    <x v="2"/>
    <x v="9"/>
  </r>
  <r>
    <x v="12"/>
    <n v="157500"/>
    <m/>
    <m/>
    <m/>
    <m/>
    <x v="679"/>
    <x v="2"/>
    <x v="9"/>
  </r>
  <r>
    <x v="13"/>
    <n v="108000"/>
    <m/>
    <m/>
    <m/>
    <m/>
    <x v="679"/>
    <x v="2"/>
    <x v="9"/>
  </r>
  <r>
    <x v="0"/>
    <m/>
    <m/>
    <m/>
    <m/>
    <m/>
    <x v="680"/>
    <x v="2"/>
    <x v="9"/>
  </r>
  <r>
    <x v="1"/>
    <m/>
    <m/>
    <m/>
    <m/>
    <m/>
    <x v="680"/>
    <x v="2"/>
    <x v="9"/>
  </r>
  <r>
    <x v="2"/>
    <m/>
    <m/>
    <m/>
    <m/>
    <m/>
    <x v="680"/>
    <x v="2"/>
    <x v="9"/>
  </r>
  <r>
    <x v="3"/>
    <m/>
    <n v="108000"/>
    <m/>
    <m/>
    <m/>
    <x v="680"/>
    <x v="2"/>
    <x v="9"/>
  </r>
  <r>
    <x v="4"/>
    <m/>
    <m/>
    <m/>
    <m/>
    <m/>
    <x v="680"/>
    <x v="2"/>
    <x v="9"/>
  </r>
  <r>
    <x v="5"/>
    <m/>
    <m/>
    <m/>
    <m/>
    <m/>
    <x v="680"/>
    <x v="2"/>
    <x v="9"/>
  </r>
  <r>
    <x v="14"/>
    <m/>
    <m/>
    <m/>
    <m/>
    <m/>
    <x v="680"/>
    <x v="2"/>
    <x v="9"/>
  </r>
  <r>
    <x v="6"/>
    <n v="216000"/>
    <m/>
    <m/>
    <m/>
    <m/>
    <x v="680"/>
    <x v="2"/>
    <x v="9"/>
  </r>
  <r>
    <x v="7"/>
    <m/>
    <m/>
    <m/>
    <m/>
    <m/>
    <x v="680"/>
    <x v="2"/>
    <x v="9"/>
  </r>
  <r>
    <x v="15"/>
    <m/>
    <m/>
    <m/>
    <m/>
    <m/>
    <x v="680"/>
    <x v="2"/>
    <x v="9"/>
  </r>
  <r>
    <x v="8"/>
    <n v="265500"/>
    <m/>
    <n v="265500"/>
    <m/>
    <m/>
    <x v="680"/>
    <x v="2"/>
    <x v="9"/>
  </r>
  <r>
    <x v="9"/>
    <n v="486000"/>
    <n v="936000"/>
    <n v="270000"/>
    <m/>
    <m/>
    <x v="680"/>
    <x v="2"/>
    <x v="9"/>
  </r>
  <r>
    <x v="10"/>
    <m/>
    <m/>
    <m/>
    <m/>
    <m/>
    <x v="680"/>
    <x v="2"/>
    <x v="9"/>
  </r>
  <r>
    <x v="11"/>
    <n v="270000"/>
    <m/>
    <m/>
    <m/>
    <m/>
    <x v="680"/>
    <x v="2"/>
    <x v="9"/>
  </r>
  <r>
    <x v="16"/>
    <m/>
    <m/>
    <m/>
    <m/>
    <m/>
    <x v="680"/>
    <x v="2"/>
    <x v="9"/>
  </r>
  <r>
    <x v="17"/>
    <m/>
    <m/>
    <m/>
    <m/>
    <m/>
    <x v="680"/>
    <x v="2"/>
    <x v="9"/>
  </r>
  <r>
    <x v="12"/>
    <n v="158000"/>
    <m/>
    <m/>
    <m/>
    <m/>
    <x v="680"/>
    <x v="2"/>
    <x v="9"/>
  </r>
  <r>
    <x v="13"/>
    <n v="54000"/>
    <m/>
    <m/>
    <m/>
    <m/>
    <x v="680"/>
    <x v="2"/>
    <x v="9"/>
  </r>
  <r>
    <x v="0"/>
    <m/>
    <m/>
    <m/>
    <m/>
    <m/>
    <x v="681"/>
    <x v="2"/>
    <x v="9"/>
  </r>
  <r>
    <x v="1"/>
    <m/>
    <m/>
    <m/>
    <m/>
    <m/>
    <x v="681"/>
    <x v="2"/>
    <x v="9"/>
  </r>
  <r>
    <x v="2"/>
    <m/>
    <m/>
    <m/>
    <m/>
    <m/>
    <x v="681"/>
    <x v="2"/>
    <x v="9"/>
  </r>
  <r>
    <x v="3"/>
    <m/>
    <n v="1510000"/>
    <m/>
    <m/>
    <m/>
    <x v="681"/>
    <x v="2"/>
    <x v="9"/>
  </r>
  <r>
    <x v="4"/>
    <m/>
    <m/>
    <m/>
    <m/>
    <m/>
    <x v="681"/>
    <x v="2"/>
    <x v="9"/>
  </r>
  <r>
    <x v="5"/>
    <m/>
    <m/>
    <m/>
    <m/>
    <m/>
    <x v="681"/>
    <x v="2"/>
    <x v="9"/>
  </r>
  <r>
    <x v="14"/>
    <m/>
    <m/>
    <m/>
    <m/>
    <m/>
    <x v="681"/>
    <x v="2"/>
    <x v="9"/>
  </r>
  <r>
    <x v="6"/>
    <n v="49500"/>
    <m/>
    <m/>
    <m/>
    <m/>
    <x v="681"/>
    <x v="2"/>
    <x v="9"/>
  </r>
  <r>
    <x v="7"/>
    <m/>
    <m/>
    <m/>
    <m/>
    <m/>
    <x v="681"/>
    <x v="2"/>
    <x v="9"/>
  </r>
  <r>
    <x v="15"/>
    <m/>
    <m/>
    <m/>
    <m/>
    <m/>
    <x v="681"/>
    <x v="2"/>
    <x v="9"/>
  </r>
  <r>
    <x v="8"/>
    <n v="540000"/>
    <m/>
    <n v="324000"/>
    <m/>
    <m/>
    <x v="681"/>
    <x v="2"/>
    <x v="9"/>
  </r>
  <r>
    <x v="9"/>
    <n v="648000"/>
    <m/>
    <n v="270000"/>
    <m/>
    <m/>
    <x v="681"/>
    <x v="2"/>
    <x v="9"/>
  </r>
  <r>
    <x v="10"/>
    <m/>
    <m/>
    <m/>
    <m/>
    <m/>
    <x v="681"/>
    <x v="2"/>
    <x v="9"/>
  </r>
  <r>
    <x v="11"/>
    <n v="378000"/>
    <m/>
    <m/>
    <m/>
    <m/>
    <x v="681"/>
    <x v="2"/>
    <x v="9"/>
  </r>
  <r>
    <x v="16"/>
    <m/>
    <m/>
    <m/>
    <m/>
    <m/>
    <x v="681"/>
    <x v="2"/>
    <x v="9"/>
  </r>
  <r>
    <x v="17"/>
    <m/>
    <m/>
    <m/>
    <m/>
    <m/>
    <x v="681"/>
    <x v="2"/>
    <x v="9"/>
  </r>
  <r>
    <x v="12"/>
    <m/>
    <m/>
    <m/>
    <m/>
    <m/>
    <x v="681"/>
    <x v="2"/>
    <x v="9"/>
  </r>
  <r>
    <x v="13"/>
    <m/>
    <m/>
    <m/>
    <m/>
    <m/>
    <x v="681"/>
    <x v="2"/>
    <x v="9"/>
  </r>
  <r>
    <x v="0"/>
    <m/>
    <m/>
    <m/>
    <m/>
    <m/>
    <x v="682"/>
    <x v="2"/>
    <x v="9"/>
  </r>
  <r>
    <x v="1"/>
    <n v="216000"/>
    <m/>
    <n v="54000"/>
    <m/>
    <m/>
    <x v="682"/>
    <x v="2"/>
    <x v="9"/>
  </r>
  <r>
    <x v="2"/>
    <m/>
    <m/>
    <m/>
    <m/>
    <m/>
    <x v="682"/>
    <x v="2"/>
    <x v="9"/>
  </r>
  <r>
    <x v="3"/>
    <m/>
    <n v="378000"/>
    <m/>
    <m/>
    <m/>
    <x v="682"/>
    <x v="2"/>
    <x v="9"/>
  </r>
  <r>
    <x v="4"/>
    <m/>
    <m/>
    <m/>
    <m/>
    <m/>
    <x v="682"/>
    <x v="2"/>
    <x v="9"/>
  </r>
  <r>
    <x v="5"/>
    <m/>
    <n v="486000"/>
    <m/>
    <m/>
    <m/>
    <x v="682"/>
    <x v="2"/>
    <x v="9"/>
  </r>
  <r>
    <x v="14"/>
    <m/>
    <n v="54000"/>
    <m/>
    <m/>
    <m/>
    <x v="682"/>
    <x v="2"/>
    <x v="9"/>
  </r>
  <r>
    <x v="6"/>
    <m/>
    <m/>
    <m/>
    <m/>
    <m/>
    <x v="682"/>
    <x v="2"/>
    <x v="9"/>
  </r>
  <r>
    <x v="7"/>
    <m/>
    <m/>
    <m/>
    <m/>
    <m/>
    <x v="682"/>
    <x v="2"/>
    <x v="9"/>
  </r>
  <r>
    <x v="15"/>
    <m/>
    <m/>
    <m/>
    <m/>
    <m/>
    <x v="682"/>
    <x v="2"/>
    <x v="9"/>
  </r>
  <r>
    <x v="8"/>
    <n v="1013000"/>
    <m/>
    <n v="270000"/>
    <m/>
    <m/>
    <x v="682"/>
    <x v="2"/>
    <x v="9"/>
  </r>
  <r>
    <x v="9"/>
    <n v="752000"/>
    <n v="428000"/>
    <n v="432000"/>
    <m/>
    <m/>
    <x v="682"/>
    <x v="2"/>
    <x v="9"/>
  </r>
  <r>
    <x v="10"/>
    <m/>
    <m/>
    <m/>
    <m/>
    <m/>
    <x v="682"/>
    <x v="2"/>
    <x v="9"/>
  </r>
  <r>
    <x v="11"/>
    <m/>
    <m/>
    <m/>
    <m/>
    <m/>
    <x v="682"/>
    <x v="2"/>
    <x v="9"/>
  </r>
  <r>
    <x v="16"/>
    <m/>
    <m/>
    <m/>
    <m/>
    <m/>
    <x v="682"/>
    <x v="2"/>
    <x v="9"/>
  </r>
  <r>
    <x v="17"/>
    <m/>
    <m/>
    <m/>
    <m/>
    <m/>
    <x v="682"/>
    <x v="2"/>
    <x v="9"/>
  </r>
  <r>
    <x v="12"/>
    <m/>
    <m/>
    <m/>
    <m/>
    <m/>
    <x v="682"/>
    <x v="2"/>
    <x v="9"/>
  </r>
  <r>
    <x v="13"/>
    <n v="108000"/>
    <m/>
    <m/>
    <m/>
    <m/>
    <x v="682"/>
    <x v="2"/>
    <x v="9"/>
  </r>
  <r>
    <x v="0"/>
    <m/>
    <m/>
    <m/>
    <m/>
    <m/>
    <x v="683"/>
    <x v="2"/>
    <x v="9"/>
  </r>
  <r>
    <x v="1"/>
    <n v="108000"/>
    <m/>
    <n v="90000"/>
    <m/>
    <m/>
    <x v="683"/>
    <x v="2"/>
    <x v="9"/>
  </r>
  <r>
    <x v="2"/>
    <m/>
    <m/>
    <m/>
    <m/>
    <m/>
    <x v="683"/>
    <x v="2"/>
    <x v="9"/>
  </r>
  <r>
    <x v="3"/>
    <n v="1080000"/>
    <m/>
    <n v="486000"/>
    <m/>
    <m/>
    <x v="683"/>
    <x v="2"/>
    <x v="9"/>
  </r>
  <r>
    <x v="4"/>
    <m/>
    <m/>
    <m/>
    <m/>
    <m/>
    <x v="683"/>
    <x v="2"/>
    <x v="9"/>
  </r>
  <r>
    <x v="5"/>
    <m/>
    <n v="1012500"/>
    <m/>
    <m/>
    <m/>
    <x v="683"/>
    <x v="2"/>
    <x v="9"/>
  </r>
  <r>
    <x v="14"/>
    <m/>
    <m/>
    <m/>
    <m/>
    <m/>
    <x v="683"/>
    <x v="2"/>
    <x v="9"/>
  </r>
  <r>
    <x v="6"/>
    <m/>
    <m/>
    <m/>
    <m/>
    <m/>
    <x v="683"/>
    <x v="2"/>
    <x v="9"/>
  </r>
  <r>
    <x v="7"/>
    <m/>
    <m/>
    <m/>
    <m/>
    <m/>
    <x v="683"/>
    <x v="2"/>
    <x v="9"/>
  </r>
  <r>
    <x v="15"/>
    <m/>
    <m/>
    <m/>
    <m/>
    <m/>
    <x v="683"/>
    <x v="2"/>
    <x v="9"/>
  </r>
  <r>
    <x v="8"/>
    <n v="107500"/>
    <n v="270000"/>
    <n v="54000"/>
    <m/>
    <m/>
    <x v="683"/>
    <x v="2"/>
    <x v="9"/>
  </r>
  <r>
    <x v="9"/>
    <n v="108000"/>
    <m/>
    <m/>
    <m/>
    <m/>
    <x v="683"/>
    <x v="2"/>
    <x v="9"/>
  </r>
  <r>
    <x v="10"/>
    <m/>
    <m/>
    <m/>
    <m/>
    <m/>
    <x v="683"/>
    <x v="2"/>
    <x v="9"/>
  </r>
  <r>
    <x v="11"/>
    <n v="108000"/>
    <m/>
    <m/>
    <m/>
    <m/>
    <x v="683"/>
    <x v="2"/>
    <x v="9"/>
  </r>
  <r>
    <x v="16"/>
    <m/>
    <m/>
    <m/>
    <m/>
    <m/>
    <x v="683"/>
    <x v="2"/>
    <x v="9"/>
  </r>
  <r>
    <x v="17"/>
    <m/>
    <m/>
    <m/>
    <m/>
    <m/>
    <x v="683"/>
    <x v="2"/>
    <x v="9"/>
  </r>
  <r>
    <x v="12"/>
    <m/>
    <m/>
    <m/>
    <m/>
    <m/>
    <x v="683"/>
    <x v="2"/>
    <x v="9"/>
  </r>
  <r>
    <x v="13"/>
    <m/>
    <m/>
    <m/>
    <m/>
    <m/>
    <x v="683"/>
    <x v="2"/>
    <x v="9"/>
  </r>
  <r>
    <x v="0"/>
    <m/>
    <m/>
    <m/>
    <m/>
    <m/>
    <x v="684"/>
    <x v="2"/>
    <x v="9"/>
  </r>
  <r>
    <x v="1"/>
    <n v="162000"/>
    <m/>
    <m/>
    <m/>
    <m/>
    <x v="684"/>
    <x v="2"/>
    <x v="9"/>
  </r>
  <r>
    <x v="2"/>
    <m/>
    <m/>
    <m/>
    <m/>
    <m/>
    <x v="684"/>
    <x v="2"/>
    <x v="9"/>
  </r>
  <r>
    <x v="3"/>
    <n v="810000"/>
    <m/>
    <m/>
    <m/>
    <m/>
    <x v="684"/>
    <x v="2"/>
    <x v="9"/>
  </r>
  <r>
    <x v="4"/>
    <m/>
    <m/>
    <m/>
    <m/>
    <m/>
    <x v="684"/>
    <x v="2"/>
    <x v="9"/>
  </r>
  <r>
    <x v="5"/>
    <m/>
    <m/>
    <m/>
    <m/>
    <m/>
    <x v="684"/>
    <x v="2"/>
    <x v="9"/>
  </r>
  <r>
    <x v="14"/>
    <m/>
    <m/>
    <m/>
    <m/>
    <m/>
    <x v="684"/>
    <x v="2"/>
    <x v="9"/>
  </r>
  <r>
    <x v="6"/>
    <m/>
    <m/>
    <n v="162000"/>
    <m/>
    <m/>
    <x v="684"/>
    <x v="2"/>
    <x v="9"/>
  </r>
  <r>
    <x v="7"/>
    <m/>
    <m/>
    <m/>
    <m/>
    <m/>
    <x v="684"/>
    <x v="2"/>
    <x v="9"/>
  </r>
  <r>
    <x v="15"/>
    <m/>
    <m/>
    <m/>
    <m/>
    <m/>
    <x v="684"/>
    <x v="2"/>
    <x v="9"/>
  </r>
  <r>
    <x v="8"/>
    <n v="162000"/>
    <n v="792000"/>
    <n v="54000"/>
    <m/>
    <m/>
    <x v="684"/>
    <x v="2"/>
    <x v="9"/>
  </r>
  <r>
    <x v="9"/>
    <n v="162000"/>
    <n v="94500"/>
    <n v="162000"/>
    <m/>
    <m/>
    <x v="684"/>
    <x v="2"/>
    <x v="9"/>
  </r>
  <r>
    <x v="10"/>
    <m/>
    <m/>
    <m/>
    <m/>
    <m/>
    <x v="684"/>
    <x v="2"/>
    <x v="9"/>
  </r>
  <r>
    <x v="11"/>
    <n v="162000"/>
    <m/>
    <m/>
    <m/>
    <m/>
    <x v="684"/>
    <x v="2"/>
    <x v="9"/>
  </r>
  <r>
    <x v="16"/>
    <m/>
    <m/>
    <m/>
    <m/>
    <m/>
    <x v="684"/>
    <x v="2"/>
    <x v="9"/>
  </r>
  <r>
    <x v="17"/>
    <m/>
    <m/>
    <m/>
    <m/>
    <m/>
    <x v="684"/>
    <x v="2"/>
    <x v="9"/>
  </r>
  <r>
    <x v="12"/>
    <m/>
    <m/>
    <m/>
    <m/>
    <m/>
    <x v="684"/>
    <x v="2"/>
    <x v="9"/>
  </r>
  <r>
    <x v="13"/>
    <m/>
    <m/>
    <m/>
    <m/>
    <m/>
    <x v="684"/>
    <x v="2"/>
    <x v="9"/>
  </r>
  <r>
    <x v="0"/>
    <m/>
    <m/>
    <m/>
    <m/>
    <m/>
    <x v="685"/>
    <x v="2"/>
    <x v="9"/>
  </r>
  <r>
    <x v="1"/>
    <n v="108000"/>
    <m/>
    <n v="216000"/>
    <m/>
    <m/>
    <x v="685"/>
    <x v="2"/>
    <x v="9"/>
  </r>
  <r>
    <x v="2"/>
    <m/>
    <m/>
    <m/>
    <m/>
    <m/>
    <x v="685"/>
    <x v="2"/>
    <x v="9"/>
  </r>
  <r>
    <x v="3"/>
    <n v="756000"/>
    <m/>
    <m/>
    <m/>
    <m/>
    <x v="685"/>
    <x v="2"/>
    <x v="9"/>
  </r>
  <r>
    <x v="4"/>
    <m/>
    <m/>
    <m/>
    <m/>
    <m/>
    <x v="685"/>
    <x v="2"/>
    <x v="9"/>
  </r>
  <r>
    <x v="5"/>
    <m/>
    <m/>
    <m/>
    <m/>
    <m/>
    <x v="685"/>
    <x v="2"/>
    <x v="9"/>
  </r>
  <r>
    <x v="14"/>
    <m/>
    <m/>
    <m/>
    <m/>
    <m/>
    <x v="685"/>
    <x v="2"/>
    <x v="9"/>
  </r>
  <r>
    <x v="6"/>
    <m/>
    <m/>
    <n v="54000"/>
    <m/>
    <m/>
    <x v="685"/>
    <x v="2"/>
    <x v="9"/>
  </r>
  <r>
    <x v="7"/>
    <m/>
    <m/>
    <m/>
    <m/>
    <m/>
    <x v="685"/>
    <x v="2"/>
    <x v="9"/>
  </r>
  <r>
    <x v="15"/>
    <m/>
    <m/>
    <m/>
    <m/>
    <m/>
    <x v="685"/>
    <x v="2"/>
    <x v="9"/>
  </r>
  <r>
    <x v="8"/>
    <n v="108000"/>
    <n v="198000"/>
    <n v="162000"/>
    <m/>
    <m/>
    <x v="685"/>
    <x v="2"/>
    <x v="9"/>
  </r>
  <r>
    <x v="9"/>
    <n v="162000"/>
    <m/>
    <n v="216000"/>
    <m/>
    <m/>
    <x v="685"/>
    <x v="2"/>
    <x v="9"/>
  </r>
  <r>
    <x v="10"/>
    <m/>
    <m/>
    <m/>
    <m/>
    <m/>
    <x v="685"/>
    <x v="2"/>
    <x v="9"/>
  </r>
  <r>
    <x v="11"/>
    <n v="162000"/>
    <m/>
    <m/>
    <m/>
    <m/>
    <x v="685"/>
    <x v="2"/>
    <x v="9"/>
  </r>
  <r>
    <x v="16"/>
    <m/>
    <m/>
    <m/>
    <m/>
    <m/>
    <x v="685"/>
    <x v="2"/>
    <x v="9"/>
  </r>
  <r>
    <x v="17"/>
    <m/>
    <m/>
    <m/>
    <m/>
    <m/>
    <x v="685"/>
    <x v="2"/>
    <x v="9"/>
  </r>
  <r>
    <x v="12"/>
    <n v="90000"/>
    <m/>
    <m/>
    <m/>
    <m/>
    <x v="685"/>
    <x v="2"/>
    <x v="9"/>
  </r>
  <r>
    <x v="13"/>
    <m/>
    <m/>
    <m/>
    <m/>
    <m/>
    <x v="685"/>
    <x v="2"/>
    <x v="9"/>
  </r>
  <r>
    <x v="0"/>
    <m/>
    <m/>
    <m/>
    <m/>
    <m/>
    <x v="686"/>
    <x v="2"/>
    <x v="9"/>
  </r>
  <r>
    <x v="1"/>
    <m/>
    <m/>
    <n v="50000"/>
    <m/>
    <m/>
    <x v="686"/>
    <x v="2"/>
    <x v="9"/>
  </r>
  <r>
    <x v="2"/>
    <m/>
    <m/>
    <m/>
    <m/>
    <m/>
    <x v="686"/>
    <x v="2"/>
    <x v="9"/>
  </r>
  <r>
    <x v="3"/>
    <n v="1188000"/>
    <m/>
    <m/>
    <m/>
    <m/>
    <x v="686"/>
    <x v="2"/>
    <x v="9"/>
  </r>
  <r>
    <x v="4"/>
    <m/>
    <m/>
    <m/>
    <m/>
    <m/>
    <x v="686"/>
    <x v="2"/>
    <x v="9"/>
  </r>
  <r>
    <x v="5"/>
    <m/>
    <m/>
    <m/>
    <m/>
    <m/>
    <x v="686"/>
    <x v="2"/>
    <x v="9"/>
  </r>
  <r>
    <x v="14"/>
    <m/>
    <m/>
    <m/>
    <m/>
    <m/>
    <x v="686"/>
    <x v="2"/>
    <x v="9"/>
  </r>
  <r>
    <x v="6"/>
    <m/>
    <m/>
    <n v="45000"/>
    <m/>
    <m/>
    <x v="686"/>
    <x v="2"/>
    <x v="9"/>
  </r>
  <r>
    <x v="7"/>
    <m/>
    <m/>
    <m/>
    <m/>
    <m/>
    <x v="686"/>
    <x v="2"/>
    <x v="9"/>
  </r>
  <r>
    <x v="15"/>
    <m/>
    <m/>
    <m/>
    <m/>
    <m/>
    <x v="686"/>
    <x v="2"/>
    <x v="9"/>
  </r>
  <r>
    <x v="8"/>
    <n v="162000"/>
    <m/>
    <n v="378000"/>
    <m/>
    <m/>
    <x v="686"/>
    <x v="2"/>
    <x v="9"/>
  </r>
  <r>
    <x v="9"/>
    <n v="216000"/>
    <m/>
    <n v="135000"/>
    <m/>
    <m/>
    <x v="686"/>
    <x v="2"/>
    <x v="9"/>
  </r>
  <r>
    <x v="10"/>
    <m/>
    <m/>
    <m/>
    <m/>
    <m/>
    <x v="686"/>
    <x v="2"/>
    <x v="9"/>
  </r>
  <r>
    <x v="11"/>
    <n v="50000"/>
    <m/>
    <m/>
    <m/>
    <m/>
    <x v="686"/>
    <x v="2"/>
    <x v="9"/>
  </r>
  <r>
    <x v="16"/>
    <m/>
    <m/>
    <m/>
    <m/>
    <m/>
    <x v="686"/>
    <x v="2"/>
    <x v="9"/>
  </r>
  <r>
    <x v="17"/>
    <m/>
    <m/>
    <m/>
    <m/>
    <m/>
    <x v="686"/>
    <x v="2"/>
    <x v="9"/>
  </r>
  <r>
    <x v="12"/>
    <m/>
    <m/>
    <m/>
    <m/>
    <m/>
    <x v="686"/>
    <x v="2"/>
    <x v="9"/>
  </r>
  <r>
    <x v="13"/>
    <m/>
    <m/>
    <m/>
    <m/>
    <m/>
    <x v="686"/>
    <x v="2"/>
    <x v="9"/>
  </r>
  <r>
    <x v="0"/>
    <m/>
    <m/>
    <m/>
    <m/>
    <m/>
    <x v="687"/>
    <x v="2"/>
    <x v="9"/>
  </r>
  <r>
    <x v="1"/>
    <m/>
    <m/>
    <m/>
    <m/>
    <m/>
    <x v="687"/>
    <x v="2"/>
    <x v="9"/>
  </r>
  <r>
    <x v="2"/>
    <m/>
    <m/>
    <m/>
    <m/>
    <m/>
    <x v="687"/>
    <x v="2"/>
    <x v="9"/>
  </r>
  <r>
    <x v="3"/>
    <n v="972000"/>
    <m/>
    <m/>
    <m/>
    <m/>
    <x v="687"/>
    <x v="2"/>
    <x v="9"/>
  </r>
  <r>
    <x v="4"/>
    <m/>
    <m/>
    <m/>
    <m/>
    <m/>
    <x v="687"/>
    <x v="2"/>
    <x v="9"/>
  </r>
  <r>
    <x v="5"/>
    <m/>
    <m/>
    <m/>
    <m/>
    <m/>
    <x v="687"/>
    <x v="2"/>
    <x v="9"/>
  </r>
  <r>
    <x v="14"/>
    <m/>
    <n v="1404000"/>
    <m/>
    <n v="378000"/>
    <m/>
    <x v="687"/>
    <x v="2"/>
    <x v="9"/>
  </r>
  <r>
    <x v="6"/>
    <m/>
    <m/>
    <n v="45000"/>
    <m/>
    <m/>
    <x v="687"/>
    <x v="2"/>
    <x v="9"/>
  </r>
  <r>
    <x v="7"/>
    <m/>
    <m/>
    <m/>
    <m/>
    <m/>
    <x v="687"/>
    <x v="2"/>
    <x v="9"/>
  </r>
  <r>
    <x v="15"/>
    <m/>
    <m/>
    <m/>
    <m/>
    <m/>
    <x v="687"/>
    <x v="2"/>
    <x v="9"/>
  </r>
  <r>
    <x v="8"/>
    <n v="473500"/>
    <m/>
    <m/>
    <m/>
    <m/>
    <x v="687"/>
    <x v="2"/>
    <x v="9"/>
  </r>
  <r>
    <x v="9"/>
    <n v="216000"/>
    <m/>
    <m/>
    <m/>
    <m/>
    <x v="687"/>
    <x v="2"/>
    <x v="9"/>
  </r>
  <r>
    <x v="10"/>
    <m/>
    <m/>
    <m/>
    <m/>
    <m/>
    <x v="687"/>
    <x v="2"/>
    <x v="9"/>
  </r>
  <r>
    <x v="11"/>
    <m/>
    <m/>
    <m/>
    <m/>
    <m/>
    <x v="687"/>
    <x v="2"/>
    <x v="9"/>
  </r>
  <r>
    <x v="16"/>
    <m/>
    <m/>
    <m/>
    <m/>
    <m/>
    <x v="687"/>
    <x v="2"/>
    <x v="9"/>
  </r>
  <r>
    <x v="17"/>
    <m/>
    <m/>
    <m/>
    <m/>
    <m/>
    <x v="687"/>
    <x v="2"/>
    <x v="9"/>
  </r>
  <r>
    <x v="12"/>
    <n v="49500"/>
    <m/>
    <m/>
    <m/>
    <m/>
    <x v="687"/>
    <x v="2"/>
    <x v="9"/>
  </r>
  <r>
    <x v="13"/>
    <m/>
    <m/>
    <m/>
    <m/>
    <m/>
    <x v="687"/>
    <x v="2"/>
    <x v="9"/>
  </r>
  <r>
    <x v="0"/>
    <m/>
    <m/>
    <m/>
    <m/>
    <m/>
    <x v="688"/>
    <x v="2"/>
    <x v="9"/>
  </r>
  <r>
    <x v="1"/>
    <m/>
    <m/>
    <m/>
    <m/>
    <m/>
    <x v="688"/>
    <x v="2"/>
    <x v="9"/>
  </r>
  <r>
    <x v="2"/>
    <m/>
    <m/>
    <m/>
    <m/>
    <m/>
    <x v="688"/>
    <x v="2"/>
    <x v="9"/>
  </r>
  <r>
    <x v="3"/>
    <m/>
    <m/>
    <m/>
    <m/>
    <m/>
    <x v="688"/>
    <x v="2"/>
    <x v="9"/>
  </r>
  <r>
    <x v="4"/>
    <m/>
    <m/>
    <m/>
    <m/>
    <m/>
    <x v="688"/>
    <x v="2"/>
    <x v="9"/>
  </r>
  <r>
    <x v="5"/>
    <m/>
    <m/>
    <m/>
    <m/>
    <m/>
    <x v="688"/>
    <x v="2"/>
    <x v="9"/>
  </r>
  <r>
    <x v="14"/>
    <m/>
    <n v="810000"/>
    <m/>
    <n v="324000"/>
    <m/>
    <x v="688"/>
    <x v="2"/>
    <x v="9"/>
  </r>
  <r>
    <x v="6"/>
    <m/>
    <m/>
    <m/>
    <m/>
    <m/>
    <x v="688"/>
    <x v="2"/>
    <x v="9"/>
  </r>
  <r>
    <x v="7"/>
    <m/>
    <m/>
    <m/>
    <m/>
    <m/>
    <x v="688"/>
    <x v="2"/>
    <x v="9"/>
  </r>
  <r>
    <x v="15"/>
    <m/>
    <m/>
    <m/>
    <m/>
    <m/>
    <x v="688"/>
    <x v="2"/>
    <x v="9"/>
  </r>
  <r>
    <x v="8"/>
    <n v="50000"/>
    <m/>
    <m/>
    <m/>
    <m/>
    <x v="688"/>
    <x v="2"/>
    <x v="9"/>
  </r>
  <r>
    <x v="9"/>
    <n v="918000"/>
    <m/>
    <m/>
    <m/>
    <m/>
    <x v="688"/>
    <x v="2"/>
    <x v="9"/>
  </r>
  <r>
    <x v="10"/>
    <m/>
    <m/>
    <m/>
    <m/>
    <m/>
    <x v="688"/>
    <x v="2"/>
    <x v="9"/>
  </r>
  <r>
    <x v="11"/>
    <m/>
    <m/>
    <m/>
    <m/>
    <m/>
    <x v="688"/>
    <x v="2"/>
    <x v="9"/>
  </r>
  <r>
    <x v="16"/>
    <m/>
    <m/>
    <m/>
    <m/>
    <m/>
    <x v="688"/>
    <x v="2"/>
    <x v="9"/>
  </r>
  <r>
    <x v="17"/>
    <n v="378000"/>
    <m/>
    <m/>
    <m/>
    <m/>
    <x v="688"/>
    <x v="2"/>
    <x v="9"/>
  </r>
  <r>
    <x v="12"/>
    <m/>
    <m/>
    <m/>
    <m/>
    <m/>
    <x v="688"/>
    <x v="2"/>
    <x v="9"/>
  </r>
  <r>
    <x v="13"/>
    <m/>
    <m/>
    <m/>
    <m/>
    <m/>
    <x v="688"/>
    <x v="2"/>
    <x v="9"/>
  </r>
  <r>
    <x v="0"/>
    <m/>
    <m/>
    <m/>
    <m/>
    <m/>
    <x v="689"/>
    <x v="2"/>
    <x v="9"/>
  </r>
  <r>
    <x v="1"/>
    <m/>
    <m/>
    <m/>
    <m/>
    <m/>
    <x v="689"/>
    <x v="2"/>
    <x v="9"/>
  </r>
  <r>
    <x v="2"/>
    <m/>
    <m/>
    <m/>
    <m/>
    <m/>
    <x v="689"/>
    <x v="2"/>
    <x v="9"/>
  </r>
  <r>
    <x v="3"/>
    <m/>
    <m/>
    <m/>
    <m/>
    <m/>
    <x v="689"/>
    <x v="2"/>
    <x v="9"/>
  </r>
  <r>
    <x v="4"/>
    <m/>
    <m/>
    <m/>
    <m/>
    <m/>
    <x v="689"/>
    <x v="2"/>
    <x v="9"/>
  </r>
  <r>
    <x v="5"/>
    <m/>
    <m/>
    <m/>
    <m/>
    <m/>
    <x v="689"/>
    <x v="2"/>
    <x v="9"/>
  </r>
  <r>
    <x v="14"/>
    <m/>
    <n v="324000"/>
    <m/>
    <n v="54000"/>
    <m/>
    <x v="689"/>
    <x v="2"/>
    <x v="9"/>
  </r>
  <r>
    <x v="6"/>
    <m/>
    <m/>
    <m/>
    <m/>
    <m/>
    <x v="689"/>
    <x v="2"/>
    <x v="9"/>
  </r>
  <r>
    <x v="7"/>
    <m/>
    <m/>
    <m/>
    <m/>
    <m/>
    <x v="689"/>
    <x v="2"/>
    <x v="9"/>
  </r>
  <r>
    <x v="15"/>
    <m/>
    <m/>
    <m/>
    <m/>
    <m/>
    <x v="689"/>
    <x v="2"/>
    <x v="9"/>
  </r>
  <r>
    <x v="8"/>
    <n v="95000"/>
    <m/>
    <m/>
    <m/>
    <m/>
    <x v="689"/>
    <x v="2"/>
    <x v="9"/>
  </r>
  <r>
    <x v="9"/>
    <n v="216000"/>
    <n v="1134000"/>
    <m/>
    <m/>
    <m/>
    <x v="689"/>
    <x v="2"/>
    <x v="9"/>
  </r>
  <r>
    <x v="10"/>
    <m/>
    <m/>
    <m/>
    <m/>
    <m/>
    <x v="689"/>
    <x v="2"/>
    <x v="9"/>
  </r>
  <r>
    <x v="11"/>
    <m/>
    <m/>
    <m/>
    <m/>
    <m/>
    <x v="689"/>
    <x v="2"/>
    <x v="9"/>
  </r>
  <r>
    <x v="16"/>
    <m/>
    <m/>
    <m/>
    <m/>
    <m/>
    <x v="689"/>
    <x v="2"/>
    <x v="9"/>
  </r>
  <r>
    <x v="17"/>
    <m/>
    <n v="108000"/>
    <m/>
    <m/>
    <m/>
    <x v="689"/>
    <x v="2"/>
    <x v="9"/>
  </r>
  <r>
    <x v="12"/>
    <n v="45000"/>
    <m/>
    <m/>
    <m/>
    <m/>
    <x v="689"/>
    <x v="2"/>
    <x v="9"/>
  </r>
  <r>
    <x v="13"/>
    <m/>
    <m/>
    <m/>
    <m/>
    <m/>
    <x v="689"/>
    <x v="2"/>
    <x v="9"/>
  </r>
  <r>
    <x v="0"/>
    <m/>
    <m/>
    <m/>
    <m/>
    <m/>
    <x v="690"/>
    <x v="2"/>
    <x v="9"/>
  </r>
  <r>
    <x v="1"/>
    <m/>
    <m/>
    <n v="90000"/>
    <m/>
    <m/>
    <x v="690"/>
    <x v="2"/>
    <x v="9"/>
  </r>
  <r>
    <x v="2"/>
    <m/>
    <m/>
    <m/>
    <m/>
    <m/>
    <x v="690"/>
    <x v="2"/>
    <x v="9"/>
  </r>
  <r>
    <x v="3"/>
    <m/>
    <m/>
    <m/>
    <m/>
    <m/>
    <x v="690"/>
    <x v="2"/>
    <x v="9"/>
  </r>
  <r>
    <x v="4"/>
    <m/>
    <m/>
    <m/>
    <m/>
    <m/>
    <x v="690"/>
    <x v="2"/>
    <x v="9"/>
  </r>
  <r>
    <x v="5"/>
    <m/>
    <m/>
    <m/>
    <m/>
    <m/>
    <x v="690"/>
    <x v="2"/>
    <x v="9"/>
  </r>
  <r>
    <x v="14"/>
    <m/>
    <n v="54000"/>
    <m/>
    <n v="54000"/>
    <m/>
    <x v="690"/>
    <x v="2"/>
    <x v="9"/>
  </r>
  <r>
    <x v="6"/>
    <m/>
    <m/>
    <n v="90000"/>
    <m/>
    <m/>
    <x v="690"/>
    <x v="2"/>
    <x v="9"/>
  </r>
  <r>
    <x v="7"/>
    <m/>
    <m/>
    <m/>
    <m/>
    <m/>
    <x v="690"/>
    <x v="2"/>
    <x v="9"/>
  </r>
  <r>
    <x v="15"/>
    <m/>
    <m/>
    <m/>
    <m/>
    <m/>
    <x v="690"/>
    <x v="2"/>
    <x v="9"/>
  </r>
  <r>
    <x v="8"/>
    <m/>
    <n v="540000"/>
    <m/>
    <m/>
    <m/>
    <x v="690"/>
    <x v="2"/>
    <x v="9"/>
  </r>
  <r>
    <x v="9"/>
    <m/>
    <n v="918000"/>
    <m/>
    <m/>
    <m/>
    <x v="690"/>
    <x v="2"/>
    <x v="9"/>
  </r>
  <r>
    <x v="10"/>
    <m/>
    <m/>
    <m/>
    <m/>
    <m/>
    <x v="690"/>
    <x v="2"/>
    <x v="9"/>
  </r>
  <r>
    <x v="11"/>
    <m/>
    <m/>
    <m/>
    <m/>
    <m/>
    <x v="690"/>
    <x v="2"/>
    <x v="9"/>
  </r>
  <r>
    <x v="16"/>
    <m/>
    <m/>
    <m/>
    <m/>
    <m/>
    <x v="690"/>
    <x v="2"/>
    <x v="9"/>
  </r>
  <r>
    <x v="17"/>
    <m/>
    <m/>
    <m/>
    <m/>
    <m/>
    <x v="690"/>
    <x v="2"/>
    <x v="9"/>
  </r>
  <r>
    <x v="12"/>
    <m/>
    <m/>
    <m/>
    <m/>
    <m/>
    <x v="690"/>
    <x v="2"/>
    <x v="9"/>
  </r>
  <r>
    <x v="13"/>
    <m/>
    <m/>
    <m/>
    <m/>
    <m/>
    <x v="690"/>
    <x v="2"/>
    <x v="9"/>
  </r>
  <r>
    <x v="0"/>
    <m/>
    <m/>
    <m/>
    <m/>
    <m/>
    <x v="691"/>
    <x v="2"/>
    <x v="9"/>
  </r>
  <r>
    <x v="1"/>
    <m/>
    <m/>
    <m/>
    <m/>
    <m/>
    <x v="691"/>
    <x v="2"/>
    <x v="9"/>
  </r>
  <r>
    <x v="2"/>
    <m/>
    <m/>
    <m/>
    <m/>
    <m/>
    <x v="691"/>
    <x v="2"/>
    <x v="9"/>
  </r>
  <r>
    <x v="3"/>
    <m/>
    <m/>
    <m/>
    <m/>
    <m/>
    <x v="691"/>
    <x v="2"/>
    <x v="9"/>
  </r>
  <r>
    <x v="4"/>
    <m/>
    <m/>
    <m/>
    <m/>
    <m/>
    <x v="691"/>
    <x v="2"/>
    <x v="9"/>
  </r>
  <r>
    <x v="5"/>
    <m/>
    <m/>
    <m/>
    <m/>
    <m/>
    <x v="691"/>
    <x v="2"/>
    <x v="9"/>
  </r>
  <r>
    <x v="14"/>
    <m/>
    <m/>
    <m/>
    <m/>
    <m/>
    <x v="691"/>
    <x v="2"/>
    <x v="9"/>
  </r>
  <r>
    <x v="6"/>
    <n v="270000"/>
    <n v="324000"/>
    <m/>
    <m/>
    <m/>
    <x v="691"/>
    <x v="2"/>
    <x v="9"/>
  </r>
  <r>
    <x v="7"/>
    <m/>
    <m/>
    <m/>
    <m/>
    <m/>
    <x v="691"/>
    <x v="2"/>
    <x v="9"/>
  </r>
  <r>
    <x v="15"/>
    <m/>
    <m/>
    <m/>
    <m/>
    <m/>
    <x v="691"/>
    <x v="2"/>
    <x v="9"/>
  </r>
  <r>
    <x v="8"/>
    <m/>
    <m/>
    <m/>
    <m/>
    <m/>
    <x v="691"/>
    <x v="2"/>
    <x v="9"/>
  </r>
  <r>
    <x v="9"/>
    <m/>
    <m/>
    <m/>
    <m/>
    <m/>
    <x v="691"/>
    <x v="2"/>
    <x v="9"/>
  </r>
  <r>
    <x v="10"/>
    <m/>
    <m/>
    <m/>
    <m/>
    <m/>
    <x v="691"/>
    <x v="2"/>
    <x v="9"/>
  </r>
  <r>
    <x v="11"/>
    <m/>
    <m/>
    <m/>
    <m/>
    <m/>
    <x v="691"/>
    <x v="2"/>
    <x v="9"/>
  </r>
  <r>
    <x v="16"/>
    <m/>
    <m/>
    <m/>
    <m/>
    <m/>
    <x v="691"/>
    <x v="2"/>
    <x v="9"/>
  </r>
  <r>
    <x v="17"/>
    <m/>
    <m/>
    <m/>
    <m/>
    <m/>
    <x v="691"/>
    <x v="2"/>
    <x v="9"/>
  </r>
  <r>
    <x v="12"/>
    <m/>
    <m/>
    <m/>
    <m/>
    <m/>
    <x v="691"/>
    <x v="2"/>
    <x v="9"/>
  </r>
  <r>
    <x v="13"/>
    <m/>
    <m/>
    <m/>
    <m/>
    <m/>
    <x v="691"/>
    <x v="2"/>
    <x v="9"/>
  </r>
  <r>
    <x v="0"/>
    <m/>
    <m/>
    <m/>
    <m/>
    <m/>
    <x v="692"/>
    <x v="2"/>
    <x v="9"/>
  </r>
  <r>
    <x v="1"/>
    <m/>
    <m/>
    <m/>
    <m/>
    <m/>
    <x v="692"/>
    <x v="2"/>
    <x v="9"/>
  </r>
  <r>
    <x v="2"/>
    <m/>
    <m/>
    <m/>
    <m/>
    <m/>
    <x v="692"/>
    <x v="2"/>
    <x v="9"/>
  </r>
  <r>
    <x v="3"/>
    <m/>
    <m/>
    <m/>
    <m/>
    <m/>
    <x v="692"/>
    <x v="2"/>
    <x v="9"/>
  </r>
  <r>
    <x v="4"/>
    <m/>
    <m/>
    <m/>
    <m/>
    <m/>
    <x v="692"/>
    <x v="2"/>
    <x v="9"/>
  </r>
  <r>
    <x v="5"/>
    <m/>
    <n v="266000"/>
    <m/>
    <n v="162000"/>
    <m/>
    <x v="692"/>
    <x v="2"/>
    <x v="9"/>
  </r>
  <r>
    <x v="14"/>
    <m/>
    <m/>
    <m/>
    <m/>
    <m/>
    <x v="692"/>
    <x v="2"/>
    <x v="9"/>
  </r>
  <r>
    <x v="6"/>
    <n v="486000"/>
    <n v="675500"/>
    <m/>
    <m/>
    <m/>
    <x v="692"/>
    <x v="2"/>
    <x v="9"/>
  </r>
  <r>
    <x v="7"/>
    <m/>
    <m/>
    <m/>
    <m/>
    <m/>
    <x v="692"/>
    <x v="2"/>
    <x v="9"/>
  </r>
  <r>
    <x v="15"/>
    <m/>
    <m/>
    <m/>
    <m/>
    <m/>
    <x v="692"/>
    <x v="2"/>
    <x v="9"/>
  </r>
  <r>
    <x v="8"/>
    <m/>
    <m/>
    <m/>
    <m/>
    <m/>
    <x v="692"/>
    <x v="2"/>
    <x v="9"/>
  </r>
  <r>
    <x v="9"/>
    <n v="648000"/>
    <n v="315000"/>
    <m/>
    <m/>
    <m/>
    <x v="692"/>
    <x v="2"/>
    <x v="9"/>
  </r>
  <r>
    <x v="10"/>
    <m/>
    <m/>
    <m/>
    <m/>
    <m/>
    <x v="692"/>
    <x v="2"/>
    <x v="9"/>
  </r>
  <r>
    <x v="11"/>
    <m/>
    <m/>
    <m/>
    <m/>
    <m/>
    <x v="692"/>
    <x v="2"/>
    <x v="9"/>
  </r>
  <r>
    <x v="16"/>
    <m/>
    <m/>
    <m/>
    <m/>
    <m/>
    <x v="692"/>
    <x v="2"/>
    <x v="9"/>
  </r>
  <r>
    <x v="17"/>
    <m/>
    <n v="54000"/>
    <m/>
    <m/>
    <m/>
    <x v="692"/>
    <x v="2"/>
    <x v="9"/>
  </r>
  <r>
    <x v="12"/>
    <m/>
    <m/>
    <m/>
    <m/>
    <m/>
    <x v="692"/>
    <x v="2"/>
    <x v="9"/>
  </r>
  <r>
    <x v="13"/>
    <m/>
    <m/>
    <m/>
    <m/>
    <m/>
    <x v="692"/>
    <x v="2"/>
    <x v="9"/>
  </r>
  <r>
    <x v="0"/>
    <m/>
    <m/>
    <m/>
    <m/>
    <m/>
    <x v="693"/>
    <x v="2"/>
    <x v="10"/>
  </r>
  <r>
    <x v="1"/>
    <m/>
    <m/>
    <m/>
    <m/>
    <m/>
    <x v="693"/>
    <x v="2"/>
    <x v="10"/>
  </r>
  <r>
    <x v="2"/>
    <m/>
    <m/>
    <m/>
    <m/>
    <m/>
    <x v="693"/>
    <x v="2"/>
    <x v="10"/>
  </r>
  <r>
    <x v="3"/>
    <m/>
    <m/>
    <m/>
    <m/>
    <m/>
    <x v="693"/>
    <x v="2"/>
    <x v="10"/>
  </r>
  <r>
    <x v="4"/>
    <m/>
    <m/>
    <m/>
    <m/>
    <m/>
    <x v="693"/>
    <x v="2"/>
    <x v="10"/>
  </r>
  <r>
    <x v="5"/>
    <m/>
    <n v="50000"/>
    <m/>
    <m/>
    <m/>
    <x v="693"/>
    <x v="2"/>
    <x v="10"/>
  </r>
  <r>
    <x v="14"/>
    <m/>
    <m/>
    <m/>
    <m/>
    <m/>
    <x v="693"/>
    <x v="2"/>
    <x v="10"/>
  </r>
  <r>
    <x v="6"/>
    <n v="54000"/>
    <n v="54000"/>
    <m/>
    <m/>
    <m/>
    <x v="693"/>
    <x v="2"/>
    <x v="10"/>
  </r>
  <r>
    <x v="7"/>
    <m/>
    <m/>
    <m/>
    <m/>
    <m/>
    <x v="693"/>
    <x v="2"/>
    <x v="10"/>
  </r>
  <r>
    <x v="15"/>
    <m/>
    <m/>
    <m/>
    <m/>
    <m/>
    <x v="693"/>
    <x v="2"/>
    <x v="10"/>
  </r>
  <r>
    <x v="8"/>
    <m/>
    <n v="612000"/>
    <m/>
    <m/>
    <m/>
    <x v="693"/>
    <x v="2"/>
    <x v="10"/>
  </r>
  <r>
    <x v="9"/>
    <n v="1400000"/>
    <n v="751500"/>
    <m/>
    <m/>
    <m/>
    <x v="693"/>
    <x v="2"/>
    <x v="10"/>
  </r>
  <r>
    <x v="10"/>
    <m/>
    <m/>
    <m/>
    <m/>
    <m/>
    <x v="693"/>
    <x v="2"/>
    <x v="10"/>
  </r>
  <r>
    <x v="11"/>
    <m/>
    <m/>
    <m/>
    <m/>
    <m/>
    <x v="693"/>
    <x v="2"/>
    <x v="10"/>
  </r>
  <r>
    <x v="16"/>
    <m/>
    <m/>
    <m/>
    <m/>
    <m/>
    <x v="693"/>
    <x v="2"/>
    <x v="10"/>
  </r>
  <r>
    <x v="17"/>
    <m/>
    <n v="54000"/>
    <m/>
    <m/>
    <m/>
    <x v="693"/>
    <x v="2"/>
    <x v="10"/>
  </r>
  <r>
    <x v="12"/>
    <m/>
    <m/>
    <m/>
    <m/>
    <m/>
    <x v="693"/>
    <x v="2"/>
    <x v="10"/>
  </r>
  <r>
    <x v="13"/>
    <m/>
    <m/>
    <m/>
    <m/>
    <m/>
    <x v="693"/>
    <x v="2"/>
    <x v="10"/>
  </r>
  <r>
    <x v="0"/>
    <m/>
    <m/>
    <m/>
    <m/>
    <m/>
    <x v="694"/>
    <x v="2"/>
    <x v="10"/>
  </r>
  <r>
    <x v="1"/>
    <m/>
    <m/>
    <m/>
    <m/>
    <m/>
    <x v="694"/>
    <x v="2"/>
    <x v="10"/>
  </r>
  <r>
    <x v="2"/>
    <m/>
    <m/>
    <m/>
    <m/>
    <m/>
    <x v="694"/>
    <x v="2"/>
    <x v="10"/>
  </r>
  <r>
    <x v="3"/>
    <m/>
    <m/>
    <m/>
    <m/>
    <m/>
    <x v="694"/>
    <x v="2"/>
    <x v="10"/>
  </r>
  <r>
    <x v="4"/>
    <m/>
    <m/>
    <m/>
    <m/>
    <m/>
    <x v="694"/>
    <x v="2"/>
    <x v="10"/>
  </r>
  <r>
    <x v="5"/>
    <n v="162000"/>
    <m/>
    <m/>
    <m/>
    <m/>
    <x v="694"/>
    <x v="2"/>
    <x v="10"/>
  </r>
  <r>
    <x v="14"/>
    <n v="864000"/>
    <n v="756000"/>
    <n v="324000"/>
    <m/>
    <m/>
    <x v="694"/>
    <x v="2"/>
    <x v="10"/>
  </r>
  <r>
    <x v="6"/>
    <m/>
    <n v="54000"/>
    <m/>
    <m/>
    <m/>
    <x v="694"/>
    <x v="2"/>
    <x v="10"/>
  </r>
  <r>
    <x v="7"/>
    <m/>
    <m/>
    <m/>
    <m/>
    <m/>
    <x v="694"/>
    <x v="2"/>
    <x v="10"/>
  </r>
  <r>
    <x v="15"/>
    <m/>
    <m/>
    <m/>
    <m/>
    <m/>
    <x v="694"/>
    <x v="2"/>
    <x v="10"/>
  </r>
  <r>
    <x v="8"/>
    <m/>
    <m/>
    <m/>
    <m/>
    <m/>
    <x v="694"/>
    <x v="2"/>
    <x v="10"/>
  </r>
  <r>
    <x v="9"/>
    <n v="162000"/>
    <n v="1280500"/>
    <m/>
    <m/>
    <m/>
    <x v="694"/>
    <x v="2"/>
    <x v="10"/>
  </r>
  <r>
    <x v="10"/>
    <m/>
    <m/>
    <m/>
    <m/>
    <m/>
    <x v="694"/>
    <x v="2"/>
    <x v="10"/>
  </r>
  <r>
    <x v="11"/>
    <m/>
    <m/>
    <m/>
    <m/>
    <m/>
    <x v="694"/>
    <x v="2"/>
    <x v="10"/>
  </r>
  <r>
    <x v="16"/>
    <m/>
    <m/>
    <m/>
    <m/>
    <m/>
    <x v="694"/>
    <x v="2"/>
    <x v="10"/>
  </r>
  <r>
    <x v="17"/>
    <m/>
    <m/>
    <m/>
    <m/>
    <m/>
    <x v="694"/>
    <x v="2"/>
    <x v="10"/>
  </r>
  <r>
    <x v="12"/>
    <m/>
    <m/>
    <m/>
    <m/>
    <m/>
    <x v="694"/>
    <x v="2"/>
    <x v="10"/>
  </r>
  <r>
    <x v="13"/>
    <m/>
    <m/>
    <m/>
    <m/>
    <m/>
    <x v="694"/>
    <x v="2"/>
    <x v="10"/>
  </r>
  <r>
    <x v="0"/>
    <m/>
    <m/>
    <m/>
    <m/>
    <m/>
    <x v="695"/>
    <x v="2"/>
    <x v="10"/>
  </r>
  <r>
    <x v="1"/>
    <m/>
    <m/>
    <m/>
    <m/>
    <m/>
    <x v="695"/>
    <x v="2"/>
    <x v="10"/>
  </r>
  <r>
    <x v="2"/>
    <m/>
    <m/>
    <m/>
    <m/>
    <m/>
    <x v="695"/>
    <x v="2"/>
    <x v="10"/>
  </r>
  <r>
    <x v="3"/>
    <m/>
    <m/>
    <m/>
    <m/>
    <m/>
    <x v="695"/>
    <x v="2"/>
    <x v="10"/>
  </r>
  <r>
    <x v="4"/>
    <m/>
    <m/>
    <m/>
    <m/>
    <m/>
    <x v="695"/>
    <x v="2"/>
    <x v="10"/>
  </r>
  <r>
    <x v="5"/>
    <n v="54000"/>
    <m/>
    <m/>
    <m/>
    <m/>
    <x v="695"/>
    <x v="2"/>
    <x v="10"/>
  </r>
  <r>
    <x v="14"/>
    <n v="108000"/>
    <n v="216000"/>
    <m/>
    <m/>
    <m/>
    <x v="695"/>
    <x v="2"/>
    <x v="10"/>
  </r>
  <r>
    <x v="6"/>
    <m/>
    <m/>
    <m/>
    <m/>
    <m/>
    <x v="695"/>
    <x v="2"/>
    <x v="10"/>
  </r>
  <r>
    <x v="7"/>
    <m/>
    <m/>
    <m/>
    <m/>
    <m/>
    <x v="695"/>
    <x v="2"/>
    <x v="10"/>
  </r>
  <r>
    <x v="15"/>
    <m/>
    <m/>
    <m/>
    <m/>
    <m/>
    <x v="695"/>
    <x v="2"/>
    <x v="10"/>
  </r>
  <r>
    <x v="8"/>
    <n v="972000"/>
    <n v="432000"/>
    <n v="648000"/>
    <m/>
    <m/>
    <x v="695"/>
    <x v="2"/>
    <x v="10"/>
  </r>
  <r>
    <x v="9"/>
    <m/>
    <n v="859500"/>
    <m/>
    <m/>
    <m/>
    <x v="695"/>
    <x v="2"/>
    <x v="10"/>
  </r>
  <r>
    <x v="10"/>
    <m/>
    <m/>
    <m/>
    <m/>
    <m/>
    <x v="695"/>
    <x v="2"/>
    <x v="10"/>
  </r>
  <r>
    <x v="11"/>
    <m/>
    <m/>
    <m/>
    <m/>
    <m/>
    <x v="695"/>
    <x v="2"/>
    <x v="10"/>
  </r>
  <r>
    <x v="16"/>
    <m/>
    <m/>
    <m/>
    <m/>
    <m/>
    <x v="695"/>
    <x v="2"/>
    <x v="10"/>
  </r>
  <r>
    <x v="17"/>
    <m/>
    <m/>
    <m/>
    <m/>
    <m/>
    <x v="695"/>
    <x v="2"/>
    <x v="10"/>
  </r>
  <r>
    <x v="12"/>
    <m/>
    <m/>
    <m/>
    <m/>
    <m/>
    <x v="695"/>
    <x v="2"/>
    <x v="10"/>
  </r>
  <r>
    <x v="13"/>
    <m/>
    <m/>
    <m/>
    <m/>
    <m/>
    <x v="695"/>
    <x v="2"/>
    <x v="10"/>
  </r>
  <r>
    <x v="0"/>
    <m/>
    <m/>
    <m/>
    <m/>
    <m/>
    <x v="696"/>
    <x v="2"/>
    <x v="10"/>
  </r>
  <r>
    <x v="1"/>
    <m/>
    <m/>
    <m/>
    <m/>
    <m/>
    <x v="696"/>
    <x v="2"/>
    <x v="10"/>
  </r>
  <r>
    <x v="2"/>
    <m/>
    <m/>
    <m/>
    <m/>
    <m/>
    <x v="696"/>
    <x v="2"/>
    <x v="10"/>
  </r>
  <r>
    <x v="3"/>
    <m/>
    <m/>
    <m/>
    <m/>
    <m/>
    <x v="696"/>
    <x v="2"/>
    <x v="10"/>
  </r>
  <r>
    <x v="4"/>
    <m/>
    <m/>
    <m/>
    <m/>
    <m/>
    <x v="696"/>
    <x v="2"/>
    <x v="10"/>
  </r>
  <r>
    <x v="5"/>
    <n v="45000"/>
    <m/>
    <m/>
    <m/>
    <m/>
    <x v="696"/>
    <x v="2"/>
    <x v="10"/>
  </r>
  <r>
    <x v="14"/>
    <n v="54000"/>
    <n v="162000"/>
    <m/>
    <m/>
    <m/>
    <x v="696"/>
    <x v="2"/>
    <x v="10"/>
  </r>
  <r>
    <x v="6"/>
    <n v="190000"/>
    <m/>
    <m/>
    <m/>
    <m/>
    <x v="696"/>
    <x v="2"/>
    <x v="10"/>
  </r>
  <r>
    <x v="7"/>
    <m/>
    <m/>
    <m/>
    <m/>
    <m/>
    <x v="696"/>
    <x v="2"/>
    <x v="10"/>
  </r>
  <r>
    <x v="15"/>
    <m/>
    <m/>
    <m/>
    <m/>
    <m/>
    <x v="696"/>
    <x v="2"/>
    <x v="10"/>
  </r>
  <r>
    <x v="8"/>
    <m/>
    <n v="162000"/>
    <n v="324000"/>
    <m/>
    <m/>
    <x v="696"/>
    <x v="2"/>
    <x v="10"/>
  </r>
  <r>
    <x v="9"/>
    <m/>
    <n v="158000"/>
    <m/>
    <m/>
    <m/>
    <x v="696"/>
    <x v="2"/>
    <x v="10"/>
  </r>
  <r>
    <x v="10"/>
    <m/>
    <m/>
    <m/>
    <m/>
    <m/>
    <x v="696"/>
    <x v="2"/>
    <x v="10"/>
  </r>
  <r>
    <x v="11"/>
    <m/>
    <m/>
    <m/>
    <m/>
    <m/>
    <x v="696"/>
    <x v="2"/>
    <x v="10"/>
  </r>
  <r>
    <x v="16"/>
    <m/>
    <m/>
    <m/>
    <m/>
    <m/>
    <x v="696"/>
    <x v="2"/>
    <x v="10"/>
  </r>
  <r>
    <x v="17"/>
    <m/>
    <m/>
    <m/>
    <m/>
    <m/>
    <x v="696"/>
    <x v="2"/>
    <x v="10"/>
  </r>
  <r>
    <x v="12"/>
    <m/>
    <m/>
    <m/>
    <m/>
    <m/>
    <x v="696"/>
    <x v="2"/>
    <x v="10"/>
  </r>
  <r>
    <x v="13"/>
    <m/>
    <m/>
    <m/>
    <m/>
    <m/>
    <x v="696"/>
    <x v="2"/>
    <x v="10"/>
  </r>
  <r>
    <x v="0"/>
    <m/>
    <m/>
    <m/>
    <m/>
    <m/>
    <x v="697"/>
    <x v="2"/>
    <x v="10"/>
  </r>
  <r>
    <x v="1"/>
    <m/>
    <m/>
    <m/>
    <m/>
    <m/>
    <x v="697"/>
    <x v="2"/>
    <x v="10"/>
  </r>
  <r>
    <x v="2"/>
    <m/>
    <m/>
    <m/>
    <m/>
    <m/>
    <x v="697"/>
    <x v="2"/>
    <x v="10"/>
  </r>
  <r>
    <x v="3"/>
    <m/>
    <m/>
    <m/>
    <m/>
    <m/>
    <x v="697"/>
    <x v="2"/>
    <x v="10"/>
  </r>
  <r>
    <x v="4"/>
    <m/>
    <m/>
    <m/>
    <m/>
    <m/>
    <x v="697"/>
    <x v="2"/>
    <x v="10"/>
  </r>
  <r>
    <x v="5"/>
    <m/>
    <n v="648000"/>
    <m/>
    <m/>
    <m/>
    <x v="697"/>
    <x v="2"/>
    <x v="10"/>
  </r>
  <r>
    <x v="14"/>
    <m/>
    <m/>
    <m/>
    <m/>
    <m/>
    <x v="697"/>
    <x v="2"/>
    <x v="10"/>
  </r>
  <r>
    <x v="6"/>
    <m/>
    <m/>
    <m/>
    <m/>
    <m/>
    <x v="697"/>
    <x v="2"/>
    <x v="10"/>
  </r>
  <r>
    <x v="7"/>
    <m/>
    <m/>
    <m/>
    <m/>
    <m/>
    <x v="697"/>
    <x v="2"/>
    <x v="10"/>
  </r>
  <r>
    <x v="15"/>
    <m/>
    <m/>
    <m/>
    <m/>
    <m/>
    <x v="697"/>
    <x v="2"/>
    <x v="10"/>
  </r>
  <r>
    <x v="8"/>
    <m/>
    <n v="693000"/>
    <m/>
    <m/>
    <m/>
    <x v="697"/>
    <x v="2"/>
    <x v="10"/>
  </r>
  <r>
    <x v="9"/>
    <m/>
    <m/>
    <m/>
    <m/>
    <m/>
    <x v="697"/>
    <x v="2"/>
    <x v="10"/>
  </r>
  <r>
    <x v="10"/>
    <m/>
    <m/>
    <m/>
    <m/>
    <m/>
    <x v="697"/>
    <x v="2"/>
    <x v="10"/>
  </r>
  <r>
    <x v="11"/>
    <m/>
    <m/>
    <m/>
    <m/>
    <m/>
    <x v="697"/>
    <x v="2"/>
    <x v="10"/>
  </r>
  <r>
    <x v="16"/>
    <m/>
    <m/>
    <m/>
    <m/>
    <m/>
    <x v="697"/>
    <x v="2"/>
    <x v="10"/>
  </r>
  <r>
    <x v="17"/>
    <m/>
    <m/>
    <m/>
    <m/>
    <m/>
    <x v="697"/>
    <x v="2"/>
    <x v="10"/>
  </r>
  <r>
    <x v="12"/>
    <m/>
    <m/>
    <m/>
    <m/>
    <m/>
    <x v="697"/>
    <x v="2"/>
    <x v="10"/>
  </r>
  <r>
    <x v="13"/>
    <m/>
    <m/>
    <m/>
    <m/>
    <m/>
    <x v="697"/>
    <x v="2"/>
    <x v="10"/>
  </r>
  <r>
    <x v="0"/>
    <m/>
    <m/>
    <m/>
    <m/>
    <m/>
    <x v="698"/>
    <x v="2"/>
    <x v="10"/>
  </r>
  <r>
    <x v="1"/>
    <m/>
    <m/>
    <m/>
    <m/>
    <m/>
    <x v="698"/>
    <x v="2"/>
    <x v="10"/>
  </r>
  <r>
    <x v="2"/>
    <m/>
    <m/>
    <m/>
    <m/>
    <m/>
    <x v="698"/>
    <x v="2"/>
    <x v="10"/>
  </r>
  <r>
    <x v="3"/>
    <m/>
    <m/>
    <m/>
    <m/>
    <m/>
    <x v="698"/>
    <x v="2"/>
    <x v="10"/>
  </r>
  <r>
    <x v="4"/>
    <m/>
    <n v="967500"/>
    <m/>
    <m/>
    <m/>
    <x v="698"/>
    <x v="2"/>
    <x v="10"/>
  </r>
  <r>
    <x v="5"/>
    <m/>
    <n v="162000"/>
    <m/>
    <m/>
    <m/>
    <x v="698"/>
    <x v="2"/>
    <x v="10"/>
  </r>
  <r>
    <x v="14"/>
    <m/>
    <m/>
    <m/>
    <m/>
    <m/>
    <x v="698"/>
    <x v="2"/>
    <x v="10"/>
  </r>
  <r>
    <x v="6"/>
    <m/>
    <m/>
    <m/>
    <m/>
    <m/>
    <x v="698"/>
    <x v="2"/>
    <x v="10"/>
  </r>
  <r>
    <x v="7"/>
    <m/>
    <m/>
    <m/>
    <m/>
    <m/>
    <x v="698"/>
    <x v="2"/>
    <x v="10"/>
  </r>
  <r>
    <x v="15"/>
    <m/>
    <m/>
    <m/>
    <m/>
    <m/>
    <x v="698"/>
    <x v="2"/>
    <x v="10"/>
  </r>
  <r>
    <x v="8"/>
    <m/>
    <m/>
    <m/>
    <m/>
    <m/>
    <x v="698"/>
    <x v="2"/>
    <x v="10"/>
  </r>
  <r>
    <x v="9"/>
    <m/>
    <m/>
    <m/>
    <m/>
    <m/>
    <x v="698"/>
    <x v="2"/>
    <x v="10"/>
  </r>
  <r>
    <x v="10"/>
    <m/>
    <m/>
    <m/>
    <m/>
    <m/>
    <x v="698"/>
    <x v="2"/>
    <x v="10"/>
  </r>
  <r>
    <x v="11"/>
    <m/>
    <m/>
    <m/>
    <m/>
    <m/>
    <x v="698"/>
    <x v="2"/>
    <x v="10"/>
  </r>
  <r>
    <x v="16"/>
    <m/>
    <m/>
    <m/>
    <m/>
    <m/>
    <x v="698"/>
    <x v="2"/>
    <x v="10"/>
  </r>
  <r>
    <x v="17"/>
    <m/>
    <m/>
    <m/>
    <m/>
    <m/>
    <x v="698"/>
    <x v="2"/>
    <x v="10"/>
  </r>
  <r>
    <x v="12"/>
    <m/>
    <m/>
    <m/>
    <m/>
    <m/>
    <x v="698"/>
    <x v="2"/>
    <x v="10"/>
  </r>
  <r>
    <x v="13"/>
    <m/>
    <m/>
    <m/>
    <m/>
    <m/>
    <x v="698"/>
    <x v="2"/>
    <x v="10"/>
  </r>
  <r>
    <x v="0"/>
    <m/>
    <m/>
    <m/>
    <m/>
    <m/>
    <x v="699"/>
    <x v="2"/>
    <x v="10"/>
  </r>
  <r>
    <x v="1"/>
    <m/>
    <m/>
    <m/>
    <m/>
    <m/>
    <x v="699"/>
    <x v="2"/>
    <x v="10"/>
  </r>
  <r>
    <x v="2"/>
    <m/>
    <m/>
    <m/>
    <m/>
    <m/>
    <x v="699"/>
    <x v="2"/>
    <x v="10"/>
  </r>
  <r>
    <x v="3"/>
    <m/>
    <m/>
    <m/>
    <m/>
    <m/>
    <x v="699"/>
    <x v="2"/>
    <x v="10"/>
  </r>
  <r>
    <x v="4"/>
    <m/>
    <n v="756000"/>
    <m/>
    <m/>
    <m/>
    <x v="699"/>
    <x v="2"/>
    <x v="10"/>
  </r>
  <r>
    <x v="5"/>
    <m/>
    <n v="54000"/>
    <m/>
    <m/>
    <m/>
    <x v="699"/>
    <x v="2"/>
    <x v="10"/>
  </r>
  <r>
    <x v="14"/>
    <m/>
    <m/>
    <m/>
    <m/>
    <m/>
    <x v="699"/>
    <x v="2"/>
    <x v="10"/>
  </r>
  <r>
    <x v="6"/>
    <m/>
    <m/>
    <m/>
    <m/>
    <m/>
    <x v="699"/>
    <x v="2"/>
    <x v="10"/>
  </r>
  <r>
    <x v="7"/>
    <m/>
    <m/>
    <m/>
    <m/>
    <m/>
    <x v="699"/>
    <x v="2"/>
    <x v="10"/>
  </r>
  <r>
    <x v="15"/>
    <m/>
    <m/>
    <m/>
    <m/>
    <m/>
    <x v="699"/>
    <x v="2"/>
    <x v="10"/>
  </r>
  <r>
    <x v="8"/>
    <n v="540000"/>
    <m/>
    <m/>
    <m/>
    <m/>
    <x v="699"/>
    <x v="2"/>
    <x v="10"/>
  </r>
  <r>
    <x v="9"/>
    <m/>
    <m/>
    <m/>
    <m/>
    <m/>
    <x v="699"/>
    <x v="2"/>
    <x v="10"/>
  </r>
  <r>
    <x v="10"/>
    <m/>
    <m/>
    <m/>
    <m/>
    <m/>
    <x v="699"/>
    <x v="2"/>
    <x v="10"/>
  </r>
  <r>
    <x v="11"/>
    <m/>
    <m/>
    <m/>
    <m/>
    <m/>
    <x v="699"/>
    <x v="2"/>
    <x v="10"/>
  </r>
  <r>
    <x v="16"/>
    <m/>
    <m/>
    <m/>
    <m/>
    <m/>
    <x v="699"/>
    <x v="2"/>
    <x v="10"/>
  </r>
  <r>
    <x v="17"/>
    <m/>
    <m/>
    <m/>
    <m/>
    <m/>
    <x v="699"/>
    <x v="2"/>
    <x v="10"/>
  </r>
  <r>
    <x v="12"/>
    <m/>
    <n v="90000"/>
    <m/>
    <m/>
    <m/>
    <x v="699"/>
    <x v="2"/>
    <x v="10"/>
  </r>
  <r>
    <x v="13"/>
    <m/>
    <m/>
    <m/>
    <m/>
    <m/>
    <x v="699"/>
    <x v="2"/>
    <x v="10"/>
  </r>
  <r>
    <x v="0"/>
    <m/>
    <m/>
    <m/>
    <m/>
    <m/>
    <x v="700"/>
    <x v="2"/>
    <x v="10"/>
  </r>
  <r>
    <x v="1"/>
    <m/>
    <m/>
    <m/>
    <m/>
    <m/>
    <x v="700"/>
    <x v="2"/>
    <x v="10"/>
  </r>
  <r>
    <x v="2"/>
    <m/>
    <m/>
    <m/>
    <m/>
    <m/>
    <x v="700"/>
    <x v="2"/>
    <x v="10"/>
  </r>
  <r>
    <x v="3"/>
    <m/>
    <n v="972000"/>
    <m/>
    <m/>
    <m/>
    <x v="700"/>
    <x v="2"/>
    <x v="10"/>
  </r>
  <r>
    <x v="4"/>
    <m/>
    <n v="370000"/>
    <m/>
    <m/>
    <m/>
    <x v="700"/>
    <x v="2"/>
    <x v="10"/>
  </r>
  <r>
    <x v="5"/>
    <m/>
    <m/>
    <m/>
    <m/>
    <m/>
    <x v="700"/>
    <x v="2"/>
    <x v="10"/>
  </r>
  <r>
    <x v="14"/>
    <m/>
    <m/>
    <m/>
    <m/>
    <m/>
    <x v="700"/>
    <x v="2"/>
    <x v="10"/>
  </r>
  <r>
    <x v="6"/>
    <m/>
    <m/>
    <m/>
    <m/>
    <m/>
    <x v="700"/>
    <x v="2"/>
    <x v="10"/>
  </r>
  <r>
    <x v="7"/>
    <m/>
    <m/>
    <m/>
    <m/>
    <m/>
    <x v="700"/>
    <x v="2"/>
    <x v="10"/>
  </r>
  <r>
    <x v="15"/>
    <m/>
    <m/>
    <m/>
    <m/>
    <m/>
    <x v="700"/>
    <x v="2"/>
    <x v="10"/>
  </r>
  <r>
    <x v="8"/>
    <n v="1562000"/>
    <m/>
    <n v="540000"/>
    <m/>
    <m/>
    <x v="700"/>
    <x v="2"/>
    <x v="10"/>
  </r>
  <r>
    <x v="9"/>
    <m/>
    <m/>
    <m/>
    <m/>
    <m/>
    <x v="700"/>
    <x v="2"/>
    <x v="10"/>
  </r>
  <r>
    <x v="10"/>
    <m/>
    <m/>
    <m/>
    <m/>
    <m/>
    <x v="700"/>
    <x v="2"/>
    <x v="10"/>
  </r>
  <r>
    <x v="11"/>
    <m/>
    <m/>
    <m/>
    <m/>
    <m/>
    <x v="700"/>
    <x v="2"/>
    <x v="10"/>
  </r>
  <r>
    <x v="16"/>
    <m/>
    <m/>
    <m/>
    <m/>
    <m/>
    <x v="700"/>
    <x v="2"/>
    <x v="10"/>
  </r>
  <r>
    <x v="17"/>
    <m/>
    <m/>
    <m/>
    <m/>
    <m/>
    <x v="700"/>
    <x v="2"/>
    <x v="10"/>
  </r>
  <r>
    <x v="12"/>
    <m/>
    <m/>
    <m/>
    <m/>
    <m/>
    <x v="700"/>
    <x v="2"/>
    <x v="10"/>
  </r>
  <r>
    <x v="13"/>
    <m/>
    <m/>
    <m/>
    <m/>
    <m/>
    <x v="700"/>
    <x v="2"/>
    <x v="10"/>
  </r>
  <r>
    <x v="0"/>
    <m/>
    <m/>
    <m/>
    <m/>
    <m/>
    <x v="701"/>
    <x v="2"/>
    <x v="10"/>
  </r>
  <r>
    <x v="1"/>
    <m/>
    <m/>
    <m/>
    <m/>
    <m/>
    <x v="701"/>
    <x v="2"/>
    <x v="10"/>
  </r>
  <r>
    <x v="2"/>
    <m/>
    <m/>
    <m/>
    <m/>
    <m/>
    <x v="701"/>
    <x v="2"/>
    <x v="10"/>
  </r>
  <r>
    <x v="3"/>
    <m/>
    <n v="54000"/>
    <m/>
    <m/>
    <m/>
    <x v="701"/>
    <x v="2"/>
    <x v="10"/>
  </r>
  <r>
    <x v="4"/>
    <m/>
    <n v="851000"/>
    <m/>
    <m/>
    <m/>
    <x v="701"/>
    <x v="2"/>
    <x v="10"/>
  </r>
  <r>
    <x v="5"/>
    <m/>
    <n v="45000"/>
    <m/>
    <m/>
    <m/>
    <x v="701"/>
    <x v="2"/>
    <x v="10"/>
  </r>
  <r>
    <x v="14"/>
    <m/>
    <m/>
    <m/>
    <m/>
    <m/>
    <x v="701"/>
    <x v="2"/>
    <x v="10"/>
  </r>
  <r>
    <x v="6"/>
    <m/>
    <m/>
    <m/>
    <m/>
    <m/>
    <x v="701"/>
    <x v="2"/>
    <x v="10"/>
  </r>
  <r>
    <x v="7"/>
    <m/>
    <m/>
    <m/>
    <m/>
    <m/>
    <x v="701"/>
    <x v="2"/>
    <x v="10"/>
  </r>
  <r>
    <x v="15"/>
    <m/>
    <m/>
    <m/>
    <m/>
    <m/>
    <x v="701"/>
    <x v="2"/>
    <x v="10"/>
  </r>
  <r>
    <x v="8"/>
    <n v="540000"/>
    <m/>
    <n v="486000"/>
    <m/>
    <m/>
    <x v="701"/>
    <x v="2"/>
    <x v="10"/>
  </r>
  <r>
    <x v="9"/>
    <m/>
    <m/>
    <m/>
    <m/>
    <m/>
    <x v="701"/>
    <x v="2"/>
    <x v="10"/>
  </r>
  <r>
    <x v="10"/>
    <m/>
    <m/>
    <m/>
    <m/>
    <m/>
    <x v="701"/>
    <x v="2"/>
    <x v="10"/>
  </r>
  <r>
    <x v="11"/>
    <n v="54000"/>
    <m/>
    <m/>
    <m/>
    <m/>
    <x v="701"/>
    <x v="2"/>
    <x v="10"/>
  </r>
  <r>
    <x v="16"/>
    <m/>
    <m/>
    <m/>
    <m/>
    <m/>
    <x v="701"/>
    <x v="2"/>
    <x v="10"/>
  </r>
  <r>
    <x v="17"/>
    <m/>
    <m/>
    <m/>
    <m/>
    <m/>
    <x v="701"/>
    <x v="2"/>
    <x v="10"/>
  </r>
  <r>
    <x v="12"/>
    <m/>
    <m/>
    <m/>
    <m/>
    <m/>
    <x v="701"/>
    <x v="2"/>
    <x v="10"/>
  </r>
  <r>
    <x v="13"/>
    <m/>
    <m/>
    <m/>
    <m/>
    <m/>
    <x v="701"/>
    <x v="2"/>
    <x v="10"/>
  </r>
  <r>
    <x v="0"/>
    <m/>
    <m/>
    <m/>
    <m/>
    <m/>
    <x v="702"/>
    <x v="2"/>
    <x v="10"/>
  </r>
  <r>
    <x v="1"/>
    <m/>
    <m/>
    <m/>
    <m/>
    <m/>
    <x v="702"/>
    <x v="2"/>
    <x v="10"/>
  </r>
  <r>
    <x v="2"/>
    <m/>
    <m/>
    <m/>
    <m/>
    <m/>
    <x v="702"/>
    <x v="2"/>
    <x v="10"/>
  </r>
  <r>
    <x v="3"/>
    <n v="1566000"/>
    <m/>
    <m/>
    <m/>
    <m/>
    <x v="702"/>
    <x v="2"/>
    <x v="10"/>
  </r>
  <r>
    <x v="4"/>
    <m/>
    <n v="54000"/>
    <m/>
    <m/>
    <m/>
    <x v="702"/>
    <x v="2"/>
    <x v="10"/>
  </r>
  <r>
    <x v="5"/>
    <m/>
    <m/>
    <m/>
    <m/>
    <m/>
    <x v="702"/>
    <x v="2"/>
    <x v="10"/>
  </r>
  <r>
    <x v="14"/>
    <m/>
    <m/>
    <m/>
    <m/>
    <m/>
    <x v="702"/>
    <x v="2"/>
    <x v="10"/>
  </r>
  <r>
    <x v="6"/>
    <m/>
    <m/>
    <m/>
    <m/>
    <m/>
    <x v="702"/>
    <x v="2"/>
    <x v="10"/>
  </r>
  <r>
    <x v="7"/>
    <m/>
    <m/>
    <m/>
    <m/>
    <m/>
    <x v="702"/>
    <x v="2"/>
    <x v="10"/>
  </r>
  <r>
    <x v="15"/>
    <m/>
    <m/>
    <m/>
    <m/>
    <m/>
    <x v="702"/>
    <x v="2"/>
    <x v="10"/>
  </r>
  <r>
    <x v="8"/>
    <n v="54000"/>
    <m/>
    <n v="108000"/>
    <m/>
    <m/>
    <x v="702"/>
    <x v="2"/>
    <x v="10"/>
  </r>
  <r>
    <x v="9"/>
    <m/>
    <m/>
    <m/>
    <m/>
    <m/>
    <x v="702"/>
    <x v="2"/>
    <x v="10"/>
  </r>
  <r>
    <x v="10"/>
    <m/>
    <m/>
    <m/>
    <m/>
    <m/>
    <x v="702"/>
    <x v="2"/>
    <x v="10"/>
  </r>
  <r>
    <x v="11"/>
    <m/>
    <m/>
    <m/>
    <m/>
    <m/>
    <x v="702"/>
    <x v="2"/>
    <x v="10"/>
  </r>
  <r>
    <x v="16"/>
    <m/>
    <m/>
    <m/>
    <m/>
    <m/>
    <x v="702"/>
    <x v="2"/>
    <x v="10"/>
  </r>
  <r>
    <x v="17"/>
    <m/>
    <m/>
    <m/>
    <m/>
    <m/>
    <x v="702"/>
    <x v="2"/>
    <x v="10"/>
  </r>
  <r>
    <x v="12"/>
    <m/>
    <m/>
    <m/>
    <m/>
    <m/>
    <x v="702"/>
    <x v="2"/>
    <x v="10"/>
  </r>
  <r>
    <x v="13"/>
    <m/>
    <m/>
    <m/>
    <m/>
    <m/>
    <x v="702"/>
    <x v="2"/>
    <x v="10"/>
  </r>
  <r>
    <x v="0"/>
    <m/>
    <m/>
    <m/>
    <m/>
    <m/>
    <x v="703"/>
    <x v="2"/>
    <x v="10"/>
  </r>
  <r>
    <x v="1"/>
    <m/>
    <m/>
    <m/>
    <m/>
    <m/>
    <x v="703"/>
    <x v="2"/>
    <x v="10"/>
  </r>
  <r>
    <x v="2"/>
    <n v="745500"/>
    <m/>
    <m/>
    <m/>
    <m/>
    <x v="703"/>
    <x v="2"/>
    <x v="10"/>
  </r>
  <r>
    <x v="3"/>
    <n v="486000"/>
    <m/>
    <m/>
    <m/>
    <m/>
    <x v="703"/>
    <x v="2"/>
    <x v="10"/>
  </r>
  <r>
    <x v="4"/>
    <m/>
    <m/>
    <m/>
    <m/>
    <m/>
    <x v="703"/>
    <x v="2"/>
    <x v="10"/>
  </r>
  <r>
    <x v="5"/>
    <n v="45000"/>
    <m/>
    <m/>
    <m/>
    <m/>
    <x v="703"/>
    <x v="2"/>
    <x v="10"/>
  </r>
  <r>
    <x v="14"/>
    <m/>
    <m/>
    <m/>
    <m/>
    <m/>
    <x v="703"/>
    <x v="2"/>
    <x v="10"/>
  </r>
  <r>
    <x v="6"/>
    <m/>
    <m/>
    <m/>
    <m/>
    <m/>
    <x v="703"/>
    <x v="2"/>
    <x v="10"/>
  </r>
  <r>
    <x v="7"/>
    <m/>
    <m/>
    <m/>
    <m/>
    <m/>
    <x v="703"/>
    <x v="2"/>
    <x v="10"/>
  </r>
  <r>
    <x v="15"/>
    <m/>
    <m/>
    <m/>
    <m/>
    <m/>
    <x v="703"/>
    <x v="2"/>
    <x v="10"/>
  </r>
  <r>
    <x v="8"/>
    <n v="45000"/>
    <n v="531000"/>
    <n v="162000"/>
    <m/>
    <m/>
    <x v="703"/>
    <x v="2"/>
    <x v="10"/>
  </r>
  <r>
    <x v="9"/>
    <m/>
    <m/>
    <m/>
    <m/>
    <m/>
    <x v="703"/>
    <x v="2"/>
    <x v="10"/>
  </r>
  <r>
    <x v="10"/>
    <m/>
    <m/>
    <m/>
    <m/>
    <m/>
    <x v="703"/>
    <x v="2"/>
    <x v="10"/>
  </r>
  <r>
    <x v="11"/>
    <m/>
    <m/>
    <m/>
    <m/>
    <m/>
    <x v="703"/>
    <x v="2"/>
    <x v="10"/>
  </r>
  <r>
    <x v="16"/>
    <m/>
    <m/>
    <m/>
    <m/>
    <m/>
    <x v="703"/>
    <x v="2"/>
    <x v="10"/>
  </r>
  <r>
    <x v="17"/>
    <m/>
    <m/>
    <m/>
    <m/>
    <m/>
    <x v="703"/>
    <x v="2"/>
    <x v="10"/>
  </r>
  <r>
    <x v="12"/>
    <m/>
    <m/>
    <m/>
    <m/>
    <m/>
    <x v="703"/>
    <x v="2"/>
    <x v="10"/>
  </r>
  <r>
    <x v="13"/>
    <m/>
    <m/>
    <m/>
    <m/>
    <m/>
    <x v="703"/>
    <x v="2"/>
    <x v="10"/>
  </r>
  <r>
    <x v="0"/>
    <m/>
    <m/>
    <m/>
    <m/>
    <m/>
    <x v="704"/>
    <x v="2"/>
    <x v="10"/>
  </r>
  <r>
    <x v="1"/>
    <m/>
    <m/>
    <m/>
    <m/>
    <m/>
    <x v="704"/>
    <x v="2"/>
    <x v="10"/>
  </r>
  <r>
    <x v="2"/>
    <n v="54000"/>
    <m/>
    <m/>
    <m/>
    <m/>
    <x v="704"/>
    <x v="2"/>
    <x v="10"/>
  </r>
  <r>
    <x v="3"/>
    <m/>
    <m/>
    <m/>
    <m/>
    <m/>
    <x v="704"/>
    <x v="2"/>
    <x v="10"/>
  </r>
  <r>
    <x v="4"/>
    <m/>
    <m/>
    <m/>
    <m/>
    <m/>
    <x v="704"/>
    <x v="2"/>
    <x v="10"/>
  </r>
  <r>
    <x v="5"/>
    <m/>
    <m/>
    <m/>
    <m/>
    <m/>
    <x v="704"/>
    <x v="2"/>
    <x v="10"/>
  </r>
  <r>
    <x v="14"/>
    <m/>
    <m/>
    <m/>
    <m/>
    <m/>
    <x v="704"/>
    <x v="2"/>
    <x v="10"/>
  </r>
  <r>
    <x v="6"/>
    <m/>
    <n v="90000"/>
    <m/>
    <m/>
    <m/>
    <x v="704"/>
    <x v="2"/>
    <x v="10"/>
  </r>
  <r>
    <x v="7"/>
    <m/>
    <m/>
    <m/>
    <m/>
    <m/>
    <x v="704"/>
    <x v="2"/>
    <x v="10"/>
  </r>
  <r>
    <x v="15"/>
    <m/>
    <m/>
    <m/>
    <m/>
    <m/>
    <x v="704"/>
    <x v="2"/>
    <x v="10"/>
  </r>
  <r>
    <x v="8"/>
    <m/>
    <m/>
    <m/>
    <m/>
    <m/>
    <x v="704"/>
    <x v="2"/>
    <x v="10"/>
  </r>
  <r>
    <x v="9"/>
    <m/>
    <n v="810000"/>
    <m/>
    <m/>
    <m/>
    <x v="704"/>
    <x v="2"/>
    <x v="10"/>
  </r>
  <r>
    <x v="10"/>
    <m/>
    <m/>
    <m/>
    <m/>
    <m/>
    <x v="704"/>
    <x v="2"/>
    <x v="10"/>
  </r>
  <r>
    <x v="11"/>
    <m/>
    <m/>
    <m/>
    <m/>
    <m/>
    <x v="704"/>
    <x v="2"/>
    <x v="10"/>
  </r>
  <r>
    <x v="16"/>
    <m/>
    <m/>
    <m/>
    <m/>
    <m/>
    <x v="704"/>
    <x v="2"/>
    <x v="10"/>
  </r>
  <r>
    <x v="17"/>
    <m/>
    <m/>
    <m/>
    <m/>
    <m/>
    <x v="704"/>
    <x v="2"/>
    <x v="10"/>
  </r>
  <r>
    <x v="12"/>
    <m/>
    <m/>
    <m/>
    <m/>
    <m/>
    <x v="704"/>
    <x v="2"/>
    <x v="10"/>
  </r>
  <r>
    <x v="13"/>
    <m/>
    <n v="378000"/>
    <m/>
    <n v="108000"/>
    <m/>
    <x v="704"/>
    <x v="2"/>
    <x v="10"/>
  </r>
  <r>
    <x v="0"/>
    <m/>
    <m/>
    <m/>
    <m/>
    <m/>
    <x v="705"/>
    <x v="2"/>
    <x v="10"/>
  </r>
  <r>
    <x v="1"/>
    <m/>
    <m/>
    <m/>
    <m/>
    <m/>
    <x v="705"/>
    <x v="2"/>
    <x v="10"/>
  </r>
  <r>
    <x v="2"/>
    <m/>
    <m/>
    <m/>
    <m/>
    <m/>
    <x v="705"/>
    <x v="2"/>
    <x v="10"/>
  </r>
  <r>
    <x v="3"/>
    <m/>
    <m/>
    <m/>
    <m/>
    <m/>
    <x v="705"/>
    <x v="2"/>
    <x v="10"/>
  </r>
  <r>
    <x v="4"/>
    <m/>
    <m/>
    <m/>
    <m/>
    <m/>
    <x v="705"/>
    <x v="2"/>
    <x v="10"/>
  </r>
  <r>
    <x v="5"/>
    <m/>
    <m/>
    <m/>
    <m/>
    <m/>
    <x v="705"/>
    <x v="2"/>
    <x v="10"/>
  </r>
  <r>
    <x v="14"/>
    <m/>
    <m/>
    <m/>
    <m/>
    <m/>
    <x v="705"/>
    <x v="2"/>
    <x v="10"/>
  </r>
  <r>
    <x v="6"/>
    <m/>
    <m/>
    <m/>
    <m/>
    <m/>
    <x v="705"/>
    <x v="2"/>
    <x v="10"/>
  </r>
  <r>
    <x v="7"/>
    <m/>
    <m/>
    <m/>
    <m/>
    <m/>
    <x v="705"/>
    <x v="2"/>
    <x v="10"/>
  </r>
  <r>
    <x v="15"/>
    <m/>
    <m/>
    <m/>
    <m/>
    <m/>
    <x v="705"/>
    <x v="2"/>
    <x v="10"/>
  </r>
  <r>
    <x v="8"/>
    <m/>
    <m/>
    <n v="54000"/>
    <m/>
    <m/>
    <x v="705"/>
    <x v="2"/>
    <x v="10"/>
  </r>
  <r>
    <x v="9"/>
    <m/>
    <n v="648000"/>
    <m/>
    <m/>
    <m/>
    <x v="705"/>
    <x v="2"/>
    <x v="10"/>
  </r>
  <r>
    <x v="10"/>
    <m/>
    <m/>
    <m/>
    <m/>
    <m/>
    <x v="705"/>
    <x v="2"/>
    <x v="10"/>
  </r>
  <r>
    <x v="11"/>
    <m/>
    <m/>
    <m/>
    <m/>
    <m/>
    <x v="705"/>
    <x v="2"/>
    <x v="10"/>
  </r>
  <r>
    <x v="16"/>
    <m/>
    <m/>
    <m/>
    <m/>
    <m/>
    <x v="705"/>
    <x v="2"/>
    <x v="10"/>
  </r>
  <r>
    <x v="17"/>
    <m/>
    <m/>
    <m/>
    <m/>
    <m/>
    <x v="705"/>
    <x v="2"/>
    <x v="10"/>
  </r>
  <r>
    <x v="12"/>
    <m/>
    <m/>
    <m/>
    <m/>
    <m/>
    <x v="705"/>
    <x v="2"/>
    <x v="10"/>
  </r>
  <r>
    <x v="13"/>
    <m/>
    <n v="377500"/>
    <m/>
    <n v="270000"/>
    <m/>
    <x v="705"/>
    <x v="2"/>
    <x v="10"/>
  </r>
  <r>
    <x v="0"/>
    <m/>
    <m/>
    <m/>
    <m/>
    <m/>
    <x v="706"/>
    <x v="2"/>
    <x v="10"/>
  </r>
  <r>
    <x v="1"/>
    <m/>
    <m/>
    <m/>
    <m/>
    <m/>
    <x v="706"/>
    <x v="2"/>
    <x v="10"/>
  </r>
  <r>
    <x v="2"/>
    <m/>
    <m/>
    <m/>
    <m/>
    <m/>
    <x v="706"/>
    <x v="2"/>
    <x v="10"/>
  </r>
  <r>
    <x v="3"/>
    <m/>
    <m/>
    <m/>
    <m/>
    <m/>
    <x v="706"/>
    <x v="2"/>
    <x v="10"/>
  </r>
  <r>
    <x v="4"/>
    <m/>
    <m/>
    <m/>
    <m/>
    <m/>
    <x v="706"/>
    <x v="2"/>
    <x v="10"/>
  </r>
  <r>
    <x v="5"/>
    <m/>
    <m/>
    <m/>
    <m/>
    <m/>
    <x v="706"/>
    <x v="2"/>
    <x v="10"/>
  </r>
  <r>
    <x v="14"/>
    <m/>
    <m/>
    <m/>
    <m/>
    <m/>
    <x v="706"/>
    <x v="2"/>
    <x v="10"/>
  </r>
  <r>
    <x v="6"/>
    <m/>
    <m/>
    <m/>
    <m/>
    <m/>
    <x v="706"/>
    <x v="2"/>
    <x v="10"/>
  </r>
  <r>
    <x v="7"/>
    <m/>
    <m/>
    <m/>
    <m/>
    <m/>
    <x v="706"/>
    <x v="2"/>
    <x v="10"/>
  </r>
  <r>
    <x v="15"/>
    <m/>
    <m/>
    <m/>
    <m/>
    <m/>
    <x v="706"/>
    <x v="2"/>
    <x v="10"/>
  </r>
  <r>
    <x v="8"/>
    <m/>
    <m/>
    <m/>
    <m/>
    <m/>
    <x v="706"/>
    <x v="2"/>
    <x v="10"/>
  </r>
  <r>
    <x v="9"/>
    <m/>
    <n v="378000"/>
    <m/>
    <m/>
    <m/>
    <x v="706"/>
    <x v="2"/>
    <x v="10"/>
  </r>
  <r>
    <x v="10"/>
    <m/>
    <m/>
    <m/>
    <m/>
    <m/>
    <x v="706"/>
    <x v="2"/>
    <x v="10"/>
  </r>
  <r>
    <x v="11"/>
    <m/>
    <m/>
    <m/>
    <m/>
    <m/>
    <x v="706"/>
    <x v="2"/>
    <x v="10"/>
  </r>
  <r>
    <x v="16"/>
    <m/>
    <m/>
    <m/>
    <m/>
    <m/>
    <x v="706"/>
    <x v="2"/>
    <x v="10"/>
  </r>
  <r>
    <x v="17"/>
    <m/>
    <m/>
    <m/>
    <m/>
    <m/>
    <x v="706"/>
    <x v="2"/>
    <x v="10"/>
  </r>
  <r>
    <x v="12"/>
    <m/>
    <m/>
    <m/>
    <m/>
    <m/>
    <x v="706"/>
    <x v="2"/>
    <x v="10"/>
  </r>
  <r>
    <x v="13"/>
    <m/>
    <n v="648000"/>
    <m/>
    <m/>
    <m/>
    <x v="706"/>
    <x v="2"/>
    <x v="10"/>
  </r>
  <r>
    <x v="0"/>
    <m/>
    <m/>
    <m/>
    <m/>
    <m/>
    <x v="707"/>
    <x v="2"/>
    <x v="10"/>
  </r>
  <r>
    <x v="1"/>
    <m/>
    <m/>
    <m/>
    <m/>
    <m/>
    <x v="707"/>
    <x v="2"/>
    <x v="10"/>
  </r>
  <r>
    <x v="2"/>
    <m/>
    <m/>
    <m/>
    <m/>
    <m/>
    <x v="707"/>
    <x v="2"/>
    <x v="10"/>
  </r>
  <r>
    <x v="3"/>
    <m/>
    <m/>
    <m/>
    <m/>
    <m/>
    <x v="707"/>
    <x v="2"/>
    <x v="10"/>
  </r>
  <r>
    <x v="4"/>
    <m/>
    <m/>
    <m/>
    <m/>
    <m/>
    <x v="707"/>
    <x v="2"/>
    <x v="10"/>
  </r>
  <r>
    <x v="5"/>
    <m/>
    <m/>
    <m/>
    <m/>
    <m/>
    <x v="707"/>
    <x v="2"/>
    <x v="10"/>
  </r>
  <r>
    <x v="14"/>
    <m/>
    <m/>
    <m/>
    <m/>
    <m/>
    <x v="707"/>
    <x v="2"/>
    <x v="10"/>
  </r>
  <r>
    <x v="6"/>
    <n v="697500"/>
    <n v="216000"/>
    <n v="194000"/>
    <m/>
    <m/>
    <x v="707"/>
    <x v="2"/>
    <x v="10"/>
  </r>
  <r>
    <x v="7"/>
    <m/>
    <m/>
    <m/>
    <m/>
    <m/>
    <x v="707"/>
    <x v="2"/>
    <x v="10"/>
  </r>
  <r>
    <x v="15"/>
    <m/>
    <m/>
    <m/>
    <m/>
    <m/>
    <x v="707"/>
    <x v="2"/>
    <x v="10"/>
  </r>
  <r>
    <x v="8"/>
    <m/>
    <m/>
    <m/>
    <m/>
    <m/>
    <x v="707"/>
    <x v="2"/>
    <x v="10"/>
  </r>
  <r>
    <x v="9"/>
    <m/>
    <n v="162000"/>
    <m/>
    <m/>
    <m/>
    <x v="707"/>
    <x v="2"/>
    <x v="10"/>
  </r>
  <r>
    <x v="10"/>
    <m/>
    <m/>
    <m/>
    <m/>
    <m/>
    <x v="707"/>
    <x v="2"/>
    <x v="10"/>
  </r>
  <r>
    <x v="11"/>
    <m/>
    <n v="648000"/>
    <m/>
    <n v="108000"/>
    <m/>
    <x v="707"/>
    <x v="2"/>
    <x v="10"/>
  </r>
  <r>
    <x v="16"/>
    <m/>
    <m/>
    <m/>
    <m/>
    <m/>
    <x v="707"/>
    <x v="2"/>
    <x v="10"/>
  </r>
  <r>
    <x v="17"/>
    <m/>
    <m/>
    <m/>
    <m/>
    <m/>
    <x v="707"/>
    <x v="2"/>
    <x v="10"/>
  </r>
  <r>
    <x v="12"/>
    <m/>
    <m/>
    <m/>
    <m/>
    <m/>
    <x v="707"/>
    <x v="2"/>
    <x v="10"/>
  </r>
  <r>
    <x v="13"/>
    <m/>
    <n v="378000"/>
    <m/>
    <m/>
    <m/>
    <x v="707"/>
    <x v="2"/>
    <x v="10"/>
  </r>
  <r>
    <x v="0"/>
    <m/>
    <m/>
    <m/>
    <m/>
    <m/>
    <x v="708"/>
    <x v="2"/>
    <x v="10"/>
  </r>
  <r>
    <x v="1"/>
    <m/>
    <m/>
    <m/>
    <m/>
    <m/>
    <x v="708"/>
    <x v="2"/>
    <x v="10"/>
  </r>
  <r>
    <x v="2"/>
    <m/>
    <m/>
    <m/>
    <m/>
    <m/>
    <x v="708"/>
    <x v="2"/>
    <x v="10"/>
  </r>
  <r>
    <x v="3"/>
    <m/>
    <m/>
    <m/>
    <m/>
    <m/>
    <x v="708"/>
    <x v="2"/>
    <x v="10"/>
  </r>
  <r>
    <x v="4"/>
    <m/>
    <m/>
    <m/>
    <m/>
    <m/>
    <x v="708"/>
    <x v="2"/>
    <x v="10"/>
  </r>
  <r>
    <x v="5"/>
    <m/>
    <m/>
    <m/>
    <m/>
    <m/>
    <x v="708"/>
    <x v="2"/>
    <x v="10"/>
  </r>
  <r>
    <x v="14"/>
    <m/>
    <m/>
    <m/>
    <m/>
    <m/>
    <x v="708"/>
    <x v="2"/>
    <x v="10"/>
  </r>
  <r>
    <x v="6"/>
    <m/>
    <n v="432000"/>
    <n v="106000"/>
    <m/>
    <m/>
    <x v="708"/>
    <x v="2"/>
    <x v="10"/>
  </r>
  <r>
    <x v="7"/>
    <m/>
    <m/>
    <m/>
    <m/>
    <m/>
    <x v="708"/>
    <x v="2"/>
    <x v="10"/>
  </r>
  <r>
    <x v="15"/>
    <m/>
    <m/>
    <m/>
    <m/>
    <m/>
    <x v="708"/>
    <x v="2"/>
    <x v="10"/>
  </r>
  <r>
    <x v="8"/>
    <m/>
    <m/>
    <m/>
    <m/>
    <m/>
    <x v="708"/>
    <x v="2"/>
    <x v="10"/>
  </r>
  <r>
    <x v="9"/>
    <m/>
    <m/>
    <m/>
    <m/>
    <m/>
    <x v="708"/>
    <x v="2"/>
    <x v="10"/>
  </r>
  <r>
    <x v="10"/>
    <m/>
    <m/>
    <m/>
    <m/>
    <m/>
    <x v="708"/>
    <x v="2"/>
    <x v="10"/>
  </r>
  <r>
    <x v="11"/>
    <n v="860000"/>
    <n v="324000"/>
    <m/>
    <m/>
    <m/>
    <x v="708"/>
    <x v="2"/>
    <x v="10"/>
  </r>
  <r>
    <x v="16"/>
    <m/>
    <m/>
    <m/>
    <m/>
    <m/>
    <x v="708"/>
    <x v="2"/>
    <x v="10"/>
  </r>
  <r>
    <x v="17"/>
    <m/>
    <m/>
    <m/>
    <m/>
    <m/>
    <x v="708"/>
    <x v="2"/>
    <x v="10"/>
  </r>
  <r>
    <x v="12"/>
    <m/>
    <m/>
    <m/>
    <m/>
    <m/>
    <x v="708"/>
    <x v="2"/>
    <x v="10"/>
  </r>
  <r>
    <x v="13"/>
    <m/>
    <n v="54000"/>
    <m/>
    <m/>
    <m/>
    <x v="708"/>
    <x v="2"/>
    <x v="10"/>
  </r>
  <r>
    <x v="0"/>
    <m/>
    <m/>
    <m/>
    <m/>
    <m/>
    <x v="709"/>
    <x v="2"/>
    <x v="10"/>
  </r>
  <r>
    <x v="1"/>
    <m/>
    <m/>
    <m/>
    <m/>
    <m/>
    <x v="709"/>
    <x v="2"/>
    <x v="10"/>
  </r>
  <r>
    <x v="2"/>
    <m/>
    <m/>
    <m/>
    <m/>
    <m/>
    <x v="709"/>
    <x v="2"/>
    <x v="10"/>
  </r>
  <r>
    <x v="3"/>
    <m/>
    <m/>
    <m/>
    <m/>
    <m/>
    <x v="709"/>
    <x v="2"/>
    <x v="10"/>
  </r>
  <r>
    <x v="4"/>
    <m/>
    <m/>
    <m/>
    <m/>
    <m/>
    <x v="709"/>
    <x v="2"/>
    <x v="10"/>
  </r>
  <r>
    <x v="5"/>
    <m/>
    <m/>
    <m/>
    <m/>
    <m/>
    <x v="709"/>
    <x v="2"/>
    <x v="10"/>
  </r>
  <r>
    <x v="14"/>
    <m/>
    <m/>
    <m/>
    <m/>
    <m/>
    <x v="709"/>
    <x v="2"/>
    <x v="10"/>
  </r>
  <r>
    <x v="6"/>
    <m/>
    <n v="324000"/>
    <m/>
    <m/>
    <m/>
    <x v="709"/>
    <x v="2"/>
    <x v="10"/>
  </r>
  <r>
    <x v="7"/>
    <m/>
    <m/>
    <m/>
    <m/>
    <m/>
    <x v="709"/>
    <x v="2"/>
    <x v="10"/>
  </r>
  <r>
    <x v="15"/>
    <m/>
    <m/>
    <m/>
    <m/>
    <m/>
    <x v="709"/>
    <x v="2"/>
    <x v="10"/>
  </r>
  <r>
    <x v="8"/>
    <m/>
    <n v="162000"/>
    <m/>
    <m/>
    <m/>
    <x v="709"/>
    <x v="2"/>
    <x v="10"/>
  </r>
  <r>
    <x v="9"/>
    <m/>
    <m/>
    <m/>
    <m/>
    <m/>
    <x v="709"/>
    <x v="2"/>
    <x v="10"/>
  </r>
  <r>
    <x v="10"/>
    <m/>
    <m/>
    <m/>
    <m/>
    <m/>
    <x v="709"/>
    <x v="2"/>
    <x v="10"/>
  </r>
  <r>
    <x v="11"/>
    <n v="1890000"/>
    <n v="540000"/>
    <n v="320000"/>
    <n v="54000"/>
    <m/>
    <x v="709"/>
    <x v="2"/>
    <x v="10"/>
  </r>
  <r>
    <x v="16"/>
    <m/>
    <m/>
    <m/>
    <m/>
    <m/>
    <x v="709"/>
    <x v="2"/>
    <x v="10"/>
  </r>
  <r>
    <x v="17"/>
    <m/>
    <m/>
    <m/>
    <m/>
    <m/>
    <x v="709"/>
    <x v="2"/>
    <x v="10"/>
  </r>
  <r>
    <x v="12"/>
    <m/>
    <m/>
    <m/>
    <m/>
    <m/>
    <x v="709"/>
    <x v="2"/>
    <x v="10"/>
  </r>
  <r>
    <x v="13"/>
    <m/>
    <m/>
    <m/>
    <m/>
    <m/>
    <x v="709"/>
    <x v="2"/>
    <x v="10"/>
  </r>
  <r>
    <x v="0"/>
    <m/>
    <m/>
    <m/>
    <m/>
    <m/>
    <x v="710"/>
    <x v="2"/>
    <x v="10"/>
  </r>
  <r>
    <x v="1"/>
    <m/>
    <m/>
    <m/>
    <m/>
    <m/>
    <x v="710"/>
    <x v="2"/>
    <x v="10"/>
  </r>
  <r>
    <x v="2"/>
    <n v="540000"/>
    <m/>
    <m/>
    <m/>
    <m/>
    <x v="710"/>
    <x v="2"/>
    <x v="10"/>
  </r>
  <r>
    <x v="3"/>
    <m/>
    <m/>
    <m/>
    <m/>
    <m/>
    <x v="710"/>
    <x v="2"/>
    <x v="10"/>
  </r>
  <r>
    <x v="4"/>
    <m/>
    <m/>
    <m/>
    <m/>
    <m/>
    <x v="710"/>
    <x v="2"/>
    <x v="10"/>
  </r>
  <r>
    <x v="5"/>
    <m/>
    <m/>
    <m/>
    <m/>
    <m/>
    <x v="710"/>
    <x v="2"/>
    <x v="10"/>
  </r>
  <r>
    <x v="14"/>
    <m/>
    <m/>
    <m/>
    <m/>
    <m/>
    <x v="710"/>
    <x v="2"/>
    <x v="10"/>
  </r>
  <r>
    <x v="6"/>
    <m/>
    <n v="54000"/>
    <m/>
    <m/>
    <m/>
    <x v="710"/>
    <x v="2"/>
    <x v="10"/>
  </r>
  <r>
    <x v="7"/>
    <m/>
    <m/>
    <m/>
    <m/>
    <m/>
    <x v="710"/>
    <x v="2"/>
    <x v="10"/>
  </r>
  <r>
    <x v="15"/>
    <m/>
    <m/>
    <m/>
    <m/>
    <m/>
    <x v="710"/>
    <x v="2"/>
    <x v="10"/>
  </r>
  <r>
    <x v="8"/>
    <m/>
    <n v="153000"/>
    <m/>
    <m/>
    <m/>
    <x v="710"/>
    <x v="2"/>
    <x v="10"/>
  </r>
  <r>
    <x v="9"/>
    <m/>
    <n v="810000"/>
    <m/>
    <n v="324000"/>
    <m/>
    <x v="710"/>
    <x v="2"/>
    <x v="10"/>
  </r>
  <r>
    <x v="10"/>
    <m/>
    <m/>
    <m/>
    <m/>
    <m/>
    <x v="710"/>
    <x v="2"/>
    <x v="10"/>
  </r>
  <r>
    <x v="11"/>
    <n v="918000"/>
    <n v="162000"/>
    <n v="180000"/>
    <m/>
    <m/>
    <x v="710"/>
    <x v="2"/>
    <x v="10"/>
  </r>
  <r>
    <x v="16"/>
    <m/>
    <m/>
    <m/>
    <m/>
    <m/>
    <x v="710"/>
    <x v="2"/>
    <x v="10"/>
  </r>
  <r>
    <x v="17"/>
    <m/>
    <m/>
    <m/>
    <m/>
    <m/>
    <x v="710"/>
    <x v="2"/>
    <x v="10"/>
  </r>
  <r>
    <x v="12"/>
    <m/>
    <m/>
    <m/>
    <m/>
    <m/>
    <x v="710"/>
    <x v="2"/>
    <x v="10"/>
  </r>
  <r>
    <x v="13"/>
    <m/>
    <m/>
    <m/>
    <m/>
    <m/>
    <x v="710"/>
    <x v="2"/>
    <x v="10"/>
  </r>
  <r>
    <x v="0"/>
    <m/>
    <m/>
    <m/>
    <m/>
    <m/>
    <x v="711"/>
    <x v="2"/>
    <x v="10"/>
  </r>
  <r>
    <x v="1"/>
    <m/>
    <m/>
    <m/>
    <m/>
    <m/>
    <x v="711"/>
    <x v="2"/>
    <x v="10"/>
  </r>
  <r>
    <x v="2"/>
    <m/>
    <m/>
    <m/>
    <m/>
    <m/>
    <x v="711"/>
    <x v="2"/>
    <x v="10"/>
  </r>
  <r>
    <x v="3"/>
    <m/>
    <m/>
    <m/>
    <m/>
    <m/>
    <x v="711"/>
    <x v="2"/>
    <x v="10"/>
  </r>
  <r>
    <x v="4"/>
    <m/>
    <m/>
    <m/>
    <m/>
    <m/>
    <x v="711"/>
    <x v="2"/>
    <x v="10"/>
  </r>
  <r>
    <x v="5"/>
    <m/>
    <n v="486000"/>
    <m/>
    <m/>
    <m/>
    <x v="711"/>
    <x v="2"/>
    <x v="10"/>
  </r>
  <r>
    <x v="14"/>
    <m/>
    <m/>
    <m/>
    <m/>
    <m/>
    <x v="711"/>
    <x v="2"/>
    <x v="10"/>
  </r>
  <r>
    <x v="6"/>
    <m/>
    <n v="108000"/>
    <m/>
    <m/>
    <m/>
    <x v="711"/>
    <x v="2"/>
    <x v="10"/>
  </r>
  <r>
    <x v="7"/>
    <m/>
    <m/>
    <m/>
    <m/>
    <m/>
    <x v="711"/>
    <x v="2"/>
    <x v="10"/>
  </r>
  <r>
    <x v="15"/>
    <m/>
    <m/>
    <m/>
    <m/>
    <m/>
    <x v="711"/>
    <x v="2"/>
    <x v="10"/>
  </r>
  <r>
    <x v="8"/>
    <m/>
    <m/>
    <m/>
    <m/>
    <m/>
    <x v="711"/>
    <x v="2"/>
    <x v="10"/>
  </r>
  <r>
    <x v="9"/>
    <m/>
    <n v="864000"/>
    <m/>
    <n v="324000"/>
    <m/>
    <x v="711"/>
    <x v="2"/>
    <x v="10"/>
  </r>
  <r>
    <x v="10"/>
    <m/>
    <m/>
    <m/>
    <m/>
    <m/>
    <x v="711"/>
    <x v="2"/>
    <x v="10"/>
  </r>
  <r>
    <x v="11"/>
    <m/>
    <m/>
    <m/>
    <m/>
    <m/>
    <x v="711"/>
    <x v="2"/>
    <x v="10"/>
  </r>
  <r>
    <x v="16"/>
    <m/>
    <m/>
    <m/>
    <m/>
    <m/>
    <x v="711"/>
    <x v="2"/>
    <x v="10"/>
  </r>
  <r>
    <x v="17"/>
    <m/>
    <n v="108000"/>
    <m/>
    <m/>
    <m/>
    <x v="711"/>
    <x v="2"/>
    <x v="10"/>
  </r>
  <r>
    <x v="12"/>
    <m/>
    <m/>
    <m/>
    <m/>
    <m/>
    <x v="711"/>
    <x v="2"/>
    <x v="10"/>
  </r>
  <r>
    <x v="13"/>
    <m/>
    <m/>
    <m/>
    <m/>
    <m/>
    <x v="711"/>
    <x v="2"/>
    <x v="10"/>
  </r>
  <r>
    <x v="0"/>
    <m/>
    <m/>
    <m/>
    <m/>
    <m/>
    <x v="712"/>
    <x v="2"/>
    <x v="10"/>
  </r>
  <r>
    <x v="1"/>
    <m/>
    <m/>
    <m/>
    <m/>
    <m/>
    <x v="712"/>
    <x v="2"/>
    <x v="10"/>
  </r>
  <r>
    <x v="2"/>
    <m/>
    <m/>
    <m/>
    <m/>
    <m/>
    <x v="712"/>
    <x v="2"/>
    <x v="10"/>
  </r>
  <r>
    <x v="3"/>
    <m/>
    <m/>
    <m/>
    <m/>
    <m/>
    <x v="712"/>
    <x v="2"/>
    <x v="10"/>
  </r>
  <r>
    <x v="4"/>
    <m/>
    <m/>
    <m/>
    <m/>
    <m/>
    <x v="712"/>
    <x v="2"/>
    <x v="10"/>
  </r>
  <r>
    <x v="5"/>
    <m/>
    <n v="216000"/>
    <m/>
    <m/>
    <m/>
    <x v="712"/>
    <x v="2"/>
    <x v="10"/>
  </r>
  <r>
    <x v="14"/>
    <m/>
    <m/>
    <m/>
    <m/>
    <m/>
    <x v="712"/>
    <x v="2"/>
    <x v="10"/>
  </r>
  <r>
    <x v="6"/>
    <m/>
    <m/>
    <m/>
    <m/>
    <m/>
    <x v="712"/>
    <x v="2"/>
    <x v="10"/>
  </r>
  <r>
    <x v="7"/>
    <m/>
    <m/>
    <m/>
    <m/>
    <m/>
    <x v="712"/>
    <x v="2"/>
    <x v="10"/>
  </r>
  <r>
    <x v="15"/>
    <m/>
    <m/>
    <m/>
    <m/>
    <m/>
    <x v="712"/>
    <x v="2"/>
    <x v="10"/>
  </r>
  <r>
    <x v="8"/>
    <m/>
    <m/>
    <m/>
    <m/>
    <m/>
    <x v="712"/>
    <x v="2"/>
    <x v="10"/>
  </r>
  <r>
    <x v="9"/>
    <m/>
    <n v="972000"/>
    <m/>
    <n v="54000"/>
    <m/>
    <x v="712"/>
    <x v="2"/>
    <x v="10"/>
  </r>
  <r>
    <x v="10"/>
    <m/>
    <m/>
    <m/>
    <m/>
    <m/>
    <x v="712"/>
    <x v="2"/>
    <x v="10"/>
  </r>
  <r>
    <x v="11"/>
    <m/>
    <m/>
    <m/>
    <m/>
    <m/>
    <x v="712"/>
    <x v="2"/>
    <x v="10"/>
  </r>
  <r>
    <x v="16"/>
    <m/>
    <m/>
    <m/>
    <m/>
    <m/>
    <x v="712"/>
    <x v="2"/>
    <x v="10"/>
  </r>
  <r>
    <x v="17"/>
    <m/>
    <m/>
    <m/>
    <m/>
    <m/>
    <x v="712"/>
    <x v="2"/>
    <x v="10"/>
  </r>
  <r>
    <x v="12"/>
    <m/>
    <m/>
    <m/>
    <m/>
    <m/>
    <x v="712"/>
    <x v="2"/>
    <x v="10"/>
  </r>
  <r>
    <x v="13"/>
    <m/>
    <m/>
    <m/>
    <m/>
    <m/>
    <x v="712"/>
    <x v="2"/>
    <x v="10"/>
  </r>
  <r>
    <x v="0"/>
    <m/>
    <m/>
    <m/>
    <m/>
    <m/>
    <x v="713"/>
    <x v="2"/>
    <x v="10"/>
  </r>
  <r>
    <x v="1"/>
    <m/>
    <m/>
    <m/>
    <m/>
    <m/>
    <x v="713"/>
    <x v="2"/>
    <x v="10"/>
  </r>
  <r>
    <x v="2"/>
    <m/>
    <m/>
    <m/>
    <m/>
    <m/>
    <x v="713"/>
    <x v="2"/>
    <x v="10"/>
  </r>
  <r>
    <x v="3"/>
    <m/>
    <m/>
    <m/>
    <m/>
    <m/>
    <x v="713"/>
    <x v="2"/>
    <x v="10"/>
  </r>
  <r>
    <x v="4"/>
    <m/>
    <m/>
    <m/>
    <m/>
    <m/>
    <x v="713"/>
    <x v="2"/>
    <x v="10"/>
  </r>
  <r>
    <x v="5"/>
    <m/>
    <n v="270000"/>
    <m/>
    <m/>
    <m/>
    <x v="713"/>
    <x v="2"/>
    <x v="10"/>
  </r>
  <r>
    <x v="14"/>
    <n v="432000"/>
    <m/>
    <n v="270000"/>
    <m/>
    <m/>
    <x v="713"/>
    <x v="2"/>
    <x v="10"/>
  </r>
  <r>
    <x v="6"/>
    <m/>
    <m/>
    <m/>
    <m/>
    <m/>
    <x v="713"/>
    <x v="2"/>
    <x v="10"/>
  </r>
  <r>
    <x v="7"/>
    <m/>
    <m/>
    <m/>
    <m/>
    <m/>
    <x v="713"/>
    <x v="2"/>
    <x v="10"/>
  </r>
  <r>
    <x v="15"/>
    <m/>
    <m/>
    <m/>
    <m/>
    <m/>
    <x v="713"/>
    <x v="2"/>
    <x v="10"/>
  </r>
  <r>
    <x v="8"/>
    <m/>
    <n v="567000"/>
    <m/>
    <m/>
    <m/>
    <x v="713"/>
    <x v="2"/>
    <x v="10"/>
  </r>
  <r>
    <x v="9"/>
    <n v="162000"/>
    <n v="644000"/>
    <m/>
    <m/>
    <m/>
    <x v="713"/>
    <x v="2"/>
    <x v="10"/>
  </r>
  <r>
    <x v="10"/>
    <m/>
    <m/>
    <m/>
    <m/>
    <m/>
    <x v="713"/>
    <x v="2"/>
    <x v="10"/>
  </r>
  <r>
    <x v="11"/>
    <m/>
    <m/>
    <m/>
    <m/>
    <m/>
    <x v="713"/>
    <x v="2"/>
    <x v="10"/>
  </r>
  <r>
    <x v="16"/>
    <m/>
    <m/>
    <m/>
    <m/>
    <m/>
    <x v="713"/>
    <x v="2"/>
    <x v="10"/>
  </r>
  <r>
    <x v="17"/>
    <m/>
    <m/>
    <m/>
    <m/>
    <m/>
    <x v="713"/>
    <x v="2"/>
    <x v="10"/>
  </r>
  <r>
    <x v="12"/>
    <m/>
    <m/>
    <m/>
    <m/>
    <m/>
    <x v="713"/>
    <x v="2"/>
    <x v="10"/>
  </r>
  <r>
    <x v="13"/>
    <m/>
    <m/>
    <m/>
    <m/>
    <m/>
    <x v="713"/>
    <x v="2"/>
    <x v="10"/>
  </r>
  <r>
    <x v="0"/>
    <m/>
    <m/>
    <m/>
    <m/>
    <m/>
    <x v="714"/>
    <x v="2"/>
    <x v="11"/>
  </r>
  <r>
    <x v="1"/>
    <m/>
    <m/>
    <m/>
    <m/>
    <m/>
    <x v="714"/>
    <x v="2"/>
    <x v="11"/>
  </r>
  <r>
    <x v="2"/>
    <m/>
    <m/>
    <m/>
    <m/>
    <m/>
    <x v="714"/>
    <x v="2"/>
    <x v="11"/>
  </r>
  <r>
    <x v="3"/>
    <m/>
    <m/>
    <m/>
    <m/>
    <m/>
    <x v="714"/>
    <x v="2"/>
    <x v="11"/>
  </r>
  <r>
    <x v="4"/>
    <m/>
    <m/>
    <m/>
    <m/>
    <m/>
    <x v="714"/>
    <x v="2"/>
    <x v="11"/>
  </r>
  <r>
    <x v="5"/>
    <m/>
    <n v="162000"/>
    <m/>
    <m/>
    <m/>
    <x v="714"/>
    <x v="2"/>
    <x v="11"/>
  </r>
  <r>
    <x v="14"/>
    <m/>
    <m/>
    <m/>
    <m/>
    <m/>
    <x v="714"/>
    <x v="2"/>
    <x v="11"/>
  </r>
  <r>
    <x v="6"/>
    <m/>
    <m/>
    <m/>
    <m/>
    <m/>
    <x v="714"/>
    <x v="2"/>
    <x v="11"/>
  </r>
  <r>
    <x v="7"/>
    <m/>
    <m/>
    <m/>
    <m/>
    <m/>
    <x v="714"/>
    <x v="2"/>
    <x v="11"/>
  </r>
  <r>
    <x v="15"/>
    <m/>
    <m/>
    <m/>
    <m/>
    <m/>
    <x v="714"/>
    <x v="2"/>
    <x v="11"/>
  </r>
  <r>
    <x v="8"/>
    <m/>
    <m/>
    <m/>
    <m/>
    <m/>
    <x v="714"/>
    <x v="2"/>
    <x v="11"/>
  </r>
  <r>
    <x v="9"/>
    <n v="702000"/>
    <m/>
    <m/>
    <m/>
    <m/>
    <x v="714"/>
    <x v="2"/>
    <x v="11"/>
  </r>
  <r>
    <x v="10"/>
    <m/>
    <m/>
    <m/>
    <m/>
    <m/>
    <x v="714"/>
    <x v="2"/>
    <x v="11"/>
  </r>
  <r>
    <x v="11"/>
    <m/>
    <m/>
    <m/>
    <m/>
    <m/>
    <x v="714"/>
    <x v="2"/>
    <x v="11"/>
  </r>
  <r>
    <x v="16"/>
    <m/>
    <m/>
    <m/>
    <m/>
    <m/>
    <x v="714"/>
    <x v="2"/>
    <x v="11"/>
  </r>
  <r>
    <x v="17"/>
    <m/>
    <n v="108000"/>
    <m/>
    <m/>
    <m/>
    <x v="714"/>
    <x v="2"/>
    <x v="11"/>
  </r>
  <r>
    <x v="12"/>
    <m/>
    <m/>
    <m/>
    <m/>
    <m/>
    <x v="714"/>
    <x v="2"/>
    <x v="11"/>
  </r>
  <r>
    <x v="13"/>
    <m/>
    <m/>
    <m/>
    <m/>
    <m/>
    <x v="714"/>
    <x v="2"/>
    <x v="11"/>
  </r>
  <r>
    <x v="0"/>
    <m/>
    <m/>
    <m/>
    <m/>
    <m/>
    <x v="715"/>
    <x v="2"/>
    <x v="11"/>
  </r>
  <r>
    <x v="1"/>
    <m/>
    <m/>
    <m/>
    <m/>
    <m/>
    <x v="715"/>
    <x v="2"/>
    <x v="11"/>
  </r>
  <r>
    <x v="2"/>
    <m/>
    <m/>
    <m/>
    <m/>
    <m/>
    <x v="715"/>
    <x v="2"/>
    <x v="11"/>
  </r>
  <r>
    <x v="3"/>
    <m/>
    <m/>
    <m/>
    <m/>
    <m/>
    <x v="715"/>
    <x v="2"/>
    <x v="11"/>
  </r>
  <r>
    <x v="4"/>
    <m/>
    <m/>
    <m/>
    <m/>
    <m/>
    <x v="715"/>
    <x v="2"/>
    <x v="11"/>
  </r>
  <r>
    <x v="5"/>
    <m/>
    <n v="324000"/>
    <m/>
    <m/>
    <m/>
    <x v="715"/>
    <x v="2"/>
    <x v="11"/>
  </r>
  <r>
    <x v="14"/>
    <n v="806000"/>
    <m/>
    <n v="270000"/>
    <m/>
    <m/>
    <x v="715"/>
    <x v="2"/>
    <x v="11"/>
  </r>
  <r>
    <x v="6"/>
    <m/>
    <n v="54000"/>
    <m/>
    <m/>
    <m/>
    <x v="715"/>
    <x v="2"/>
    <x v="11"/>
  </r>
  <r>
    <x v="7"/>
    <m/>
    <m/>
    <m/>
    <m/>
    <m/>
    <x v="715"/>
    <x v="2"/>
    <x v="11"/>
  </r>
  <r>
    <x v="15"/>
    <m/>
    <m/>
    <m/>
    <m/>
    <m/>
    <x v="715"/>
    <x v="2"/>
    <x v="11"/>
  </r>
  <r>
    <x v="8"/>
    <m/>
    <n v="243000"/>
    <m/>
    <m/>
    <m/>
    <x v="715"/>
    <x v="2"/>
    <x v="11"/>
  </r>
  <r>
    <x v="9"/>
    <n v="1242000"/>
    <n v="486000"/>
    <m/>
    <m/>
    <m/>
    <x v="715"/>
    <x v="2"/>
    <x v="11"/>
  </r>
  <r>
    <x v="10"/>
    <m/>
    <m/>
    <m/>
    <m/>
    <m/>
    <x v="715"/>
    <x v="2"/>
    <x v="11"/>
  </r>
  <r>
    <x v="11"/>
    <m/>
    <m/>
    <m/>
    <m/>
    <m/>
    <x v="715"/>
    <x v="2"/>
    <x v="11"/>
  </r>
  <r>
    <x v="16"/>
    <m/>
    <m/>
    <m/>
    <m/>
    <m/>
    <x v="715"/>
    <x v="2"/>
    <x v="11"/>
  </r>
  <r>
    <x v="17"/>
    <m/>
    <m/>
    <m/>
    <m/>
    <m/>
    <x v="715"/>
    <x v="2"/>
    <x v="11"/>
  </r>
  <r>
    <x v="12"/>
    <m/>
    <m/>
    <m/>
    <m/>
    <m/>
    <x v="715"/>
    <x v="2"/>
    <x v="11"/>
  </r>
  <r>
    <x v="13"/>
    <m/>
    <m/>
    <m/>
    <m/>
    <m/>
    <x v="715"/>
    <x v="2"/>
    <x v="11"/>
  </r>
  <r>
    <x v="0"/>
    <m/>
    <m/>
    <m/>
    <m/>
    <m/>
    <x v="716"/>
    <x v="2"/>
    <x v="11"/>
  </r>
  <r>
    <x v="1"/>
    <m/>
    <m/>
    <m/>
    <m/>
    <m/>
    <x v="716"/>
    <x v="2"/>
    <x v="11"/>
  </r>
  <r>
    <x v="2"/>
    <m/>
    <m/>
    <m/>
    <m/>
    <m/>
    <x v="716"/>
    <x v="2"/>
    <x v="11"/>
  </r>
  <r>
    <x v="3"/>
    <m/>
    <m/>
    <m/>
    <m/>
    <m/>
    <x v="716"/>
    <x v="2"/>
    <x v="11"/>
  </r>
  <r>
    <x v="4"/>
    <m/>
    <m/>
    <m/>
    <m/>
    <m/>
    <x v="716"/>
    <x v="2"/>
    <x v="11"/>
  </r>
  <r>
    <x v="5"/>
    <m/>
    <n v="50000"/>
    <m/>
    <m/>
    <m/>
    <x v="716"/>
    <x v="2"/>
    <x v="11"/>
  </r>
  <r>
    <x v="14"/>
    <n v="324000"/>
    <m/>
    <m/>
    <m/>
    <m/>
    <x v="716"/>
    <x v="2"/>
    <x v="11"/>
  </r>
  <r>
    <x v="6"/>
    <n v="432000"/>
    <n v="486000"/>
    <m/>
    <m/>
    <m/>
    <x v="716"/>
    <x v="2"/>
    <x v="11"/>
  </r>
  <r>
    <x v="7"/>
    <m/>
    <m/>
    <m/>
    <m/>
    <m/>
    <x v="716"/>
    <x v="2"/>
    <x v="11"/>
  </r>
  <r>
    <x v="15"/>
    <m/>
    <m/>
    <m/>
    <m/>
    <m/>
    <x v="716"/>
    <x v="2"/>
    <x v="11"/>
  </r>
  <r>
    <x v="8"/>
    <m/>
    <m/>
    <m/>
    <m/>
    <m/>
    <x v="716"/>
    <x v="2"/>
    <x v="11"/>
  </r>
  <r>
    <x v="9"/>
    <n v="1184000"/>
    <n v="108000"/>
    <m/>
    <m/>
    <m/>
    <x v="716"/>
    <x v="2"/>
    <x v="11"/>
  </r>
  <r>
    <x v="10"/>
    <m/>
    <m/>
    <m/>
    <m/>
    <m/>
    <x v="716"/>
    <x v="2"/>
    <x v="11"/>
  </r>
  <r>
    <x v="11"/>
    <m/>
    <n v="756000"/>
    <m/>
    <m/>
    <m/>
    <x v="716"/>
    <x v="2"/>
    <x v="11"/>
  </r>
  <r>
    <x v="16"/>
    <m/>
    <m/>
    <m/>
    <m/>
    <m/>
    <x v="716"/>
    <x v="2"/>
    <x v="11"/>
  </r>
  <r>
    <x v="17"/>
    <m/>
    <m/>
    <m/>
    <m/>
    <m/>
    <x v="716"/>
    <x v="2"/>
    <x v="11"/>
  </r>
  <r>
    <x v="12"/>
    <m/>
    <m/>
    <m/>
    <m/>
    <m/>
    <x v="716"/>
    <x v="2"/>
    <x v="11"/>
  </r>
  <r>
    <x v="13"/>
    <m/>
    <m/>
    <m/>
    <m/>
    <m/>
    <x v="716"/>
    <x v="2"/>
    <x v="11"/>
  </r>
  <r>
    <x v="0"/>
    <m/>
    <m/>
    <m/>
    <m/>
    <m/>
    <x v="717"/>
    <x v="2"/>
    <x v="11"/>
  </r>
  <r>
    <x v="1"/>
    <m/>
    <m/>
    <m/>
    <m/>
    <m/>
    <x v="717"/>
    <x v="2"/>
    <x v="11"/>
  </r>
  <r>
    <x v="2"/>
    <n v="539500"/>
    <m/>
    <m/>
    <m/>
    <m/>
    <x v="717"/>
    <x v="2"/>
    <x v="11"/>
  </r>
  <r>
    <x v="3"/>
    <m/>
    <m/>
    <m/>
    <m/>
    <m/>
    <x v="717"/>
    <x v="2"/>
    <x v="11"/>
  </r>
  <r>
    <x v="4"/>
    <m/>
    <m/>
    <m/>
    <m/>
    <m/>
    <x v="717"/>
    <x v="2"/>
    <x v="11"/>
  </r>
  <r>
    <x v="5"/>
    <m/>
    <m/>
    <m/>
    <m/>
    <m/>
    <x v="717"/>
    <x v="2"/>
    <x v="11"/>
  </r>
  <r>
    <x v="14"/>
    <m/>
    <m/>
    <n v="54000"/>
    <m/>
    <m/>
    <x v="717"/>
    <x v="2"/>
    <x v="11"/>
  </r>
  <r>
    <x v="6"/>
    <n v="311000"/>
    <n v="324000"/>
    <m/>
    <m/>
    <m/>
    <x v="717"/>
    <x v="2"/>
    <x v="11"/>
  </r>
  <r>
    <x v="7"/>
    <m/>
    <m/>
    <m/>
    <m/>
    <m/>
    <x v="717"/>
    <x v="2"/>
    <x v="11"/>
  </r>
  <r>
    <x v="15"/>
    <m/>
    <m/>
    <m/>
    <m/>
    <m/>
    <x v="717"/>
    <x v="2"/>
    <x v="11"/>
  </r>
  <r>
    <x v="8"/>
    <m/>
    <m/>
    <m/>
    <m/>
    <m/>
    <x v="717"/>
    <x v="2"/>
    <x v="11"/>
  </r>
  <r>
    <x v="9"/>
    <n v="540000"/>
    <m/>
    <m/>
    <m/>
    <m/>
    <x v="717"/>
    <x v="2"/>
    <x v="11"/>
  </r>
  <r>
    <x v="10"/>
    <m/>
    <m/>
    <m/>
    <m/>
    <m/>
    <x v="717"/>
    <x v="2"/>
    <x v="11"/>
  </r>
  <r>
    <x v="11"/>
    <m/>
    <n v="702000"/>
    <m/>
    <m/>
    <m/>
    <x v="717"/>
    <x v="2"/>
    <x v="11"/>
  </r>
  <r>
    <x v="16"/>
    <m/>
    <m/>
    <m/>
    <m/>
    <m/>
    <x v="717"/>
    <x v="2"/>
    <x v="11"/>
  </r>
  <r>
    <x v="17"/>
    <m/>
    <m/>
    <m/>
    <m/>
    <m/>
    <x v="717"/>
    <x v="2"/>
    <x v="11"/>
  </r>
  <r>
    <x v="12"/>
    <m/>
    <m/>
    <m/>
    <m/>
    <m/>
    <x v="717"/>
    <x v="2"/>
    <x v="11"/>
  </r>
  <r>
    <x v="13"/>
    <m/>
    <m/>
    <m/>
    <n v="428000"/>
    <m/>
    <x v="717"/>
    <x v="2"/>
    <x v="11"/>
  </r>
  <r>
    <x v="0"/>
    <m/>
    <m/>
    <m/>
    <m/>
    <m/>
    <x v="718"/>
    <x v="2"/>
    <x v="11"/>
  </r>
  <r>
    <x v="1"/>
    <m/>
    <m/>
    <m/>
    <m/>
    <m/>
    <x v="718"/>
    <x v="2"/>
    <x v="11"/>
  </r>
  <r>
    <x v="2"/>
    <m/>
    <m/>
    <m/>
    <m/>
    <m/>
    <x v="718"/>
    <x v="2"/>
    <x v="11"/>
  </r>
  <r>
    <x v="3"/>
    <m/>
    <m/>
    <m/>
    <m/>
    <m/>
    <x v="718"/>
    <x v="2"/>
    <x v="11"/>
  </r>
  <r>
    <x v="4"/>
    <m/>
    <m/>
    <m/>
    <m/>
    <m/>
    <x v="718"/>
    <x v="2"/>
    <x v="11"/>
  </r>
  <r>
    <x v="5"/>
    <n v="1184000"/>
    <m/>
    <m/>
    <m/>
    <m/>
    <x v="718"/>
    <x v="2"/>
    <x v="11"/>
  </r>
  <r>
    <x v="14"/>
    <m/>
    <m/>
    <m/>
    <m/>
    <m/>
    <x v="718"/>
    <x v="2"/>
    <x v="11"/>
  </r>
  <r>
    <x v="6"/>
    <m/>
    <m/>
    <m/>
    <m/>
    <m/>
    <x v="718"/>
    <x v="2"/>
    <x v="11"/>
  </r>
  <r>
    <x v="7"/>
    <m/>
    <m/>
    <m/>
    <m/>
    <m/>
    <x v="718"/>
    <x v="2"/>
    <x v="11"/>
  </r>
  <r>
    <x v="15"/>
    <m/>
    <m/>
    <m/>
    <m/>
    <m/>
    <x v="718"/>
    <x v="2"/>
    <x v="11"/>
  </r>
  <r>
    <x v="8"/>
    <n v="162000"/>
    <n v="324000"/>
    <n v="54000"/>
    <m/>
    <m/>
    <x v="718"/>
    <x v="2"/>
    <x v="11"/>
  </r>
  <r>
    <x v="9"/>
    <n v="918000"/>
    <n v="207000"/>
    <n v="378000"/>
    <m/>
    <m/>
    <x v="718"/>
    <x v="2"/>
    <x v="11"/>
  </r>
  <r>
    <x v="10"/>
    <m/>
    <m/>
    <m/>
    <m/>
    <m/>
    <x v="718"/>
    <x v="2"/>
    <x v="11"/>
  </r>
  <r>
    <x v="11"/>
    <m/>
    <n v="54000"/>
    <m/>
    <m/>
    <m/>
    <x v="718"/>
    <x v="2"/>
    <x v="11"/>
  </r>
  <r>
    <x v="16"/>
    <m/>
    <m/>
    <m/>
    <m/>
    <m/>
    <x v="718"/>
    <x v="2"/>
    <x v="11"/>
  </r>
  <r>
    <x v="17"/>
    <n v="108000"/>
    <m/>
    <m/>
    <m/>
    <m/>
    <x v="718"/>
    <x v="2"/>
    <x v="11"/>
  </r>
  <r>
    <x v="12"/>
    <m/>
    <m/>
    <m/>
    <m/>
    <m/>
    <x v="718"/>
    <x v="2"/>
    <x v="11"/>
  </r>
  <r>
    <x v="13"/>
    <m/>
    <n v="378000"/>
    <m/>
    <n v="54000"/>
    <m/>
    <x v="718"/>
    <x v="2"/>
    <x v="11"/>
  </r>
  <r>
    <x v="0"/>
    <m/>
    <m/>
    <m/>
    <m/>
    <m/>
    <x v="719"/>
    <x v="2"/>
    <x v="11"/>
  </r>
  <r>
    <x v="1"/>
    <m/>
    <m/>
    <m/>
    <m/>
    <m/>
    <x v="719"/>
    <x v="2"/>
    <x v="11"/>
  </r>
  <r>
    <x v="2"/>
    <m/>
    <m/>
    <m/>
    <m/>
    <m/>
    <x v="719"/>
    <x v="2"/>
    <x v="11"/>
  </r>
  <r>
    <x v="3"/>
    <m/>
    <m/>
    <m/>
    <m/>
    <m/>
    <x v="719"/>
    <x v="2"/>
    <x v="11"/>
  </r>
  <r>
    <x v="4"/>
    <m/>
    <n v="216000"/>
    <m/>
    <m/>
    <m/>
    <x v="719"/>
    <x v="2"/>
    <x v="11"/>
  </r>
  <r>
    <x v="5"/>
    <n v="644000"/>
    <m/>
    <m/>
    <m/>
    <m/>
    <x v="719"/>
    <x v="2"/>
    <x v="11"/>
  </r>
  <r>
    <x v="14"/>
    <m/>
    <m/>
    <m/>
    <m/>
    <m/>
    <x v="719"/>
    <x v="2"/>
    <x v="11"/>
  </r>
  <r>
    <x v="6"/>
    <m/>
    <m/>
    <m/>
    <m/>
    <m/>
    <x v="719"/>
    <x v="2"/>
    <x v="11"/>
  </r>
  <r>
    <x v="7"/>
    <m/>
    <m/>
    <m/>
    <m/>
    <m/>
    <x v="719"/>
    <x v="2"/>
    <x v="11"/>
  </r>
  <r>
    <x v="15"/>
    <m/>
    <m/>
    <m/>
    <m/>
    <m/>
    <x v="719"/>
    <x v="2"/>
    <x v="11"/>
  </r>
  <r>
    <x v="8"/>
    <n v="594000"/>
    <n v="432000"/>
    <n v="378000"/>
    <m/>
    <m/>
    <x v="719"/>
    <x v="2"/>
    <x v="11"/>
  </r>
  <r>
    <x v="9"/>
    <n v="644000"/>
    <n v="270000"/>
    <n v="266000"/>
    <n v="216000"/>
    <m/>
    <x v="719"/>
    <x v="2"/>
    <x v="11"/>
  </r>
  <r>
    <x v="10"/>
    <m/>
    <m/>
    <m/>
    <m/>
    <m/>
    <x v="719"/>
    <x v="2"/>
    <x v="11"/>
  </r>
  <r>
    <x v="11"/>
    <m/>
    <n v="54000"/>
    <m/>
    <m/>
    <m/>
    <x v="719"/>
    <x v="2"/>
    <x v="11"/>
  </r>
  <r>
    <x v="16"/>
    <m/>
    <m/>
    <m/>
    <m/>
    <m/>
    <x v="719"/>
    <x v="2"/>
    <x v="11"/>
  </r>
  <r>
    <x v="17"/>
    <m/>
    <m/>
    <m/>
    <m/>
    <m/>
    <x v="719"/>
    <x v="2"/>
    <x v="11"/>
  </r>
  <r>
    <x v="12"/>
    <m/>
    <m/>
    <m/>
    <m/>
    <m/>
    <x v="719"/>
    <x v="2"/>
    <x v="11"/>
  </r>
  <r>
    <x v="13"/>
    <m/>
    <n v="162000"/>
    <m/>
    <m/>
    <m/>
    <x v="719"/>
    <x v="2"/>
    <x v="11"/>
  </r>
  <r>
    <x v="0"/>
    <m/>
    <m/>
    <m/>
    <m/>
    <m/>
    <x v="720"/>
    <x v="2"/>
    <x v="11"/>
  </r>
  <r>
    <x v="1"/>
    <m/>
    <m/>
    <m/>
    <m/>
    <m/>
    <x v="720"/>
    <x v="2"/>
    <x v="11"/>
  </r>
  <r>
    <x v="2"/>
    <m/>
    <m/>
    <m/>
    <m/>
    <m/>
    <x v="720"/>
    <x v="2"/>
    <x v="11"/>
  </r>
  <r>
    <x v="3"/>
    <n v="324000"/>
    <m/>
    <m/>
    <m/>
    <m/>
    <x v="720"/>
    <x v="2"/>
    <x v="11"/>
  </r>
  <r>
    <x v="4"/>
    <m/>
    <m/>
    <m/>
    <m/>
    <m/>
    <x v="720"/>
    <x v="2"/>
    <x v="11"/>
  </r>
  <r>
    <x v="5"/>
    <m/>
    <n v="810000"/>
    <m/>
    <m/>
    <m/>
    <x v="720"/>
    <x v="2"/>
    <x v="11"/>
  </r>
  <r>
    <x v="14"/>
    <m/>
    <m/>
    <m/>
    <m/>
    <m/>
    <x v="720"/>
    <x v="2"/>
    <x v="11"/>
  </r>
  <r>
    <x v="6"/>
    <m/>
    <n v="50000"/>
    <m/>
    <m/>
    <m/>
    <x v="720"/>
    <x v="2"/>
    <x v="11"/>
  </r>
  <r>
    <x v="7"/>
    <m/>
    <m/>
    <m/>
    <m/>
    <m/>
    <x v="720"/>
    <x v="2"/>
    <x v="11"/>
  </r>
  <r>
    <x v="15"/>
    <m/>
    <m/>
    <m/>
    <m/>
    <m/>
    <x v="720"/>
    <x v="2"/>
    <x v="11"/>
  </r>
  <r>
    <x v="8"/>
    <n v="540000"/>
    <m/>
    <n v="810000"/>
    <m/>
    <m/>
    <x v="720"/>
    <x v="2"/>
    <x v="11"/>
  </r>
  <r>
    <x v="9"/>
    <n v="594000"/>
    <m/>
    <n v="45000"/>
    <m/>
    <m/>
    <x v="720"/>
    <x v="2"/>
    <x v="11"/>
  </r>
  <r>
    <x v="10"/>
    <m/>
    <m/>
    <m/>
    <m/>
    <m/>
    <x v="720"/>
    <x v="2"/>
    <x v="11"/>
  </r>
  <r>
    <x v="11"/>
    <m/>
    <m/>
    <m/>
    <m/>
    <m/>
    <x v="720"/>
    <x v="2"/>
    <x v="11"/>
  </r>
  <r>
    <x v="16"/>
    <m/>
    <m/>
    <m/>
    <m/>
    <m/>
    <x v="720"/>
    <x v="2"/>
    <x v="11"/>
  </r>
  <r>
    <x v="17"/>
    <m/>
    <m/>
    <m/>
    <m/>
    <m/>
    <x v="720"/>
    <x v="2"/>
    <x v="11"/>
  </r>
  <r>
    <x v="12"/>
    <m/>
    <m/>
    <m/>
    <m/>
    <m/>
    <x v="720"/>
    <x v="2"/>
    <x v="11"/>
  </r>
  <r>
    <x v="13"/>
    <m/>
    <n v="378000"/>
    <m/>
    <m/>
    <m/>
    <x v="720"/>
    <x v="2"/>
    <x v="11"/>
  </r>
  <r>
    <x v="0"/>
    <m/>
    <m/>
    <m/>
    <m/>
    <m/>
    <x v="721"/>
    <x v="2"/>
    <x v="11"/>
  </r>
  <r>
    <x v="1"/>
    <m/>
    <m/>
    <m/>
    <m/>
    <m/>
    <x v="721"/>
    <x v="2"/>
    <x v="11"/>
  </r>
  <r>
    <x v="2"/>
    <m/>
    <m/>
    <m/>
    <m/>
    <m/>
    <x v="721"/>
    <x v="2"/>
    <x v="11"/>
  </r>
  <r>
    <x v="3"/>
    <n v="1350000"/>
    <m/>
    <m/>
    <m/>
    <m/>
    <x v="721"/>
    <x v="2"/>
    <x v="11"/>
  </r>
  <r>
    <x v="4"/>
    <m/>
    <m/>
    <m/>
    <m/>
    <m/>
    <x v="721"/>
    <x v="2"/>
    <x v="11"/>
  </r>
  <r>
    <x v="5"/>
    <m/>
    <n v="373500"/>
    <n v="298000"/>
    <m/>
    <m/>
    <x v="721"/>
    <x v="2"/>
    <x v="11"/>
  </r>
  <r>
    <x v="14"/>
    <m/>
    <m/>
    <m/>
    <m/>
    <m/>
    <x v="721"/>
    <x v="2"/>
    <x v="11"/>
  </r>
  <r>
    <x v="6"/>
    <m/>
    <m/>
    <m/>
    <m/>
    <m/>
    <x v="721"/>
    <x v="2"/>
    <x v="11"/>
  </r>
  <r>
    <x v="7"/>
    <m/>
    <m/>
    <m/>
    <m/>
    <m/>
    <x v="721"/>
    <x v="2"/>
    <x v="11"/>
  </r>
  <r>
    <x v="15"/>
    <m/>
    <m/>
    <m/>
    <m/>
    <m/>
    <x v="721"/>
    <x v="2"/>
    <x v="11"/>
  </r>
  <r>
    <x v="8"/>
    <n v="162000"/>
    <m/>
    <n v="216000"/>
    <m/>
    <m/>
    <x v="721"/>
    <x v="2"/>
    <x v="11"/>
  </r>
  <r>
    <x v="9"/>
    <n v="108000"/>
    <n v="216000"/>
    <n v="162000"/>
    <m/>
    <m/>
    <x v="721"/>
    <x v="2"/>
    <x v="11"/>
  </r>
  <r>
    <x v="10"/>
    <m/>
    <m/>
    <m/>
    <m/>
    <m/>
    <x v="721"/>
    <x v="2"/>
    <x v="11"/>
  </r>
  <r>
    <x v="11"/>
    <m/>
    <n v="162000"/>
    <m/>
    <m/>
    <m/>
    <x v="721"/>
    <x v="2"/>
    <x v="11"/>
  </r>
  <r>
    <x v="16"/>
    <m/>
    <m/>
    <m/>
    <m/>
    <m/>
    <x v="721"/>
    <x v="2"/>
    <x v="11"/>
  </r>
  <r>
    <x v="17"/>
    <m/>
    <m/>
    <m/>
    <m/>
    <m/>
    <x v="721"/>
    <x v="2"/>
    <x v="11"/>
  </r>
  <r>
    <x v="12"/>
    <m/>
    <m/>
    <m/>
    <m/>
    <m/>
    <x v="721"/>
    <x v="2"/>
    <x v="11"/>
  </r>
  <r>
    <x v="13"/>
    <m/>
    <n v="108000"/>
    <m/>
    <m/>
    <m/>
    <x v="721"/>
    <x v="2"/>
    <x v="11"/>
  </r>
  <r>
    <x v="0"/>
    <m/>
    <m/>
    <m/>
    <m/>
    <m/>
    <x v="722"/>
    <x v="2"/>
    <x v="11"/>
  </r>
  <r>
    <x v="1"/>
    <m/>
    <m/>
    <m/>
    <m/>
    <m/>
    <x v="722"/>
    <x v="2"/>
    <x v="11"/>
  </r>
  <r>
    <x v="2"/>
    <m/>
    <m/>
    <m/>
    <m/>
    <m/>
    <x v="722"/>
    <x v="2"/>
    <x v="11"/>
  </r>
  <r>
    <x v="3"/>
    <n v="324000"/>
    <m/>
    <m/>
    <m/>
    <m/>
    <x v="722"/>
    <x v="2"/>
    <x v="11"/>
  </r>
  <r>
    <x v="4"/>
    <m/>
    <m/>
    <m/>
    <m/>
    <m/>
    <x v="722"/>
    <x v="2"/>
    <x v="11"/>
  </r>
  <r>
    <x v="5"/>
    <m/>
    <n v="162000"/>
    <n v="212000"/>
    <m/>
    <m/>
    <x v="722"/>
    <x v="2"/>
    <x v="11"/>
  </r>
  <r>
    <x v="14"/>
    <m/>
    <m/>
    <m/>
    <m/>
    <m/>
    <x v="722"/>
    <x v="2"/>
    <x v="11"/>
  </r>
  <r>
    <x v="6"/>
    <m/>
    <m/>
    <m/>
    <m/>
    <m/>
    <x v="722"/>
    <x v="2"/>
    <x v="11"/>
  </r>
  <r>
    <x v="7"/>
    <m/>
    <m/>
    <m/>
    <m/>
    <m/>
    <x v="722"/>
    <x v="2"/>
    <x v="11"/>
  </r>
  <r>
    <x v="15"/>
    <m/>
    <m/>
    <m/>
    <m/>
    <m/>
    <x v="722"/>
    <x v="2"/>
    <x v="11"/>
  </r>
  <r>
    <x v="8"/>
    <n v="486000"/>
    <n v="216000"/>
    <m/>
    <m/>
    <m/>
    <x v="722"/>
    <x v="2"/>
    <x v="11"/>
  </r>
  <r>
    <x v="9"/>
    <n v="698000"/>
    <n v="54000"/>
    <n v="149000"/>
    <m/>
    <m/>
    <x v="722"/>
    <x v="2"/>
    <x v="11"/>
  </r>
  <r>
    <x v="10"/>
    <m/>
    <m/>
    <m/>
    <m/>
    <m/>
    <x v="722"/>
    <x v="2"/>
    <x v="11"/>
  </r>
  <r>
    <x v="11"/>
    <m/>
    <n v="108000"/>
    <m/>
    <m/>
    <m/>
    <x v="722"/>
    <x v="2"/>
    <x v="11"/>
  </r>
  <r>
    <x v="16"/>
    <m/>
    <m/>
    <m/>
    <m/>
    <m/>
    <x v="722"/>
    <x v="2"/>
    <x v="11"/>
  </r>
  <r>
    <x v="17"/>
    <m/>
    <m/>
    <m/>
    <m/>
    <m/>
    <x v="722"/>
    <x v="2"/>
    <x v="11"/>
  </r>
  <r>
    <x v="12"/>
    <m/>
    <m/>
    <m/>
    <m/>
    <m/>
    <x v="722"/>
    <x v="2"/>
    <x v="11"/>
  </r>
  <r>
    <x v="13"/>
    <m/>
    <n v="540000"/>
    <m/>
    <m/>
    <m/>
    <x v="722"/>
    <x v="2"/>
    <x v="11"/>
  </r>
  <r>
    <x v="0"/>
    <m/>
    <m/>
    <m/>
    <m/>
    <m/>
    <x v="723"/>
    <x v="2"/>
    <x v="11"/>
  </r>
  <r>
    <x v="1"/>
    <m/>
    <m/>
    <m/>
    <m/>
    <m/>
    <x v="723"/>
    <x v="2"/>
    <x v="11"/>
  </r>
  <r>
    <x v="2"/>
    <m/>
    <m/>
    <m/>
    <m/>
    <m/>
    <x v="723"/>
    <x v="2"/>
    <x v="11"/>
  </r>
  <r>
    <x v="3"/>
    <m/>
    <m/>
    <m/>
    <m/>
    <m/>
    <x v="723"/>
    <x v="2"/>
    <x v="11"/>
  </r>
  <r>
    <x v="4"/>
    <m/>
    <m/>
    <m/>
    <m/>
    <m/>
    <x v="723"/>
    <x v="2"/>
    <x v="11"/>
  </r>
  <r>
    <x v="5"/>
    <m/>
    <n v="540000"/>
    <m/>
    <m/>
    <m/>
    <x v="723"/>
    <x v="2"/>
    <x v="11"/>
  </r>
  <r>
    <x v="14"/>
    <m/>
    <m/>
    <m/>
    <m/>
    <m/>
    <x v="723"/>
    <x v="2"/>
    <x v="11"/>
  </r>
  <r>
    <x v="6"/>
    <m/>
    <m/>
    <m/>
    <m/>
    <m/>
    <x v="723"/>
    <x v="2"/>
    <x v="11"/>
  </r>
  <r>
    <x v="7"/>
    <m/>
    <m/>
    <m/>
    <m/>
    <m/>
    <x v="723"/>
    <x v="2"/>
    <x v="11"/>
  </r>
  <r>
    <x v="15"/>
    <m/>
    <m/>
    <m/>
    <m/>
    <m/>
    <x v="723"/>
    <x v="2"/>
    <x v="11"/>
  </r>
  <r>
    <x v="8"/>
    <m/>
    <n v="639000"/>
    <m/>
    <m/>
    <m/>
    <x v="723"/>
    <x v="2"/>
    <x v="11"/>
  </r>
  <r>
    <x v="9"/>
    <n v="1856000"/>
    <n v="317500"/>
    <m/>
    <m/>
    <m/>
    <x v="723"/>
    <x v="2"/>
    <x v="11"/>
  </r>
  <r>
    <x v="10"/>
    <m/>
    <m/>
    <m/>
    <m/>
    <m/>
    <x v="723"/>
    <x v="2"/>
    <x v="11"/>
  </r>
  <r>
    <x v="11"/>
    <m/>
    <m/>
    <m/>
    <m/>
    <m/>
    <x v="723"/>
    <x v="2"/>
    <x v="11"/>
  </r>
  <r>
    <x v="16"/>
    <m/>
    <m/>
    <m/>
    <m/>
    <m/>
    <x v="723"/>
    <x v="2"/>
    <x v="11"/>
  </r>
  <r>
    <x v="17"/>
    <m/>
    <m/>
    <m/>
    <m/>
    <m/>
    <x v="723"/>
    <x v="2"/>
    <x v="11"/>
  </r>
  <r>
    <x v="12"/>
    <m/>
    <m/>
    <m/>
    <m/>
    <m/>
    <x v="723"/>
    <x v="2"/>
    <x v="11"/>
  </r>
  <r>
    <x v="13"/>
    <m/>
    <n v="216000"/>
    <m/>
    <m/>
    <m/>
    <x v="723"/>
    <x v="2"/>
    <x v="11"/>
  </r>
  <r>
    <x v="0"/>
    <m/>
    <m/>
    <m/>
    <m/>
    <m/>
    <x v="724"/>
    <x v="2"/>
    <x v="11"/>
  </r>
  <r>
    <x v="1"/>
    <m/>
    <m/>
    <m/>
    <m/>
    <m/>
    <x v="724"/>
    <x v="2"/>
    <x v="11"/>
  </r>
  <r>
    <x v="2"/>
    <m/>
    <m/>
    <m/>
    <m/>
    <m/>
    <x v="724"/>
    <x v="2"/>
    <x v="11"/>
  </r>
  <r>
    <x v="3"/>
    <m/>
    <m/>
    <m/>
    <m/>
    <m/>
    <x v="724"/>
    <x v="2"/>
    <x v="11"/>
  </r>
  <r>
    <x v="4"/>
    <m/>
    <m/>
    <m/>
    <m/>
    <m/>
    <x v="724"/>
    <x v="2"/>
    <x v="11"/>
  </r>
  <r>
    <x v="5"/>
    <n v="207000"/>
    <n v="590000"/>
    <m/>
    <m/>
    <m/>
    <x v="724"/>
    <x v="2"/>
    <x v="11"/>
  </r>
  <r>
    <x v="14"/>
    <m/>
    <n v="378000"/>
    <m/>
    <n v="54000"/>
    <m/>
    <x v="724"/>
    <x v="2"/>
    <x v="11"/>
  </r>
  <r>
    <x v="6"/>
    <m/>
    <m/>
    <m/>
    <m/>
    <m/>
    <x v="724"/>
    <x v="2"/>
    <x v="11"/>
  </r>
  <r>
    <x v="7"/>
    <m/>
    <m/>
    <m/>
    <m/>
    <m/>
    <x v="724"/>
    <x v="2"/>
    <x v="11"/>
  </r>
  <r>
    <x v="15"/>
    <m/>
    <m/>
    <m/>
    <m/>
    <m/>
    <x v="724"/>
    <x v="2"/>
    <x v="11"/>
  </r>
  <r>
    <x v="8"/>
    <m/>
    <m/>
    <m/>
    <m/>
    <m/>
    <x v="724"/>
    <x v="2"/>
    <x v="11"/>
  </r>
  <r>
    <x v="9"/>
    <n v="1508000"/>
    <n v="108000"/>
    <m/>
    <n v="54000"/>
    <m/>
    <x v="724"/>
    <x v="2"/>
    <x v="11"/>
  </r>
  <r>
    <x v="10"/>
    <m/>
    <m/>
    <m/>
    <m/>
    <m/>
    <x v="724"/>
    <x v="2"/>
    <x v="11"/>
  </r>
  <r>
    <x v="11"/>
    <m/>
    <n v="54000"/>
    <m/>
    <m/>
    <m/>
    <x v="724"/>
    <x v="2"/>
    <x v="11"/>
  </r>
  <r>
    <x v="16"/>
    <m/>
    <m/>
    <m/>
    <m/>
    <m/>
    <x v="724"/>
    <x v="2"/>
    <x v="11"/>
  </r>
  <r>
    <x v="17"/>
    <m/>
    <m/>
    <m/>
    <m/>
    <m/>
    <x v="724"/>
    <x v="2"/>
    <x v="11"/>
  </r>
  <r>
    <x v="12"/>
    <m/>
    <m/>
    <m/>
    <m/>
    <m/>
    <x v="724"/>
    <x v="2"/>
    <x v="11"/>
  </r>
  <r>
    <x v="13"/>
    <m/>
    <n v="54000"/>
    <m/>
    <m/>
    <m/>
    <x v="724"/>
    <x v="2"/>
    <x v="11"/>
  </r>
  <r>
    <x v="0"/>
    <m/>
    <m/>
    <m/>
    <m/>
    <m/>
    <x v="725"/>
    <x v="2"/>
    <x v="11"/>
  </r>
  <r>
    <x v="1"/>
    <m/>
    <m/>
    <m/>
    <m/>
    <m/>
    <x v="725"/>
    <x v="2"/>
    <x v="11"/>
  </r>
  <r>
    <x v="2"/>
    <m/>
    <m/>
    <m/>
    <m/>
    <m/>
    <x v="725"/>
    <x v="2"/>
    <x v="11"/>
  </r>
  <r>
    <x v="3"/>
    <n v="216000"/>
    <m/>
    <m/>
    <m/>
    <m/>
    <x v="725"/>
    <x v="2"/>
    <x v="11"/>
  </r>
  <r>
    <x v="4"/>
    <m/>
    <m/>
    <m/>
    <m/>
    <m/>
    <x v="725"/>
    <x v="2"/>
    <x v="11"/>
  </r>
  <r>
    <x v="5"/>
    <m/>
    <n v="108000"/>
    <n v="54000"/>
    <m/>
    <m/>
    <x v="725"/>
    <x v="2"/>
    <x v="11"/>
  </r>
  <r>
    <x v="14"/>
    <n v="108000"/>
    <n v="162000"/>
    <m/>
    <n v="324000"/>
    <m/>
    <x v="725"/>
    <x v="2"/>
    <x v="11"/>
  </r>
  <r>
    <x v="6"/>
    <n v="902000"/>
    <n v="54000"/>
    <n v="270000"/>
    <m/>
    <m/>
    <x v="725"/>
    <x v="2"/>
    <x v="11"/>
  </r>
  <r>
    <x v="7"/>
    <m/>
    <m/>
    <m/>
    <m/>
    <m/>
    <x v="725"/>
    <x v="2"/>
    <x v="11"/>
  </r>
  <r>
    <x v="15"/>
    <m/>
    <m/>
    <m/>
    <m/>
    <m/>
    <x v="725"/>
    <x v="2"/>
    <x v="11"/>
  </r>
  <r>
    <x v="8"/>
    <m/>
    <m/>
    <m/>
    <m/>
    <m/>
    <x v="725"/>
    <x v="2"/>
    <x v="11"/>
  </r>
  <r>
    <x v="9"/>
    <n v="639000"/>
    <n v="211500"/>
    <m/>
    <m/>
    <m/>
    <x v="725"/>
    <x v="2"/>
    <x v="11"/>
  </r>
  <r>
    <x v="10"/>
    <m/>
    <m/>
    <m/>
    <m/>
    <m/>
    <x v="725"/>
    <x v="2"/>
    <x v="11"/>
  </r>
  <r>
    <x v="11"/>
    <m/>
    <n v="54000"/>
    <m/>
    <m/>
    <m/>
    <x v="725"/>
    <x v="2"/>
    <x v="11"/>
  </r>
  <r>
    <x v="16"/>
    <m/>
    <m/>
    <m/>
    <m/>
    <m/>
    <x v="725"/>
    <x v="2"/>
    <x v="11"/>
  </r>
  <r>
    <x v="17"/>
    <m/>
    <m/>
    <m/>
    <m/>
    <m/>
    <x v="725"/>
    <x v="2"/>
    <x v="11"/>
  </r>
  <r>
    <x v="12"/>
    <m/>
    <m/>
    <m/>
    <m/>
    <m/>
    <x v="725"/>
    <x v="2"/>
    <x v="11"/>
  </r>
  <r>
    <x v="13"/>
    <m/>
    <n v="158000"/>
    <m/>
    <m/>
    <m/>
    <x v="725"/>
    <x v="2"/>
    <x v="11"/>
  </r>
  <r>
    <x v="0"/>
    <m/>
    <m/>
    <m/>
    <m/>
    <m/>
    <x v="726"/>
    <x v="2"/>
    <x v="11"/>
  </r>
  <r>
    <x v="1"/>
    <m/>
    <m/>
    <m/>
    <m/>
    <m/>
    <x v="726"/>
    <x v="2"/>
    <x v="11"/>
  </r>
  <r>
    <x v="2"/>
    <n v="162000"/>
    <m/>
    <m/>
    <m/>
    <m/>
    <x v="726"/>
    <x v="2"/>
    <x v="11"/>
  </r>
  <r>
    <x v="3"/>
    <n v="1242000"/>
    <m/>
    <n v="324000"/>
    <m/>
    <m/>
    <x v="726"/>
    <x v="2"/>
    <x v="11"/>
  </r>
  <r>
    <x v="4"/>
    <m/>
    <m/>
    <m/>
    <m/>
    <m/>
    <x v="726"/>
    <x v="2"/>
    <x v="11"/>
  </r>
  <r>
    <x v="5"/>
    <m/>
    <n v="270000"/>
    <m/>
    <m/>
    <m/>
    <x v="726"/>
    <x v="2"/>
    <x v="11"/>
  </r>
  <r>
    <x v="14"/>
    <m/>
    <n v="216000"/>
    <m/>
    <n v="432000"/>
    <m/>
    <x v="726"/>
    <x v="2"/>
    <x v="11"/>
  </r>
  <r>
    <x v="6"/>
    <m/>
    <n v="216000"/>
    <m/>
    <m/>
    <m/>
    <x v="726"/>
    <x v="2"/>
    <x v="11"/>
  </r>
  <r>
    <x v="7"/>
    <m/>
    <m/>
    <m/>
    <m/>
    <m/>
    <x v="726"/>
    <x v="2"/>
    <x v="11"/>
  </r>
  <r>
    <x v="15"/>
    <m/>
    <m/>
    <m/>
    <m/>
    <m/>
    <x v="726"/>
    <x v="2"/>
    <x v="11"/>
  </r>
  <r>
    <x v="8"/>
    <n v="54000"/>
    <n v="324000"/>
    <m/>
    <m/>
    <m/>
    <x v="726"/>
    <x v="2"/>
    <x v="11"/>
  </r>
  <r>
    <x v="9"/>
    <n v="864000"/>
    <n v="162000"/>
    <m/>
    <n v="199000"/>
    <m/>
    <x v="726"/>
    <x v="2"/>
    <x v="11"/>
  </r>
  <r>
    <x v="10"/>
    <m/>
    <m/>
    <m/>
    <m/>
    <m/>
    <x v="726"/>
    <x v="2"/>
    <x v="11"/>
  </r>
  <r>
    <x v="11"/>
    <m/>
    <m/>
    <m/>
    <m/>
    <m/>
    <x v="726"/>
    <x v="2"/>
    <x v="11"/>
  </r>
  <r>
    <x v="16"/>
    <m/>
    <m/>
    <m/>
    <m/>
    <m/>
    <x v="726"/>
    <x v="2"/>
    <x v="11"/>
  </r>
  <r>
    <x v="17"/>
    <m/>
    <m/>
    <m/>
    <m/>
    <m/>
    <x v="726"/>
    <x v="2"/>
    <x v="11"/>
  </r>
  <r>
    <x v="12"/>
    <m/>
    <m/>
    <m/>
    <m/>
    <m/>
    <x v="726"/>
    <x v="2"/>
    <x v="11"/>
  </r>
  <r>
    <x v="13"/>
    <m/>
    <n v="108000"/>
    <m/>
    <m/>
    <m/>
    <x v="726"/>
    <x v="2"/>
    <x v="11"/>
  </r>
  <r>
    <x v="0"/>
    <m/>
    <m/>
    <m/>
    <m/>
    <m/>
    <x v="727"/>
    <x v="2"/>
    <x v="11"/>
  </r>
  <r>
    <x v="1"/>
    <m/>
    <m/>
    <m/>
    <m/>
    <m/>
    <x v="727"/>
    <x v="2"/>
    <x v="11"/>
  </r>
  <r>
    <x v="2"/>
    <m/>
    <m/>
    <m/>
    <m/>
    <m/>
    <x v="727"/>
    <x v="2"/>
    <x v="11"/>
  </r>
  <r>
    <x v="3"/>
    <n v="54000"/>
    <m/>
    <m/>
    <m/>
    <m/>
    <x v="727"/>
    <x v="2"/>
    <x v="11"/>
  </r>
  <r>
    <x v="4"/>
    <m/>
    <m/>
    <m/>
    <m/>
    <m/>
    <x v="727"/>
    <x v="2"/>
    <x v="11"/>
  </r>
  <r>
    <x v="5"/>
    <m/>
    <n v="324000"/>
    <m/>
    <m/>
    <m/>
    <x v="727"/>
    <x v="2"/>
    <x v="11"/>
  </r>
  <r>
    <x v="14"/>
    <n v="54000"/>
    <n v="162000"/>
    <m/>
    <m/>
    <m/>
    <x v="727"/>
    <x v="2"/>
    <x v="11"/>
  </r>
  <r>
    <x v="6"/>
    <n v="95000"/>
    <n v="162000"/>
    <m/>
    <m/>
    <m/>
    <x v="727"/>
    <x v="2"/>
    <x v="11"/>
  </r>
  <r>
    <x v="7"/>
    <m/>
    <m/>
    <m/>
    <m/>
    <m/>
    <x v="727"/>
    <x v="2"/>
    <x v="11"/>
  </r>
  <r>
    <x v="15"/>
    <m/>
    <m/>
    <m/>
    <m/>
    <m/>
    <x v="727"/>
    <x v="2"/>
    <x v="11"/>
  </r>
  <r>
    <x v="8"/>
    <n v="918000"/>
    <n v="405000"/>
    <m/>
    <m/>
    <m/>
    <x v="727"/>
    <x v="2"/>
    <x v="11"/>
  </r>
  <r>
    <x v="9"/>
    <n v="324000"/>
    <n v="540000"/>
    <m/>
    <n v="644000"/>
    <m/>
    <x v="727"/>
    <x v="2"/>
    <x v="11"/>
  </r>
  <r>
    <x v="10"/>
    <m/>
    <m/>
    <m/>
    <m/>
    <m/>
    <x v="727"/>
    <x v="2"/>
    <x v="11"/>
  </r>
  <r>
    <x v="11"/>
    <n v="216000"/>
    <n v="54000"/>
    <m/>
    <m/>
    <m/>
    <x v="727"/>
    <x v="2"/>
    <x v="11"/>
  </r>
  <r>
    <x v="16"/>
    <m/>
    <m/>
    <m/>
    <m/>
    <m/>
    <x v="727"/>
    <x v="2"/>
    <x v="11"/>
  </r>
  <r>
    <x v="17"/>
    <m/>
    <m/>
    <m/>
    <m/>
    <m/>
    <x v="727"/>
    <x v="2"/>
    <x v="11"/>
  </r>
  <r>
    <x v="12"/>
    <m/>
    <m/>
    <m/>
    <m/>
    <m/>
    <x v="727"/>
    <x v="2"/>
    <x v="11"/>
  </r>
  <r>
    <x v="13"/>
    <m/>
    <n v="162000"/>
    <m/>
    <m/>
    <m/>
    <x v="727"/>
    <x v="2"/>
    <x v="11"/>
  </r>
  <r>
    <x v="0"/>
    <m/>
    <m/>
    <m/>
    <m/>
    <m/>
    <x v="728"/>
    <x v="2"/>
    <x v="11"/>
  </r>
  <r>
    <x v="1"/>
    <m/>
    <m/>
    <m/>
    <m/>
    <m/>
    <x v="728"/>
    <x v="2"/>
    <x v="11"/>
  </r>
  <r>
    <x v="2"/>
    <m/>
    <m/>
    <m/>
    <m/>
    <m/>
    <x v="728"/>
    <x v="2"/>
    <x v="11"/>
  </r>
  <r>
    <x v="3"/>
    <m/>
    <m/>
    <m/>
    <m/>
    <m/>
    <x v="728"/>
    <x v="2"/>
    <x v="11"/>
  </r>
  <r>
    <x v="4"/>
    <m/>
    <m/>
    <m/>
    <m/>
    <m/>
    <x v="728"/>
    <x v="2"/>
    <x v="11"/>
  </r>
  <r>
    <x v="5"/>
    <m/>
    <n v="317500"/>
    <m/>
    <m/>
    <m/>
    <x v="728"/>
    <x v="2"/>
    <x v="11"/>
  </r>
  <r>
    <x v="14"/>
    <m/>
    <n v="108000"/>
    <m/>
    <m/>
    <m/>
    <x v="728"/>
    <x v="2"/>
    <x v="11"/>
  </r>
  <r>
    <x v="6"/>
    <m/>
    <n v="270000"/>
    <m/>
    <m/>
    <m/>
    <x v="728"/>
    <x v="2"/>
    <x v="11"/>
  </r>
  <r>
    <x v="7"/>
    <m/>
    <m/>
    <m/>
    <m/>
    <m/>
    <x v="728"/>
    <x v="2"/>
    <x v="11"/>
  </r>
  <r>
    <x v="15"/>
    <m/>
    <m/>
    <m/>
    <m/>
    <m/>
    <x v="728"/>
    <x v="2"/>
    <x v="11"/>
  </r>
  <r>
    <x v="8"/>
    <m/>
    <n v="216000"/>
    <m/>
    <m/>
    <m/>
    <x v="728"/>
    <x v="2"/>
    <x v="11"/>
  </r>
  <r>
    <x v="9"/>
    <m/>
    <n v="536000"/>
    <m/>
    <n v="108000"/>
    <m/>
    <x v="728"/>
    <x v="2"/>
    <x v="11"/>
  </r>
  <r>
    <x v="10"/>
    <m/>
    <m/>
    <m/>
    <m/>
    <m/>
    <x v="728"/>
    <x v="2"/>
    <x v="11"/>
  </r>
  <r>
    <x v="11"/>
    <m/>
    <m/>
    <m/>
    <m/>
    <m/>
    <x v="728"/>
    <x v="2"/>
    <x v="11"/>
  </r>
  <r>
    <x v="16"/>
    <m/>
    <m/>
    <m/>
    <m/>
    <m/>
    <x v="728"/>
    <x v="2"/>
    <x v="11"/>
  </r>
  <r>
    <x v="17"/>
    <m/>
    <m/>
    <m/>
    <m/>
    <m/>
    <x v="728"/>
    <x v="2"/>
    <x v="11"/>
  </r>
  <r>
    <x v="12"/>
    <m/>
    <m/>
    <m/>
    <m/>
    <m/>
    <x v="728"/>
    <x v="2"/>
    <x v="11"/>
  </r>
  <r>
    <x v="13"/>
    <m/>
    <n v="266000"/>
    <m/>
    <m/>
    <m/>
    <x v="728"/>
    <x v="2"/>
    <x v="11"/>
  </r>
  <r>
    <x v="0"/>
    <m/>
    <m/>
    <m/>
    <m/>
    <m/>
    <x v="729"/>
    <x v="2"/>
    <x v="11"/>
  </r>
  <r>
    <x v="1"/>
    <m/>
    <m/>
    <m/>
    <m/>
    <m/>
    <x v="729"/>
    <x v="2"/>
    <x v="11"/>
  </r>
  <r>
    <x v="2"/>
    <m/>
    <m/>
    <m/>
    <m/>
    <m/>
    <x v="729"/>
    <x v="2"/>
    <x v="11"/>
  </r>
  <r>
    <x v="3"/>
    <m/>
    <m/>
    <m/>
    <m/>
    <m/>
    <x v="729"/>
    <x v="2"/>
    <x v="11"/>
  </r>
  <r>
    <x v="4"/>
    <m/>
    <m/>
    <m/>
    <m/>
    <m/>
    <x v="729"/>
    <x v="2"/>
    <x v="11"/>
  </r>
  <r>
    <x v="5"/>
    <m/>
    <n v="54000"/>
    <m/>
    <m/>
    <m/>
    <x v="729"/>
    <x v="2"/>
    <x v="11"/>
  </r>
  <r>
    <x v="14"/>
    <m/>
    <m/>
    <m/>
    <m/>
    <m/>
    <x v="729"/>
    <x v="2"/>
    <x v="11"/>
  </r>
  <r>
    <x v="6"/>
    <n v="297000"/>
    <n v="108000"/>
    <m/>
    <m/>
    <m/>
    <x v="729"/>
    <x v="2"/>
    <x v="11"/>
  </r>
  <r>
    <x v="7"/>
    <m/>
    <m/>
    <m/>
    <m/>
    <m/>
    <x v="729"/>
    <x v="2"/>
    <x v="11"/>
  </r>
  <r>
    <x v="15"/>
    <m/>
    <m/>
    <m/>
    <m/>
    <m/>
    <x v="729"/>
    <x v="2"/>
    <x v="11"/>
  </r>
  <r>
    <x v="8"/>
    <m/>
    <n v="324000"/>
    <m/>
    <m/>
    <m/>
    <x v="729"/>
    <x v="2"/>
    <x v="11"/>
  </r>
  <r>
    <x v="9"/>
    <n v="648000"/>
    <n v="756000"/>
    <m/>
    <m/>
    <m/>
    <x v="729"/>
    <x v="2"/>
    <x v="11"/>
  </r>
  <r>
    <x v="10"/>
    <m/>
    <m/>
    <m/>
    <m/>
    <m/>
    <x v="729"/>
    <x v="2"/>
    <x v="11"/>
  </r>
  <r>
    <x v="11"/>
    <m/>
    <m/>
    <m/>
    <m/>
    <m/>
    <x v="729"/>
    <x v="2"/>
    <x v="11"/>
  </r>
  <r>
    <x v="16"/>
    <m/>
    <m/>
    <m/>
    <m/>
    <m/>
    <x v="729"/>
    <x v="2"/>
    <x v="11"/>
  </r>
  <r>
    <x v="17"/>
    <m/>
    <m/>
    <m/>
    <m/>
    <m/>
    <x v="729"/>
    <x v="2"/>
    <x v="11"/>
  </r>
  <r>
    <x v="12"/>
    <m/>
    <m/>
    <m/>
    <m/>
    <m/>
    <x v="729"/>
    <x v="2"/>
    <x v="11"/>
  </r>
  <r>
    <x v="13"/>
    <m/>
    <m/>
    <m/>
    <m/>
    <m/>
    <x v="729"/>
    <x v="2"/>
    <x v="11"/>
  </r>
  <r>
    <x v="0"/>
    <m/>
    <m/>
    <m/>
    <m/>
    <m/>
    <x v="730"/>
    <x v="2"/>
    <x v="11"/>
  </r>
  <r>
    <x v="1"/>
    <m/>
    <m/>
    <m/>
    <m/>
    <m/>
    <x v="730"/>
    <x v="2"/>
    <x v="11"/>
  </r>
  <r>
    <x v="2"/>
    <m/>
    <m/>
    <m/>
    <m/>
    <m/>
    <x v="730"/>
    <x v="2"/>
    <x v="11"/>
  </r>
  <r>
    <x v="3"/>
    <m/>
    <m/>
    <m/>
    <m/>
    <m/>
    <x v="730"/>
    <x v="2"/>
    <x v="11"/>
  </r>
  <r>
    <x v="4"/>
    <m/>
    <m/>
    <m/>
    <m/>
    <m/>
    <x v="730"/>
    <x v="2"/>
    <x v="11"/>
  </r>
  <r>
    <x v="5"/>
    <m/>
    <m/>
    <m/>
    <m/>
    <m/>
    <x v="730"/>
    <x v="2"/>
    <x v="11"/>
  </r>
  <r>
    <x v="14"/>
    <m/>
    <n v="162000"/>
    <m/>
    <m/>
    <m/>
    <x v="730"/>
    <x v="2"/>
    <x v="11"/>
  </r>
  <r>
    <x v="6"/>
    <m/>
    <n v="162000"/>
    <m/>
    <m/>
    <m/>
    <x v="730"/>
    <x v="2"/>
    <x v="11"/>
  </r>
  <r>
    <x v="7"/>
    <m/>
    <m/>
    <m/>
    <m/>
    <m/>
    <x v="730"/>
    <x v="2"/>
    <x v="11"/>
  </r>
  <r>
    <x v="15"/>
    <m/>
    <m/>
    <m/>
    <m/>
    <m/>
    <x v="730"/>
    <x v="2"/>
    <x v="11"/>
  </r>
  <r>
    <x v="8"/>
    <m/>
    <n v="513000"/>
    <m/>
    <m/>
    <m/>
    <x v="730"/>
    <x v="2"/>
    <x v="11"/>
  </r>
  <r>
    <x v="9"/>
    <n v="918000"/>
    <n v="378000"/>
    <m/>
    <m/>
    <m/>
    <x v="730"/>
    <x v="2"/>
    <x v="11"/>
  </r>
  <r>
    <x v="10"/>
    <m/>
    <m/>
    <m/>
    <m/>
    <m/>
    <x v="730"/>
    <x v="2"/>
    <x v="11"/>
  </r>
  <r>
    <x v="11"/>
    <m/>
    <m/>
    <m/>
    <m/>
    <m/>
    <x v="730"/>
    <x v="2"/>
    <x v="11"/>
  </r>
  <r>
    <x v="16"/>
    <m/>
    <m/>
    <m/>
    <m/>
    <m/>
    <x v="730"/>
    <x v="2"/>
    <x v="11"/>
  </r>
  <r>
    <x v="17"/>
    <m/>
    <m/>
    <m/>
    <m/>
    <m/>
    <x v="730"/>
    <x v="2"/>
    <x v="11"/>
  </r>
  <r>
    <x v="12"/>
    <m/>
    <n v="162000"/>
    <m/>
    <m/>
    <m/>
    <x v="730"/>
    <x v="2"/>
    <x v="11"/>
  </r>
  <r>
    <x v="13"/>
    <m/>
    <m/>
    <m/>
    <m/>
    <m/>
    <x v="730"/>
    <x v="2"/>
    <x v="11"/>
  </r>
  <r>
    <x v="0"/>
    <m/>
    <m/>
    <m/>
    <m/>
    <m/>
    <x v="731"/>
    <x v="2"/>
    <x v="11"/>
  </r>
  <r>
    <x v="1"/>
    <m/>
    <m/>
    <m/>
    <m/>
    <m/>
    <x v="731"/>
    <x v="2"/>
    <x v="11"/>
  </r>
  <r>
    <x v="2"/>
    <m/>
    <m/>
    <m/>
    <m/>
    <m/>
    <x v="731"/>
    <x v="2"/>
    <x v="11"/>
  </r>
  <r>
    <x v="3"/>
    <m/>
    <m/>
    <m/>
    <m/>
    <m/>
    <x v="731"/>
    <x v="2"/>
    <x v="11"/>
  </r>
  <r>
    <x v="4"/>
    <m/>
    <m/>
    <m/>
    <m/>
    <m/>
    <x v="731"/>
    <x v="2"/>
    <x v="11"/>
  </r>
  <r>
    <x v="5"/>
    <m/>
    <m/>
    <m/>
    <m/>
    <m/>
    <x v="731"/>
    <x v="2"/>
    <x v="11"/>
  </r>
  <r>
    <x v="14"/>
    <m/>
    <n v="540000"/>
    <m/>
    <m/>
    <m/>
    <x v="731"/>
    <x v="2"/>
    <x v="11"/>
  </r>
  <r>
    <x v="6"/>
    <m/>
    <n v="104000"/>
    <m/>
    <m/>
    <m/>
    <x v="731"/>
    <x v="2"/>
    <x v="11"/>
  </r>
  <r>
    <x v="7"/>
    <m/>
    <m/>
    <m/>
    <m/>
    <m/>
    <x v="731"/>
    <x v="2"/>
    <x v="11"/>
  </r>
  <r>
    <x v="15"/>
    <m/>
    <m/>
    <m/>
    <m/>
    <m/>
    <x v="731"/>
    <x v="2"/>
    <x v="11"/>
  </r>
  <r>
    <x v="8"/>
    <m/>
    <m/>
    <m/>
    <m/>
    <m/>
    <x v="731"/>
    <x v="2"/>
    <x v="11"/>
  </r>
  <r>
    <x v="9"/>
    <n v="54000"/>
    <n v="970000"/>
    <m/>
    <n v="378000"/>
    <m/>
    <x v="731"/>
    <x v="2"/>
    <x v="11"/>
  </r>
  <r>
    <x v="10"/>
    <m/>
    <m/>
    <m/>
    <m/>
    <m/>
    <x v="731"/>
    <x v="2"/>
    <x v="11"/>
  </r>
  <r>
    <x v="11"/>
    <n v="315000"/>
    <m/>
    <m/>
    <m/>
    <m/>
    <x v="731"/>
    <x v="2"/>
    <x v="11"/>
  </r>
  <r>
    <x v="16"/>
    <m/>
    <m/>
    <m/>
    <m/>
    <m/>
    <x v="731"/>
    <x v="2"/>
    <x v="11"/>
  </r>
  <r>
    <x v="17"/>
    <m/>
    <m/>
    <m/>
    <m/>
    <m/>
    <x v="731"/>
    <x v="2"/>
    <x v="11"/>
  </r>
  <r>
    <x v="12"/>
    <m/>
    <n v="54000"/>
    <m/>
    <m/>
    <m/>
    <x v="731"/>
    <x v="2"/>
    <x v="11"/>
  </r>
  <r>
    <x v="13"/>
    <m/>
    <n v="54000"/>
    <m/>
    <m/>
    <m/>
    <x v="731"/>
    <x v="2"/>
    <x v="11"/>
  </r>
  <r>
    <x v="0"/>
    <m/>
    <m/>
    <m/>
    <m/>
    <m/>
    <x v="732"/>
    <x v="2"/>
    <x v="11"/>
  </r>
  <r>
    <x v="1"/>
    <m/>
    <m/>
    <m/>
    <m/>
    <m/>
    <x v="732"/>
    <x v="2"/>
    <x v="11"/>
  </r>
  <r>
    <x v="2"/>
    <m/>
    <m/>
    <m/>
    <m/>
    <m/>
    <x v="732"/>
    <x v="2"/>
    <x v="11"/>
  </r>
  <r>
    <x v="3"/>
    <m/>
    <m/>
    <m/>
    <m/>
    <m/>
    <x v="732"/>
    <x v="2"/>
    <x v="11"/>
  </r>
  <r>
    <x v="4"/>
    <m/>
    <m/>
    <m/>
    <m/>
    <m/>
    <x v="732"/>
    <x v="2"/>
    <x v="11"/>
  </r>
  <r>
    <x v="5"/>
    <m/>
    <m/>
    <m/>
    <m/>
    <m/>
    <x v="732"/>
    <x v="2"/>
    <x v="11"/>
  </r>
  <r>
    <x v="14"/>
    <n v="216000"/>
    <m/>
    <m/>
    <m/>
    <m/>
    <x v="732"/>
    <x v="2"/>
    <x v="11"/>
  </r>
  <r>
    <x v="6"/>
    <m/>
    <m/>
    <m/>
    <m/>
    <m/>
    <x v="732"/>
    <x v="2"/>
    <x v="11"/>
  </r>
  <r>
    <x v="7"/>
    <m/>
    <m/>
    <m/>
    <m/>
    <m/>
    <x v="732"/>
    <x v="2"/>
    <x v="11"/>
  </r>
  <r>
    <x v="15"/>
    <m/>
    <m/>
    <m/>
    <m/>
    <m/>
    <x v="732"/>
    <x v="2"/>
    <x v="11"/>
  </r>
  <r>
    <x v="8"/>
    <m/>
    <m/>
    <m/>
    <m/>
    <m/>
    <x v="732"/>
    <x v="2"/>
    <x v="11"/>
  </r>
  <r>
    <x v="9"/>
    <n v="752000"/>
    <m/>
    <n v="590000"/>
    <m/>
    <m/>
    <x v="732"/>
    <x v="2"/>
    <x v="11"/>
  </r>
  <r>
    <x v="10"/>
    <m/>
    <m/>
    <m/>
    <m/>
    <m/>
    <x v="732"/>
    <x v="2"/>
    <x v="11"/>
  </r>
  <r>
    <x v="11"/>
    <m/>
    <m/>
    <m/>
    <m/>
    <m/>
    <x v="732"/>
    <x v="2"/>
    <x v="11"/>
  </r>
  <r>
    <x v="16"/>
    <m/>
    <m/>
    <m/>
    <m/>
    <m/>
    <x v="732"/>
    <x v="2"/>
    <x v="11"/>
  </r>
  <r>
    <x v="17"/>
    <m/>
    <m/>
    <m/>
    <m/>
    <m/>
    <x v="732"/>
    <x v="2"/>
    <x v="11"/>
  </r>
  <r>
    <x v="12"/>
    <m/>
    <m/>
    <m/>
    <m/>
    <m/>
    <x v="732"/>
    <x v="2"/>
    <x v="11"/>
  </r>
  <r>
    <x v="13"/>
    <n v="108000"/>
    <m/>
    <m/>
    <m/>
    <m/>
    <x v="732"/>
    <x v="2"/>
    <x v="11"/>
  </r>
  <r>
    <x v="0"/>
    <m/>
    <m/>
    <m/>
    <m/>
    <m/>
    <x v="733"/>
    <x v="3"/>
    <x v="0"/>
  </r>
  <r>
    <x v="1"/>
    <m/>
    <m/>
    <m/>
    <m/>
    <m/>
    <x v="733"/>
    <x v="3"/>
    <x v="0"/>
  </r>
  <r>
    <x v="2"/>
    <m/>
    <m/>
    <m/>
    <m/>
    <m/>
    <x v="733"/>
    <x v="3"/>
    <x v="0"/>
  </r>
  <r>
    <x v="3"/>
    <m/>
    <m/>
    <m/>
    <m/>
    <m/>
    <x v="733"/>
    <x v="3"/>
    <x v="0"/>
  </r>
  <r>
    <x v="4"/>
    <m/>
    <m/>
    <m/>
    <m/>
    <m/>
    <x v="733"/>
    <x v="3"/>
    <x v="0"/>
  </r>
  <r>
    <x v="5"/>
    <m/>
    <m/>
    <m/>
    <m/>
    <m/>
    <x v="733"/>
    <x v="3"/>
    <x v="0"/>
  </r>
  <r>
    <x v="14"/>
    <m/>
    <m/>
    <m/>
    <m/>
    <m/>
    <x v="733"/>
    <x v="3"/>
    <x v="0"/>
  </r>
  <r>
    <x v="6"/>
    <m/>
    <m/>
    <m/>
    <m/>
    <m/>
    <x v="733"/>
    <x v="3"/>
    <x v="0"/>
  </r>
  <r>
    <x v="7"/>
    <m/>
    <m/>
    <m/>
    <m/>
    <m/>
    <x v="733"/>
    <x v="3"/>
    <x v="0"/>
  </r>
  <r>
    <x v="15"/>
    <m/>
    <m/>
    <m/>
    <m/>
    <m/>
    <x v="733"/>
    <x v="3"/>
    <x v="0"/>
  </r>
  <r>
    <x v="8"/>
    <m/>
    <m/>
    <m/>
    <m/>
    <m/>
    <x v="733"/>
    <x v="3"/>
    <x v="0"/>
  </r>
  <r>
    <x v="9"/>
    <m/>
    <n v="324000"/>
    <m/>
    <m/>
    <m/>
    <x v="733"/>
    <x v="3"/>
    <x v="0"/>
  </r>
  <r>
    <x v="10"/>
    <m/>
    <m/>
    <m/>
    <m/>
    <m/>
    <x v="733"/>
    <x v="3"/>
    <x v="0"/>
  </r>
  <r>
    <x v="11"/>
    <m/>
    <m/>
    <m/>
    <m/>
    <m/>
    <x v="733"/>
    <x v="3"/>
    <x v="0"/>
  </r>
  <r>
    <x v="16"/>
    <m/>
    <m/>
    <m/>
    <m/>
    <m/>
    <x v="733"/>
    <x v="3"/>
    <x v="0"/>
  </r>
  <r>
    <x v="17"/>
    <m/>
    <m/>
    <m/>
    <m/>
    <m/>
    <x v="733"/>
    <x v="3"/>
    <x v="0"/>
  </r>
  <r>
    <x v="12"/>
    <m/>
    <m/>
    <m/>
    <m/>
    <m/>
    <x v="733"/>
    <x v="3"/>
    <x v="0"/>
  </r>
  <r>
    <x v="13"/>
    <m/>
    <m/>
    <m/>
    <m/>
    <m/>
    <x v="733"/>
    <x v="3"/>
    <x v="0"/>
  </r>
  <r>
    <x v="0"/>
    <m/>
    <m/>
    <m/>
    <m/>
    <m/>
    <x v="732"/>
    <x v="2"/>
    <x v="11"/>
  </r>
  <r>
    <x v="1"/>
    <m/>
    <m/>
    <m/>
    <m/>
    <m/>
    <x v="732"/>
    <x v="2"/>
    <x v="11"/>
  </r>
  <r>
    <x v="2"/>
    <m/>
    <m/>
    <m/>
    <m/>
    <m/>
    <x v="732"/>
    <x v="2"/>
    <x v="11"/>
  </r>
  <r>
    <x v="3"/>
    <m/>
    <m/>
    <m/>
    <m/>
    <m/>
    <x v="732"/>
    <x v="2"/>
    <x v="11"/>
  </r>
  <r>
    <x v="4"/>
    <m/>
    <m/>
    <m/>
    <m/>
    <m/>
    <x v="732"/>
    <x v="2"/>
    <x v="11"/>
  </r>
  <r>
    <x v="5"/>
    <m/>
    <m/>
    <m/>
    <m/>
    <m/>
    <x v="732"/>
    <x v="2"/>
    <x v="11"/>
  </r>
  <r>
    <x v="14"/>
    <n v="216000"/>
    <m/>
    <m/>
    <m/>
    <m/>
    <x v="732"/>
    <x v="2"/>
    <x v="11"/>
  </r>
  <r>
    <x v="6"/>
    <m/>
    <m/>
    <m/>
    <m/>
    <m/>
    <x v="732"/>
    <x v="2"/>
    <x v="11"/>
  </r>
  <r>
    <x v="7"/>
    <m/>
    <m/>
    <m/>
    <m/>
    <m/>
    <x v="732"/>
    <x v="2"/>
    <x v="11"/>
  </r>
  <r>
    <x v="15"/>
    <m/>
    <m/>
    <m/>
    <m/>
    <m/>
    <x v="732"/>
    <x v="2"/>
    <x v="11"/>
  </r>
  <r>
    <x v="8"/>
    <m/>
    <m/>
    <m/>
    <m/>
    <m/>
    <x v="732"/>
    <x v="2"/>
    <x v="11"/>
  </r>
  <r>
    <x v="9"/>
    <n v="752000"/>
    <m/>
    <n v="590000"/>
    <m/>
    <m/>
    <x v="732"/>
    <x v="2"/>
    <x v="11"/>
  </r>
  <r>
    <x v="10"/>
    <m/>
    <m/>
    <m/>
    <m/>
    <m/>
    <x v="732"/>
    <x v="2"/>
    <x v="11"/>
  </r>
  <r>
    <x v="11"/>
    <m/>
    <m/>
    <m/>
    <m/>
    <m/>
    <x v="732"/>
    <x v="2"/>
    <x v="11"/>
  </r>
  <r>
    <x v="16"/>
    <m/>
    <m/>
    <m/>
    <m/>
    <m/>
    <x v="732"/>
    <x v="2"/>
    <x v="11"/>
  </r>
  <r>
    <x v="17"/>
    <m/>
    <m/>
    <m/>
    <m/>
    <m/>
    <x v="732"/>
    <x v="2"/>
    <x v="11"/>
  </r>
  <r>
    <x v="12"/>
    <m/>
    <m/>
    <m/>
    <m/>
    <m/>
    <x v="732"/>
    <x v="2"/>
    <x v="11"/>
  </r>
  <r>
    <x v="13"/>
    <n v="108000"/>
    <m/>
    <m/>
    <m/>
    <m/>
    <x v="7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1-000000000000}" name="PivotTable1" cacheId="10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5:F24" firstHeaderRow="0" firstDataRow="1" firstDataCol="1" rowPageCount="3" colPageCount="1"/>
  <pivotFields count="9">
    <pivotField axis="axisRow" showAll="0" sortType="ascending">
      <items count="19">
        <item x="0"/>
        <item x="1"/>
        <item x="2"/>
        <item x="3"/>
        <item x="4"/>
        <item x="5"/>
        <item x="14"/>
        <item x="6"/>
        <item x="7"/>
        <item x="15"/>
        <item x="8"/>
        <item x="9"/>
        <item x="10"/>
        <item x="11"/>
        <item x="16"/>
        <item x="17"/>
        <item x="12"/>
        <item x="13"/>
        <item t="default"/>
      </items>
    </pivotField>
    <pivotField dataField="1" showAll="0"/>
    <pivotField dataField="1" showAll="0"/>
    <pivotField dataField="1" showAll="0"/>
    <pivotField dataField="1" showAll="0"/>
    <pivotField dataField="1" showAll="0"/>
    <pivotField axis="axisPage" numFmtId="14" multipleItemSelectionAllowed="1" showAll="0">
      <items count="740">
        <item m="1" x="738"/>
        <item x="124"/>
        <item x="125"/>
        <item x="126"/>
        <item x="127"/>
        <item x="128"/>
        <item x="129"/>
        <item x="130"/>
        <item x="131"/>
        <item x="132"/>
        <item x="133"/>
        <item x="134"/>
        <item x="135"/>
        <item x="136"/>
        <item x="137"/>
        <item x="138"/>
        <item x="139"/>
        <item x="140"/>
        <item x="141"/>
        <item x="142"/>
        <item x="143"/>
        <item x="144"/>
        <item x="145"/>
        <item x="147"/>
        <item x="148"/>
        <item x="149"/>
        <item x="150"/>
        <item x="151"/>
        <item x="152"/>
        <item x="153"/>
        <item x="154"/>
        <item x="155"/>
        <item x="156"/>
        <item x="157"/>
        <item x="158"/>
        <item x="159"/>
        <item x="160"/>
        <item x="161"/>
        <item x="162"/>
        <item x="163"/>
        <item x="164"/>
        <item x="165"/>
        <item x="166"/>
        <item x="167"/>
        <item x="168"/>
        <item x="146"/>
        <item x="169"/>
        <item x="170"/>
        <item x="171"/>
        <item x="172"/>
        <item x="173"/>
        <item x="174"/>
        <item x="175"/>
        <item x="176"/>
        <item x="177"/>
        <item x="178"/>
        <item x="179"/>
        <item x="180"/>
        <item x="181"/>
        <item x="182"/>
        <item x="183"/>
        <item x="184"/>
        <item x="185"/>
        <item x="186"/>
        <item x="187"/>
        <item x="188"/>
        <item x="189"/>
        <item x="190"/>
        <item x="191"/>
        <item x="192"/>
        <item x="193"/>
        <item x="195"/>
        <item x="194"/>
        <item x="196"/>
        <item x="198"/>
        <item x="197"/>
        <item x="199"/>
        <item x="200"/>
        <item x="201"/>
        <item x="202"/>
        <item x="203"/>
        <item x="204"/>
        <item x="205"/>
        <item x="206"/>
        <item x="207"/>
        <item x="208"/>
        <item x="209"/>
        <item x="210"/>
        <item x="211"/>
        <item x="212"/>
        <item x="213"/>
        <item x="214"/>
        <item x="215"/>
        <item x="216"/>
        <item x="217"/>
        <item x="218"/>
        <item x="219"/>
        <item x="220"/>
        <item x="221"/>
        <item x="222"/>
        <item x="223"/>
        <item x="224"/>
        <item x="226"/>
        <item x="232"/>
        <item x="233"/>
        <item x="225"/>
        <item x="227"/>
        <item x="229"/>
        <item x="230"/>
        <item x="231"/>
        <item x="234"/>
        <item x="235"/>
        <item x="236"/>
        <item x="237"/>
        <item x="228"/>
        <item x="238"/>
        <item x="239"/>
        <item x="240"/>
        <item x="242"/>
        <item x="243"/>
        <item x="244"/>
        <item x="241"/>
        <item x="245"/>
        <item x="246"/>
        <item x="247"/>
        <item x="248"/>
        <item x="249"/>
        <item x="251"/>
        <item x="252"/>
        <item x="253"/>
        <item m="1" x="736"/>
        <item x="254"/>
        <item x="0"/>
        <item x="1"/>
        <item x="2"/>
        <item x="3"/>
        <item x="4"/>
        <item x="255"/>
        <item x="256"/>
        <item x="5"/>
        <item x="6"/>
        <item x="7"/>
        <item x="8"/>
        <item x="9"/>
        <item x="10"/>
        <item x="11"/>
        <item x="12"/>
        <item x="13"/>
        <item x="14"/>
        <item x="15"/>
        <item x="16"/>
        <item x="17"/>
        <item x="18"/>
        <item x="19"/>
        <item x="20"/>
        <item x="21"/>
        <item x="82"/>
        <item x="23"/>
        <item x="24"/>
        <item x="25"/>
        <item x="26"/>
        <item x="27"/>
        <item x="28"/>
        <item x="29"/>
        <item x="30"/>
        <item x="31"/>
        <item x="32"/>
        <item x="33"/>
        <item x="34"/>
        <item x="35"/>
        <item x="36"/>
        <item x="37"/>
        <item x="38"/>
        <item x="39"/>
        <item x="40"/>
        <item x="41"/>
        <item x="42"/>
        <item x="22"/>
        <item x="44"/>
        <item x="46"/>
        <item x="47"/>
        <item x="48"/>
        <item x="49"/>
        <item x="51"/>
        <item x="52"/>
        <item x="53"/>
        <item x="54"/>
        <item x="55"/>
        <item x="56"/>
        <item x="57"/>
        <item x="58"/>
        <item x="59"/>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7"/>
        <item x="98"/>
        <item x="99"/>
        <item x="100"/>
        <item x="101"/>
        <item x="102"/>
        <item x="105"/>
        <item x="106"/>
        <item x="107"/>
        <item x="108"/>
        <item x="109"/>
        <item x="111"/>
        <item x="112"/>
        <item x="113"/>
        <item x="114"/>
        <item x="115"/>
        <item x="116"/>
        <item x="117"/>
        <item x="118"/>
        <item x="119"/>
        <item x="120"/>
        <item x="121"/>
        <item x="122"/>
        <item x="123"/>
        <item x="103"/>
        <item x="104"/>
        <item x="110"/>
        <item x="50"/>
        <item x="60"/>
        <item x="250"/>
        <item x="43"/>
        <item x="45"/>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6"/>
        <item x="347"/>
        <item x="348"/>
        <item x="345"/>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7"/>
        <item x="386"/>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m="1" x="735"/>
        <item x="510"/>
        <item x="509"/>
        <item x="511"/>
        <item x="512"/>
        <item x="513"/>
        <item x="514"/>
        <item x="515"/>
        <item x="516"/>
        <item x="517"/>
        <item x="518"/>
        <item x="519"/>
        <item x="520"/>
        <item x="521"/>
        <item x="522"/>
        <item x="523"/>
        <item x="524"/>
        <item x="525"/>
        <item x="527"/>
        <item x="528"/>
        <item x="529"/>
        <item x="530"/>
        <item x="531"/>
        <item x="532"/>
        <item x="533"/>
        <item x="534"/>
        <item x="535"/>
        <item x="536"/>
        <item x="537"/>
        <item x="526"/>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8"/>
        <item x="577"/>
        <item x="579"/>
        <item x="580"/>
        <item x="581"/>
        <item x="582"/>
        <item x="583"/>
        <item x="584"/>
        <item x="585"/>
        <item x="586"/>
        <item x="587"/>
        <item x="588"/>
        <item x="589"/>
        <item x="590"/>
        <item x="591"/>
        <item x="592"/>
        <item x="593"/>
        <item m="1" x="737"/>
        <item x="594"/>
        <item x="595"/>
        <item x="596"/>
        <item x="597"/>
        <item x="598"/>
        <item x="599"/>
        <item x="600"/>
        <item x="601"/>
        <item x="602"/>
        <item x="603"/>
        <item x="604"/>
        <item x="605"/>
        <item x="606"/>
        <item x="607"/>
        <item x="608"/>
        <item x="609"/>
        <item x="610"/>
        <item x="611"/>
        <item x="612"/>
        <item x="613"/>
        <item x="614"/>
        <item x="615"/>
        <item x="616"/>
        <item x="617"/>
        <item x="618"/>
        <item x="619"/>
        <item x="620"/>
        <item m="1" x="734"/>
        <item x="622"/>
        <item x="623"/>
        <item x="624"/>
        <item x="625"/>
        <item x="626"/>
        <item x="627"/>
        <item x="628"/>
        <item x="629"/>
        <item x="630"/>
        <item x="631"/>
        <item x="632"/>
        <item x="633"/>
        <item x="621"/>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t="default"/>
      </items>
    </pivotField>
    <pivotField axis="axisPage" multipleItemSelectionAllowed="1" showAll="0">
      <items count="5">
        <item h="1" x="0"/>
        <item h="1" x="1"/>
        <item x="2"/>
        <item h="1" x="3"/>
        <item t="default"/>
      </items>
    </pivotField>
    <pivotField axis="axisPage" multipleItemSelectionAllowed="1" showAll="0">
      <items count="14">
        <item h="1" x="0"/>
        <item h="1" x="1"/>
        <item h="1" x="2"/>
        <item h="1" x="3"/>
        <item h="1" x="4"/>
        <item h="1" x="5"/>
        <item h="1" x="6"/>
        <item h="1" x="7"/>
        <item h="1" x="8"/>
        <item h="1" x="9"/>
        <item h="1" x="10"/>
        <item x="11"/>
        <item h="1" m="1" x="12"/>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5">
    <i>
      <x/>
    </i>
    <i i="1">
      <x v="1"/>
    </i>
    <i i="2">
      <x v="2"/>
    </i>
    <i i="3">
      <x v="3"/>
    </i>
    <i i="4">
      <x v="4"/>
    </i>
  </colItems>
  <pageFields count="3">
    <pageField fld="6" hier="-1"/>
    <pageField fld="7" hier="-1"/>
    <pageField fld="8" hier="-1"/>
  </pageFields>
  <dataFields count="5">
    <dataField name="Sum of KSI_AGO" fld="1" baseField="0" baseItem="0"/>
    <dataField name="Sum of KSI_PMS" fld="2" baseField="0" baseItem="0"/>
    <dataField name="Sum of BUIPE_AGO" fld="3" baseField="0" baseItem="0"/>
    <dataField name="Sum of BUIPE_PMS" fld="4" baseField="0" baseItem="0"/>
    <dataField name="Sum of AKOSOMBO_AGO" fld="5" baseField="0" baseItem="0"/>
  </dataFields>
  <formats count="17">
    <format dxfId="206">
      <pivotArea outline="0" collapsedLevelsAreSubtotals="1" fieldPosition="0"/>
    </format>
    <format dxfId="205">
      <pivotArea outline="0" collapsedLevelsAreSubtotals="1" fieldPosition="0"/>
    </format>
    <format dxfId="204">
      <pivotArea outline="0" collapsedLevelsAreSubtotals="1" fieldPosition="0"/>
    </format>
    <format dxfId="203">
      <pivotArea outline="0" collapsedLevelsAreSubtotals="1" fieldPosition="0"/>
    </format>
    <format dxfId="202">
      <pivotArea dataOnly="0" labelOnly="1" outline="0" fieldPosition="0">
        <references count="1">
          <reference field="4294967294" count="5">
            <x v="0"/>
            <x v="1"/>
            <x v="2"/>
            <x v="3"/>
            <x v="4"/>
          </reference>
        </references>
      </pivotArea>
    </format>
    <format dxfId="201">
      <pivotArea type="all" dataOnly="0" outline="0" fieldPosition="0"/>
    </format>
    <format dxfId="200">
      <pivotArea outline="0" collapsedLevelsAreSubtotals="1" fieldPosition="0"/>
    </format>
    <format dxfId="199">
      <pivotArea field="0" type="button" dataOnly="0" labelOnly="1" outline="0" axis="axisRow" fieldPosition="0"/>
    </format>
    <format dxfId="198">
      <pivotArea dataOnly="0" labelOnly="1" fieldPosition="0">
        <references count="1">
          <reference field="0" count="0"/>
        </references>
      </pivotArea>
    </format>
    <format dxfId="197">
      <pivotArea dataOnly="0" labelOnly="1" grandRow="1" outline="0" fieldPosition="0"/>
    </format>
    <format dxfId="196">
      <pivotArea dataOnly="0" labelOnly="1" outline="0" fieldPosition="0">
        <references count="1">
          <reference field="4294967294" count="5">
            <x v="0"/>
            <x v="1"/>
            <x v="2"/>
            <x v="3"/>
            <x v="4"/>
          </reference>
        </references>
      </pivotArea>
    </format>
    <format dxfId="195">
      <pivotArea field="0" type="button" dataOnly="0" labelOnly="1" outline="0" axis="axisRow" fieldPosition="0"/>
    </format>
    <format dxfId="194">
      <pivotArea dataOnly="0" labelOnly="1" outline="0" fieldPosition="0">
        <references count="1">
          <reference field="4294967294" count="5">
            <x v="0"/>
            <x v="1"/>
            <x v="2"/>
            <x v="3"/>
            <x v="4"/>
          </reference>
        </references>
      </pivotArea>
    </format>
    <format dxfId="193">
      <pivotArea grandRow="1" outline="0" collapsedLevelsAreSubtotals="1" fieldPosition="0"/>
    </format>
    <format dxfId="192">
      <pivotArea dataOnly="0" labelOnly="1" grandRow="1" outline="0" fieldPosition="0"/>
    </format>
    <format dxfId="191">
      <pivotArea grandRow="1" outline="0" collapsedLevelsAreSubtotals="1" fieldPosition="0"/>
    </format>
    <format dxfId="190">
      <pivotArea dataOnly="0" labelOnly="1" grandRow="1" outline="0" fieldPosition="0"/>
    </format>
  </formats>
  <conditionalFormats count="1">
    <conditionalFormat priority="1">
      <pivotAreas count="1">
        <pivotArea type="data" collapsedLevelsAreSubtotals="1" fieldPosition="0">
          <references count="1">
            <reference field="0" count="13">
              <x v="0"/>
              <x v="2"/>
              <x v="3"/>
              <x v="4"/>
              <x v="5"/>
              <x v="7"/>
              <x v="8"/>
              <x v="10"/>
              <x v="11"/>
              <x v="12"/>
              <x v="13"/>
              <x v="16"/>
              <x v="1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1-000000000000}" autoFormatId="0" applyNumberFormats="0" applyBorderFormats="0" applyFontFormats="1" applyPatternFormats="1" applyAlignmentFormats="0" applyWidthHeightFormats="0">
  <queryTableRefresh preserveSortFilterLayout="0" nextId="10">
    <queryTableFields count="9">
      <queryTableField id="1" name="BDC LIST" tableColumnId="19"/>
      <queryTableField id="2" name="KSI_AGO" tableColumnId="20"/>
      <queryTableField id="3" name="KSI_PMS" tableColumnId="21"/>
      <queryTableField id="4" name="BUIPE_AGO" tableColumnId="22"/>
      <queryTableField id="5" name="BUIPE_PMS" tableColumnId="23"/>
      <queryTableField id="6" name="AKOSOMBO_AGO" tableColumnId="24"/>
      <queryTableField id="7" name="DATE" tableColumnId="25"/>
      <queryTableField id="8" name="Year" tableColumnId="26"/>
      <queryTableField id="9" name="Month Name" tableColumnId="27"/>
    </queryTableFields>
  </queryTableRefresh>
</queryTable>
</file>

<file path=xl/tables/_rels/table74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00000000}" name="Jan03_2020" displayName="Jan03_2020" ref="B5:H20" totalsRowCount="1" headerRowDxfId="13580" headerRowBorderDxfId="13579" tableBorderDxfId="13578" totalsRowBorderDxfId="13577">
  <autoFilter ref="B5:H19" xr:uid="{00000000-0009-0000-0100-000071000000}"/>
  <sortState xmlns:xlrd2="http://schemas.microsoft.com/office/spreadsheetml/2017/richdata2" ref="B6:H18">
    <sortCondition ref="B6"/>
  </sortState>
  <tableColumns count="7">
    <tableColumn id="1" xr3:uid="{00000000-0010-0000-0000-000001000000}" name="BDC LIST" totalsRowLabel="Total" dataDxfId="13576" totalsRowDxfId="13575"/>
    <tableColumn id="2" xr3:uid="{00000000-0010-0000-0000-000002000000}" name="KSI_AGO" totalsRowFunction="custom" dataDxfId="13574" totalsRowDxfId="13573">
      <totalsRowFormula>SUM(Jan03_2020[KSI_AGO])</totalsRowFormula>
    </tableColumn>
    <tableColumn id="3" xr3:uid="{00000000-0010-0000-0000-000003000000}" name="KSI_PMS" totalsRowFunction="custom" dataDxfId="13572" totalsRowDxfId="13571">
      <totalsRowFormula>SUM(Jan03_2020[KSI_PMS])</totalsRowFormula>
    </tableColumn>
    <tableColumn id="4" xr3:uid="{00000000-0010-0000-0000-000004000000}" name="BUIPE_AGO" totalsRowFunction="custom" dataDxfId="13570" totalsRowDxfId="13569">
      <totalsRowFormula>SUM(Jan03_2020[BUIPE_AGO])</totalsRowFormula>
    </tableColumn>
    <tableColumn id="5" xr3:uid="{00000000-0010-0000-0000-000005000000}" name="BUIPE_PMS" totalsRowFunction="custom" dataDxfId="13568" totalsRowDxfId="13567" dataCellStyle="Comma">
      <totalsRowFormula>SUM(Jan03_2020[BUIPE_PMS])</totalsRowFormula>
    </tableColumn>
    <tableColumn id="6" xr3:uid="{00000000-0010-0000-0000-000006000000}" name="AKOSOMBO_AGO" totalsRowFunction="custom" dataDxfId="13566" totalsRowDxfId="13565">
      <totalsRowFormula>SUM(Jan03_2020[AKOSOMBO_AGO])</totalsRowFormula>
    </tableColumn>
    <tableColumn id="7" xr3:uid="{00000000-0010-0000-0000-000007000000}" name="DATE" dataDxfId="13564" totalsRowDxfId="13563">
      <calculatedColumnFormula>$G$3</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00000000-000C-0000-FFFF-FFFF01000000}" name="Jan06_2020" displayName="Jan06_2020" ref="B5:H20" totalsRowCount="1" headerRowDxfId="13562" headerRowBorderDxfId="13561" tableBorderDxfId="13560" totalsRowBorderDxfId="13559">
  <autoFilter ref="B5:H19" xr:uid="{00000000-0009-0000-0100-000090000000}"/>
  <sortState xmlns:xlrd2="http://schemas.microsoft.com/office/spreadsheetml/2017/richdata2" ref="B6:H18">
    <sortCondition ref="B6"/>
  </sortState>
  <tableColumns count="7">
    <tableColumn id="1" xr3:uid="{00000000-0010-0000-0100-000001000000}" name="BDC LIST" totalsRowLabel="Total" dataDxfId="13558" totalsRowDxfId="13557"/>
    <tableColumn id="2" xr3:uid="{00000000-0010-0000-0100-000002000000}" name="KSI_AGO" totalsRowFunction="custom" dataDxfId="13556" totalsRowDxfId="13555">
      <totalsRowFormula>SUM(Jan06_2020[KSI_AGO])</totalsRowFormula>
    </tableColumn>
    <tableColumn id="3" xr3:uid="{00000000-0010-0000-0100-000003000000}" name="KSI_PMS" totalsRowFunction="custom" dataDxfId="13554" totalsRowDxfId="13553">
      <totalsRowFormula>SUM(Jan06_2020[KSI_PMS])</totalsRowFormula>
    </tableColumn>
    <tableColumn id="4" xr3:uid="{00000000-0010-0000-0100-000004000000}" name="BUIPE_AGO" totalsRowFunction="custom" dataDxfId="13552" totalsRowDxfId="13551">
      <totalsRowFormula>SUM(Jan06_2020[BUIPE_AGO])</totalsRowFormula>
    </tableColumn>
    <tableColumn id="5" xr3:uid="{00000000-0010-0000-0100-000005000000}" name="BUIPE_PMS" totalsRowFunction="custom" dataDxfId="13550" totalsRowDxfId="13549" dataCellStyle="Comma">
      <totalsRowFormula>SUM(Jan06_2020[BUIPE_PMS])</totalsRowFormula>
    </tableColumn>
    <tableColumn id="6" xr3:uid="{00000000-0010-0000-0100-000006000000}" name="AKOSOMBO_AGO" totalsRowFunction="custom" dataDxfId="13548" totalsRowDxfId="13547">
      <totalsRowFormula>SUM(Jan06_2020[AKOSOMBO_AGO])</totalsRowFormula>
    </tableColumn>
    <tableColumn id="7" xr3:uid="{00000000-0010-0000-0100-000007000000}" name="DATE" dataDxfId="13546" totalsRowDxfId="13545">
      <calculatedColumnFormula>$G$3</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0000000-000C-0000-FFFF-FFFF02000000}" name="Jan08_2020" displayName="Jan08_2020" ref="B5:H20" totalsRowCount="1" headerRowDxfId="13544" headerRowBorderDxfId="13543" tableBorderDxfId="13542" totalsRowBorderDxfId="13541">
  <autoFilter ref="B5:H19" xr:uid="{00000000-0009-0000-0100-000091000000}"/>
  <sortState xmlns:xlrd2="http://schemas.microsoft.com/office/spreadsheetml/2017/richdata2" ref="B6:H18">
    <sortCondition ref="B6"/>
  </sortState>
  <tableColumns count="7">
    <tableColumn id="1" xr3:uid="{00000000-0010-0000-0200-000001000000}" name="BDC LIST" totalsRowLabel="Total" dataDxfId="13540" totalsRowDxfId="13539"/>
    <tableColumn id="2" xr3:uid="{00000000-0010-0000-0200-000002000000}" name="KSI_AGO" totalsRowFunction="custom" dataDxfId="13538" totalsRowDxfId="13537">
      <totalsRowFormula>SUM(Jan08_2020[KSI_AGO])</totalsRowFormula>
    </tableColumn>
    <tableColumn id="3" xr3:uid="{00000000-0010-0000-0200-000003000000}" name="KSI_PMS" totalsRowFunction="custom" dataDxfId="13536" totalsRowDxfId="13535">
      <totalsRowFormula>SUM(Jan08_2020[KSI_PMS])</totalsRowFormula>
    </tableColumn>
    <tableColumn id="4" xr3:uid="{00000000-0010-0000-0200-000004000000}" name="BUIPE_AGO" totalsRowFunction="custom" dataDxfId="13534" totalsRowDxfId="13533">
      <totalsRowFormula>SUM(Jan08_2020[BUIPE_AGO])</totalsRowFormula>
    </tableColumn>
    <tableColumn id="5" xr3:uid="{00000000-0010-0000-0200-000005000000}" name="BUIPE_PMS" totalsRowFunction="custom" dataDxfId="13532" totalsRowDxfId="13531" dataCellStyle="Comma">
      <totalsRowFormula>SUM(Jan08_2020[BUIPE_PMS])</totalsRowFormula>
    </tableColumn>
    <tableColumn id="6" xr3:uid="{00000000-0010-0000-0200-000006000000}" name="AKOSOMBO_AGO" totalsRowFunction="custom" dataDxfId="13530" totalsRowDxfId="13529">
      <totalsRowFormula>SUM(Jan08_2020[AKOSOMBO_AGO])</totalsRowFormula>
    </tableColumn>
    <tableColumn id="7" xr3:uid="{00000000-0010-0000-0200-000007000000}" name="DATE" dataDxfId="13528" totalsRowDxfId="13527">
      <calculatedColumnFormula>$G$3</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0000000-000C-0000-FFFF-FFFF03000000}" name="Jan09_2020" displayName="Jan09_2020" ref="B5:H20" totalsRowCount="1" headerRowDxfId="13526" headerRowBorderDxfId="13525" tableBorderDxfId="13524" totalsRowBorderDxfId="13523">
  <autoFilter ref="B5:H19" xr:uid="{00000000-0009-0000-0100-000092000000}"/>
  <sortState xmlns:xlrd2="http://schemas.microsoft.com/office/spreadsheetml/2017/richdata2" ref="B6:H18">
    <sortCondition ref="B6"/>
  </sortState>
  <tableColumns count="7">
    <tableColumn id="1" xr3:uid="{00000000-0010-0000-0300-000001000000}" name="BDC LIST" totalsRowLabel="Total" dataDxfId="13522" totalsRowDxfId="13521"/>
    <tableColumn id="2" xr3:uid="{00000000-0010-0000-0300-000002000000}" name="KSI_AGO" totalsRowFunction="custom" dataDxfId="13520" totalsRowDxfId="13519">
      <totalsRowFormula>SUM(Jan09_2020[KSI_AGO])</totalsRowFormula>
    </tableColumn>
    <tableColumn id="3" xr3:uid="{00000000-0010-0000-0300-000003000000}" name="KSI_PMS" totalsRowFunction="custom" dataDxfId="13518" totalsRowDxfId="13517">
      <totalsRowFormula>SUM(Jan09_2020[KSI_PMS])</totalsRowFormula>
    </tableColumn>
    <tableColumn id="4" xr3:uid="{00000000-0010-0000-0300-000004000000}" name="BUIPE_AGO" totalsRowFunction="custom" dataDxfId="13516" totalsRowDxfId="13515">
      <totalsRowFormula>SUM(Jan09_2020[BUIPE_AGO])</totalsRowFormula>
    </tableColumn>
    <tableColumn id="5" xr3:uid="{00000000-0010-0000-0300-000005000000}" name="BUIPE_PMS" totalsRowFunction="custom" dataDxfId="13514" totalsRowDxfId="13513" dataCellStyle="Comma">
      <totalsRowFormula>SUM(Jan09_2020[BUIPE_PMS])</totalsRowFormula>
    </tableColumn>
    <tableColumn id="6" xr3:uid="{00000000-0010-0000-0300-000006000000}" name="AKOSOMBO_AGO" totalsRowFunction="custom" dataDxfId="13512" totalsRowDxfId="13511">
      <totalsRowFormula>SUM(Jan09_2020[AKOSOMBO_AGO])</totalsRowFormula>
    </tableColumn>
    <tableColumn id="7" xr3:uid="{00000000-0010-0000-0300-000007000000}" name="DATE" dataDxfId="13510" totalsRowDxfId="13509">
      <calculatedColumnFormula>$G$3</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00000000-000C-0000-FFFF-FFFF04000000}" name="Jan10_2020" displayName="Jan10_2020" ref="B5:H20" totalsRowCount="1" headerRowDxfId="13508" headerRowBorderDxfId="13507" tableBorderDxfId="13506" totalsRowBorderDxfId="13505">
  <autoFilter ref="B5:H19" xr:uid="{00000000-0009-0000-0100-000093000000}"/>
  <sortState xmlns:xlrd2="http://schemas.microsoft.com/office/spreadsheetml/2017/richdata2" ref="B6:H18">
    <sortCondition ref="B6"/>
  </sortState>
  <tableColumns count="7">
    <tableColumn id="1" xr3:uid="{00000000-0010-0000-0400-000001000000}" name="BDC LIST" totalsRowLabel="Total" dataDxfId="13504" totalsRowDxfId="13503"/>
    <tableColumn id="2" xr3:uid="{00000000-0010-0000-0400-000002000000}" name="KSI_AGO" totalsRowFunction="custom" dataDxfId="13502" totalsRowDxfId="13501">
      <totalsRowFormula>SUM(Jan10_2020[KSI_AGO])</totalsRowFormula>
    </tableColumn>
    <tableColumn id="3" xr3:uid="{00000000-0010-0000-0400-000003000000}" name="KSI_PMS" totalsRowFunction="custom" dataDxfId="13500" totalsRowDxfId="13499">
      <totalsRowFormula>SUM(Jan10_2020[KSI_PMS])</totalsRowFormula>
    </tableColumn>
    <tableColumn id="4" xr3:uid="{00000000-0010-0000-0400-000004000000}" name="BUIPE_AGO" totalsRowFunction="custom" dataDxfId="13498" totalsRowDxfId="13497">
      <totalsRowFormula>SUM(Jan10_2020[BUIPE_AGO])</totalsRowFormula>
    </tableColumn>
    <tableColumn id="5" xr3:uid="{00000000-0010-0000-0400-000005000000}" name="BUIPE_PMS" totalsRowFunction="custom" dataDxfId="13496" totalsRowDxfId="13495" dataCellStyle="Comma">
      <totalsRowFormula>SUM(Jan10_2020[BUIPE_PMS])</totalsRowFormula>
    </tableColumn>
    <tableColumn id="6" xr3:uid="{00000000-0010-0000-0400-000006000000}" name="AKOSOMBO_AGO" totalsRowFunction="custom" dataDxfId="13494" totalsRowDxfId="13493">
      <totalsRowFormula>SUM(Jan10_2020[AKOSOMBO_AGO])</totalsRowFormula>
    </tableColumn>
    <tableColumn id="7" xr3:uid="{00000000-0010-0000-0400-000007000000}" name="DATE" dataDxfId="13492" totalsRowDxfId="13491">
      <calculatedColumnFormula>$G$3</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05000000}" name="Jan13_2020" displayName="Jan13_2020" ref="B5:H20" totalsRowCount="1" headerRowDxfId="13490" headerRowBorderDxfId="13489" tableBorderDxfId="13488" totalsRowBorderDxfId="13487">
  <autoFilter ref="B5:H19" xr:uid="{00000000-0009-0000-0100-00006A000000}"/>
  <sortState xmlns:xlrd2="http://schemas.microsoft.com/office/spreadsheetml/2017/richdata2" ref="B6:H18">
    <sortCondition ref="B6"/>
  </sortState>
  <tableColumns count="7">
    <tableColumn id="1" xr3:uid="{00000000-0010-0000-0500-000001000000}" name="BDC LIST" totalsRowLabel="Total" dataDxfId="13486" totalsRowDxfId="13485"/>
    <tableColumn id="2" xr3:uid="{00000000-0010-0000-0500-000002000000}" name="KSI_AGO" totalsRowFunction="custom" dataDxfId="13484" totalsRowDxfId="13483">
      <totalsRowFormula>SUM(Jan13_2020[KSI_AGO])</totalsRowFormula>
    </tableColumn>
    <tableColumn id="3" xr3:uid="{00000000-0010-0000-0500-000003000000}" name="KSI_PMS" totalsRowFunction="custom" dataDxfId="13482" totalsRowDxfId="13481">
      <totalsRowFormula>SUM(Jan13_2020[KSI_PMS])</totalsRowFormula>
    </tableColumn>
    <tableColumn id="4" xr3:uid="{00000000-0010-0000-0500-000004000000}" name="BUIPE_AGO" totalsRowFunction="custom" dataDxfId="13480" totalsRowDxfId="13479">
      <totalsRowFormula>SUM(Jan13_2020[BUIPE_AGO])</totalsRowFormula>
    </tableColumn>
    <tableColumn id="5" xr3:uid="{00000000-0010-0000-0500-000005000000}" name="BUIPE_PMS" totalsRowFunction="custom" dataDxfId="13478" totalsRowDxfId="13477" dataCellStyle="Comma">
      <totalsRowFormula>SUM(Jan13_2020[BUIPE_PMS])</totalsRowFormula>
    </tableColumn>
    <tableColumn id="6" xr3:uid="{00000000-0010-0000-0500-000006000000}" name="AKOSOMBO_AGO" totalsRowFunction="custom" dataDxfId="13476" totalsRowDxfId="13475">
      <totalsRowFormula>SUM(Jan13_2020[AKOSOMBO_AGO])</totalsRowFormula>
    </tableColumn>
    <tableColumn id="7" xr3:uid="{00000000-0010-0000-0500-000007000000}" name="DATE" dataDxfId="13474" totalsRowDxfId="13473">
      <calculatedColumnFormula>$G$3</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06000000}" name="Jan14_2020" displayName="Jan14_2020" ref="B5:H20" totalsRowCount="1" headerRowDxfId="13472" headerRowBorderDxfId="13471" tableBorderDxfId="13470" totalsRowBorderDxfId="13469">
  <autoFilter ref="B5:H19" xr:uid="{00000000-0009-0000-0100-00006E000000}"/>
  <sortState xmlns:xlrd2="http://schemas.microsoft.com/office/spreadsheetml/2017/richdata2" ref="B6:H18">
    <sortCondition ref="B6"/>
  </sortState>
  <tableColumns count="7">
    <tableColumn id="1" xr3:uid="{00000000-0010-0000-0600-000001000000}" name="BDC LIST" totalsRowLabel="Total" dataDxfId="13468" totalsRowDxfId="13467"/>
    <tableColumn id="2" xr3:uid="{00000000-0010-0000-0600-000002000000}" name="KSI_AGO" totalsRowFunction="custom" dataDxfId="13466" totalsRowDxfId="13465">
      <totalsRowFormula>SUM(Jan14_2020[KSI_AGO])</totalsRowFormula>
    </tableColumn>
    <tableColumn id="3" xr3:uid="{00000000-0010-0000-0600-000003000000}" name="KSI_PMS" totalsRowFunction="custom" dataDxfId="13464" totalsRowDxfId="13463">
      <totalsRowFormula>SUM(Jan14_2020[KSI_PMS])</totalsRowFormula>
    </tableColumn>
    <tableColumn id="4" xr3:uid="{00000000-0010-0000-0600-000004000000}" name="BUIPE_AGO" totalsRowFunction="custom" dataDxfId="13462" totalsRowDxfId="13461">
      <totalsRowFormula>SUM(Jan14_2020[BUIPE_AGO])</totalsRowFormula>
    </tableColumn>
    <tableColumn id="5" xr3:uid="{00000000-0010-0000-0600-000005000000}" name="BUIPE_PMS" totalsRowFunction="custom" dataDxfId="13460" totalsRowDxfId="13459" dataCellStyle="Comma">
      <totalsRowFormula>SUM(Jan14_2020[BUIPE_PMS])</totalsRowFormula>
    </tableColumn>
    <tableColumn id="6" xr3:uid="{00000000-0010-0000-0600-000006000000}" name="AKOSOMBO_AGO" totalsRowFunction="custom" dataDxfId="13458" totalsRowDxfId="13457">
      <totalsRowFormula>SUM(Jan14_2020[AKOSOMBO_AGO])</totalsRowFormula>
    </tableColumn>
    <tableColumn id="7" xr3:uid="{00000000-0010-0000-0600-000007000000}" name="DATE" dataDxfId="13456" totalsRowDxfId="13455">
      <calculatedColumnFormula>$G$3</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0000000-000C-0000-FFFF-FFFF07000000}" name="Jan15_2020" displayName="Jan15_2020" ref="B5:H20" totalsRowCount="1" headerRowDxfId="13454" headerRowBorderDxfId="13453" tableBorderDxfId="13452" totalsRowBorderDxfId="13451">
  <autoFilter ref="B5:H19" xr:uid="{00000000-0009-0000-0100-00008A000000}"/>
  <sortState xmlns:xlrd2="http://schemas.microsoft.com/office/spreadsheetml/2017/richdata2" ref="B6:H18">
    <sortCondition ref="B6"/>
  </sortState>
  <tableColumns count="7">
    <tableColumn id="1" xr3:uid="{00000000-0010-0000-0700-000001000000}" name="BDC LIST" totalsRowLabel="Total" dataDxfId="13450" totalsRowDxfId="13449"/>
    <tableColumn id="2" xr3:uid="{00000000-0010-0000-0700-000002000000}" name="KSI_AGO" totalsRowFunction="custom" dataDxfId="13448" totalsRowDxfId="13447">
      <totalsRowFormula>SUM(Jan15_2020[KSI_AGO])</totalsRowFormula>
    </tableColumn>
    <tableColumn id="3" xr3:uid="{00000000-0010-0000-0700-000003000000}" name="KSI_PMS" totalsRowFunction="custom" dataDxfId="13446" totalsRowDxfId="13445">
      <totalsRowFormula>SUM(Jan15_2020[KSI_PMS])</totalsRowFormula>
    </tableColumn>
    <tableColumn id="4" xr3:uid="{00000000-0010-0000-0700-000004000000}" name="BUIPE_AGO" totalsRowFunction="custom" dataDxfId="13444" totalsRowDxfId="13443">
      <totalsRowFormula>SUM(Jan15_2020[BUIPE_AGO])</totalsRowFormula>
    </tableColumn>
    <tableColumn id="5" xr3:uid="{00000000-0010-0000-0700-000005000000}" name="BUIPE_PMS" totalsRowFunction="custom" dataDxfId="13442" totalsRowDxfId="13441" dataCellStyle="Comma">
      <totalsRowFormula>SUM(Jan15_2020[BUIPE_PMS])</totalsRowFormula>
    </tableColumn>
    <tableColumn id="6" xr3:uid="{00000000-0010-0000-0700-000006000000}" name="AKOSOMBO_AGO" totalsRowFunction="custom" dataDxfId="13440" totalsRowDxfId="13439">
      <totalsRowFormula>SUM(Jan15_2020[AKOSOMBO_AGO])</totalsRowFormula>
    </tableColumn>
    <tableColumn id="7" xr3:uid="{00000000-0010-0000-0700-000007000000}" name="DATE" dataDxfId="13438" totalsRowDxfId="13437">
      <calculatedColumnFormula>$G$3</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0000000-000C-0000-FFFF-FFFF08000000}" name="Jan16_2020" displayName="Jan16_2020" ref="B5:H20" totalsRowCount="1" headerRowDxfId="13436" headerRowBorderDxfId="13435" tableBorderDxfId="13434" totalsRowBorderDxfId="13433">
  <autoFilter ref="B5:H19" xr:uid="{00000000-0009-0000-0100-00008E000000}"/>
  <sortState xmlns:xlrd2="http://schemas.microsoft.com/office/spreadsheetml/2017/richdata2" ref="B6:H18">
    <sortCondition ref="B6"/>
  </sortState>
  <tableColumns count="7">
    <tableColumn id="1" xr3:uid="{00000000-0010-0000-0800-000001000000}" name="BDC LIST" totalsRowLabel="Total" dataDxfId="13432" totalsRowDxfId="13431"/>
    <tableColumn id="2" xr3:uid="{00000000-0010-0000-0800-000002000000}" name="KSI_AGO" totalsRowFunction="custom" dataDxfId="13430" totalsRowDxfId="13429">
      <totalsRowFormula>SUM(Jan16_2020[KSI_AGO])</totalsRowFormula>
    </tableColumn>
    <tableColumn id="3" xr3:uid="{00000000-0010-0000-0800-000003000000}" name="KSI_PMS" totalsRowFunction="custom" dataDxfId="13428" totalsRowDxfId="13427">
      <totalsRowFormula>SUM(Jan16_2020[KSI_PMS])</totalsRowFormula>
    </tableColumn>
    <tableColumn id="4" xr3:uid="{00000000-0010-0000-0800-000004000000}" name="BUIPE_AGO" totalsRowFunction="custom" dataDxfId="13426" totalsRowDxfId="13425">
      <totalsRowFormula>SUM(Jan16_2020[BUIPE_AGO])</totalsRowFormula>
    </tableColumn>
    <tableColumn id="5" xr3:uid="{00000000-0010-0000-0800-000005000000}" name="BUIPE_PMS" totalsRowFunction="custom" dataDxfId="13424" totalsRowDxfId="13423" dataCellStyle="Comma">
      <totalsRowFormula>SUM(Jan16_2020[BUIPE_PMS])</totalsRowFormula>
    </tableColumn>
    <tableColumn id="6" xr3:uid="{00000000-0010-0000-0800-000006000000}" name="AKOSOMBO_AGO" totalsRowFunction="custom" dataDxfId="13422" totalsRowDxfId="13421">
      <totalsRowFormula>SUM(Jan16_2020[AKOSOMBO_AGO])</totalsRowFormula>
    </tableColumn>
    <tableColumn id="7" xr3:uid="{00000000-0010-0000-0800-000007000000}" name="DATE" dataDxfId="13420" totalsRowDxfId="13419">
      <calculatedColumnFormula>$G$3</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0000000-000C-0000-FFFF-FFFF09000000}" name="Jan17_2020" displayName="Jan17_2020" ref="B5:H20" totalsRowCount="1" headerRowDxfId="13418" headerRowBorderDxfId="13417" tableBorderDxfId="13416" totalsRowBorderDxfId="13415">
  <autoFilter ref="B5:H19" xr:uid="{00000000-0009-0000-0100-00008F000000}"/>
  <sortState xmlns:xlrd2="http://schemas.microsoft.com/office/spreadsheetml/2017/richdata2" ref="B6:H18">
    <sortCondition ref="B6"/>
  </sortState>
  <tableColumns count="7">
    <tableColumn id="1" xr3:uid="{00000000-0010-0000-0900-000001000000}" name="BDC LIST" totalsRowLabel="Total" dataDxfId="13414" totalsRowDxfId="13413"/>
    <tableColumn id="2" xr3:uid="{00000000-0010-0000-0900-000002000000}" name="KSI_AGO" totalsRowFunction="custom" dataDxfId="13412" totalsRowDxfId="13411">
      <totalsRowFormula>SUM(Jan17_2020[KSI_AGO])</totalsRowFormula>
    </tableColumn>
    <tableColumn id="3" xr3:uid="{00000000-0010-0000-0900-000003000000}" name="KSI_PMS" totalsRowFunction="custom" dataDxfId="13410" totalsRowDxfId="13409">
      <totalsRowFormula>SUM(Jan17_2020[KSI_PMS])</totalsRowFormula>
    </tableColumn>
    <tableColumn id="4" xr3:uid="{00000000-0010-0000-0900-000004000000}" name="BUIPE_AGO" totalsRowFunction="custom" dataDxfId="13408" totalsRowDxfId="13407">
      <totalsRowFormula>SUM(Jan17_2020[BUIPE_AGO])</totalsRowFormula>
    </tableColumn>
    <tableColumn id="5" xr3:uid="{00000000-0010-0000-0900-000005000000}" name="BUIPE_PMS" totalsRowFunction="custom" dataDxfId="13406" totalsRowDxfId="13405" dataCellStyle="Comma">
      <totalsRowFormula>SUM(Jan17_2020[BUIPE_PMS])</totalsRowFormula>
    </tableColumn>
    <tableColumn id="6" xr3:uid="{00000000-0010-0000-0900-000006000000}" name="AKOSOMBO_AGO" totalsRowFunction="custom" dataDxfId="13404" totalsRowDxfId="13403">
      <totalsRowFormula>SUM(Jan17_2020[AKOSOMBO_AGO])</totalsRowFormula>
    </tableColumn>
    <tableColumn id="7" xr3:uid="{00000000-0010-0000-0900-000007000000}" name="DATE" dataDxfId="13402" totalsRowDxfId="13401">
      <calculatedColumnFormula>$G$3</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0000000-000C-0000-FFFF-FFFF0A000000}" name="Jan20_2020" displayName="Jan20_2020" ref="B5:H20" totalsRowCount="1" headerRowDxfId="13400" headerRowBorderDxfId="13399" tableBorderDxfId="13398" totalsRowBorderDxfId="13397">
  <autoFilter ref="B5:H19" xr:uid="{00000000-0009-0000-0100-000095000000}"/>
  <sortState xmlns:xlrd2="http://schemas.microsoft.com/office/spreadsheetml/2017/richdata2" ref="B6:H18">
    <sortCondition ref="B6"/>
  </sortState>
  <tableColumns count="7">
    <tableColumn id="1" xr3:uid="{00000000-0010-0000-0A00-000001000000}" name="BDC LIST" totalsRowLabel="Total" dataDxfId="13396" totalsRowDxfId="13395"/>
    <tableColumn id="2" xr3:uid="{00000000-0010-0000-0A00-000002000000}" name="KSI_AGO" totalsRowFunction="custom" dataDxfId="13394" totalsRowDxfId="13393">
      <totalsRowFormula>SUM(Jan20_2020[KSI_AGO])</totalsRowFormula>
    </tableColumn>
    <tableColumn id="3" xr3:uid="{00000000-0010-0000-0A00-000003000000}" name="KSI_PMS" totalsRowFunction="custom" dataDxfId="13392" totalsRowDxfId="13391">
      <totalsRowFormula>SUM(Jan20_2020[KSI_PMS])</totalsRowFormula>
    </tableColumn>
    <tableColumn id="4" xr3:uid="{00000000-0010-0000-0A00-000004000000}" name="BUIPE_AGO" totalsRowFunction="custom" dataDxfId="13390" totalsRowDxfId="13389">
      <totalsRowFormula>SUM(Jan20_2020[BUIPE_AGO])</totalsRowFormula>
    </tableColumn>
    <tableColumn id="5" xr3:uid="{00000000-0010-0000-0A00-000005000000}" name="BUIPE_PMS" totalsRowFunction="custom" dataDxfId="13388" totalsRowDxfId="13387" dataCellStyle="Comma">
      <totalsRowFormula>SUM(Jan20_2020[BUIPE_PMS])</totalsRowFormula>
    </tableColumn>
    <tableColumn id="6" xr3:uid="{00000000-0010-0000-0A00-000006000000}" name="AKOSOMBO_AGO" totalsRowFunction="custom" dataDxfId="13386" totalsRowDxfId="13385">
      <totalsRowFormula>SUM(Jan20_2020[AKOSOMBO_AGO])</totalsRowFormula>
    </tableColumn>
    <tableColumn id="7" xr3:uid="{00000000-0010-0000-0A00-000007000000}" name="DATE" dataDxfId="13384" totalsRowDxfId="13383">
      <calculatedColumnFormula>$G$3</calculatedColumnFormula>
    </tableColum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0000000-000C-0000-FFFF-FFFF0B000000}" name="Jan21_2020" displayName="Jan21_2020" ref="B5:H20" totalsRowCount="1" headerRowDxfId="13382" headerRowBorderDxfId="13381" tableBorderDxfId="13380" totalsRowBorderDxfId="13379">
  <autoFilter ref="B5:H19" xr:uid="{00000000-0009-0000-0100-000098000000}"/>
  <sortState xmlns:xlrd2="http://schemas.microsoft.com/office/spreadsheetml/2017/richdata2" ref="B6:H18">
    <sortCondition ref="B6"/>
  </sortState>
  <tableColumns count="7">
    <tableColumn id="1" xr3:uid="{00000000-0010-0000-0B00-000001000000}" name="BDC LIST" totalsRowLabel="Total" dataDxfId="13378" totalsRowDxfId="13377"/>
    <tableColumn id="2" xr3:uid="{00000000-0010-0000-0B00-000002000000}" name="KSI_AGO" totalsRowFunction="custom" dataDxfId="13376" totalsRowDxfId="13375">
      <totalsRowFormula>SUM(Jan21_2020[KSI_AGO])</totalsRowFormula>
    </tableColumn>
    <tableColumn id="3" xr3:uid="{00000000-0010-0000-0B00-000003000000}" name="KSI_PMS" totalsRowFunction="custom" dataDxfId="13374" totalsRowDxfId="13373">
      <totalsRowFormula>SUM(Jan21_2020[KSI_PMS])</totalsRowFormula>
    </tableColumn>
    <tableColumn id="4" xr3:uid="{00000000-0010-0000-0B00-000004000000}" name="BUIPE_AGO" totalsRowFunction="custom" dataDxfId="13372" totalsRowDxfId="13371">
      <totalsRowFormula>SUM(Jan21_2020[BUIPE_AGO])</totalsRowFormula>
    </tableColumn>
    <tableColumn id="5" xr3:uid="{00000000-0010-0000-0B00-000005000000}" name="BUIPE_PMS" totalsRowFunction="custom" dataDxfId="13370" totalsRowDxfId="13369" dataCellStyle="Comma">
      <totalsRowFormula>SUM(Jan21_2020[BUIPE_PMS])</totalsRowFormula>
    </tableColumn>
    <tableColumn id="6" xr3:uid="{00000000-0010-0000-0B00-000006000000}" name="AKOSOMBO_AGO" totalsRowFunction="custom" dataDxfId="13368" totalsRowDxfId="13367">
      <totalsRowFormula>SUM(Jan21_2020[AKOSOMBO_AGO])</totalsRowFormula>
    </tableColumn>
    <tableColumn id="7" xr3:uid="{00000000-0010-0000-0B00-000007000000}" name="DATE" dataDxfId="13366" totalsRowDxfId="13365">
      <calculatedColumnFormula>$G$3</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00000000-000C-0000-FFFF-FFFF0C000000}" name="Jan22_2020" displayName="Jan22_2020" ref="B5:H20" totalsRowCount="1" headerRowDxfId="13364" headerRowBorderDxfId="13363" tableBorderDxfId="13362" totalsRowBorderDxfId="13361">
  <autoFilter ref="B5:H19" xr:uid="{00000000-0009-0000-0100-000099000000}"/>
  <sortState xmlns:xlrd2="http://schemas.microsoft.com/office/spreadsheetml/2017/richdata2" ref="B6:H18">
    <sortCondition ref="B6"/>
  </sortState>
  <tableColumns count="7">
    <tableColumn id="1" xr3:uid="{00000000-0010-0000-0C00-000001000000}" name="BDC LIST" totalsRowLabel="Total" dataDxfId="13360" totalsRowDxfId="13359"/>
    <tableColumn id="2" xr3:uid="{00000000-0010-0000-0C00-000002000000}" name="KSI_AGO" totalsRowFunction="custom" dataDxfId="13358" totalsRowDxfId="13357">
      <totalsRowFormula>SUM(Jan22_2020[KSI_AGO])</totalsRowFormula>
    </tableColumn>
    <tableColumn id="3" xr3:uid="{00000000-0010-0000-0C00-000003000000}" name="KSI_PMS" totalsRowFunction="custom" dataDxfId="13356" totalsRowDxfId="13355">
      <totalsRowFormula>SUM(Jan22_2020[KSI_PMS])</totalsRowFormula>
    </tableColumn>
    <tableColumn id="4" xr3:uid="{00000000-0010-0000-0C00-000004000000}" name="BUIPE_AGO" totalsRowFunction="custom" dataDxfId="13354" totalsRowDxfId="13353">
      <totalsRowFormula>SUM(Jan22_2020[BUIPE_AGO])</totalsRowFormula>
    </tableColumn>
    <tableColumn id="5" xr3:uid="{00000000-0010-0000-0C00-000005000000}" name="BUIPE_PMS" totalsRowFunction="custom" dataDxfId="13352" totalsRowDxfId="13351" dataCellStyle="Comma">
      <totalsRowFormula>SUM(Jan22_2020[BUIPE_PMS])</totalsRowFormula>
    </tableColumn>
    <tableColumn id="6" xr3:uid="{00000000-0010-0000-0C00-000006000000}" name="AKOSOMBO_AGO" totalsRowFunction="custom" dataDxfId="13350" totalsRowDxfId="13349">
      <totalsRowFormula>SUM(Jan22_2020[AKOSOMBO_AGO])</totalsRowFormula>
    </tableColumn>
    <tableColumn id="7" xr3:uid="{00000000-0010-0000-0C00-000007000000}" name="DATE" dataDxfId="13348" totalsRowDxfId="13347">
      <calculatedColumnFormula>$G$3</calculatedColumn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00000000-000C-0000-FFFF-FFFF0D000000}" name="Jan23_2020" displayName="Jan23_2020" ref="B5:H20" totalsRowCount="1" headerRowDxfId="13346" headerRowBorderDxfId="13345" tableBorderDxfId="13344" totalsRowBorderDxfId="13343">
  <autoFilter ref="B5:H19" xr:uid="{00000000-0009-0000-0100-00009D000000}"/>
  <sortState xmlns:xlrd2="http://schemas.microsoft.com/office/spreadsheetml/2017/richdata2" ref="B6:H18">
    <sortCondition ref="B6"/>
  </sortState>
  <tableColumns count="7">
    <tableColumn id="1" xr3:uid="{00000000-0010-0000-0D00-000001000000}" name="BDC LIST" totalsRowLabel="Total" dataDxfId="13342" totalsRowDxfId="13341"/>
    <tableColumn id="2" xr3:uid="{00000000-0010-0000-0D00-000002000000}" name="KSI_AGO" totalsRowFunction="custom" dataDxfId="13340" totalsRowDxfId="13339">
      <totalsRowFormula>SUM(Jan23_2020[KSI_AGO])</totalsRowFormula>
    </tableColumn>
    <tableColumn id="3" xr3:uid="{00000000-0010-0000-0D00-000003000000}" name="KSI_PMS" totalsRowFunction="custom" dataDxfId="13338" totalsRowDxfId="13337">
      <totalsRowFormula>SUM(Jan23_2020[KSI_PMS])</totalsRowFormula>
    </tableColumn>
    <tableColumn id="4" xr3:uid="{00000000-0010-0000-0D00-000004000000}" name="BUIPE_AGO" totalsRowFunction="custom" dataDxfId="13336" totalsRowDxfId="13335">
      <totalsRowFormula>SUM(Jan23_2020[BUIPE_AGO])</totalsRowFormula>
    </tableColumn>
    <tableColumn id="5" xr3:uid="{00000000-0010-0000-0D00-000005000000}" name="BUIPE_PMS" totalsRowFunction="custom" dataDxfId="13334" totalsRowDxfId="13333" dataCellStyle="Comma">
      <totalsRowFormula>SUM(Jan23_2020[BUIPE_PMS])</totalsRowFormula>
    </tableColumn>
    <tableColumn id="6" xr3:uid="{00000000-0010-0000-0D00-000006000000}" name="AKOSOMBO_AGO" totalsRowFunction="custom" dataDxfId="13332" totalsRowDxfId="13331">
      <totalsRowFormula>SUM(Jan23_2020[AKOSOMBO_AGO])</totalsRowFormula>
    </tableColumn>
    <tableColumn id="7" xr3:uid="{00000000-0010-0000-0D00-000007000000}" name="DATE" dataDxfId="13330" totalsRowDxfId="13329">
      <calculatedColumnFormula>$G$3</calculatedColumnFormula>
    </tableColumn>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0000000-000C-0000-FFFF-FFFF0E000000}" name="Jan24_2020" displayName="Jan24_2020" ref="B5:H20" totalsRowCount="1" headerRowDxfId="13328" headerRowBorderDxfId="13327" tableBorderDxfId="13326" totalsRowBorderDxfId="13325">
  <autoFilter ref="B5:H19" xr:uid="{00000000-0009-0000-0100-00009E000000}"/>
  <sortState xmlns:xlrd2="http://schemas.microsoft.com/office/spreadsheetml/2017/richdata2" ref="B6:H18">
    <sortCondition ref="B6"/>
  </sortState>
  <tableColumns count="7">
    <tableColumn id="1" xr3:uid="{00000000-0010-0000-0E00-000001000000}" name="BDC LIST" totalsRowLabel="Total" dataDxfId="13324" totalsRowDxfId="13323"/>
    <tableColumn id="2" xr3:uid="{00000000-0010-0000-0E00-000002000000}" name="KSI_AGO" totalsRowFunction="custom" dataDxfId="13322" totalsRowDxfId="13321">
      <totalsRowFormula>SUM(Jan24_2020[KSI_AGO])</totalsRowFormula>
    </tableColumn>
    <tableColumn id="3" xr3:uid="{00000000-0010-0000-0E00-000003000000}" name="KSI_PMS" totalsRowFunction="custom" dataDxfId="13320" totalsRowDxfId="13319">
      <totalsRowFormula>SUM(Jan24_2020[KSI_PMS])</totalsRowFormula>
    </tableColumn>
    <tableColumn id="4" xr3:uid="{00000000-0010-0000-0E00-000004000000}" name="BUIPE_AGO" totalsRowFunction="custom" dataDxfId="13318" totalsRowDxfId="13317">
      <totalsRowFormula>SUM(Jan24_2020[BUIPE_AGO])</totalsRowFormula>
    </tableColumn>
    <tableColumn id="5" xr3:uid="{00000000-0010-0000-0E00-000005000000}" name="BUIPE_PMS" totalsRowFunction="custom" dataDxfId="13316" totalsRowDxfId="13315" dataCellStyle="Comma">
      <totalsRowFormula>SUM(Jan24_2020[BUIPE_PMS])</totalsRowFormula>
    </tableColumn>
    <tableColumn id="6" xr3:uid="{00000000-0010-0000-0E00-000006000000}" name="AKOSOMBO_AGO" totalsRowFunction="custom" dataDxfId="13314" totalsRowDxfId="13313">
      <totalsRowFormula>SUM(Jan24_2020[AKOSOMBO_AGO])</totalsRowFormula>
    </tableColumn>
    <tableColumn id="7" xr3:uid="{00000000-0010-0000-0E00-000007000000}" name="DATE" dataDxfId="13312" totalsRowDxfId="13311">
      <calculatedColumnFormula>$G$3</calculatedColumnFormula>
    </tableColumn>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0000000-000C-0000-FFFF-FFFF0F000000}" name="Jan27_2020" displayName="Jan27_2020" ref="B5:H20" totalsRowCount="1" headerRowDxfId="13310" headerRowBorderDxfId="13309" tableBorderDxfId="13308" totalsRowBorderDxfId="13307">
  <autoFilter ref="B5:H19" xr:uid="{00000000-0009-0000-0100-00009F000000}"/>
  <sortState xmlns:xlrd2="http://schemas.microsoft.com/office/spreadsheetml/2017/richdata2" ref="B6:H18">
    <sortCondition ref="B6"/>
  </sortState>
  <tableColumns count="7">
    <tableColumn id="1" xr3:uid="{00000000-0010-0000-0F00-000001000000}" name="BDC LIST" totalsRowLabel="Total" dataDxfId="13306" totalsRowDxfId="13305"/>
    <tableColumn id="2" xr3:uid="{00000000-0010-0000-0F00-000002000000}" name="KSI_AGO" totalsRowFunction="custom" dataDxfId="13304" totalsRowDxfId="13303">
      <totalsRowFormula>SUM(Jan27_2020[KSI_AGO])</totalsRowFormula>
    </tableColumn>
    <tableColumn id="3" xr3:uid="{00000000-0010-0000-0F00-000003000000}" name="KSI_PMS" totalsRowFunction="custom" dataDxfId="13302" totalsRowDxfId="13301">
      <totalsRowFormula>SUM(Jan27_2020[KSI_PMS])</totalsRowFormula>
    </tableColumn>
    <tableColumn id="4" xr3:uid="{00000000-0010-0000-0F00-000004000000}" name="BUIPE_AGO" totalsRowFunction="custom" dataDxfId="13300" totalsRowDxfId="13299">
      <totalsRowFormula>SUM(Jan27_2020[BUIPE_AGO])</totalsRowFormula>
    </tableColumn>
    <tableColumn id="5" xr3:uid="{00000000-0010-0000-0F00-000005000000}" name="BUIPE_PMS" totalsRowFunction="custom" dataDxfId="13298" totalsRowDxfId="13297" dataCellStyle="Comma">
      <totalsRowFormula>SUM(Jan27_2020[BUIPE_PMS])</totalsRowFormula>
    </tableColumn>
    <tableColumn id="6" xr3:uid="{00000000-0010-0000-0F00-000006000000}" name="AKOSOMBO_AGO" totalsRowFunction="custom" dataDxfId="13296" totalsRowDxfId="13295">
      <totalsRowFormula>SUM(Jan27_2020[AKOSOMBO_AGO])</totalsRowFormula>
    </tableColumn>
    <tableColumn id="7" xr3:uid="{00000000-0010-0000-0F00-000007000000}" name="DATE" dataDxfId="13294" totalsRowDxfId="13293">
      <calculatedColumnFormula>$G$3</calculatedColumnFormula>
    </tableColumn>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00000000-000C-0000-FFFF-FFFF10000000}" name="Jan28_2020" displayName="Jan28_2020" ref="B5:H20" totalsRowCount="1" headerRowDxfId="13292" headerRowBorderDxfId="13291" tableBorderDxfId="13290" totalsRowBorderDxfId="13289">
  <autoFilter ref="B5:H19" xr:uid="{00000000-0009-0000-0100-0000A7000000}"/>
  <sortState xmlns:xlrd2="http://schemas.microsoft.com/office/spreadsheetml/2017/richdata2" ref="B6:H18">
    <sortCondition ref="B6"/>
  </sortState>
  <tableColumns count="7">
    <tableColumn id="1" xr3:uid="{00000000-0010-0000-1000-000001000000}" name="BDC LIST" totalsRowLabel="Total" dataDxfId="13288" totalsRowDxfId="13287"/>
    <tableColumn id="2" xr3:uid="{00000000-0010-0000-1000-000002000000}" name="KSI_AGO" totalsRowFunction="custom" dataDxfId="13286" totalsRowDxfId="13285">
      <totalsRowFormula>SUM(Jan28_2020[KSI_AGO])</totalsRowFormula>
    </tableColumn>
    <tableColumn id="3" xr3:uid="{00000000-0010-0000-1000-000003000000}" name="KSI_PMS" totalsRowFunction="custom" dataDxfId="13284" totalsRowDxfId="13283">
      <totalsRowFormula>SUM(Jan28_2020[KSI_PMS])</totalsRowFormula>
    </tableColumn>
    <tableColumn id="4" xr3:uid="{00000000-0010-0000-1000-000004000000}" name="BUIPE_AGO" totalsRowFunction="custom" dataDxfId="13282" totalsRowDxfId="13281">
      <totalsRowFormula>SUM(Jan28_2020[BUIPE_AGO])</totalsRowFormula>
    </tableColumn>
    <tableColumn id="5" xr3:uid="{00000000-0010-0000-1000-000005000000}" name="BUIPE_PMS" totalsRowFunction="custom" dataDxfId="13280" totalsRowDxfId="13279" dataCellStyle="Comma">
      <totalsRowFormula>SUM(Jan28_2020[BUIPE_PMS])</totalsRowFormula>
    </tableColumn>
    <tableColumn id="6" xr3:uid="{00000000-0010-0000-1000-000006000000}" name="AKOSOMBO_AGO" totalsRowFunction="custom" dataDxfId="13278" totalsRowDxfId="13277">
      <totalsRowFormula>SUM(Jan28_2020[AKOSOMBO_AGO])</totalsRowFormula>
    </tableColumn>
    <tableColumn id="7" xr3:uid="{00000000-0010-0000-1000-000007000000}" name="DATE" dataDxfId="13276" totalsRowDxfId="13275">
      <calculatedColumnFormula>$G$3</calculatedColumnFormula>
    </tableColumn>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00000000-000C-0000-FFFF-FFFF11000000}" name="Jan29_2020" displayName="Jan29_2020" ref="B5:H20" totalsRowCount="1" headerRowDxfId="13274" headerRowBorderDxfId="13273" tableBorderDxfId="13272" totalsRowBorderDxfId="13271">
  <autoFilter ref="B5:H19" xr:uid="{00000000-0009-0000-0100-0000A8000000}"/>
  <sortState xmlns:xlrd2="http://schemas.microsoft.com/office/spreadsheetml/2017/richdata2" ref="B6:H18">
    <sortCondition ref="B6"/>
  </sortState>
  <tableColumns count="7">
    <tableColumn id="1" xr3:uid="{00000000-0010-0000-1100-000001000000}" name="BDC LIST" totalsRowLabel="Total" dataDxfId="13270" totalsRowDxfId="13269"/>
    <tableColumn id="2" xr3:uid="{00000000-0010-0000-1100-000002000000}" name="KSI_AGO" totalsRowFunction="custom" dataDxfId="13268" totalsRowDxfId="13267">
      <totalsRowFormula>SUM(Jan29_2020[KSI_AGO])</totalsRowFormula>
    </tableColumn>
    <tableColumn id="3" xr3:uid="{00000000-0010-0000-1100-000003000000}" name="KSI_PMS" totalsRowFunction="custom" dataDxfId="13266" totalsRowDxfId="13265">
      <totalsRowFormula>SUM(Jan29_2020[KSI_PMS])</totalsRowFormula>
    </tableColumn>
    <tableColumn id="4" xr3:uid="{00000000-0010-0000-1100-000004000000}" name="BUIPE_AGO" totalsRowFunction="custom" dataDxfId="13264" totalsRowDxfId="13263">
      <totalsRowFormula>SUM(Jan29_2020[BUIPE_AGO])</totalsRowFormula>
    </tableColumn>
    <tableColumn id="5" xr3:uid="{00000000-0010-0000-1100-000005000000}" name="BUIPE_PMS" totalsRowFunction="custom" dataDxfId="13262" totalsRowDxfId="13261" dataCellStyle="Comma">
      <totalsRowFormula>SUM(Jan29_2020[BUIPE_PMS])</totalsRowFormula>
    </tableColumn>
    <tableColumn id="6" xr3:uid="{00000000-0010-0000-1100-000006000000}" name="AKOSOMBO_AGO" totalsRowFunction="custom" dataDxfId="13260" totalsRowDxfId="13259">
      <totalsRowFormula>SUM(Jan29_2020[AKOSOMBO_AGO])</totalsRowFormula>
    </tableColumn>
    <tableColumn id="7" xr3:uid="{00000000-0010-0000-1100-000007000000}" name="DATE" dataDxfId="13258" totalsRowDxfId="13257">
      <calculatedColumnFormula>$G$3</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00000000-000C-0000-FFFF-FFFF12000000}" name="Jan30_2020" displayName="Jan30_2020" ref="B5:H20" totalsRowCount="1" headerRowDxfId="13256" headerRowBorderDxfId="13255" tableBorderDxfId="13254" totalsRowBorderDxfId="13253">
  <autoFilter ref="B5:H19" xr:uid="{00000000-0009-0000-0100-0000A9000000}"/>
  <sortState xmlns:xlrd2="http://schemas.microsoft.com/office/spreadsheetml/2017/richdata2" ref="B6:H18">
    <sortCondition ref="B6"/>
  </sortState>
  <tableColumns count="7">
    <tableColumn id="1" xr3:uid="{00000000-0010-0000-1200-000001000000}" name="BDC LIST" totalsRowLabel="Total" dataDxfId="13252" totalsRowDxfId="13251"/>
    <tableColumn id="2" xr3:uid="{00000000-0010-0000-1200-000002000000}" name="KSI_AGO" totalsRowFunction="custom" dataDxfId="13250" totalsRowDxfId="13249">
      <totalsRowFormula>SUM(Jan30_2020[KSI_AGO])</totalsRowFormula>
    </tableColumn>
    <tableColumn id="3" xr3:uid="{00000000-0010-0000-1200-000003000000}" name="KSI_PMS" totalsRowFunction="custom" dataDxfId="13248" totalsRowDxfId="13247">
      <totalsRowFormula>SUM(Jan30_2020[KSI_PMS])</totalsRowFormula>
    </tableColumn>
    <tableColumn id="4" xr3:uid="{00000000-0010-0000-1200-000004000000}" name="BUIPE_AGO" totalsRowFunction="custom" dataDxfId="13246" totalsRowDxfId="13245">
      <totalsRowFormula>SUM(Jan30_2020[BUIPE_AGO])</totalsRowFormula>
    </tableColumn>
    <tableColumn id="5" xr3:uid="{00000000-0010-0000-1200-000005000000}" name="BUIPE_PMS" totalsRowFunction="custom" dataDxfId="13244" totalsRowDxfId="13243" dataCellStyle="Comma">
      <totalsRowFormula>SUM(Jan30_2020[BUIPE_PMS])</totalsRowFormula>
    </tableColumn>
    <tableColumn id="6" xr3:uid="{00000000-0010-0000-1200-000006000000}" name="AKOSOMBO_AGO" totalsRowFunction="custom" dataDxfId="13242" totalsRowDxfId="13241">
      <totalsRowFormula>SUM(Jan30_2020[AKOSOMBO_AGO])</totalsRowFormula>
    </tableColumn>
    <tableColumn id="7" xr3:uid="{00000000-0010-0000-1200-000007000000}" name="DATE" dataDxfId="13240" totalsRowDxfId="13239">
      <calculatedColumnFormula>$G$3</calculatedColumnFormula>
    </tableColumn>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00000000-000C-0000-FFFF-FFFF13000000}" name="Jan31_2020" displayName="Jan31_2020" ref="B5:H20" totalsRowCount="1" headerRowDxfId="13238" headerRowBorderDxfId="13237" tableBorderDxfId="13236" totalsRowBorderDxfId="13235">
  <autoFilter ref="B5:H19" xr:uid="{00000000-0009-0000-0100-0000AA000000}"/>
  <sortState xmlns:xlrd2="http://schemas.microsoft.com/office/spreadsheetml/2017/richdata2" ref="B6:H18">
    <sortCondition ref="B6"/>
  </sortState>
  <tableColumns count="7">
    <tableColumn id="1" xr3:uid="{00000000-0010-0000-1300-000001000000}" name="BDC LIST" totalsRowLabel="Total" dataDxfId="13234" totalsRowDxfId="13233"/>
    <tableColumn id="2" xr3:uid="{00000000-0010-0000-1300-000002000000}" name="KSI_AGO" totalsRowFunction="custom" dataDxfId="13232" totalsRowDxfId="13231">
      <totalsRowFormula>SUM(Jan31_2020[KSI_AGO])</totalsRowFormula>
    </tableColumn>
    <tableColumn id="3" xr3:uid="{00000000-0010-0000-1300-000003000000}" name="KSI_PMS" totalsRowFunction="custom" dataDxfId="13230" totalsRowDxfId="13229">
      <totalsRowFormula>SUM(Jan31_2020[KSI_PMS])</totalsRowFormula>
    </tableColumn>
    <tableColumn id="4" xr3:uid="{00000000-0010-0000-1300-000004000000}" name="BUIPE_AGO" totalsRowFunction="custom" dataDxfId="13228" totalsRowDxfId="13227">
      <totalsRowFormula>SUM(Jan31_2020[BUIPE_AGO])</totalsRowFormula>
    </tableColumn>
    <tableColumn id="5" xr3:uid="{00000000-0010-0000-1300-000005000000}" name="BUIPE_PMS" totalsRowFunction="custom" dataDxfId="13226" totalsRowDxfId="13225" dataCellStyle="Comma">
      <totalsRowFormula>SUM(Jan31_2020[BUIPE_PMS])</totalsRowFormula>
    </tableColumn>
    <tableColumn id="6" xr3:uid="{00000000-0010-0000-1300-000006000000}" name="AKOSOMBO_AGO" totalsRowFunction="custom" dataDxfId="13224" totalsRowDxfId="13223">
      <totalsRowFormula>SUM(Jan31_2020[AKOSOMBO_AGO])</totalsRowFormula>
    </tableColumn>
    <tableColumn id="7" xr3:uid="{00000000-0010-0000-1300-000007000000}" name="DATE" dataDxfId="13222" totalsRowDxfId="13221">
      <calculatedColumnFormula>$G$3</calculatedColumnFormula>
    </tableColumn>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0000000-000C-0000-FFFF-FFFF14000000}" name="Feb03_2020" displayName="Feb03_2020" ref="B5:H20" totalsRowCount="1" headerRowDxfId="13220" headerRowBorderDxfId="13219" tableBorderDxfId="13218" totalsRowBorderDxfId="13217">
  <autoFilter ref="B5:H19" xr:uid="{00000000-0009-0000-0100-0000AB000000}"/>
  <sortState xmlns:xlrd2="http://schemas.microsoft.com/office/spreadsheetml/2017/richdata2" ref="B6:H18">
    <sortCondition ref="B6"/>
  </sortState>
  <tableColumns count="7">
    <tableColumn id="1" xr3:uid="{00000000-0010-0000-1400-000001000000}" name="BDC LIST" totalsRowLabel="Total" dataDxfId="13216" totalsRowDxfId="13215"/>
    <tableColumn id="2" xr3:uid="{00000000-0010-0000-1400-000002000000}" name="KSI_AGO" totalsRowFunction="custom" dataDxfId="13214" totalsRowDxfId="13213">
      <totalsRowFormula>SUM(Feb03_2020[KSI_AGO])</totalsRowFormula>
    </tableColumn>
    <tableColumn id="3" xr3:uid="{00000000-0010-0000-1400-000003000000}" name="KSI_PMS" totalsRowFunction="custom" dataDxfId="13212" totalsRowDxfId="13211">
      <totalsRowFormula>SUM(Feb03_2020[KSI_PMS])</totalsRowFormula>
    </tableColumn>
    <tableColumn id="4" xr3:uid="{00000000-0010-0000-1400-000004000000}" name="BUIPE_AGO" totalsRowFunction="custom" dataDxfId="13210" totalsRowDxfId="13209">
      <totalsRowFormula>SUM(Feb03_2020[BUIPE_AGO])</totalsRowFormula>
    </tableColumn>
    <tableColumn id="5" xr3:uid="{00000000-0010-0000-1400-000005000000}" name="BUIPE_PMS" totalsRowFunction="custom" dataDxfId="13208" totalsRowDxfId="13207" dataCellStyle="Comma">
      <totalsRowFormula>SUM(Feb03_2020[BUIPE_PMS])</totalsRowFormula>
    </tableColumn>
    <tableColumn id="6" xr3:uid="{00000000-0010-0000-1400-000006000000}" name="AKOSOMBO_AGO" totalsRowFunction="custom" dataDxfId="13206" totalsRowDxfId="13205">
      <totalsRowFormula>SUM(Feb03_2020[AKOSOMBO_AGO])</totalsRowFormula>
    </tableColumn>
    <tableColumn id="7" xr3:uid="{00000000-0010-0000-1400-000007000000}" name="DATE" dataDxfId="13204" totalsRowDxfId="13203">
      <calculatedColumnFormula>$G$3</calculatedColumnFormula>
    </tableColumn>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00000000-000C-0000-FFFF-FFFF15000000}" name="Feb04_2020" displayName="Feb04_2020" ref="B5:H20" totalsRowCount="1" headerRowDxfId="13202" headerRowBorderDxfId="13201" tableBorderDxfId="13200" totalsRowBorderDxfId="13199">
  <autoFilter ref="B5:H19" xr:uid="{00000000-0009-0000-0100-0000AC000000}"/>
  <sortState xmlns:xlrd2="http://schemas.microsoft.com/office/spreadsheetml/2017/richdata2" ref="B6:H18">
    <sortCondition ref="B6"/>
  </sortState>
  <tableColumns count="7">
    <tableColumn id="1" xr3:uid="{00000000-0010-0000-1500-000001000000}" name="BDC LIST" totalsRowLabel="Total" dataDxfId="13198" totalsRowDxfId="13197"/>
    <tableColumn id="2" xr3:uid="{00000000-0010-0000-1500-000002000000}" name="KSI_AGO" totalsRowFunction="custom" dataDxfId="13196" totalsRowDxfId="13195">
      <totalsRowFormula>SUM(Feb04_2020[KSI_AGO])</totalsRowFormula>
    </tableColumn>
    <tableColumn id="3" xr3:uid="{00000000-0010-0000-1500-000003000000}" name="KSI_PMS" totalsRowFunction="custom" dataDxfId="13194" totalsRowDxfId="13193">
      <totalsRowFormula>SUM(Feb04_2020[KSI_PMS])</totalsRowFormula>
    </tableColumn>
    <tableColumn id="4" xr3:uid="{00000000-0010-0000-1500-000004000000}" name="BUIPE_AGO" totalsRowFunction="custom" dataDxfId="13192" totalsRowDxfId="13191">
      <totalsRowFormula>SUM(Feb04_2020[BUIPE_AGO])</totalsRowFormula>
    </tableColumn>
    <tableColumn id="5" xr3:uid="{00000000-0010-0000-1500-000005000000}" name="BUIPE_PMS" totalsRowFunction="custom" dataDxfId="13190" totalsRowDxfId="13189" dataCellStyle="Comma">
      <totalsRowFormula>SUM(Feb04_2020[BUIPE_PMS])</totalsRowFormula>
    </tableColumn>
    <tableColumn id="6" xr3:uid="{00000000-0010-0000-1500-000006000000}" name="AKOSOMBO_AGO" totalsRowFunction="custom" dataDxfId="13188" totalsRowDxfId="13187">
      <totalsRowFormula>SUM(Feb04_2020[AKOSOMBO_AGO])</totalsRowFormula>
    </tableColumn>
    <tableColumn id="7" xr3:uid="{00000000-0010-0000-1500-000007000000}" name="DATE" dataDxfId="13186" totalsRowDxfId="13185">
      <calculatedColumnFormula>$G$3</calculatedColumnFormula>
    </tableColumn>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00000000-000C-0000-FFFF-FFFF16000000}" name="Feb05_2020" displayName="Feb05_2020" ref="B5:H20" totalsRowCount="1" headerRowDxfId="13184" headerRowBorderDxfId="13183" tableBorderDxfId="13182" totalsRowBorderDxfId="13181">
  <autoFilter ref="B5:H19" xr:uid="{00000000-0009-0000-0100-0000B9000000}"/>
  <sortState xmlns:xlrd2="http://schemas.microsoft.com/office/spreadsheetml/2017/richdata2" ref="B6:H18">
    <sortCondition ref="B6"/>
  </sortState>
  <tableColumns count="7">
    <tableColumn id="1" xr3:uid="{00000000-0010-0000-1600-000001000000}" name="BDC LIST" totalsRowLabel="Total" dataDxfId="13180" totalsRowDxfId="13179"/>
    <tableColumn id="2" xr3:uid="{00000000-0010-0000-1600-000002000000}" name="KSI_AGO" totalsRowFunction="custom" dataDxfId="13178" totalsRowDxfId="13177">
      <totalsRowFormula>SUM(Feb05_2020[KSI_AGO])</totalsRowFormula>
    </tableColumn>
    <tableColumn id="3" xr3:uid="{00000000-0010-0000-1600-000003000000}" name="KSI_PMS" totalsRowFunction="custom" dataDxfId="13176" totalsRowDxfId="13175">
      <totalsRowFormula>SUM(Feb05_2020[KSI_PMS])</totalsRowFormula>
    </tableColumn>
    <tableColumn id="4" xr3:uid="{00000000-0010-0000-1600-000004000000}" name="BUIPE_AGO" totalsRowFunction="custom" dataDxfId="13174" totalsRowDxfId="13173">
      <totalsRowFormula>SUM(Feb05_2020[BUIPE_AGO])</totalsRowFormula>
    </tableColumn>
    <tableColumn id="5" xr3:uid="{00000000-0010-0000-1600-000005000000}" name="BUIPE_PMS" totalsRowFunction="custom" dataDxfId="13172" totalsRowDxfId="13171" dataCellStyle="Comma">
      <totalsRowFormula>SUM(Feb05_2020[BUIPE_PMS])</totalsRowFormula>
    </tableColumn>
    <tableColumn id="6" xr3:uid="{00000000-0010-0000-1600-000006000000}" name="AKOSOMBO_AGO" totalsRowFunction="custom" dataDxfId="13170" totalsRowDxfId="13169">
      <totalsRowFormula>SUM(Feb05_2020[AKOSOMBO_AGO])</totalsRowFormula>
    </tableColumn>
    <tableColumn id="7" xr3:uid="{00000000-0010-0000-1600-000007000000}" name="DATE" dataDxfId="13168" totalsRowDxfId="13167">
      <calculatedColumnFormula>$G$3</calculatedColumnFormula>
    </tableColumn>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00000000-000C-0000-FFFF-FFFF17000000}" name="Feb06_2020" displayName="Feb06_2020" ref="B5:H20" totalsRowCount="1" headerRowDxfId="13166" headerRowBorderDxfId="13165" tableBorderDxfId="13164" totalsRowBorderDxfId="13163">
  <autoFilter ref="B5:H19" xr:uid="{00000000-0009-0000-0100-0000BA000000}"/>
  <sortState xmlns:xlrd2="http://schemas.microsoft.com/office/spreadsheetml/2017/richdata2" ref="B6:H18">
    <sortCondition ref="B6"/>
  </sortState>
  <tableColumns count="7">
    <tableColumn id="1" xr3:uid="{00000000-0010-0000-1700-000001000000}" name="BDC LIST" totalsRowLabel="Total" dataDxfId="13162" totalsRowDxfId="13161"/>
    <tableColumn id="2" xr3:uid="{00000000-0010-0000-1700-000002000000}" name="KSI_AGO" totalsRowFunction="custom" dataDxfId="13160" totalsRowDxfId="13159">
      <totalsRowFormula>SUM(Feb06_2020[KSI_AGO])</totalsRowFormula>
    </tableColumn>
    <tableColumn id="3" xr3:uid="{00000000-0010-0000-1700-000003000000}" name="KSI_PMS" totalsRowFunction="custom" dataDxfId="13158" totalsRowDxfId="13157">
      <totalsRowFormula>SUM(Feb06_2020[KSI_PMS])</totalsRowFormula>
    </tableColumn>
    <tableColumn id="4" xr3:uid="{00000000-0010-0000-1700-000004000000}" name="BUIPE_AGO" totalsRowFunction="custom" dataDxfId="13156" totalsRowDxfId="13155">
      <totalsRowFormula>SUM(Feb06_2020[BUIPE_AGO])</totalsRowFormula>
    </tableColumn>
    <tableColumn id="5" xr3:uid="{00000000-0010-0000-1700-000005000000}" name="BUIPE_PMS" totalsRowFunction="custom" dataDxfId="13154" totalsRowDxfId="13153" dataCellStyle="Comma">
      <totalsRowFormula>SUM(Feb06_2020[BUIPE_PMS])</totalsRowFormula>
    </tableColumn>
    <tableColumn id="6" xr3:uid="{00000000-0010-0000-1700-000006000000}" name="AKOSOMBO_AGO" totalsRowFunction="custom" dataDxfId="13152" totalsRowDxfId="13151">
      <totalsRowFormula>SUM(Feb06_2020[AKOSOMBO_AGO])</totalsRowFormula>
    </tableColumn>
    <tableColumn id="7" xr3:uid="{00000000-0010-0000-1700-000007000000}" name="DATE" dataDxfId="13150" totalsRowDxfId="13149">
      <calculatedColumnFormula>$G$3</calculatedColumnFormula>
    </tableColumn>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00000000-000C-0000-FFFF-FFFF18000000}" name="Feb07_2020" displayName="Feb07_2020" ref="B5:H20" totalsRowCount="1" headerRowDxfId="13148" headerRowBorderDxfId="13147" tableBorderDxfId="13146" totalsRowBorderDxfId="13145">
  <autoFilter ref="B5:H19" xr:uid="{00000000-0009-0000-0100-0000BB000000}"/>
  <sortState xmlns:xlrd2="http://schemas.microsoft.com/office/spreadsheetml/2017/richdata2" ref="B6:H18">
    <sortCondition ref="B6"/>
  </sortState>
  <tableColumns count="7">
    <tableColumn id="1" xr3:uid="{00000000-0010-0000-1800-000001000000}" name="BDC LIST" totalsRowLabel="Total" dataDxfId="13144" totalsRowDxfId="13143"/>
    <tableColumn id="2" xr3:uid="{00000000-0010-0000-1800-000002000000}" name="KSI_AGO" totalsRowFunction="custom" dataDxfId="13142" totalsRowDxfId="13141">
      <totalsRowFormula>SUM(Feb07_2020[KSI_AGO])</totalsRowFormula>
    </tableColumn>
    <tableColumn id="3" xr3:uid="{00000000-0010-0000-1800-000003000000}" name="KSI_PMS" totalsRowFunction="custom" dataDxfId="13140" totalsRowDxfId="13139">
      <totalsRowFormula>SUM(Feb07_2020[KSI_PMS])</totalsRowFormula>
    </tableColumn>
    <tableColumn id="4" xr3:uid="{00000000-0010-0000-1800-000004000000}" name="BUIPE_AGO" totalsRowFunction="custom" dataDxfId="13138" totalsRowDxfId="13137">
      <totalsRowFormula>SUM(Feb07_2020[BUIPE_AGO])</totalsRowFormula>
    </tableColumn>
    <tableColumn id="5" xr3:uid="{00000000-0010-0000-1800-000005000000}" name="BUIPE_PMS" totalsRowFunction="custom" dataDxfId="13136" totalsRowDxfId="13135" dataCellStyle="Comma">
      <totalsRowFormula>SUM(Feb07_2020[BUIPE_PMS])</totalsRowFormula>
    </tableColumn>
    <tableColumn id="6" xr3:uid="{00000000-0010-0000-1800-000006000000}" name="AKOSOMBO_AGO" totalsRowFunction="custom" dataDxfId="13134" totalsRowDxfId="13133">
      <totalsRowFormula>SUM(Feb07_2020[AKOSOMBO_AGO])</totalsRowFormula>
    </tableColumn>
    <tableColumn id="7" xr3:uid="{00000000-0010-0000-1800-000007000000}" name="DATE" dataDxfId="13132" totalsRowDxfId="13131">
      <calculatedColumnFormula>$G$3</calculatedColumnFormula>
    </tableColumn>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00000000-000C-0000-FFFF-FFFF19000000}" name="Feb10_2020" displayName="Feb10_2020" ref="B5:H20" totalsRowCount="1" headerRowDxfId="13130" headerRowBorderDxfId="13129" tableBorderDxfId="13128" totalsRowBorderDxfId="13127">
  <autoFilter ref="B5:H19" xr:uid="{00000000-0009-0000-0100-0000BC000000}"/>
  <sortState xmlns:xlrd2="http://schemas.microsoft.com/office/spreadsheetml/2017/richdata2" ref="B6:H18">
    <sortCondition ref="B6"/>
  </sortState>
  <tableColumns count="7">
    <tableColumn id="1" xr3:uid="{00000000-0010-0000-1900-000001000000}" name="BDC LIST" totalsRowLabel="Total" dataDxfId="13126" totalsRowDxfId="13125"/>
    <tableColumn id="2" xr3:uid="{00000000-0010-0000-1900-000002000000}" name="KSI_AGO" totalsRowFunction="custom" dataDxfId="13124" totalsRowDxfId="13123">
      <totalsRowFormula>SUM(Feb10_2020[KSI_AGO])</totalsRowFormula>
    </tableColumn>
    <tableColumn id="3" xr3:uid="{00000000-0010-0000-1900-000003000000}" name="KSI_PMS" totalsRowFunction="custom" dataDxfId="13122" totalsRowDxfId="13121">
      <totalsRowFormula>SUM(Feb10_2020[KSI_PMS])</totalsRowFormula>
    </tableColumn>
    <tableColumn id="4" xr3:uid="{00000000-0010-0000-1900-000004000000}" name="BUIPE_AGO" totalsRowFunction="custom" dataDxfId="13120" totalsRowDxfId="13119">
      <totalsRowFormula>SUM(Feb10_2020[BUIPE_AGO])</totalsRowFormula>
    </tableColumn>
    <tableColumn id="5" xr3:uid="{00000000-0010-0000-1900-000005000000}" name="BUIPE_PMS" totalsRowFunction="custom" dataDxfId="13118" totalsRowDxfId="13117" dataCellStyle="Comma">
      <totalsRowFormula>SUM(Feb10_2020[BUIPE_PMS])</totalsRowFormula>
    </tableColumn>
    <tableColumn id="6" xr3:uid="{00000000-0010-0000-1900-000006000000}" name="AKOSOMBO_AGO" totalsRowFunction="custom" dataDxfId="13116" totalsRowDxfId="13115">
      <totalsRowFormula>SUM(Feb10_2020[AKOSOMBO_AGO])</totalsRowFormula>
    </tableColumn>
    <tableColumn id="7" xr3:uid="{00000000-0010-0000-1900-000007000000}" name="DATE" dataDxfId="13114" totalsRowDxfId="13113">
      <calculatedColumnFormula>$G$3</calculatedColumnFormula>
    </tableColumn>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00000000-000C-0000-FFFF-FFFF1A000000}" name="Feb11_2020" displayName="Feb11_2020" ref="B5:H20" totalsRowCount="1" headerRowDxfId="13112" headerRowBorderDxfId="13111" tableBorderDxfId="13110" totalsRowBorderDxfId="13109">
  <autoFilter ref="B5:H19" xr:uid="{00000000-0009-0000-0100-0000BD000000}"/>
  <sortState xmlns:xlrd2="http://schemas.microsoft.com/office/spreadsheetml/2017/richdata2" ref="B6:H18">
    <sortCondition ref="B6"/>
  </sortState>
  <tableColumns count="7">
    <tableColumn id="1" xr3:uid="{00000000-0010-0000-1A00-000001000000}" name="BDC LIST" totalsRowLabel="Total" dataDxfId="13108" totalsRowDxfId="13107"/>
    <tableColumn id="2" xr3:uid="{00000000-0010-0000-1A00-000002000000}" name="KSI_AGO" totalsRowFunction="custom" dataDxfId="13106" totalsRowDxfId="13105">
      <totalsRowFormula>SUM(Feb11_2020[KSI_AGO])</totalsRowFormula>
    </tableColumn>
    <tableColumn id="3" xr3:uid="{00000000-0010-0000-1A00-000003000000}" name="KSI_PMS" totalsRowFunction="custom" dataDxfId="13104" totalsRowDxfId="13103">
      <totalsRowFormula>SUM(Feb11_2020[KSI_PMS])</totalsRowFormula>
    </tableColumn>
    <tableColumn id="4" xr3:uid="{00000000-0010-0000-1A00-000004000000}" name="BUIPE_AGO" totalsRowFunction="custom" dataDxfId="13102" totalsRowDxfId="13101">
      <totalsRowFormula>SUM(Feb11_2020[BUIPE_AGO])</totalsRowFormula>
    </tableColumn>
    <tableColumn id="5" xr3:uid="{00000000-0010-0000-1A00-000005000000}" name="BUIPE_PMS" totalsRowFunction="custom" dataDxfId="13100" totalsRowDxfId="13099" dataCellStyle="Comma">
      <totalsRowFormula>SUM(Feb11_2020[BUIPE_PMS])</totalsRowFormula>
    </tableColumn>
    <tableColumn id="6" xr3:uid="{00000000-0010-0000-1A00-000006000000}" name="AKOSOMBO_AGO" totalsRowFunction="custom" dataDxfId="13098" totalsRowDxfId="13097">
      <totalsRowFormula>SUM(Feb11_2020[AKOSOMBO_AGO])</totalsRowFormula>
    </tableColumn>
    <tableColumn id="7" xr3:uid="{00000000-0010-0000-1A00-000007000000}" name="DATE" dataDxfId="13096" totalsRowDxfId="13095">
      <calculatedColumnFormula>$G$3</calculatedColumnFormula>
    </tableColumn>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00000000-000C-0000-FFFF-FFFF1B000000}" name="Feb12_2020" displayName="Feb12_2020" ref="B5:H20" totalsRowCount="1" headerRowDxfId="13094" headerRowBorderDxfId="13093" tableBorderDxfId="13092" totalsRowBorderDxfId="13091">
  <autoFilter ref="B5:H19" xr:uid="{00000000-0009-0000-0100-0000BE000000}"/>
  <sortState xmlns:xlrd2="http://schemas.microsoft.com/office/spreadsheetml/2017/richdata2" ref="B6:H18">
    <sortCondition ref="B6"/>
  </sortState>
  <tableColumns count="7">
    <tableColumn id="1" xr3:uid="{00000000-0010-0000-1B00-000001000000}" name="BDC LIST" totalsRowLabel="Total" dataDxfId="13090" totalsRowDxfId="13089"/>
    <tableColumn id="2" xr3:uid="{00000000-0010-0000-1B00-000002000000}" name="KSI_AGO" totalsRowFunction="custom" dataDxfId="13088" totalsRowDxfId="13087">
      <totalsRowFormula>SUM(Feb12_2020[KSI_AGO])</totalsRowFormula>
    </tableColumn>
    <tableColumn id="3" xr3:uid="{00000000-0010-0000-1B00-000003000000}" name="KSI_PMS" totalsRowFunction="custom" dataDxfId="13086" totalsRowDxfId="13085">
      <totalsRowFormula>SUM(Feb12_2020[KSI_PMS])</totalsRowFormula>
    </tableColumn>
    <tableColumn id="4" xr3:uid="{00000000-0010-0000-1B00-000004000000}" name="BUIPE_AGO" totalsRowFunction="custom" dataDxfId="13084" totalsRowDxfId="13083">
      <totalsRowFormula>SUM(Feb12_2020[BUIPE_AGO])</totalsRowFormula>
    </tableColumn>
    <tableColumn id="5" xr3:uid="{00000000-0010-0000-1B00-000005000000}" name="BUIPE_PMS" totalsRowFunction="custom" dataDxfId="13082" totalsRowDxfId="13081" dataCellStyle="Comma">
      <totalsRowFormula>SUM(Feb12_2020[BUIPE_PMS])</totalsRowFormula>
    </tableColumn>
    <tableColumn id="6" xr3:uid="{00000000-0010-0000-1B00-000006000000}" name="AKOSOMBO_AGO" totalsRowFunction="custom" dataDxfId="13080" totalsRowDxfId="13079">
      <totalsRowFormula>SUM(Feb12_2020[AKOSOMBO_AGO])</totalsRowFormula>
    </tableColumn>
    <tableColumn id="7" xr3:uid="{00000000-0010-0000-1B00-000007000000}" name="DATE" dataDxfId="13078" totalsRowDxfId="13077">
      <calculatedColumnFormula>$G$3</calculatedColumnFormula>
    </tableColumn>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00000000-000C-0000-FFFF-FFFF1C000000}" name="Feb13_2020" displayName="Feb13_2020" ref="B5:H20" totalsRowCount="1" headerRowDxfId="13076" headerRowBorderDxfId="13075" tableBorderDxfId="13074" totalsRowBorderDxfId="13073">
  <autoFilter ref="B5:H19" xr:uid="{00000000-0009-0000-0100-0000BF000000}"/>
  <sortState xmlns:xlrd2="http://schemas.microsoft.com/office/spreadsheetml/2017/richdata2" ref="B6:H18">
    <sortCondition ref="B6"/>
  </sortState>
  <tableColumns count="7">
    <tableColumn id="1" xr3:uid="{00000000-0010-0000-1C00-000001000000}" name="BDC LIST" totalsRowLabel="Total" dataDxfId="13072" totalsRowDxfId="13071"/>
    <tableColumn id="2" xr3:uid="{00000000-0010-0000-1C00-000002000000}" name="KSI_AGO" totalsRowFunction="custom" dataDxfId="13070" totalsRowDxfId="13069">
      <totalsRowFormula>SUM(Feb13_2020[KSI_AGO])</totalsRowFormula>
    </tableColumn>
    <tableColumn id="3" xr3:uid="{00000000-0010-0000-1C00-000003000000}" name="KSI_PMS" totalsRowFunction="custom" dataDxfId="13068" totalsRowDxfId="13067">
      <totalsRowFormula>SUM(Feb13_2020[KSI_PMS])</totalsRowFormula>
    </tableColumn>
    <tableColumn id="4" xr3:uid="{00000000-0010-0000-1C00-000004000000}" name="BUIPE_AGO" totalsRowFunction="custom" dataDxfId="13066" totalsRowDxfId="13065">
      <totalsRowFormula>SUM(Feb13_2020[BUIPE_AGO])</totalsRowFormula>
    </tableColumn>
    <tableColumn id="5" xr3:uid="{00000000-0010-0000-1C00-000005000000}" name="BUIPE_PMS" totalsRowFunction="custom" dataDxfId="13064" totalsRowDxfId="13063" dataCellStyle="Comma">
      <totalsRowFormula>SUM(Feb13_2020[BUIPE_PMS])</totalsRowFormula>
    </tableColumn>
    <tableColumn id="6" xr3:uid="{00000000-0010-0000-1C00-000006000000}" name="AKOSOMBO_AGO" totalsRowFunction="custom" dataDxfId="13062" totalsRowDxfId="13061">
      <totalsRowFormula>SUM(Feb13_2020[AKOSOMBO_AGO])</totalsRowFormula>
    </tableColumn>
    <tableColumn id="7" xr3:uid="{00000000-0010-0000-1C00-000007000000}" name="DATE" dataDxfId="13060" totalsRowDxfId="13059">
      <calculatedColumnFormula>$G$3</calculatedColumnFormula>
    </tableColumn>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00000000-000C-0000-FFFF-FFFF1D000000}" name="Feb14_2020" displayName="Feb14_2020" ref="B5:H20" totalsRowCount="1" headerRowDxfId="13058" headerRowBorderDxfId="13057" tableBorderDxfId="13056" totalsRowBorderDxfId="13055">
  <autoFilter ref="B5:H19" xr:uid="{00000000-0009-0000-0100-0000C0000000}"/>
  <sortState xmlns:xlrd2="http://schemas.microsoft.com/office/spreadsheetml/2017/richdata2" ref="B6:H18">
    <sortCondition ref="B6"/>
  </sortState>
  <tableColumns count="7">
    <tableColumn id="1" xr3:uid="{00000000-0010-0000-1D00-000001000000}" name="BDC LIST" totalsRowLabel="Total" dataDxfId="13054" totalsRowDxfId="13053"/>
    <tableColumn id="2" xr3:uid="{00000000-0010-0000-1D00-000002000000}" name="KSI_AGO" totalsRowFunction="custom" dataDxfId="13052" totalsRowDxfId="13051">
      <totalsRowFormula>SUM(Feb14_2020[KSI_AGO])</totalsRowFormula>
    </tableColumn>
    <tableColumn id="3" xr3:uid="{00000000-0010-0000-1D00-000003000000}" name="KSI_PMS" totalsRowFunction="custom" dataDxfId="13050" totalsRowDxfId="13049">
      <totalsRowFormula>SUM(Feb14_2020[KSI_PMS])</totalsRowFormula>
    </tableColumn>
    <tableColumn id="4" xr3:uid="{00000000-0010-0000-1D00-000004000000}" name="BUIPE_AGO" totalsRowFunction="custom" dataDxfId="13048" totalsRowDxfId="13047">
      <totalsRowFormula>SUM(Feb14_2020[BUIPE_AGO])</totalsRowFormula>
    </tableColumn>
    <tableColumn id="5" xr3:uid="{00000000-0010-0000-1D00-000005000000}" name="BUIPE_PMS" totalsRowFunction="custom" dataDxfId="13046" totalsRowDxfId="13045" dataCellStyle="Comma">
      <totalsRowFormula>SUM(Feb14_2020[BUIPE_PMS])</totalsRowFormula>
    </tableColumn>
    <tableColumn id="6" xr3:uid="{00000000-0010-0000-1D00-000006000000}" name="AKOSOMBO_AGO" totalsRowFunction="custom" dataDxfId="13044" totalsRowDxfId="13043">
      <totalsRowFormula>SUM(Feb14_2020[AKOSOMBO_AGO])</totalsRowFormula>
    </tableColumn>
    <tableColumn id="7" xr3:uid="{00000000-0010-0000-1D00-000007000000}" name="DATE" dataDxfId="13042" totalsRowDxfId="13041">
      <calculatedColumnFormula>$G$3</calculatedColumnFormula>
    </tableColumn>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00000000-000C-0000-FFFF-FFFF1E000000}" name="Feb17_2020" displayName="Feb17_2020" ref="B5:H20" totalsRowCount="1" headerRowDxfId="13040" headerRowBorderDxfId="13039" tableBorderDxfId="13038" totalsRowBorderDxfId="13037">
  <autoFilter ref="B5:H19" xr:uid="{00000000-0009-0000-0100-0000C3000000}"/>
  <sortState xmlns:xlrd2="http://schemas.microsoft.com/office/spreadsheetml/2017/richdata2" ref="B6:H18">
    <sortCondition ref="B6"/>
  </sortState>
  <tableColumns count="7">
    <tableColumn id="1" xr3:uid="{00000000-0010-0000-1E00-000001000000}" name="BDC LIST" totalsRowLabel="Total" dataDxfId="13036" totalsRowDxfId="13035"/>
    <tableColumn id="2" xr3:uid="{00000000-0010-0000-1E00-000002000000}" name="KSI_AGO" totalsRowFunction="custom" dataDxfId="13034" totalsRowDxfId="13033">
      <totalsRowFormula>SUM(Feb17_2020[KSI_AGO])</totalsRowFormula>
    </tableColumn>
    <tableColumn id="3" xr3:uid="{00000000-0010-0000-1E00-000003000000}" name="KSI_PMS" totalsRowFunction="custom" dataDxfId="13032" totalsRowDxfId="13031">
      <totalsRowFormula>SUM(Feb17_2020[KSI_PMS])</totalsRowFormula>
    </tableColumn>
    <tableColumn id="4" xr3:uid="{00000000-0010-0000-1E00-000004000000}" name="BUIPE_AGO" totalsRowFunction="custom" dataDxfId="13030" totalsRowDxfId="13029">
      <totalsRowFormula>SUM(Feb17_2020[BUIPE_AGO])</totalsRowFormula>
    </tableColumn>
    <tableColumn id="5" xr3:uid="{00000000-0010-0000-1E00-000005000000}" name="BUIPE_PMS" totalsRowFunction="custom" dataDxfId="13028" totalsRowDxfId="13027" dataCellStyle="Comma">
      <totalsRowFormula>SUM(Feb17_2020[BUIPE_PMS])</totalsRowFormula>
    </tableColumn>
    <tableColumn id="6" xr3:uid="{00000000-0010-0000-1E00-000006000000}" name="AKOSOMBO_AGO" totalsRowFunction="custom" dataDxfId="13026" totalsRowDxfId="13025">
      <totalsRowFormula>SUM(Feb17_2020[AKOSOMBO_AGO])</totalsRowFormula>
    </tableColumn>
    <tableColumn id="7" xr3:uid="{00000000-0010-0000-1E00-000007000000}" name="DATE" dataDxfId="13024" totalsRowDxfId="13023">
      <calculatedColumnFormula>$G$3</calculatedColumnFormula>
    </tableColumn>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00000000-000C-0000-FFFF-FFFF1F000000}" name="Feb18_2020" displayName="Feb18_2020" ref="B5:H20" totalsRowCount="1" headerRowDxfId="13022" headerRowBorderDxfId="13021" tableBorderDxfId="13020" totalsRowBorderDxfId="13019">
  <autoFilter ref="B5:H19" xr:uid="{00000000-0009-0000-0100-0000C4000000}"/>
  <sortState xmlns:xlrd2="http://schemas.microsoft.com/office/spreadsheetml/2017/richdata2" ref="B6:H18">
    <sortCondition ref="B6"/>
  </sortState>
  <tableColumns count="7">
    <tableColumn id="1" xr3:uid="{00000000-0010-0000-1F00-000001000000}" name="BDC LIST" totalsRowLabel="Total" dataDxfId="13018" totalsRowDxfId="13017"/>
    <tableColumn id="2" xr3:uid="{00000000-0010-0000-1F00-000002000000}" name="KSI_AGO" totalsRowFunction="custom" dataDxfId="13016" totalsRowDxfId="13015">
      <totalsRowFormula>SUM(Feb18_2020[KSI_AGO])</totalsRowFormula>
    </tableColumn>
    <tableColumn id="3" xr3:uid="{00000000-0010-0000-1F00-000003000000}" name="KSI_PMS" totalsRowFunction="custom" dataDxfId="13014" totalsRowDxfId="13013">
      <totalsRowFormula>SUM(Feb18_2020[KSI_PMS])</totalsRowFormula>
    </tableColumn>
    <tableColumn id="4" xr3:uid="{00000000-0010-0000-1F00-000004000000}" name="BUIPE_AGO" totalsRowFunction="custom" dataDxfId="13012" totalsRowDxfId="13011">
      <totalsRowFormula>SUM(Feb18_2020[BUIPE_AGO])</totalsRowFormula>
    </tableColumn>
    <tableColumn id="5" xr3:uid="{00000000-0010-0000-1F00-000005000000}" name="BUIPE_PMS" totalsRowFunction="custom" dataDxfId="13010" totalsRowDxfId="13009" dataCellStyle="Comma">
      <totalsRowFormula>SUM(Feb18_2020[BUIPE_PMS])</totalsRowFormula>
    </tableColumn>
    <tableColumn id="6" xr3:uid="{00000000-0010-0000-1F00-000006000000}" name="AKOSOMBO_AGO" totalsRowFunction="custom" dataDxfId="13008" totalsRowDxfId="13007">
      <totalsRowFormula>SUM(Feb18_2020[AKOSOMBO_AGO])</totalsRowFormula>
    </tableColumn>
    <tableColumn id="7" xr3:uid="{00000000-0010-0000-1F00-000007000000}" name="DATE" dataDxfId="13006" totalsRowDxfId="13005">
      <calculatedColumnFormula>$G$3</calculatedColumnFormula>
    </tableColumn>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00000000-000C-0000-FFFF-FFFF20000000}" name="Feb19_2020" displayName="Feb19_2020" ref="B5:H20" totalsRowCount="1" headerRowDxfId="13004" headerRowBorderDxfId="13003" tableBorderDxfId="13002" totalsRowBorderDxfId="13001">
  <autoFilter ref="B5:H19" xr:uid="{00000000-0009-0000-0100-0000C5000000}"/>
  <sortState xmlns:xlrd2="http://schemas.microsoft.com/office/spreadsheetml/2017/richdata2" ref="B6:H18">
    <sortCondition ref="B6"/>
  </sortState>
  <tableColumns count="7">
    <tableColumn id="1" xr3:uid="{00000000-0010-0000-2000-000001000000}" name="BDC LIST" totalsRowLabel="Total" dataDxfId="13000" totalsRowDxfId="12999"/>
    <tableColumn id="2" xr3:uid="{00000000-0010-0000-2000-000002000000}" name="KSI_AGO" totalsRowFunction="custom" dataDxfId="12998" totalsRowDxfId="12997">
      <totalsRowFormula>SUM(Feb19_2020[KSI_AGO])</totalsRowFormula>
    </tableColumn>
    <tableColumn id="3" xr3:uid="{00000000-0010-0000-2000-000003000000}" name="KSI_PMS" totalsRowFunction="custom" dataDxfId="12996" totalsRowDxfId="12995">
      <totalsRowFormula>SUM(Feb19_2020[KSI_PMS])</totalsRowFormula>
    </tableColumn>
    <tableColumn id="4" xr3:uid="{00000000-0010-0000-2000-000004000000}" name="BUIPE_AGO" totalsRowFunction="custom" dataDxfId="12994" totalsRowDxfId="12993">
      <totalsRowFormula>SUM(Feb19_2020[BUIPE_AGO])</totalsRowFormula>
    </tableColumn>
    <tableColumn id="5" xr3:uid="{00000000-0010-0000-2000-000005000000}" name="BUIPE_PMS" totalsRowFunction="custom" dataDxfId="12992" totalsRowDxfId="12991" dataCellStyle="Comma">
      <totalsRowFormula>SUM(Feb19_2020[BUIPE_PMS])</totalsRowFormula>
    </tableColumn>
    <tableColumn id="6" xr3:uid="{00000000-0010-0000-2000-000006000000}" name="AKOSOMBO_AGO" totalsRowFunction="custom" dataDxfId="12990" totalsRowDxfId="12989">
      <totalsRowFormula>SUM(Feb19_2020[AKOSOMBO_AGO])</totalsRowFormula>
    </tableColumn>
    <tableColumn id="7" xr3:uid="{00000000-0010-0000-2000-000007000000}" name="DATE" dataDxfId="12988" totalsRowDxfId="12987">
      <calculatedColumnFormula>$G$3</calculatedColumnFormula>
    </tableColumn>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00000000-000C-0000-FFFF-FFFF21000000}" name="Feb20_2020" displayName="Feb20_2020" ref="B5:H20" totalsRowCount="1" headerRowDxfId="12986" headerRowBorderDxfId="12985" tableBorderDxfId="12984" totalsRowBorderDxfId="12983">
  <autoFilter ref="B5:H19" xr:uid="{00000000-0009-0000-0100-0000C6000000}"/>
  <sortState xmlns:xlrd2="http://schemas.microsoft.com/office/spreadsheetml/2017/richdata2" ref="B6:H18">
    <sortCondition ref="B6"/>
  </sortState>
  <tableColumns count="7">
    <tableColumn id="1" xr3:uid="{00000000-0010-0000-2100-000001000000}" name="BDC LIST" totalsRowLabel="Total" dataDxfId="12982" totalsRowDxfId="12981"/>
    <tableColumn id="2" xr3:uid="{00000000-0010-0000-2100-000002000000}" name="KSI_AGO" totalsRowFunction="custom" dataDxfId="12980" totalsRowDxfId="12979">
      <totalsRowFormula>SUM(Feb20_2020[KSI_AGO])</totalsRowFormula>
    </tableColumn>
    <tableColumn id="3" xr3:uid="{00000000-0010-0000-2100-000003000000}" name="KSI_PMS" totalsRowFunction="custom" dataDxfId="12978" totalsRowDxfId="12977">
      <totalsRowFormula>SUM(Feb20_2020[KSI_PMS])</totalsRowFormula>
    </tableColumn>
    <tableColumn id="4" xr3:uid="{00000000-0010-0000-2100-000004000000}" name="BUIPE_AGO" totalsRowFunction="custom" dataDxfId="12976" totalsRowDxfId="12975">
      <totalsRowFormula>SUM(Feb20_2020[BUIPE_AGO])</totalsRowFormula>
    </tableColumn>
    <tableColumn id="5" xr3:uid="{00000000-0010-0000-2100-000005000000}" name="BUIPE_PMS" totalsRowFunction="custom" dataDxfId="12974" totalsRowDxfId="12973" dataCellStyle="Comma">
      <totalsRowFormula>SUM(Feb20_2020[BUIPE_PMS])</totalsRowFormula>
    </tableColumn>
    <tableColumn id="6" xr3:uid="{00000000-0010-0000-2100-000006000000}" name="AKOSOMBO_AGO" totalsRowFunction="custom" dataDxfId="12972" totalsRowDxfId="12971">
      <totalsRowFormula>SUM(Feb20_2020[AKOSOMBO_AGO])</totalsRowFormula>
    </tableColumn>
    <tableColumn id="7" xr3:uid="{00000000-0010-0000-2100-000007000000}" name="DATE" dataDxfId="12970" totalsRowDxfId="12969">
      <calculatedColumnFormula>$G$3</calculatedColumnFormula>
    </tableColumn>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00000000-000C-0000-FFFF-FFFF22000000}" name="Feb21_2020" displayName="Feb21_2020" ref="B5:H20" totalsRowCount="1" headerRowDxfId="12968" headerRowBorderDxfId="12967" tableBorderDxfId="12966" totalsRowBorderDxfId="12965">
  <autoFilter ref="B5:H19" xr:uid="{00000000-0009-0000-0100-0000C7000000}"/>
  <sortState xmlns:xlrd2="http://schemas.microsoft.com/office/spreadsheetml/2017/richdata2" ref="B6:H18">
    <sortCondition ref="B6"/>
  </sortState>
  <tableColumns count="7">
    <tableColumn id="1" xr3:uid="{00000000-0010-0000-2200-000001000000}" name="BDC LIST" totalsRowLabel="Total" dataDxfId="12964" totalsRowDxfId="12963"/>
    <tableColumn id="2" xr3:uid="{00000000-0010-0000-2200-000002000000}" name="KSI_AGO" totalsRowFunction="custom" dataDxfId="12962" totalsRowDxfId="12961">
      <totalsRowFormula>SUM(Feb21_2020[KSI_AGO])</totalsRowFormula>
    </tableColumn>
    <tableColumn id="3" xr3:uid="{00000000-0010-0000-2200-000003000000}" name="KSI_PMS" totalsRowFunction="custom" dataDxfId="12960" totalsRowDxfId="12959">
      <totalsRowFormula>SUM(Feb21_2020[KSI_PMS])</totalsRowFormula>
    </tableColumn>
    <tableColumn id="4" xr3:uid="{00000000-0010-0000-2200-000004000000}" name="BUIPE_AGO" totalsRowFunction="custom" dataDxfId="12958" totalsRowDxfId="12957">
      <totalsRowFormula>SUM(Feb21_2020[BUIPE_AGO])</totalsRowFormula>
    </tableColumn>
    <tableColumn id="5" xr3:uid="{00000000-0010-0000-2200-000005000000}" name="BUIPE_PMS" totalsRowFunction="custom" dataDxfId="12956" totalsRowDxfId="12955" dataCellStyle="Comma">
      <totalsRowFormula>SUM(Feb21_2020[BUIPE_PMS])</totalsRowFormula>
    </tableColumn>
    <tableColumn id="6" xr3:uid="{00000000-0010-0000-2200-000006000000}" name="AKOSOMBO_AGO" totalsRowFunction="custom" dataDxfId="12954" totalsRowDxfId="12953">
      <totalsRowFormula>SUM(Feb21_2020[AKOSOMBO_AGO])</totalsRowFormula>
    </tableColumn>
    <tableColumn id="7" xr3:uid="{00000000-0010-0000-2200-000007000000}" name="DATE" dataDxfId="12952" totalsRowDxfId="12951">
      <calculatedColumnFormula>$G$3</calculatedColumnFormula>
    </tableColumn>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00000000-000C-0000-FFFF-FFFF23000000}" name="Feb24_2020" displayName="Feb24_2020" ref="B5:H20" totalsRowCount="1" headerRowDxfId="12950" headerRowBorderDxfId="12949" tableBorderDxfId="12948" totalsRowBorderDxfId="12947">
  <autoFilter ref="B5:H19" xr:uid="{00000000-0009-0000-0100-0000D0000000}"/>
  <sortState xmlns:xlrd2="http://schemas.microsoft.com/office/spreadsheetml/2017/richdata2" ref="B6:H18">
    <sortCondition ref="B6"/>
  </sortState>
  <tableColumns count="7">
    <tableColumn id="1" xr3:uid="{00000000-0010-0000-2300-000001000000}" name="BDC LIST" totalsRowLabel="Total" dataDxfId="12946" totalsRowDxfId="12945"/>
    <tableColumn id="2" xr3:uid="{00000000-0010-0000-2300-000002000000}" name="KSI_AGO" totalsRowFunction="custom" dataDxfId="12944" totalsRowDxfId="12943">
      <totalsRowFormula>SUM(Feb24_2020[KSI_AGO])</totalsRowFormula>
    </tableColumn>
    <tableColumn id="3" xr3:uid="{00000000-0010-0000-2300-000003000000}" name="KSI_PMS" totalsRowFunction="custom" dataDxfId="12942" totalsRowDxfId="12941">
      <totalsRowFormula>SUM(Feb24_2020[KSI_PMS])</totalsRowFormula>
    </tableColumn>
    <tableColumn id="4" xr3:uid="{00000000-0010-0000-2300-000004000000}" name="BUIPE_AGO" totalsRowFunction="custom" dataDxfId="12940" totalsRowDxfId="12939">
      <totalsRowFormula>SUM(Feb24_2020[BUIPE_AGO])</totalsRowFormula>
    </tableColumn>
    <tableColumn id="5" xr3:uid="{00000000-0010-0000-2300-000005000000}" name="BUIPE_PMS" totalsRowFunction="custom" dataDxfId="12938" totalsRowDxfId="12937" dataCellStyle="Comma">
      <totalsRowFormula>SUM(Feb24_2020[BUIPE_PMS])</totalsRowFormula>
    </tableColumn>
    <tableColumn id="6" xr3:uid="{00000000-0010-0000-2300-000006000000}" name="AKOSOMBO_AGO" totalsRowFunction="custom" dataDxfId="12936" totalsRowDxfId="12935">
      <totalsRowFormula>SUM(Feb24_2020[AKOSOMBO_AGO])</totalsRowFormula>
    </tableColumn>
    <tableColumn id="7" xr3:uid="{00000000-0010-0000-2300-000007000000}" name="DATE" dataDxfId="12934" totalsRowDxfId="12933">
      <calculatedColumnFormula>$G$3</calculatedColumnFormula>
    </tableColumn>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00000000-000C-0000-FFFF-FFFF24000000}" name="Feb25_2020" displayName="Feb25_2020" ref="B5:H20" totalsRowCount="1" headerRowDxfId="12932" headerRowBorderDxfId="12931" tableBorderDxfId="12930" totalsRowBorderDxfId="12929">
  <autoFilter ref="B5:H19" xr:uid="{00000000-0009-0000-0100-0000D1000000}"/>
  <sortState xmlns:xlrd2="http://schemas.microsoft.com/office/spreadsheetml/2017/richdata2" ref="B6:H18">
    <sortCondition ref="B6"/>
  </sortState>
  <tableColumns count="7">
    <tableColumn id="1" xr3:uid="{00000000-0010-0000-2400-000001000000}" name="BDC LIST" totalsRowLabel="Total" dataDxfId="12928" totalsRowDxfId="12927"/>
    <tableColumn id="2" xr3:uid="{00000000-0010-0000-2400-000002000000}" name="KSI_AGO" totalsRowFunction="custom" dataDxfId="12926" totalsRowDxfId="12925">
      <totalsRowFormula>SUM(Feb25_2020[KSI_AGO])</totalsRowFormula>
    </tableColumn>
    <tableColumn id="3" xr3:uid="{00000000-0010-0000-2400-000003000000}" name="KSI_PMS" totalsRowFunction="custom" dataDxfId="12924" totalsRowDxfId="12923">
      <totalsRowFormula>SUM(Feb25_2020[KSI_PMS])</totalsRowFormula>
    </tableColumn>
    <tableColumn id="4" xr3:uid="{00000000-0010-0000-2400-000004000000}" name="BUIPE_AGO" totalsRowFunction="custom" dataDxfId="12922" totalsRowDxfId="12921">
      <totalsRowFormula>SUM(Feb25_2020[BUIPE_AGO])</totalsRowFormula>
    </tableColumn>
    <tableColumn id="5" xr3:uid="{00000000-0010-0000-2400-000005000000}" name="BUIPE_PMS" totalsRowFunction="custom" dataDxfId="12920" totalsRowDxfId="12919" dataCellStyle="Comma">
      <totalsRowFormula>SUM(Feb25_2020[BUIPE_PMS])</totalsRowFormula>
    </tableColumn>
    <tableColumn id="6" xr3:uid="{00000000-0010-0000-2400-000006000000}" name="AKOSOMBO_AGO" totalsRowFunction="custom" dataDxfId="12918" totalsRowDxfId="12917">
      <totalsRowFormula>SUM(Feb25_2020[AKOSOMBO_AGO])</totalsRowFormula>
    </tableColumn>
    <tableColumn id="7" xr3:uid="{00000000-0010-0000-2400-000007000000}" name="DATE" dataDxfId="12916" totalsRowDxfId="12915">
      <calculatedColumnFormula>$G$3</calculatedColumnFormula>
    </tableColumn>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00000000-000C-0000-FFFF-FFFF25000000}" name="Feb26_2020" displayName="Feb26_2020" ref="B5:H20" totalsRowCount="1" headerRowDxfId="12914" headerRowBorderDxfId="12913" tableBorderDxfId="12912" totalsRowBorderDxfId="12911">
  <autoFilter ref="B5:H19" xr:uid="{00000000-0009-0000-0100-0000D2000000}"/>
  <sortState xmlns:xlrd2="http://schemas.microsoft.com/office/spreadsheetml/2017/richdata2" ref="B6:H18">
    <sortCondition ref="B6"/>
  </sortState>
  <tableColumns count="7">
    <tableColumn id="1" xr3:uid="{00000000-0010-0000-2500-000001000000}" name="BDC LIST" totalsRowLabel="Total" dataDxfId="12910" totalsRowDxfId="12909"/>
    <tableColumn id="2" xr3:uid="{00000000-0010-0000-2500-000002000000}" name="KSI_AGO" totalsRowFunction="custom" dataDxfId="12908" totalsRowDxfId="12907">
      <totalsRowFormula>SUM(Feb26_2020[KSI_AGO])</totalsRowFormula>
    </tableColumn>
    <tableColumn id="3" xr3:uid="{00000000-0010-0000-2500-000003000000}" name="KSI_PMS" totalsRowFunction="custom" dataDxfId="12906" totalsRowDxfId="12905">
      <totalsRowFormula>SUM(Feb26_2020[KSI_PMS])</totalsRowFormula>
    </tableColumn>
    <tableColumn id="4" xr3:uid="{00000000-0010-0000-2500-000004000000}" name="BUIPE_AGO" totalsRowFunction="custom" dataDxfId="12904" totalsRowDxfId="12903">
      <totalsRowFormula>SUM(Feb26_2020[BUIPE_AGO])</totalsRowFormula>
    </tableColumn>
    <tableColumn id="5" xr3:uid="{00000000-0010-0000-2500-000005000000}" name="BUIPE_PMS" totalsRowFunction="custom" dataDxfId="12902" totalsRowDxfId="12901" dataCellStyle="Comma">
      <totalsRowFormula>SUM(Feb26_2020[BUIPE_PMS])</totalsRowFormula>
    </tableColumn>
    <tableColumn id="6" xr3:uid="{00000000-0010-0000-2500-000006000000}" name="AKOSOMBO_AGO" totalsRowFunction="custom" dataDxfId="12900" totalsRowDxfId="12899">
      <totalsRowFormula>SUM(Feb26_2020[AKOSOMBO_AGO])</totalsRowFormula>
    </tableColumn>
    <tableColumn id="7" xr3:uid="{00000000-0010-0000-2500-000007000000}" name="DATE" dataDxfId="12898" totalsRowDxfId="12897">
      <calculatedColumnFormula>$G$3</calculatedColumnFormula>
    </tableColumn>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00000000-000C-0000-FFFF-FFFF26000000}" name="Feb27_2020" displayName="Feb27_2020" ref="B5:H20" totalsRowCount="1" headerRowDxfId="12896" headerRowBorderDxfId="12895" tableBorderDxfId="12894" totalsRowBorderDxfId="12893">
  <autoFilter ref="B5:H19" xr:uid="{00000000-0009-0000-0100-0000D3000000}"/>
  <sortState xmlns:xlrd2="http://schemas.microsoft.com/office/spreadsheetml/2017/richdata2" ref="B6:H18">
    <sortCondition ref="B6"/>
  </sortState>
  <tableColumns count="7">
    <tableColumn id="1" xr3:uid="{00000000-0010-0000-2600-000001000000}" name="BDC LIST" totalsRowLabel="Total" dataDxfId="12892" totalsRowDxfId="12891"/>
    <tableColumn id="2" xr3:uid="{00000000-0010-0000-2600-000002000000}" name="KSI_AGO" totalsRowFunction="custom" dataDxfId="12890" totalsRowDxfId="12889">
      <totalsRowFormula>SUM(Feb27_2020[KSI_AGO])</totalsRowFormula>
    </tableColumn>
    <tableColumn id="3" xr3:uid="{00000000-0010-0000-2600-000003000000}" name="KSI_PMS" totalsRowFunction="custom" dataDxfId="12888" totalsRowDxfId="12887">
      <totalsRowFormula>SUM(Feb27_2020[KSI_PMS])</totalsRowFormula>
    </tableColumn>
    <tableColumn id="4" xr3:uid="{00000000-0010-0000-2600-000004000000}" name="BUIPE_AGO" totalsRowFunction="custom" dataDxfId="12886" totalsRowDxfId="12885">
      <totalsRowFormula>SUM(Feb27_2020[BUIPE_AGO])</totalsRowFormula>
    </tableColumn>
    <tableColumn id="5" xr3:uid="{00000000-0010-0000-2600-000005000000}" name="BUIPE_PMS" totalsRowFunction="custom" dataDxfId="12884" totalsRowDxfId="12883" dataCellStyle="Comma">
      <totalsRowFormula>SUM(Feb27_2020[BUIPE_PMS])</totalsRowFormula>
    </tableColumn>
    <tableColumn id="6" xr3:uid="{00000000-0010-0000-2600-000006000000}" name="AKOSOMBO_AGO" totalsRowFunction="custom" dataDxfId="12882" totalsRowDxfId="12881">
      <totalsRowFormula>SUM(Feb27_2020[AKOSOMBO_AGO])</totalsRowFormula>
    </tableColumn>
    <tableColumn id="7" xr3:uid="{00000000-0010-0000-2600-000007000000}" name="DATE" dataDxfId="12880" totalsRowDxfId="12879">
      <calculatedColumnFormula>$G$3</calculatedColumnFormula>
    </tableColumn>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00000000-000C-0000-FFFF-FFFF27000000}" name="Feb28_2020" displayName="Feb28_2020" ref="B5:H20" totalsRowCount="1" headerRowDxfId="12878" headerRowBorderDxfId="12877" tableBorderDxfId="12876" totalsRowBorderDxfId="12875">
  <autoFilter ref="B5:H19" xr:uid="{00000000-0009-0000-0100-0000D4000000}"/>
  <sortState xmlns:xlrd2="http://schemas.microsoft.com/office/spreadsheetml/2017/richdata2" ref="B6:H18">
    <sortCondition ref="B6"/>
  </sortState>
  <tableColumns count="7">
    <tableColumn id="1" xr3:uid="{00000000-0010-0000-2700-000001000000}" name="BDC LIST" totalsRowLabel="Total" dataDxfId="12874" totalsRowDxfId="12873"/>
    <tableColumn id="2" xr3:uid="{00000000-0010-0000-2700-000002000000}" name="KSI_AGO" totalsRowFunction="custom" dataDxfId="12872" totalsRowDxfId="12871">
      <totalsRowFormula>SUM(Feb28_2020[KSI_AGO])</totalsRowFormula>
    </tableColumn>
    <tableColumn id="3" xr3:uid="{00000000-0010-0000-2700-000003000000}" name="KSI_PMS" totalsRowFunction="custom" dataDxfId="12870" totalsRowDxfId="12869">
      <totalsRowFormula>SUM(Feb28_2020[KSI_PMS])</totalsRowFormula>
    </tableColumn>
    <tableColumn id="4" xr3:uid="{00000000-0010-0000-2700-000004000000}" name="BUIPE_AGO" totalsRowFunction="custom" dataDxfId="12868" totalsRowDxfId="12867">
      <totalsRowFormula>SUM(Feb28_2020[BUIPE_AGO])</totalsRowFormula>
    </tableColumn>
    <tableColumn id="5" xr3:uid="{00000000-0010-0000-2700-000005000000}" name="BUIPE_PMS" totalsRowFunction="custom" dataDxfId="12866" totalsRowDxfId="12865" dataCellStyle="Comma">
      <totalsRowFormula>SUM(Feb28_2020[BUIPE_PMS])</totalsRowFormula>
    </tableColumn>
    <tableColumn id="6" xr3:uid="{00000000-0010-0000-2700-000006000000}" name="AKOSOMBO_AGO" totalsRowFunction="custom" dataDxfId="12864" totalsRowDxfId="12863">
      <totalsRowFormula>SUM(Feb28_2020[AKOSOMBO_AGO])</totalsRowFormula>
    </tableColumn>
    <tableColumn id="7" xr3:uid="{00000000-0010-0000-2700-000007000000}" name="DATE" dataDxfId="12862" totalsRowDxfId="12861">
      <calculatedColumnFormula>$G$3</calculatedColumnFormula>
    </tableColumn>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00000000-000C-0000-FFFF-FFFF28000000}" name="March02_2020" displayName="March02_2020" ref="B5:H20" totalsRowCount="1" headerRowDxfId="12860" headerRowBorderDxfId="12859" tableBorderDxfId="12858" totalsRowBorderDxfId="12857">
  <autoFilter ref="B5:H19" xr:uid="{00000000-0009-0000-0100-0000D5000000}"/>
  <sortState xmlns:xlrd2="http://schemas.microsoft.com/office/spreadsheetml/2017/richdata2" ref="B6:H18">
    <sortCondition ref="B6"/>
  </sortState>
  <tableColumns count="7">
    <tableColumn id="1" xr3:uid="{00000000-0010-0000-2800-000001000000}" name="BDC LIST" totalsRowLabel="Total" dataDxfId="12856" totalsRowDxfId="12855"/>
    <tableColumn id="2" xr3:uid="{00000000-0010-0000-2800-000002000000}" name="KSI_AGO" totalsRowFunction="custom" dataDxfId="12854" totalsRowDxfId="12853">
      <totalsRowFormula>SUM(March02_2020[KSI_AGO])</totalsRowFormula>
    </tableColumn>
    <tableColumn id="3" xr3:uid="{00000000-0010-0000-2800-000003000000}" name="KSI_PMS" totalsRowFunction="custom" dataDxfId="12852" totalsRowDxfId="12851">
      <totalsRowFormula>SUM(March02_2020[KSI_PMS])</totalsRowFormula>
    </tableColumn>
    <tableColumn id="4" xr3:uid="{00000000-0010-0000-2800-000004000000}" name="BUIPE_AGO" totalsRowFunction="custom" dataDxfId="12850" totalsRowDxfId="12849">
      <totalsRowFormula>SUM(March02_2020[BUIPE_AGO])</totalsRowFormula>
    </tableColumn>
    <tableColumn id="5" xr3:uid="{00000000-0010-0000-2800-000005000000}" name="BUIPE_PMS" totalsRowFunction="custom" dataDxfId="12848" totalsRowDxfId="12847" dataCellStyle="Comma">
      <totalsRowFormula>SUM(March02_2020[BUIPE_PMS])</totalsRowFormula>
    </tableColumn>
    <tableColumn id="6" xr3:uid="{00000000-0010-0000-2800-000006000000}" name="AKOSOMBO_AGO" totalsRowFunction="custom" dataDxfId="12846" totalsRowDxfId="12845">
      <totalsRowFormula>SUM(March02_2020[AKOSOMBO_AGO])</totalsRowFormula>
    </tableColumn>
    <tableColumn id="7" xr3:uid="{00000000-0010-0000-2800-000007000000}" name="DATE" dataDxfId="12844" totalsRowDxfId="12843">
      <calculatedColumnFormula>$G$3</calculatedColumnFormula>
    </tableColumn>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00000000-000C-0000-FFFF-FFFF29000000}" name="March03_2020" displayName="March03_2020" ref="B5:H20" totalsRowCount="1" headerRowDxfId="12842" headerRowBorderDxfId="12841" tableBorderDxfId="12840" totalsRowBorderDxfId="12839">
  <autoFilter ref="B5:H19" xr:uid="{00000000-0009-0000-0100-0000D6000000}"/>
  <sortState xmlns:xlrd2="http://schemas.microsoft.com/office/spreadsheetml/2017/richdata2" ref="B6:H18">
    <sortCondition ref="B6"/>
  </sortState>
  <tableColumns count="7">
    <tableColumn id="1" xr3:uid="{00000000-0010-0000-2900-000001000000}" name="BDC LIST" totalsRowLabel="Total" dataDxfId="12838" totalsRowDxfId="12837"/>
    <tableColumn id="2" xr3:uid="{00000000-0010-0000-2900-000002000000}" name="KSI_AGO" totalsRowFunction="custom" dataDxfId="12836" totalsRowDxfId="12835">
      <totalsRowFormula>SUM(March03_2020[KSI_AGO])</totalsRowFormula>
    </tableColumn>
    <tableColumn id="3" xr3:uid="{00000000-0010-0000-2900-000003000000}" name="KSI_PMS" totalsRowFunction="custom" dataDxfId="12834" totalsRowDxfId="12833">
      <totalsRowFormula>SUM(March03_2020[KSI_PMS])</totalsRowFormula>
    </tableColumn>
    <tableColumn id="4" xr3:uid="{00000000-0010-0000-2900-000004000000}" name="BUIPE_AGO" totalsRowFunction="custom" dataDxfId="12832" totalsRowDxfId="12831">
      <totalsRowFormula>SUM(March03_2020[BUIPE_AGO])</totalsRowFormula>
    </tableColumn>
    <tableColumn id="5" xr3:uid="{00000000-0010-0000-2900-000005000000}" name="BUIPE_PMS" totalsRowFunction="custom" dataDxfId="12830" totalsRowDxfId="12829" dataCellStyle="Comma">
      <totalsRowFormula>SUM(March03_2020[BUIPE_PMS])</totalsRowFormula>
    </tableColumn>
    <tableColumn id="6" xr3:uid="{00000000-0010-0000-2900-000006000000}" name="AKOSOMBO_AGO" totalsRowFunction="custom" dataDxfId="12828" totalsRowDxfId="12827">
      <totalsRowFormula>SUM(March03_2020[AKOSOMBO_AGO])</totalsRowFormula>
    </tableColumn>
    <tableColumn id="7" xr3:uid="{00000000-0010-0000-2900-000007000000}" name="DATE" dataDxfId="12826" totalsRowDxfId="12825">
      <calculatedColumnFormula>$G$3</calculatedColumnFormula>
    </tableColumn>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00000000-000C-0000-FFFF-FFFF2A000000}" name="March04_2020" displayName="March04_2020" ref="B5:H20" totalsRowCount="1" headerRowDxfId="12824" headerRowBorderDxfId="12823" tableBorderDxfId="12822" totalsRowBorderDxfId="12821">
  <autoFilter ref="B5:H19" xr:uid="{00000000-0009-0000-0100-0000D8000000}"/>
  <sortState xmlns:xlrd2="http://schemas.microsoft.com/office/spreadsheetml/2017/richdata2" ref="B6:H18">
    <sortCondition ref="B6"/>
  </sortState>
  <tableColumns count="7">
    <tableColumn id="1" xr3:uid="{00000000-0010-0000-2A00-000001000000}" name="BDC LIST" totalsRowLabel="Total" dataDxfId="12820" totalsRowDxfId="12819"/>
    <tableColumn id="2" xr3:uid="{00000000-0010-0000-2A00-000002000000}" name="KSI_AGO" totalsRowFunction="custom" dataDxfId="12818" totalsRowDxfId="12817">
      <totalsRowFormula>SUM(March04_2020[KSI_AGO])</totalsRowFormula>
    </tableColumn>
    <tableColumn id="3" xr3:uid="{00000000-0010-0000-2A00-000003000000}" name="KSI_PMS" totalsRowFunction="custom" dataDxfId="12816" totalsRowDxfId="12815">
      <totalsRowFormula>SUM(March04_2020[KSI_PMS])</totalsRowFormula>
    </tableColumn>
    <tableColumn id="4" xr3:uid="{00000000-0010-0000-2A00-000004000000}" name="BUIPE_AGO" totalsRowFunction="custom" dataDxfId="12814" totalsRowDxfId="12813">
      <totalsRowFormula>SUM(March04_2020[BUIPE_AGO])</totalsRowFormula>
    </tableColumn>
    <tableColumn id="5" xr3:uid="{00000000-0010-0000-2A00-000005000000}" name="BUIPE_PMS" totalsRowFunction="custom" dataDxfId="12812" totalsRowDxfId="12811" dataCellStyle="Comma">
      <totalsRowFormula>SUM(March04_2020[BUIPE_PMS])</totalsRowFormula>
    </tableColumn>
    <tableColumn id="6" xr3:uid="{00000000-0010-0000-2A00-000006000000}" name="AKOSOMBO_AGO" totalsRowFunction="custom" dataDxfId="12810" totalsRowDxfId="12809">
      <totalsRowFormula>SUM(March04_2020[AKOSOMBO_AGO])</totalsRowFormula>
    </tableColumn>
    <tableColumn id="7" xr3:uid="{00000000-0010-0000-2A00-000007000000}" name="DATE" dataDxfId="12808" totalsRowDxfId="12807">
      <calculatedColumnFormula>$G$3</calculatedColumnFormula>
    </tableColumn>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00000000-000C-0000-FFFF-FFFF2B000000}" name="March05_2020" displayName="March05_2020" ref="B5:H20" totalsRowCount="1" headerRowDxfId="12806" headerRowBorderDxfId="12805" tableBorderDxfId="12804" totalsRowBorderDxfId="12803">
  <autoFilter ref="B5:H19" xr:uid="{00000000-0009-0000-0100-0000E4000000}"/>
  <sortState xmlns:xlrd2="http://schemas.microsoft.com/office/spreadsheetml/2017/richdata2" ref="B6:H18">
    <sortCondition ref="B6"/>
  </sortState>
  <tableColumns count="7">
    <tableColumn id="1" xr3:uid="{00000000-0010-0000-2B00-000001000000}" name="BDC LIST" totalsRowLabel="Total" dataDxfId="12802" totalsRowDxfId="12801"/>
    <tableColumn id="2" xr3:uid="{00000000-0010-0000-2B00-000002000000}" name="KSI_AGO" totalsRowFunction="custom" dataDxfId="12800" totalsRowDxfId="12799">
      <totalsRowFormula>SUM(March05_2020[KSI_AGO])</totalsRowFormula>
    </tableColumn>
    <tableColumn id="3" xr3:uid="{00000000-0010-0000-2B00-000003000000}" name="KSI_PMS" totalsRowFunction="custom" dataDxfId="12798" totalsRowDxfId="12797">
      <totalsRowFormula>SUM(March05_2020[KSI_PMS])</totalsRowFormula>
    </tableColumn>
    <tableColumn id="4" xr3:uid="{00000000-0010-0000-2B00-000004000000}" name="BUIPE_AGO" totalsRowFunction="custom" dataDxfId="12796" totalsRowDxfId="12795">
      <totalsRowFormula>SUM(March05_2020[BUIPE_AGO])</totalsRowFormula>
    </tableColumn>
    <tableColumn id="5" xr3:uid="{00000000-0010-0000-2B00-000005000000}" name="BUIPE_PMS" totalsRowFunction="custom" dataDxfId="12794" totalsRowDxfId="12793" dataCellStyle="Comma">
      <totalsRowFormula>SUM(March05_2020[BUIPE_PMS])</totalsRowFormula>
    </tableColumn>
    <tableColumn id="6" xr3:uid="{00000000-0010-0000-2B00-000006000000}" name="AKOSOMBO_AGO" totalsRowFunction="custom" dataDxfId="12792" totalsRowDxfId="12791">
      <totalsRowFormula>SUM(March05_2020[AKOSOMBO_AGO])</totalsRowFormula>
    </tableColumn>
    <tableColumn id="7" xr3:uid="{00000000-0010-0000-2B00-000007000000}" name="DATE" dataDxfId="12790" totalsRowDxfId="12789">
      <calculatedColumnFormula>$G$3</calculatedColumnFormula>
    </tableColumn>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00000000-000C-0000-FFFF-FFFF2C000000}" name="March09_2020" displayName="March09_2020" ref="B5:H20" totalsRowCount="1" headerRowDxfId="12788" headerRowBorderDxfId="12787" tableBorderDxfId="12786" totalsRowBorderDxfId="12785">
  <autoFilter ref="B5:H19" xr:uid="{00000000-0009-0000-0100-0000E5000000}"/>
  <sortState xmlns:xlrd2="http://schemas.microsoft.com/office/spreadsheetml/2017/richdata2" ref="B6:H18">
    <sortCondition ref="B6"/>
  </sortState>
  <tableColumns count="7">
    <tableColumn id="1" xr3:uid="{00000000-0010-0000-2C00-000001000000}" name="BDC LIST" totalsRowLabel="Total" dataDxfId="12784" totalsRowDxfId="12783"/>
    <tableColumn id="2" xr3:uid="{00000000-0010-0000-2C00-000002000000}" name="KSI_AGO" totalsRowFunction="custom" dataDxfId="12782" totalsRowDxfId="12781">
      <totalsRowFormula>SUM(March09_2020[KSI_AGO])</totalsRowFormula>
    </tableColumn>
    <tableColumn id="3" xr3:uid="{00000000-0010-0000-2C00-000003000000}" name="KSI_PMS" totalsRowFunction="custom" dataDxfId="12780" totalsRowDxfId="12779">
      <totalsRowFormula>SUM(March09_2020[KSI_PMS])</totalsRowFormula>
    </tableColumn>
    <tableColumn id="4" xr3:uid="{00000000-0010-0000-2C00-000004000000}" name="BUIPE_AGO" totalsRowFunction="custom" dataDxfId="12778" totalsRowDxfId="12777">
      <totalsRowFormula>SUM(March09_2020[BUIPE_AGO])</totalsRowFormula>
    </tableColumn>
    <tableColumn id="5" xr3:uid="{00000000-0010-0000-2C00-000005000000}" name="BUIPE_PMS" totalsRowFunction="custom" dataDxfId="12776" totalsRowDxfId="12775" dataCellStyle="Comma">
      <totalsRowFormula>SUM(March09_2020[BUIPE_PMS])</totalsRowFormula>
    </tableColumn>
    <tableColumn id="6" xr3:uid="{00000000-0010-0000-2C00-000006000000}" name="AKOSOMBO_AGO" totalsRowFunction="custom" dataDxfId="12774" totalsRowDxfId="12773">
      <totalsRowFormula>SUM(March09_2020[AKOSOMBO_AGO])</totalsRowFormula>
    </tableColumn>
    <tableColumn id="7" xr3:uid="{00000000-0010-0000-2C00-000007000000}" name="DATE" dataDxfId="12772" totalsRowDxfId="12771">
      <calculatedColumnFormula>$G$3</calculatedColumnFormula>
    </tableColumn>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00000000-000C-0000-FFFF-FFFF2D000000}" name="March10_2020" displayName="March10_2020" ref="B5:H20" totalsRowCount="1" headerRowDxfId="12770" headerRowBorderDxfId="12769" tableBorderDxfId="12768" totalsRowBorderDxfId="12767">
  <autoFilter ref="B5:H19" xr:uid="{00000000-0009-0000-0100-0000E6000000}"/>
  <sortState xmlns:xlrd2="http://schemas.microsoft.com/office/spreadsheetml/2017/richdata2" ref="B6:H18">
    <sortCondition ref="B6"/>
  </sortState>
  <tableColumns count="7">
    <tableColumn id="1" xr3:uid="{00000000-0010-0000-2D00-000001000000}" name="BDC LIST" totalsRowLabel="Total" dataDxfId="12766" totalsRowDxfId="12765"/>
    <tableColumn id="2" xr3:uid="{00000000-0010-0000-2D00-000002000000}" name="KSI_AGO" totalsRowFunction="custom" dataDxfId="12764" totalsRowDxfId="12763">
      <totalsRowFormula>SUM(March10_2020[KSI_AGO])</totalsRowFormula>
    </tableColumn>
    <tableColumn id="3" xr3:uid="{00000000-0010-0000-2D00-000003000000}" name="KSI_PMS" totalsRowFunction="custom" dataDxfId="12762" totalsRowDxfId="12761">
      <totalsRowFormula>SUM(March10_2020[KSI_PMS])</totalsRowFormula>
    </tableColumn>
    <tableColumn id="4" xr3:uid="{00000000-0010-0000-2D00-000004000000}" name="BUIPE_AGO" totalsRowFunction="custom" dataDxfId="12760" totalsRowDxfId="12759">
      <totalsRowFormula>SUM(March10_2020[BUIPE_AGO])</totalsRowFormula>
    </tableColumn>
    <tableColumn id="5" xr3:uid="{00000000-0010-0000-2D00-000005000000}" name="BUIPE_PMS" totalsRowFunction="custom" dataDxfId="12758" totalsRowDxfId="12757" dataCellStyle="Comma">
      <totalsRowFormula>SUM(March10_2020[BUIPE_PMS])</totalsRowFormula>
    </tableColumn>
    <tableColumn id="6" xr3:uid="{00000000-0010-0000-2D00-000006000000}" name="AKOSOMBO_AGO" totalsRowFunction="custom" dataDxfId="12756" totalsRowDxfId="12755">
      <totalsRowFormula>SUM(March10_2020[AKOSOMBO_AGO])</totalsRowFormula>
    </tableColumn>
    <tableColumn id="7" xr3:uid="{00000000-0010-0000-2D00-000007000000}" name="DATE" dataDxfId="12754" totalsRowDxfId="12753">
      <calculatedColumnFormula>$G$3</calculatedColumnFormula>
    </tableColumn>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1" xr:uid="{00000000-000C-0000-FFFF-FFFF2E000000}" name="March11_2020" displayName="March11_2020" ref="B5:H20" totalsRowCount="1" headerRowDxfId="12752" headerRowBorderDxfId="12751" tableBorderDxfId="12750" totalsRowBorderDxfId="12749">
  <autoFilter ref="B5:H19" xr:uid="{00000000-0009-0000-0100-0000E7000000}"/>
  <sortState xmlns:xlrd2="http://schemas.microsoft.com/office/spreadsheetml/2017/richdata2" ref="B6:H18">
    <sortCondition ref="B6"/>
  </sortState>
  <tableColumns count="7">
    <tableColumn id="1" xr3:uid="{00000000-0010-0000-2E00-000001000000}" name="BDC LIST" totalsRowLabel="Total" dataDxfId="12748" totalsRowDxfId="12747"/>
    <tableColumn id="2" xr3:uid="{00000000-0010-0000-2E00-000002000000}" name="KSI_AGO" totalsRowFunction="custom" dataDxfId="12746" totalsRowDxfId="12745">
      <totalsRowFormula>SUM(March11_2020[KSI_AGO])</totalsRowFormula>
    </tableColumn>
    <tableColumn id="3" xr3:uid="{00000000-0010-0000-2E00-000003000000}" name="KSI_PMS" totalsRowFunction="custom" dataDxfId="12744" totalsRowDxfId="12743">
      <totalsRowFormula>SUM(March11_2020[KSI_PMS])</totalsRowFormula>
    </tableColumn>
    <tableColumn id="4" xr3:uid="{00000000-0010-0000-2E00-000004000000}" name="BUIPE_AGO" totalsRowFunction="custom" dataDxfId="12742" totalsRowDxfId="12741">
      <totalsRowFormula>SUM(March11_2020[BUIPE_AGO])</totalsRowFormula>
    </tableColumn>
    <tableColumn id="5" xr3:uid="{00000000-0010-0000-2E00-000005000000}" name="BUIPE_PMS" totalsRowFunction="custom" dataDxfId="12740" totalsRowDxfId="12739" dataCellStyle="Comma">
      <totalsRowFormula>SUM(March11_2020[BUIPE_PMS])</totalsRowFormula>
    </tableColumn>
    <tableColumn id="6" xr3:uid="{00000000-0010-0000-2E00-000006000000}" name="AKOSOMBO_AGO" totalsRowFunction="custom" dataDxfId="12738" totalsRowDxfId="12737">
      <totalsRowFormula>SUM(March11_2020[AKOSOMBO_AGO])</totalsRowFormula>
    </tableColumn>
    <tableColumn id="7" xr3:uid="{00000000-0010-0000-2E00-000007000000}" name="DATE" dataDxfId="12736" totalsRowDxfId="12735">
      <calculatedColumnFormula>$G$3</calculatedColumnFormula>
    </tableColumn>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2" xr:uid="{00000000-000C-0000-FFFF-FFFF2F000000}" name="March12_2020" displayName="March12_2020" ref="B5:H20" totalsRowCount="1" headerRowDxfId="12734" headerRowBorderDxfId="12733" tableBorderDxfId="12732" totalsRowBorderDxfId="12731">
  <autoFilter ref="B5:H19" xr:uid="{00000000-0009-0000-0100-0000E8000000}"/>
  <sortState xmlns:xlrd2="http://schemas.microsoft.com/office/spreadsheetml/2017/richdata2" ref="B6:H18">
    <sortCondition ref="B6"/>
  </sortState>
  <tableColumns count="7">
    <tableColumn id="1" xr3:uid="{00000000-0010-0000-2F00-000001000000}" name="BDC LIST" totalsRowLabel="Total" dataDxfId="12730" totalsRowDxfId="12729"/>
    <tableColumn id="2" xr3:uid="{00000000-0010-0000-2F00-000002000000}" name="KSI_AGO" totalsRowFunction="custom" dataDxfId="12728" totalsRowDxfId="12727">
      <totalsRowFormula>SUM(March12_2020[KSI_AGO])</totalsRowFormula>
    </tableColumn>
    <tableColumn id="3" xr3:uid="{00000000-0010-0000-2F00-000003000000}" name="KSI_PMS" totalsRowFunction="custom" dataDxfId="12726" totalsRowDxfId="12725">
      <totalsRowFormula>SUM(March12_2020[KSI_PMS])</totalsRowFormula>
    </tableColumn>
    <tableColumn id="4" xr3:uid="{00000000-0010-0000-2F00-000004000000}" name="BUIPE_AGO" totalsRowFunction="custom" dataDxfId="12724" totalsRowDxfId="12723">
      <totalsRowFormula>SUM(March12_2020[BUIPE_AGO])</totalsRowFormula>
    </tableColumn>
    <tableColumn id="5" xr3:uid="{00000000-0010-0000-2F00-000005000000}" name="BUIPE_PMS" totalsRowFunction="custom" dataDxfId="12722" totalsRowDxfId="12721" dataCellStyle="Comma">
      <totalsRowFormula>SUM(March12_2020[BUIPE_PMS])</totalsRowFormula>
    </tableColumn>
    <tableColumn id="6" xr3:uid="{00000000-0010-0000-2F00-000006000000}" name="AKOSOMBO_AGO" totalsRowFunction="custom" dataDxfId="12720" totalsRowDxfId="12719">
      <totalsRowFormula>SUM(March12_2020[AKOSOMBO_AGO])</totalsRowFormula>
    </tableColumn>
    <tableColumn id="7" xr3:uid="{00000000-0010-0000-2F00-000007000000}" name="DATE" dataDxfId="12718" totalsRowDxfId="12717">
      <calculatedColumnFormula>$G$3</calculatedColumnFormula>
    </tableColumn>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3" xr:uid="{00000000-000C-0000-FFFF-FFFF30000000}" name="March13_2020" displayName="March13_2020" ref="B5:H20" totalsRowCount="1" headerRowDxfId="12716" headerRowBorderDxfId="12715" tableBorderDxfId="12714" totalsRowBorderDxfId="12713">
  <autoFilter ref="B5:H19" xr:uid="{00000000-0009-0000-0100-0000E9000000}"/>
  <sortState xmlns:xlrd2="http://schemas.microsoft.com/office/spreadsheetml/2017/richdata2" ref="B6:H18">
    <sortCondition ref="B6"/>
  </sortState>
  <tableColumns count="7">
    <tableColumn id="1" xr3:uid="{00000000-0010-0000-3000-000001000000}" name="BDC LIST" totalsRowLabel="Total" dataDxfId="12712" totalsRowDxfId="12711"/>
    <tableColumn id="2" xr3:uid="{00000000-0010-0000-3000-000002000000}" name="KSI_AGO" totalsRowFunction="custom" dataDxfId="12710" totalsRowDxfId="12709">
      <totalsRowFormula>SUM(March13_2020[KSI_AGO])</totalsRowFormula>
    </tableColumn>
    <tableColumn id="3" xr3:uid="{00000000-0010-0000-3000-000003000000}" name="KSI_PMS" totalsRowFunction="custom" dataDxfId="12708" totalsRowDxfId="12707">
      <totalsRowFormula>SUM(March13_2020[KSI_PMS])</totalsRowFormula>
    </tableColumn>
    <tableColumn id="4" xr3:uid="{00000000-0010-0000-3000-000004000000}" name="BUIPE_AGO" totalsRowFunction="custom" dataDxfId="12706" totalsRowDxfId="12705">
      <totalsRowFormula>SUM(March13_2020[BUIPE_AGO])</totalsRowFormula>
    </tableColumn>
    <tableColumn id="5" xr3:uid="{00000000-0010-0000-3000-000005000000}" name="BUIPE_PMS" totalsRowFunction="custom" dataDxfId="12704" totalsRowDxfId="12703" dataCellStyle="Comma">
      <totalsRowFormula>SUM(March13_2020[BUIPE_PMS])</totalsRowFormula>
    </tableColumn>
    <tableColumn id="6" xr3:uid="{00000000-0010-0000-3000-000006000000}" name="AKOSOMBO_AGO" totalsRowFunction="custom" dataDxfId="12702" totalsRowDxfId="12701">
      <totalsRowFormula>SUM(March13_2020[AKOSOMBO_AGO])</totalsRowFormula>
    </tableColumn>
    <tableColumn id="7" xr3:uid="{00000000-0010-0000-3000-000007000000}" name="DATE" dataDxfId="12700" totalsRowDxfId="12699">
      <calculatedColumnFormula>$G$3</calculatedColumnFormula>
    </tableColumn>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4" xr:uid="{00000000-000C-0000-FFFF-FFFF31000000}" name="March16_2020" displayName="March16_2020" ref="B5:H20" totalsRowCount="1" headerRowDxfId="12698" headerRowBorderDxfId="12697" tableBorderDxfId="12696" totalsRowBorderDxfId="12695">
  <autoFilter ref="B5:H19" xr:uid="{00000000-0009-0000-0100-0000EA000000}"/>
  <sortState xmlns:xlrd2="http://schemas.microsoft.com/office/spreadsheetml/2017/richdata2" ref="B6:H18">
    <sortCondition ref="B6"/>
  </sortState>
  <tableColumns count="7">
    <tableColumn id="1" xr3:uid="{00000000-0010-0000-3100-000001000000}" name="BDC LIST" totalsRowLabel="Total" dataDxfId="12694" totalsRowDxfId="12693"/>
    <tableColumn id="2" xr3:uid="{00000000-0010-0000-3100-000002000000}" name="KSI_AGO" totalsRowFunction="custom" dataDxfId="12692" totalsRowDxfId="12691">
      <totalsRowFormula>SUM(March16_2020[KSI_AGO])</totalsRowFormula>
    </tableColumn>
    <tableColumn id="3" xr3:uid="{00000000-0010-0000-3100-000003000000}" name="KSI_PMS" totalsRowFunction="custom" dataDxfId="12690" totalsRowDxfId="12689">
      <totalsRowFormula>SUM(March16_2020[KSI_PMS])</totalsRowFormula>
    </tableColumn>
    <tableColumn id="4" xr3:uid="{00000000-0010-0000-3100-000004000000}" name="BUIPE_AGO" totalsRowFunction="custom" dataDxfId="12688" totalsRowDxfId="12687">
      <totalsRowFormula>SUM(March16_2020[BUIPE_AGO])</totalsRowFormula>
    </tableColumn>
    <tableColumn id="5" xr3:uid="{00000000-0010-0000-3100-000005000000}" name="BUIPE_PMS" totalsRowFunction="custom" dataDxfId="12686" totalsRowDxfId="12685" dataCellStyle="Comma">
      <totalsRowFormula>SUM(March16_2020[BUIPE_PMS])</totalsRowFormula>
    </tableColumn>
    <tableColumn id="6" xr3:uid="{00000000-0010-0000-3100-000006000000}" name="AKOSOMBO_AGO" totalsRowFunction="custom" dataDxfId="12684" totalsRowDxfId="12683">
      <totalsRowFormula>SUM(March16_2020[AKOSOMBO_AGO])</totalsRowFormula>
    </tableColumn>
    <tableColumn id="7" xr3:uid="{00000000-0010-0000-3100-000007000000}" name="DATE" dataDxfId="12682" totalsRowDxfId="12681">
      <calculatedColumnFormula>$G$3</calculatedColumnFormula>
    </tableColumn>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9BC110-B6FA-463E-A1D7-1FD9EEA26AD0}" name="March17_2020" displayName="March17_2020" ref="B5:H20" totalsRowCount="1" headerRowDxfId="12680" headerRowBorderDxfId="12679" tableBorderDxfId="12678" totalsRowBorderDxfId="12677">
  <autoFilter ref="B5:H19" xr:uid="{EFE0B277-BB89-4315-9E65-CFCCD3CAB662}"/>
  <sortState xmlns:xlrd2="http://schemas.microsoft.com/office/spreadsheetml/2017/richdata2" ref="B6:H18">
    <sortCondition ref="B6"/>
  </sortState>
  <tableColumns count="7">
    <tableColumn id="1" xr3:uid="{D04944B5-8017-4502-B623-7635CBB30B13}" name="BDC LIST" totalsRowLabel="Total" dataDxfId="12676" totalsRowDxfId="12675"/>
    <tableColumn id="2" xr3:uid="{EEF589B6-7D64-4B5F-A7A6-0F282845C4BF}" name="KSI_AGO" totalsRowFunction="custom" dataDxfId="12674" totalsRowDxfId="12673">
      <totalsRowFormula>SUM(March17_2020[KSI_AGO])</totalsRowFormula>
    </tableColumn>
    <tableColumn id="3" xr3:uid="{A56FA975-F66D-44A9-95DB-01D368D72AA9}" name="KSI_PMS" totalsRowFunction="custom" dataDxfId="12672" totalsRowDxfId="12671">
      <totalsRowFormula>SUM(March17_2020[KSI_PMS])</totalsRowFormula>
    </tableColumn>
    <tableColumn id="4" xr3:uid="{0C7D4B5D-885A-4729-87E2-F91E9EC7A06D}" name="BUIPE_AGO" totalsRowFunction="custom" dataDxfId="12670" totalsRowDxfId="12669">
      <totalsRowFormula>SUM(March17_2020[BUIPE_AGO])</totalsRowFormula>
    </tableColumn>
    <tableColumn id="5" xr3:uid="{1250886B-617D-48AA-8C02-DA9AE7B4D992}" name="BUIPE_PMS" totalsRowFunction="custom" dataDxfId="12668" totalsRowDxfId="12667" dataCellStyle="Comma">
      <totalsRowFormula>SUM(March17_2020[BUIPE_PMS])</totalsRowFormula>
    </tableColumn>
    <tableColumn id="6" xr3:uid="{6261EF6B-03C6-4E76-BDB1-0D6E612EB110}" name="AKOSOMBO_AGO" totalsRowFunction="custom" dataDxfId="12666" totalsRowDxfId="12665">
      <totalsRowFormula>SUM(March17_2020[AKOSOMBO_AGO])</totalsRowFormula>
    </tableColumn>
    <tableColumn id="7" xr3:uid="{6592F739-02BC-4BD2-9210-A9F999E1C4B1}" name="DATE" dataDxfId="12664" totalsRowDxfId="12663">
      <calculatedColumnFormula>$G$3</calculatedColumnFormula>
    </tableColumn>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6" xr:uid="{00000000-000C-0000-FFFF-FFFF33000000}" name="March18_2020" displayName="March18_2020" ref="B5:H20" totalsRowCount="1" headerRowDxfId="12662" headerRowBorderDxfId="12661" tableBorderDxfId="12660" totalsRowBorderDxfId="12659">
  <autoFilter ref="B5:H19" xr:uid="{00000000-0009-0000-0100-0000EC000000}"/>
  <sortState xmlns:xlrd2="http://schemas.microsoft.com/office/spreadsheetml/2017/richdata2" ref="B6:H18">
    <sortCondition ref="B6"/>
  </sortState>
  <tableColumns count="7">
    <tableColumn id="1" xr3:uid="{00000000-0010-0000-3300-000001000000}" name="BDC LIST" totalsRowLabel="Total" dataDxfId="12658" totalsRowDxfId="12657"/>
    <tableColumn id="2" xr3:uid="{00000000-0010-0000-3300-000002000000}" name="KSI_AGO" totalsRowFunction="custom" dataDxfId="12656" totalsRowDxfId="12655">
      <totalsRowFormula>SUM(March18_2020[KSI_AGO])</totalsRowFormula>
    </tableColumn>
    <tableColumn id="3" xr3:uid="{00000000-0010-0000-3300-000003000000}" name="KSI_PMS" totalsRowFunction="custom" dataDxfId="12654" totalsRowDxfId="12653">
      <totalsRowFormula>SUM(March18_2020[KSI_PMS])</totalsRowFormula>
    </tableColumn>
    <tableColumn id="4" xr3:uid="{00000000-0010-0000-3300-000004000000}" name="BUIPE_AGO" totalsRowFunction="custom" dataDxfId="12652" totalsRowDxfId="12651">
      <totalsRowFormula>SUM(March18_2020[BUIPE_AGO])</totalsRowFormula>
    </tableColumn>
    <tableColumn id="5" xr3:uid="{00000000-0010-0000-3300-000005000000}" name="BUIPE_PMS" totalsRowFunction="custom" dataDxfId="12650" totalsRowDxfId="12649" dataCellStyle="Comma">
      <totalsRowFormula>SUM(March18_2020[BUIPE_PMS])</totalsRowFormula>
    </tableColumn>
    <tableColumn id="6" xr3:uid="{00000000-0010-0000-3300-000006000000}" name="AKOSOMBO_AGO" totalsRowFunction="custom" dataDxfId="12648" totalsRowDxfId="12647">
      <totalsRowFormula>SUM(March18_2020[AKOSOMBO_AGO])</totalsRowFormula>
    </tableColumn>
    <tableColumn id="7" xr3:uid="{00000000-0010-0000-3300-000007000000}" name="DATE" dataDxfId="12646" totalsRowDxfId="12645">
      <calculatedColumnFormula>$G$3</calculatedColumnFormula>
    </tableColumn>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7" xr:uid="{00000000-000C-0000-FFFF-FFFF34000000}" name="March19_2020" displayName="March19_2020" ref="B5:H20" totalsRowCount="1" headerRowDxfId="12644" headerRowBorderDxfId="12643" tableBorderDxfId="12642" totalsRowBorderDxfId="12641">
  <autoFilter ref="B5:H19" xr:uid="{00000000-0009-0000-0100-0000ED000000}"/>
  <sortState xmlns:xlrd2="http://schemas.microsoft.com/office/spreadsheetml/2017/richdata2" ref="B6:H18">
    <sortCondition ref="B6"/>
  </sortState>
  <tableColumns count="7">
    <tableColumn id="1" xr3:uid="{00000000-0010-0000-3400-000001000000}" name="BDC LIST" totalsRowLabel="Total" dataDxfId="12640" totalsRowDxfId="12639"/>
    <tableColumn id="2" xr3:uid="{00000000-0010-0000-3400-000002000000}" name="KSI_AGO" totalsRowFunction="custom" dataDxfId="12638" totalsRowDxfId="12637">
      <totalsRowFormula>SUM(March19_2020[KSI_AGO])</totalsRowFormula>
    </tableColumn>
    <tableColumn id="3" xr3:uid="{00000000-0010-0000-3400-000003000000}" name="KSI_PMS" totalsRowFunction="custom" dataDxfId="12636" totalsRowDxfId="12635">
      <totalsRowFormula>SUM(March19_2020[KSI_PMS])</totalsRowFormula>
    </tableColumn>
    <tableColumn id="4" xr3:uid="{00000000-0010-0000-3400-000004000000}" name="BUIPE_AGO" totalsRowFunction="custom" dataDxfId="12634" totalsRowDxfId="12633">
      <totalsRowFormula>SUM(March19_2020[BUIPE_AGO])</totalsRowFormula>
    </tableColumn>
    <tableColumn id="5" xr3:uid="{00000000-0010-0000-3400-000005000000}" name="BUIPE_PMS" totalsRowFunction="custom" dataDxfId="12632" totalsRowDxfId="12631" dataCellStyle="Comma">
      <totalsRowFormula>SUM(March19_2020[BUIPE_PMS])</totalsRowFormula>
    </tableColumn>
    <tableColumn id="6" xr3:uid="{00000000-0010-0000-3400-000006000000}" name="AKOSOMBO_AGO" totalsRowFunction="custom" dataDxfId="12630" totalsRowDxfId="12629">
      <totalsRowFormula>SUM(March19_2020[AKOSOMBO_AGO])</totalsRowFormula>
    </tableColumn>
    <tableColumn id="7" xr3:uid="{00000000-0010-0000-3400-000007000000}" name="DATE" dataDxfId="12628" totalsRowDxfId="12627">
      <calculatedColumnFormula>$G$3</calculatedColumnFormula>
    </tableColumn>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8" xr:uid="{00000000-000C-0000-FFFF-FFFF35000000}" name="March20_2020" displayName="March20_2020" ref="B5:H20" totalsRowCount="1" headerRowDxfId="12626" headerRowBorderDxfId="12625" tableBorderDxfId="12624" totalsRowBorderDxfId="12623">
  <autoFilter ref="B5:H19" xr:uid="{00000000-0009-0000-0100-0000EE000000}"/>
  <sortState xmlns:xlrd2="http://schemas.microsoft.com/office/spreadsheetml/2017/richdata2" ref="B6:H18">
    <sortCondition ref="B6"/>
  </sortState>
  <tableColumns count="7">
    <tableColumn id="1" xr3:uid="{00000000-0010-0000-3500-000001000000}" name="BDC LIST" totalsRowLabel="Total" dataDxfId="12622" totalsRowDxfId="12621"/>
    <tableColumn id="2" xr3:uid="{00000000-0010-0000-3500-000002000000}" name="KSI_AGO" totalsRowFunction="custom" dataDxfId="12620" totalsRowDxfId="12619">
      <totalsRowFormula>SUM(March20_2020[KSI_AGO])</totalsRowFormula>
    </tableColumn>
    <tableColumn id="3" xr3:uid="{00000000-0010-0000-3500-000003000000}" name="KSI_PMS" totalsRowFunction="custom" dataDxfId="12618" totalsRowDxfId="12617">
      <totalsRowFormula>SUM(March20_2020[KSI_PMS])</totalsRowFormula>
    </tableColumn>
    <tableColumn id="4" xr3:uid="{00000000-0010-0000-3500-000004000000}" name="BUIPE_AGO" totalsRowFunction="custom" dataDxfId="12616" totalsRowDxfId="12615">
      <totalsRowFormula>SUM(March20_2020[BUIPE_AGO])</totalsRowFormula>
    </tableColumn>
    <tableColumn id="5" xr3:uid="{00000000-0010-0000-3500-000005000000}" name="BUIPE_PMS" totalsRowFunction="custom" dataDxfId="12614" totalsRowDxfId="12613" dataCellStyle="Comma">
      <totalsRowFormula>SUM(March20_2020[BUIPE_PMS])</totalsRowFormula>
    </tableColumn>
    <tableColumn id="6" xr3:uid="{00000000-0010-0000-3500-000006000000}" name="AKOSOMBO_AGO" totalsRowFunction="custom" dataDxfId="12612" totalsRowDxfId="12611">
      <totalsRowFormula>SUM(March20_2020[AKOSOMBO_AGO])</totalsRowFormula>
    </tableColumn>
    <tableColumn id="7" xr3:uid="{00000000-0010-0000-3500-000007000000}" name="DATE" dataDxfId="12610" totalsRowDxfId="12609">
      <calculatedColumnFormula>$G$3</calculatedColumnFormula>
    </tableColumn>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3" xr:uid="{00000000-000C-0000-FFFF-FFFF36000000}" name="March23_2020" displayName="March23_2020" ref="B5:H20" totalsRowCount="1" headerRowDxfId="12608" headerRowBorderDxfId="12607" tableBorderDxfId="12606" totalsRowBorderDxfId="12605">
  <autoFilter ref="B5:H19" xr:uid="{00000000-0009-0000-0100-0000FD000000}"/>
  <sortState xmlns:xlrd2="http://schemas.microsoft.com/office/spreadsheetml/2017/richdata2" ref="B6:H18">
    <sortCondition ref="B6"/>
  </sortState>
  <tableColumns count="7">
    <tableColumn id="1" xr3:uid="{00000000-0010-0000-3600-000001000000}" name="BDC LIST" totalsRowLabel="Total" dataDxfId="12604" totalsRowDxfId="12603"/>
    <tableColumn id="2" xr3:uid="{00000000-0010-0000-3600-000002000000}" name="KSI_AGO" totalsRowFunction="custom" dataDxfId="12602" totalsRowDxfId="12601">
      <totalsRowFormula>SUM(March23_2020[KSI_AGO])</totalsRowFormula>
    </tableColumn>
    <tableColumn id="3" xr3:uid="{00000000-0010-0000-3600-000003000000}" name="KSI_PMS" totalsRowFunction="custom" dataDxfId="12600" totalsRowDxfId="12599">
      <totalsRowFormula>SUM(March23_2020[KSI_PMS])</totalsRowFormula>
    </tableColumn>
    <tableColumn id="4" xr3:uid="{00000000-0010-0000-3600-000004000000}" name="BUIPE_AGO" totalsRowFunction="custom" dataDxfId="12598" totalsRowDxfId="12597">
      <totalsRowFormula>SUM(March23_2020[BUIPE_AGO])</totalsRowFormula>
    </tableColumn>
    <tableColumn id="5" xr3:uid="{00000000-0010-0000-3600-000005000000}" name="BUIPE_PMS" totalsRowFunction="custom" dataDxfId="12596" totalsRowDxfId="12595" dataCellStyle="Comma">
      <totalsRowFormula>SUM(March23_2020[BUIPE_PMS])</totalsRowFormula>
    </tableColumn>
    <tableColumn id="6" xr3:uid="{00000000-0010-0000-3600-000006000000}" name="AKOSOMBO_AGO" totalsRowFunction="custom" dataDxfId="12594" totalsRowDxfId="12593">
      <totalsRowFormula>SUM(March23_2020[AKOSOMBO_AGO])</totalsRowFormula>
    </tableColumn>
    <tableColumn id="7" xr3:uid="{00000000-0010-0000-3600-000007000000}" name="DATE" dataDxfId="12592" totalsRowDxfId="12591">
      <calculatedColumnFormula>$G$3</calculatedColumnFormula>
    </tableColumn>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4" xr:uid="{00000000-000C-0000-FFFF-FFFF37000000}" name="March24_2020" displayName="March24_2020" ref="B5:H20" totalsRowCount="1" headerRowDxfId="12590" headerRowBorderDxfId="12589" tableBorderDxfId="12588" totalsRowBorderDxfId="12587">
  <autoFilter ref="B5:H19" xr:uid="{00000000-0009-0000-0100-0000FE000000}"/>
  <sortState xmlns:xlrd2="http://schemas.microsoft.com/office/spreadsheetml/2017/richdata2" ref="B6:H18">
    <sortCondition ref="B6"/>
  </sortState>
  <tableColumns count="7">
    <tableColumn id="1" xr3:uid="{00000000-0010-0000-3700-000001000000}" name="BDC LIST" totalsRowLabel="Total" dataDxfId="12586" totalsRowDxfId="12585"/>
    <tableColumn id="2" xr3:uid="{00000000-0010-0000-3700-000002000000}" name="KSI_AGO" totalsRowFunction="custom" dataDxfId="12584" totalsRowDxfId="12583">
      <totalsRowFormula>SUM(March24_2020[KSI_AGO])</totalsRowFormula>
    </tableColumn>
    <tableColumn id="3" xr3:uid="{00000000-0010-0000-3700-000003000000}" name="KSI_PMS" totalsRowFunction="custom" dataDxfId="12582" totalsRowDxfId="12581">
      <totalsRowFormula>SUM(March24_2020[KSI_PMS])</totalsRowFormula>
    </tableColumn>
    <tableColumn id="4" xr3:uid="{00000000-0010-0000-3700-000004000000}" name="BUIPE_AGO" totalsRowFunction="custom" dataDxfId="12580" totalsRowDxfId="12579">
      <totalsRowFormula>SUM(March24_2020[BUIPE_AGO])</totalsRowFormula>
    </tableColumn>
    <tableColumn id="5" xr3:uid="{00000000-0010-0000-3700-000005000000}" name="BUIPE_PMS" totalsRowFunction="custom" dataDxfId="12578" totalsRowDxfId="12577" dataCellStyle="Comma">
      <totalsRowFormula>SUM(March24_2020[BUIPE_PMS])</totalsRowFormula>
    </tableColumn>
    <tableColumn id="6" xr3:uid="{00000000-0010-0000-3700-000006000000}" name="AKOSOMBO_AGO" totalsRowFunction="custom" dataDxfId="12576" totalsRowDxfId="12575">
      <totalsRowFormula>SUM(March24_2020[AKOSOMBO_AGO])</totalsRowFormula>
    </tableColumn>
    <tableColumn id="7" xr3:uid="{00000000-0010-0000-3700-000007000000}" name="DATE" dataDxfId="12574" totalsRowDxfId="12573">
      <calculatedColumnFormula>$G$3</calculatedColumnFormula>
    </tableColumn>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5" xr:uid="{00000000-000C-0000-FFFF-FFFF38000000}" name="March25_2020" displayName="March25_2020" ref="B5:H20" totalsRowCount="1" headerRowDxfId="12572" headerRowBorderDxfId="12571" tableBorderDxfId="12570" totalsRowBorderDxfId="12569">
  <autoFilter ref="B5:H19" xr:uid="{00000000-0009-0000-0100-0000FF000000}"/>
  <sortState xmlns:xlrd2="http://schemas.microsoft.com/office/spreadsheetml/2017/richdata2" ref="B6:H18">
    <sortCondition ref="B6"/>
  </sortState>
  <tableColumns count="7">
    <tableColumn id="1" xr3:uid="{00000000-0010-0000-3800-000001000000}" name="BDC LIST" totalsRowLabel="Total" dataDxfId="12568" totalsRowDxfId="12567"/>
    <tableColumn id="2" xr3:uid="{00000000-0010-0000-3800-000002000000}" name="KSI_AGO" totalsRowFunction="custom" dataDxfId="12566" totalsRowDxfId="12565">
      <totalsRowFormula>SUM(March25_2020[KSI_AGO])</totalsRowFormula>
    </tableColumn>
    <tableColumn id="3" xr3:uid="{00000000-0010-0000-3800-000003000000}" name="KSI_PMS" totalsRowFunction="custom" dataDxfId="12564" totalsRowDxfId="12563">
      <totalsRowFormula>SUM(March25_2020[KSI_PMS])</totalsRowFormula>
    </tableColumn>
    <tableColumn id="4" xr3:uid="{00000000-0010-0000-3800-000004000000}" name="BUIPE_AGO" totalsRowFunction="custom" dataDxfId="12562" totalsRowDxfId="12561">
      <totalsRowFormula>SUM(March25_2020[BUIPE_AGO])</totalsRowFormula>
    </tableColumn>
    <tableColumn id="5" xr3:uid="{00000000-0010-0000-3800-000005000000}" name="BUIPE_PMS" totalsRowFunction="custom" dataDxfId="12560" totalsRowDxfId="12559" dataCellStyle="Comma">
      <totalsRowFormula>SUM(March25_2020[BUIPE_PMS])</totalsRowFormula>
    </tableColumn>
    <tableColumn id="6" xr3:uid="{00000000-0010-0000-3800-000006000000}" name="AKOSOMBO_AGO" totalsRowFunction="custom" dataDxfId="12558" totalsRowDxfId="12557">
      <totalsRowFormula>SUM(March25_2020[AKOSOMBO_AGO])</totalsRowFormula>
    </tableColumn>
    <tableColumn id="7" xr3:uid="{00000000-0010-0000-3800-000007000000}" name="DATE" dataDxfId="12556" totalsRowDxfId="12555">
      <calculatedColumnFormula>$G$3</calculatedColumnFormula>
    </tableColumn>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6" xr:uid="{00000000-000C-0000-FFFF-FFFF39000000}" name="March26_2020" displayName="March26_2020" ref="B5:H20" totalsRowCount="1" headerRowDxfId="12554" headerRowBorderDxfId="12553" tableBorderDxfId="12552" totalsRowBorderDxfId="12551">
  <autoFilter ref="B5:H19" xr:uid="{00000000-0009-0000-0100-000000010000}"/>
  <sortState xmlns:xlrd2="http://schemas.microsoft.com/office/spreadsheetml/2017/richdata2" ref="B6:H18">
    <sortCondition ref="B6"/>
  </sortState>
  <tableColumns count="7">
    <tableColumn id="1" xr3:uid="{00000000-0010-0000-3900-000001000000}" name="BDC LIST" totalsRowLabel="Total" dataDxfId="12550" totalsRowDxfId="12549"/>
    <tableColumn id="2" xr3:uid="{00000000-0010-0000-3900-000002000000}" name="KSI_AGO" totalsRowFunction="custom" dataDxfId="12548" totalsRowDxfId="12547">
      <totalsRowFormula>SUM(March26_2020[KSI_AGO])</totalsRowFormula>
    </tableColumn>
    <tableColumn id="3" xr3:uid="{00000000-0010-0000-3900-000003000000}" name="KSI_PMS" totalsRowFunction="custom" dataDxfId="12546" totalsRowDxfId="12545">
      <totalsRowFormula>SUM(March26_2020[KSI_PMS])</totalsRowFormula>
    </tableColumn>
    <tableColumn id="4" xr3:uid="{00000000-0010-0000-3900-000004000000}" name="BUIPE_AGO" totalsRowFunction="custom" dataDxfId="12544" totalsRowDxfId="12543">
      <totalsRowFormula>SUM(March26_2020[BUIPE_AGO])</totalsRowFormula>
    </tableColumn>
    <tableColumn id="5" xr3:uid="{00000000-0010-0000-3900-000005000000}" name="BUIPE_PMS" totalsRowFunction="custom" dataDxfId="12542" totalsRowDxfId="12541" dataCellStyle="Comma">
      <totalsRowFormula>SUM(March26_2020[BUIPE_PMS])</totalsRowFormula>
    </tableColumn>
    <tableColumn id="6" xr3:uid="{00000000-0010-0000-3900-000006000000}" name="AKOSOMBO_AGO" totalsRowFunction="custom" dataDxfId="12540" totalsRowDxfId="12539">
      <totalsRowFormula>SUM(March26_2020[AKOSOMBO_AGO])</totalsRowFormula>
    </tableColumn>
    <tableColumn id="7" xr3:uid="{00000000-0010-0000-3900-000007000000}" name="DATE" dataDxfId="12538" totalsRowDxfId="12537">
      <calculatedColumnFormula>$G$3</calculatedColumnFormula>
    </tableColumn>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7" xr:uid="{00000000-000C-0000-FFFF-FFFF3A000000}" name="March27_2020" displayName="March27_2020" ref="B5:H20" totalsRowCount="1" headerRowDxfId="12536" headerRowBorderDxfId="12535" tableBorderDxfId="12534" totalsRowBorderDxfId="12533">
  <autoFilter ref="B5:H19" xr:uid="{00000000-0009-0000-0100-000001010000}"/>
  <sortState xmlns:xlrd2="http://schemas.microsoft.com/office/spreadsheetml/2017/richdata2" ref="B6:H18">
    <sortCondition ref="B6"/>
  </sortState>
  <tableColumns count="7">
    <tableColumn id="1" xr3:uid="{00000000-0010-0000-3A00-000001000000}" name="BDC LIST" totalsRowLabel="Total" dataDxfId="12532" totalsRowDxfId="12531"/>
    <tableColumn id="2" xr3:uid="{00000000-0010-0000-3A00-000002000000}" name="KSI_AGO" totalsRowFunction="custom" dataDxfId="12530" totalsRowDxfId="12529">
      <totalsRowFormula>SUM(March27_2020[KSI_AGO])</totalsRowFormula>
    </tableColumn>
    <tableColumn id="3" xr3:uid="{00000000-0010-0000-3A00-000003000000}" name="KSI_PMS" totalsRowFunction="custom" dataDxfId="12528" totalsRowDxfId="12527">
      <totalsRowFormula>SUM(March27_2020[KSI_PMS])</totalsRowFormula>
    </tableColumn>
    <tableColumn id="4" xr3:uid="{00000000-0010-0000-3A00-000004000000}" name="BUIPE_AGO" totalsRowFunction="custom" dataDxfId="12526" totalsRowDxfId="12525">
      <totalsRowFormula>SUM(March27_2020[BUIPE_AGO])</totalsRowFormula>
    </tableColumn>
    <tableColumn id="5" xr3:uid="{00000000-0010-0000-3A00-000005000000}" name="BUIPE_PMS" totalsRowFunction="custom" dataDxfId="12524" totalsRowDxfId="12523" dataCellStyle="Comma">
      <totalsRowFormula>SUM(March27_2020[BUIPE_PMS])</totalsRowFormula>
    </tableColumn>
    <tableColumn id="6" xr3:uid="{00000000-0010-0000-3A00-000006000000}" name="AKOSOMBO_AGO" totalsRowFunction="custom" dataDxfId="12522" totalsRowDxfId="12521">
      <totalsRowFormula>SUM(March27_2020[AKOSOMBO_AGO])</totalsRowFormula>
    </tableColumn>
    <tableColumn id="7" xr3:uid="{00000000-0010-0000-3A00-000007000000}" name="DATE" dataDxfId="12520" totalsRowDxfId="12519">
      <calculatedColumnFormula>$G$3</calculatedColumnFormula>
    </tableColumn>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8" xr:uid="{00000000-000C-0000-FFFF-FFFF3B000000}" name="March30_2020" displayName="March30_2020" ref="B5:H20" totalsRowCount="1" headerRowDxfId="12518" headerRowBorderDxfId="12517" tableBorderDxfId="12516" totalsRowBorderDxfId="12515">
  <autoFilter ref="B5:H19" xr:uid="{00000000-0009-0000-0100-000002010000}"/>
  <sortState xmlns:xlrd2="http://schemas.microsoft.com/office/spreadsheetml/2017/richdata2" ref="B6:H18">
    <sortCondition ref="B6"/>
  </sortState>
  <tableColumns count="7">
    <tableColumn id="1" xr3:uid="{00000000-0010-0000-3B00-000001000000}" name="BDC LIST" totalsRowLabel="Total" dataDxfId="12514" totalsRowDxfId="12513"/>
    <tableColumn id="2" xr3:uid="{00000000-0010-0000-3B00-000002000000}" name="KSI_AGO" totalsRowFunction="custom" dataDxfId="12512" totalsRowDxfId="12511">
      <totalsRowFormula>SUM(March30_2020[KSI_AGO])</totalsRowFormula>
    </tableColumn>
    <tableColumn id="3" xr3:uid="{00000000-0010-0000-3B00-000003000000}" name="KSI_PMS" totalsRowFunction="custom" dataDxfId="12510" totalsRowDxfId="12509">
      <totalsRowFormula>SUM(March30_2020[KSI_PMS])</totalsRowFormula>
    </tableColumn>
    <tableColumn id="4" xr3:uid="{00000000-0010-0000-3B00-000004000000}" name="BUIPE_AGO" totalsRowFunction="custom" dataDxfId="12508" totalsRowDxfId="12507">
      <totalsRowFormula>SUM(March30_2020[BUIPE_AGO])</totalsRowFormula>
    </tableColumn>
    <tableColumn id="5" xr3:uid="{00000000-0010-0000-3B00-000005000000}" name="BUIPE_PMS" totalsRowFunction="custom" dataDxfId="12506" totalsRowDxfId="12505" dataCellStyle="Comma">
      <totalsRowFormula>SUM(March30_2020[BUIPE_PMS])</totalsRowFormula>
    </tableColumn>
    <tableColumn id="6" xr3:uid="{00000000-0010-0000-3B00-000006000000}" name="AKOSOMBO_AGO" totalsRowFunction="custom" dataDxfId="12504" totalsRowDxfId="12503">
      <totalsRowFormula>SUM(March30_2020[AKOSOMBO_AGO])</totalsRowFormula>
    </tableColumn>
    <tableColumn id="7" xr3:uid="{00000000-0010-0000-3B00-000007000000}" name="DATE" dataDxfId="12502" totalsRowDxfId="12501">
      <calculatedColumnFormula>$G$3</calculatedColumnFormula>
    </tableColumn>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9" xr:uid="{00000000-000C-0000-FFFF-FFFF3C000000}" name="March31_2020" displayName="March31_2020" ref="B5:H20" totalsRowCount="1" headerRowDxfId="12500" headerRowBorderDxfId="12499" tableBorderDxfId="12498" totalsRowBorderDxfId="12497">
  <autoFilter ref="B5:H19" xr:uid="{00000000-0009-0000-0100-000003010000}"/>
  <sortState xmlns:xlrd2="http://schemas.microsoft.com/office/spreadsheetml/2017/richdata2" ref="B6:H18">
    <sortCondition ref="B6"/>
  </sortState>
  <tableColumns count="7">
    <tableColumn id="1" xr3:uid="{00000000-0010-0000-3C00-000001000000}" name="BDC LIST" totalsRowLabel="Total" dataDxfId="12496" totalsRowDxfId="12495"/>
    <tableColumn id="2" xr3:uid="{00000000-0010-0000-3C00-000002000000}" name="KSI_AGO" totalsRowFunction="custom" dataDxfId="12494" totalsRowDxfId="12493">
      <totalsRowFormula>SUM(March31_2020[KSI_AGO])</totalsRowFormula>
    </tableColumn>
    <tableColumn id="3" xr3:uid="{00000000-0010-0000-3C00-000003000000}" name="KSI_PMS" totalsRowFunction="custom" dataDxfId="12492" totalsRowDxfId="12491">
      <totalsRowFormula>SUM(March31_2020[KSI_PMS])</totalsRowFormula>
    </tableColumn>
    <tableColumn id="4" xr3:uid="{00000000-0010-0000-3C00-000004000000}" name="BUIPE_AGO" totalsRowFunction="custom" dataDxfId="12490" totalsRowDxfId="12489">
      <totalsRowFormula>SUM(March31_2020[BUIPE_AGO])</totalsRowFormula>
    </tableColumn>
    <tableColumn id="5" xr3:uid="{00000000-0010-0000-3C00-000005000000}" name="BUIPE_PMS" totalsRowFunction="custom" dataDxfId="12488" totalsRowDxfId="12487" dataCellStyle="Comma">
      <totalsRowFormula>SUM(March31_2020[BUIPE_PMS])</totalsRowFormula>
    </tableColumn>
    <tableColumn id="6" xr3:uid="{00000000-0010-0000-3C00-000006000000}" name="AKOSOMBO_AGO" totalsRowFunction="custom" dataDxfId="12486" totalsRowDxfId="12485">
      <totalsRowFormula>SUM(March31_2020[AKOSOMBO_AGO])</totalsRowFormula>
    </tableColumn>
    <tableColumn id="7" xr3:uid="{00000000-0010-0000-3C00-000007000000}" name="DATE" dataDxfId="12484" totalsRowDxfId="12483">
      <calculatedColumnFormula>$G$3</calculatedColumnFormula>
    </tableColumn>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0" xr:uid="{00000000-000C-0000-FFFF-FFFF3D000000}" name="April01_2020" displayName="April01_2020" ref="B5:H20" totalsRowCount="1" headerRowDxfId="12482" headerRowBorderDxfId="12481" tableBorderDxfId="12480" totalsRowBorderDxfId="12479">
  <autoFilter ref="B5:H19" xr:uid="{00000000-0009-0000-0100-000004010000}"/>
  <sortState xmlns:xlrd2="http://schemas.microsoft.com/office/spreadsheetml/2017/richdata2" ref="B6:H18">
    <sortCondition ref="B6"/>
  </sortState>
  <tableColumns count="7">
    <tableColumn id="1" xr3:uid="{00000000-0010-0000-3D00-000001000000}" name="BDC LIST" totalsRowLabel="Total" dataDxfId="12478" totalsRowDxfId="12477"/>
    <tableColumn id="2" xr3:uid="{00000000-0010-0000-3D00-000002000000}" name="KSI_AGO" totalsRowFunction="custom" dataDxfId="12476" totalsRowDxfId="12475">
      <totalsRowFormula>SUM(April01_2020[KSI_AGO])</totalsRowFormula>
    </tableColumn>
    <tableColumn id="3" xr3:uid="{00000000-0010-0000-3D00-000003000000}" name="KSI_PMS" totalsRowFunction="custom" dataDxfId="12474" totalsRowDxfId="12473">
      <totalsRowFormula>SUM(April01_2020[KSI_PMS])</totalsRowFormula>
    </tableColumn>
    <tableColumn id="4" xr3:uid="{00000000-0010-0000-3D00-000004000000}" name="BUIPE_AGO" totalsRowFunction="custom" dataDxfId="12472" totalsRowDxfId="12471">
      <totalsRowFormula>SUM(April01_2020[BUIPE_AGO])</totalsRowFormula>
    </tableColumn>
    <tableColumn id="5" xr3:uid="{00000000-0010-0000-3D00-000005000000}" name="BUIPE_PMS" totalsRowFunction="custom" dataDxfId="12470" totalsRowDxfId="12469" dataCellStyle="Comma">
      <totalsRowFormula>SUM(April01_2020[BUIPE_PMS])</totalsRowFormula>
    </tableColumn>
    <tableColumn id="6" xr3:uid="{00000000-0010-0000-3D00-000006000000}" name="AKOSOMBO_AGO" totalsRowFunction="custom" dataDxfId="12468" totalsRowDxfId="12467">
      <totalsRowFormula>SUM(April01_2020[AKOSOMBO_AGO])</totalsRowFormula>
    </tableColumn>
    <tableColumn id="7" xr3:uid="{00000000-0010-0000-3D00-000007000000}" name="DATE" dataDxfId="12466" totalsRowDxfId="12465">
      <calculatedColumnFormula>$G$3</calculatedColumnFormula>
    </tableColumn>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1" xr:uid="{00000000-000C-0000-FFFF-FFFF3E000000}" name="April02_2020" displayName="April02_2020" ref="B5:H20" totalsRowCount="1" headerRowDxfId="12464" headerRowBorderDxfId="12463" tableBorderDxfId="12462" totalsRowBorderDxfId="12461">
  <autoFilter ref="B5:H19" xr:uid="{00000000-0009-0000-0100-000005010000}"/>
  <sortState xmlns:xlrd2="http://schemas.microsoft.com/office/spreadsheetml/2017/richdata2" ref="B6:H18">
    <sortCondition ref="B6"/>
  </sortState>
  <tableColumns count="7">
    <tableColumn id="1" xr3:uid="{00000000-0010-0000-3E00-000001000000}" name="BDC LIST" totalsRowLabel="Total" dataDxfId="12460" totalsRowDxfId="12459"/>
    <tableColumn id="2" xr3:uid="{00000000-0010-0000-3E00-000002000000}" name="KSI_AGO" totalsRowFunction="custom" dataDxfId="12458" totalsRowDxfId="12457">
      <totalsRowFormula>SUM(April02_2020[KSI_AGO])</totalsRowFormula>
    </tableColumn>
    <tableColumn id="3" xr3:uid="{00000000-0010-0000-3E00-000003000000}" name="KSI_PMS" totalsRowFunction="custom" dataDxfId="12456" totalsRowDxfId="12455">
      <totalsRowFormula>SUM(April02_2020[KSI_PMS])</totalsRowFormula>
    </tableColumn>
    <tableColumn id="4" xr3:uid="{00000000-0010-0000-3E00-000004000000}" name="BUIPE_AGO" totalsRowFunction="custom" dataDxfId="12454" totalsRowDxfId="12453">
      <totalsRowFormula>SUM(April02_2020[BUIPE_AGO])</totalsRowFormula>
    </tableColumn>
    <tableColumn id="5" xr3:uid="{00000000-0010-0000-3E00-000005000000}" name="BUIPE_PMS" totalsRowFunction="custom" dataDxfId="12452" totalsRowDxfId="12451" dataCellStyle="Comma">
      <totalsRowFormula>SUM(April02_2020[BUIPE_PMS])</totalsRowFormula>
    </tableColumn>
    <tableColumn id="6" xr3:uid="{00000000-0010-0000-3E00-000006000000}" name="AKOSOMBO_AGO" totalsRowFunction="custom" dataDxfId="12450" totalsRowDxfId="12449">
      <totalsRowFormula>SUM(April02_2020[AKOSOMBO_AGO])</totalsRowFormula>
    </tableColumn>
    <tableColumn id="7" xr3:uid="{00000000-0010-0000-3E00-000007000000}" name="DATE" dataDxfId="12448" totalsRowDxfId="12447">
      <calculatedColumnFormula>$G$3</calculatedColumnFormula>
    </tableColumn>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2" xr:uid="{00000000-000C-0000-FFFF-FFFF3F000000}" name="April03_2020" displayName="April03_2020" ref="B5:H20" totalsRowCount="1" headerRowDxfId="12446" headerRowBorderDxfId="12445" tableBorderDxfId="12444" totalsRowBorderDxfId="12443">
  <autoFilter ref="B5:H19" xr:uid="{00000000-0009-0000-0100-000006010000}"/>
  <sortState xmlns:xlrd2="http://schemas.microsoft.com/office/spreadsheetml/2017/richdata2" ref="B6:H18">
    <sortCondition ref="B6"/>
  </sortState>
  <tableColumns count="7">
    <tableColumn id="1" xr3:uid="{00000000-0010-0000-3F00-000001000000}" name="BDC LIST" totalsRowLabel="Total" dataDxfId="12442" totalsRowDxfId="12441"/>
    <tableColumn id="2" xr3:uid="{00000000-0010-0000-3F00-000002000000}" name="KSI_AGO" totalsRowFunction="custom" dataDxfId="12440" totalsRowDxfId="12439">
      <totalsRowFormula>SUM(April03_2020[KSI_AGO])</totalsRowFormula>
    </tableColumn>
    <tableColumn id="3" xr3:uid="{00000000-0010-0000-3F00-000003000000}" name="KSI_PMS" totalsRowFunction="custom" dataDxfId="12438" totalsRowDxfId="12437">
      <totalsRowFormula>SUM(April03_2020[KSI_PMS])</totalsRowFormula>
    </tableColumn>
    <tableColumn id="4" xr3:uid="{00000000-0010-0000-3F00-000004000000}" name="BUIPE_AGO" totalsRowFunction="custom" dataDxfId="12436" totalsRowDxfId="12435">
      <totalsRowFormula>SUM(April03_2020[BUIPE_AGO])</totalsRowFormula>
    </tableColumn>
    <tableColumn id="5" xr3:uid="{00000000-0010-0000-3F00-000005000000}" name="BUIPE_PMS" totalsRowFunction="custom" dataDxfId="12434" totalsRowDxfId="12433" dataCellStyle="Comma">
      <totalsRowFormula>SUM(April03_2020[BUIPE_PMS])</totalsRowFormula>
    </tableColumn>
    <tableColumn id="6" xr3:uid="{00000000-0010-0000-3F00-000006000000}" name="AKOSOMBO_AGO" totalsRowFunction="custom" dataDxfId="12432" totalsRowDxfId="12431">
      <totalsRowFormula>SUM(April03_2020[AKOSOMBO_AGO])</totalsRowFormula>
    </tableColumn>
    <tableColumn id="7" xr3:uid="{00000000-0010-0000-3F00-000007000000}" name="DATE" dataDxfId="12430" totalsRowDxfId="12429">
      <calculatedColumnFormula>$G$3</calculatedColumnFormula>
    </tableColumn>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3" xr:uid="{00000000-000C-0000-FFFF-FFFF40000000}" name="April06_2020" displayName="April06_2020" ref="B5:H20" totalsRowCount="1" headerRowDxfId="12428" headerRowBorderDxfId="12427" tableBorderDxfId="12426" totalsRowBorderDxfId="12425">
  <autoFilter ref="B5:H19" xr:uid="{00000000-0009-0000-0100-000007010000}"/>
  <sortState xmlns:xlrd2="http://schemas.microsoft.com/office/spreadsheetml/2017/richdata2" ref="B6:H18">
    <sortCondition ref="B6"/>
  </sortState>
  <tableColumns count="7">
    <tableColumn id="1" xr3:uid="{00000000-0010-0000-4000-000001000000}" name="BDC LIST" totalsRowLabel="Total" dataDxfId="12424" totalsRowDxfId="12423"/>
    <tableColumn id="2" xr3:uid="{00000000-0010-0000-4000-000002000000}" name="KSI_AGO" totalsRowFunction="custom" dataDxfId="12422" totalsRowDxfId="12421">
      <totalsRowFormula>SUM(April06_2020[KSI_AGO])</totalsRowFormula>
    </tableColumn>
    <tableColumn id="3" xr3:uid="{00000000-0010-0000-4000-000003000000}" name="KSI_PMS" totalsRowFunction="custom" dataDxfId="12420" totalsRowDxfId="12419">
      <totalsRowFormula>SUM(April06_2020[KSI_PMS])</totalsRowFormula>
    </tableColumn>
    <tableColumn id="4" xr3:uid="{00000000-0010-0000-4000-000004000000}" name="BUIPE_AGO" totalsRowFunction="custom" dataDxfId="12418" totalsRowDxfId="12417">
      <totalsRowFormula>SUM(April06_2020[BUIPE_AGO])</totalsRowFormula>
    </tableColumn>
    <tableColumn id="5" xr3:uid="{00000000-0010-0000-4000-000005000000}" name="BUIPE_PMS" totalsRowFunction="custom" dataDxfId="12416" totalsRowDxfId="12415" dataCellStyle="Comma">
      <totalsRowFormula>SUM(April06_2020[BUIPE_PMS])</totalsRowFormula>
    </tableColumn>
    <tableColumn id="6" xr3:uid="{00000000-0010-0000-4000-000006000000}" name="AKOSOMBO_AGO" totalsRowFunction="custom" dataDxfId="12414" totalsRowDxfId="12413">
      <totalsRowFormula>SUM(April06_2020[AKOSOMBO_AGO])</totalsRowFormula>
    </tableColumn>
    <tableColumn id="7" xr3:uid="{00000000-0010-0000-4000-000007000000}" name="DATE" dataDxfId="12412" totalsRowDxfId="12411">
      <calculatedColumnFormula>$G$3</calculatedColumnFormula>
    </tableColumn>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4" xr:uid="{00000000-000C-0000-FFFF-FFFF41000000}" name="April07_2020" displayName="April07_2020" ref="B5:H20" totalsRowCount="1" headerRowDxfId="12410" headerRowBorderDxfId="12409" tableBorderDxfId="12408" totalsRowBorderDxfId="12407">
  <autoFilter ref="B5:H19" xr:uid="{00000000-0009-0000-0100-000008010000}"/>
  <sortState xmlns:xlrd2="http://schemas.microsoft.com/office/spreadsheetml/2017/richdata2" ref="B6:H18">
    <sortCondition ref="B6"/>
  </sortState>
  <tableColumns count="7">
    <tableColumn id="1" xr3:uid="{00000000-0010-0000-4100-000001000000}" name="BDC LIST" totalsRowLabel="Total" dataDxfId="12406" totalsRowDxfId="12405"/>
    <tableColumn id="2" xr3:uid="{00000000-0010-0000-4100-000002000000}" name="KSI_AGO" totalsRowFunction="custom" dataDxfId="12404" totalsRowDxfId="12403">
      <totalsRowFormula>SUM(April07_2020[KSI_AGO])</totalsRowFormula>
    </tableColumn>
    <tableColumn id="3" xr3:uid="{00000000-0010-0000-4100-000003000000}" name="KSI_PMS" totalsRowFunction="custom" dataDxfId="12402" totalsRowDxfId="12401">
      <totalsRowFormula>SUM(April07_2020[KSI_PMS])</totalsRowFormula>
    </tableColumn>
    <tableColumn id="4" xr3:uid="{00000000-0010-0000-4100-000004000000}" name="BUIPE_AGO" totalsRowFunction="custom" dataDxfId="12400" totalsRowDxfId="12399">
      <totalsRowFormula>SUM(April07_2020[BUIPE_AGO])</totalsRowFormula>
    </tableColumn>
    <tableColumn id="5" xr3:uid="{00000000-0010-0000-4100-000005000000}" name="BUIPE_PMS" totalsRowFunction="custom" dataDxfId="12398" totalsRowDxfId="12397" dataCellStyle="Comma">
      <totalsRowFormula>SUM(April07_2020[BUIPE_PMS])</totalsRowFormula>
    </tableColumn>
    <tableColumn id="6" xr3:uid="{00000000-0010-0000-4100-000006000000}" name="AKOSOMBO_AGO" totalsRowFunction="custom" dataDxfId="12396" totalsRowDxfId="12395">
      <totalsRowFormula>SUM(April07_2020[AKOSOMBO_AGO])</totalsRowFormula>
    </tableColumn>
    <tableColumn id="7" xr3:uid="{00000000-0010-0000-4100-000007000000}" name="DATE" dataDxfId="12394" totalsRowDxfId="12393">
      <calculatedColumnFormula>$G$3</calculatedColumnFormula>
    </tableColumn>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5" xr:uid="{00000000-000C-0000-FFFF-FFFF42000000}" name="April08_2020" displayName="April08_2020" ref="B5:H20" totalsRowCount="1" headerRowDxfId="12392" headerRowBorderDxfId="12391" tableBorderDxfId="12390" totalsRowBorderDxfId="12389">
  <autoFilter ref="B5:H19" xr:uid="{00000000-0009-0000-0100-000009010000}"/>
  <sortState xmlns:xlrd2="http://schemas.microsoft.com/office/spreadsheetml/2017/richdata2" ref="B6:H18">
    <sortCondition ref="B6"/>
  </sortState>
  <tableColumns count="7">
    <tableColumn id="1" xr3:uid="{00000000-0010-0000-4200-000001000000}" name="BDC LIST" totalsRowLabel="Total" dataDxfId="12388" totalsRowDxfId="12387"/>
    <tableColumn id="2" xr3:uid="{00000000-0010-0000-4200-000002000000}" name="KSI_AGO" totalsRowFunction="custom" dataDxfId="12386" totalsRowDxfId="12385">
      <totalsRowFormula>SUM(April08_2020[KSI_AGO])</totalsRowFormula>
    </tableColumn>
    <tableColumn id="3" xr3:uid="{00000000-0010-0000-4200-000003000000}" name="KSI_PMS" totalsRowFunction="custom" dataDxfId="12384" totalsRowDxfId="12383">
      <totalsRowFormula>SUM(April08_2020[KSI_PMS])</totalsRowFormula>
    </tableColumn>
    <tableColumn id="4" xr3:uid="{00000000-0010-0000-4200-000004000000}" name="BUIPE_AGO" totalsRowFunction="custom" dataDxfId="12382" totalsRowDxfId="12381">
      <totalsRowFormula>SUM(April08_2020[BUIPE_AGO])</totalsRowFormula>
    </tableColumn>
    <tableColumn id="5" xr3:uid="{00000000-0010-0000-4200-000005000000}" name="BUIPE_PMS" totalsRowFunction="custom" dataDxfId="12380" totalsRowDxfId="12379" dataCellStyle="Comma">
      <totalsRowFormula>SUM(April08_2020[BUIPE_PMS])</totalsRowFormula>
    </tableColumn>
    <tableColumn id="6" xr3:uid="{00000000-0010-0000-4200-000006000000}" name="AKOSOMBO_AGO" totalsRowFunction="custom" dataDxfId="12378" totalsRowDxfId="12377">
      <totalsRowFormula>SUM(April08_2020[AKOSOMBO_AGO])</totalsRowFormula>
    </tableColumn>
    <tableColumn id="7" xr3:uid="{00000000-0010-0000-4200-000007000000}" name="DATE" dataDxfId="12376" totalsRowDxfId="12375">
      <calculatedColumnFormula>$G$3</calculatedColumnFormula>
    </tableColumn>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6" xr:uid="{00000000-000C-0000-FFFF-FFFF43000000}" name="April09_2020" displayName="April09_2020" ref="B5:H20" totalsRowCount="1" headerRowDxfId="12374" headerRowBorderDxfId="12373" tableBorderDxfId="12372" totalsRowBorderDxfId="12371">
  <autoFilter ref="B5:H19" xr:uid="{00000000-0009-0000-0100-00000A010000}"/>
  <sortState xmlns:xlrd2="http://schemas.microsoft.com/office/spreadsheetml/2017/richdata2" ref="B6:H18">
    <sortCondition ref="B6"/>
  </sortState>
  <tableColumns count="7">
    <tableColumn id="1" xr3:uid="{00000000-0010-0000-4300-000001000000}" name="BDC LIST" totalsRowLabel="Total" dataDxfId="12370" totalsRowDxfId="12369"/>
    <tableColumn id="2" xr3:uid="{00000000-0010-0000-4300-000002000000}" name="KSI_AGO" totalsRowFunction="custom" dataDxfId="12368" totalsRowDxfId="12367">
      <totalsRowFormula>SUM(April09_2020[KSI_AGO])</totalsRowFormula>
    </tableColumn>
    <tableColumn id="3" xr3:uid="{00000000-0010-0000-4300-000003000000}" name="KSI_PMS" totalsRowFunction="custom" dataDxfId="12366" totalsRowDxfId="12365">
      <totalsRowFormula>SUM(April09_2020[KSI_PMS])</totalsRowFormula>
    </tableColumn>
    <tableColumn id="4" xr3:uid="{00000000-0010-0000-4300-000004000000}" name="BUIPE_AGO" totalsRowFunction="custom" dataDxfId="12364" totalsRowDxfId="12363">
      <totalsRowFormula>SUM(April09_2020[BUIPE_AGO])</totalsRowFormula>
    </tableColumn>
    <tableColumn id="5" xr3:uid="{00000000-0010-0000-4300-000005000000}" name="BUIPE_PMS" totalsRowFunction="custom" dataDxfId="12362" totalsRowDxfId="12361" dataCellStyle="Comma">
      <totalsRowFormula>SUM(April09_2020[BUIPE_PMS])</totalsRowFormula>
    </tableColumn>
    <tableColumn id="6" xr3:uid="{00000000-0010-0000-4300-000006000000}" name="AKOSOMBO_AGO" totalsRowFunction="custom" dataDxfId="12360" totalsRowDxfId="12359">
      <totalsRowFormula>SUM(April09_2020[AKOSOMBO_AGO])</totalsRowFormula>
    </tableColumn>
    <tableColumn id="7" xr3:uid="{00000000-0010-0000-4300-000007000000}" name="DATE" dataDxfId="12358" totalsRowDxfId="12357">
      <calculatedColumnFormula>$G$3</calculatedColumnFormula>
    </tableColumn>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5" xr:uid="{00000000-000C-0000-FFFF-FFFF44000000}" name="April14_2020" displayName="April14_2020" ref="B5:H20" totalsRowCount="1" headerRowDxfId="12356" headerRowBorderDxfId="12355" tableBorderDxfId="12354" totalsRowBorderDxfId="12353">
  <autoFilter ref="B5:H19" xr:uid="{00000000-0009-0000-0100-00001D010000}"/>
  <sortState xmlns:xlrd2="http://schemas.microsoft.com/office/spreadsheetml/2017/richdata2" ref="B6:H18">
    <sortCondition ref="B6"/>
  </sortState>
  <tableColumns count="7">
    <tableColumn id="1" xr3:uid="{00000000-0010-0000-4400-000001000000}" name="BDC LIST" totalsRowLabel="Total" dataDxfId="12352" totalsRowDxfId="12351"/>
    <tableColumn id="2" xr3:uid="{00000000-0010-0000-4400-000002000000}" name="KSI_AGO" totalsRowFunction="custom" dataDxfId="12350" totalsRowDxfId="12349">
      <totalsRowFormula>SUM(April14_2020[KSI_AGO])</totalsRowFormula>
    </tableColumn>
    <tableColumn id="3" xr3:uid="{00000000-0010-0000-4400-000003000000}" name="KSI_PMS" totalsRowFunction="custom" dataDxfId="12348" totalsRowDxfId="12347">
      <totalsRowFormula>SUM(April14_2020[KSI_PMS])</totalsRowFormula>
    </tableColumn>
    <tableColumn id="4" xr3:uid="{00000000-0010-0000-4400-000004000000}" name="BUIPE_AGO" totalsRowFunction="custom" dataDxfId="12346" totalsRowDxfId="12345">
      <totalsRowFormula>SUM(April14_2020[BUIPE_AGO])</totalsRowFormula>
    </tableColumn>
    <tableColumn id="5" xr3:uid="{00000000-0010-0000-4400-000005000000}" name="BUIPE_PMS" totalsRowFunction="custom" dataDxfId="12344" totalsRowDxfId="12343" dataCellStyle="Comma">
      <totalsRowFormula>SUM(April14_2020[BUIPE_PMS])</totalsRowFormula>
    </tableColumn>
    <tableColumn id="6" xr3:uid="{00000000-0010-0000-4400-000006000000}" name="AKOSOMBO_AGO" totalsRowFunction="custom" dataDxfId="12342" totalsRowDxfId="12341">
      <totalsRowFormula>SUM(April14_2020[AKOSOMBO_AGO])</totalsRowFormula>
    </tableColumn>
    <tableColumn id="7" xr3:uid="{00000000-0010-0000-4400-000007000000}" name="DATE" dataDxfId="12340" totalsRowDxfId="12339">
      <calculatedColumnFormula>$G$3</calculatedColumnFormula>
    </tableColumn>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6" xr:uid="{00000000-000C-0000-FFFF-FFFF45000000}" name="April15_2020" displayName="April15_2020" ref="B5:H20" totalsRowCount="1" headerRowDxfId="12338" headerRowBorderDxfId="12337" tableBorderDxfId="12336" totalsRowBorderDxfId="12335">
  <autoFilter ref="B5:H19" xr:uid="{00000000-0009-0000-0100-00001E010000}"/>
  <sortState xmlns:xlrd2="http://schemas.microsoft.com/office/spreadsheetml/2017/richdata2" ref="B6:H18">
    <sortCondition ref="B6"/>
  </sortState>
  <tableColumns count="7">
    <tableColumn id="1" xr3:uid="{00000000-0010-0000-4500-000001000000}" name="BDC LIST" totalsRowLabel="Total" dataDxfId="12334" totalsRowDxfId="12333"/>
    <tableColumn id="2" xr3:uid="{00000000-0010-0000-4500-000002000000}" name="KSI_AGO" totalsRowFunction="custom" dataDxfId="12332" totalsRowDxfId="12331">
      <totalsRowFormula>SUM(April15_2020[KSI_AGO])</totalsRowFormula>
    </tableColumn>
    <tableColumn id="3" xr3:uid="{00000000-0010-0000-4500-000003000000}" name="KSI_PMS" totalsRowFunction="custom" dataDxfId="12330" totalsRowDxfId="12329">
      <totalsRowFormula>SUM(April15_2020[KSI_PMS])</totalsRowFormula>
    </tableColumn>
    <tableColumn id="4" xr3:uid="{00000000-0010-0000-4500-000004000000}" name="BUIPE_AGO" totalsRowFunction="custom" dataDxfId="12328" totalsRowDxfId="12327">
      <totalsRowFormula>SUM(April15_2020[BUIPE_AGO])</totalsRowFormula>
    </tableColumn>
    <tableColumn id="5" xr3:uid="{00000000-0010-0000-4500-000005000000}" name="BUIPE_PMS" totalsRowFunction="custom" dataDxfId="12326" totalsRowDxfId="12325" dataCellStyle="Comma">
      <totalsRowFormula>SUM(April15_2020[BUIPE_PMS])</totalsRowFormula>
    </tableColumn>
    <tableColumn id="6" xr3:uid="{00000000-0010-0000-4500-000006000000}" name="AKOSOMBO_AGO" totalsRowFunction="custom" dataDxfId="12324" totalsRowDxfId="12323">
      <totalsRowFormula>SUM(April15_2020[AKOSOMBO_AGO])</totalsRowFormula>
    </tableColumn>
    <tableColumn id="7" xr3:uid="{00000000-0010-0000-4500-000007000000}" name="DATE" dataDxfId="12322" totalsRowDxfId="12321">
      <calculatedColumnFormula>$G$3</calculatedColumnFormula>
    </tableColumn>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7" xr:uid="{00000000-000C-0000-FFFF-FFFF46000000}" name="April16_2020" displayName="April16_2020" ref="B5:H20" totalsRowCount="1" headerRowDxfId="12320" headerRowBorderDxfId="12319" tableBorderDxfId="12318" totalsRowBorderDxfId="12317">
  <autoFilter ref="B5:H19" xr:uid="{00000000-0009-0000-0100-00001F010000}"/>
  <sortState xmlns:xlrd2="http://schemas.microsoft.com/office/spreadsheetml/2017/richdata2" ref="B6:H18">
    <sortCondition ref="B6"/>
  </sortState>
  <tableColumns count="7">
    <tableColumn id="1" xr3:uid="{00000000-0010-0000-4600-000001000000}" name="BDC LIST" totalsRowLabel="Total" dataDxfId="12316" totalsRowDxfId="12315"/>
    <tableColumn id="2" xr3:uid="{00000000-0010-0000-4600-000002000000}" name="KSI_AGO" totalsRowFunction="custom" dataDxfId="12314" totalsRowDxfId="12313">
      <totalsRowFormula>SUM(April16_2020[KSI_AGO])</totalsRowFormula>
    </tableColumn>
    <tableColumn id="3" xr3:uid="{00000000-0010-0000-4600-000003000000}" name="KSI_PMS" totalsRowFunction="custom" dataDxfId="12312" totalsRowDxfId="12311">
      <totalsRowFormula>SUM(April16_2020[KSI_PMS])</totalsRowFormula>
    </tableColumn>
    <tableColumn id="4" xr3:uid="{00000000-0010-0000-4600-000004000000}" name="BUIPE_AGO" totalsRowFunction="custom" dataDxfId="12310" totalsRowDxfId="12309">
      <totalsRowFormula>SUM(April16_2020[BUIPE_AGO])</totalsRowFormula>
    </tableColumn>
    <tableColumn id="5" xr3:uid="{00000000-0010-0000-4600-000005000000}" name="BUIPE_PMS" totalsRowFunction="custom" dataDxfId="12308" totalsRowDxfId="12307" dataCellStyle="Comma">
      <totalsRowFormula>SUM(April16_2020[BUIPE_PMS])</totalsRowFormula>
    </tableColumn>
    <tableColumn id="6" xr3:uid="{00000000-0010-0000-4600-000006000000}" name="AKOSOMBO_AGO" totalsRowFunction="custom" dataDxfId="12306" totalsRowDxfId="12305">
      <totalsRowFormula>SUM(April16_2020[AKOSOMBO_AGO])</totalsRowFormula>
    </tableColumn>
    <tableColumn id="7" xr3:uid="{00000000-0010-0000-4600-000007000000}" name="DATE" dataDxfId="12304" totalsRowDxfId="12303">
      <calculatedColumnFormula>$G$3</calculatedColumnFormula>
    </tableColumn>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8" xr:uid="{00000000-000C-0000-FFFF-FFFF47000000}" name="April17_2020" displayName="April17_2020" ref="B5:H20" totalsRowCount="1" headerRowDxfId="12302" headerRowBorderDxfId="12301" tableBorderDxfId="12300" totalsRowBorderDxfId="12299">
  <autoFilter ref="B5:H19" xr:uid="{00000000-0009-0000-0100-000020010000}"/>
  <sortState xmlns:xlrd2="http://schemas.microsoft.com/office/spreadsheetml/2017/richdata2" ref="B6:H18">
    <sortCondition ref="B6"/>
  </sortState>
  <tableColumns count="7">
    <tableColumn id="1" xr3:uid="{00000000-0010-0000-4700-000001000000}" name="BDC LIST" totalsRowLabel="Total" dataDxfId="12298" totalsRowDxfId="12297"/>
    <tableColumn id="2" xr3:uid="{00000000-0010-0000-4700-000002000000}" name="KSI_AGO" totalsRowFunction="custom" dataDxfId="12296" totalsRowDxfId="12295">
      <totalsRowFormula>SUM(April17_2020[KSI_AGO])</totalsRowFormula>
    </tableColumn>
    <tableColumn id="3" xr3:uid="{00000000-0010-0000-4700-000003000000}" name="KSI_PMS" totalsRowFunction="custom" dataDxfId="12294" totalsRowDxfId="12293">
      <totalsRowFormula>SUM(April17_2020[KSI_PMS])</totalsRowFormula>
    </tableColumn>
    <tableColumn id="4" xr3:uid="{00000000-0010-0000-4700-000004000000}" name="BUIPE_AGO" totalsRowFunction="custom" dataDxfId="12292" totalsRowDxfId="12291">
      <totalsRowFormula>SUM(April17_2020[BUIPE_AGO])</totalsRowFormula>
    </tableColumn>
    <tableColumn id="5" xr3:uid="{00000000-0010-0000-4700-000005000000}" name="BUIPE_PMS" totalsRowFunction="custom" dataDxfId="12290" totalsRowDxfId="12289" dataCellStyle="Comma">
      <totalsRowFormula>SUM(April17_2020[BUIPE_PMS])</totalsRowFormula>
    </tableColumn>
    <tableColumn id="6" xr3:uid="{00000000-0010-0000-4700-000006000000}" name="AKOSOMBO_AGO" totalsRowFunction="custom" dataDxfId="12288" totalsRowDxfId="12287">
      <totalsRowFormula>SUM(April17_2020[AKOSOMBO_AGO])</totalsRowFormula>
    </tableColumn>
    <tableColumn id="7" xr3:uid="{00000000-0010-0000-4700-000007000000}" name="DATE" dataDxfId="12286" totalsRowDxfId="12285">
      <calculatedColumnFormula>$G$3</calculatedColumnFormula>
    </tableColumn>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9" xr:uid="{00000000-000C-0000-FFFF-FFFF48000000}" name="April20_2020" displayName="April20_2020" ref="B5:H20" totalsRowCount="1" headerRowDxfId="12284" headerRowBorderDxfId="12283" tableBorderDxfId="12282" totalsRowBorderDxfId="12281">
  <autoFilter ref="B5:H19" xr:uid="{00000000-0009-0000-0100-000021010000}"/>
  <sortState xmlns:xlrd2="http://schemas.microsoft.com/office/spreadsheetml/2017/richdata2" ref="B6:H18">
    <sortCondition ref="B6"/>
  </sortState>
  <tableColumns count="7">
    <tableColumn id="1" xr3:uid="{00000000-0010-0000-4800-000001000000}" name="BDC LIST" totalsRowLabel="Total" dataDxfId="12280" totalsRowDxfId="12279"/>
    <tableColumn id="2" xr3:uid="{00000000-0010-0000-4800-000002000000}" name="KSI_AGO" totalsRowFunction="custom" dataDxfId="12278" totalsRowDxfId="12277">
      <totalsRowFormula>SUM(April20_2020[KSI_AGO])</totalsRowFormula>
    </tableColumn>
    <tableColumn id="3" xr3:uid="{00000000-0010-0000-4800-000003000000}" name="KSI_PMS" totalsRowFunction="custom" dataDxfId="12276" totalsRowDxfId="12275">
      <totalsRowFormula>SUM(April20_2020[KSI_PMS])</totalsRowFormula>
    </tableColumn>
    <tableColumn id="4" xr3:uid="{00000000-0010-0000-4800-000004000000}" name="BUIPE_AGO" totalsRowFunction="custom" dataDxfId="12274" totalsRowDxfId="12273">
      <totalsRowFormula>SUM(April20_2020[BUIPE_AGO])</totalsRowFormula>
    </tableColumn>
    <tableColumn id="5" xr3:uid="{00000000-0010-0000-4800-000005000000}" name="BUIPE_PMS" totalsRowFunction="custom" dataDxfId="12272" totalsRowDxfId="12271" dataCellStyle="Comma">
      <totalsRowFormula>SUM(April20_2020[BUIPE_PMS])</totalsRowFormula>
    </tableColumn>
    <tableColumn id="6" xr3:uid="{00000000-0010-0000-4800-000006000000}" name="AKOSOMBO_AGO" totalsRowFunction="custom" dataDxfId="12270" totalsRowDxfId="12269">
      <totalsRowFormula>SUM(April20_2020[AKOSOMBO_AGO])</totalsRowFormula>
    </tableColumn>
    <tableColumn id="7" xr3:uid="{00000000-0010-0000-4800-000007000000}" name="DATE" dataDxfId="12268" totalsRowDxfId="12267">
      <calculatedColumnFormula>$G$3</calculatedColumnFormula>
    </tableColumn>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0" xr:uid="{00000000-000C-0000-FFFF-FFFF49000000}" name="April21_2020" displayName="April21_2020" ref="B5:H20" totalsRowCount="1" headerRowDxfId="12266" headerRowBorderDxfId="12265" tableBorderDxfId="12264" totalsRowBorderDxfId="12263">
  <autoFilter ref="B5:H19" xr:uid="{00000000-0009-0000-0100-000022010000}"/>
  <sortState xmlns:xlrd2="http://schemas.microsoft.com/office/spreadsheetml/2017/richdata2" ref="B6:H18">
    <sortCondition ref="B6"/>
  </sortState>
  <tableColumns count="7">
    <tableColumn id="1" xr3:uid="{00000000-0010-0000-4900-000001000000}" name="BDC LIST" totalsRowLabel="Total" dataDxfId="12262" totalsRowDxfId="12261"/>
    <tableColumn id="2" xr3:uid="{00000000-0010-0000-4900-000002000000}" name="KSI_AGO" totalsRowFunction="custom" dataDxfId="12260" totalsRowDxfId="12259">
      <totalsRowFormula>SUM(April21_2020[KSI_AGO])</totalsRowFormula>
    </tableColumn>
    <tableColumn id="3" xr3:uid="{00000000-0010-0000-4900-000003000000}" name="KSI_PMS" totalsRowFunction="custom" dataDxfId="12258" totalsRowDxfId="12257">
      <totalsRowFormula>SUM(April21_2020[KSI_PMS])</totalsRowFormula>
    </tableColumn>
    <tableColumn id="4" xr3:uid="{00000000-0010-0000-4900-000004000000}" name="BUIPE_AGO" totalsRowFunction="custom" dataDxfId="12256" totalsRowDxfId="12255">
      <totalsRowFormula>SUM(April21_2020[BUIPE_AGO])</totalsRowFormula>
    </tableColumn>
    <tableColumn id="5" xr3:uid="{00000000-0010-0000-4900-000005000000}" name="BUIPE_PMS" totalsRowFunction="custom" dataDxfId="12254" totalsRowDxfId="12253" dataCellStyle="Comma">
      <totalsRowFormula>SUM(April21_2020[BUIPE_PMS])</totalsRowFormula>
    </tableColumn>
    <tableColumn id="6" xr3:uid="{00000000-0010-0000-4900-000006000000}" name="AKOSOMBO_AGO" totalsRowFunction="custom" dataDxfId="12252" totalsRowDxfId="12251">
      <totalsRowFormula>SUM(April21_2020[AKOSOMBO_AGO])</totalsRowFormula>
    </tableColumn>
    <tableColumn id="7" xr3:uid="{00000000-0010-0000-4900-000007000000}" name="DATE" dataDxfId="12250" totalsRowDxfId="12249">
      <calculatedColumnFormula>$G$3</calculatedColumnFormula>
    </tableColumn>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1" xr:uid="{00000000-000C-0000-FFFF-FFFF4A000000}" name="April22_2020" displayName="April22_2020" ref="B5:H20" totalsRowCount="1" headerRowDxfId="12248" headerRowBorderDxfId="12247" tableBorderDxfId="12246" totalsRowBorderDxfId="12245">
  <autoFilter ref="B5:H19" xr:uid="{00000000-0009-0000-0100-000023010000}"/>
  <sortState xmlns:xlrd2="http://schemas.microsoft.com/office/spreadsheetml/2017/richdata2" ref="B6:H18">
    <sortCondition ref="B6"/>
  </sortState>
  <tableColumns count="7">
    <tableColumn id="1" xr3:uid="{00000000-0010-0000-4A00-000001000000}" name="BDC LIST" totalsRowLabel="Total" dataDxfId="12244" totalsRowDxfId="12243"/>
    <tableColumn id="2" xr3:uid="{00000000-0010-0000-4A00-000002000000}" name="KSI_AGO" totalsRowFunction="custom" dataDxfId="12242" totalsRowDxfId="12241">
      <totalsRowFormula>SUM(April22_2020[KSI_AGO])</totalsRowFormula>
    </tableColumn>
    <tableColumn id="3" xr3:uid="{00000000-0010-0000-4A00-000003000000}" name="KSI_PMS" totalsRowFunction="custom" dataDxfId="12240" totalsRowDxfId="12239">
      <totalsRowFormula>SUM(April22_2020[KSI_PMS])</totalsRowFormula>
    </tableColumn>
    <tableColumn id="4" xr3:uid="{00000000-0010-0000-4A00-000004000000}" name="BUIPE_AGO" totalsRowFunction="custom" dataDxfId="12238" totalsRowDxfId="12237">
      <totalsRowFormula>SUM(April22_2020[BUIPE_AGO])</totalsRowFormula>
    </tableColumn>
    <tableColumn id="5" xr3:uid="{00000000-0010-0000-4A00-000005000000}" name="BUIPE_PMS" totalsRowFunction="custom" dataDxfId="12236" totalsRowDxfId="12235" dataCellStyle="Comma">
      <totalsRowFormula>SUM(April22_2020[BUIPE_PMS])</totalsRowFormula>
    </tableColumn>
    <tableColumn id="6" xr3:uid="{00000000-0010-0000-4A00-000006000000}" name="AKOSOMBO_AGO" totalsRowFunction="custom" dataDxfId="12234" totalsRowDxfId="12233">
      <totalsRowFormula>SUM(April22_2020[AKOSOMBO_AGO])</totalsRowFormula>
    </tableColumn>
    <tableColumn id="7" xr3:uid="{00000000-0010-0000-4A00-000007000000}" name="DATE" dataDxfId="12232" totalsRowDxfId="12231">
      <calculatedColumnFormula>$G$3</calculatedColumnFormula>
    </tableColumn>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2" xr:uid="{00000000-000C-0000-FFFF-FFFF4B000000}" name="April23_2020" displayName="April23_2020" ref="B5:H20" totalsRowCount="1" headerRowDxfId="12230" headerRowBorderDxfId="12229" tableBorderDxfId="12228" totalsRowBorderDxfId="12227">
  <autoFilter ref="B5:H19" xr:uid="{00000000-0009-0000-0100-000024010000}"/>
  <sortState xmlns:xlrd2="http://schemas.microsoft.com/office/spreadsheetml/2017/richdata2" ref="B6:H18">
    <sortCondition ref="B6"/>
  </sortState>
  <tableColumns count="7">
    <tableColumn id="1" xr3:uid="{00000000-0010-0000-4B00-000001000000}" name="BDC LIST" totalsRowLabel="Total" dataDxfId="12226" totalsRowDxfId="12225"/>
    <tableColumn id="2" xr3:uid="{00000000-0010-0000-4B00-000002000000}" name="KSI_AGO" totalsRowFunction="custom" dataDxfId="12224" totalsRowDxfId="12223">
      <totalsRowFormula>SUM(April23_2020[KSI_AGO])</totalsRowFormula>
    </tableColumn>
    <tableColumn id="3" xr3:uid="{00000000-0010-0000-4B00-000003000000}" name="KSI_PMS" totalsRowFunction="custom" dataDxfId="12222" totalsRowDxfId="12221">
      <totalsRowFormula>SUM(April23_2020[KSI_PMS])</totalsRowFormula>
    </tableColumn>
    <tableColumn id="4" xr3:uid="{00000000-0010-0000-4B00-000004000000}" name="BUIPE_AGO" totalsRowFunction="custom" dataDxfId="12220" totalsRowDxfId="12219">
      <totalsRowFormula>SUM(April23_2020[BUIPE_AGO])</totalsRowFormula>
    </tableColumn>
    <tableColumn id="5" xr3:uid="{00000000-0010-0000-4B00-000005000000}" name="BUIPE_PMS" totalsRowFunction="custom" dataDxfId="12218" totalsRowDxfId="12217" dataCellStyle="Comma">
      <totalsRowFormula>SUM(April23_2020[BUIPE_PMS])</totalsRowFormula>
    </tableColumn>
    <tableColumn id="6" xr3:uid="{00000000-0010-0000-4B00-000006000000}" name="AKOSOMBO_AGO" totalsRowFunction="custom" dataDxfId="12216" totalsRowDxfId="12215">
      <totalsRowFormula>SUM(April23_2020[AKOSOMBO_AGO])</totalsRowFormula>
    </tableColumn>
    <tableColumn id="7" xr3:uid="{00000000-0010-0000-4B00-000007000000}" name="DATE" dataDxfId="12214" totalsRowDxfId="12213">
      <calculatedColumnFormula>$G$3</calculatedColumnFormula>
    </tableColumn>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3" xr:uid="{00000000-000C-0000-FFFF-FFFF4C000000}" name="April24_2020" displayName="April24_2020" ref="B5:H20" totalsRowCount="1" headerRowDxfId="12212" headerRowBorderDxfId="12211" tableBorderDxfId="12210" totalsRowBorderDxfId="12209">
  <autoFilter ref="B5:H19" xr:uid="{00000000-0009-0000-0100-000025010000}"/>
  <sortState xmlns:xlrd2="http://schemas.microsoft.com/office/spreadsheetml/2017/richdata2" ref="B6:H18">
    <sortCondition ref="B6"/>
  </sortState>
  <tableColumns count="7">
    <tableColumn id="1" xr3:uid="{00000000-0010-0000-4C00-000001000000}" name="BDC LIST" totalsRowLabel="Total" dataDxfId="12208" totalsRowDxfId="12207"/>
    <tableColumn id="2" xr3:uid="{00000000-0010-0000-4C00-000002000000}" name="KSI_AGO" totalsRowFunction="custom" dataDxfId="12206" totalsRowDxfId="12205">
      <totalsRowFormula>SUM(April24_2020[KSI_AGO])</totalsRowFormula>
    </tableColumn>
    <tableColumn id="3" xr3:uid="{00000000-0010-0000-4C00-000003000000}" name="KSI_PMS" totalsRowFunction="custom" dataDxfId="12204" totalsRowDxfId="12203">
      <totalsRowFormula>SUM(April24_2020[KSI_PMS])</totalsRowFormula>
    </tableColumn>
    <tableColumn id="4" xr3:uid="{00000000-0010-0000-4C00-000004000000}" name="BUIPE_AGO" totalsRowFunction="custom" dataDxfId="12202" totalsRowDxfId="12201">
      <totalsRowFormula>SUM(April24_2020[BUIPE_AGO])</totalsRowFormula>
    </tableColumn>
    <tableColumn id="5" xr3:uid="{00000000-0010-0000-4C00-000005000000}" name="BUIPE_PMS" totalsRowFunction="custom" dataDxfId="12200" totalsRowDxfId="12199" dataCellStyle="Comma">
      <totalsRowFormula>SUM(April24_2020[BUIPE_PMS])</totalsRowFormula>
    </tableColumn>
    <tableColumn id="6" xr3:uid="{00000000-0010-0000-4C00-000006000000}" name="AKOSOMBO_AGO" totalsRowFunction="custom" dataDxfId="12198" totalsRowDxfId="12197">
      <totalsRowFormula>SUM(April24_2020[AKOSOMBO_AGO])</totalsRowFormula>
    </tableColumn>
    <tableColumn id="7" xr3:uid="{00000000-0010-0000-4C00-000007000000}" name="DATE" dataDxfId="12196" totalsRowDxfId="12195">
      <calculatedColumnFormula>$G$3</calculatedColumnFormula>
    </tableColumn>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4" xr:uid="{00000000-000C-0000-FFFF-FFFF4D000000}" name="April27_2020" displayName="April27_2020" ref="B5:H20" totalsRowCount="1" headerRowDxfId="12194" headerRowBorderDxfId="12193" tableBorderDxfId="12192" totalsRowBorderDxfId="12191">
  <autoFilter ref="B5:H19" xr:uid="{00000000-0009-0000-0100-000026010000}"/>
  <sortState xmlns:xlrd2="http://schemas.microsoft.com/office/spreadsheetml/2017/richdata2" ref="B6:H18">
    <sortCondition ref="B6"/>
  </sortState>
  <tableColumns count="7">
    <tableColumn id="1" xr3:uid="{00000000-0010-0000-4D00-000001000000}" name="BDC LIST" totalsRowLabel="Total" dataDxfId="12190" totalsRowDxfId="12189"/>
    <tableColumn id="2" xr3:uid="{00000000-0010-0000-4D00-000002000000}" name="KSI_AGO" totalsRowFunction="custom" dataDxfId="12188" totalsRowDxfId="12187">
      <totalsRowFormula>SUM(April27_2020[KSI_AGO])</totalsRowFormula>
    </tableColumn>
    <tableColumn id="3" xr3:uid="{00000000-0010-0000-4D00-000003000000}" name="KSI_PMS" totalsRowFunction="custom" dataDxfId="12186" totalsRowDxfId="12185">
      <totalsRowFormula>SUM(April27_2020[KSI_PMS])</totalsRowFormula>
    </tableColumn>
    <tableColumn id="4" xr3:uid="{00000000-0010-0000-4D00-000004000000}" name="BUIPE_AGO" totalsRowFunction="custom" dataDxfId="12184" totalsRowDxfId="12183">
      <totalsRowFormula>SUM(April27_2020[BUIPE_AGO])</totalsRowFormula>
    </tableColumn>
    <tableColumn id="5" xr3:uid="{00000000-0010-0000-4D00-000005000000}" name="BUIPE_PMS" totalsRowFunction="custom" dataDxfId="12182" totalsRowDxfId="12181" dataCellStyle="Comma">
      <totalsRowFormula>SUM(April27_2020[BUIPE_PMS])</totalsRowFormula>
    </tableColumn>
    <tableColumn id="6" xr3:uid="{00000000-0010-0000-4D00-000006000000}" name="AKOSOMBO_AGO" totalsRowFunction="custom" dataDxfId="12180" totalsRowDxfId="12179">
      <totalsRowFormula>SUM(April27_2020[AKOSOMBO_AGO])</totalsRowFormula>
    </tableColumn>
    <tableColumn id="7" xr3:uid="{00000000-0010-0000-4D00-000007000000}" name="DATE" dataDxfId="12178" totalsRowDxfId="12177">
      <calculatedColumnFormula>$G$3</calculatedColumnFormula>
    </tableColumn>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5" xr:uid="{00000000-000C-0000-FFFF-FFFF4E000000}" name="April28_2020" displayName="April28_2020" ref="B5:H20" totalsRowCount="1" headerRowDxfId="12176" headerRowBorderDxfId="12175" tableBorderDxfId="12174" totalsRowBorderDxfId="12173">
  <autoFilter ref="B5:H19" xr:uid="{00000000-0009-0000-0100-000027010000}"/>
  <sortState xmlns:xlrd2="http://schemas.microsoft.com/office/spreadsheetml/2017/richdata2" ref="B6:H18">
    <sortCondition ref="B6"/>
  </sortState>
  <tableColumns count="7">
    <tableColumn id="1" xr3:uid="{00000000-0010-0000-4E00-000001000000}" name="BDC LIST" totalsRowLabel="Total" dataDxfId="12172" totalsRowDxfId="12171"/>
    <tableColumn id="2" xr3:uid="{00000000-0010-0000-4E00-000002000000}" name="KSI_AGO" totalsRowFunction="custom" dataDxfId="12170" totalsRowDxfId="12169">
      <totalsRowFormula>SUM(April28_2020[KSI_AGO])</totalsRowFormula>
    </tableColumn>
    <tableColumn id="3" xr3:uid="{00000000-0010-0000-4E00-000003000000}" name="KSI_PMS" totalsRowFunction="custom" dataDxfId="12168" totalsRowDxfId="12167">
      <totalsRowFormula>SUM(April28_2020[KSI_PMS])</totalsRowFormula>
    </tableColumn>
    <tableColumn id="4" xr3:uid="{00000000-0010-0000-4E00-000004000000}" name="BUIPE_AGO" totalsRowFunction="custom" dataDxfId="12166" totalsRowDxfId="12165">
      <totalsRowFormula>SUM(April28_2020[BUIPE_AGO])</totalsRowFormula>
    </tableColumn>
    <tableColumn id="5" xr3:uid="{00000000-0010-0000-4E00-000005000000}" name="BUIPE_PMS" totalsRowFunction="custom" dataDxfId="12164" totalsRowDxfId="12163" dataCellStyle="Comma">
      <totalsRowFormula>SUM(April28_2020[BUIPE_PMS])</totalsRowFormula>
    </tableColumn>
    <tableColumn id="6" xr3:uid="{00000000-0010-0000-4E00-000006000000}" name="AKOSOMBO_AGO" totalsRowFunction="custom" dataDxfId="12162" totalsRowDxfId="12161">
      <totalsRowFormula>SUM(April28_2020[AKOSOMBO_AGO])</totalsRowFormula>
    </tableColumn>
    <tableColumn id="7" xr3:uid="{00000000-0010-0000-4E00-000007000000}" name="DATE" dataDxfId="12160" totalsRowDxfId="12159">
      <calculatedColumnFormula>$G$3</calculatedColumnFormula>
    </tableColumn>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6" xr:uid="{00000000-000C-0000-FFFF-FFFF4F000000}" name="April29_2020" displayName="April29_2020" ref="B5:H20" totalsRowCount="1" headerRowDxfId="12158" headerRowBorderDxfId="12157" tableBorderDxfId="12156" totalsRowBorderDxfId="12155">
  <autoFilter ref="B5:H19" xr:uid="{00000000-0009-0000-0100-000028010000}"/>
  <sortState xmlns:xlrd2="http://schemas.microsoft.com/office/spreadsheetml/2017/richdata2" ref="B6:H18">
    <sortCondition ref="B6"/>
  </sortState>
  <tableColumns count="7">
    <tableColumn id="1" xr3:uid="{00000000-0010-0000-4F00-000001000000}" name="BDC LIST" totalsRowLabel="Total" dataDxfId="12154" totalsRowDxfId="12153"/>
    <tableColumn id="2" xr3:uid="{00000000-0010-0000-4F00-000002000000}" name="KSI_AGO" totalsRowFunction="custom" dataDxfId="12152" totalsRowDxfId="12151">
      <totalsRowFormula>SUM(April29_2020[KSI_AGO])</totalsRowFormula>
    </tableColumn>
    <tableColumn id="3" xr3:uid="{00000000-0010-0000-4F00-000003000000}" name="KSI_PMS" totalsRowFunction="custom" dataDxfId="12150" totalsRowDxfId="12149">
      <totalsRowFormula>SUM(April29_2020[KSI_PMS])</totalsRowFormula>
    </tableColumn>
    <tableColumn id="4" xr3:uid="{00000000-0010-0000-4F00-000004000000}" name="BUIPE_AGO" totalsRowFunction="custom" dataDxfId="12148" totalsRowDxfId="12147">
      <totalsRowFormula>SUM(April29_2020[BUIPE_AGO])</totalsRowFormula>
    </tableColumn>
    <tableColumn id="5" xr3:uid="{00000000-0010-0000-4F00-000005000000}" name="BUIPE_PMS" totalsRowFunction="custom" dataDxfId="12146" totalsRowDxfId="12145" dataCellStyle="Comma">
      <totalsRowFormula>SUM(April29_2020[BUIPE_PMS])</totalsRowFormula>
    </tableColumn>
    <tableColumn id="6" xr3:uid="{00000000-0010-0000-4F00-000006000000}" name="AKOSOMBO_AGO" totalsRowFunction="custom" dataDxfId="12144" totalsRowDxfId="12143">
      <totalsRowFormula>SUM(April29_2020[AKOSOMBO_AGO])</totalsRowFormula>
    </tableColumn>
    <tableColumn id="7" xr3:uid="{00000000-0010-0000-4F00-000007000000}" name="DATE" dataDxfId="12142" totalsRowDxfId="12141">
      <calculatedColumnFormula>$G$3</calculatedColumnFormula>
    </tableColumn>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7" xr:uid="{00000000-000C-0000-FFFF-FFFF50000000}" name="April30_2020" displayName="April30_2020" ref="B5:H20" totalsRowCount="1" headerRowDxfId="12140" headerRowBorderDxfId="12139" tableBorderDxfId="12138" totalsRowBorderDxfId="12137">
  <autoFilter ref="B5:H19" xr:uid="{00000000-0009-0000-0100-000029010000}"/>
  <sortState xmlns:xlrd2="http://schemas.microsoft.com/office/spreadsheetml/2017/richdata2" ref="B6:H18">
    <sortCondition ref="B6"/>
  </sortState>
  <tableColumns count="7">
    <tableColumn id="1" xr3:uid="{00000000-0010-0000-5000-000001000000}" name="BDC LIST" totalsRowLabel="Total" dataDxfId="12136" totalsRowDxfId="12135"/>
    <tableColumn id="2" xr3:uid="{00000000-0010-0000-5000-000002000000}" name="KSI_AGO" totalsRowFunction="custom" dataDxfId="12134" totalsRowDxfId="12133">
      <totalsRowFormula>SUM(April30_2020[KSI_AGO])</totalsRowFormula>
    </tableColumn>
    <tableColumn id="3" xr3:uid="{00000000-0010-0000-5000-000003000000}" name="KSI_PMS" totalsRowFunction="custom" dataDxfId="12132" totalsRowDxfId="12131">
      <totalsRowFormula>SUM(April30_2020[KSI_PMS])</totalsRowFormula>
    </tableColumn>
    <tableColumn id="4" xr3:uid="{00000000-0010-0000-5000-000004000000}" name="BUIPE_AGO" totalsRowFunction="custom" dataDxfId="12130" totalsRowDxfId="12129">
      <totalsRowFormula>SUM(April30_2020[BUIPE_AGO])</totalsRowFormula>
    </tableColumn>
    <tableColumn id="5" xr3:uid="{00000000-0010-0000-5000-000005000000}" name="BUIPE_PMS" totalsRowFunction="custom" dataDxfId="12128" totalsRowDxfId="12127" dataCellStyle="Comma">
      <totalsRowFormula>SUM(April30_2020[BUIPE_PMS])</totalsRowFormula>
    </tableColumn>
    <tableColumn id="6" xr3:uid="{00000000-0010-0000-5000-000006000000}" name="AKOSOMBO_AGO" totalsRowFunction="custom" dataDxfId="12126" totalsRowDxfId="12125">
      <totalsRowFormula>SUM(April30_2020[AKOSOMBO_AGO])</totalsRowFormula>
    </tableColumn>
    <tableColumn id="7" xr3:uid="{00000000-0010-0000-5000-000007000000}" name="DATE" dataDxfId="12124" totalsRowDxfId="12123">
      <calculatedColumnFormula>$G$3</calculatedColumnFormula>
    </tableColumn>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8" xr:uid="{00000000-000C-0000-FFFF-FFFF51000000}" name="May04_2020" displayName="May04_2020" ref="B5:H20" totalsRowCount="1" headerRowDxfId="12122" headerRowBorderDxfId="12121" tableBorderDxfId="12120" totalsRowBorderDxfId="12119">
  <autoFilter ref="B5:H19" xr:uid="{00000000-0009-0000-0100-00002A010000}"/>
  <sortState xmlns:xlrd2="http://schemas.microsoft.com/office/spreadsheetml/2017/richdata2" ref="B6:H18">
    <sortCondition ref="B6"/>
  </sortState>
  <tableColumns count="7">
    <tableColumn id="1" xr3:uid="{00000000-0010-0000-5100-000001000000}" name="BDC LIST" totalsRowLabel="Total" dataDxfId="12118" totalsRowDxfId="12117"/>
    <tableColumn id="2" xr3:uid="{00000000-0010-0000-5100-000002000000}" name="KSI_AGO" totalsRowFunction="custom" dataDxfId="12116" totalsRowDxfId="12115">
      <totalsRowFormula>SUM(May04_2020[KSI_AGO])</totalsRowFormula>
    </tableColumn>
    <tableColumn id="3" xr3:uid="{00000000-0010-0000-5100-000003000000}" name="KSI_PMS" totalsRowFunction="custom" dataDxfId="12114" totalsRowDxfId="12113">
      <totalsRowFormula>SUM(May04_2020[KSI_PMS])</totalsRowFormula>
    </tableColumn>
    <tableColumn id="4" xr3:uid="{00000000-0010-0000-5100-000004000000}" name="BUIPE_AGO" totalsRowFunction="custom" dataDxfId="12112" totalsRowDxfId="12111">
      <totalsRowFormula>SUM(May04_2020[BUIPE_AGO])</totalsRowFormula>
    </tableColumn>
    <tableColumn id="5" xr3:uid="{00000000-0010-0000-5100-000005000000}" name="BUIPE_PMS" totalsRowFunction="custom" dataDxfId="12110" totalsRowDxfId="12109" dataCellStyle="Comma">
      <totalsRowFormula>SUM(May04_2020[BUIPE_PMS])</totalsRowFormula>
    </tableColumn>
    <tableColumn id="6" xr3:uid="{00000000-0010-0000-5100-000006000000}" name="AKOSOMBO_AGO" totalsRowFunction="custom" dataDxfId="12108" totalsRowDxfId="12107">
      <totalsRowFormula>SUM(May04_2020[AKOSOMBO_AGO])</totalsRowFormula>
    </tableColumn>
    <tableColumn id="7" xr3:uid="{00000000-0010-0000-5100-000007000000}" name="DATE" dataDxfId="12106" totalsRowDxfId="12105">
      <calculatedColumnFormula>$G$3</calculatedColumnFormula>
    </tableColumn>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9" xr:uid="{00000000-000C-0000-FFFF-FFFF52000000}" name="May05_2020" displayName="May05_2020" ref="B5:H20" totalsRowCount="1" headerRowDxfId="12104" headerRowBorderDxfId="12103" tableBorderDxfId="12102" totalsRowBorderDxfId="12101">
  <autoFilter ref="B5:H19" xr:uid="{00000000-0009-0000-0100-00002B010000}"/>
  <sortState xmlns:xlrd2="http://schemas.microsoft.com/office/spreadsheetml/2017/richdata2" ref="B6:H18">
    <sortCondition ref="B6"/>
  </sortState>
  <tableColumns count="7">
    <tableColumn id="1" xr3:uid="{00000000-0010-0000-5200-000001000000}" name="BDC LIST" totalsRowLabel="Total" dataDxfId="12100" totalsRowDxfId="12099"/>
    <tableColumn id="2" xr3:uid="{00000000-0010-0000-5200-000002000000}" name="KSI_AGO" totalsRowFunction="custom" dataDxfId="12098" totalsRowDxfId="12097">
      <totalsRowFormula>SUM(May05_2020[KSI_AGO])</totalsRowFormula>
    </tableColumn>
    <tableColumn id="3" xr3:uid="{00000000-0010-0000-5200-000003000000}" name="KSI_PMS" totalsRowFunction="custom" dataDxfId="12096" totalsRowDxfId="12095">
      <totalsRowFormula>SUM(May05_2020[KSI_PMS])</totalsRowFormula>
    </tableColumn>
    <tableColumn id="4" xr3:uid="{00000000-0010-0000-5200-000004000000}" name="BUIPE_AGO" totalsRowFunction="custom" dataDxfId="12094" totalsRowDxfId="12093">
      <totalsRowFormula>SUM(May05_2020[BUIPE_AGO])</totalsRowFormula>
    </tableColumn>
    <tableColumn id="5" xr3:uid="{00000000-0010-0000-5200-000005000000}" name="BUIPE_PMS" totalsRowFunction="custom" dataDxfId="12092" totalsRowDxfId="12091" dataCellStyle="Comma">
      <totalsRowFormula>SUM(May05_2020[BUIPE_PMS])</totalsRowFormula>
    </tableColumn>
    <tableColumn id="6" xr3:uid="{00000000-0010-0000-5200-000006000000}" name="AKOSOMBO_AGO" totalsRowFunction="custom" dataDxfId="12090" totalsRowDxfId="12089">
      <totalsRowFormula>SUM(May05_2020[AKOSOMBO_AGO])</totalsRowFormula>
    </tableColumn>
    <tableColumn id="7" xr3:uid="{00000000-0010-0000-5200-000007000000}" name="DATE" dataDxfId="12088" totalsRowDxfId="12087">
      <calculatedColumnFormula>$G$3</calculatedColumnFormula>
    </tableColumn>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0" xr:uid="{00000000-000C-0000-FFFF-FFFF53000000}" name="May06_2020" displayName="May06_2020" ref="B5:H20" totalsRowCount="1" headerRowDxfId="12086" headerRowBorderDxfId="12085" tableBorderDxfId="12084" totalsRowBorderDxfId="12083">
  <autoFilter ref="B5:H19" xr:uid="{00000000-0009-0000-0100-00002C010000}"/>
  <sortState xmlns:xlrd2="http://schemas.microsoft.com/office/spreadsheetml/2017/richdata2" ref="B6:H18">
    <sortCondition ref="B6"/>
  </sortState>
  <tableColumns count="7">
    <tableColumn id="1" xr3:uid="{00000000-0010-0000-5300-000001000000}" name="BDC LIST" totalsRowLabel="Total" dataDxfId="12082" totalsRowDxfId="12081"/>
    <tableColumn id="2" xr3:uid="{00000000-0010-0000-5300-000002000000}" name="KSI_AGO" totalsRowFunction="custom" dataDxfId="12080" totalsRowDxfId="12079">
      <totalsRowFormula>SUM(May06_2020[KSI_AGO])</totalsRowFormula>
    </tableColumn>
    <tableColumn id="3" xr3:uid="{00000000-0010-0000-5300-000003000000}" name="KSI_PMS" totalsRowFunction="custom" dataDxfId="12078" totalsRowDxfId="12077">
      <totalsRowFormula>SUM(May06_2020[KSI_PMS])</totalsRowFormula>
    </tableColumn>
    <tableColumn id="4" xr3:uid="{00000000-0010-0000-5300-000004000000}" name="BUIPE_AGO" totalsRowFunction="custom" dataDxfId="12076" totalsRowDxfId="12075">
      <totalsRowFormula>SUM(May06_2020[BUIPE_AGO])</totalsRowFormula>
    </tableColumn>
    <tableColumn id="5" xr3:uid="{00000000-0010-0000-5300-000005000000}" name="BUIPE_PMS" totalsRowFunction="custom" dataDxfId="12074" totalsRowDxfId="12073" dataCellStyle="Comma">
      <totalsRowFormula>SUM(May06_2020[BUIPE_PMS])</totalsRowFormula>
    </tableColumn>
    <tableColumn id="6" xr3:uid="{00000000-0010-0000-5300-000006000000}" name="AKOSOMBO_AGO" totalsRowFunction="custom" dataDxfId="12072" totalsRowDxfId="12071">
      <totalsRowFormula>SUM(May06_2020[AKOSOMBO_AGO])</totalsRowFormula>
    </tableColumn>
    <tableColumn id="7" xr3:uid="{00000000-0010-0000-5300-000007000000}" name="DATE" dataDxfId="12070" totalsRowDxfId="12069">
      <calculatedColumnFormula>$G$3</calculatedColumnFormula>
    </tableColumn>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1" xr:uid="{00000000-000C-0000-FFFF-FFFF54000000}" name="May07_2020" displayName="May07_2020" ref="B5:H20" totalsRowCount="1" headerRowDxfId="12068" headerRowBorderDxfId="12067" tableBorderDxfId="12066" totalsRowBorderDxfId="12065">
  <autoFilter ref="B5:H19" xr:uid="{00000000-0009-0000-0100-00002D010000}"/>
  <sortState xmlns:xlrd2="http://schemas.microsoft.com/office/spreadsheetml/2017/richdata2" ref="B6:H18">
    <sortCondition ref="B6"/>
  </sortState>
  <tableColumns count="7">
    <tableColumn id="1" xr3:uid="{00000000-0010-0000-5400-000001000000}" name="BDC LIST" totalsRowLabel="Total" dataDxfId="12064" totalsRowDxfId="12063"/>
    <tableColumn id="2" xr3:uid="{00000000-0010-0000-5400-000002000000}" name="KSI_AGO" totalsRowFunction="custom" dataDxfId="12062" totalsRowDxfId="12061">
      <totalsRowFormula>SUM(May07_2020[KSI_AGO])</totalsRowFormula>
    </tableColumn>
    <tableColumn id="3" xr3:uid="{00000000-0010-0000-5400-000003000000}" name="KSI_PMS" totalsRowFunction="custom" dataDxfId="12060" totalsRowDxfId="12059">
      <totalsRowFormula>SUM(May07_2020[KSI_PMS])</totalsRowFormula>
    </tableColumn>
    <tableColumn id="4" xr3:uid="{00000000-0010-0000-5400-000004000000}" name="BUIPE_AGO" totalsRowFunction="custom" dataDxfId="12058" totalsRowDxfId="12057">
      <totalsRowFormula>SUM(May07_2020[BUIPE_AGO])</totalsRowFormula>
    </tableColumn>
    <tableColumn id="5" xr3:uid="{00000000-0010-0000-5400-000005000000}" name="BUIPE_PMS" totalsRowFunction="custom" dataDxfId="12056" totalsRowDxfId="12055" dataCellStyle="Comma">
      <totalsRowFormula>SUM(May07_2020[BUIPE_PMS])</totalsRowFormula>
    </tableColumn>
    <tableColumn id="6" xr3:uid="{00000000-0010-0000-5400-000006000000}" name="AKOSOMBO_AGO" totalsRowFunction="custom" dataDxfId="12054" totalsRowDxfId="12053">
      <totalsRowFormula>SUM(May07_2020[AKOSOMBO_AGO])</totalsRowFormula>
    </tableColumn>
    <tableColumn id="7" xr3:uid="{00000000-0010-0000-5400-000007000000}" name="DATE" dataDxfId="12052" totalsRowDxfId="12051">
      <calculatedColumnFormula>$G$3</calculatedColumnFormula>
    </tableColumn>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2" xr:uid="{00000000-000C-0000-FFFF-FFFF55000000}" name="May08_2020" displayName="May08_2020" ref="B5:H20" totalsRowCount="1" headerRowDxfId="12050" headerRowBorderDxfId="12049" tableBorderDxfId="12048" totalsRowBorderDxfId="12047">
  <autoFilter ref="B5:H19" xr:uid="{00000000-0009-0000-0100-00002E010000}"/>
  <sortState xmlns:xlrd2="http://schemas.microsoft.com/office/spreadsheetml/2017/richdata2" ref="B6:H18">
    <sortCondition ref="B6"/>
  </sortState>
  <tableColumns count="7">
    <tableColumn id="1" xr3:uid="{00000000-0010-0000-5500-000001000000}" name="BDC LIST" totalsRowLabel="Total" dataDxfId="12046" totalsRowDxfId="12045"/>
    <tableColumn id="2" xr3:uid="{00000000-0010-0000-5500-000002000000}" name="KSI_AGO" totalsRowFunction="custom" dataDxfId="12044" totalsRowDxfId="12043">
      <totalsRowFormula>SUM(May08_2020[KSI_AGO])</totalsRowFormula>
    </tableColumn>
    <tableColumn id="3" xr3:uid="{00000000-0010-0000-5500-000003000000}" name="KSI_PMS" totalsRowFunction="custom" dataDxfId="12042" totalsRowDxfId="12041">
      <totalsRowFormula>SUM(May08_2020[KSI_PMS])</totalsRowFormula>
    </tableColumn>
    <tableColumn id="4" xr3:uid="{00000000-0010-0000-5500-000004000000}" name="BUIPE_AGO" totalsRowFunction="custom" dataDxfId="12040" totalsRowDxfId="12039">
      <totalsRowFormula>SUM(May08_2020[BUIPE_AGO])</totalsRowFormula>
    </tableColumn>
    <tableColumn id="5" xr3:uid="{00000000-0010-0000-5500-000005000000}" name="BUIPE_PMS" totalsRowFunction="custom" dataDxfId="12038" totalsRowDxfId="12037" dataCellStyle="Comma">
      <totalsRowFormula>SUM(May08_2020[BUIPE_PMS])</totalsRowFormula>
    </tableColumn>
    <tableColumn id="6" xr3:uid="{00000000-0010-0000-5500-000006000000}" name="AKOSOMBO_AGO" totalsRowFunction="custom" dataDxfId="12036" totalsRowDxfId="12035">
      <totalsRowFormula>SUM(May08_2020[AKOSOMBO_AGO])</totalsRowFormula>
    </tableColumn>
    <tableColumn id="7" xr3:uid="{00000000-0010-0000-5500-000007000000}" name="DATE" dataDxfId="12034" totalsRowDxfId="12033">
      <calculatedColumnFormula>$G$3</calculatedColumnFormula>
    </tableColumn>
  </tableColumns>
  <tableStyleInfo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0" xr:uid="{00000000-000C-0000-FFFF-FFFF56000000}" name="May11_2020" displayName="May11_2020" ref="B5:H20" totalsRowCount="1" headerRowDxfId="12032" headerRowBorderDxfId="12031" tableBorderDxfId="12030" totalsRowBorderDxfId="12029">
  <autoFilter ref="B5:H19" xr:uid="{00000000-0009-0000-0100-00004A010000}"/>
  <sortState xmlns:xlrd2="http://schemas.microsoft.com/office/spreadsheetml/2017/richdata2" ref="B6:H18">
    <sortCondition ref="B6"/>
  </sortState>
  <tableColumns count="7">
    <tableColumn id="1" xr3:uid="{00000000-0010-0000-5600-000001000000}" name="BDC LIST" totalsRowLabel="Total" dataDxfId="12028" totalsRowDxfId="12027"/>
    <tableColumn id="2" xr3:uid="{00000000-0010-0000-5600-000002000000}" name="KSI_AGO" totalsRowFunction="custom" dataDxfId="12026" totalsRowDxfId="12025">
      <totalsRowFormula>SUM(May11_2020[KSI_AGO])</totalsRowFormula>
    </tableColumn>
    <tableColumn id="3" xr3:uid="{00000000-0010-0000-5600-000003000000}" name="KSI_PMS" totalsRowFunction="custom" dataDxfId="12024" totalsRowDxfId="12023">
      <totalsRowFormula>SUM(May11_2020[KSI_PMS])</totalsRowFormula>
    </tableColumn>
    <tableColumn id="4" xr3:uid="{00000000-0010-0000-5600-000004000000}" name="BUIPE_AGO" totalsRowFunction="custom" dataDxfId="12022" totalsRowDxfId="12021">
      <totalsRowFormula>SUM(May11_2020[BUIPE_AGO])</totalsRowFormula>
    </tableColumn>
    <tableColumn id="5" xr3:uid="{00000000-0010-0000-5600-000005000000}" name="BUIPE_PMS" totalsRowFunction="custom" dataDxfId="12020" totalsRowDxfId="12019" dataCellStyle="Comma">
      <totalsRowFormula>SUM(May11_2020[BUIPE_PMS])</totalsRowFormula>
    </tableColumn>
    <tableColumn id="6" xr3:uid="{00000000-0010-0000-5600-000006000000}" name="AKOSOMBO_AGO" totalsRowFunction="custom" dataDxfId="12018" totalsRowDxfId="12017">
      <totalsRowFormula>SUM(May11_2020[AKOSOMBO_AGO])</totalsRowFormula>
    </tableColumn>
    <tableColumn id="7" xr3:uid="{00000000-0010-0000-5600-000007000000}" name="DATE" dataDxfId="12016" totalsRowDxfId="12015">
      <calculatedColumnFormula>$G$3</calculatedColumnFormula>
    </tableColumn>
  </tableColumns>
  <tableStyleInfo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1" xr:uid="{00000000-000C-0000-FFFF-FFFF57000000}" name="May12_2020" displayName="May12_2020" ref="B5:H20" totalsRowCount="1" headerRowDxfId="12014" headerRowBorderDxfId="12013" tableBorderDxfId="12012" totalsRowBorderDxfId="12011">
  <autoFilter ref="B5:H19" xr:uid="{00000000-0009-0000-0100-00004B010000}"/>
  <sortState xmlns:xlrd2="http://schemas.microsoft.com/office/spreadsheetml/2017/richdata2" ref="B6:H18">
    <sortCondition ref="B6"/>
  </sortState>
  <tableColumns count="7">
    <tableColumn id="1" xr3:uid="{00000000-0010-0000-5700-000001000000}" name="BDC LIST" totalsRowLabel="Total" dataDxfId="12010" totalsRowDxfId="12009"/>
    <tableColumn id="2" xr3:uid="{00000000-0010-0000-5700-000002000000}" name="KSI_AGO" totalsRowFunction="custom" dataDxfId="12008" totalsRowDxfId="12007">
      <totalsRowFormula>SUM(May12_2020[KSI_AGO])</totalsRowFormula>
    </tableColumn>
    <tableColumn id="3" xr3:uid="{00000000-0010-0000-5700-000003000000}" name="KSI_PMS" totalsRowFunction="custom" dataDxfId="12006" totalsRowDxfId="12005">
      <totalsRowFormula>SUM(May12_2020[KSI_PMS])</totalsRowFormula>
    </tableColumn>
    <tableColumn id="4" xr3:uid="{00000000-0010-0000-5700-000004000000}" name="BUIPE_AGO" totalsRowFunction="custom" dataDxfId="12004" totalsRowDxfId="12003">
      <totalsRowFormula>SUM(May12_2020[BUIPE_AGO])</totalsRowFormula>
    </tableColumn>
    <tableColumn id="5" xr3:uid="{00000000-0010-0000-5700-000005000000}" name="BUIPE_PMS" totalsRowFunction="custom" dataDxfId="12002" totalsRowDxfId="12001" dataCellStyle="Comma">
      <totalsRowFormula>SUM(May12_2020[BUIPE_PMS])</totalsRowFormula>
    </tableColumn>
    <tableColumn id="6" xr3:uid="{00000000-0010-0000-5700-000006000000}" name="AKOSOMBO_AGO" totalsRowFunction="custom" dataDxfId="12000" totalsRowDxfId="11999">
      <totalsRowFormula>SUM(May12_2020[AKOSOMBO_AGO])</totalsRowFormula>
    </tableColumn>
    <tableColumn id="7" xr3:uid="{00000000-0010-0000-5700-000007000000}" name="DATE" dataDxfId="11998" totalsRowDxfId="11997">
      <calculatedColumnFormula>$G$3</calculatedColumnFormula>
    </tableColumn>
  </tableColumns>
  <tableStyleInfo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2" xr:uid="{00000000-000C-0000-FFFF-FFFF58000000}" name="May13_2020" displayName="May13_2020" ref="B5:H20" totalsRowCount="1" headerRowDxfId="11996" headerRowBorderDxfId="11995" tableBorderDxfId="11994" totalsRowBorderDxfId="11993">
  <autoFilter ref="B5:H19" xr:uid="{00000000-0009-0000-0100-00004C010000}"/>
  <sortState xmlns:xlrd2="http://schemas.microsoft.com/office/spreadsheetml/2017/richdata2" ref="B6:H18">
    <sortCondition ref="B6"/>
  </sortState>
  <tableColumns count="7">
    <tableColumn id="1" xr3:uid="{00000000-0010-0000-5800-000001000000}" name="BDC LIST" totalsRowLabel="Total" dataDxfId="11992" totalsRowDxfId="11991"/>
    <tableColumn id="2" xr3:uid="{00000000-0010-0000-5800-000002000000}" name="KSI_AGO" totalsRowFunction="custom" dataDxfId="11990" totalsRowDxfId="11989">
      <totalsRowFormula>SUM(May13_2020[KSI_AGO])</totalsRowFormula>
    </tableColumn>
    <tableColumn id="3" xr3:uid="{00000000-0010-0000-5800-000003000000}" name="KSI_PMS" totalsRowFunction="custom" dataDxfId="11988" totalsRowDxfId="11987">
      <totalsRowFormula>SUM(May13_2020[KSI_PMS])</totalsRowFormula>
    </tableColumn>
    <tableColumn id="4" xr3:uid="{00000000-0010-0000-5800-000004000000}" name="BUIPE_AGO" totalsRowFunction="custom" dataDxfId="11986" totalsRowDxfId="11985">
      <totalsRowFormula>SUM(May13_2020[BUIPE_AGO])</totalsRowFormula>
    </tableColumn>
    <tableColumn id="5" xr3:uid="{00000000-0010-0000-5800-000005000000}" name="BUIPE_PMS" totalsRowFunction="custom" dataDxfId="11984" totalsRowDxfId="11983" dataCellStyle="Comma">
      <totalsRowFormula>SUM(May13_2020[BUIPE_PMS])</totalsRowFormula>
    </tableColumn>
    <tableColumn id="6" xr3:uid="{00000000-0010-0000-5800-000006000000}" name="AKOSOMBO_AGO" totalsRowFunction="custom" dataDxfId="11982" totalsRowDxfId="11981">
      <totalsRowFormula>SUM(May13_2020[AKOSOMBO_AGO])</totalsRowFormula>
    </tableColumn>
    <tableColumn id="7" xr3:uid="{00000000-0010-0000-5800-000007000000}" name="DATE" dataDxfId="11980" totalsRowDxfId="11979">
      <calculatedColumnFormula>$G$3</calculatedColumnFormula>
    </tableColumn>
  </tableColumns>
  <tableStyleInfo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3" xr:uid="{00000000-000C-0000-FFFF-FFFF59000000}" name="May14_2020" displayName="May14_2020" ref="B5:H20" totalsRowCount="1" headerRowDxfId="11978" headerRowBorderDxfId="11977" tableBorderDxfId="11976" totalsRowBorderDxfId="11975">
  <autoFilter ref="B5:H19" xr:uid="{00000000-0009-0000-0100-00004D010000}"/>
  <sortState xmlns:xlrd2="http://schemas.microsoft.com/office/spreadsheetml/2017/richdata2" ref="B6:H18">
    <sortCondition ref="B6"/>
  </sortState>
  <tableColumns count="7">
    <tableColumn id="1" xr3:uid="{00000000-0010-0000-5900-000001000000}" name="BDC LIST" totalsRowLabel="Total" dataDxfId="11974" totalsRowDxfId="11973"/>
    <tableColumn id="2" xr3:uid="{00000000-0010-0000-5900-000002000000}" name="KSI_AGO" totalsRowFunction="custom" dataDxfId="11972" totalsRowDxfId="11971">
      <totalsRowFormula>SUM(May14_2020[KSI_AGO])</totalsRowFormula>
    </tableColumn>
    <tableColumn id="3" xr3:uid="{00000000-0010-0000-5900-000003000000}" name="KSI_PMS" totalsRowFunction="custom" dataDxfId="11970" totalsRowDxfId="11969">
      <totalsRowFormula>SUM(May14_2020[KSI_PMS])</totalsRowFormula>
    </tableColumn>
    <tableColumn id="4" xr3:uid="{00000000-0010-0000-5900-000004000000}" name="BUIPE_AGO" totalsRowFunction="custom" dataDxfId="11968" totalsRowDxfId="11967">
      <totalsRowFormula>SUM(May14_2020[BUIPE_AGO])</totalsRowFormula>
    </tableColumn>
    <tableColumn id="5" xr3:uid="{00000000-0010-0000-5900-000005000000}" name="BUIPE_PMS" totalsRowFunction="custom" dataDxfId="11966" totalsRowDxfId="11965" dataCellStyle="Comma">
      <totalsRowFormula>SUM(May14_2020[BUIPE_PMS])</totalsRowFormula>
    </tableColumn>
    <tableColumn id="6" xr3:uid="{00000000-0010-0000-5900-000006000000}" name="AKOSOMBO_AGO" totalsRowFunction="custom" dataDxfId="11964" totalsRowDxfId="11963">
      <totalsRowFormula>SUM(May14_2020[AKOSOMBO_AGO])</totalsRowFormula>
    </tableColumn>
    <tableColumn id="7" xr3:uid="{00000000-0010-0000-5900-000007000000}" name="DATE" dataDxfId="11962" totalsRowDxfId="11961">
      <calculatedColumnFormula>$G$3</calculatedColumnFormula>
    </tableColumn>
  </tableColumns>
  <tableStyleInfo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4" xr:uid="{00000000-000C-0000-FFFF-FFFF5A000000}" name="May15_2020" displayName="May15_2020" ref="B5:H20" totalsRowCount="1" headerRowDxfId="11960" headerRowBorderDxfId="11959" tableBorderDxfId="11958" totalsRowBorderDxfId="11957">
  <autoFilter ref="B5:H19" xr:uid="{00000000-0009-0000-0100-00004E010000}"/>
  <sortState xmlns:xlrd2="http://schemas.microsoft.com/office/spreadsheetml/2017/richdata2" ref="B6:H18">
    <sortCondition ref="B6"/>
  </sortState>
  <tableColumns count="7">
    <tableColumn id="1" xr3:uid="{00000000-0010-0000-5A00-000001000000}" name="BDC LIST" totalsRowLabel="Total" dataDxfId="11956" totalsRowDxfId="11955"/>
    <tableColumn id="2" xr3:uid="{00000000-0010-0000-5A00-000002000000}" name="KSI_AGO" totalsRowFunction="custom" dataDxfId="11954" totalsRowDxfId="11953">
      <totalsRowFormula>SUM(May15_2020[KSI_AGO])</totalsRowFormula>
    </tableColumn>
    <tableColumn id="3" xr3:uid="{00000000-0010-0000-5A00-000003000000}" name="KSI_PMS" totalsRowFunction="custom" dataDxfId="11952" totalsRowDxfId="11951">
      <totalsRowFormula>SUM(May15_2020[KSI_PMS])</totalsRowFormula>
    </tableColumn>
    <tableColumn id="4" xr3:uid="{00000000-0010-0000-5A00-000004000000}" name="BUIPE_AGO" totalsRowFunction="custom" dataDxfId="11950" totalsRowDxfId="11949">
      <totalsRowFormula>SUM(May15_2020[BUIPE_AGO])</totalsRowFormula>
    </tableColumn>
    <tableColumn id="5" xr3:uid="{00000000-0010-0000-5A00-000005000000}" name="BUIPE_PMS" totalsRowFunction="custom" dataDxfId="11948" totalsRowDxfId="11947" dataCellStyle="Comma">
      <totalsRowFormula>SUM(May15_2020[BUIPE_PMS])</totalsRowFormula>
    </tableColumn>
    <tableColumn id="6" xr3:uid="{00000000-0010-0000-5A00-000006000000}" name="AKOSOMBO_AGO" totalsRowFunction="custom" dataDxfId="11946" totalsRowDxfId="11945">
      <totalsRowFormula>SUM(May15_2020[AKOSOMBO_AGO])</totalsRowFormula>
    </tableColumn>
    <tableColumn id="7" xr3:uid="{00000000-0010-0000-5A00-000007000000}" name="DATE" dataDxfId="11944" totalsRowDxfId="11943">
      <calculatedColumnFormula>$G$3</calculatedColumnFormula>
    </tableColumn>
  </tableColumns>
  <tableStyleInfo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5" xr:uid="{00000000-000C-0000-FFFF-FFFF5B000000}" name="May18_2020" displayName="May18_2020" ref="B5:H20" totalsRowCount="1" headerRowDxfId="11942" headerRowBorderDxfId="11941" tableBorderDxfId="11940" totalsRowBorderDxfId="11939">
  <autoFilter ref="B5:H19" xr:uid="{00000000-0009-0000-0100-00004F010000}"/>
  <sortState xmlns:xlrd2="http://schemas.microsoft.com/office/spreadsheetml/2017/richdata2" ref="B6:H18">
    <sortCondition ref="B6"/>
  </sortState>
  <tableColumns count="7">
    <tableColumn id="1" xr3:uid="{00000000-0010-0000-5B00-000001000000}" name="BDC LIST" totalsRowLabel="Total" dataDxfId="11938" totalsRowDxfId="11937"/>
    <tableColumn id="2" xr3:uid="{00000000-0010-0000-5B00-000002000000}" name="KSI_AGO" totalsRowFunction="custom" dataDxfId="11936" totalsRowDxfId="11935">
      <totalsRowFormula>SUM(May18_2020[KSI_AGO])</totalsRowFormula>
    </tableColumn>
    <tableColumn id="3" xr3:uid="{00000000-0010-0000-5B00-000003000000}" name="KSI_PMS" totalsRowFunction="custom" dataDxfId="11934" totalsRowDxfId="11933">
      <totalsRowFormula>SUM(May18_2020[KSI_PMS])</totalsRowFormula>
    </tableColumn>
    <tableColumn id="4" xr3:uid="{00000000-0010-0000-5B00-000004000000}" name="BUIPE_AGO" totalsRowFunction="custom" dataDxfId="11932" totalsRowDxfId="11931">
      <totalsRowFormula>SUM(May18_2020[BUIPE_AGO])</totalsRowFormula>
    </tableColumn>
    <tableColumn id="5" xr3:uid="{00000000-0010-0000-5B00-000005000000}" name="BUIPE_PMS" totalsRowFunction="custom" dataDxfId="11930" totalsRowDxfId="11929" dataCellStyle="Comma">
      <totalsRowFormula>SUM(May18_2020[BUIPE_PMS])</totalsRowFormula>
    </tableColumn>
    <tableColumn id="6" xr3:uid="{00000000-0010-0000-5B00-000006000000}" name="AKOSOMBO_AGO" totalsRowFunction="custom" dataDxfId="11928" totalsRowDxfId="11927">
      <totalsRowFormula>SUM(May18_2020[AKOSOMBO_AGO])</totalsRowFormula>
    </tableColumn>
    <tableColumn id="7" xr3:uid="{00000000-0010-0000-5B00-000007000000}" name="DATE" dataDxfId="11926" totalsRowDxfId="11925">
      <calculatedColumnFormula>$G$3</calculatedColumnFormula>
    </tableColumn>
  </tableColumns>
  <tableStyleInfo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6" xr:uid="{00000000-000C-0000-FFFF-FFFF5C000000}" name="May19_2020" displayName="May19_2020" ref="B5:H20" totalsRowCount="1" headerRowDxfId="11924" headerRowBorderDxfId="11923" tableBorderDxfId="11922" totalsRowBorderDxfId="11921">
  <autoFilter ref="B5:H19" xr:uid="{00000000-0009-0000-0100-000050010000}"/>
  <sortState xmlns:xlrd2="http://schemas.microsoft.com/office/spreadsheetml/2017/richdata2" ref="B6:H18">
    <sortCondition ref="B6"/>
  </sortState>
  <tableColumns count="7">
    <tableColumn id="1" xr3:uid="{00000000-0010-0000-5C00-000001000000}" name="BDC LIST" totalsRowLabel="Total" dataDxfId="11920" totalsRowDxfId="11919"/>
    <tableColumn id="2" xr3:uid="{00000000-0010-0000-5C00-000002000000}" name="KSI_AGO" totalsRowFunction="custom" dataDxfId="11918" totalsRowDxfId="11917">
      <totalsRowFormula>SUM(May19_2020[KSI_AGO])</totalsRowFormula>
    </tableColumn>
    <tableColumn id="3" xr3:uid="{00000000-0010-0000-5C00-000003000000}" name="KSI_PMS" totalsRowFunction="custom" dataDxfId="11916" totalsRowDxfId="11915">
      <totalsRowFormula>SUM(May19_2020[KSI_PMS])</totalsRowFormula>
    </tableColumn>
    <tableColumn id="4" xr3:uid="{00000000-0010-0000-5C00-000004000000}" name="BUIPE_AGO" totalsRowFunction="custom" dataDxfId="11914" totalsRowDxfId="11913">
      <totalsRowFormula>SUM(May19_2020[BUIPE_AGO])</totalsRowFormula>
    </tableColumn>
    <tableColumn id="5" xr3:uid="{00000000-0010-0000-5C00-000005000000}" name="BUIPE_PMS" totalsRowFunction="custom" dataDxfId="11912" totalsRowDxfId="11911" dataCellStyle="Comma">
      <totalsRowFormula>SUM(May19_2020[BUIPE_PMS])</totalsRowFormula>
    </tableColumn>
    <tableColumn id="6" xr3:uid="{00000000-0010-0000-5C00-000006000000}" name="AKOSOMBO_AGO" totalsRowFunction="custom" dataDxfId="11910" totalsRowDxfId="11909">
      <totalsRowFormula>SUM(May19_2020[AKOSOMBO_AGO])</totalsRowFormula>
    </tableColumn>
    <tableColumn id="7" xr3:uid="{00000000-0010-0000-5C00-000007000000}" name="DATE" dataDxfId="11908" totalsRowDxfId="11907">
      <calculatedColumnFormula>$G$3</calculatedColumnFormula>
    </tableColumn>
  </tableColumns>
  <tableStyleInfo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7" xr:uid="{00000000-000C-0000-FFFF-FFFF5D000000}" name="May20_2020" displayName="May20_2020" ref="B5:H20" totalsRowCount="1" headerRowDxfId="11906" headerRowBorderDxfId="11905" tableBorderDxfId="11904" totalsRowBorderDxfId="11903">
  <autoFilter ref="B5:H19" xr:uid="{00000000-0009-0000-0100-000051010000}"/>
  <sortState xmlns:xlrd2="http://schemas.microsoft.com/office/spreadsheetml/2017/richdata2" ref="B6:H18">
    <sortCondition ref="B6"/>
  </sortState>
  <tableColumns count="7">
    <tableColumn id="1" xr3:uid="{00000000-0010-0000-5D00-000001000000}" name="BDC LIST" totalsRowLabel="Total" dataDxfId="11902" totalsRowDxfId="11901"/>
    <tableColumn id="2" xr3:uid="{00000000-0010-0000-5D00-000002000000}" name="KSI_AGO" totalsRowFunction="custom" dataDxfId="11900" totalsRowDxfId="11899">
      <totalsRowFormula>SUM(May20_2020[KSI_AGO])</totalsRowFormula>
    </tableColumn>
    <tableColumn id="3" xr3:uid="{00000000-0010-0000-5D00-000003000000}" name="KSI_PMS" totalsRowFunction="custom" dataDxfId="11898" totalsRowDxfId="11897">
      <totalsRowFormula>SUM(May20_2020[KSI_PMS])</totalsRowFormula>
    </tableColumn>
    <tableColumn id="4" xr3:uid="{00000000-0010-0000-5D00-000004000000}" name="BUIPE_AGO" totalsRowFunction="custom" dataDxfId="11896" totalsRowDxfId="11895">
      <totalsRowFormula>SUM(May20_2020[BUIPE_AGO])</totalsRowFormula>
    </tableColumn>
    <tableColumn id="5" xr3:uid="{00000000-0010-0000-5D00-000005000000}" name="BUIPE_PMS" totalsRowFunction="custom" dataDxfId="11894" totalsRowDxfId="11893" dataCellStyle="Comma">
      <totalsRowFormula>SUM(May20_2020[BUIPE_PMS])</totalsRowFormula>
    </tableColumn>
    <tableColumn id="6" xr3:uid="{00000000-0010-0000-5D00-000006000000}" name="AKOSOMBO_AGO" totalsRowFunction="custom" dataDxfId="11892" totalsRowDxfId="11891">
      <totalsRowFormula>SUM(May20_2020[AKOSOMBO_AGO])</totalsRowFormula>
    </tableColumn>
    <tableColumn id="7" xr3:uid="{00000000-0010-0000-5D00-000007000000}" name="DATE" dataDxfId="11890" totalsRowDxfId="11889">
      <calculatedColumnFormula>$G$3</calculatedColumnFormula>
    </tableColumn>
  </tableColumns>
  <tableStyleInfo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8" xr:uid="{00000000-000C-0000-FFFF-FFFF5E000000}" name="May21_2020" displayName="May21_2020" ref="B5:H20" totalsRowCount="1" headerRowDxfId="11888" headerRowBorderDxfId="11887" tableBorderDxfId="11886" totalsRowBorderDxfId="11885">
  <autoFilter ref="B5:H19" xr:uid="{00000000-0009-0000-0100-000052010000}"/>
  <sortState xmlns:xlrd2="http://schemas.microsoft.com/office/spreadsheetml/2017/richdata2" ref="B6:H18">
    <sortCondition ref="B6"/>
  </sortState>
  <tableColumns count="7">
    <tableColumn id="1" xr3:uid="{00000000-0010-0000-5E00-000001000000}" name="BDC LIST" totalsRowLabel="Total" dataDxfId="11884" totalsRowDxfId="11883"/>
    <tableColumn id="2" xr3:uid="{00000000-0010-0000-5E00-000002000000}" name="KSI_AGO" totalsRowFunction="custom" dataDxfId="11882" totalsRowDxfId="11881">
      <totalsRowFormula>SUM(May21_2020[KSI_AGO])</totalsRowFormula>
    </tableColumn>
    <tableColumn id="3" xr3:uid="{00000000-0010-0000-5E00-000003000000}" name="KSI_PMS" totalsRowFunction="custom" dataDxfId="11880" totalsRowDxfId="11879">
      <totalsRowFormula>SUM(May21_2020[KSI_PMS])</totalsRowFormula>
    </tableColumn>
    <tableColumn id="4" xr3:uid="{00000000-0010-0000-5E00-000004000000}" name="BUIPE_AGO" totalsRowFunction="custom" dataDxfId="11878" totalsRowDxfId="11877">
      <totalsRowFormula>SUM(May21_2020[BUIPE_AGO])</totalsRowFormula>
    </tableColumn>
    <tableColumn id="5" xr3:uid="{00000000-0010-0000-5E00-000005000000}" name="BUIPE_PMS" totalsRowFunction="custom" dataDxfId="11876" totalsRowDxfId="11875" dataCellStyle="Comma">
      <totalsRowFormula>SUM(May21_2020[BUIPE_PMS])</totalsRowFormula>
    </tableColumn>
    <tableColumn id="6" xr3:uid="{00000000-0010-0000-5E00-000006000000}" name="AKOSOMBO_AGO" totalsRowFunction="custom" dataDxfId="11874" totalsRowDxfId="11873">
      <totalsRowFormula>SUM(May21_2020[AKOSOMBO_AGO])</totalsRowFormula>
    </tableColumn>
    <tableColumn id="7" xr3:uid="{00000000-0010-0000-5E00-000007000000}" name="DATE" dataDxfId="11872" totalsRowDxfId="11871">
      <calculatedColumnFormula>$G$3</calculatedColumnFormula>
    </tableColumn>
  </tableColumns>
  <tableStyleInfo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9" xr:uid="{00000000-000C-0000-FFFF-FFFF5F000000}" name="May22_2020" displayName="May22_2020" ref="B5:H20" totalsRowCount="1" headerRowDxfId="11870" headerRowBorderDxfId="11869" tableBorderDxfId="11868" totalsRowBorderDxfId="11867">
  <autoFilter ref="B5:H19" xr:uid="{00000000-0009-0000-0100-000053010000}"/>
  <sortState xmlns:xlrd2="http://schemas.microsoft.com/office/spreadsheetml/2017/richdata2" ref="B6:H18">
    <sortCondition ref="B6"/>
  </sortState>
  <tableColumns count="7">
    <tableColumn id="1" xr3:uid="{00000000-0010-0000-5F00-000001000000}" name="BDC LIST" totalsRowLabel="Total" dataDxfId="11866" totalsRowDxfId="11865"/>
    <tableColumn id="2" xr3:uid="{00000000-0010-0000-5F00-000002000000}" name="KSI_AGO" totalsRowFunction="custom" dataDxfId="11864" totalsRowDxfId="11863">
      <totalsRowFormula>SUM(May22_2020[KSI_AGO])</totalsRowFormula>
    </tableColumn>
    <tableColumn id="3" xr3:uid="{00000000-0010-0000-5F00-000003000000}" name="KSI_PMS" totalsRowFunction="custom" dataDxfId="11862" totalsRowDxfId="11861">
      <totalsRowFormula>SUM(May22_2020[KSI_PMS])</totalsRowFormula>
    </tableColumn>
    <tableColumn id="4" xr3:uid="{00000000-0010-0000-5F00-000004000000}" name="BUIPE_AGO" totalsRowFunction="custom" dataDxfId="11860" totalsRowDxfId="11859">
      <totalsRowFormula>SUM(May22_2020[BUIPE_AGO])</totalsRowFormula>
    </tableColumn>
    <tableColumn id="5" xr3:uid="{00000000-0010-0000-5F00-000005000000}" name="BUIPE_PMS" totalsRowFunction="custom" dataDxfId="11858" totalsRowDxfId="11857" dataCellStyle="Comma">
      <totalsRowFormula>SUM(May22_2020[BUIPE_PMS])</totalsRowFormula>
    </tableColumn>
    <tableColumn id="6" xr3:uid="{00000000-0010-0000-5F00-000006000000}" name="AKOSOMBO_AGO" totalsRowFunction="custom" dataDxfId="11856" totalsRowDxfId="11855">
      <totalsRowFormula>SUM(May22_2020[AKOSOMBO_AGO])</totalsRowFormula>
    </tableColumn>
    <tableColumn id="7" xr3:uid="{00000000-0010-0000-5F00-000007000000}" name="DATE" dataDxfId="11854" totalsRowDxfId="11853">
      <calculatedColumnFormula>$G$3</calculatedColumnFormula>
    </tableColumn>
  </tableColumns>
  <tableStyleInfo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0" xr:uid="{00000000-000C-0000-FFFF-FFFF60000000}" name="May26_2020" displayName="May26_2020" ref="B5:H20" totalsRowCount="1" headerRowDxfId="11852" headerRowBorderDxfId="11851" tableBorderDxfId="11850" totalsRowBorderDxfId="11849">
  <autoFilter ref="B5:H19" xr:uid="{00000000-0009-0000-0100-000054010000}"/>
  <sortState xmlns:xlrd2="http://schemas.microsoft.com/office/spreadsheetml/2017/richdata2" ref="B6:H18">
    <sortCondition ref="B6"/>
  </sortState>
  <tableColumns count="7">
    <tableColumn id="1" xr3:uid="{00000000-0010-0000-6000-000001000000}" name="BDC LIST" totalsRowLabel="Total" dataDxfId="11848" totalsRowDxfId="11847"/>
    <tableColumn id="2" xr3:uid="{00000000-0010-0000-6000-000002000000}" name="KSI_AGO" totalsRowFunction="custom" dataDxfId="11846" totalsRowDxfId="11845">
      <totalsRowFormula>SUM(May26_2020[KSI_AGO])</totalsRowFormula>
    </tableColumn>
    <tableColumn id="3" xr3:uid="{00000000-0010-0000-6000-000003000000}" name="KSI_PMS" totalsRowFunction="custom" dataDxfId="11844" totalsRowDxfId="11843">
      <totalsRowFormula>SUM(May26_2020[KSI_PMS])</totalsRowFormula>
    </tableColumn>
    <tableColumn id="4" xr3:uid="{00000000-0010-0000-6000-000004000000}" name="BUIPE_AGO" totalsRowFunction="custom" dataDxfId="11842" totalsRowDxfId="11841">
      <totalsRowFormula>SUM(May26_2020[BUIPE_AGO])</totalsRowFormula>
    </tableColumn>
    <tableColumn id="5" xr3:uid="{00000000-0010-0000-6000-000005000000}" name="BUIPE_PMS" totalsRowFunction="custom" dataDxfId="11840" totalsRowDxfId="11839" dataCellStyle="Comma">
      <totalsRowFormula>SUM(May26_2020[BUIPE_PMS])</totalsRowFormula>
    </tableColumn>
    <tableColumn id="6" xr3:uid="{00000000-0010-0000-6000-000006000000}" name="AKOSOMBO_AGO" totalsRowFunction="custom" dataDxfId="11838" totalsRowDxfId="11837">
      <totalsRowFormula>SUM(May26_2020[AKOSOMBO_AGO])</totalsRowFormula>
    </tableColumn>
    <tableColumn id="7" xr3:uid="{00000000-0010-0000-6000-000007000000}" name="DATE" dataDxfId="11836" totalsRowDxfId="11835">
      <calculatedColumnFormula>$G$3</calculatedColumnFormula>
    </tableColumn>
  </tableColumns>
  <tableStyleInfo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1" xr:uid="{00000000-000C-0000-FFFF-FFFF61000000}" name="May27_2020" displayName="May27_2020" ref="B5:H20" totalsRowCount="1" headerRowDxfId="11834" headerRowBorderDxfId="11833" tableBorderDxfId="11832" totalsRowBorderDxfId="11831">
  <autoFilter ref="B5:H19" xr:uid="{00000000-0009-0000-0100-000055010000}"/>
  <sortState xmlns:xlrd2="http://schemas.microsoft.com/office/spreadsheetml/2017/richdata2" ref="B6:H18">
    <sortCondition ref="B6"/>
  </sortState>
  <tableColumns count="7">
    <tableColumn id="1" xr3:uid="{00000000-0010-0000-6100-000001000000}" name="BDC LIST" totalsRowLabel="Total" dataDxfId="11830" totalsRowDxfId="11829"/>
    <tableColumn id="2" xr3:uid="{00000000-0010-0000-6100-000002000000}" name="KSI_AGO" totalsRowFunction="custom" dataDxfId="11828" totalsRowDxfId="11827">
      <totalsRowFormula>SUM(May27_2020[KSI_AGO])</totalsRowFormula>
    </tableColumn>
    <tableColumn id="3" xr3:uid="{00000000-0010-0000-6100-000003000000}" name="KSI_PMS" totalsRowFunction="custom" dataDxfId="11826" totalsRowDxfId="11825">
      <totalsRowFormula>SUM(May27_2020[KSI_PMS])</totalsRowFormula>
    </tableColumn>
    <tableColumn id="4" xr3:uid="{00000000-0010-0000-6100-000004000000}" name="BUIPE_AGO" totalsRowFunction="custom" dataDxfId="11824" totalsRowDxfId="11823">
      <totalsRowFormula>SUM(May27_2020[BUIPE_AGO])</totalsRowFormula>
    </tableColumn>
    <tableColumn id="5" xr3:uid="{00000000-0010-0000-6100-000005000000}" name="BUIPE_PMS" totalsRowFunction="custom" dataDxfId="11822" totalsRowDxfId="11821" dataCellStyle="Comma">
      <totalsRowFormula>SUM(May27_2020[BUIPE_PMS])</totalsRowFormula>
    </tableColumn>
    <tableColumn id="6" xr3:uid="{00000000-0010-0000-6100-000006000000}" name="AKOSOMBO_AGO" totalsRowFunction="custom" dataDxfId="11820" totalsRowDxfId="11819">
      <totalsRowFormula>SUM(May27_2020[AKOSOMBO_AGO])</totalsRowFormula>
    </tableColumn>
    <tableColumn id="7" xr3:uid="{00000000-0010-0000-6100-000007000000}" name="DATE" dataDxfId="11818" totalsRowDxfId="11817">
      <calculatedColumnFormula>$G$3</calculatedColumnFormula>
    </tableColumn>
  </tableColumns>
  <tableStyleInfo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2" xr:uid="{00000000-000C-0000-FFFF-FFFF62000000}" name="May28_2020" displayName="May28_2020" ref="B5:H20" totalsRowCount="1" headerRowDxfId="11816" headerRowBorderDxfId="11815" tableBorderDxfId="11814" totalsRowBorderDxfId="11813">
  <autoFilter ref="B5:H19" xr:uid="{00000000-0009-0000-0100-000056010000}"/>
  <sortState xmlns:xlrd2="http://schemas.microsoft.com/office/spreadsheetml/2017/richdata2" ref="B6:H18">
    <sortCondition ref="B6"/>
  </sortState>
  <tableColumns count="7">
    <tableColumn id="1" xr3:uid="{00000000-0010-0000-6200-000001000000}" name="BDC LIST" totalsRowLabel="Total" dataDxfId="11812" totalsRowDxfId="11811"/>
    <tableColumn id="2" xr3:uid="{00000000-0010-0000-6200-000002000000}" name="KSI_AGO" totalsRowFunction="custom" dataDxfId="11810" totalsRowDxfId="11809">
      <totalsRowFormula>SUM(May28_2020[KSI_AGO])</totalsRowFormula>
    </tableColumn>
    <tableColumn id="3" xr3:uid="{00000000-0010-0000-6200-000003000000}" name="KSI_PMS" totalsRowFunction="custom" dataDxfId="11808" totalsRowDxfId="11807">
      <totalsRowFormula>SUM(May28_2020[KSI_PMS])</totalsRowFormula>
    </tableColumn>
    <tableColumn id="4" xr3:uid="{00000000-0010-0000-6200-000004000000}" name="BUIPE_AGO" totalsRowFunction="custom" dataDxfId="11806" totalsRowDxfId="11805">
      <totalsRowFormula>SUM(May28_2020[BUIPE_AGO])</totalsRowFormula>
    </tableColumn>
    <tableColumn id="5" xr3:uid="{00000000-0010-0000-6200-000005000000}" name="BUIPE_PMS" totalsRowFunction="custom" dataDxfId="11804" totalsRowDxfId="11803" dataCellStyle="Comma">
      <totalsRowFormula>SUM(May28_2020[BUIPE_PMS])</totalsRowFormula>
    </tableColumn>
    <tableColumn id="6" xr3:uid="{00000000-0010-0000-6200-000006000000}" name="AKOSOMBO_AGO" totalsRowFunction="custom" dataDxfId="11802" totalsRowDxfId="11801">
      <totalsRowFormula>SUM(May28_2020[AKOSOMBO_AGO])</totalsRowFormula>
    </tableColumn>
    <tableColumn id="7" xr3:uid="{00000000-0010-0000-6200-000007000000}" name="DATE" dataDxfId="11800" totalsRowDxfId="11799">
      <calculatedColumnFormula>$G$3</calculatedColumnFormula>
    </tableColumn>
  </tableColumns>
  <tableStyleInfo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3" xr:uid="{00000000-000C-0000-FFFF-FFFF63000000}" name="May29_2020" displayName="May29_2020" ref="B5:H20" totalsRowCount="1" headerRowDxfId="11798" headerRowBorderDxfId="11797" tableBorderDxfId="11796" totalsRowBorderDxfId="11795">
  <autoFilter ref="B5:H19" xr:uid="{00000000-0009-0000-0100-000057010000}"/>
  <sortState xmlns:xlrd2="http://schemas.microsoft.com/office/spreadsheetml/2017/richdata2" ref="B6:H18">
    <sortCondition ref="B6"/>
  </sortState>
  <tableColumns count="7">
    <tableColumn id="1" xr3:uid="{00000000-0010-0000-6300-000001000000}" name="BDC LIST" totalsRowLabel="Total" dataDxfId="11794" totalsRowDxfId="11793"/>
    <tableColumn id="2" xr3:uid="{00000000-0010-0000-6300-000002000000}" name="KSI_AGO" totalsRowFunction="custom" dataDxfId="11792" totalsRowDxfId="11791">
      <totalsRowFormula>SUM(May29_2020[KSI_AGO])</totalsRowFormula>
    </tableColumn>
    <tableColumn id="3" xr3:uid="{00000000-0010-0000-6300-000003000000}" name="KSI_PMS" totalsRowFunction="custom" dataDxfId="11790" totalsRowDxfId="11789">
      <totalsRowFormula>SUM(May29_2020[KSI_PMS])</totalsRowFormula>
    </tableColumn>
    <tableColumn id="4" xr3:uid="{00000000-0010-0000-6300-000004000000}" name="BUIPE_AGO" totalsRowFunction="custom" dataDxfId="11788" totalsRowDxfId="11787">
      <totalsRowFormula>SUM(May29_2020[BUIPE_AGO])</totalsRowFormula>
    </tableColumn>
    <tableColumn id="5" xr3:uid="{00000000-0010-0000-6300-000005000000}" name="BUIPE_PMS" totalsRowFunction="custom" dataDxfId="11786" totalsRowDxfId="11785" dataCellStyle="Comma">
      <totalsRowFormula>SUM(May29_2020[BUIPE_PMS])</totalsRowFormula>
    </tableColumn>
    <tableColumn id="6" xr3:uid="{00000000-0010-0000-6300-000006000000}" name="AKOSOMBO_AGO" totalsRowFunction="custom" dataDxfId="11784" totalsRowDxfId="11783">
      <totalsRowFormula>SUM(May29_2020[AKOSOMBO_AGO])</totalsRowFormula>
    </tableColumn>
    <tableColumn id="7" xr3:uid="{00000000-0010-0000-6300-000007000000}" name="DATE" dataDxfId="11782" totalsRowDxfId="11781">
      <calculatedColumnFormula>$G$3</calculatedColumnFormula>
    </tableColumn>
  </tableColumns>
  <tableStyleInfo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4" xr:uid="{00000000-000C-0000-FFFF-FFFF64000000}" name="June02_2020" displayName="June02_2020" ref="B5:H20" totalsRowCount="1" headerRowDxfId="11780" headerRowBorderDxfId="11779" tableBorderDxfId="11778" totalsRowBorderDxfId="11777">
  <autoFilter ref="B5:H19" xr:uid="{00000000-0009-0000-0100-000058010000}"/>
  <sortState xmlns:xlrd2="http://schemas.microsoft.com/office/spreadsheetml/2017/richdata2" ref="B6:H18">
    <sortCondition ref="B6"/>
  </sortState>
  <tableColumns count="7">
    <tableColumn id="1" xr3:uid="{00000000-0010-0000-6400-000001000000}" name="BDC LIST" totalsRowLabel="Total" dataDxfId="11776" totalsRowDxfId="11775"/>
    <tableColumn id="2" xr3:uid="{00000000-0010-0000-6400-000002000000}" name="KSI_AGO" totalsRowFunction="custom" dataDxfId="11774" totalsRowDxfId="11773">
      <totalsRowFormula>SUM(June02_2020[KSI_AGO])</totalsRowFormula>
    </tableColumn>
    <tableColumn id="3" xr3:uid="{00000000-0010-0000-6400-000003000000}" name="KSI_PMS" totalsRowFunction="custom" dataDxfId="11772" totalsRowDxfId="11771">
      <totalsRowFormula>SUM(June02_2020[KSI_PMS])</totalsRowFormula>
    </tableColumn>
    <tableColumn id="4" xr3:uid="{00000000-0010-0000-6400-000004000000}" name="BUIPE_AGO" totalsRowFunction="custom" dataDxfId="11770" totalsRowDxfId="11769">
      <totalsRowFormula>SUM(June02_2020[BUIPE_AGO])</totalsRowFormula>
    </tableColumn>
    <tableColumn id="5" xr3:uid="{00000000-0010-0000-6400-000005000000}" name="BUIPE_PMS" totalsRowFunction="custom" dataDxfId="11768" totalsRowDxfId="11767" dataCellStyle="Comma">
      <totalsRowFormula>SUM(June02_2020[BUIPE_PMS])</totalsRowFormula>
    </tableColumn>
    <tableColumn id="6" xr3:uid="{00000000-0010-0000-6400-000006000000}" name="AKOSOMBO_AGO" totalsRowFunction="custom" dataDxfId="11766" totalsRowDxfId="11765">
      <totalsRowFormula>SUM(June02_2020[AKOSOMBO_AGO])</totalsRowFormula>
    </tableColumn>
    <tableColumn id="7" xr3:uid="{00000000-0010-0000-6400-000007000000}" name="DATE" dataDxfId="11764" totalsRowDxfId="11763">
      <calculatedColumnFormula>$G$3</calculatedColumnFormula>
    </tableColumn>
  </tableColumns>
  <tableStyleInfo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5" xr:uid="{00000000-000C-0000-FFFF-FFFF65000000}" name="June03_2020" displayName="June03_2020" ref="B5:H20" totalsRowCount="1" headerRowDxfId="11762" headerRowBorderDxfId="11761" tableBorderDxfId="11760" totalsRowBorderDxfId="11759">
  <autoFilter ref="B5:H19" xr:uid="{00000000-0009-0000-0100-000059010000}"/>
  <sortState xmlns:xlrd2="http://schemas.microsoft.com/office/spreadsheetml/2017/richdata2" ref="B6:H18">
    <sortCondition ref="B6"/>
  </sortState>
  <tableColumns count="7">
    <tableColumn id="1" xr3:uid="{00000000-0010-0000-6500-000001000000}" name="BDC LIST" totalsRowLabel="Total" dataDxfId="11758" totalsRowDxfId="11757"/>
    <tableColumn id="2" xr3:uid="{00000000-0010-0000-6500-000002000000}" name="KSI_AGO" totalsRowFunction="custom" dataDxfId="11756" totalsRowDxfId="11755">
      <totalsRowFormula>SUM(June03_2020[KSI_AGO])</totalsRowFormula>
    </tableColumn>
    <tableColumn id="3" xr3:uid="{00000000-0010-0000-6500-000003000000}" name="KSI_PMS" totalsRowFunction="custom" dataDxfId="11754" totalsRowDxfId="11753">
      <totalsRowFormula>SUM(June03_2020[KSI_PMS])</totalsRowFormula>
    </tableColumn>
    <tableColumn id="4" xr3:uid="{00000000-0010-0000-6500-000004000000}" name="BUIPE_AGO" totalsRowFunction="custom" dataDxfId="11752" totalsRowDxfId="11751">
      <totalsRowFormula>SUM(June03_2020[BUIPE_AGO])</totalsRowFormula>
    </tableColumn>
    <tableColumn id="5" xr3:uid="{00000000-0010-0000-6500-000005000000}" name="BUIPE_PMS" totalsRowFunction="custom" dataDxfId="11750" totalsRowDxfId="11749" dataCellStyle="Comma">
      <totalsRowFormula>SUM(June03_2020[BUIPE_PMS])</totalsRowFormula>
    </tableColumn>
    <tableColumn id="6" xr3:uid="{00000000-0010-0000-6500-000006000000}" name="AKOSOMBO_AGO" totalsRowFunction="custom" dataDxfId="11748" totalsRowDxfId="11747">
      <totalsRowFormula>SUM(June03_2020[AKOSOMBO_AGO])</totalsRowFormula>
    </tableColumn>
    <tableColumn id="7" xr3:uid="{00000000-0010-0000-6500-000007000000}" name="DATE" dataDxfId="11746" totalsRowDxfId="11745">
      <calculatedColumnFormula>$G$3</calculatedColumnFormula>
    </tableColumn>
  </tableColumns>
  <tableStyleInfo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6" xr:uid="{00000000-000C-0000-FFFF-FFFF66000000}" name="June04_2020" displayName="June04_2020" ref="B5:H20" totalsRowCount="1" headerRowDxfId="11744" headerRowBorderDxfId="11743" tableBorderDxfId="11742" totalsRowBorderDxfId="11741">
  <autoFilter ref="B5:H19" xr:uid="{00000000-0009-0000-0100-00005A010000}"/>
  <sortState xmlns:xlrd2="http://schemas.microsoft.com/office/spreadsheetml/2017/richdata2" ref="B6:H18">
    <sortCondition ref="B6"/>
  </sortState>
  <tableColumns count="7">
    <tableColumn id="1" xr3:uid="{00000000-0010-0000-6600-000001000000}" name="BDC LIST" totalsRowLabel="Total" dataDxfId="11740" totalsRowDxfId="11739"/>
    <tableColumn id="2" xr3:uid="{00000000-0010-0000-6600-000002000000}" name="KSI_AGO" totalsRowFunction="custom" dataDxfId="11738" totalsRowDxfId="11737">
      <totalsRowFormula>SUM(June04_2020[KSI_AGO])</totalsRowFormula>
    </tableColumn>
    <tableColumn id="3" xr3:uid="{00000000-0010-0000-6600-000003000000}" name="KSI_PMS" totalsRowFunction="custom" dataDxfId="11736" totalsRowDxfId="11735">
      <totalsRowFormula>SUM(June04_2020[KSI_PMS])</totalsRowFormula>
    </tableColumn>
    <tableColumn id="4" xr3:uid="{00000000-0010-0000-6600-000004000000}" name="BUIPE_AGO" totalsRowFunction="custom" dataDxfId="11734" totalsRowDxfId="11733">
      <totalsRowFormula>SUM(June04_2020[BUIPE_AGO])</totalsRowFormula>
    </tableColumn>
    <tableColumn id="5" xr3:uid="{00000000-0010-0000-6600-000005000000}" name="BUIPE_PMS" totalsRowFunction="custom" dataDxfId="11732" totalsRowDxfId="11731" dataCellStyle="Comma">
      <totalsRowFormula>SUM(June04_2020[BUIPE_PMS])</totalsRowFormula>
    </tableColumn>
    <tableColumn id="6" xr3:uid="{00000000-0010-0000-6600-000006000000}" name="AKOSOMBO_AGO" totalsRowFunction="custom" dataDxfId="11730" totalsRowDxfId="11729">
      <totalsRowFormula>SUM(June04_2020[AKOSOMBO_AGO])</totalsRowFormula>
    </tableColumn>
    <tableColumn id="7" xr3:uid="{00000000-0010-0000-6600-000007000000}" name="DATE" dataDxfId="11728" totalsRowDxfId="11727">
      <calculatedColumnFormula>$G$3</calculatedColumnFormula>
    </tableColumn>
  </tableColumns>
  <tableStyleInfo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7" xr:uid="{00000000-000C-0000-FFFF-FFFF67000000}" name="June05_2020" displayName="June05_2020" ref="B5:H20" totalsRowCount="1" headerRowDxfId="11726" headerRowBorderDxfId="11725" tableBorderDxfId="11724" totalsRowBorderDxfId="11723">
  <autoFilter ref="B5:H19" xr:uid="{00000000-0009-0000-0100-00005B010000}"/>
  <sortState xmlns:xlrd2="http://schemas.microsoft.com/office/spreadsheetml/2017/richdata2" ref="B6:H18">
    <sortCondition ref="B6"/>
  </sortState>
  <tableColumns count="7">
    <tableColumn id="1" xr3:uid="{00000000-0010-0000-6700-000001000000}" name="BDC LIST" totalsRowLabel="Total" dataDxfId="11722" totalsRowDxfId="11721"/>
    <tableColumn id="2" xr3:uid="{00000000-0010-0000-6700-000002000000}" name="KSI_AGO" totalsRowFunction="custom" dataDxfId="11720" totalsRowDxfId="11719">
      <totalsRowFormula>SUM(June05_2020[KSI_AGO])</totalsRowFormula>
    </tableColumn>
    <tableColumn id="3" xr3:uid="{00000000-0010-0000-6700-000003000000}" name="KSI_PMS" totalsRowFunction="custom" dataDxfId="11718" totalsRowDxfId="11717">
      <totalsRowFormula>SUM(June05_2020[KSI_PMS])</totalsRowFormula>
    </tableColumn>
    <tableColumn id="4" xr3:uid="{00000000-0010-0000-6700-000004000000}" name="BUIPE_AGO" totalsRowFunction="custom" dataDxfId="11716" totalsRowDxfId="11715">
      <totalsRowFormula>SUM(June05_2020[BUIPE_AGO])</totalsRowFormula>
    </tableColumn>
    <tableColumn id="5" xr3:uid="{00000000-0010-0000-6700-000005000000}" name="BUIPE_PMS" totalsRowFunction="custom" dataDxfId="11714" totalsRowDxfId="11713" dataCellStyle="Comma">
      <totalsRowFormula>SUM(June05_2020[BUIPE_PMS])</totalsRowFormula>
    </tableColumn>
    <tableColumn id="6" xr3:uid="{00000000-0010-0000-6700-000006000000}" name="AKOSOMBO_AGO" totalsRowFunction="custom" dataDxfId="11712" totalsRowDxfId="11711">
      <totalsRowFormula>SUM(June05_2020[AKOSOMBO_AGO])</totalsRowFormula>
    </tableColumn>
    <tableColumn id="7" xr3:uid="{00000000-0010-0000-6700-000007000000}" name="DATE" dataDxfId="11710" totalsRowDxfId="11709">
      <calculatedColumnFormula>$G$3</calculatedColumnFormula>
    </tableColumn>
  </tableColumns>
  <tableStyleInfo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8" xr:uid="{00000000-000C-0000-FFFF-FFFF68000000}" name="June06_2020" displayName="June06_2020" ref="B5:H20" totalsRowCount="1" headerRowDxfId="11708" headerRowBorderDxfId="11707" tableBorderDxfId="11706" totalsRowBorderDxfId="11705">
  <autoFilter ref="B5:H19" xr:uid="{00000000-0009-0000-0100-00005C010000}"/>
  <sortState xmlns:xlrd2="http://schemas.microsoft.com/office/spreadsheetml/2017/richdata2" ref="B6:H18">
    <sortCondition ref="B6"/>
  </sortState>
  <tableColumns count="7">
    <tableColumn id="1" xr3:uid="{00000000-0010-0000-6800-000001000000}" name="BDC LIST" totalsRowLabel="Total" dataDxfId="11704" totalsRowDxfId="11703"/>
    <tableColumn id="2" xr3:uid="{00000000-0010-0000-6800-000002000000}" name="KSI_AGO" totalsRowFunction="custom" dataDxfId="11702" totalsRowDxfId="11701">
      <totalsRowFormula>SUM(June06_2020[KSI_AGO])</totalsRowFormula>
    </tableColumn>
    <tableColumn id="3" xr3:uid="{00000000-0010-0000-6800-000003000000}" name="KSI_PMS" totalsRowFunction="custom" dataDxfId="11700" totalsRowDxfId="11699">
      <totalsRowFormula>SUM(June06_2020[KSI_PMS])</totalsRowFormula>
    </tableColumn>
    <tableColumn id="4" xr3:uid="{00000000-0010-0000-6800-000004000000}" name="BUIPE_AGO" totalsRowFunction="custom" dataDxfId="11698" totalsRowDxfId="11697">
      <totalsRowFormula>SUM(June06_2020[BUIPE_AGO])</totalsRowFormula>
    </tableColumn>
    <tableColumn id="5" xr3:uid="{00000000-0010-0000-6800-000005000000}" name="BUIPE_PMS" totalsRowFunction="custom" dataDxfId="11696" totalsRowDxfId="11695" dataCellStyle="Comma">
      <totalsRowFormula>SUM(June06_2020[BUIPE_PMS])</totalsRowFormula>
    </tableColumn>
    <tableColumn id="6" xr3:uid="{00000000-0010-0000-6800-000006000000}" name="AKOSOMBO_AGO" totalsRowFunction="custom" dataDxfId="11694" totalsRowDxfId="11693">
      <totalsRowFormula>SUM(June06_2020[AKOSOMBO_AGO])</totalsRowFormula>
    </tableColumn>
    <tableColumn id="7" xr3:uid="{00000000-0010-0000-6800-000007000000}" name="DATE" dataDxfId="11692" totalsRowDxfId="11691">
      <calculatedColumnFormula>$G$3</calculatedColumnFormula>
    </tableColumn>
  </tableColumns>
  <tableStyleInfo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3" xr:uid="{00000000-000C-0000-FFFF-FFFF69000000}" name="June08_2020" displayName="June08_2020" ref="B5:H20" totalsRowCount="1" headerRowDxfId="11690" headerRowBorderDxfId="11689" tableBorderDxfId="11688" totalsRowBorderDxfId="11687">
  <autoFilter ref="B5:H19" xr:uid="{00000000-0009-0000-0100-000061010000}"/>
  <sortState xmlns:xlrd2="http://schemas.microsoft.com/office/spreadsheetml/2017/richdata2" ref="B6:H18">
    <sortCondition ref="B6"/>
  </sortState>
  <tableColumns count="7">
    <tableColumn id="1" xr3:uid="{00000000-0010-0000-6900-000001000000}" name="BDC LIST" totalsRowLabel="Total" dataDxfId="11686" totalsRowDxfId="11685"/>
    <tableColumn id="2" xr3:uid="{00000000-0010-0000-6900-000002000000}" name="KSI_AGO" totalsRowFunction="custom" dataDxfId="11684" totalsRowDxfId="11683">
      <totalsRowFormula>SUM(June08_2020[KSI_AGO])</totalsRowFormula>
    </tableColumn>
    <tableColumn id="3" xr3:uid="{00000000-0010-0000-6900-000003000000}" name="KSI_PMS" totalsRowFunction="custom" dataDxfId="11682" totalsRowDxfId="11681">
      <totalsRowFormula>SUM(June08_2020[KSI_PMS])</totalsRowFormula>
    </tableColumn>
    <tableColumn id="4" xr3:uid="{00000000-0010-0000-6900-000004000000}" name="BUIPE_AGO" totalsRowFunction="custom" dataDxfId="11680" totalsRowDxfId="11679">
      <totalsRowFormula>SUM(June08_2020[BUIPE_AGO])</totalsRowFormula>
    </tableColumn>
    <tableColumn id="5" xr3:uid="{00000000-0010-0000-6900-000005000000}" name="BUIPE_PMS" totalsRowFunction="custom" dataDxfId="11678" totalsRowDxfId="11677" dataCellStyle="Comma">
      <totalsRowFormula>SUM(June08_2020[BUIPE_PMS])</totalsRowFormula>
    </tableColumn>
    <tableColumn id="6" xr3:uid="{00000000-0010-0000-6900-000006000000}" name="AKOSOMBO_AGO" totalsRowFunction="custom" dataDxfId="11676" totalsRowDxfId="11675">
      <totalsRowFormula>SUM(June08_2020[AKOSOMBO_AGO])</totalsRowFormula>
    </tableColumn>
    <tableColumn id="7" xr3:uid="{00000000-0010-0000-6900-000007000000}" name="DATE" dataDxfId="11674" totalsRowDxfId="11673">
      <calculatedColumnFormula>$G$3</calculatedColumnFormula>
    </tableColumn>
  </tableColumns>
  <tableStyleInfo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4" xr:uid="{00000000-000C-0000-FFFF-FFFF6A000000}" name="June09_2020" displayName="June09_2020" ref="B5:H20" totalsRowCount="1" headerRowDxfId="11672" headerRowBorderDxfId="11671" tableBorderDxfId="11670" totalsRowBorderDxfId="11669">
  <autoFilter ref="B5:H19" xr:uid="{00000000-0009-0000-0100-000062010000}"/>
  <sortState xmlns:xlrd2="http://schemas.microsoft.com/office/spreadsheetml/2017/richdata2" ref="B6:H18">
    <sortCondition ref="B6"/>
  </sortState>
  <tableColumns count="7">
    <tableColumn id="1" xr3:uid="{00000000-0010-0000-6A00-000001000000}" name="BDC LIST" totalsRowLabel="Total" dataDxfId="11668" totalsRowDxfId="11667"/>
    <tableColumn id="2" xr3:uid="{00000000-0010-0000-6A00-000002000000}" name="KSI_AGO" totalsRowFunction="custom" dataDxfId="11666" totalsRowDxfId="11665">
      <totalsRowFormula>SUM(June09_2020[KSI_AGO])</totalsRowFormula>
    </tableColumn>
    <tableColumn id="3" xr3:uid="{00000000-0010-0000-6A00-000003000000}" name="KSI_PMS" totalsRowFunction="custom" dataDxfId="11664" totalsRowDxfId="11663">
      <totalsRowFormula>SUM(June09_2020[KSI_PMS])</totalsRowFormula>
    </tableColumn>
    <tableColumn id="4" xr3:uid="{00000000-0010-0000-6A00-000004000000}" name="BUIPE_AGO" totalsRowFunction="custom" dataDxfId="11662" totalsRowDxfId="11661">
      <totalsRowFormula>SUM(June09_2020[BUIPE_AGO])</totalsRowFormula>
    </tableColumn>
    <tableColumn id="5" xr3:uid="{00000000-0010-0000-6A00-000005000000}" name="BUIPE_PMS" totalsRowFunction="custom" dataDxfId="11660" totalsRowDxfId="11659" dataCellStyle="Comma">
      <totalsRowFormula>SUM(June09_2020[BUIPE_PMS])</totalsRowFormula>
    </tableColumn>
    <tableColumn id="6" xr3:uid="{00000000-0010-0000-6A00-000006000000}" name="AKOSOMBO_AGO" totalsRowFunction="custom" dataDxfId="11658" totalsRowDxfId="11657">
      <totalsRowFormula>SUM(June09_2020[AKOSOMBO_AGO])</totalsRowFormula>
    </tableColumn>
    <tableColumn id="7" xr3:uid="{00000000-0010-0000-6A00-000007000000}" name="DATE" dataDxfId="11656" totalsRowDxfId="11655">
      <calculatedColumnFormula>$G$3</calculatedColumnFormula>
    </tableColumn>
  </tableColumns>
  <tableStyleInfo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5" xr:uid="{00000000-000C-0000-FFFF-FFFF6B000000}" name="June10_2020" displayName="June10_2020" ref="B5:H20" totalsRowCount="1" headerRowDxfId="11654" headerRowBorderDxfId="11653" tableBorderDxfId="11652" totalsRowBorderDxfId="11651">
  <autoFilter ref="B5:H19" xr:uid="{00000000-0009-0000-0100-000063010000}"/>
  <sortState xmlns:xlrd2="http://schemas.microsoft.com/office/spreadsheetml/2017/richdata2" ref="B6:H18">
    <sortCondition ref="B6"/>
  </sortState>
  <tableColumns count="7">
    <tableColumn id="1" xr3:uid="{00000000-0010-0000-6B00-000001000000}" name="BDC LIST" totalsRowLabel="Total" dataDxfId="11650" totalsRowDxfId="11649"/>
    <tableColumn id="2" xr3:uid="{00000000-0010-0000-6B00-000002000000}" name="KSI_AGO" totalsRowFunction="custom" dataDxfId="11648" totalsRowDxfId="11647">
      <totalsRowFormula>SUM(June10_2020[KSI_AGO])</totalsRowFormula>
    </tableColumn>
    <tableColumn id="3" xr3:uid="{00000000-0010-0000-6B00-000003000000}" name="KSI_PMS" totalsRowFunction="custom" dataDxfId="11646" totalsRowDxfId="11645">
      <totalsRowFormula>SUM(June10_2020[KSI_PMS])</totalsRowFormula>
    </tableColumn>
    <tableColumn id="4" xr3:uid="{00000000-0010-0000-6B00-000004000000}" name="BUIPE_AGO" totalsRowFunction="custom" dataDxfId="11644" totalsRowDxfId="11643">
      <totalsRowFormula>SUM(June10_2020[BUIPE_AGO])</totalsRowFormula>
    </tableColumn>
    <tableColumn id="5" xr3:uid="{00000000-0010-0000-6B00-000005000000}" name="BUIPE_PMS" totalsRowFunction="custom" dataDxfId="11642" totalsRowDxfId="11641" dataCellStyle="Comma">
      <totalsRowFormula>SUM(June10_2020[BUIPE_PMS])</totalsRowFormula>
    </tableColumn>
    <tableColumn id="6" xr3:uid="{00000000-0010-0000-6B00-000006000000}" name="AKOSOMBO_AGO" totalsRowFunction="custom" dataDxfId="11640" totalsRowDxfId="11639">
      <totalsRowFormula>SUM(June10_2020[AKOSOMBO_AGO])</totalsRowFormula>
    </tableColumn>
    <tableColumn id="7" xr3:uid="{00000000-0010-0000-6B00-000007000000}" name="DATE" dataDxfId="11638" totalsRowDxfId="11637">
      <calculatedColumnFormula>$G$3</calculatedColumnFormula>
    </tableColumn>
  </tableColumns>
  <tableStyleInfo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0" xr:uid="{00000000-000C-0000-FFFF-FFFF6C000000}" name="June11_2020" displayName="June11_2020" ref="B5:H20" totalsRowCount="1" headerRowDxfId="11636" headerRowBorderDxfId="11635" tableBorderDxfId="11634" totalsRowBorderDxfId="11633">
  <autoFilter ref="B5:H19" xr:uid="{00000000-0009-0000-0100-000068010000}"/>
  <sortState xmlns:xlrd2="http://schemas.microsoft.com/office/spreadsheetml/2017/richdata2" ref="B6:H18">
    <sortCondition ref="B6"/>
  </sortState>
  <tableColumns count="7">
    <tableColumn id="1" xr3:uid="{00000000-0010-0000-6C00-000001000000}" name="BDC LIST" totalsRowLabel="Total" dataDxfId="11632" totalsRowDxfId="11631"/>
    <tableColumn id="2" xr3:uid="{00000000-0010-0000-6C00-000002000000}" name="KSI_AGO" totalsRowFunction="custom" dataDxfId="11630" totalsRowDxfId="11629">
      <totalsRowFormula>SUM(June11_2020[KSI_AGO])</totalsRowFormula>
    </tableColumn>
    <tableColumn id="3" xr3:uid="{00000000-0010-0000-6C00-000003000000}" name="KSI_PMS" totalsRowFunction="custom" dataDxfId="11628" totalsRowDxfId="11627">
      <totalsRowFormula>SUM(June11_2020[KSI_PMS])</totalsRowFormula>
    </tableColumn>
    <tableColumn id="4" xr3:uid="{00000000-0010-0000-6C00-000004000000}" name="BUIPE_AGO" totalsRowFunction="custom" dataDxfId="11626" totalsRowDxfId="11625">
      <totalsRowFormula>SUM(June11_2020[BUIPE_AGO])</totalsRowFormula>
    </tableColumn>
    <tableColumn id="5" xr3:uid="{00000000-0010-0000-6C00-000005000000}" name="BUIPE_PMS" totalsRowFunction="custom" dataDxfId="11624" totalsRowDxfId="11623" dataCellStyle="Comma">
      <totalsRowFormula>SUM(June11_2020[BUIPE_PMS])</totalsRowFormula>
    </tableColumn>
    <tableColumn id="6" xr3:uid="{00000000-0010-0000-6C00-000006000000}" name="AKOSOMBO_AGO" totalsRowFunction="custom" dataDxfId="11622" totalsRowDxfId="11621">
      <totalsRowFormula>SUM(June11_2020[AKOSOMBO_AGO])</totalsRowFormula>
    </tableColumn>
    <tableColumn id="7" xr3:uid="{00000000-0010-0000-6C00-000007000000}" name="DATE" dataDxfId="11620" totalsRowDxfId="11619">
      <calculatedColumnFormula>$G$3</calculatedColumnFormula>
    </tableColumn>
  </tableColumns>
  <tableStyleInfo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1" xr:uid="{00000000-000C-0000-FFFF-FFFF6D000000}" name="June12_2020" displayName="June12_2020" ref="B5:H20" totalsRowCount="1" headerRowDxfId="11618" headerRowBorderDxfId="11617" tableBorderDxfId="11616" totalsRowBorderDxfId="11615">
  <autoFilter ref="B5:H19" xr:uid="{00000000-0009-0000-0100-000069010000}"/>
  <sortState xmlns:xlrd2="http://schemas.microsoft.com/office/spreadsheetml/2017/richdata2" ref="B6:H18">
    <sortCondition ref="B6"/>
  </sortState>
  <tableColumns count="7">
    <tableColumn id="1" xr3:uid="{00000000-0010-0000-6D00-000001000000}" name="BDC LIST" totalsRowLabel="Total" dataDxfId="11614" totalsRowDxfId="11613"/>
    <tableColumn id="2" xr3:uid="{00000000-0010-0000-6D00-000002000000}" name="KSI_AGO" totalsRowFunction="custom" dataDxfId="11612" totalsRowDxfId="11611">
      <totalsRowFormula>SUM(June12_2020[KSI_AGO])</totalsRowFormula>
    </tableColumn>
    <tableColumn id="3" xr3:uid="{00000000-0010-0000-6D00-000003000000}" name="KSI_PMS" totalsRowFunction="custom" dataDxfId="11610" totalsRowDxfId="11609">
      <totalsRowFormula>SUM(June12_2020[KSI_PMS])</totalsRowFormula>
    </tableColumn>
    <tableColumn id="4" xr3:uid="{00000000-0010-0000-6D00-000004000000}" name="BUIPE_AGO" totalsRowFunction="custom" dataDxfId="11608" totalsRowDxfId="11607">
      <totalsRowFormula>SUM(June12_2020[BUIPE_AGO])</totalsRowFormula>
    </tableColumn>
    <tableColumn id="5" xr3:uid="{00000000-0010-0000-6D00-000005000000}" name="BUIPE_PMS" totalsRowFunction="custom" dataDxfId="11606" totalsRowDxfId="11605" dataCellStyle="Comma">
      <totalsRowFormula>SUM(June12_2020[BUIPE_PMS])</totalsRowFormula>
    </tableColumn>
    <tableColumn id="6" xr3:uid="{00000000-0010-0000-6D00-000006000000}" name="AKOSOMBO_AGO" totalsRowFunction="custom" dataDxfId="11604" totalsRowDxfId="11603">
      <totalsRowFormula>SUM(June12_2020[AKOSOMBO_AGO])</totalsRowFormula>
    </tableColumn>
    <tableColumn id="7" xr3:uid="{00000000-0010-0000-6D00-000007000000}" name="DATE" dataDxfId="11602" totalsRowDxfId="11601">
      <calculatedColumnFormula>$G$3</calculatedColumnFormula>
    </tableColumn>
  </tableColumns>
  <tableStyleInfo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2" xr:uid="{00000000-000C-0000-FFFF-FFFF6E000000}" name="June13_2020" displayName="June13_2020" ref="B5:H20" totalsRowCount="1" headerRowDxfId="11600" headerRowBorderDxfId="11599" tableBorderDxfId="11598" totalsRowBorderDxfId="11597">
  <autoFilter ref="B5:H19" xr:uid="{00000000-0009-0000-0100-00006A010000}"/>
  <sortState xmlns:xlrd2="http://schemas.microsoft.com/office/spreadsheetml/2017/richdata2" ref="B6:H18">
    <sortCondition ref="B6"/>
  </sortState>
  <tableColumns count="7">
    <tableColumn id="1" xr3:uid="{00000000-0010-0000-6E00-000001000000}" name="BDC LIST" totalsRowLabel="Total" dataDxfId="11596" totalsRowDxfId="11595"/>
    <tableColumn id="2" xr3:uid="{00000000-0010-0000-6E00-000002000000}" name="KSI_AGO" totalsRowFunction="custom" dataDxfId="11594" totalsRowDxfId="11593">
      <totalsRowFormula>SUM(June13_2020[KSI_AGO])</totalsRowFormula>
    </tableColumn>
    <tableColumn id="3" xr3:uid="{00000000-0010-0000-6E00-000003000000}" name="KSI_PMS" totalsRowFunction="custom" dataDxfId="11592" totalsRowDxfId="11591">
      <totalsRowFormula>SUM(June13_2020[KSI_PMS])</totalsRowFormula>
    </tableColumn>
    <tableColumn id="4" xr3:uid="{00000000-0010-0000-6E00-000004000000}" name="BUIPE_AGO" totalsRowFunction="custom" dataDxfId="11590" totalsRowDxfId="11589">
      <totalsRowFormula>SUM(June13_2020[BUIPE_AGO])</totalsRowFormula>
    </tableColumn>
    <tableColumn id="5" xr3:uid="{00000000-0010-0000-6E00-000005000000}" name="BUIPE_PMS" totalsRowFunction="custom" dataDxfId="11588" totalsRowDxfId="11587" dataCellStyle="Comma">
      <totalsRowFormula>SUM(June13_2020[BUIPE_PMS])</totalsRowFormula>
    </tableColumn>
    <tableColumn id="6" xr3:uid="{00000000-0010-0000-6E00-000006000000}" name="AKOSOMBO_AGO" totalsRowFunction="custom" dataDxfId="11586" totalsRowDxfId="11585">
      <totalsRowFormula>SUM(June13_2020[AKOSOMBO_AGO])</totalsRowFormula>
    </tableColumn>
    <tableColumn id="7" xr3:uid="{00000000-0010-0000-6E00-000007000000}" name="DATE" dataDxfId="11584" totalsRowDxfId="11583">
      <calculatedColumnFormula>$G$3</calculatedColumnFormula>
    </tableColumn>
  </tableColumns>
  <tableStyleInfo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3" xr:uid="{00000000-000C-0000-FFFF-FFFF6F000000}" name="June15_2020" displayName="June15_2020" ref="B5:H20" totalsRowCount="1" headerRowDxfId="11582" headerRowBorderDxfId="11581" tableBorderDxfId="11580" totalsRowBorderDxfId="11579">
  <autoFilter ref="B5:H19" xr:uid="{00000000-0009-0000-0100-00006B010000}"/>
  <sortState xmlns:xlrd2="http://schemas.microsoft.com/office/spreadsheetml/2017/richdata2" ref="B6:H18">
    <sortCondition ref="B6"/>
  </sortState>
  <tableColumns count="7">
    <tableColumn id="1" xr3:uid="{00000000-0010-0000-6F00-000001000000}" name="BDC LIST" totalsRowLabel="Total" dataDxfId="11578" totalsRowDxfId="11577"/>
    <tableColumn id="2" xr3:uid="{00000000-0010-0000-6F00-000002000000}" name="KSI_AGO" totalsRowFunction="custom" dataDxfId="11576" totalsRowDxfId="11575">
      <totalsRowFormula>SUM(June15_2020[KSI_AGO])</totalsRowFormula>
    </tableColumn>
    <tableColumn id="3" xr3:uid="{00000000-0010-0000-6F00-000003000000}" name="KSI_PMS" totalsRowFunction="custom" dataDxfId="11574" totalsRowDxfId="11573">
      <totalsRowFormula>SUM(June15_2020[KSI_PMS])</totalsRowFormula>
    </tableColumn>
    <tableColumn id="4" xr3:uid="{00000000-0010-0000-6F00-000004000000}" name="BUIPE_AGO" totalsRowFunction="custom" dataDxfId="11572" totalsRowDxfId="11571">
      <totalsRowFormula>SUM(June15_2020[BUIPE_AGO])</totalsRowFormula>
    </tableColumn>
    <tableColumn id="5" xr3:uid="{00000000-0010-0000-6F00-000005000000}" name="BUIPE_PMS" totalsRowFunction="custom" dataDxfId="11570" totalsRowDxfId="11569" dataCellStyle="Comma">
      <totalsRowFormula>SUM(June15_2020[BUIPE_PMS])</totalsRowFormula>
    </tableColumn>
    <tableColumn id="6" xr3:uid="{00000000-0010-0000-6F00-000006000000}" name="AKOSOMBO_AGO" totalsRowFunction="custom" dataDxfId="11568" totalsRowDxfId="11567">
      <totalsRowFormula>SUM(June15_2020[AKOSOMBO_AGO])</totalsRowFormula>
    </tableColumn>
    <tableColumn id="7" xr3:uid="{00000000-0010-0000-6F00-000007000000}" name="DATE" dataDxfId="11566" totalsRowDxfId="11565">
      <calculatedColumnFormula>$G$3</calculatedColumnFormula>
    </tableColumn>
  </tableColumns>
  <tableStyleInfo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4" xr:uid="{00000000-000C-0000-FFFF-FFFF70000000}" name="June16_2020" displayName="June16_2020" ref="B5:H20" totalsRowCount="1" headerRowDxfId="11564" headerRowBorderDxfId="11563" tableBorderDxfId="11562" totalsRowBorderDxfId="11561">
  <autoFilter ref="B5:H19" xr:uid="{00000000-0009-0000-0100-00006C010000}"/>
  <sortState xmlns:xlrd2="http://schemas.microsoft.com/office/spreadsheetml/2017/richdata2" ref="B6:H18">
    <sortCondition ref="B6"/>
  </sortState>
  <tableColumns count="7">
    <tableColumn id="1" xr3:uid="{00000000-0010-0000-7000-000001000000}" name="BDC LIST" totalsRowLabel="Total" dataDxfId="11560" totalsRowDxfId="11559"/>
    <tableColumn id="2" xr3:uid="{00000000-0010-0000-7000-000002000000}" name="KSI_AGO" totalsRowFunction="custom" dataDxfId="11558" totalsRowDxfId="11557">
      <totalsRowFormula>SUM(June16_2020[KSI_AGO])</totalsRowFormula>
    </tableColumn>
    <tableColumn id="3" xr3:uid="{00000000-0010-0000-7000-000003000000}" name="KSI_PMS" totalsRowFunction="custom" dataDxfId="11556" totalsRowDxfId="11555">
      <totalsRowFormula>SUM(June16_2020[KSI_PMS])</totalsRowFormula>
    </tableColumn>
    <tableColumn id="4" xr3:uid="{00000000-0010-0000-7000-000004000000}" name="BUIPE_AGO" totalsRowFunction="custom" dataDxfId="11554" totalsRowDxfId="11553">
      <totalsRowFormula>SUM(June16_2020[BUIPE_AGO])</totalsRowFormula>
    </tableColumn>
    <tableColumn id="5" xr3:uid="{00000000-0010-0000-7000-000005000000}" name="BUIPE_PMS" totalsRowFunction="custom" dataDxfId="11552" totalsRowDxfId="11551" dataCellStyle="Comma">
      <totalsRowFormula>SUM(June16_2020[BUIPE_PMS])</totalsRowFormula>
    </tableColumn>
    <tableColumn id="6" xr3:uid="{00000000-0010-0000-7000-000006000000}" name="AKOSOMBO_AGO" totalsRowFunction="custom" dataDxfId="11550" totalsRowDxfId="11549">
      <totalsRowFormula>SUM(June16_2020[AKOSOMBO_AGO])</totalsRowFormula>
    </tableColumn>
    <tableColumn id="7" xr3:uid="{00000000-0010-0000-7000-000007000000}" name="DATE" dataDxfId="11548" totalsRowDxfId="11547">
      <calculatedColumnFormula>$G$3</calculatedColumnFormula>
    </tableColumn>
  </tableColumns>
  <tableStyleInfo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4" xr:uid="{00000000-000C-0000-FFFF-FFFF71000000}" name="June17_2020" displayName="June17_2020" ref="B5:H20" totalsRowCount="1" headerRowDxfId="11546" headerRowBorderDxfId="11545" tableBorderDxfId="11544" totalsRowBorderDxfId="11543">
  <autoFilter ref="B5:H19" xr:uid="{00000000-0009-0000-0100-000076010000}"/>
  <sortState xmlns:xlrd2="http://schemas.microsoft.com/office/spreadsheetml/2017/richdata2" ref="B6:H18">
    <sortCondition ref="B6"/>
  </sortState>
  <tableColumns count="7">
    <tableColumn id="1" xr3:uid="{00000000-0010-0000-7100-000001000000}" name="BDC LIST" totalsRowLabel="Total" dataDxfId="11542" totalsRowDxfId="11541"/>
    <tableColumn id="2" xr3:uid="{00000000-0010-0000-7100-000002000000}" name="KSI_AGO" totalsRowFunction="custom" dataDxfId="11540" totalsRowDxfId="11539">
      <totalsRowFormula>SUM(June17_2020[KSI_AGO])</totalsRowFormula>
    </tableColumn>
    <tableColumn id="3" xr3:uid="{00000000-0010-0000-7100-000003000000}" name="KSI_PMS" totalsRowFunction="custom" dataDxfId="11538" totalsRowDxfId="11537">
      <totalsRowFormula>SUM(June17_2020[KSI_PMS])</totalsRowFormula>
    </tableColumn>
    <tableColumn id="4" xr3:uid="{00000000-0010-0000-7100-000004000000}" name="BUIPE_AGO" totalsRowFunction="custom" dataDxfId="11536" totalsRowDxfId="11535">
      <totalsRowFormula>SUM(June17_2020[BUIPE_AGO])</totalsRowFormula>
    </tableColumn>
    <tableColumn id="5" xr3:uid="{00000000-0010-0000-7100-000005000000}" name="BUIPE_PMS" totalsRowFunction="custom" dataDxfId="11534" totalsRowDxfId="11533" dataCellStyle="Comma">
      <totalsRowFormula>SUM(June17_2020[BUIPE_PMS])</totalsRowFormula>
    </tableColumn>
    <tableColumn id="6" xr3:uid="{00000000-0010-0000-7100-000006000000}" name="AKOSOMBO_AGO" totalsRowFunction="custom" dataDxfId="11532" totalsRowDxfId="11531">
      <totalsRowFormula>SUM(June17_2020[AKOSOMBO_AGO])</totalsRowFormula>
    </tableColumn>
    <tableColumn id="7" xr3:uid="{00000000-0010-0000-7100-000007000000}" name="DATE" dataDxfId="11530" totalsRowDxfId="11529">
      <calculatedColumnFormula>$G$3</calculatedColumnFormula>
    </tableColumn>
  </tableColumns>
  <tableStyleInfo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5" xr:uid="{00000000-000C-0000-FFFF-FFFF72000000}" name="June18_2020" displayName="June18_2020" ref="B5:H20" totalsRowCount="1" headerRowDxfId="11528" headerRowBorderDxfId="11527" tableBorderDxfId="11526" totalsRowBorderDxfId="11525">
  <autoFilter ref="B5:H19" xr:uid="{00000000-0009-0000-0100-000077010000}"/>
  <sortState xmlns:xlrd2="http://schemas.microsoft.com/office/spreadsheetml/2017/richdata2" ref="B6:H18">
    <sortCondition ref="B6"/>
  </sortState>
  <tableColumns count="7">
    <tableColumn id="1" xr3:uid="{00000000-0010-0000-7200-000001000000}" name="BDC LIST" totalsRowLabel="Total" dataDxfId="11524" totalsRowDxfId="11523"/>
    <tableColumn id="2" xr3:uid="{00000000-0010-0000-7200-000002000000}" name="KSI_AGO" totalsRowFunction="custom" dataDxfId="11522" totalsRowDxfId="11521">
      <totalsRowFormula>SUM(June18_2020[KSI_AGO])</totalsRowFormula>
    </tableColumn>
    <tableColumn id="3" xr3:uid="{00000000-0010-0000-7200-000003000000}" name="KSI_PMS" totalsRowFunction="custom" dataDxfId="11520" totalsRowDxfId="11519">
      <totalsRowFormula>SUM(June18_2020[KSI_PMS])</totalsRowFormula>
    </tableColumn>
    <tableColumn id="4" xr3:uid="{00000000-0010-0000-7200-000004000000}" name="BUIPE_AGO" totalsRowFunction="custom" dataDxfId="11518" totalsRowDxfId="11517">
      <totalsRowFormula>SUM(June18_2020[BUIPE_AGO])</totalsRowFormula>
    </tableColumn>
    <tableColumn id="5" xr3:uid="{00000000-0010-0000-7200-000005000000}" name="BUIPE_PMS" totalsRowFunction="custom" dataDxfId="11516" totalsRowDxfId="11515" dataCellStyle="Comma">
      <totalsRowFormula>SUM(June18_2020[BUIPE_PMS])</totalsRowFormula>
    </tableColumn>
    <tableColumn id="6" xr3:uid="{00000000-0010-0000-7200-000006000000}" name="AKOSOMBO_AGO" totalsRowFunction="custom" dataDxfId="11514" totalsRowDxfId="11513">
      <totalsRowFormula>SUM(June18_2020[AKOSOMBO_AGO])</totalsRowFormula>
    </tableColumn>
    <tableColumn id="7" xr3:uid="{00000000-0010-0000-7200-000007000000}" name="DATE" dataDxfId="11512" totalsRowDxfId="11511">
      <calculatedColumnFormula>$G$3</calculatedColumnFormula>
    </tableColumn>
  </tableColumns>
  <tableStyleInfo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6" xr:uid="{00000000-000C-0000-FFFF-FFFF73000000}" name="June19_2020" displayName="June19_2020" ref="B5:H20" totalsRowCount="1" headerRowDxfId="11510" headerRowBorderDxfId="11509" tableBorderDxfId="11508" totalsRowBorderDxfId="11507">
  <autoFilter ref="B5:H19" xr:uid="{00000000-0009-0000-0100-000078010000}"/>
  <sortState xmlns:xlrd2="http://schemas.microsoft.com/office/spreadsheetml/2017/richdata2" ref="B6:H18">
    <sortCondition ref="B6"/>
  </sortState>
  <tableColumns count="7">
    <tableColumn id="1" xr3:uid="{00000000-0010-0000-7300-000001000000}" name="BDC LIST" totalsRowLabel="Total" dataDxfId="11506" totalsRowDxfId="11505"/>
    <tableColumn id="2" xr3:uid="{00000000-0010-0000-7300-000002000000}" name="KSI_AGO" totalsRowFunction="custom" dataDxfId="11504" totalsRowDxfId="11503">
      <totalsRowFormula>SUM(June19_2020[KSI_AGO])</totalsRowFormula>
    </tableColumn>
    <tableColumn id="3" xr3:uid="{00000000-0010-0000-7300-000003000000}" name="KSI_PMS" totalsRowFunction="custom" dataDxfId="11502" totalsRowDxfId="11501">
      <totalsRowFormula>SUM(June19_2020[KSI_PMS])</totalsRowFormula>
    </tableColumn>
    <tableColumn id="4" xr3:uid="{00000000-0010-0000-7300-000004000000}" name="BUIPE_AGO" totalsRowFunction="custom" dataDxfId="11500" totalsRowDxfId="11499">
      <totalsRowFormula>SUM(June19_2020[BUIPE_AGO])</totalsRowFormula>
    </tableColumn>
    <tableColumn id="5" xr3:uid="{00000000-0010-0000-7300-000005000000}" name="BUIPE_PMS" totalsRowFunction="custom" dataDxfId="11498" totalsRowDxfId="11497" dataCellStyle="Comma">
      <totalsRowFormula>SUM(June19_2020[BUIPE_PMS])</totalsRowFormula>
    </tableColumn>
    <tableColumn id="6" xr3:uid="{00000000-0010-0000-7300-000006000000}" name="AKOSOMBO_AGO" totalsRowFunction="custom" dataDxfId="11496" totalsRowDxfId="11495">
      <totalsRowFormula>SUM(June19_2020[AKOSOMBO_AGO])</totalsRowFormula>
    </tableColumn>
    <tableColumn id="7" xr3:uid="{00000000-0010-0000-7300-000007000000}" name="DATE" dataDxfId="11494" totalsRowDxfId="11493">
      <calculatedColumnFormula>$G$3</calculatedColumnFormula>
    </tableColumn>
  </tableColumns>
  <tableStyleInfo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7" xr:uid="{00000000-000C-0000-FFFF-FFFF74000000}" name="June20_2020" displayName="June20_2020" ref="B5:H20" totalsRowCount="1" headerRowDxfId="11492" headerRowBorderDxfId="11491" tableBorderDxfId="11490" totalsRowBorderDxfId="11489">
  <autoFilter ref="B5:H19" xr:uid="{00000000-0009-0000-0100-000079010000}"/>
  <sortState xmlns:xlrd2="http://schemas.microsoft.com/office/spreadsheetml/2017/richdata2" ref="B6:H18">
    <sortCondition ref="B6"/>
  </sortState>
  <tableColumns count="7">
    <tableColumn id="1" xr3:uid="{00000000-0010-0000-7400-000001000000}" name="BDC LIST" totalsRowLabel="Total" dataDxfId="11488" totalsRowDxfId="11487"/>
    <tableColumn id="2" xr3:uid="{00000000-0010-0000-7400-000002000000}" name="KSI_AGO" totalsRowFunction="custom" dataDxfId="11486" totalsRowDxfId="11485">
      <totalsRowFormula>SUM(June20_2020[KSI_AGO])</totalsRowFormula>
    </tableColumn>
    <tableColumn id="3" xr3:uid="{00000000-0010-0000-7400-000003000000}" name="KSI_PMS" totalsRowFunction="custom" dataDxfId="11484" totalsRowDxfId="11483">
      <totalsRowFormula>SUM(June20_2020[KSI_PMS])</totalsRowFormula>
    </tableColumn>
    <tableColumn id="4" xr3:uid="{00000000-0010-0000-7400-000004000000}" name="BUIPE_AGO" totalsRowFunction="custom" dataDxfId="11482" totalsRowDxfId="11481">
      <totalsRowFormula>SUM(June20_2020[BUIPE_AGO])</totalsRowFormula>
    </tableColumn>
    <tableColumn id="5" xr3:uid="{00000000-0010-0000-7400-000005000000}" name="BUIPE_PMS" totalsRowFunction="custom" dataDxfId="11480" totalsRowDxfId="11479" dataCellStyle="Comma">
      <totalsRowFormula>SUM(June20_2020[BUIPE_PMS])</totalsRowFormula>
    </tableColumn>
    <tableColumn id="6" xr3:uid="{00000000-0010-0000-7400-000006000000}" name="AKOSOMBO_AGO" totalsRowFunction="custom" dataDxfId="11478" totalsRowDxfId="11477">
      <totalsRowFormula>SUM(June20_2020[AKOSOMBO_AGO])</totalsRowFormula>
    </tableColumn>
    <tableColumn id="7" xr3:uid="{00000000-0010-0000-7400-000007000000}" name="DATE" dataDxfId="11476" totalsRowDxfId="11475">
      <calculatedColumnFormula>$G$3</calculatedColumnFormula>
    </tableColumn>
  </tableColumns>
  <tableStyleInfo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9" xr:uid="{00000000-000C-0000-FFFF-FFFF75000000}" name="June22_2020" displayName="June22_2020" ref="B5:H20" totalsRowCount="1" headerRowDxfId="11474" headerRowBorderDxfId="11473" tableBorderDxfId="11472" totalsRowBorderDxfId="11471">
  <autoFilter ref="B5:H19" xr:uid="{00000000-0009-0000-0100-00007B010000}"/>
  <sortState xmlns:xlrd2="http://schemas.microsoft.com/office/spreadsheetml/2017/richdata2" ref="B6:H18">
    <sortCondition ref="B6"/>
  </sortState>
  <tableColumns count="7">
    <tableColumn id="1" xr3:uid="{00000000-0010-0000-7500-000001000000}" name="BDC LIST" totalsRowLabel="Total" dataDxfId="11470" totalsRowDxfId="11469"/>
    <tableColumn id="2" xr3:uid="{00000000-0010-0000-7500-000002000000}" name="KSI_AGO" totalsRowFunction="custom" dataDxfId="11468" totalsRowDxfId="11467">
      <totalsRowFormula>SUM(June22_2020[KSI_AGO])</totalsRowFormula>
    </tableColumn>
    <tableColumn id="3" xr3:uid="{00000000-0010-0000-7500-000003000000}" name="KSI_PMS" totalsRowFunction="custom" dataDxfId="11466" totalsRowDxfId="11465">
      <totalsRowFormula>SUM(June22_2020[KSI_PMS])</totalsRowFormula>
    </tableColumn>
    <tableColumn id="4" xr3:uid="{00000000-0010-0000-7500-000004000000}" name="BUIPE_AGO" totalsRowFunction="custom" dataDxfId="11464" totalsRowDxfId="11463">
      <totalsRowFormula>SUM(June22_2020[BUIPE_AGO])</totalsRowFormula>
    </tableColumn>
    <tableColumn id="5" xr3:uid="{00000000-0010-0000-7500-000005000000}" name="BUIPE_PMS" totalsRowFunction="custom" dataDxfId="11462" totalsRowDxfId="11461" dataCellStyle="Comma">
      <totalsRowFormula>SUM(June22_2020[BUIPE_PMS])</totalsRowFormula>
    </tableColumn>
    <tableColumn id="6" xr3:uid="{00000000-0010-0000-7500-000006000000}" name="AKOSOMBO_AGO" totalsRowFunction="custom" dataDxfId="11460" totalsRowDxfId="11459">
      <totalsRowFormula>SUM(June22_2020[AKOSOMBO_AGO])</totalsRowFormula>
    </tableColumn>
    <tableColumn id="7" xr3:uid="{00000000-0010-0000-7500-000007000000}" name="DATE" dataDxfId="11458" totalsRowDxfId="11457">
      <calculatedColumnFormula>$G$3</calculatedColumnFormula>
    </tableColumn>
  </tableColumns>
  <tableStyleInfo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0" xr:uid="{00000000-000C-0000-FFFF-FFFF76000000}" name="June23_2020" displayName="June23_2020" ref="B5:H20" totalsRowCount="1" headerRowDxfId="11456" headerRowBorderDxfId="11455" tableBorderDxfId="11454" totalsRowBorderDxfId="11453">
  <autoFilter ref="B5:H19" xr:uid="{00000000-0009-0000-0100-00007C010000}"/>
  <sortState xmlns:xlrd2="http://schemas.microsoft.com/office/spreadsheetml/2017/richdata2" ref="B6:H18">
    <sortCondition ref="B6"/>
  </sortState>
  <tableColumns count="7">
    <tableColumn id="1" xr3:uid="{00000000-0010-0000-7600-000001000000}" name="BDC LIST" totalsRowLabel="Total" dataDxfId="11452" totalsRowDxfId="11451"/>
    <tableColumn id="2" xr3:uid="{00000000-0010-0000-7600-000002000000}" name="KSI_AGO" totalsRowFunction="custom" dataDxfId="11450" totalsRowDxfId="11449">
      <totalsRowFormula>SUM(June23_2020[KSI_AGO])</totalsRowFormula>
    </tableColumn>
    <tableColumn id="3" xr3:uid="{00000000-0010-0000-7600-000003000000}" name="KSI_PMS" totalsRowFunction="custom" dataDxfId="11448" totalsRowDxfId="11447">
      <totalsRowFormula>SUM(June23_2020[KSI_PMS])</totalsRowFormula>
    </tableColumn>
    <tableColumn id="4" xr3:uid="{00000000-0010-0000-7600-000004000000}" name="BUIPE_AGO" totalsRowFunction="custom" dataDxfId="11446" totalsRowDxfId="11445">
      <totalsRowFormula>SUM(June23_2020[BUIPE_AGO])</totalsRowFormula>
    </tableColumn>
    <tableColumn id="5" xr3:uid="{00000000-0010-0000-7600-000005000000}" name="BUIPE_PMS" totalsRowFunction="custom" dataDxfId="11444" totalsRowDxfId="11443" dataCellStyle="Comma">
      <totalsRowFormula>SUM(June23_2020[BUIPE_PMS])</totalsRowFormula>
    </tableColumn>
    <tableColumn id="6" xr3:uid="{00000000-0010-0000-7600-000006000000}" name="AKOSOMBO_AGO" totalsRowFunction="custom" dataDxfId="11442" totalsRowDxfId="11441">
      <totalsRowFormula>SUM(June23_2020[AKOSOMBO_AGO])</totalsRowFormula>
    </tableColumn>
    <tableColumn id="7" xr3:uid="{00000000-0010-0000-7600-000007000000}" name="DATE" dataDxfId="11440" totalsRowDxfId="11439">
      <calculatedColumnFormula>$G$3</calculatedColumnFormula>
    </tableColumn>
  </tableColumns>
  <tableStyleInfo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1" xr:uid="{00000000-000C-0000-FFFF-FFFF77000000}" name="June24_2020" displayName="June24_2020" ref="B5:H20" totalsRowCount="1" headerRowDxfId="11438" headerRowBorderDxfId="11437" tableBorderDxfId="11436" totalsRowBorderDxfId="11435">
  <autoFilter ref="B5:H19" xr:uid="{00000000-0009-0000-0100-00007D010000}"/>
  <sortState xmlns:xlrd2="http://schemas.microsoft.com/office/spreadsheetml/2017/richdata2" ref="B6:H18">
    <sortCondition ref="B6"/>
  </sortState>
  <tableColumns count="7">
    <tableColumn id="1" xr3:uid="{00000000-0010-0000-7700-000001000000}" name="BDC LIST" totalsRowLabel="Total" dataDxfId="11434" totalsRowDxfId="11433"/>
    <tableColumn id="2" xr3:uid="{00000000-0010-0000-7700-000002000000}" name="KSI_AGO" totalsRowFunction="custom" dataDxfId="11432" totalsRowDxfId="11431">
      <totalsRowFormula>SUM(June24_2020[KSI_AGO])</totalsRowFormula>
    </tableColumn>
    <tableColumn id="3" xr3:uid="{00000000-0010-0000-7700-000003000000}" name="KSI_PMS" totalsRowFunction="custom" dataDxfId="11430" totalsRowDxfId="11429">
      <totalsRowFormula>SUM(June24_2020[KSI_PMS])</totalsRowFormula>
    </tableColumn>
    <tableColumn id="4" xr3:uid="{00000000-0010-0000-7700-000004000000}" name="BUIPE_AGO" totalsRowFunction="custom" dataDxfId="11428" totalsRowDxfId="11427">
      <totalsRowFormula>SUM(June24_2020[BUIPE_AGO])</totalsRowFormula>
    </tableColumn>
    <tableColumn id="5" xr3:uid="{00000000-0010-0000-7700-000005000000}" name="BUIPE_PMS" totalsRowFunction="custom" dataDxfId="11426" totalsRowDxfId="11425" dataCellStyle="Comma">
      <totalsRowFormula>SUM(June24_2020[BUIPE_PMS])</totalsRowFormula>
    </tableColumn>
    <tableColumn id="6" xr3:uid="{00000000-0010-0000-7700-000006000000}" name="AKOSOMBO_AGO" totalsRowFunction="custom" dataDxfId="11424" totalsRowDxfId="11423">
      <totalsRowFormula>SUM(June24_2020[AKOSOMBO_AGO])</totalsRowFormula>
    </tableColumn>
    <tableColumn id="7" xr3:uid="{00000000-0010-0000-7700-000007000000}" name="DATE" dataDxfId="11422" totalsRowDxfId="11421">
      <calculatedColumnFormula>$G$3</calculatedColumnFormula>
    </tableColumn>
  </tableColumns>
  <tableStyleInfo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2" xr:uid="{00000000-000C-0000-FFFF-FFFF78000000}" name="June25_2020" displayName="June25_2020" ref="B5:H20" totalsRowCount="1" headerRowDxfId="11420" headerRowBorderDxfId="11419" tableBorderDxfId="11418" totalsRowBorderDxfId="11417">
  <autoFilter ref="B5:H19" xr:uid="{00000000-0009-0000-0100-00007E010000}"/>
  <sortState xmlns:xlrd2="http://schemas.microsoft.com/office/spreadsheetml/2017/richdata2" ref="B6:H18">
    <sortCondition ref="B6"/>
  </sortState>
  <tableColumns count="7">
    <tableColumn id="1" xr3:uid="{00000000-0010-0000-7800-000001000000}" name="BDC LIST" totalsRowLabel="Total" dataDxfId="11416" totalsRowDxfId="11415"/>
    <tableColumn id="2" xr3:uid="{00000000-0010-0000-7800-000002000000}" name="KSI_AGO" totalsRowFunction="custom" dataDxfId="11414" totalsRowDxfId="11413">
      <totalsRowFormula>SUM(June25_2020[KSI_AGO])</totalsRowFormula>
    </tableColumn>
    <tableColumn id="3" xr3:uid="{00000000-0010-0000-7800-000003000000}" name="KSI_PMS" totalsRowFunction="custom" dataDxfId="11412" totalsRowDxfId="11411">
      <totalsRowFormula>SUM(June25_2020[KSI_PMS])</totalsRowFormula>
    </tableColumn>
    <tableColumn id="4" xr3:uid="{00000000-0010-0000-7800-000004000000}" name="BUIPE_AGO" totalsRowFunction="custom" dataDxfId="11410" totalsRowDxfId="11409">
      <totalsRowFormula>SUM(June25_2020[BUIPE_AGO])</totalsRowFormula>
    </tableColumn>
    <tableColumn id="5" xr3:uid="{00000000-0010-0000-7800-000005000000}" name="BUIPE_PMS" totalsRowFunction="custom" dataDxfId="11408" totalsRowDxfId="11407" dataCellStyle="Comma">
      <totalsRowFormula>SUM(June25_2020[BUIPE_PMS])</totalsRowFormula>
    </tableColumn>
    <tableColumn id="6" xr3:uid="{00000000-0010-0000-7800-000006000000}" name="AKOSOMBO_AGO" totalsRowFunction="custom" dataDxfId="11406" totalsRowDxfId="11405">
      <totalsRowFormula>SUM(June25_2020[AKOSOMBO_AGO])</totalsRowFormula>
    </tableColumn>
    <tableColumn id="7" xr3:uid="{00000000-0010-0000-7800-000007000000}" name="DATE" dataDxfId="11404" totalsRowDxfId="11403">
      <calculatedColumnFormula>$G$3</calculatedColumnFormula>
    </tableColumn>
  </tableColumns>
  <tableStyleInfo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3" xr:uid="{00000000-000C-0000-FFFF-FFFF79000000}" name="June26_2020" displayName="June26_2020" ref="B5:H20" totalsRowCount="1" headerRowDxfId="11402" headerRowBorderDxfId="11401" tableBorderDxfId="11400" totalsRowBorderDxfId="11399">
  <autoFilter ref="B5:H19" xr:uid="{00000000-0009-0000-0100-00007F010000}"/>
  <sortState xmlns:xlrd2="http://schemas.microsoft.com/office/spreadsheetml/2017/richdata2" ref="B6:H18">
    <sortCondition ref="B6"/>
  </sortState>
  <tableColumns count="7">
    <tableColumn id="1" xr3:uid="{00000000-0010-0000-7900-000001000000}" name="BDC LIST" totalsRowLabel="Total" dataDxfId="11398" totalsRowDxfId="11397"/>
    <tableColumn id="2" xr3:uid="{00000000-0010-0000-7900-000002000000}" name="KSI_AGO" totalsRowFunction="custom" dataDxfId="11396" totalsRowDxfId="11395">
      <totalsRowFormula>SUM(June26_2020[KSI_AGO])</totalsRowFormula>
    </tableColumn>
    <tableColumn id="3" xr3:uid="{00000000-0010-0000-7900-000003000000}" name="KSI_PMS" totalsRowFunction="custom" dataDxfId="11394" totalsRowDxfId="11393">
      <totalsRowFormula>SUM(June26_2020[KSI_PMS])</totalsRowFormula>
    </tableColumn>
    <tableColumn id="4" xr3:uid="{00000000-0010-0000-7900-000004000000}" name="BUIPE_AGO" totalsRowFunction="custom" dataDxfId="11392" totalsRowDxfId="11391">
      <totalsRowFormula>SUM(June26_2020[BUIPE_AGO])</totalsRowFormula>
    </tableColumn>
    <tableColumn id="5" xr3:uid="{00000000-0010-0000-7900-000005000000}" name="BUIPE_PMS" totalsRowFunction="custom" dataDxfId="11390" totalsRowDxfId="11389" dataCellStyle="Comma">
      <totalsRowFormula>SUM(June26_2020[BUIPE_PMS])</totalsRowFormula>
    </tableColumn>
    <tableColumn id="6" xr3:uid="{00000000-0010-0000-7900-000006000000}" name="AKOSOMBO_AGO" totalsRowFunction="custom" dataDxfId="11388" totalsRowDxfId="11387">
      <totalsRowFormula>SUM(June26_2020[AKOSOMBO_AGO])</totalsRowFormula>
    </tableColumn>
    <tableColumn id="7" xr3:uid="{00000000-0010-0000-7900-000007000000}" name="DATE" dataDxfId="11386" totalsRowDxfId="11385">
      <calculatedColumnFormula>$G$3</calculatedColumnFormula>
    </tableColumn>
  </tableColumns>
  <tableStyleInfo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6" xr:uid="{00000000-000C-0000-FFFF-FFFF7A000000}" name="June29_2020" displayName="June29_2020" ref="B5:H20" totalsRowCount="1" headerRowDxfId="11384" headerRowBorderDxfId="11383" tableBorderDxfId="11382" totalsRowBorderDxfId="11381">
  <autoFilter ref="B5:H19" xr:uid="{00000000-0009-0000-0100-000082010000}"/>
  <sortState xmlns:xlrd2="http://schemas.microsoft.com/office/spreadsheetml/2017/richdata2" ref="B6:H18">
    <sortCondition ref="B6"/>
  </sortState>
  <tableColumns count="7">
    <tableColumn id="1" xr3:uid="{00000000-0010-0000-7A00-000001000000}" name="BDC LIST" totalsRowLabel="Total" dataDxfId="11380" totalsRowDxfId="11379"/>
    <tableColumn id="2" xr3:uid="{00000000-0010-0000-7A00-000002000000}" name="KSI_AGO" totalsRowFunction="custom" dataDxfId="11378" totalsRowDxfId="11377">
      <totalsRowFormula>SUM(June29_2020[KSI_AGO])</totalsRowFormula>
    </tableColumn>
    <tableColumn id="3" xr3:uid="{00000000-0010-0000-7A00-000003000000}" name="KSI_PMS" totalsRowFunction="custom" dataDxfId="11376" totalsRowDxfId="11375">
      <totalsRowFormula>SUM(June29_2020[KSI_PMS])</totalsRowFormula>
    </tableColumn>
    <tableColumn id="4" xr3:uid="{00000000-0010-0000-7A00-000004000000}" name="BUIPE_AGO" totalsRowFunction="custom" dataDxfId="11374" totalsRowDxfId="11373">
      <totalsRowFormula>SUM(June29_2020[BUIPE_AGO])</totalsRowFormula>
    </tableColumn>
    <tableColumn id="5" xr3:uid="{00000000-0010-0000-7A00-000005000000}" name="BUIPE_PMS" totalsRowFunction="custom" dataDxfId="11372" totalsRowDxfId="11371" dataCellStyle="Comma">
      <totalsRowFormula>SUM(June29_2020[BUIPE_PMS])</totalsRowFormula>
    </tableColumn>
    <tableColumn id="6" xr3:uid="{00000000-0010-0000-7A00-000006000000}" name="AKOSOMBO_AGO" totalsRowFunction="custom" dataDxfId="11370" totalsRowDxfId="11369">
      <totalsRowFormula>SUM(June29_2020[AKOSOMBO_AGO])</totalsRowFormula>
    </tableColumn>
    <tableColumn id="7" xr3:uid="{00000000-0010-0000-7A00-000007000000}" name="DATE" dataDxfId="11368" totalsRowDxfId="11367">
      <calculatedColumnFormula>$G$3</calculatedColumnFormula>
    </tableColumn>
  </tableColumns>
  <tableStyleInfo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7" xr:uid="{00000000-000C-0000-FFFF-FFFF7B000000}" name="June30_2020" displayName="June30_2020" ref="B5:H20" totalsRowCount="1" headerRowDxfId="11366" headerRowBorderDxfId="11365" tableBorderDxfId="11364" totalsRowBorderDxfId="11363">
  <autoFilter ref="B5:H19" xr:uid="{00000000-0009-0000-0100-000083010000}"/>
  <sortState xmlns:xlrd2="http://schemas.microsoft.com/office/spreadsheetml/2017/richdata2" ref="B6:H18">
    <sortCondition ref="B6"/>
  </sortState>
  <tableColumns count="7">
    <tableColumn id="1" xr3:uid="{00000000-0010-0000-7B00-000001000000}" name="BDC LIST" totalsRowLabel="Total" dataDxfId="11362" totalsRowDxfId="11361"/>
    <tableColumn id="2" xr3:uid="{00000000-0010-0000-7B00-000002000000}" name="KSI_AGO" totalsRowFunction="custom" dataDxfId="11360" totalsRowDxfId="11359">
      <totalsRowFormula>SUM(June30_2020[KSI_AGO])</totalsRowFormula>
    </tableColumn>
    <tableColumn id="3" xr3:uid="{00000000-0010-0000-7B00-000003000000}" name="KSI_PMS" totalsRowFunction="custom" dataDxfId="11358" totalsRowDxfId="11357">
      <totalsRowFormula>SUM(June30_2020[KSI_PMS])</totalsRowFormula>
    </tableColumn>
    <tableColumn id="4" xr3:uid="{00000000-0010-0000-7B00-000004000000}" name="BUIPE_AGO" totalsRowFunction="custom" dataDxfId="11356" totalsRowDxfId="11355">
      <totalsRowFormula>SUM(June30_2020[BUIPE_AGO])</totalsRowFormula>
    </tableColumn>
    <tableColumn id="5" xr3:uid="{00000000-0010-0000-7B00-000005000000}" name="BUIPE_PMS" totalsRowFunction="custom" dataDxfId="11354" totalsRowDxfId="11353" dataCellStyle="Comma">
      <totalsRowFormula>SUM(June30_2020[BUIPE_PMS])</totalsRowFormula>
    </tableColumn>
    <tableColumn id="6" xr3:uid="{00000000-0010-0000-7B00-000006000000}" name="AKOSOMBO_AGO" totalsRowFunction="custom" dataDxfId="11352" totalsRowDxfId="11351">
      <totalsRowFormula>SUM(June30_2020[AKOSOMBO_AGO])</totalsRowFormula>
    </tableColumn>
    <tableColumn id="7" xr3:uid="{00000000-0010-0000-7B00-000007000000}" name="DATE" dataDxfId="11350" totalsRowDxfId="11349">
      <calculatedColumnFormula>$G$3</calculatedColumnFormula>
    </tableColumn>
  </tableColumns>
  <tableStyleInfo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C000000}" name="July02_2020" displayName="July02_2020" ref="B5:H19" totalsRowCount="1" headerRowDxfId="11348" headerRowBorderDxfId="11347" tableBorderDxfId="11346" totalsRowBorderDxfId="11345">
  <autoFilter ref="B5:H18" xr:uid="{00000000-0009-0000-0100-000072000000}"/>
  <sortState xmlns:xlrd2="http://schemas.microsoft.com/office/spreadsheetml/2017/richdata2" ref="B6:H18">
    <sortCondition ref="B6"/>
  </sortState>
  <tableColumns count="7">
    <tableColumn id="1" xr3:uid="{00000000-0010-0000-7C00-000001000000}" name="BDC LIST" totalsRowLabel="Total" dataDxfId="11344" totalsRowDxfId="11343"/>
    <tableColumn id="2" xr3:uid="{00000000-0010-0000-7C00-000002000000}" name="KSI_AGO" totalsRowFunction="sum" dataDxfId="11342" totalsRowDxfId="11341"/>
    <tableColumn id="3" xr3:uid="{00000000-0010-0000-7C00-000003000000}" name="KSI_PMS" totalsRowFunction="sum" dataDxfId="11340" totalsRowDxfId="11339"/>
    <tableColumn id="4" xr3:uid="{00000000-0010-0000-7C00-000004000000}" name="BUIPE_AGO" totalsRowFunction="sum" dataDxfId="11338" totalsRowDxfId="11337"/>
    <tableColumn id="5" xr3:uid="{00000000-0010-0000-7C00-000005000000}" name="BUIPE_PMS" totalsRowFunction="sum" dataDxfId="11336" totalsRowDxfId="11335" dataCellStyle="Comma"/>
    <tableColumn id="6" xr3:uid="{00000000-0010-0000-7C00-000006000000}" name="AKOSOMBO_AGO" totalsRowFunction="sum" dataDxfId="11334" totalsRowDxfId="11333"/>
    <tableColumn id="7" xr3:uid="{00000000-0010-0000-7C00-000007000000}" name="DATE" dataDxfId="11332" totalsRowDxfId="11331">
      <calculatedColumnFormula>$G$3</calculatedColumnFormula>
    </tableColumn>
  </tableColumns>
  <tableStyleInfo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7D000000}" name="July03_2020" displayName="July03_2020" ref="B5:H19" totalsRowCount="1" headerRowDxfId="11330" headerRowBorderDxfId="11329" tableBorderDxfId="11328" totalsRowBorderDxfId="11327">
  <autoFilter ref="B5:H18" xr:uid="{00000000-0009-0000-0100-000003000000}"/>
  <sortState xmlns:xlrd2="http://schemas.microsoft.com/office/spreadsheetml/2017/richdata2" ref="B6:H18">
    <sortCondition ref="B6"/>
  </sortState>
  <tableColumns count="7">
    <tableColumn id="1" xr3:uid="{00000000-0010-0000-7D00-000001000000}" name="BDC LIST" totalsRowLabel="Total" dataDxfId="11326" totalsRowDxfId="11325"/>
    <tableColumn id="2" xr3:uid="{00000000-0010-0000-7D00-000002000000}" name="KSI_AGO" totalsRowFunction="sum" dataDxfId="11324" totalsRowDxfId="11323"/>
    <tableColumn id="3" xr3:uid="{00000000-0010-0000-7D00-000003000000}" name="KSI_PMS" totalsRowFunction="sum" dataDxfId="11322" totalsRowDxfId="11321"/>
    <tableColumn id="4" xr3:uid="{00000000-0010-0000-7D00-000004000000}" name="BUIPE_AGO" totalsRowFunction="sum" dataDxfId="11320" totalsRowDxfId="11319"/>
    <tableColumn id="5" xr3:uid="{00000000-0010-0000-7D00-000005000000}" name="BUIPE_PMS" totalsRowFunction="sum" dataDxfId="11318" totalsRowDxfId="11317" dataCellStyle="Comma"/>
    <tableColumn id="6" xr3:uid="{00000000-0010-0000-7D00-000006000000}" name="AKOSOMBO_AGO" totalsRowFunction="sum" dataDxfId="11316" totalsRowDxfId="11315"/>
    <tableColumn id="7" xr3:uid="{00000000-0010-0000-7D00-000007000000}" name="DATE" dataDxfId="11314" totalsRowDxfId="11313">
      <calculatedColumnFormula>$G$3</calculatedColumnFormula>
    </tableColumn>
  </tableColumns>
  <tableStyleInfo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7E000000}" name="July06_2020" displayName="July06_2020" ref="B5:H19" totalsRowCount="1" headerRowDxfId="11312" headerRowBorderDxfId="11311" tableBorderDxfId="11310" totalsRowBorderDxfId="11309">
  <autoFilter ref="B5:H18" xr:uid="{00000000-0009-0000-0100-000005000000}"/>
  <sortState xmlns:xlrd2="http://schemas.microsoft.com/office/spreadsheetml/2017/richdata2" ref="B6:H18">
    <sortCondition ref="B6"/>
  </sortState>
  <tableColumns count="7">
    <tableColumn id="1" xr3:uid="{00000000-0010-0000-7E00-000001000000}" name="BDC LIST" totalsRowLabel="Total" dataDxfId="11308" totalsRowDxfId="11307"/>
    <tableColumn id="2" xr3:uid="{00000000-0010-0000-7E00-000002000000}" name="KSI_AGO" totalsRowFunction="sum" dataDxfId="11306" totalsRowDxfId="11305"/>
    <tableColumn id="3" xr3:uid="{00000000-0010-0000-7E00-000003000000}" name="KSI_PMS" totalsRowFunction="sum" dataDxfId="11304" totalsRowDxfId="11303"/>
    <tableColumn id="4" xr3:uid="{00000000-0010-0000-7E00-000004000000}" name="BUIPE_AGO" totalsRowFunction="sum" dataDxfId="11302" totalsRowDxfId="11301"/>
    <tableColumn id="5" xr3:uid="{00000000-0010-0000-7E00-000005000000}" name="BUIPE_PMS" totalsRowFunction="sum" dataDxfId="11300" totalsRowDxfId="11299" dataCellStyle="Comma"/>
    <tableColumn id="6" xr3:uid="{00000000-0010-0000-7E00-000006000000}" name="AKOSOMBO_AGO" totalsRowFunction="sum" dataDxfId="11298" totalsRowDxfId="11297"/>
    <tableColumn id="7" xr3:uid="{00000000-0010-0000-7E00-000007000000}" name="DATE" dataDxfId="11296" totalsRowDxfId="11295">
      <calculatedColumnFormula>$G$3</calculatedColumnFormula>
    </tableColumn>
  </tableColumns>
  <tableStyleInfo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7F000000}" name="July07_2020" displayName="July07_2020" ref="B5:H19" totalsRowCount="1" headerRowDxfId="11294" headerRowBorderDxfId="11293" tableBorderDxfId="11292" totalsRowBorderDxfId="11291">
  <autoFilter ref="B5:H18" xr:uid="{00000000-0009-0000-0100-000006000000}"/>
  <sortState xmlns:xlrd2="http://schemas.microsoft.com/office/spreadsheetml/2017/richdata2" ref="B6:H18">
    <sortCondition ref="B6"/>
  </sortState>
  <tableColumns count="7">
    <tableColumn id="1" xr3:uid="{00000000-0010-0000-7F00-000001000000}" name="BDC LIST" totalsRowLabel="Total" dataDxfId="11290" totalsRowDxfId="11289"/>
    <tableColumn id="2" xr3:uid="{00000000-0010-0000-7F00-000002000000}" name="KSI_AGO" totalsRowFunction="sum" dataDxfId="11288" totalsRowDxfId="11287"/>
    <tableColumn id="3" xr3:uid="{00000000-0010-0000-7F00-000003000000}" name="KSI_PMS" totalsRowFunction="sum" dataDxfId="11286" totalsRowDxfId="11285"/>
    <tableColumn id="4" xr3:uid="{00000000-0010-0000-7F00-000004000000}" name="BUIPE_AGO" totalsRowFunction="sum" dataDxfId="11284" totalsRowDxfId="11283"/>
    <tableColumn id="5" xr3:uid="{00000000-0010-0000-7F00-000005000000}" name="BUIPE_PMS" totalsRowFunction="sum" dataDxfId="11282" totalsRowDxfId="11281" dataCellStyle="Comma"/>
    <tableColumn id="6" xr3:uid="{00000000-0010-0000-7F00-000006000000}" name="AKOSOMBO_AGO" totalsRowFunction="sum" dataDxfId="11280" totalsRowDxfId="11279"/>
    <tableColumn id="7" xr3:uid="{00000000-0010-0000-7F00-000007000000}" name="DATE" dataDxfId="11278" totalsRowDxfId="11277">
      <calculatedColumnFormula>$G$3</calculatedColumnFormula>
    </tableColumn>
  </tableColumns>
  <tableStyleInfo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80000000}" name="July08_2020" displayName="July08_2020" ref="B5:H19" totalsRowCount="1" headerRowDxfId="11276" headerRowBorderDxfId="11275" tableBorderDxfId="11274" totalsRowBorderDxfId="11273">
  <autoFilter ref="B5:H18" xr:uid="{00000000-0009-0000-0100-000007000000}"/>
  <sortState xmlns:xlrd2="http://schemas.microsoft.com/office/spreadsheetml/2017/richdata2" ref="B6:H18">
    <sortCondition ref="B6"/>
  </sortState>
  <tableColumns count="7">
    <tableColumn id="1" xr3:uid="{00000000-0010-0000-8000-000001000000}" name="BDC LIST" totalsRowLabel="Total" dataDxfId="11272" totalsRowDxfId="11271"/>
    <tableColumn id="2" xr3:uid="{00000000-0010-0000-8000-000002000000}" name="KSI_AGO" totalsRowFunction="sum" dataDxfId="11270" totalsRowDxfId="11269"/>
    <tableColumn id="3" xr3:uid="{00000000-0010-0000-8000-000003000000}" name="KSI_PMS" totalsRowFunction="sum" dataDxfId="11268" totalsRowDxfId="11267"/>
    <tableColumn id="4" xr3:uid="{00000000-0010-0000-8000-000004000000}" name="BUIPE_AGO" totalsRowFunction="sum" dataDxfId="11266" totalsRowDxfId="11265"/>
    <tableColumn id="5" xr3:uid="{00000000-0010-0000-8000-000005000000}" name="BUIPE_PMS" totalsRowFunction="sum" dataDxfId="11264" totalsRowDxfId="11263" dataCellStyle="Comma"/>
    <tableColumn id="6" xr3:uid="{00000000-0010-0000-8000-000006000000}" name="AKOSOMBO_AGO" totalsRowFunction="sum" dataDxfId="11262" totalsRowDxfId="11261"/>
    <tableColumn id="7" xr3:uid="{00000000-0010-0000-8000-000007000000}" name="DATE" dataDxfId="11260" totalsRowDxfId="11259">
      <calculatedColumnFormula>$G$3</calculatedColumnFormula>
    </tableColumn>
  </tableColumns>
  <tableStyleInfo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81000000}" name="July09_2020" displayName="July09_2020" ref="B5:H19" totalsRowCount="1" headerRowDxfId="11258" headerRowBorderDxfId="11257" tableBorderDxfId="11256" totalsRowBorderDxfId="11255">
  <autoFilter ref="B5:H18" xr:uid="{00000000-0009-0000-0100-000008000000}"/>
  <sortState xmlns:xlrd2="http://schemas.microsoft.com/office/spreadsheetml/2017/richdata2" ref="B6:H18">
    <sortCondition ref="B6"/>
  </sortState>
  <tableColumns count="7">
    <tableColumn id="1" xr3:uid="{00000000-0010-0000-8100-000001000000}" name="BDC LIST" totalsRowLabel="Total" dataDxfId="11254" totalsRowDxfId="11253"/>
    <tableColumn id="2" xr3:uid="{00000000-0010-0000-8100-000002000000}" name="KSI_AGO" totalsRowFunction="sum" dataDxfId="11252" totalsRowDxfId="11251"/>
    <tableColumn id="3" xr3:uid="{00000000-0010-0000-8100-000003000000}" name="KSI_PMS" totalsRowFunction="sum" dataDxfId="11250" totalsRowDxfId="11249"/>
    <tableColumn id="4" xr3:uid="{00000000-0010-0000-8100-000004000000}" name="BUIPE_AGO" totalsRowFunction="sum" dataDxfId="11248" totalsRowDxfId="11247"/>
    <tableColumn id="5" xr3:uid="{00000000-0010-0000-8100-000005000000}" name="BUIPE_PMS" totalsRowFunction="sum" dataDxfId="11246" totalsRowDxfId="11245" dataCellStyle="Comma"/>
    <tableColumn id="6" xr3:uid="{00000000-0010-0000-8100-000006000000}" name="AKOSOMBO_AGO" totalsRowFunction="sum" dataDxfId="11244" totalsRowDxfId="11243"/>
    <tableColumn id="7" xr3:uid="{00000000-0010-0000-8100-000007000000}" name="DATE" dataDxfId="11242" totalsRowDxfId="11241">
      <calculatedColumnFormula>$G$3</calculatedColumnFormula>
    </tableColumn>
  </tableColumns>
  <tableStyleInfo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82000000}" name="July10_2020" displayName="July10_2020" ref="B5:H19" totalsRowCount="1" headerRowDxfId="11240" headerRowBorderDxfId="11239" tableBorderDxfId="11238" totalsRowBorderDxfId="11237">
  <autoFilter ref="B5:H18" xr:uid="{00000000-0009-0000-0100-000009000000}"/>
  <sortState xmlns:xlrd2="http://schemas.microsoft.com/office/spreadsheetml/2017/richdata2" ref="B6:H18">
    <sortCondition ref="B6"/>
  </sortState>
  <tableColumns count="7">
    <tableColumn id="1" xr3:uid="{00000000-0010-0000-8200-000001000000}" name="BDC LIST" totalsRowLabel="Total" dataDxfId="11236" totalsRowDxfId="11235"/>
    <tableColumn id="2" xr3:uid="{00000000-0010-0000-8200-000002000000}" name="KSI_AGO" totalsRowFunction="sum" dataDxfId="11234" totalsRowDxfId="11233"/>
    <tableColumn id="3" xr3:uid="{00000000-0010-0000-8200-000003000000}" name="KSI_PMS" totalsRowFunction="sum" dataDxfId="11232" totalsRowDxfId="11231"/>
    <tableColumn id="4" xr3:uid="{00000000-0010-0000-8200-000004000000}" name="BUIPE_AGO" totalsRowFunction="sum" dataDxfId="11230" totalsRowDxfId="11229"/>
    <tableColumn id="5" xr3:uid="{00000000-0010-0000-8200-000005000000}" name="BUIPE_PMS" totalsRowFunction="sum" dataDxfId="11228" totalsRowDxfId="11227" dataCellStyle="Comma"/>
    <tableColumn id="6" xr3:uid="{00000000-0010-0000-8200-000006000000}" name="AKOSOMBO_AGO" totalsRowFunction="sum" dataDxfId="11226" totalsRowDxfId="11225"/>
    <tableColumn id="7" xr3:uid="{00000000-0010-0000-8200-000007000000}" name="DATE" dataDxfId="11224" totalsRowDxfId="11223">
      <calculatedColumnFormula>$G$3</calculatedColumnFormula>
    </tableColumn>
  </tableColumns>
  <tableStyleInfo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83000000}" name="July11_2020" displayName="July11_2020" ref="B5:H19" totalsRowCount="1" headerRowDxfId="11222" headerRowBorderDxfId="11221" tableBorderDxfId="11220" totalsRowBorderDxfId="11219">
  <autoFilter ref="B5:H18" xr:uid="{00000000-0009-0000-0100-00000A000000}"/>
  <sortState xmlns:xlrd2="http://schemas.microsoft.com/office/spreadsheetml/2017/richdata2" ref="B6:H18">
    <sortCondition ref="B6"/>
  </sortState>
  <tableColumns count="7">
    <tableColumn id="1" xr3:uid="{00000000-0010-0000-8300-000001000000}" name="BDC LIST" totalsRowLabel="Total" dataDxfId="11218" totalsRowDxfId="11217"/>
    <tableColumn id="2" xr3:uid="{00000000-0010-0000-8300-000002000000}" name="KSI_AGO" totalsRowFunction="sum" dataDxfId="11216" totalsRowDxfId="11215"/>
    <tableColumn id="3" xr3:uid="{00000000-0010-0000-8300-000003000000}" name="KSI_PMS" totalsRowFunction="sum" dataDxfId="11214" totalsRowDxfId="11213"/>
    <tableColumn id="4" xr3:uid="{00000000-0010-0000-8300-000004000000}" name="BUIPE_AGO" totalsRowFunction="sum" dataDxfId="11212" totalsRowDxfId="11211"/>
    <tableColumn id="5" xr3:uid="{00000000-0010-0000-8300-000005000000}" name="BUIPE_PMS" totalsRowFunction="sum" dataDxfId="11210" totalsRowDxfId="11209" dataCellStyle="Comma"/>
    <tableColumn id="6" xr3:uid="{00000000-0010-0000-8300-000006000000}" name="AKOSOMBO_AGO" totalsRowFunction="sum" dataDxfId="11208" totalsRowDxfId="11207"/>
    <tableColumn id="7" xr3:uid="{00000000-0010-0000-8300-000007000000}" name="DATE" dataDxfId="11206" totalsRowDxfId="11205">
      <calculatedColumnFormula>$G$3</calculatedColumnFormula>
    </tableColumn>
  </tableColumns>
  <tableStyleInfo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84000000}" name="July13_2020" displayName="July13_2020" ref="B5:H19" totalsRowCount="1" headerRowDxfId="11204" headerRowBorderDxfId="11203" tableBorderDxfId="11202" totalsRowBorderDxfId="11201">
  <autoFilter ref="B5:H18" xr:uid="{00000000-0009-0000-0100-00000B000000}"/>
  <sortState xmlns:xlrd2="http://schemas.microsoft.com/office/spreadsheetml/2017/richdata2" ref="B6:H18">
    <sortCondition ref="B6"/>
  </sortState>
  <tableColumns count="7">
    <tableColumn id="1" xr3:uid="{00000000-0010-0000-8400-000001000000}" name="BDC LIST" totalsRowLabel="Total" dataDxfId="11200" totalsRowDxfId="11199"/>
    <tableColumn id="2" xr3:uid="{00000000-0010-0000-8400-000002000000}" name="KSI_AGO" totalsRowFunction="sum" dataDxfId="11198" totalsRowDxfId="11197"/>
    <tableColumn id="3" xr3:uid="{00000000-0010-0000-8400-000003000000}" name="KSI_PMS" totalsRowFunction="sum" dataDxfId="11196" totalsRowDxfId="11195"/>
    <tableColumn id="4" xr3:uid="{00000000-0010-0000-8400-000004000000}" name="BUIPE_AGO" totalsRowFunction="sum" dataDxfId="11194" totalsRowDxfId="11193"/>
    <tableColumn id="5" xr3:uid="{00000000-0010-0000-8400-000005000000}" name="BUIPE_PMS" totalsRowFunction="sum" dataDxfId="11192" totalsRowDxfId="11191" dataCellStyle="Comma"/>
    <tableColumn id="6" xr3:uid="{00000000-0010-0000-8400-000006000000}" name="AKOSOMBO_AGO" totalsRowFunction="sum" dataDxfId="11190" totalsRowDxfId="11189"/>
    <tableColumn id="7" xr3:uid="{00000000-0010-0000-8400-000007000000}" name="DATE" dataDxfId="11188" totalsRowDxfId="11187">
      <calculatedColumnFormula>$G$3</calculatedColumnFormula>
    </tableColumn>
  </tableColumns>
  <tableStyleInfo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85000000}" name="July14_2020" displayName="July14_2020" ref="B5:H19" totalsRowCount="1" headerRowDxfId="11186" headerRowBorderDxfId="11185" tableBorderDxfId="11184" totalsRowBorderDxfId="11183">
  <autoFilter ref="B5:H18" xr:uid="{00000000-0009-0000-0100-00000C000000}"/>
  <sortState xmlns:xlrd2="http://schemas.microsoft.com/office/spreadsheetml/2017/richdata2" ref="B6:H18">
    <sortCondition ref="B6"/>
  </sortState>
  <tableColumns count="7">
    <tableColumn id="1" xr3:uid="{00000000-0010-0000-8500-000001000000}" name="BDC LIST" totalsRowLabel="Total" dataDxfId="11182" totalsRowDxfId="11181"/>
    <tableColumn id="2" xr3:uid="{00000000-0010-0000-8500-000002000000}" name="KSI_AGO" totalsRowFunction="sum" dataDxfId="11180" totalsRowDxfId="11179"/>
    <tableColumn id="3" xr3:uid="{00000000-0010-0000-8500-000003000000}" name="KSI_PMS" totalsRowFunction="sum" dataDxfId="11178" totalsRowDxfId="11177"/>
    <tableColumn id="4" xr3:uid="{00000000-0010-0000-8500-000004000000}" name="BUIPE_AGO" totalsRowFunction="sum" dataDxfId="11176" totalsRowDxfId="11175"/>
    <tableColumn id="5" xr3:uid="{00000000-0010-0000-8500-000005000000}" name="BUIPE_PMS" totalsRowFunction="sum" dataDxfId="11174" totalsRowDxfId="11173" dataCellStyle="Comma"/>
    <tableColumn id="6" xr3:uid="{00000000-0010-0000-8500-000006000000}" name="AKOSOMBO_AGO" totalsRowFunction="sum" dataDxfId="11172" totalsRowDxfId="11171"/>
    <tableColumn id="7" xr3:uid="{00000000-0010-0000-8500-000007000000}" name="DATE" dataDxfId="11170" totalsRowDxfId="11169">
      <calculatedColumnFormula>$G$3</calculatedColumnFormula>
    </tableColumn>
  </tableColumns>
  <tableStyleInfo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86000000}" name="July15_2020" displayName="July15_2020" ref="B5:H19" totalsRowCount="1" headerRowDxfId="11168" headerRowBorderDxfId="11167" tableBorderDxfId="11166" totalsRowBorderDxfId="11165">
  <autoFilter ref="B5:H18" xr:uid="{00000000-0009-0000-0100-00000D000000}"/>
  <sortState xmlns:xlrd2="http://schemas.microsoft.com/office/spreadsheetml/2017/richdata2" ref="B6:H18">
    <sortCondition ref="B6"/>
  </sortState>
  <tableColumns count="7">
    <tableColumn id="1" xr3:uid="{00000000-0010-0000-8600-000001000000}" name="BDC LIST" totalsRowLabel="Total" dataDxfId="11164" totalsRowDxfId="11163"/>
    <tableColumn id="2" xr3:uid="{00000000-0010-0000-8600-000002000000}" name="KSI_AGO" totalsRowFunction="sum" dataDxfId="11162" totalsRowDxfId="11161"/>
    <tableColumn id="3" xr3:uid="{00000000-0010-0000-8600-000003000000}" name="KSI_PMS" totalsRowFunction="sum" dataDxfId="11160" totalsRowDxfId="11159"/>
    <tableColumn id="4" xr3:uid="{00000000-0010-0000-8600-000004000000}" name="BUIPE_AGO" totalsRowFunction="sum" dataDxfId="11158" totalsRowDxfId="11157"/>
    <tableColumn id="5" xr3:uid="{00000000-0010-0000-8600-000005000000}" name="BUIPE_PMS" totalsRowFunction="sum" dataDxfId="11156" totalsRowDxfId="11155" dataCellStyle="Comma"/>
    <tableColumn id="6" xr3:uid="{00000000-0010-0000-8600-000006000000}" name="AKOSOMBO_AGO" totalsRowFunction="sum" dataDxfId="11154" totalsRowDxfId="11153"/>
    <tableColumn id="7" xr3:uid="{00000000-0010-0000-8600-000007000000}" name="DATE" dataDxfId="11152" totalsRowDxfId="11151">
      <calculatedColumnFormula>$G$3</calculatedColumnFormula>
    </tableColumn>
  </tableColumns>
  <tableStyleInfo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87000000}" name="July16_2020" displayName="July16_2020" ref="B5:H19" totalsRowCount="1" headerRowDxfId="11150" headerRowBorderDxfId="11149" tableBorderDxfId="11148" totalsRowBorderDxfId="11147">
  <autoFilter ref="B5:H18" xr:uid="{00000000-0009-0000-0100-00000E000000}"/>
  <sortState xmlns:xlrd2="http://schemas.microsoft.com/office/spreadsheetml/2017/richdata2" ref="B6:H18">
    <sortCondition ref="B6"/>
  </sortState>
  <tableColumns count="7">
    <tableColumn id="1" xr3:uid="{00000000-0010-0000-8700-000001000000}" name="BDC LIST" totalsRowLabel="Total" dataDxfId="11146" totalsRowDxfId="11145"/>
    <tableColumn id="2" xr3:uid="{00000000-0010-0000-8700-000002000000}" name="KSI_AGO" totalsRowFunction="sum" dataDxfId="11144" totalsRowDxfId="11143"/>
    <tableColumn id="3" xr3:uid="{00000000-0010-0000-8700-000003000000}" name="KSI_PMS" totalsRowFunction="sum" dataDxfId="11142" totalsRowDxfId="11141"/>
    <tableColumn id="4" xr3:uid="{00000000-0010-0000-8700-000004000000}" name="BUIPE_AGO" totalsRowFunction="sum" dataDxfId="11140" totalsRowDxfId="11139"/>
    <tableColumn id="5" xr3:uid="{00000000-0010-0000-8700-000005000000}" name="BUIPE_PMS" totalsRowFunction="sum" dataDxfId="11138" totalsRowDxfId="11137" dataCellStyle="Comma"/>
    <tableColumn id="6" xr3:uid="{00000000-0010-0000-8700-000006000000}" name="AKOSOMBO_AGO" totalsRowFunction="sum" dataDxfId="11136" totalsRowDxfId="11135"/>
    <tableColumn id="7" xr3:uid="{00000000-0010-0000-8700-000007000000}" name="DATE" dataDxfId="11134" totalsRowDxfId="11133">
      <calculatedColumnFormula>$G$3</calculatedColumnFormula>
    </tableColumn>
  </tableColumns>
  <tableStyleInfo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88000000}" name="July17_2020" displayName="July17_2020" ref="B5:H19" totalsRowCount="1" headerRowDxfId="11132" headerRowBorderDxfId="11131" tableBorderDxfId="11130" totalsRowBorderDxfId="11129">
  <autoFilter ref="B5:H18" xr:uid="{00000000-0009-0000-0100-00000F000000}"/>
  <sortState xmlns:xlrd2="http://schemas.microsoft.com/office/spreadsheetml/2017/richdata2" ref="B6:H18">
    <sortCondition ref="B6"/>
  </sortState>
  <tableColumns count="7">
    <tableColumn id="1" xr3:uid="{00000000-0010-0000-8800-000001000000}" name="BDC LIST" totalsRowLabel="Total" dataDxfId="11128" totalsRowDxfId="11127"/>
    <tableColumn id="2" xr3:uid="{00000000-0010-0000-8800-000002000000}" name="KSI_AGO" totalsRowFunction="sum" dataDxfId="11126" totalsRowDxfId="11125"/>
    <tableColumn id="3" xr3:uid="{00000000-0010-0000-8800-000003000000}" name="KSI_PMS" totalsRowFunction="sum" dataDxfId="11124" totalsRowDxfId="11123"/>
    <tableColumn id="4" xr3:uid="{00000000-0010-0000-8800-000004000000}" name="BUIPE_AGO" totalsRowFunction="sum" dataDxfId="11122" totalsRowDxfId="11121"/>
    <tableColumn id="5" xr3:uid="{00000000-0010-0000-8800-000005000000}" name="BUIPE_PMS" totalsRowFunction="sum" dataDxfId="11120" totalsRowDxfId="11119" dataCellStyle="Comma"/>
    <tableColumn id="6" xr3:uid="{00000000-0010-0000-8800-000006000000}" name="AKOSOMBO_AGO" totalsRowFunction="sum" dataDxfId="11118" totalsRowDxfId="11117"/>
    <tableColumn id="7" xr3:uid="{00000000-0010-0000-8800-000007000000}" name="DATE" dataDxfId="11116" totalsRowDxfId="11115">
      <calculatedColumnFormula>$G$3</calculatedColumnFormula>
    </tableColumn>
  </tableColumns>
  <tableStyleInfo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89000000}" name="July20_2020" displayName="July20_2020" ref="B5:H19" totalsRowCount="1" headerRowDxfId="11114" headerRowBorderDxfId="11113" tableBorderDxfId="11112" totalsRowBorderDxfId="11111">
  <autoFilter ref="B5:H18" xr:uid="{00000000-0009-0000-0100-000010000000}"/>
  <sortState xmlns:xlrd2="http://schemas.microsoft.com/office/spreadsheetml/2017/richdata2" ref="B6:H18">
    <sortCondition ref="B6"/>
  </sortState>
  <tableColumns count="7">
    <tableColumn id="1" xr3:uid="{00000000-0010-0000-8900-000001000000}" name="BDC LIST" totalsRowLabel="Total" dataDxfId="11110" totalsRowDxfId="11109"/>
    <tableColumn id="2" xr3:uid="{00000000-0010-0000-8900-000002000000}" name="KSI_AGO" totalsRowFunction="sum" dataDxfId="11108" totalsRowDxfId="11107"/>
    <tableColumn id="3" xr3:uid="{00000000-0010-0000-8900-000003000000}" name="KSI_PMS" totalsRowFunction="sum" dataDxfId="11106" totalsRowDxfId="11105"/>
    <tableColumn id="4" xr3:uid="{00000000-0010-0000-8900-000004000000}" name="BUIPE_AGO" totalsRowFunction="sum" dataDxfId="11104" totalsRowDxfId="11103"/>
    <tableColumn id="5" xr3:uid="{00000000-0010-0000-8900-000005000000}" name="BUIPE_PMS" totalsRowFunction="sum" dataDxfId="11102" totalsRowDxfId="11101" dataCellStyle="Comma"/>
    <tableColumn id="6" xr3:uid="{00000000-0010-0000-8900-000006000000}" name="AKOSOMBO_AGO" totalsRowFunction="sum" dataDxfId="11100" totalsRowDxfId="11099"/>
    <tableColumn id="7" xr3:uid="{00000000-0010-0000-8900-000007000000}" name="DATE" dataDxfId="11098" totalsRowDxfId="11097">
      <calculatedColumnFormula>$G$3</calculatedColumnFormula>
    </tableColumn>
  </tableColumns>
  <tableStyleInfo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8A000000}" name="July21_2020" displayName="July21_2020" ref="B5:H19" totalsRowCount="1" headerRowDxfId="11096" headerRowBorderDxfId="11095" tableBorderDxfId="11094" totalsRowBorderDxfId="11093">
  <autoFilter ref="B5:H18" xr:uid="{00000000-0009-0000-0100-000011000000}"/>
  <sortState xmlns:xlrd2="http://schemas.microsoft.com/office/spreadsheetml/2017/richdata2" ref="B6:H18">
    <sortCondition ref="B6"/>
  </sortState>
  <tableColumns count="7">
    <tableColumn id="1" xr3:uid="{00000000-0010-0000-8A00-000001000000}" name="BDC LIST" totalsRowLabel="Total" dataDxfId="11092" totalsRowDxfId="11091"/>
    <tableColumn id="2" xr3:uid="{00000000-0010-0000-8A00-000002000000}" name="KSI_AGO" totalsRowFunction="sum" dataDxfId="11090" totalsRowDxfId="11089"/>
    <tableColumn id="3" xr3:uid="{00000000-0010-0000-8A00-000003000000}" name="KSI_PMS" totalsRowFunction="sum" dataDxfId="11088" totalsRowDxfId="11087"/>
    <tableColumn id="4" xr3:uid="{00000000-0010-0000-8A00-000004000000}" name="BUIPE_AGO" totalsRowFunction="sum" dataDxfId="11086" totalsRowDxfId="11085"/>
    <tableColumn id="5" xr3:uid="{00000000-0010-0000-8A00-000005000000}" name="BUIPE_PMS" totalsRowFunction="sum" dataDxfId="11084" totalsRowDxfId="11083" dataCellStyle="Comma"/>
    <tableColumn id="6" xr3:uid="{00000000-0010-0000-8A00-000006000000}" name="AKOSOMBO_AGO" totalsRowFunction="sum" dataDxfId="11082" totalsRowDxfId="11081"/>
    <tableColumn id="7" xr3:uid="{00000000-0010-0000-8A00-000007000000}" name="DATE" dataDxfId="11080" totalsRowDxfId="11079">
      <calculatedColumnFormula>$G$3</calculatedColumnFormula>
    </tableColumn>
  </tableColumns>
  <tableStyleInfo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8B000000}" name="July22_2020" displayName="July22_2020" ref="B5:H19" totalsRowCount="1" headerRowDxfId="11078" headerRowBorderDxfId="11077" tableBorderDxfId="11076" totalsRowBorderDxfId="11075">
  <autoFilter ref="B5:H18" xr:uid="{00000000-0009-0000-0100-000012000000}"/>
  <sortState xmlns:xlrd2="http://schemas.microsoft.com/office/spreadsheetml/2017/richdata2" ref="B6:H18">
    <sortCondition ref="B6"/>
  </sortState>
  <tableColumns count="7">
    <tableColumn id="1" xr3:uid="{00000000-0010-0000-8B00-000001000000}" name="BDC LIST" totalsRowLabel="Total" dataDxfId="11074" totalsRowDxfId="11073"/>
    <tableColumn id="2" xr3:uid="{00000000-0010-0000-8B00-000002000000}" name="KSI_AGO" totalsRowFunction="sum" dataDxfId="11072" totalsRowDxfId="11071"/>
    <tableColumn id="3" xr3:uid="{00000000-0010-0000-8B00-000003000000}" name="KSI_PMS" totalsRowFunction="sum" dataDxfId="11070" totalsRowDxfId="11069"/>
    <tableColumn id="4" xr3:uid="{00000000-0010-0000-8B00-000004000000}" name="BUIPE_AGO" totalsRowFunction="sum" dataDxfId="11068" totalsRowDxfId="11067"/>
    <tableColumn id="5" xr3:uid="{00000000-0010-0000-8B00-000005000000}" name="BUIPE_PMS" totalsRowFunction="sum" dataDxfId="11066" totalsRowDxfId="11065" dataCellStyle="Comma"/>
    <tableColumn id="6" xr3:uid="{00000000-0010-0000-8B00-000006000000}" name="AKOSOMBO_AGO" totalsRowFunction="sum" dataDxfId="11064" totalsRowDxfId="11063"/>
    <tableColumn id="7" xr3:uid="{00000000-0010-0000-8B00-000007000000}" name="DATE" dataDxfId="11062" totalsRowDxfId="11061">
      <calculatedColumnFormula>$G$3</calculatedColumnFormula>
    </tableColumn>
  </tableColumns>
  <tableStyleInfo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8C000000}" name="July23_2020" displayName="July23_2020" ref="B5:H19" totalsRowCount="1" headerRowDxfId="11060" headerRowBorderDxfId="11059" tableBorderDxfId="11058" totalsRowBorderDxfId="11057">
  <autoFilter ref="B5:H18" xr:uid="{00000000-0009-0000-0100-000013000000}"/>
  <sortState xmlns:xlrd2="http://schemas.microsoft.com/office/spreadsheetml/2017/richdata2" ref="B6:H18">
    <sortCondition ref="B6"/>
  </sortState>
  <tableColumns count="7">
    <tableColumn id="1" xr3:uid="{00000000-0010-0000-8C00-000001000000}" name="BDC LIST" totalsRowLabel="Total" dataDxfId="11056" totalsRowDxfId="11055"/>
    <tableColumn id="2" xr3:uid="{00000000-0010-0000-8C00-000002000000}" name="KSI_AGO" totalsRowFunction="sum" dataDxfId="11054" totalsRowDxfId="11053"/>
    <tableColumn id="3" xr3:uid="{00000000-0010-0000-8C00-000003000000}" name="KSI_PMS" totalsRowFunction="sum" dataDxfId="11052" totalsRowDxfId="11051"/>
    <tableColumn id="4" xr3:uid="{00000000-0010-0000-8C00-000004000000}" name="BUIPE_AGO" totalsRowFunction="sum" dataDxfId="11050" totalsRowDxfId="11049"/>
    <tableColumn id="5" xr3:uid="{00000000-0010-0000-8C00-000005000000}" name="BUIPE_PMS" totalsRowFunction="sum" dataDxfId="11048" totalsRowDxfId="11047" dataCellStyle="Comma"/>
    <tableColumn id="6" xr3:uid="{00000000-0010-0000-8C00-000006000000}" name="AKOSOMBO_AGO" totalsRowFunction="sum" dataDxfId="11046" totalsRowDxfId="11045"/>
    <tableColumn id="7" xr3:uid="{00000000-0010-0000-8C00-000007000000}" name="DATE" dataDxfId="11044" totalsRowDxfId="11043">
      <calculatedColumnFormula>$G$3</calculatedColumnFormula>
    </tableColumn>
  </tableColumns>
  <tableStyleInfo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8D000000}" name="July24_2020" displayName="July24_2020" ref="B5:H19" totalsRowCount="1" headerRowDxfId="11042" headerRowBorderDxfId="11041" tableBorderDxfId="11040" totalsRowBorderDxfId="11039">
  <autoFilter ref="B5:H18" xr:uid="{00000000-0009-0000-0100-000014000000}"/>
  <sortState xmlns:xlrd2="http://schemas.microsoft.com/office/spreadsheetml/2017/richdata2" ref="B6:H18">
    <sortCondition ref="B6"/>
  </sortState>
  <tableColumns count="7">
    <tableColumn id="1" xr3:uid="{00000000-0010-0000-8D00-000001000000}" name="BDC LIST" totalsRowLabel="Total" dataDxfId="11038" totalsRowDxfId="11037"/>
    <tableColumn id="2" xr3:uid="{00000000-0010-0000-8D00-000002000000}" name="KSI_AGO" totalsRowFunction="sum" dataDxfId="11036" totalsRowDxfId="11035"/>
    <tableColumn id="3" xr3:uid="{00000000-0010-0000-8D00-000003000000}" name="KSI_PMS" totalsRowFunction="sum" dataDxfId="11034" totalsRowDxfId="11033"/>
    <tableColumn id="4" xr3:uid="{00000000-0010-0000-8D00-000004000000}" name="BUIPE_AGO" totalsRowFunction="sum" dataDxfId="11032" totalsRowDxfId="11031"/>
    <tableColumn id="5" xr3:uid="{00000000-0010-0000-8D00-000005000000}" name="BUIPE_PMS" totalsRowFunction="sum" dataDxfId="11030" totalsRowDxfId="11029" dataCellStyle="Comma"/>
    <tableColumn id="6" xr3:uid="{00000000-0010-0000-8D00-000006000000}" name="AKOSOMBO_AGO" totalsRowFunction="sum" dataDxfId="11028" totalsRowDxfId="11027"/>
    <tableColumn id="7" xr3:uid="{00000000-0010-0000-8D00-000007000000}" name="DATE" dataDxfId="11026" totalsRowDxfId="11025">
      <calculatedColumnFormula>$G$3</calculatedColumnFormula>
    </tableColumn>
  </tableColumns>
  <tableStyleInfo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8E000000}" name="July25_2020" displayName="July25_2020" ref="B5:H19" totalsRowCount="1" headerRowDxfId="11024" headerRowBorderDxfId="11023" tableBorderDxfId="11022" totalsRowBorderDxfId="11021">
  <autoFilter ref="B5:H18" xr:uid="{00000000-0009-0000-0100-000015000000}"/>
  <sortState xmlns:xlrd2="http://schemas.microsoft.com/office/spreadsheetml/2017/richdata2" ref="B6:H18">
    <sortCondition ref="B6"/>
  </sortState>
  <tableColumns count="7">
    <tableColumn id="1" xr3:uid="{00000000-0010-0000-8E00-000001000000}" name="BDC LIST" totalsRowLabel="Total" dataDxfId="11020" totalsRowDxfId="11019"/>
    <tableColumn id="2" xr3:uid="{00000000-0010-0000-8E00-000002000000}" name="KSI_AGO" totalsRowFunction="sum" dataDxfId="11018" totalsRowDxfId="11017"/>
    <tableColumn id="3" xr3:uid="{00000000-0010-0000-8E00-000003000000}" name="KSI_PMS" totalsRowFunction="sum" dataDxfId="11016" totalsRowDxfId="11015"/>
    <tableColumn id="4" xr3:uid="{00000000-0010-0000-8E00-000004000000}" name="BUIPE_AGO" totalsRowFunction="sum" dataDxfId="11014" totalsRowDxfId="11013"/>
    <tableColumn id="5" xr3:uid="{00000000-0010-0000-8E00-000005000000}" name="BUIPE_PMS" totalsRowFunction="sum" dataDxfId="11012" totalsRowDxfId="11011" dataCellStyle="Comma"/>
    <tableColumn id="6" xr3:uid="{00000000-0010-0000-8E00-000006000000}" name="AKOSOMBO_AGO" totalsRowFunction="sum" dataDxfId="11010" totalsRowDxfId="11009"/>
    <tableColumn id="7" xr3:uid="{00000000-0010-0000-8E00-000007000000}" name="DATE" dataDxfId="11008" totalsRowDxfId="11007">
      <calculatedColumnFormula>$G$3</calculatedColumnFormula>
    </tableColumn>
  </tableColumns>
  <tableStyleInfo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8F000000}" name="July27_2020" displayName="July27_2020" ref="B5:H19" totalsRowCount="1" headerRowDxfId="11006" headerRowBorderDxfId="11005" tableBorderDxfId="11004" totalsRowBorderDxfId="11003">
  <autoFilter ref="B5:H18" xr:uid="{00000000-0009-0000-0100-000016000000}"/>
  <sortState xmlns:xlrd2="http://schemas.microsoft.com/office/spreadsheetml/2017/richdata2" ref="B6:H18">
    <sortCondition ref="B6"/>
  </sortState>
  <tableColumns count="7">
    <tableColumn id="1" xr3:uid="{00000000-0010-0000-8F00-000001000000}" name="BDC LIST" totalsRowLabel="Total" dataDxfId="11002" totalsRowDxfId="11001"/>
    <tableColumn id="2" xr3:uid="{00000000-0010-0000-8F00-000002000000}" name="KSI_AGO" totalsRowFunction="sum" dataDxfId="11000" totalsRowDxfId="10999"/>
    <tableColumn id="3" xr3:uid="{00000000-0010-0000-8F00-000003000000}" name="KSI_PMS" totalsRowFunction="sum" dataDxfId="10998" totalsRowDxfId="10997"/>
    <tableColumn id="4" xr3:uid="{00000000-0010-0000-8F00-000004000000}" name="BUIPE_AGO" totalsRowFunction="sum" dataDxfId="10996" totalsRowDxfId="10995"/>
    <tableColumn id="5" xr3:uid="{00000000-0010-0000-8F00-000005000000}" name="BUIPE_PMS" totalsRowFunction="sum" dataDxfId="10994" totalsRowDxfId="10993" dataCellStyle="Comma"/>
    <tableColumn id="6" xr3:uid="{00000000-0010-0000-8F00-000006000000}" name="AKOSOMBO_AGO" totalsRowFunction="sum" dataDxfId="10992" totalsRowDxfId="10991"/>
    <tableColumn id="7" xr3:uid="{00000000-0010-0000-8F00-000007000000}" name="DATE" dataDxfId="10990" totalsRowDxfId="10989">
      <calculatedColumnFormula>$G$3</calculatedColumnFormula>
    </tableColumn>
  </tableColumns>
  <tableStyleInfo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90000000}" name="July28_2020" displayName="July28_2020" ref="B5:H19" totalsRowCount="1" headerRowDxfId="10988" headerRowBorderDxfId="10987" tableBorderDxfId="10986" totalsRowBorderDxfId="10985">
  <autoFilter ref="B5:H18" xr:uid="{00000000-0009-0000-0100-000017000000}"/>
  <sortState xmlns:xlrd2="http://schemas.microsoft.com/office/spreadsheetml/2017/richdata2" ref="B6:H18">
    <sortCondition ref="B6"/>
  </sortState>
  <tableColumns count="7">
    <tableColumn id="1" xr3:uid="{00000000-0010-0000-9000-000001000000}" name="BDC LIST" totalsRowLabel="Total" dataDxfId="10984" totalsRowDxfId="10983"/>
    <tableColumn id="2" xr3:uid="{00000000-0010-0000-9000-000002000000}" name="KSI_AGO" totalsRowFunction="sum" dataDxfId="10982" totalsRowDxfId="10981"/>
    <tableColumn id="3" xr3:uid="{00000000-0010-0000-9000-000003000000}" name="KSI_PMS" totalsRowFunction="sum" dataDxfId="10980" totalsRowDxfId="10979"/>
    <tableColumn id="4" xr3:uid="{00000000-0010-0000-9000-000004000000}" name="BUIPE_AGO" totalsRowFunction="sum" dataDxfId="10978" totalsRowDxfId="10977"/>
    <tableColumn id="5" xr3:uid="{00000000-0010-0000-9000-000005000000}" name="BUIPE_PMS" totalsRowFunction="sum" dataDxfId="10976" totalsRowDxfId="10975" dataCellStyle="Comma"/>
    <tableColumn id="6" xr3:uid="{00000000-0010-0000-9000-000006000000}" name="AKOSOMBO_AGO" totalsRowFunction="sum" dataDxfId="10974" totalsRowDxfId="10973"/>
    <tableColumn id="7" xr3:uid="{00000000-0010-0000-9000-000007000000}" name="DATE" dataDxfId="10972" totalsRowDxfId="10971">
      <calculatedColumnFormula>$G$3</calculatedColumnFormula>
    </tableColumn>
  </tableColumns>
  <tableStyleInfo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91000000}" name="July29_2020" displayName="July29_2020" ref="B5:H19" totalsRowCount="1" headerRowDxfId="10970" headerRowBorderDxfId="10969" tableBorderDxfId="10968" totalsRowBorderDxfId="10967">
  <autoFilter ref="B5:H18" xr:uid="{00000000-0009-0000-0100-000018000000}"/>
  <sortState xmlns:xlrd2="http://schemas.microsoft.com/office/spreadsheetml/2017/richdata2" ref="B6:H18">
    <sortCondition ref="B6"/>
  </sortState>
  <tableColumns count="7">
    <tableColumn id="1" xr3:uid="{00000000-0010-0000-9100-000001000000}" name="BDC LIST" totalsRowLabel="Total" dataDxfId="10966" totalsRowDxfId="10965"/>
    <tableColumn id="2" xr3:uid="{00000000-0010-0000-9100-000002000000}" name="KSI_AGO" totalsRowFunction="sum" dataDxfId="10964" totalsRowDxfId="10963"/>
    <tableColumn id="3" xr3:uid="{00000000-0010-0000-9100-000003000000}" name="KSI_PMS" totalsRowFunction="sum" dataDxfId="10962" totalsRowDxfId="10961"/>
    <tableColumn id="4" xr3:uid="{00000000-0010-0000-9100-000004000000}" name="BUIPE_AGO" totalsRowFunction="sum" dataDxfId="10960" totalsRowDxfId="10959"/>
    <tableColumn id="5" xr3:uid="{00000000-0010-0000-9100-000005000000}" name="BUIPE_PMS" totalsRowFunction="sum" dataDxfId="10958" totalsRowDxfId="10957" dataCellStyle="Comma"/>
    <tableColumn id="6" xr3:uid="{00000000-0010-0000-9100-000006000000}" name="AKOSOMBO_AGO" totalsRowFunction="sum" dataDxfId="10956" totalsRowDxfId="10955"/>
    <tableColumn id="7" xr3:uid="{00000000-0010-0000-9100-000007000000}" name="DATE" dataDxfId="10954" totalsRowDxfId="10953">
      <calculatedColumnFormula>$G$3</calculatedColumnFormula>
    </tableColumn>
  </tableColumns>
  <tableStyleInfo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92000000}" name="July30_2020" displayName="July30_2020" ref="B5:H19" totalsRowCount="1" headerRowDxfId="10952" headerRowBorderDxfId="10951" tableBorderDxfId="10950" totalsRowBorderDxfId="10949">
  <autoFilter ref="B5:H18" xr:uid="{00000000-0009-0000-0100-000030000000}"/>
  <sortState xmlns:xlrd2="http://schemas.microsoft.com/office/spreadsheetml/2017/richdata2" ref="B6:H18">
    <sortCondition ref="B6"/>
  </sortState>
  <tableColumns count="7">
    <tableColumn id="1" xr3:uid="{00000000-0010-0000-9200-000001000000}" name="BDC LIST" totalsRowLabel="Total" dataDxfId="10948" totalsRowDxfId="10947"/>
    <tableColumn id="2" xr3:uid="{00000000-0010-0000-9200-000002000000}" name="KSI_AGO" totalsRowFunction="sum" dataDxfId="10946" totalsRowDxfId="10945"/>
    <tableColumn id="3" xr3:uid="{00000000-0010-0000-9200-000003000000}" name="KSI_PMS" totalsRowFunction="sum" dataDxfId="10944" totalsRowDxfId="10943"/>
    <tableColumn id="4" xr3:uid="{00000000-0010-0000-9200-000004000000}" name="BUIPE_AGO" totalsRowFunction="sum" dataDxfId="10942" totalsRowDxfId="10941"/>
    <tableColumn id="5" xr3:uid="{00000000-0010-0000-9200-000005000000}" name="BUIPE_PMS" totalsRowFunction="sum" dataDxfId="10940" totalsRowDxfId="10939" dataCellStyle="Comma"/>
    <tableColumn id="6" xr3:uid="{00000000-0010-0000-9200-000006000000}" name="AKOSOMBO_AGO" totalsRowFunction="sum" dataDxfId="10938" totalsRowDxfId="10937"/>
    <tableColumn id="7" xr3:uid="{00000000-0010-0000-9200-000007000000}" name="DATE" dataDxfId="10936" totalsRowDxfId="10935">
      <calculatedColumnFormula>$G$3</calculatedColumnFormula>
    </tableColumn>
  </tableColumns>
  <tableStyleInfo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93000000}" name="August05_2020" displayName="August05_2020" ref="B5:H19" totalsRowCount="1" headerRowDxfId="10934" headerRowBorderDxfId="10933" tableBorderDxfId="10932" totalsRowBorderDxfId="10931">
  <autoFilter ref="B5:H18" xr:uid="{00000000-0009-0000-0100-00001A000000}"/>
  <sortState xmlns:xlrd2="http://schemas.microsoft.com/office/spreadsheetml/2017/richdata2" ref="B6:H18">
    <sortCondition ref="B6"/>
  </sortState>
  <tableColumns count="7">
    <tableColumn id="1" xr3:uid="{00000000-0010-0000-9300-000001000000}" name="BDC LIST" totalsRowLabel="Total" dataDxfId="10930" totalsRowDxfId="10929"/>
    <tableColumn id="2" xr3:uid="{00000000-0010-0000-9300-000002000000}" name="KSI_AGO" totalsRowFunction="sum" dataDxfId="10928" totalsRowDxfId="10927"/>
    <tableColumn id="3" xr3:uid="{00000000-0010-0000-9300-000003000000}" name="KSI_PMS" totalsRowFunction="sum" dataDxfId="10926" totalsRowDxfId="10925"/>
    <tableColumn id="4" xr3:uid="{00000000-0010-0000-9300-000004000000}" name="BUIPE_AGO" totalsRowFunction="sum" dataDxfId="10924" totalsRowDxfId="10923"/>
    <tableColumn id="5" xr3:uid="{00000000-0010-0000-9300-000005000000}" name="BUIPE_PMS" totalsRowFunction="sum" dataDxfId="10922" totalsRowDxfId="10921" dataCellStyle="Comma"/>
    <tableColumn id="6" xr3:uid="{00000000-0010-0000-9300-000006000000}" name="AKOSOMBO_AGO" totalsRowFunction="sum" dataDxfId="10920" totalsRowDxfId="10919"/>
    <tableColumn id="7" xr3:uid="{00000000-0010-0000-9300-000007000000}" name="DATE" dataDxfId="10918" totalsRowDxfId="10917">
      <calculatedColumnFormula>$G$3</calculatedColumnFormula>
    </tableColumn>
  </tableColumns>
  <tableStyleInfo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94000000}" name="August06_2020" displayName="August06_2020" ref="B5:H19" totalsRowCount="1" headerRowDxfId="10916" headerRowBorderDxfId="10915" tableBorderDxfId="10914" totalsRowBorderDxfId="10913">
  <autoFilter ref="B5:H18" xr:uid="{00000000-0009-0000-0100-00001B000000}"/>
  <sortState xmlns:xlrd2="http://schemas.microsoft.com/office/spreadsheetml/2017/richdata2" ref="B6:H18">
    <sortCondition ref="B6"/>
  </sortState>
  <tableColumns count="7">
    <tableColumn id="1" xr3:uid="{00000000-0010-0000-9400-000001000000}" name="BDC LIST" totalsRowLabel="Total" dataDxfId="10912" totalsRowDxfId="10911"/>
    <tableColumn id="2" xr3:uid="{00000000-0010-0000-9400-000002000000}" name="KSI_AGO" totalsRowFunction="sum" dataDxfId="10910" totalsRowDxfId="10909"/>
    <tableColumn id="3" xr3:uid="{00000000-0010-0000-9400-000003000000}" name="KSI_PMS" totalsRowFunction="sum" dataDxfId="10908" totalsRowDxfId="10907"/>
    <tableColumn id="4" xr3:uid="{00000000-0010-0000-9400-000004000000}" name="BUIPE_AGO" totalsRowFunction="sum" dataDxfId="10906" totalsRowDxfId="10905"/>
    <tableColumn id="5" xr3:uid="{00000000-0010-0000-9400-000005000000}" name="BUIPE_PMS" totalsRowFunction="sum" dataDxfId="10904" totalsRowDxfId="10903" dataCellStyle="Comma"/>
    <tableColumn id="6" xr3:uid="{00000000-0010-0000-9400-000006000000}" name="AKOSOMBO_AGO" totalsRowFunction="sum" dataDxfId="10902" totalsRowDxfId="10901"/>
    <tableColumn id="7" xr3:uid="{00000000-0010-0000-9400-000007000000}" name="DATE" dataDxfId="10900" totalsRowDxfId="10899">
      <calculatedColumnFormula>$G$3</calculatedColumnFormula>
    </tableColumn>
  </tableColumns>
  <tableStyleInfo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95000000}" name="August07_2020" displayName="August07_2020" ref="B5:H19" totalsRowCount="1" headerRowDxfId="10898" headerRowBorderDxfId="10897" tableBorderDxfId="10896" totalsRowBorderDxfId="10895">
  <autoFilter ref="B5:H18" xr:uid="{00000000-0009-0000-0100-00001C000000}"/>
  <sortState xmlns:xlrd2="http://schemas.microsoft.com/office/spreadsheetml/2017/richdata2" ref="B6:H18">
    <sortCondition ref="B6"/>
  </sortState>
  <tableColumns count="7">
    <tableColumn id="1" xr3:uid="{00000000-0010-0000-9500-000001000000}" name="BDC LIST" totalsRowLabel="Total" dataDxfId="10894" totalsRowDxfId="10893"/>
    <tableColumn id="2" xr3:uid="{00000000-0010-0000-9500-000002000000}" name="KSI_AGO" totalsRowFunction="sum" dataDxfId="10892" totalsRowDxfId="10891"/>
    <tableColumn id="3" xr3:uid="{00000000-0010-0000-9500-000003000000}" name="KSI_PMS" totalsRowFunction="sum" dataDxfId="10890" totalsRowDxfId="10889"/>
    <tableColumn id="4" xr3:uid="{00000000-0010-0000-9500-000004000000}" name="BUIPE_AGO" totalsRowFunction="sum" dataDxfId="10888" totalsRowDxfId="10887"/>
    <tableColumn id="5" xr3:uid="{00000000-0010-0000-9500-000005000000}" name="BUIPE_PMS" totalsRowFunction="sum" dataDxfId="10886" totalsRowDxfId="10885" dataCellStyle="Comma"/>
    <tableColumn id="6" xr3:uid="{00000000-0010-0000-9500-000006000000}" name="AKOSOMBO_AGO" totalsRowFunction="sum" dataDxfId="10884" totalsRowDxfId="10883"/>
    <tableColumn id="7" xr3:uid="{00000000-0010-0000-9500-000007000000}" name="DATE" dataDxfId="10882" totalsRowDxfId="10881">
      <calculatedColumnFormula>$G$3</calculatedColumnFormula>
    </tableColumn>
  </tableColumns>
  <tableStyleInfo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96000000}" name="August08_2020" displayName="August08_2020" ref="B5:H19" totalsRowCount="1" headerRowDxfId="10880" headerRowBorderDxfId="10879" tableBorderDxfId="10878" totalsRowBorderDxfId="10877">
  <autoFilter ref="B5:H18" xr:uid="{00000000-0009-0000-0100-00001D000000}"/>
  <sortState xmlns:xlrd2="http://schemas.microsoft.com/office/spreadsheetml/2017/richdata2" ref="B6:H18">
    <sortCondition ref="B6"/>
  </sortState>
  <tableColumns count="7">
    <tableColumn id="1" xr3:uid="{00000000-0010-0000-9600-000001000000}" name="BDC LIST" totalsRowLabel="Total" dataDxfId="10876" totalsRowDxfId="10875"/>
    <tableColumn id="2" xr3:uid="{00000000-0010-0000-9600-000002000000}" name="KSI_AGO" totalsRowFunction="sum" dataDxfId="10874" totalsRowDxfId="10873"/>
    <tableColumn id="3" xr3:uid="{00000000-0010-0000-9600-000003000000}" name="KSI_PMS" totalsRowFunction="sum" dataDxfId="10872" totalsRowDxfId="10871"/>
    <tableColumn id="4" xr3:uid="{00000000-0010-0000-9600-000004000000}" name="BUIPE_AGO" totalsRowFunction="sum" dataDxfId="10870" totalsRowDxfId="10869"/>
    <tableColumn id="5" xr3:uid="{00000000-0010-0000-9600-000005000000}" name="BUIPE_PMS" totalsRowFunction="sum" dataDxfId="10868" totalsRowDxfId="10867" dataCellStyle="Comma"/>
    <tableColumn id="6" xr3:uid="{00000000-0010-0000-9600-000006000000}" name="AKOSOMBO_AGO" totalsRowFunction="sum" dataDxfId="10866" totalsRowDxfId="10865"/>
    <tableColumn id="7" xr3:uid="{00000000-0010-0000-9600-000007000000}" name="DATE" dataDxfId="10864" totalsRowDxfId="10863">
      <calculatedColumnFormula>$G$3</calculatedColumnFormula>
    </tableColumn>
  </tableColumns>
  <tableStyleInfo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97000000}" name="August10_2020" displayName="August10_2020" ref="B5:H20" totalsRowCount="1" headerRowDxfId="10862" headerRowBorderDxfId="10861" tableBorderDxfId="10860" totalsRowBorderDxfId="10859">
  <autoFilter ref="B5:H19" xr:uid="{00000000-0009-0000-0100-00001E000000}"/>
  <sortState xmlns:xlrd2="http://schemas.microsoft.com/office/spreadsheetml/2017/richdata2" ref="B6:H19">
    <sortCondition ref="B6"/>
  </sortState>
  <tableColumns count="7">
    <tableColumn id="1" xr3:uid="{00000000-0010-0000-9700-000001000000}" name="BDC LIST" totalsRowLabel="Total" dataDxfId="10858" totalsRowDxfId="10857"/>
    <tableColumn id="2" xr3:uid="{00000000-0010-0000-9700-000002000000}" name="KSI_AGO" totalsRowFunction="sum" dataDxfId="10856" totalsRowDxfId="10855"/>
    <tableColumn id="3" xr3:uid="{00000000-0010-0000-9700-000003000000}" name="KSI_PMS" totalsRowFunction="sum" dataDxfId="10854" totalsRowDxfId="10853"/>
    <tableColumn id="4" xr3:uid="{00000000-0010-0000-9700-000004000000}" name="BUIPE_AGO" totalsRowFunction="sum" dataDxfId="10852" totalsRowDxfId="10851"/>
    <tableColumn id="5" xr3:uid="{00000000-0010-0000-9700-000005000000}" name="BUIPE_PMS" totalsRowFunction="sum" dataDxfId="10850" totalsRowDxfId="10849" dataCellStyle="Comma"/>
    <tableColumn id="6" xr3:uid="{00000000-0010-0000-9700-000006000000}" name="AKOSOMBO_AGO" totalsRowFunction="sum" dataDxfId="10848" totalsRowDxfId="10847"/>
    <tableColumn id="7" xr3:uid="{00000000-0010-0000-9700-000007000000}" name="DATE" dataDxfId="10846" totalsRowDxfId="10845">
      <calculatedColumnFormula>$G$3</calculatedColumnFormula>
    </tableColumn>
  </tableColumns>
  <tableStyleInfo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98000000}" name="August11_2020" displayName="August11_2020" ref="B5:H20" totalsRowCount="1" headerRowDxfId="10844" headerRowBorderDxfId="10843" tableBorderDxfId="10842" totalsRowBorderDxfId="10841">
  <autoFilter ref="B5:H19" xr:uid="{00000000-0009-0000-0100-00001F000000}"/>
  <sortState xmlns:xlrd2="http://schemas.microsoft.com/office/spreadsheetml/2017/richdata2" ref="B6:H19">
    <sortCondition ref="B6"/>
  </sortState>
  <tableColumns count="7">
    <tableColumn id="1" xr3:uid="{00000000-0010-0000-9800-000001000000}" name="BDC LIST" totalsRowLabel="Total" dataDxfId="10840" totalsRowDxfId="10839"/>
    <tableColumn id="2" xr3:uid="{00000000-0010-0000-9800-000002000000}" name="KSI_AGO" totalsRowFunction="sum" dataDxfId="10838" totalsRowDxfId="10837"/>
    <tableColumn id="3" xr3:uid="{00000000-0010-0000-9800-000003000000}" name="KSI_PMS" totalsRowFunction="sum" dataDxfId="10836" totalsRowDxfId="10835"/>
    <tableColumn id="4" xr3:uid="{00000000-0010-0000-9800-000004000000}" name="BUIPE_AGO" totalsRowFunction="sum" dataDxfId="10834" totalsRowDxfId="10833"/>
    <tableColumn id="5" xr3:uid="{00000000-0010-0000-9800-000005000000}" name="BUIPE_PMS" totalsRowFunction="sum" dataDxfId="10832" totalsRowDxfId="10831" dataCellStyle="Comma"/>
    <tableColumn id="6" xr3:uid="{00000000-0010-0000-9800-000006000000}" name="AKOSOMBO_AGO" totalsRowFunction="sum" dataDxfId="10830" totalsRowDxfId="10829"/>
    <tableColumn id="7" xr3:uid="{00000000-0010-0000-9800-000007000000}" name="DATE" dataDxfId="10828" totalsRowDxfId="10827">
      <calculatedColumnFormula>$G$3</calculatedColumnFormula>
    </tableColumn>
  </tableColumns>
  <tableStyleInfo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99000000}" name="August12_2020" displayName="August12_2020" ref="B5:H20" totalsRowCount="1" headerRowDxfId="10826" headerRowBorderDxfId="10825" tableBorderDxfId="10824" totalsRowBorderDxfId="10823">
  <autoFilter ref="B5:H19" xr:uid="{00000000-0009-0000-0100-000020000000}"/>
  <sortState xmlns:xlrd2="http://schemas.microsoft.com/office/spreadsheetml/2017/richdata2" ref="B6:H19">
    <sortCondition ref="B6"/>
  </sortState>
  <tableColumns count="7">
    <tableColumn id="1" xr3:uid="{00000000-0010-0000-9900-000001000000}" name="BDC LIST" totalsRowLabel="Total" dataDxfId="10822" totalsRowDxfId="10821"/>
    <tableColumn id="2" xr3:uid="{00000000-0010-0000-9900-000002000000}" name="KSI_AGO" totalsRowFunction="sum" dataDxfId="10820" totalsRowDxfId="10819"/>
    <tableColumn id="3" xr3:uid="{00000000-0010-0000-9900-000003000000}" name="KSI_PMS" totalsRowFunction="sum" dataDxfId="10818" totalsRowDxfId="10817"/>
    <tableColumn id="4" xr3:uid="{00000000-0010-0000-9900-000004000000}" name="BUIPE_AGO" totalsRowFunction="sum" dataDxfId="10816" totalsRowDxfId="10815"/>
    <tableColumn id="5" xr3:uid="{00000000-0010-0000-9900-000005000000}" name="BUIPE_PMS" totalsRowFunction="sum" dataDxfId="10814" totalsRowDxfId="10813" dataCellStyle="Comma"/>
    <tableColumn id="6" xr3:uid="{00000000-0010-0000-9900-000006000000}" name="AKOSOMBO_AGO" totalsRowFunction="sum" dataDxfId="10812" totalsRowDxfId="10811"/>
    <tableColumn id="7" xr3:uid="{00000000-0010-0000-9900-000007000000}" name="DATE" dataDxfId="10810" totalsRowDxfId="10809">
      <calculatedColumnFormula>$G$3</calculatedColumnFormula>
    </tableColumn>
  </tableColumns>
  <tableStyleInfo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9A000000}" name="August13_2020" displayName="August13_2020" ref="B5:H20" totalsRowCount="1" headerRowDxfId="10808" headerRowBorderDxfId="10807" tableBorderDxfId="10806" totalsRowBorderDxfId="10805">
  <autoFilter ref="B5:H19" xr:uid="{00000000-0009-0000-0100-000021000000}"/>
  <sortState xmlns:xlrd2="http://schemas.microsoft.com/office/spreadsheetml/2017/richdata2" ref="B6:H19">
    <sortCondition ref="B6"/>
  </sortState>
  <tableColumns count="7">
    <tableColumn id="1" xr3:uid="{00000000-0010-0000-9A00-000001000000}" name="BDC LIST" totalsRowLabel="Total" dataDxfId="10804" totalsRowDxfId="10803"/>
    <tableColumn id="2" xr3:uid="{00000000-0010-0000-9A00-000002000000}" name="KSI_AGO" totalsRowFunction="sum" dataDxfId="10802" totalsRowDxfId="10801"/>
    <tableColumn id="3" xr3:uid="{00000000-0010-0000-9A00-000003000000}" name="KSI_PMS" totalsRowFunction="sum" dataDxfId="10800" totalsRowDxfId="10799"/>
    <tableColumn id="4" xr3:uid="{00000000-0010-0000-9A00-000004000000}" name="BUIPE_AGO" totalsRowFunction="sum" dataDxfId="10798" totalsRowDxfId="10797"/>
    <tableColumn id="5" xr3:uid="{00000000-0010-0000-9A00-000005000000}" name="BUIPE_PMS" totalsRowFunction="sum" dataDxfId="10796" totalsRowDxfId="10795" dataCellStyle="Comma"/>
    <tableColumn id="6" xr3:uid="{00000000-0010-0000-9A00-000006000000}" name="AKOSOMBO_AGO" totalsRowFunction="sum" dataDxfId="10794" totalsRowDxfId="10793"/>
    <tableColumn id="7" xr3:uid="{00000000-0010-0000-9A00-000007000000}" name="DATE" dataDxfId="10792" totalsRowDxfId="10791">
      <calculatedColumnFormula>$G$3</calculatedColumnFormula>
    </tableColumn>
  </tableColumns>
  <tableStyleInfo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9B000000}" name="August14_2020" displayName="August14_2020" ref="B5:H20" totalsRowCount="1" headerRowDxfId="10790" headerRowBorderDxfId="10789" tableBorderDxfId="10788" totalsRowBorderDxfId="10787">
  <autoFilter ref="B5:H19" xr:uid="{00000000-0009-0000-0100-000022000000}"/>
  <sortState xmlns:xlrd2="http://schemas.microsoft.com/office/spreadsheetml/2017/richdata2" ref="B6:H19">
    <sortCondition ref="B6"/>
  </sortState>
  <tableColumns count="7">
    <tableColumn id="1" xr3:uid="{00000000-0010-0000-9B00-000001000000}" name="BDC LIST" totalsRowLabel="Total" dataDxfId="10786" totalsRowDxfId="10785"/>
    <tableColumn id="2" xr3:uid="{00000000-0010-0000-9B00-000002000000}" name="KSI_AGO" totalsRowFunction="sum" dataDxfId="10784" totalsRowDxfId="10783"/>
    <tableColumn id="3" xr3:uid="{00000000-0010-0000-9B00-000003000000}" name="KSI_PMS" totalsRowFunction="sum" dataDxfId="10782" totalsRowDxfId="10781"/>
    <tableColumn id="4" xr3:uid="{00000000-0010-0000-9B00-000004000000}" name="BUIPE_AGO" totalsRowFunction="sum" dataDxfId="10780" totalsRowDxfId="10779"/>
    <tableColumn id="5" xr3:uid="{00000000-0010-0000-9B00-000005000000}" name="BUIPE_PMS" totalsRowFunction="sum" dataDxfId="10778" totalsRowDxfId="10777" dataCellStyle="Comma"/>
    <tableColumn id="6" xr3:uid="{00000000-0010-0000-9B00-000006000000}" name="AKOSOMBO_AGO" totalsRowFunction="sum" dataDxfId="10776" totalsRowDxfId="10775"/>
    <tableColumn id="7" xr3:uid="{00000000-0010-0000-9B00-000007000000}" name="DATE" dataDxfId="10774" totalsRowDxfId="10773">
      <calculatedColumnFormula>$G$3</calculatedColumnFormula>
    </tableColumn>
  </tableColumns>
  <tableStyleInfo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9C000000}" name="August15_2020" displayName="August15_2020" ref="B5:H20" totalsRowCount="1" headerRowDxfId="10772" headerRowBorderDxfId="10771" tableBorderDxfId="10770" totalsRowBorderDxfId="10769">
  <autoFilter ref="B5:H19" xr:uid="{00000000-0009-0000-0100-000023000000}"/>
  <sortState xmlns:xlrd2="http://schemas.microsoft.com/office/spreadsheetml/2017/richdata2" ref="B6:H19">
    <sortCondition ref="B6"/>
  </sortState>
  <tableColumns count="7">
    <tableColumn id="1" xr3:uid="{00000000-0010-0000-9C00-000001000000}" name="BDC LIST" totalsRowLabel="Total" dataDxfId="10768" totalsRowDxfId="10767"/>
    <tableColumn id="2" xr3:uid="{00000000-0010-0000-9C00-000002000000}" name="KSI_AGO" totalsRowFunction="sum" dataDxfId="10766" totalsRowDxfId="10765"/>
    <tableColumn id="3" xr3:uid="{00000000-0010-0000-9C00-000003000000}" name="KSI_PMS" totalsRowFunction="sum" dataDxfId="10764" totalsRowDxfId="10763"/>
    <tableColumn id="4" xr3:uid="{00000000-0010-0000-9C00-000004000000}" name="BUIPE_AGO" totalsRowFunction="sum" dataDxfId="10762" totalsRowDxfId="10761"/>
    <tableColumn id="5" xr3:uid="{00000000-0010-0000-9C00-000005000000}" name="BUIPE_PMS" totalsRowFunction="sum" dataDxfId="10760" totalsRowDxfId="10759" dataCellStyle="Comma"/>
    <tableColumn id="6" xr3:uid="{00000000-0010-0000-9C00-000006000000}" name="AKOSOMBO_AGO" totalsRowFunction="sum" dataDxfId="10758" totalsRowDxfId="10757"/>
    <tableColumn id="7" xr3:uid="{00000000-0010-0000-9C00-000007000000}" name="DATE" dataDxfId="10756" totalsRowDxfId="10755">
      <calculatedColumnFormula>$G$3</calculatedColumnFormula>
    </tableColumn>
  </tableColumns>
  <tableStyleInfo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9D000000}" name="August17_2020" displayName="August17_2020" ref="B5:H20" totalsRowCount="1" headerRowDxfId="10754" headerRowBorderDxfId="10753" tableBorderDxfId="10752" totalsRowBorderDxfId="10751">
  <autoFilter ref="B5:H19" xr:uid="{00000000-0009-0000-0100-000019000000}"/>
  <sortState xmlns:xlrd2="http://schemas.microsoft.com/office/spreadsheetml/2017/richdata2" ref="B6:H19">
    <sortCondition ref="B6"/>
  </sortState>
  <tableColumns count="7">
    <tableColumn id="1" xr3:uid="{00000000-0010-0000-9D00-000001000000}" name="BDC LIST" totalsRowLabel="Total" dataDxfId="10750" totalsRowDxfId="10749"/>
    <tableColumn id="2" xr3:uid="{00000000-0010-0000-9D00-000002000000}" name="KSI_AGO" totalsRowFunction="sum" dataDxfId="10748" totalsRowDxfId="10747"/>
    <tableColumn id="3" xr3:uid="{00000000-0010-0000-9D00-000003000000}" name="KSI_PMS" totalsRowFunction="sum" dataDxfId="10746" totalsRowDxfId="10745"/>
    <tableColumn id="4" xr3:uid="{00000000-0010-0000-9D00-000004000000}" name="BUIPE_AGO" totalsRowFunction="sum" dataDxfId="10744" totalsRowDxfId="10743"/>
    <tableColumn id="5" xr3:uid="{00000000-0010-0000-9D00-000005000000}" name="BUIPE_PMS" totalsRowFunction="sum" dataDxfId="10742" totalsRowDxfId="10741" dataCellStyle="Comma"/>
    <tableColumn id="6" xr3:uid="{00000000-0010-0000-9D00-000006000000}" name="AKOSOMBO_AGO" totalsRowFunction="sum" dataDxfId="10740" totalsRowDxfId="10739"/>
    <tableColumn id="7" xr3:uid="{00000000-0010-0000-9D00-000007000000}" name="DATE" dataDxfId="10738" totalsRowDxfId="10737">
      <calculatedColumnFormula>$G$3</calculatedColumnFormula>
    </tableColumn>
  </tableColumns>
  <tableStyleInfo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9E000000}" name="August18_2020" displayName="August18_2020" ref="B5:H20" totalsRowCount="1" headerRowDxfId="10736" headerRowBorderDxfId="10735" tableBorderDxfId="10734" totalsRowBorderDxfId="10733">
  <autoFilter ref="B5:H19" xr:uid="{00000000-0009-0000-0100-000024000000}"/>
  <sortState xmlns:xlrd2="http://schemas.microsoft.com/office/spreadsheetml/2017/richdata2" ref="B6:H19">
    <sortCondition ref="B6"/>
  </sortState>
  <tableColumns count="7">
    <tableColumn id="1" xr3:uid="{00000000-0010-0000-9E00-000001000000}" name="BDC LIST" totalsRowLabel="Total" dataDxfId="10732" totalsRowDxfId="10731"/>
    <tableColumn id="2" xr3:uid="{00000000-0010-0000-9E00-000002000000}" name="KSI_AGO" totalsRowFunction="sum" dataDxfId="10730" totalsRowDxfId="10729"/>
    <tableColumn id="3" xr3:uid="{00000000-0010-0000-9E00-000003000000}" name="KSI_PMS" totalsRowFunction="sum" dataDxfId="10728" totalsRowDxfId="10727"/>
    <tableColumn id="4" xr3:uid="{00000000-0010-0000-9E00-000004000000}" name="BUIPE_AGO" totalsRowFunction="sum" dataDxfId="10726" totalsRowDxfId="10725"/>
    <tableColumn id="5" xr3:uid="{00000000-0010-0000-9E00-000005000000}" name="BUIPE_PMS" totalsRowFunction="sum" dataDxfId="10724" totalsRowDxfId="10723" dataCellStyle="Comma"/>
    <tableColumn id="6" xr3:uid="{00000000-0010-0000-9E00-000006000000}" name="AKOSOMBO_AGO" totalsRowFunction="sum" dataDxfId="10722" totalsRowDxfId="10721"/>
    <tableColumn id="7" xr3:uid="{00000000-0010-0000-9E00-000007000000}" name="DATE" dataDxfId="10720" totalsRowDxfId="10719">
      <calculatedColumnFormula>$G$3</calculatedColumnFormula>
    </tableColumn>
  </tableColumns>
  <tableStyleInfo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9F000000}" name="August19_2020" displayName="August19_2020" ref="B5:H20" totalsRowCount="1" headerRowDxfId="10718" headerRowBorderDxfId="10717" tableBorderDxfId="10716" totalsRowBorderDxfId="10715">
  <autoFilter ref="B5:H19" xr:uid="{00000000-0009-0000-0100-000025000000}"/>
  <sortState xmlns:xlrd2="http://schemas.microsoft.com/office/spreadsheetml/2017/richdata2" ref="B6:H19">
    <sortCondition ref="B6"/>
  </sortState>
  <tableColumns count="7">
    <tableColumn id="1" xr3:uid="{00000000-0010-0000-9F00-000001000000}" name="BDC LIST" totalsRowLabel="Total" dataDxfId="10714" totalsRowDxfId="10713"/>
    <tableColumn id="2" xr3:uid="{00000000-0010-0000-9F00-000002000000}" name="KSI_AGO" totalsRowFunction="sum" dataDxfId="10712" totalsRowDxfId="10711"/>
    <tableColumn id="3" xr3:uid="{00000000-0010-0000-9F00-000003000000}" name="KSI_PMS" totalsRowFunction="sum" dataDxfId="10710" totalsRowDxfId="10709"/>
    <tableColumn id="4" xr3:uid="{00000000-0010-0000-9F00-000004000000}" name="BUIPE_AGO" totalsRowFunction="sum" dataDxfId="10708" totalsRowDxfId="10707"/>
    <tableColumn id="5" xr3:uid="{00000000-0010-0000-9F00-000005000000}" name="BUIPE_PMS" totalsRowFunction="sum" dataDxfId="10706" totalsRowDxfId="10705" dataCellStyle="Comma"/>
    <tableColumn id="6" xr3:uid="{00000000-0010-0000-9F00-000006000000}" name="AKOSOMBO_AGO" totalsRowFunction="sum" dataDxfId="10704" totalsRowDxfId="10703"/>
    <tableColumn id="7" xr3:uid="{00000000-0010-0000-9F00-000007000000}" name="DATE" dataDxfId="10702" totalsRowDxfId="10701">
      <calculatedColumnFormula>$G$3</calculatedColumnFormula>
    </tableColumn>
  </tableColumns>
  <tableStyleInfo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A0000000}" name="August20_2020" displayName="August20_2020" ref="B5:H20" totalsRowCount="1" headerRowDxfId="10700" headerRowBorderDxfId="10699" tableBorderDxfId="10698" totalsRowBorderDxfId="10697">
  <autoFilter ref="B5:H19" xr:uid="{00000000-0009-0000-0100-000026000000}"/>
  <sortState xmlns:xlrd2="http://schemas.microsoft.com/office/spreadsheetml/2017/richdata2" ref="B6:H19">
    <sortCondition ref="B6"/>
  </sortState>
  <tableColumns count="7">
    <tableColumn id="1" xr3:uid="{00000000-0010-0000-A000-000001000000}" name="BDC LIST" totalsRowLabel="Total" dataDxfId="10696" totalsRowDxfId="10695"/>
    <tableColumn id="2" xr3:uid="{00000000-0010-0000-A000-000002000000}" name="KSI_AGO" totalsRowFunction="sum" dataDxfId="10694" totalsRowDxfId="10693"/>
    <tableColumn id="3" xr3:uid="{00000000-0010-0000-A000-000003000000}" name="KSI_PMS" totalsRowFunction="sum" dataDxfId="10692" totalsRowDxfId="10691"/>
    <tableColumn id="4" xr3:uid="{00000000-0010-0000-A000-000004000000}" name="BUIPE_AGO" totalsRowFunction="sum" dataDxfId="10690" totalsRowDxfId="10689"/>
    <tableColumn id="5" xr3:uid="{00000000-0010-0000-A000-000005000000}" name="BUIPE_PMS" totalsRowFunction="sum" dataDxfId="10688" totalsRowDxfId="10687" dataCellStyle="Comma"/>
    <tableColumn id="6" xr3:uid="{00000000-0010-0000-A000-000006000000}" name="AKOSOMBO_AGO" totalsRowFunction="sum" dataDxfId="10686" totalsRowDxfId="10685"/>
    <tableColumn id="7" xr3:uid="{00000000-0010-0000-A000-000007000000}" name="DATE" dataDxfId="10684" totalsRowDxfId="10683">
      <calculatedColumnFormula>$G$3</calculatedColumnFormula>
    </tableColumn>
  </tableColumns>
  <tableStyleInfo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A1000000}" name="August21_2020" displayName="August21_2020" ref="B5:H20" totalsRowCount="1" headerRowDxfId="10682" headerRowBorderDxfId="10681" tableBorderDxfId="10680" totalsRowBorderDxfId="10679">
  <autoFilter ref="B5:H19" xr:uid="{00000000-0009-0000-0100-000027000000}"/>
  <sortState xmlns:xlrd2="http://schemas.microsoft.com/office/spreadsheetml/2017/richdata2" ref="B6:H19">
    <sortCondition ref="B6"/>
  </sortState>
  <tableColumns count="7">
    <tableColumn id="1" xr3:uid="{00000000-0010-0000-A100-000001000000}" name="BDC LIST" totalsRowLabel="Total" dataDxfId="10678" totalsRowDxfId="10677"/>
    <tableColumn id="2" xr3:uid="{00000000-0010-0000-A100-000002000000}" name="KSI_AGO" totalsRowFunction="sum" dataDxfId="10676" totalsRowDxfId="10675"/>
    <tableColumn id="3" xr3:uid="{00000000-0010-0000-A100-000003000000}" name="KSI_PMS" totalsRowFunction="sum" dataDxfId="10674" totalsRowDxfId="10673"/>
    <tableColumn id="4" xr3:uid="{00000000-0010-0000-A100-000004000000}" name="BUIPE_AGO" totalsRowFunction="sum" dataDxfId="10672" totalsRowDxfId="10671"/>
    <tableColumn id="5" xr3:uid="{00000000-0010-0000-A100-000005000000}" name="BUIPE_PMS" totalsRowFunction="sum" dataDxfId="10670" totalsRowDxfId="10669" dataCellStyle="Comma"/>
    <tableColumn id="6" xr3:uid="{00000000-0010-0000-A100-000006000000}" name="AKOSOMBO_AGO" totalsRowFunction="sum" dataDxfId="10668" totalsRowDxfId="10667"/>
    <tableColumn id="7" xr3:uid="{00000000-0010-0000-A100-000007000000}" name="DATE" dataDxfId="10666" totalsRowDxfId="10665">
      <calculatedColumnFormula>$G$3</calculatedColumnFormula>
    </tableColumn>
  </tableColumns>
  <tableStyleInfo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A2000000}" name="August22_2020" displayName="August22_2020" ref="B5:H20" totalsRowCount="1" headerRowDxfId="10664" headerRowBorderDxfId="10663" tableBorderDxfId="10662" totalsRowBorderDxfId="10661">
  <autoFilter ref="B5:H19" xr:uid="{00000000-0009-0000-0100-000028000000}"/>
  <sortState xmlns:xlrd2="http://schemas.microsoft.com/office/spreadsheetml/2017/richdata2" ref="B6:H19">
    <sortCondition ref="B6"/>
  </sortState>
  <tableColumns count="7">
    <tableColumn id="1" xr3:uid="{00000000-0010-0000-A200-000001000000}" name="BDC LIST" totalsRowLabel="Total" dataDxfId="10660" totalsRowDxfId="10659"/>
    <tableColumn id="2" xr3:uid="{00000000-0010-0000-A200-000002000000}" name="KSI_AGO" totalsRowFunction="sum" dataDxfId="10658" totalsRowDxfId="10657"/>
    <tableColumn id="3" xr3:uid="{00000000-0010-0000-A200-000003000000}" name="KSI_PMS" totalsRowFunction="sum" dataDxfId="10656" totalsRowDxfId="10655"/>
    <tableColumn id="4" xr3:uid="{00000000-0010-0000-A200-000004000000}" name="BUIPE_AGO" totalsRowFunction="sum" dataDxfId="10654" totalsRowDxfId="10653"/>
    <tableColumn id="5" xr3:uid="{00000000-0010-0000-A200-000005000000}" name="BUIPE_PMS" totalsRowFunction="sum" dataDxfId="10652" totalsRowDxfId="10651" dataCellStyle="Comma"/>
    <tableColumn id="6" xr3:uid="{00000000-0010-0000-A200-000006000000}" name="AKOSOMBO_AGO" totalsRowFunction="sum" dataDxfId="10650" totalsRowDxfId="10649"/>
    <tableColumn id="7" xr3:uid="{00000000-0010-0000-A200-000007000000}" name="DATE" dataDxfId="10648" totalsRowDxfId="10647">
      <calculatedColumnFormula>$G$3</calculatedColumnFormula>
    </tableColumn>
  </tableColumns>
  <tableStyleInfo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A3000000}" name="August24_2020" displayName="August24_2020" ref="B5:H20" totalsRowCount="1" headerRowDxfId="10646" headerRowBorderDxfId="10645" tableBorderDxfId="10644" totalsRowBorderDxfId="10643">
  <autoFilter ref="B5:H19" xr:uid="{00000000-0009-0000-0100-000029000000}"/>
  <sortState xmlns:xlrd2="http://schemas.microsoft.com/office/spreadsheetml/2017/richdata2" ref="B6:H19">
    <sortCondition ref="B6"/>
  </sortState>
  <tableColumns count="7">
    <tableColumn id="1" xr3:uid="{00000000-0010-0000-A300-000001000000}" name="BDC LIST" totalsRowLabel="Total" dataDxfId="10642" totalsRowDxfId="10641"/>
    <tableColumn id="2" xr3:uid="{00000000-0010-0000-A300-000002000000}" name="KSI_AGO" totalsRowFunction="sum" dataDxfId="10640" totalsRowDxfId="10639"/>
    <tableColumn id="3" xr3:uid="{00000000-0010-0000-A300-000003000000}" name="KSI_PMS" totalsRowFunction="sum" dataDxfId="10638" totalsRowDxfId="10637"/>
    <tableColumn id="4" xr3:uid="{00000000-0010-0000-A300-000004000000}" name="BUIPE_AGO" totalsRowFunction="sum" dataDxfId="10636" totalsRowDxfId="10635"/>
    <tableColumn id="5" xr3:uid="{00000000-0010-0000-A300-000005000000}" name="BUIPE_PMS" totalsRowFunction="sum" dataDxfId="10634" totalsRowDxfId="10633" dataCellStyle="Comma"/>
    <tableColumn id="6" xr3:uid="{00000000-0010-0000-A300-000006000000}" name="AKOSOMBO_AGO" totalsRowFunction="sum" dataDxfId="10632" totalsRowDxfId="10631"/>
    <tableColumn id="7" xr3:uid="{00000000-0010-0000-A300-000007000000}" name="DATE" dataDxfId="10630" totalsRowDxfId="10629">
      <calculatedColumnFormula>$G$3</calculatedColumnFormula>
    </tableColumn>
  </tableColumns>
  <tableStyleInfo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A4000000}" name="August25_2020" displayName="August25_2020" ref="B5:H20" totalsRowCount="1" headerRowDxfId="10628" headerRowBorderDxfId="10627" tableBorderDxfId="10626" totalsRowBorderDxfId="10625">
  <autoFilter ref="B5:H19" xr:uid="{00000000-0009-0000-0100-00002A000000}"/>
  <sortState xmlns:xlrd2="http://schemas.microsoft.com/office/spreadsheetml/2017/richdata2" ref="B6:H19">
    <sortCondition ref="B6"/>
  </sortState>
  <tableColumns count="7">
    <tableColumn id="1" xr3:uid="{00000000-0010-0000-A400-000001000000}" name="BDC LIST" totalsRowLabel="Total" dataDxfId="10624" totalsRowDxfId="10623"/>
    <tableColumn id="2" xr3:uid="{00000000-0010-0000-A400-000002000000}" name="KSI_AGO" totalsRowFunction="sum" dataDxfId="10622" totalsRowDxfId="10621"/>
    <tableColumn id="3" xr3:uid="{00000000-0010-0000-A400-000003000000}" name="KSI_PMS" totalsRowFunction="sum" dataDxfId="10620" totalsRowDxfId="10619"/>
    <tableColumn id="4" xr3:uid="{00000000-0010-0000-A400-000004000000}" name="BUIPE_AGO" totalsRowFunction="sum" dataDxfId="10618" totalsRowDxfId="10617"/>
    <tableColumn id="5" xr3:uid="{00000000-0010-0000-A400-000005000000}" name="BUIPE_PMS" totalsRowFunction="sum" dataDxfId="10616" totalsRowDxfId="10615" dataCellStyle="Comma"/>
    <tableColumn id="6" xr3:uid="{00000000-0010-0000-A400-000006000000}" name="AKOSOMBO_AGO" totalsRowFunction="sum" dataDxfId="10614" totalsRowDxfId="10613"/>
    <tableColumn id="7" xr3:uid="{00000000-0010-0000-A400-000007000000}" name="DATE" dataDxfId="10612" totalsRowDxfId="10611">
      <calculatedColumnFormula>$G$3</calculatedColumnFormula>
    </tableColumn>
  </tableColumns>
  <tableStyleInfo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A5000000}" name="August26_2020" displayName="August26_2020" ref="B5:H20" totalsRowCount="1" headerRowDxfId="10610" headerRowBorderDxfId="10609" tableBorderDxfId="10608" totalsRowBorderDxfId="10607">
  <autoFilter ref="B5:H19" xr:uid="{00000000-0009-0000-0100-00002B000000}"/>
  <sortState xmlns:xlrd2="http://schemas.microsoft.com/office/spreadsheetml/2017/richdata2" ref="B6:H19">
    <sortCondition ref="B6"/>
  </sortState>
  <tableColumns count="7">
    <tableColumn id="1" xr3:uid="{00000000-0010-0000-A500-000001000000}" name="BDC LIST" totalsRowLabel="Total" dataDxfId="10606" totalsRowDxfId="10605"/>
    <tableColumn id="2" xr3:uid="{00000000-0010-0000-A500-000002000000}" name="KSI_AGO" totalsRowFunction="sum" dataDxfId="10604" totalsRowDxfId="10603"/>
    <tableColumn id="3" xr3:uid="{00000000-0010-0000-A500-000003000000}" name="KSI_PMS" totalsRowFunction="sum" dataDxfId="10602" totalsRowDxfId="10601"/>
    <tableColumn id="4" xr3:uid="{00000000-0010-0000-A500-000004000000}" name="BUIPE_AGO" totalsRowFunction="sum" dataDxfId="10600" totalsRowDxfId="10599"/>
    <tableColumn id="5" xr3:uid="{00000000-0010-0000-A500-000005000000}" name="BUIPE_PMS" totalsRowFunction="sum" dataDxfId="10598" totalsRowDxfId="10597" dataCellStyle="Comma"/>
    <tableColumn id="6" xr3:uid="{00000000-0010-0000-A500-000006000000}" name="AKOSOMBO_AGO" totalsRowFunction="sum" dataDxfId="10596" totalsRowDxfId="10595"/>
    <tableColumn id="7" xr3:uid="{00000000-0010-0000-A500-000007000000}" name="DATE" dataDxfId="10594" totalsRowDxfId="10593">
      <calculatedColumnFormula>$G$3</calculatedColumnFormula>
    </tableColumn>
  </tableColumns>
  <tableStyleInfo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A6000000}" name="August27_2020" displayName="August27_2020" ref="B5:H20" totalsRowCount="1" headerRowDxfId="10592" headerRowBorderDxfId="10591" tableBorderDxfId="10590" totalsRowBorderDxfId="10589">
  <autoFilter ref="B5:H19" xr:uid="{00000000-0009-0000-0100-00002C000000}"/>
  <sortState xmlns:xlrd2="http://schemas.microsoft.com/office/spreadsheetml/2017/richdata2" ref="B6:H19">
    <sortCondition ref="B6"/>
  </sortState>
  <tableColumns count="7">
    <tableColumn id="1" xr3:uid="{00000000-0010-0000-A600-000001000000}" name="BDC LIST" totalsRowLabel="Total" dataDxfId="10588" totalsRowDxfId="10587"/>
    <tableColumn id="2" xr3:uid="{00000000-0010-0000-A600-000002000000}" name="KSI_AGO" totalsRowFunction="sum" dataDxfId="10586" totalsRowDxfId="10585"/>
    <tableColumn id="3" xr3:uid="{00000000-0010-0000-A600-000003000000}" name="KSI_PMS" totalsRowFunction="sum" dataDxfId="10584" totalsRowDxfId="10583"/>
    <tableColumn id="4" xr3:uid="{00000000-0010-0000-A600-000004000000}" name="BUIPE_AGO" totalsRowFunction="sum" dataDxfId="10582" totalsRowDxfId="10581"/>
    <tableColumn id="5" xr3:uid="{00000000-0010-0000-A600-000005000000}" name="BUIPE_PMS" totalsRowFunction="sum" dataDxfId="10580" totalsRowDxfId="10579" dataCellStyle="Comma"/>
    <tableColumn id="6" xr3:uid="{00000000-0010-0000-A600-000006000000}" name="AKOSOMBO_AGO" totalsRowFunction="sum" dataDxfId="10578" totalsRowDxfId="10577"/>
    <tableColumn id="7" xr3:uid="{00000000-0010-0000-A600-000007000000}" name="DATE" dataDxfId="10576" totalsRowDxfId="10575">
      <calculatedColumnFormula>$G$3</calculatedColumnFormula>
    </tableColumn>
  </tableColumns>
  <tableStyleInfo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A7000000}" name="August28_2020" displayName="August28_2020" ref="B5:H20" totalsRowCount="1" headerRowDxfId="10574" headerRowBorderDxfId="10573" tableBorderDxfId="10572" totalsRowBorderDxfId="10571">
  <autoFilter ref="B5:H19" xr:uid="{00000000-0009-0000-0100-00002D000000}"/>
  <sortState xmlns:xlrd2="http://schemas.microsoft.com/office/spreadsheetml/2017/richdata2" ref="B6:H19">
    <sortCondition ref="B6"/>
  </sortState>
  <tableColumns count="7">
    <tableColumn id="1" xr3:uid="{00000000-0010-0000-A700-000001000000}" name="BDC LIST" totalsRowLabel="Total" dataDxfId="10570" totalsRowDxfId="10569"/>
    <tableColumn id="2" xr3:uid="{00000000-0010-0000-A700-000002000000}" name="KSI_AGO" totalsRowFunction="sum" dataDxfId="10568" totalsRowDxfId="10567"/>
    <tableColumn id="3" xr3:uid="{00000000-0010-0000-A700-000003000000}" name="KSI_PMS" totalsRowFunction="sum" dataDxfId="10566" totalsRowDxfId="10565"/>
    <tableColumn id="4" xr3:uid="{00000000-0010-0000-A700-000004000000}" name="BUIPE_AGO" totalsRowFunction="sum" dataDxfId="10564" totalsRowDxfId="10563"/>
    <tableColumn id="5" xr3:uid="{00000000-0010-0000-A700-000005000000}" name="BUIPE_PMS" totalsRowFunction="sum" dataDxfId="10562" totalsRowDxfId="10561" dataCellStyle="Comma"/>
    <tableColumn id="6" xr3:uid="{00000000-0010-0000-A700-000006000000}" name="AKOSOMBO_AGO" totalsRowFunction="sum" dataDxfId="10560" totalsRowDxfId="10559"/>
    <tableColumn id="7" xr3:uid="{00000000-0010-0000-A700-000007000000}" name="DATE" dataDxfId="10558" totalsRowDxfId="10557">
      <calculatedColumnFormula>$G$3</calculatedColumnFormula>
    </tableColumn>
  </tableColumns>
  <tableStyleInfo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A8000000}" name="August31_2020" displayName="August31_2020" ref="B5:H20" totalsRowCount="1" headerRowDxfId="10556" headerRowBorderDxfId="10555" tableBorderDxfId="10554" totalsRowBorderDxfId="10553">
  <autoFilter ref="B5:H19" xr:uid="{00000000-0009-0000-0100-00002F000000}"/>
  <sortState xmlns:xlrd2="http://schemas.microsoft.com/office/spreadsheetml/2017/richdata2" ref="B6:H19">
    <sortCondition ref="B6"/>
  </sortState>
  <tableColumns count="7">
    <tableColumn id="1" xr3:uid="{00000000-0010-0000-A800-000001000000}" name="BDC LIST" totalsRowLabel="Total" dataDxfId="10552" totalsRowDxfId="10551"/>
    <tableColumn id="2" xr3:uid="{00000000-0010-0000-A800-000002000000}" name="KSI_AGO" totalsRowFunction="sum" dataDxfId="10550" totalsRowDxfId="10549"/>
    <tableColumn id="3" xr3:uid="{00000000-0010-0000-A800-000003000000}" name="KSI_PMS" totalsRowFunction="sum" dataDxfId="10548" totalsRowDxfId="10547"/>
    <tableColumn id="4" xr3:uid="{00000000-0010-0000-A800-000004000000}" name="BUIPE_AGO" totalsRowFunction="sum" dataDxfId="10546" totalsRowDxfId="10545"/>
    <tableColumn id="5" xr3:uid="{00000000-0010-0000-A800-000005000000}" name="BUIPE_PMS" totalsRowFunction="sum" dataDxfId="10544" totalsRowDxfId="10543" dataCellStyle="Comma"/>
    <tableColumn id="6" xr3:uid="{00000000-0010-0000-A800-000006000000}" name="AKOSOMBO_AGO" totalsRowFunction="sum" dataDxfId="10542" totalsRowDxfId="10541"/>
    <tableColumn id="7" xr3:uid="{00000000-0010-0000-A800-000007000000}" name="DATE" dataDxfId="10540" totalsRowDxfId="10539">
      <calculatedColumnFormula>$G$3</calculatedColumnFormula>
    </tableColumn>
  </tableColumns>
  <tableStyleInfo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A9000000}" name="September01_2020" displayName="September01_2020" ref="B5:H20" totalsRowCount="1" headerRowDxfId="10538" headerRowBorderDxfId="10537" tableBorderDxfId="10536" totalsRowBorderDxfId="10535">
  <autoFilter ref="B5:H19" xr:uid="{00000000-0009-0000-0100-000031000000}"/>
  <sortState xmlns:xlrd2="http://schemas.microsoft.com/office/spreadsheetml/2017/richdata2" ref="B6:H18">
    <sortCondition ref="B6"/>
  </sortState>
  <tableColumns count="7">
    <tableColumn id="1" xr3:uid="{00000000-0010-0000-A900-000001000000}" name="BDC LIST" totalsRowLabel="Total" dataDxfId="10534" totalsRowDxfId="10533"/>
    <tableColumn id="2" xr3:uid="{00000000-0010-0000-A900-000002000000}" name="KSI_AGO" totalsRowFunction="sum" dataDxfId="10532" totalsRowDxfId="10531"/>
    <tableColumn id="3" xr3:uid="{00000000-0010-0000-A900-000003000000}" name="KSI_PMS" totalsRowFunction="sum" dataDxfId="10530" totalsRowDxfId="10529"/>
    <tableColumn id="4" xr3:uid="{00000000-0010-0000-A900-000004000000}" name="BUIPE_AGO" totalsRowFunction="sum" dataDxfId="10528" totalsRowDxfId="10527"/>
    <tableColumn id="5" xr3:uid="{00000000-0010-0000-A900-000005000000}" name="BUIPE_PMS" totalsRowFunction="sum" dataDxfId="10526" totalsRowDxfId="10525" dataCellStyle="Comma"/>
    <tableColumn id="6" xr3:uid="{00000000-0010-0000-A900-000006000000}" name="AKOSOMBO_AGO" totalsRowFunction="sum" dataDxfId="10524" totalsRowDxfId="10523"/>
    <tableColumn id="7" xr3:uid="{00000000-0010-0000-A900-000007000000}" name="DATE" dataDxfId="10522" totalsRowDxfId="10521">
      <calculatedColumnFormula>$G$3</calculatedColumnFormula>
    </tableColumn>
  </tableColumns>
  <tableStyleInfo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AA000000}" name="September02_2020" displayName="September02_2020" ref="B5:H20" totalsRowCount="1" headerRowDxfId="10520" headerRowBorderDxfId="10519" tableBorderDxfId="10518" totalsRowBorderDxfId="10517">
  <autoFilter ref="B5:H19" xr:uid="{00000000-0009-0000-0100-000032000000}"/>
  <sortState xmlns:xlrd2="http://schemas.microsoft.com/office/spreadsheetml/2017/richdata2" ref="B6:H18">
    <sortCondition ref="B6"/>
  </sortState>
  <tableColumns count="7">
    <tableColumn id="1" xr3:uid="{00000000-0010-0000-AA00-000001000000}" name="BDC LIST" totalsRowLabel="Total" dataDxfId="10516" totalsRowDxfId="10515"/>
    <tableColumn id="2" xr3:uid="{00000000-0010-0000-AA00-000002000000}" name="KSI_AGO" totalsRowFunction="sum" dataDxfId="10514" totalsRowDxfId="10513"/>
    <tableColumn id="3" xr3:uid="{00000000-0010-0000-AA00-000003000000}" name="KSI_PMS" totalsRowFunction="sum" dataDxfId="10512" totalsRowDxfId="10511"/>
    <tableColumn id="4" xr3:uid="{00000000-0010-0000-AA00-000004000000}" name="BUIPE_AGO" totalsRowFunction="sum" dataDxfId="10510" totalsRowDxfId="10509"/>
    <tableColumn id="5" xr3:uid="{00000000-0010-0000-AA00-000005000000}" name="BUIPE_PMS" totalsRowFunction="sum" dataDxfId="10508" totalsRowDxfId="10507" dataCellStyle="Comma"/>
    <tableColumn id="6" xr3:uid="{00000000-0010-0000-AA00-000006000000}" name="AKOSOMBO_AGO" totalsRowFunction="sum" dataDxfId="10506" totalsRowDxfId="10505"/>
    <tableColumn id="7" xr3:uid="{00000000-0010-0000-AA00-000007000000}" name="DATE" dataDxfId="10504" totalsRowDxfId="10503">
      <calculatedColumnFormula>$G$3</calculatedColumnFormula>
    </tableColumn>
  </tableColumns>
  <tableStyleInfo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AB000000}" name="September03_2020" displayName="September03_2020" ref="B5:H21" totalsRowCount="1" headerRowDxfId="10502" headerRowBorderDxfId="10501" tableBorderDxfId="10500" totalsRowBorderDxfId="10499">
  <autoFilter ref="B5:H20" xr:uid="{00000000-0009-0000-0100-000033000000}"/>
  <sortState xmlns:xlrd2="http://schemas.microsoft.com/office/spreadsheetml/2017/richdata2" ref="B6:H18">
    <sortCondition ref="B6"/>
  </sortState>
  <tableColumns count="7">
    <tableColumn id="1" xr3:uid="{00000000-0010-0000-AB00-000001000000}" name="BDC LIST" totalsRowLabel="Total" dataDxfId="10498" totalsRowDxfId="10497"/>
    <tableColumn id="2" xr3:uid="{00000000-0010-0000-AB00-000002000000}" name="KSI_AGO" totalsRowFunction="sum" dataDxfId="10496" totalsRowDxfId="10495"/>
    <tableColumn id="3" xr3:uid="{00000000-0010-0000-AB00-000003000000}" name="KSI_PMS" totalsRowFunction="sum" dataDxfId="10494" totalsRowDxfId="10493"/>
    <tableColumn id="4" xr3:uid="{00000000-0010-0000-AB00-000004000000}" name="BUIPE_AGO" totalsRowFunction="sum" dataDxfId="10492" totalsRowDxfId="10491"/>
    <tableColumn id="5" xr3:uid="{00000000-0010-0000-AB00-000005000000}" name="BUIPE_PMS" totalsRowFunction="sum" dataDxfId="10490" totalsRowDxfId="10489" dataCellStyle="Comma"/>
    <tableColumn id="6" xr3:uid="{00000000-0010-0000-AB00-000006000000}" name="AKOSOMBO_AGO" totalsRowFunction="sum" dataDxfId="10488" totalsRowDxfId="10487"/>
    <tableColumn id="7" xr3:uid="{00000000-0010-0000-AB00-000007000000}" name="DATE" dataDxfId="10486" totalsRowDxfId="10485">
      <calculatedColumnFormula>$G$3</calculatedColumnFormula>
    </tableColumn>
  </tableColumns>
  <tableStyleInfo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AC000000}" name="September04_2020" displayName="September04_2020" ref="B5:H20" totalsRowCount="1" headerRowDxfId="10484" headerRowBorderDxfId="10483" tableBorderDxfId="10482" totalsRowBorderDxfId="10481">
  <autoFilter ref="B5:H19" xr:uid="{00000000-0009-0000-0100-000034000000}"/>
  <sortState xmlns:xlrd2="http://schemas.microsoft.com/office/spreadsheetml/2017/richdata2" ref="B6:H18">
    <sortCondition ref="B6"/>
  </sortState>
  <tableColumns count="7">
    <tableColumn id="1" xr3:uid="{00000000-0010-0000-AC00-000001000000}" name="BDC LIST" totalsRowLabel="Total" dataDxfId="10480" totalsRowDxfId="10479"/>
    <tableColumn id="2" xr3:uid="{00000000-0010-0000-AC00-000002000000}" name="KSI_AGO" totalsRowFunction="sum" dataDxfId="10478" totalsRowDxfId="10477"/>
    <tableColumn id="3" xr3:uid="{00000000-0010-0000-AC00-000003000000}" name="KSI_PMS" totalsRowFunction="sum" dataDxfId="10476" totalsRowDxfId="10475"/>
    <tableColumn id="4" xr3:uid="{00000000-0010-0000-AC00-000004000000}" name="BUIPE_AGO" totalsRowFunction="sum" dataDxfId="10474" totalsRowDxfId="10473"/>
    <tableColumn id="5" xr3:uid="{00000000-0010-0000-AC00-000005000000}" name="BUIPE_PMS" totalsRowFunction="sum" dataDxfId="10472" totalsRowDxfId="10471" dataCellStyle="Comma"/>
    <tableColumn id="6" xr3:uid="{00000000-0010-0000-AC00-000006000000}" name="AKOSOMBO_AGO" totalsRowFunction="sum" dataDxfId="10470" totalsRowDxfId="10469"/>
    <tableColumn id="7" xr3:uid="{00000000-0010-0000-AC00-000007000000}" name="DATE" dataDxfId="10468" totalsRowDxfId="10467">
      <calculatedColumnFormula>$G$3</calculatedColumnFormula>
    </tableColumn>
  </tableColumns>
  <tableStyleInfo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AD000000}" name="September05_2020" displayName="September05_2020" ref="B5:H20" totalsRowCount="1" headerRowDxfId="10466" headerRowBorderDxfId="10465" tableBorderDxfId="10464" totalsRowBorderDxfId="10463">
  <autoFilter ref="B5:H19" xr:uid="{00000000-0009-0000-0100-000035000000}"/>
  <sortState xmlns:xlrd2="http://schemas.microsoft.com/office/spreadsheetml/2017/richdata2" ref="B6:H18">
    <sortCondition ref="B6"/>
  </sortState>
  <tableColumns count="7">
    <tableColumn id="1" xr3:uid="{00000000-0010-0000-AD00-000001000000}" name="BDC LIST" totalsRowLabel="Total" dataDxfId="10462" totalsRowDxfId="10461"/>
    <tableColumn id="2" xr3:uid="{00000000-0010-0000-AD00-000002000000}" name="KSI_AGO" totalsRowFunction="sum" dataDxfId="10460" totalsRowDxfId="10459"/>
    <tableColumn id="3" xr3:uid="{00000000-0010-0000-AD00-000003000000}" name="KSI_PMS" totalsRowFunction="sum" dataDxfId="10458" totalsRowDxfId="10457"/>
    <tableColumn id="4" xr3:uid="{00000000-0010-0000-AD00-000004000000}" name="BUIPE_AGO" totalsRowFunction="sum" dataDxfId="10456" totalsRowDxfId="10455"/>
    <tableColumn id="5" xr3:uid="{00000000-0010-0000-AD00-000005000000}" name="BUIPE_PMS" totalsRowFunction="sum" dataDxfId="10454" totalsRowDxfId="10453" dataCellStyle="Comma"/>
    <tableColumn id="6" xr3:uid="{00000000-0010-0000-AD00-000006000000}" name="AKOSOMBO_AGO" totalsRowFunction="sum" dataDxfId="10452" totalsRowDxfId="10451"/>
    <tableColumn id="7" xr3:uid="{00000000-0010-0000-AD00-000007000000}" name="DATE" dataDxfId="10450" totalsRowDxfId="10449">
      <calculatedColumnFormula>$G$3</calculatedColumnFormula>
    </tableColumn>
  </tableColumns>
  <tableStyleInfo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AE000000}" name="September07_2020" displayName="September07_2020" ref="B5:H20" totalsRowCount="1" headerRowDxfId="10448" headerRowBorderDxfId="10447" tableBorderDxfId="10446" totalsRowBorderDxfId="10445">
  <autoFilter ref="B5:H19" xr:uid="{00000000-0009-0000-0100-00002E000000}"/>
  <sortState xmlns:xlrd2="http://schemas.microsoft.com/office/spreadsheetml/2017/richdata2" ref="B6:H18">
    <sortCondition ref="B6"/>
  </sortState>
  <tableColumns count="7">
    <tableColumn id="1" xr3:uid="{00000000-0010-0000-AE00-000001000000}" name="BDC LIST" totalsRowLabel="Total" dataDxfId="10444" totalsRowDxfId="10443"/>
    <tableColumn id="2" xr3:uid="{00000000-0010-0000-AE00-000002000000}" name="KSI_AGO" totalsRowFunction="sum" dataDxfId="10442" totalsRowDxfId="10441"/>
    <tableColumn id="3" xr3:uid="{00000000-0010-0000-AE00-000003000000}" name="KSI_PMS" totalsRowFunction="sum" dataDxfId="10440" totalsRowDxfId="10439"/>
    <tableColumn id="4" xr3:uid="{00000000-0010-0000-AE00-000004000000}" name="BUIPE_AGO" totalsRowFunction="sum" dataDxfId="10438" totalsRowDxfId="10437"/>
    <tableColumn id="5" xr3:uid="{00000000-0010-0000-AE00-000005000000}" name="BUIPE_PMS" totalsRowFunction="sum" dataDxfId="10436" totalsRowDxfId="10435" dataCellStyle="Comma"/>
    <tableColumn id="6" xr3:uid="{00000000-0010-0000-AE00-000006000000}" name="AKOSOMBO_AGO" totalsRowFunction="sum" dataDxfId="10434" totalsRowDxfId="10433"/>
    <tableColumn id="7" xr3:uid="{00000000-0010-0000-AE00-000007000000}" name="DATE" dataDxfId="10432" totalsRowDxfId="10431">
      <calculatedColumnFormula>$G$3</calculatedColumnFormula>
    </tableColumn>
  </tableColumns>
  <tableStyleInfo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AF000000}" name="September08_2020" displayName="September08_2020" ref="B5:H20" totalsRowCount="1" headerRowDxfId="10430" headerRowBorderDxfId="10429" tableBorderDxfId="10428" totalsRowBorderDxfId="10427">
  <autoFilter ref="B5:H19" xr:uid="{00000000-0009-0000-0100-000036000000}"/>
  <sortState xmlns:xlrd2="http://schemas.microsoft.com/office/spreadsheetml/2017/richdata2" ref="B6:H18">
    <sortCondition ref="B6"/>
  </sortState>
  <tableColumns count="7">
    <tableColumn id="1" xr3:uid="{00000000-0010-0000-AF00-000001000000}" name="BDC LIST" totalsRowLabel="Total" dataDxfId="10426" totalsRowDxfId="10425"/>
    <tableColumn id="2" xr3:uid="{00000000-0010-0000-AF00-000002000000}" name="KSI_AGO" totalsRowFunction="sum" dataDxfId="10424" totalsRowDxfId="10423"/>
    <tableColumn id="3" xr3:uid="{00000000-0010-0000-AF00-000003000000}" name="KSI_PMS" totalsRowFunction="sum" dataDxfId="10422" totalsRowDxfId="10421"/>
    <tableColumn id="4" xr3:uid="{00000000-0010-0000-AF00-000004000000}" name="BUIPE_AGO" totalsRowFunction="sum" dataDxfId="10420" totalsRowDxfId="10419"/>
    <tableColumn id="5" xr3:uid="{00000000-0010-0000-AF00-000005000000}" name="BUIPE_PMS" totalsRowFunction="sum" dataDxfId="10418" totalsRowDxfId="10417" dataCellStyle="Comma"/>
    <tableColumn id="6" xr3:uid="{00000000-0010-0000-AF00-000006000000}" name="AKOSOMBO_AGO" totalsRowFunction="sum" dataDxfId="10416" totalsRowDxfId="10415"/>
    <tableColumn id="7" xr3:uid="{00000000-0010-0000-AF00-000007000000}" name="DATE" dataDxfId="10414" totalsRowDxfId="10413">
      <calculatedColumnFormula>$G$3</calculatedColumnFormula>
    </tableColumn>
  </tableColumns>
  <tableStyleInfo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B0000000}" name="September09_2020" displayName="September09_2020" ref="B5:H20" totalsRowCount="1" headerRowDxfId="10412" headerRowBorderDxfId="10411" tableBorderDxfId="10410" totalsRowBorderDxfId="10409">
  <autoFilter ref="B5:H19" xr:uid="{00000000-0009-0000-0100-000039000000}"/>
  <sortState xmlns:xlrd2="http://schemas.microsoft.com/office/spreadsheetml/2017/richdata2" ref="B6:H18">
    <sortCondition ref="B6"/>
  </sortState>
  <tableColumns count="7">
    <tableColumn id="1" xr3:uid="{00000000-0010-0000-B000-000001000000}" name="BDC LIST" totalsRowLabel="Total" dataDxfId="10408" totalsRowDxfId="10407"/>
    <tableColumn id="2" xr3:uid="{00000000-0010-0000-B000-000002000000}" name="KSI_AGO" totalsRowFunction="sum" dataDxfId="10406" totalsRowDxfId="10405"/>
    <tableColumn id="3" xr3:uid="{00000000-0010-0000-B000-000003000000}" name="KSI_PMS" totalsRowFunction="sum" dataDxfId="10404" totalsRowDxfId="10403"/>
    <tableColumn id="4" xr3:uid="{00000000-0010-0000-B000-000004000000}" name="BUIPE_AGO" totalsRowFunction="sum" dataDxfId="10402" totalsRowDxfId="10401"/>
    <tableColumn id="5" xr3:uid="{00000000-0010-0000-B000-000005000000}" name="BUIPE_PMS" totalsRowFunction="sum" dataDxfId="10400" totalsRowDxfId="10399" dataCellStyle="Comma"/>
    <tableColumn id="6" xr3:uid="{00000000-0010-0000-B000-000006000000}" name="AKOSOMBO_AGO" totalsRowFunction="sum" dataDxfId="10398" totalsRowDxfId="10397"/>
    <tableColumn id="7" xr3:uid="{00000000-0010-0000-B000-000007000000}" name="DATE" dataDxfId="10396" totalsRowDxfId="10395">
      <calculatedColumnFormula>$G$3</calculatedColumnFormula>
    </tableColumn>
  </tableColumns>
  <tableStyleInfo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B1000000}" name="September10_2020" displayName="September10_2020" ref="B5:H20" totalsRowCount="1" headerRowDxfId="10394" headerRowBorderDxfId="10393" tableBorderDxfId="10392" totalsRowBorderDxfId="10391">
  <autoFilter ref="B5:H19" xr:uid="{00000000-0009-0000-0100-00003A000000}"/>
  <sortState xmlns:xlrd2="http://schemas.microsoft.com/office/spreadsheetml/2017/richdata2" ref="B6:H18">
    <sortCondition ref="B6"/>
  </sortState>
  <tableColumns count="7">
    <tableColumn id="1" xr3:uid="{00000000-0010-0000-B100-000001000000}" name="BDC LIST" totalsRowLabel="Total" dataDxfId="10390" totalsRowDxfId="10389"/>
    <tableColumn id="2" xr3:uid="{00000000-0010-0000-B100-000002000000}" name="KSI_AGO" totalsRowFunction="sum" dataDxfId="10388" totalsRowDxfId="10387"/>
    <tableColumn id="3" xr3:uid="{00000000-0010-0000-B100-000003000000}" name="KSI_PMS" totalsRowFunction="sum" dataDxfId="10386" totalsRowDxfId="10385"/>
    <tableColumn id="4" xr3:uid="{00000000-0010-0000-B100-000004000000}" name="BUIPE_AGO" totalsRowFunction="sum" dataDxfId="10384" totalsRowDxfId="10383"/>
    <tableColumn id="5" xr3:uid="{00000000-0010-0000-B100-000005000000}" name="BUIPE_PMS" totalsRowFunction="sum" dataDxfId="10382" totalsRowDxfId="10381" dataCellStyle="Comma"/>
    <tableColumn id="6" xr3:uid="{00000000-0010-0000-B100-000006000000}" name="AKOSOMBO_AGO" totalsRowFunction="sum" dataDxfId="10380" totalsRowDxfId="10379"/>
    <tableColumn id="7" xr3:uid="{00000000-0010-0000-B100-000007000000}" name="DATE" dataDxfId="10378" totalsRowDxfId="10377">
      <calculatedColumnFormula>$G$3</calculatedColumnFormula>
    </tableColumn>
  </tableColumns>
  <tableStyleInfo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B2000000}" name="September11_2020" displayName="September11_2020" ref="B5:H20" totalsRowCount="1" headerRowDxfId="10376" headerRowBorderDxfId="10375" tableBorderDxfId="10374" totalsRowBorderDxfId="10373">
  <autoFilter ref="B5:H19" xr:uid="{00000000-0009-0000-0100-00003F000000}"/>
  <sortState xmlns:xlrd2="http://schemas.microsoft.com/office/spreadsheetml/2017/richdata2" ref="B6:H18">
    <sortCondition ref="B6"/>
  </sortState>
  <tableColumns count="7">
    <tableColumn id="1" xr3:uid="{00000000-0010-0000-B200-000001000000}" name="BDC LIST" totalsRowLabel="Total" dataDxfId="10372" totalsRowDxfId="10371"/>
    <tableColumn id="2" xr3:uid="{00000000-0010-0000-B200-000002000000}" name="KSI_AGO" totalsRowFunction="sum" dataDxfId="10370" totalsRowDxfId="10369"/>
    <tableColumn id="3" xr3:uid="{00000000-0010-0000-B200-000003000000}" name="KSI_PMS" totalsRowFunction="sum" dataDxfId="10368" totalsRowDxfId="10367"/>
    <tableColumn id="4" xr3:uid="{00000000-0010-0000-B200-000004000000}" name="BUIPE_AGO" totalsRowFunction="sum" dataDxfId="10366" totalsRowDxfId="10365"/>
    <tableColumn id="5" xr3:uid="{00000000-0010-0000-B200-000005000000}" name="BUIPE_PMS" totalsRowFunction="sum" dataDxfId="10364" totalsRowDxfId="10363" dataCellStyle="Comma"/>
    <tableColumn id="6" xr3:uid="{00000000-0010-0000-B200-000006000000}" name="AKOSOMBO_AGO" totalsRowFunction="sum" dataDxfId="10362" totalsRowDxfId="10361"/>
    <tableColumn id="7" xr3:uid="{00000000-0010-0000-B200-000007000000}" name="DATE" dataDxfId="10360" totalsRowDxfId="10359">
      <calculatedColumnFormula>$G$3</calculatedColumnFormula>
    </tableColumn>
  </tableColumns>
  <tableStyleInfo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B3000000}" name="September14_2020" displayName="September14_2020" ref="B5:H20" totalsRowCount="1" headerRowDxfId="10358" headerRowBorderDxfId="10357" tableBorderDxfId="10356" totalsRowBorderDxfId="10355">
  <autoFilter ref="B5:H19" xr:uid="{00000000-0009-0000-0100-000040000000}"/>
  <sortState xmlns:xlrd2="http://schemas.microsoft.com/office/spreadsheetml/2017/richdata2" ref="B6:H18">
    <sortCondition ref="B6"/>
  </sortState>
  <tableColumns count="7">
    <tableColumn id="1" xr3:uid="{00000000-0010-0000-B300-000001000000}" name="BDC LIST" totalsRowLabel="Total" dataDxfId="10354" totalsRowDxfId="10353"/>
    <tableColumn id="2" xr3:uid="{00000000-0010-0000-B300-000002000000}" name="KSI_AGO" totalsRowFunction="sum" dataDxfId="10352" totalsRowDxfId="10351"/>
    <tableColumn id="3" xr3:uid="{00000000-0010-0000-B300-000003000000}" name="KSI_PMS" totalsRowFunction="sum" dataDxfId="10350" totalsRowDxfId="10349"/>
    <tableColumn id="4" xr3:uid="{00000000-0010-0000-B300-000004000000}" name="BUIPE_AGO" totalsRowFunction="sum" dataDxfId="10348" totalsRowDxfId="10347"/>
    <tableColumn id="5" xr3:uid="{00000000-0010-0000-B300-000005000000}" name="BUIPE_PMS" totalsRowFunction="sum" dataDxfId="10346" totalsRowDxfId="10345" dataCellStyle="Comma"/>
    <tableColumn id="6" xr3:uid="{00000000-0010-0000-B300-000006000000}" name="AKOSOMBO_AGO" totalsRowFunction="sum" dataDxfId="10344" totalsRowDxfId="10343"/>
    <tableColumn id="7" xr3:uid="{00000000-0010-0000-B300-000007000000}" name="DATE" dataDxfId="10342" totalsRowDxfId="10341">
      <calculatedColumnFormula>$G$3</calculatedColumnFormula>
    </tableColumn>
  </tableColumns>
  <tableStyleInfo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B4000000}" name="September15_2020" displayName="September15_2020" ref="B5:H20" totalsRowCount="1" headerRowDxfId="10340" headerRowBorderDxfId="10339" tableBorderDxfId="10338" totalsRowBorderDxfId="10337">
  <autoFilter ref="B5:H19" xr:uid="{00000000-0009-0000-0100-000041000000}"/>
  <sortState xmlns:xlrd2="http://schemas.microsoft.com/office/spreadsheetml/2017/richdata2" ref="B6:H18">
    <sortCondition ref="B6"/>
  </sortState>
  <tableColumns count="7">
    <tableColumn id="1" xr3:uid="{00000000-0010-0000-B400-000001000000}" name="BDC LIST" totalsRowLabel="Total" dataDxfId="10336" totalsRowDxfId="10335"/>
    <tableColumn id="2" xr3:uid="{00000000-0010-0000-B400-000002000000}" name="KSI_AGO" totalsRowFunction="sum" dataDxfId="10334" totalsRowDxfId="10333"/>
    <tableColumn id="3" xr3:uid="{00000000-0010-0000-B400-000003000000}" name="KSI_PMS" totalsRowFunction="sum" dataDxfId="10332" totalsRowDxfId="10331"/>
    <tableColumn id="4" xr3:uid="{00000000-0010-0000-B400-000004000000}" name="BUIPE_AGO" totalsRowFunction="sum" dataDxfId="10330" totalsRowDxfId="10329"/>
    <tableColumn id="5" xr3:uid="{00000000-0010-0000-B400-000005000000}" name="BUIPE_PMS" totalsRowFunction="sum" dataDxfId="10328" totalsRowDxfId="10327" dataCellStyle="Comma"/>
    <tableColumn id="6" xr3:uid="{00000000-0010-0000-B400-000006000000}" name="AKOSOMBO_AGO" totalsRowFunction="sum" dataDxfId="10326" totalsRowDxfId="10325"/>
    <tableColumn id="7" xr3:uid="{00000000-0010-0000-B400-000007000000}" name="DATE" dataDxfId="10324" totalsRowDxfId="10323">
      <calculatedColumnFormula>$G$3</calculatedColumnFormula>
    </tableColumn>
  </tableColumns>
  <tableStyleInfo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B5000000}" name="September16_2020" displayName="September16_2020" ref="B5:H20" totalsRowCount="1" headerRowDxfId="10322" headerRowBorderDxfId="10321" tableBorderDxfId="10320" totalsRowBorderDxfId="10319">
  <autoFilter ref="B5:H19" xr:uid="{00000000-0009-0000-0100-000042000000}"/>
  <sortState xmlns:xlrd2="http://schemas.microsoft.com/office/spreadsheetml/2017/richdata2" ref="B6:H18">
    <sortCondition ref="B6"/>
  </sortState>
  <tableColumns count="7">
    <tableColumn id="1" xr3:uid="{00000000-0010-0000-B500-000001000000}" name="BDC LIST" totalsRowLabel="Total" dataDxfId="10318" totalsRowDxfId="10317"/>
    <tableColumn id="2" xr3:uid="{00000000-0010-0000-B500-000002000000}" name="KSI_AGO" totalsRowFunction="sum" dataDxfId="10316" totalsRowDxfId="10315"/>
    <tableColumn id="3" xr3:uid="{00000000-0010-0000-B500-000003000000}" name="KSI_PMS" totalsRowFunction="sum" dataDxfId="10314" totalsRowDxfId="10313"/>
    <tableColumn id="4" xr3:uid="{00000000-0010-0000-B500-000004000000}" name="BUIPE_AGO" totalsRowFunction="sum" dataDxfId="10312" totalsRowDxfId="10311"/>
    <tableColumn id="5" xr3:uid="{00000000-0010-0000-B500-000005000000}" name="BUIPE_PMS" totalsRowFunction="sum" dataDxfId="10310" totalsRowDxfId="10309" dataCellStyle="Comma"/>
    <tableColumn id="6" xr3:uid="{00000000-0010-0000-B500-000006000000}" name="AKOSOMBO_AGO" totalsRowFunction="sum" dataDxfId="10308" totalsRowDxfId="10307"/>
    <tableColumn id="7" xr3:uid="{00000000-0010-0000-B500-000007000000}" name="DATE" dataDxfId="10306" totalsRowDxfId="10305">
      <calculatedColumnFormula>$G$3</calculatedColumnFormula>
    </tableColumn>
  </tableColumns>
  <tableStyleInfo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B6000000}" name="September17_2020" displayName="September17_2020" ref="B5:H20" totalsRowCount="1" headerRowDxfId="10304" headerRowBorderDxfId="10303" tableBorderDxfId="10302" totalsRowBorderDxfId="10301">
  <autoFilter ref="B5:H19" xr:uid="{00000000-0009-0000-0100-000043000000}"/>
  <sortState xmlns:xlrd2="http://schemas.microsoft.com/office/spreadsheetml/2017/richdata2" ref="B6:H18">
    <sortCondition ref="B6"/>
  </sortState>
  <tableColumns count="7">
    <tableColumn id="1" xr3:uid="{00000000-0010-0000-B600-000001000000}" name="BDC LIST" totalsRowLabel="Total" dataDxfId="10300" totalsRowDxfId="10299"/>
    <tableColumn id="2" xr3:uid="{00000000-0010-0000-B600-000002000000}" name="KSI_AGO" totalsRowFunction="sum" dataDxfId="10298" totalsRowDxfId="10297"/>
    <tableColumn id="3" xr3:uid="{00000000-0010-0000-B600-000003000000}" name="KSI_PMS" totalsRowFunction="sum" dataDxfId="10296" totalsRowDxfId="10295"/>
    <tableColumn id="4" xr3:uid="{00000000-0010-0000-B600-000004000000}" name="BUIPE_AGO" totalsRowFunction="sum" dataDxfId="10294" totalsRowDxfId="10293"/>
    <tableColumn id="5" xr3:uid="{00000000-0010-0000-B600-000005000000}" name="BUIPE_PMS" totalsRowFunction="sum" dataDxfId="10292" totalsRowDxfId="10291" dataCellStyle="Comma"/>
    <tableColumn id="6" xr3:uid="{00000000-0010-0000-B600-000006000000}" name="AKOSOMBO_AGO" totalsRowFunction="sum" dataDxfId="10290" totalsRowDxfId="10289"/>
    <tableColumn id="7" xr3:uid="{00000000-0010-0000-B600-000007000000}" name="DATE" dataDxfId="10288" totalsRowDxfId="10287">
      <calculatedColumnFormula>$G$3</calculatedColumnFormula>
    </tableColumn>
  </tableColumns>
  <tableStyleInfo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B7000000}" name="September18_2020" displayName="September18_2020" ref="B5:H20" totalsRowCount="1" headerRowDxfId="10286" headerRowBorderDxfId="10285" tableBorderDxfId="10284" totalsRowBorderDxfId="10283">
  <autoFilter ref="B5:H19" xr:uid="{00000000-0009-0000-0100-000037000000}"/>
  <sortState xmlns:xlrd2="http://schemas.microsoft.com/office/spreadsheetml/2017/richdata2" ref="B6:H18">
    <sortCondition ref="B6"/>
  </sortState>
  <tableColumns count="7">
    <tableColumn id="1" xr3:uid="{00000000-0010-0000-B700-000001000000}" name="BDC LIST" totalsRowLabel="Total" dataDxfId="10282" totalsRowDxfId="10281"/>
    <tableColumn id="2" xr3:uid="{00000000-0010-0000-B700-000002000000}" name="KSI_AGO" totalsRowFunction="sum" dataDxfId="10280" totalsRowDxfId="10279"/>
    <tableColumn id="3" xr3:uid="{00000000-0010-0000-B700-000003000000}" name="KSI_PMS" totalsRowFunction="sum" dataDxfId="10278" totalsRowDxfId="10277"/>
    <tableColumn id="4" xr3:uid="{00000000-0010-0000-B700-000004000000}" name="BUIPE_AGO" totalsRowFunction="sum" dataDxfId="10276" totalsRowDxfId="10275"/>
    <tableColumn id="5" xr3:uid="{00000000-0010-0000-B700-000005000000}" name="BUIPE_PMS" totalsRowFunction="sum" dataDxfId="10274" totalsRowDxfId="10273" dataCellStyle="Comma"/>
    <tableColumn id="6" xr3:uid="{00000000-0010-0000-B700-000006000000}" name="AKOSOMBO_AGO" totalsRowFunction="sum" dataDxfId="10272" totalsRowDxfId="10271"/>
    <tableColumn id="7" xr3:uid="{00000000-0010-0000-B700-000007000000}" name="DATE" dataDxfId="10270" totalsRowDxfId="10269">
      <calculatedColumnFormula>$G$3</calculatedColumnFormula>
    </tableColumn>
  </tableColumns>
  <tableStyleInfo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B8000000}" name="September22_2020" displayName="September22_2020" ref="B5:H20" totalsRowCount="1" headerRowDxfId="10268" headerRowBorderDxfId="10267" tableBorderDxfId="10266" totalsRowBorderDxfId="10265">
  <autoFilter ref="B5:H19" xr:uid="{00000000-0009-0000-0100-00003D000000}"/>
  <sortState xmlns:xlrd2="http://schemas.microsoft.com/office/spreadsheetml/2017/richdata2" ref="B6:H18">
    <sortCondition ref="B6"/>
  </sortState>
  <tableColumns count="7">
    <tableColumn id="1" xr3:uid="{00000000-0010-0000-B800-000001000000}" name="BDC LIST" totalsRowLabel="Total" dataDxfId="10264" totalsRowDxfId="10263"/>
    <tableColumn id="2" xr3:uid="{00000000-0010-0000-B800-000002000000}" name="KSI_AGO" totalsRowFunction="sum" dataDxfId="10262" totalsRowDxfId="10261"/>
    <tableColumn id="3" xr3:uid="{00000000-0010-0000-B800-000003000000}" name="KSI_PMS" totalsRowFunction="sum" dataDxfId="10260" totalsRowDxfId="10259"/>
    <tableColumn id="4" xr3:uid="{00000000-0010-0000-B800-000004000000}" name="BUIPE_AGO" totalsRowFunction="sum" dataDxfId="10258" totalsRowDxfId="10257"/>
    <tableColumn id="5" xr3:uid="{00000000-0010-0000-B800-000005000000}" name="BUIPE_PMS" totalsRowFunction="sum" dataDxfId="10256" totalsRowDxfId="10255" dataCellStyle="Comma"/>
    <tableColumn id="6" xr3:uid="{00000000-0010-0000-B800-000006000000}" name="AKOSOMBO_AGO" totalsRowFunction="sum" dataDxfId="10254" totalsRowDxfId="10253"/>
    <tableColumn id="7" xr3:uid="{00000000-0010-0000-B800-000007000000}" name="DATE" dataDxfId="10252" totalsRowDxfId="10251">
      <calculatedColumnFormula>$G$3</calculatedColumnFormula>
    </tableColumn>
  </tableColumns>
  <tableStyleInfo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B9000000}" name="September23_2020" displayName="September23_2020" ref="B5:H20" totalsRowCount="1" headerRowDxfId="10250" headerRowBorderDxfId="10249" tableBorderDxfId="10248" totalsRowBorderDxfId="10247">
  <autoFilter ref="B5:H19" xr:uid="{00000000-0009-0000-0100-00003E000000}"/>
  <sortState xmlns:xlrd2="http://schemas.microsoft.com/office/spreadsheetml/2017/richdata2" ref="B6:H18">
    <sortCondition ref="B6"/>
  </sortState>
  <tableColumns count="7">
    <tableColumn id="1" xr3:uid="{00000000-0010-0000-B900-000001000000}" name="BDC LIST" totalsRowLabel="Total" dataDxfId="10246" totalsRowDxfId="10245"/>
    <tableColumn id="2" xr3:uid="{00000000-0010-0000-B900-000002000000}" name="KSI_AGO" totalsRowFunction="sum" dataDxfId="10244" totalsRowDxfId="10243"/>
    <tableColumn id="3" xr3:uid="{00000000-0010-0000-B900-000003000000}" name="KSI_PMS" totalsRowFunction="sum" dataDxfId="10242" totalsRowDxfId="10241"/>
    <tableColumn id="4" xr3:uid="{00000000-0010-0000-B900-000004000000}" name="BUIPE_AGO" totalsRowFunction="sum" dataDxfId="10240" totalsRowDxfId="10239"/>
    <tableColumn id="5" xr3:uid="{00000000-0010-0000-B900-000005000000}" name="BUIPE_PMS" totalsRowFunction="sum" dataDxfId="10238" totalsRowDxfId="10237" dataCellStyle="Comma"/>
    <tableColumn id="6" xr3:uid="{00000000-0010-0000-B900-000006000000}" name="AKOSOMBO_AGO" totalsRowFunction="sum" dataDxfId="10236" totalsRowDxfId="10235"/>
    <tableColumn id="7" xr3:uid="{00000000-0010-0000-B900-000007000000}" name="DATE" dataDxfId="10234" totalsRowDxfId="10233">
      <calculatedColumnFormula>$G$3</calculatedColumnFormula>
    </tableColumn>
  </tableColumns>
  <tableStyleInfo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5DB6763-788E-4AED-9FC2-1C3DC2449C6B}" name="September24_2020" displayName="September24_2020" ref="B5:H20" totalsRowCount="1" headerRowDxfId="10232" headerRowBorderDxfId="10231" tableBorderDxfId="10230" totalsRowBorderDxfId="10229">
  <autoFilter ref="B5:H19" xr:uid="{CF649B0E-F00A-439C-9F7E-39DB92EC8E62}"/>
  <sortState xmlns:xlrd2="http://schemas.microsoft.com/office/spreadsheetml/2017/richdata2" ref="B6:H18">
    <sortCondition ref="B6"/>
  </sortState>
  <tableColumns count="7">
    <tableColumn id="1" xr3:uid="{DE7D05A7-9627-41C1-8931-A06CA9866EBB}" name="BDC LIST" totalsRowLabel="Total" dataDxfId="10228" totalsRowDxfId="10227"/>
    <tableColumn id="2" xr3:uid="{F4807E07-BA59-43E2-A166-F6197953E6A4}" name="KSI_AGO" totalsRowFunction="sum" dataDxfId="10226" totalsRowDxfId="10225"/>
    <tableColumn id="3" xr3:uid="{F2B33EB9-21DF-47C3-A310-17753397F9A1}" name="KSI_PMS" totalsRowFunction="sum" dataDxfId="10224" totalsRowDxfId="10223"/>
    <tableColumn id="4" xr3:uid="{65C18F1D-0966-4D64-ADCB-81AEC0C2BA4D}" name="BUIPE_AGO" totalsRowFunction="sum" dataDxfId="10222" totalsRowDxfId="10221"/>
    <tableColumn id="5" xr3:uid="{F2EA2D4E-CE10-4ACD-9CA6-FCEA596AE225}" name="BUIPE_PMS" totalsRowFunction="sum" dataDxfId="10220" totalsRowDxfId="10219" dataCellStyle="Comma"/>
    <tableColumn id="6" xr3:uid="{43D8A369-441D-45A8-B5E8-B2588C0945AB}" name="AKOSOMBO_AGO" totalsRowFunction="sum" dataDxfId="10218" totalsRowDxfId="10217"/>
    <tableColumn id="7" xr3:uid="{2D993BF5-AE11-4E7A-B093-BBB0BD802B1A}" name="DATE" dataDxfId="10216" totalsRowDxfId="10215">
      <calculatedColumnFormula>$G$3</calculatedColumnFormula>
    </tableColumn>
  </tableColumns>
  <tableStyleInfo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BB000000}" name="September25_2020" displayName="September25_2020" ref="B5:H20" totalsRowCount="1" headerRowDxfId="10214" headerRowBorderDxfId="10213" tableBorderDxfId="10212" totalsRowBorderDxfId="10211">
  <autoFilter ref="B5:H19" xr:uid="{00000000-0009-0000-0100-00003C000000}"/>
  <sortState xmlns:xlrd2="http://schemas.microsoft.com/office/spreadsheetml/2017/richdata2" ref="B6:H18">
    <sortCondition ref="B6"/>
  </sortState>
  <tableColumns count="7">
    <tableColumn id="1" xr3:uid="{00000000-0010-0000-BB00-000001000000}" name="BDC LIST" totalsRowLabel="Total" dataDxfId="10210" totalsRowDxfId="10209"/>
    <tableColumn id="2" xr3:uid="{00000000-0010-0000-BB00-000002000000}" name="KSI_AGO" totalsRowFunction="sum" dataDxfId="10208" totalsRowDxfId="10207"/>
    <tableColumn id="3" xr3:uid="{00000000-0010-0000-BB00-000003000000}" name="KSI_PMS" totalsRowFunction="sum" dataDxfId="10206" totalsRowDxfId="10205"/>
    <tableColumn id="4" xr3:uid="{00000000-0010-0000-BB00-000004000000}" name="BUIPE_AGO" totalsRowFunction="sum" dataDxfId="10204" totalsRowDxfId="10203"/>
    <tableColumn id="5" xr3:uid="{00000000-0010-0000-BB00-000005000000}" name="BUIPE_PMS" totalsRowFunction="sum" dataDxfId="10202" totalsRowDxfId="10201" dataCellStyle="Comma"/>
    <tableColumn id="6" xr3:uid="{00000000-0010-0000-BB00-000006000000}" name="AKOSOMBO_AGO" totalsRowFunction="sum" dataDxfId="10200" totalsRowDxfId="10199"/>
    <tableColumn id="7" xr3:uid="{00000000-0010-0000-BB00-000007000000}" name="DATE" dataDxfId="10198" totalsRowDxfId="10197">
      <calculatedColumnFormula>$G$3</calculatedColumnFormula>
    </tableColumn>
  </tableColumns>
  <tableStyleInfo showFirstColumn="0"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BC000000}" name="September28_2020" displayName="September28_2020" ref="B5:H20" totalsRowCount="1" headerRowDxfId="10196" headerRowBorderDxfId="10195" tableBorderDxfId="10194" totalsRowBorderDxfId="10193">
  <autoFilter ref="B5:H19" xr:uid="{00000000-0009-0000-0100-000046000000}"/>
  <sortState xmlns:xlrd2="http://schemas.microsoft.com/office/spreadsheetml/2017/richdata2" ref="B6:H18">
    <sortCondition ref="B6"/>
  </sortState>
  <tableColumns count="7">
    <tableColumn id="1" xr3:uid="{00000000-0010-0000-BC00-000001000000}" name="BDC LIST" totalsRowLabel="Total" dataDxfId="10192" totalsRowDxfId="10191"/>
    <tableColumn id="2" xr3:uid="{00000000-0010-0000-BC00-000002000000}" name="KSI_AGO" totalsRowFunction="sum" dataDxfId="10190" totalsRowDxfId="10189"/>
    <tableColumn id="3" xr3:uid="{00000000-0010-0000-BC00-000003000000}" name="KSI_PMS" totalsRowFunction="sum" dataDxfId="10188" totalsRowDxfId="10187"/>
    <tableColumn id="4" xr3:uid="{00000000-0010-0000-BC00-000004000000}" name="BUIPE_AGO" totalsRowFunction="sum" dataDxfId="10186" totalsRowDxfId="10185"/>
    <tableColumn id="5" xr3:uid="{00000000-0010-0000-BC00-000005000000}" name="BUIPE_PMS" totalsRowFunction="sum" dataDxfId="10184" totalsRowDxfId="10183" dataCellStyle="Comma"/>
    <tableColumn id="6" xr3:uid="{00000000-0010-0000-BC00-000006000000}" name="AKOSOMBO_AGO" totalsRowFunction="sum" dataDxfId="10182" totalsRowDxfId="10181"/>
    <tableColumn id="7" xr3:uid="{00000000-0010-0000-BC00-000007000000}" name="DATE" dataDxfId="10180" totalsRowDxfId="10179">
      <calculatedColumnFormula>$G$3</calculatedColumnFormula>
    </tableColumn>
  </tableColumns>
  <tableStyleInfo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BD000000}" name="September29_2020" displayName="September29_2020" ref="B5:H20" totalsRowCount="1" headerRowDxfId="10178" headerRowBorderDxfId="10177" tableBorderDxfId="10176" totalsRowBorderDxfId="10175">
  <autoFilter ref="B5:H19" xr:uid="{00000000-0009-0000-0100-000047000000}"/>
  <sortState xmlns:xlrd2="http://schemas.microsoft.com/office/spreadsheetml/2017/richdata2" ref="B6:H18">
    <sortCondition ref="B6"/>
  </sortState>
  <tableColumns count="7">
    <tableColumn id="1" xr3:uid="{00000000-0010-0000-BD00-000001000000}" name="BDC LIST" totalsRowLabel="Total" dataDxfId="10174" totalsRowDxfId="10173"/>
    <tableColumn id="2" xr3:uid="{00000000-0010-0000-BD00-000002000000}" name="KSI_AGO" totalsRowFunction="sum" dataDxfId="10172" totalsRowDxfId="10171"/>
    <tableColumn id="3" xr3:uid="{00000000-0010-0000-BD00-000003000000}" name="KSI_PMS" totalsRowFunction="sum" dataDxfId="10170" totalsRowDxfId="10169"/>
    <tableColumn id="4" xr3:uid="{00000000-0010-0000-BD00-000004000000}" name="BUIPE_AGO" totalsRowFunction="sum" dataDxfId="10168" totalsRowDxfId="10167"/>
    <tableColumn id="5" xr3:uid="{00000000-0010-0000-BD00-000005000000}" name="BUIPE_PMS" totalsRowFunction="sum" dataDxfId="10166" totalsRowDxfId="10165" dataCellStyle="Comma"/>
    <tableColumn id="6" xr3:uid="{00000000-0010-0000-BD00-000006000000}" name="AKOSOMBO_AGO" totalsRowFunction="sum" dataDxfId="10164" totalsRowDxfId="10163"/>
    <tableColumn id="7" xr3:uid="{00000000-0010-0000-BD00-000007000000}" name="DATE" dataDxfId="10162" totalsRowDxfId="10161">
      <calculatedColumnFormula>$G$3</calculatedColumnFormula>
    </tableColumn>
  </tableColumns>
  <tableStyleInfo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BE000000}" name="September30_2020" displayName="September30_2020" ref="B5:H20" totalsRowCount="1" headerRowDxfId="10160" headerRowBorderDxfId="10159" tableBorderDxfId="10158" totalsRowBorderDxfId="10157">
  <autoFilter ref="B5:H19" xr:uid="{00000000-0009-0000-0100-000038000000}"/>
  <sortState xmlns:xlrd2="http://schemas.microsoft.com/office/spreadsheetml/2017/richdata2" ref="B6:H18">
    <sortCondition ref="B6"/>
  </sortState>
  <tableColumns count="7">
    <tableColumn id="1" xr3:uid="{00000000-0010-0000-BE00-000001000000}" name="BDC LIST" totalsRowLabel="Total" dataDxfId="10156" totalsRowDxfId="10155"/>
    <tableColumn id="2" xr3:uid="{00000000-0010-0000-BE00-000002000000}" name="KSI_AGO" totalsRowFunction="sum" dataDxfId="10154" totalsRowDxfId="10153"/>
    <tableColumn id="3" xr3:uid="{00000000-0010-0000-BE00-000003000000}" name="KSI_PMS" totalsRowFunction="sum" dataDxfId="10152" totalsRowDxfId="10151"/>
    <tableColumn id="4" xr3:uid="{00000000-0010-0000-BE00-000004000000}" name="BUIPE_AGO" totalsRowFunction="sum" dataDxfId="10150" totalsRowDxfId="10149"/>
    <tableColumn id="5" xr3:uid="{00000000-0010-0000-BE00-000005000000}" name="BUIPE_PMS" totalsRowFunction="sum" dataDxfId="10148" totalsRowDxfId="10147" dataCellStyle="Comma"/>
    <tableColumn id="6" xr3:uid="{00000000-0010-0000-BE00-000006000000}" name="AKOSOMBO_AGO" totalsRowFunction="sum" dataDxfId="10146" totalsRowDxfId="10145"/>
    <tableColumn id="7" xr3:uid="{00000000-0010-0000-BE00-000007000000}" name="DATE" dataDxfId="10144" totalsRowDxfId="10143">
      <calculatedColumnFormula>$G$3</calculatedColumnFormula>
    </tableColumn>
  </tableColumns>
  <tableStyleInfo showFirstColumn="0"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BF000000}" name="October01_2020" displayName="October01_2020" ref="B5:H20" totalsRowCount="1" headerRowDxfId="10142" headerRowBorderDxfId="10141" tableBorderDxfId="10140" totalsRowBorderDxfId="10139">
  <autoFilter ref="B5:H19" xr:uid="{00000000-0009-0000-0100-000045000000}"/>
  <sortState xmlns:xlrd2="http://schemas.microsoft.com/office/spreadsheetml/2017/richdata2" ref="B6:H18">
    <sortCondition ref="B6"/>
  </sortState>
  <tableColumns count="7">
    <tableColumn id="1" xr3:uid="{00000000-0010-0000-BF00-000001000000}" name="BDC LIST" totalsRowLabel="Total" dataDxfId="10138" totalsRowDxfId="10137"/>
    <tableColumn id="2" xr3:uid="{00000000-0010-0000-BF00-000002000000}" name="KSI_AGO" totalsRowFunction="sum" dataDxfId="10136" totalsRowDxfId="10135"/>
    <tableColumn id="3" xr3:uid="{00000000-0010-0000-BF00-000003000000}" name="KSI_PMS" totalsRowFunction="sum" dataDxfId="10134" totalsRowDxfId="10133"/>
    <tableColumn id="4" xr3:uid="{00000000-0010-0000-BF00-000004000000}" name="BUIPE_AGO" totalsRowFunction="sum" dataDxfId="10132" totalsRowDxfId="10131"/>
    <tableColumn id="5" xr3:uid="{00000000-0010-0000-BF00-000005000000}" name="BUIPE_PMS" totalsRowFunction="sum" dataDxfId="10130" totalsRowDxfId="10129" dataCellStyle="Comma"/>
    <tableColumn id="6" xr3:uid="{00000000-0010-0000-BF00-000006000000}" name="AKOSOMBO_AGO" totalsRowFunction="sum" dataDxfId="10128" totalsRowDxfId="10127"/>
    <tableColumn id="7" xr3:uid="{00000000-0010-0000-BF00-000007000000}" name="DATE" dataDxfId="10126" totalsRowDxfId="10125">
      <calculatedColumnFormula>$G$3</calculatedColumnFormula>
    </tableColumn>
  </tableColumns>
  <tableStyleInfo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C0000000}" name="October02_2020" displayName="October02_2020" ref="B5:H20" totalsRowCount="1" headerRowDxfId="10124" headerRowBorderDxfId="10123" tableBorderDxfId="10122" totalsRowBorderDxfId="10121">
  <autoFilter ref="B5:H19" xr:uid="{00000000-0009-0000-0100-000048000000}"/>
  <sortState xmlns:xlrd2="http://schemas.microsoft.com/office/spreadsheetml/2017/richdata2" ref="B6:H18">
    <sortCondition ref="B6"/>
  </sortState>
  <tableColumns count="7">
    <tableColumn id="1" xr3:uid="{00000000-0010-0000-C000-000001000000}" name="BDC LIST" totalsRowLabel="Total" dataDxfId="10120" totalsRowDxfId="10119"/>
    <tableColumn id="2" xr3:uid="{00000000-0010-0000-C000-000002000000}" name="KSI_AGO" totalsRowFunction="sum" dataDxfId="10118" totalsRowDxfId="10117"/>
    <tableColumn id="3" xr3:uid="{00000000-0010-0000-C000-000003000000}" name="KSI_PMS" totalsRowFunction="sum" dataDxfId="10116" totalsRowDxfId="10115"/>
    <tableColumn id="4" xr3:uid="{00000000-0010-0000-C000-000004000000}" name="BUIPE_AGO" totalsRowFunction="sum" dataDxfId="10114" totalsRowDxfId="10113"/>
    <tableColumn id="5" xr3:uid="{00000000-0010-0000-C000-000005000000}" name="BUIPE_PMS" totalsRowFunction="sum" dataDxfId="10112" totalsRowDxfId="10111" dataCellStyle="Comma"/>
    <tableColumn id="6" xr3:uid="{00000000-0010-0000-C000-000006000000}" name="AKOSOMBO_AGO" totalsRowFunction="sum" dataDxfId="10110" totalsRowDxfId="10109"/>
    <tableColumn id="7" xr3:uid="{00000000-0010-0000-C000-000007000000}" name="DATE" dataDxfId="10108" totalsRowDxfId="10107">
      <calculatedColumnFormula>$G$3</calculatedColumnFormula>
    </tableColumn>
  </tableColumns>
  <tableStyleInfo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C1000000}" name="October05_2020" displayName="October05_2020" ref="B5:H20" totalsRowCount="1" headerRowDxfId="10106" headerRowBorderDxfId="10105" tableBorderDxfId="10104" totalsRowBorderDxfId="10103">
  <autoFilter ref="B5:H19" xr:uid="{00000000-0009-0000-0100-000049000000}"/>
  <sortState xmlns:xlrd2="http://schemas.microsoft.com/office/spreadsheetml/2017/richdata2" ref="B6:H18">
    <sortCondition ref="B6"/>
  </sortState>
  <tableColumns count="7">
    <tableColumn id="1" xr3:uid="{00000000-0010-0000-C100-000001000000}" name="BDC LIST" totalsRowLabel="Total" dataDxfId="10102" totalsRowDxfId="10101"/>
    <tableColumn id="2" xr3:uid="{00000000-0010-0000-C100-000002000000}" name="KSI_AGO" totalsRowFunction="sum" dataDxfId="10100" totalsRowDxfId="10099"/>
    <tableColumn id="3" xr3:uid="{00000000-0010-0000-C100-000003000000}" name="KSI_PMS" totalsRowFunction="sum" dataDxfId="10098" totalsRowDxfId="10097"/>
    <tableColumn id="4" xr3:uid="{00000000-0010-0000-C100-000004000000}" name="BUIPE_AGO" totalsRowFunction="sum" dataDxfId="10096" totalsRowDxfId="10095"/>
    <tableColumn id="5" xr3:uid="{00000000-0010-0000-C100-000005000000}" name="BUIPE_PMS" totalsRowFunction="sum" dataDxfId="10094" totalsRowDxfId="10093" dataCellStyle="Comma"/>
    <tableColumn id="6" xr3:uid="{00000000-0010-0000-C100-000006000000}" name="AKOSOMBO_AGO" totalsRowFunction="sum" dataDxfId="10092" totalsRowDxfId="10091"/>
    <tableColumn id="7" xr3:uid="{00000000-0010-0000-C100-000007000000}" name="DATE" dataDxfId="10090" totalsRowDxfId="10089">
      <calculatedColumnFormula>$G$3</calculatedColumnFormula>
    </tableColumn>
  </tableColumns>
  <tableStyleInfo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C2000000}" name="October06_2020" displayName="October06_2020" ref="B5:H20" totalsRowCount="1" headerRowDxfId="10088" headerRowBorderDxfId="10087" tableBorderDxfId="10086" totalsRowBorderDxfId="10085">
  <autoFilter ref="B5:H19" xr:uid="{00000000-0009-0000-0100-000044000000}"/>
  <sortState xmlns:xlrd2="http://schemas.microsoft.com/office/spreadsheetml/2017/richdata2" ref="B6:H18">
    <sortCondition ref="B6"/>
  </sortState>
  <tableColumns count="7">
    <tableColumn id="1" xr3:uid="{00000000-0010-0000-C200-000001000000}" name="BDC LIST" totalsRowLabel="Total" dataDxfId="10084" totalsRowDxfId="10083"/>
    <tableColumn id="2" xr3:uid="{00000000-0010-0000-C200-000002000000}" name="KSI_AGO" totalsRowFunction="sum" dataDxfId="10082" totalsRowDxfId="10081"/>
    <tableColumn id="3" xr3:uid="{00000000-0010-0000-C200-000003000000}" name="KSI_PMS" totalsRowFunction="sum" dataDxfId="10080" totalsRowDxfId="10079"/>
    <tableColumn id="4" xr3:uid="{00000000-0010-0000-C200-000004000000}" name="BUIPE_AGO" totalsRowFunction="sum" dataDxfId="10078" totalsRowDxfId="10077"/>
    <tableColumn id="5" xr3:uid="{00000000-0010-0000-C200-000005000000}" name="BUIPE_PMS" totalsRowFunction="sum" dataDxfId="10076" totalsRowDxfId="10075" dataCellStyle="Comma"/>
    <tableColumn id="6" xr3:uid="{00000000-0010-0000-C200-000006000000}" name="AKOSOMBO_AGO" totalsRowFunction="sum" dataDxfId="10074" totalsRowDxfId="10073"/>
    <tableColumn id="7" xr3:uid="{00000000-0010-0000-C200-000007000000}" name="DATE" dataDxfId="10072" totalsRowDxfId="10071">
      <calculatedColumnFormula>$G$3</calculatedColumnFormula>
    </tableColumn>
  </tableColumns>
  <tableStyleInfo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C3000000}" name="October07_2020" displayName="October07_2020" ref="B5:H20" totalsRowCount="1" headerRowDxfId="10070" headerRowBorderDxfId="10069" tableBorderDxfId="10068" totalsRowBorderDxfId="10067">
  <autoFilter ref="B5:H19" xr:uid="{00000000-0009-0000-0100-00004A000000}"/>
  <sortState xmlns:xlrd2="http://schemas.microsoft.com/office/spreadsheetml/2017/richdata2" ref="B6:H18">
    <sortCondition ref="B6"/>
  </sortState>
  <tableColumns count="7">
    <tableColumn id="1" xr3:uid="{00000000-0010-0000-C300-000001000000}" name="BDC LIST" totalsRowLabel="Total" dataDxfId="10066" totalsRowDxfId="10065"/>
    <tableColumn id="2" xr3:uid="{00000000-0010-0000-C300-000002000000}" name="KSI_AGO" totalsRowFunction="sum" dataDxfId="10064" totalsRowDxfId="10063"/>
    <tableColumn id="3" xr3:uid="{00000000-0010-0000-C300-000003000000}" name="KSI_PMS" totalsRowFunction="sum" dataDxfId="10062" totalsRowDxfId="10061"/>
    <tableColumn id="4" xr3:uid="{00000000-0010-0000-C300-000004000000}" name="BUIPE_AGO" totalsRowFunction="sum" dataDxfId="10060" totalsRowDxfId="10059"/>
    <tableColumn id="5" xr3:uid="{00000000-0010-0000-C300-000005000000}" name="BUIPE_PMS" totalsRowFunction="sum" dataDxfId="10058" totalsRowDxfId="10057" dataCellStyle="Comma"/>
    <tableColumn id="6" xr3:uid="{00000000-0010-0000-C300-000006000000}" name="AKOSOMBO_AGO" totalsRowFunction="sum" dataDxfId="10056" totalsRowDxfId="10055"/>
    <tableColumn id="7" xr3:uid="{00000000-0010-0000-C300-000007000000}" name="DATE" dataDxfId="10054" totalsRowDxfId="10053">
      <calculatedColumnFormula>$G$3</calculatedColumnFormula>
    </tableColumn>
  </tableColumns>
  <tableStyleInfo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C4000000}" name="October08_2020" displayName="October08_2020" ref="B5:H20" totalsRowCount="1" headerRowDxfId="10052" headerRowBorderDxfId="10051" tableBorderDxfId="10050" totalsRowBorderDxfId="10049">
  <autoFilter ref="B5:H19" xr:uid="{00000000-0009-0000-0100-00004B000000}"/>
  <sortState xmlns:xlrd2="http://schemas.microsoft.com/office/spreadsheetml/2017/richdata2" ref="B6:H18">
    <sortCondition ref="B6"/>
  </sortState>
  <tableColumns count="7">
    <tableColumn id="1" xr3:uid="{00000000-0010-0000-C400-000001000000}" name="BDC LIST" totalsRowLabel="Total" dataDxfId="10048" totalsRowDxfId="10047"/>
    <tableColumn id="2" xr3:uid="{00000000-0010-0000-C400-000002000000}" name="KSI_AGO" totalsRowFunction="sum" dataDxfId="10046" totalsRowDxfId="10045"/>
    <tableColumn id="3" xr3:uid="{00000000-0010-0000-C400-000003000000}" name="KSI_PMS" totalsRowFunction="sum" dataDxfId="10044" totalsRowDxfId="10043"/>
    <tableColumn id="4" xr3:uid="{00000000-0010-0000-C400-000004000000}" name="BUIPE_AGO" totalsRowFunction="sum" dataDxfId="10042" totalsRowDxfId="10041"/>
    <tableColumn id="5" xr3:uid="{00000000-0010-0000-C400-000005000000}" name="BUIPE_PMS" totalsRowFunction="sum" dataDxfId="10040" totalsRowDxfId="10039" dataCellStyle="Comma"/>
    <tableColumn id="6" xr3:uid="{00000000-0010-0000-C400-000006000000}" name="AKOSOMBO_AGO" totalsRowFunction="sum" dataDxfId="10038" totalsRowDxfId="10037"/>
    <tableColumn id="7" xr3:uid="{00000000-0010-0000-C400-000007000000}" name="DATE" dataDxfId="10036" totalsRowDxfId="10035">
      <calculatedColumnFormula>$G$3</calculatedColumnFormula>
    </tableColumn>
  </tableColumns>
  <tableStyleInfo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C5000000}" name="October09_2020" displayName="October09_2020" ref="B5:H20" totalsRowCount="1" headerRowDxfId="10034" headerRowBorderDxfId="10033" tableBorderDxfId="10032" totalsRowBorderDxfId="10031">
  <autoFilter ref="B5:H19" xr:uid="{00000000-0009-0000-0100-00004D000000}"/>
  <sortState xmlns:xlrd2="http://schemas.microsoft.com/office/spreadsheetml/2017/richdata2" ref="B6:H18">
    <sortCondition ref="B6"/>
  </sortState>
  <tableColumns count="7">
    <tableColumn id="1" xr3:uid="{00000000-0010-0000-C500-000001000000}" name="BDC LIST" totalsRowLabel="Total" dataDxfId="10030" totalsRowDxfId="10029"/>
    <tableColumn id="2" xr3:uid="{00000000-0010-0000-C500-000002000000}" name="KSI_AGO" totalsRowFunction="sum" dataDxfId="10028" totalsRowDxfId="10027"/>
    <tableColumn id="3" xr3:uid="{00000000-0010-0000-C500-000003000000}" name="KSI_PMS" totalsRowFunction="sum" dataDxfId="10026" totalsRowDxfId="10025"/>
    <tableColumn id="4" xr3:uid="{00000000-0010-0000-C500-000004000000}" name="BUIPE_AGO" totalsRowFunction="sum" dataDxfId="10024" totalsRowDxfId="10023"/>
    <tableColumn id="5" xr3:uid="{00000000-0010-0000-C500-000005000000}" name="BUIPE_PMS" totalsRowFunction="sum" dataDxfId="10022" totalsRowDxfId="10021" dataCellStyle="Comma"/>
    <tableColumn id="6" xr3:uid="{00000000-0010-0000-C500-000006000000}" name="AKOSOMBO_AGO" totalsRowFunction="sum" dataDxfId="10020" totalsRowDxfId="10019"/>
    <tableColumn id="7" xr3:uid="{00000000-0010-0000-C500-000007000000}" name="DATE" dataDxfId="10018" totalsRowDxfId="10017">
      <calculatedColumnFormula>$G$3</calculatedColumnFormula>
    </tableColumn>
  </tableColumns>
  <tableStyleInfo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C6000000}" name="October12_2020" displayName="October12_2020" ref="B5:H20" totalsRowCount="1" headerRowDxfId="10016" headerRowBorderDxfId="10015" tableBorderDxfId="10014" totalsRowBorderDxfId="10013">
  <autoFilter ref="B5:H19" xr:uid="{00000000-0009-0000-0100-00004C000000}"/>
  <sortState xmlns:xlrd2="http://schemas.microsoft.com/office/spreadsheetml/2017/richdata2" ref="B6:H18">
    <sortCondition ref="B6"/>
  </sortState>
  <tableColumns count="7">
    <tableColumn id="1" xr3:uid="{00000000-0010-0000-C600-000001000000}" name="BDC LIST" totalsRowLabel="Total" dataDxfId="10012" totalsRowDxfId="10011"/>
    <tableColumn id="2" xr3:uid="{00000000-0010-0000-C600-000002000000}" name="KSI_AGO" totalsRowFunction="sum" dataDxfId="10010" totalsRowDxfId="10009"/>
    <tableColumn id="3" xr3:uid="{00000000-0010-0000-C600-000003000000}" name="KSI_PMS" totalsRowFunction="sum" dataDxfId="10008" totalsRowDxfId="10007"/>
    <tableColumn id="4" xr3:uid="{00000000-0010-0000-C600-000004000000}" name="BUIPE_AGO" totalsRowFunction="sum" dataDxfId="10006" totalsRowDxfId="10005"/>
    <tableColumn id="5" xr3:uid="{00000000-0010-0000-C600-000005000000}" name="BUIPE_PMS" totalsRowFunction="sum" dataDxfId="10004" totalsRowDxfId="10003" dataCellStyle="Comma"/>
    <tableColumn id="6" xr3:uid="{00000000-0010-0000-C600-000006000000}" name="AKOSOMBO_AGO" totalsRowFunction="sum" dataDxfId="10002" totalsRowDxfId="10001"/>
    <tableColumn id="7" xr3:uid="{00000000-0010-0000-C600-000007000000}" name="DATE" dataDxfId="10000" totalsRowDxfId="9999">
      <calculatedColumnFormula>$G$3</calculatedColumnFormula>
    </tableColumn>
  </tableColumns>
  <tableStyleInfo showFirstColumn="0"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C7000000}" name="October13_2020" displayName="October13_2020" ref="B5:H20" totalsRowCount="1" headerRowDxfId="9998" headerRowBorderDxfId="9997" tableBorderDxfId="9996" totalsRowBorderDxfId="9995">
  <autoFilter ref="B5:H19" xr:uid="{00000000-0009-0000-0100-00004E000000}"/>
  <sortState xmlns:xlrd2="http://schemas.microsoft.com/office/spreadsheetml/2017/richdata2" ref="B6:H18">
    <sortCondition ref="B6"/>
  </sortState>
  <tableColumns count="7">
    <tableColumn id="1" xr3:uid="{00000000-0010-0000-C700-000001000000}" name="BDC LIST" totalsRowLabel="Total" dataDxfId="9994" totalsRowDxfId="9993"/>
    <tableColumn id="2" xr3:uid="{00000000-0010-0000-C700-000002000000}" name="KSI_AGO" totalsRowFunction="sum" dataDxfId="9992" totalsRowDxfId="9991"/>
    <tableColumn id="3" xr3:uid="{00000000-0010-0000-C700-000003000000}" name="KSI_PMS" totalsRowFunction="sum" dataDxfId="9990" totalsRowDxfId="9989"/>
    <tableColumn id="4" xr3:uid="{00000000-0010-0000-C700-000004000000}" name="BUIPE_AGO" totalsRowFunction="sum" dataDxfId="9988" totalsRowDxfId="9987"/>
    <tableColumn id="5" xr3:uid="{00000000-0010-0000-C700-000005000000}" name="BUIPE_PMS" totalsRowFunction="sum" dataDxfId="9986" totalsRowDxfId="9985" dataCellStyle="Comma"/>
    <tableColumn id="6" xr3:uid="{00000000-0010-0000-C700-000006000000}" name="AKOSOMBO_AGO" totalsRowFunction="sum" dataDxfId="9984" totalsRowDxfId="9983"/>
    <tableColumn id="7" xr3:uid="{00000000-0010-0000-C700-000007000000}" name="DATE" dataDxfId="9982" totalsRowDxfId="9981">
      <calculatedColumnFormula>$G$3</calculatedColumnFormula>
    </tableColumn>
  </tableColumns>
  <tableStyleInfo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C8000000}" name="October14_2020" displayName="October14_2020" ref="B5:H20" totalsRowCount="1" headerRowDxfId="9980" headerRowBorderDxfId="9979" tableBorderDxfId="9978" totalsRowBorderDxfId="9977">
  <autoFilter ref="B5:H19" xr:uid="{00000000-0009-0000-0100-00004F000000}"/>
  <sortState xmlns:xlrd2="http://schemas.microsoft.com/office/spreadsheetml/2017/richdata2" ref="B6:H18">
    <sortCondition ref="B6"/>
  </sortState>
  <tableColumns count="7">
    <tableColumn id="1" xr3:uid="{00000000-0010-0000-C800-000001000000}" name="BDC LIST" totalsRowLabel="Total" dataDxfId="9976" totalsRowDxfId="9975"/>
    <tableColumn id="2" xr3:uid="{00000000-0010-0000-C800-000002000000}" name="KSI_AGO" totalsRowFunction="sum" dataDxfId="9974" totalsRowDxfId="9973"/>
    <tableColumn id="3" xr3:uid="{00000000-0010-0000-C800-000003000000}" name="KSI_PMS" totalsRowFunction="sum" dataDxfId="9972" totalsRowDxfId="9971"/>
    <tableColumn id="4" xr3:uid="{00000000-0010-0000-C800-000004000000}" name="BUIPE_AGO" totalsRowFunction="sum" dataDxfId="9970" totalsRowDxfId="9969"/>
    <tableColumn id="5" xr3:uid="{00000000-0010-0000-C800-000005000000}" name="BUIPE_PMS" totalsRowFunction="sum" dataDxfId="9968" totalsRowDxfId="9967" dataCellStyle="Comma"/>
    <tableColumn id="6" xr3:uid="{00000000-0010-0000-C800-000006000000}" name="AKOSOMBO_AGO" totalsRowFunction="sum" dataDxfId="9966" totalsRowDxfId="9965"/>
    <tableColumn id="7" xr3:uid="{00000000-0010-0000-C800-000007000000}" name="DATE" dataDxfId="9964" totalsRowDxfId="9963">
      <calculatedColumnFormula>$G$3</calculatedColumnFormula>
    </tableColumn>
  </tableColumns>
  <tableStyleInfo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C9000000}" name="October15_2020" displayName="October15_2020" ref="B5:H20" totalsRowCount="1" headerRowDxfId="9962" headerRowBorderDxfId="9961" tableBorderDxfId="9960" totalsRowBorderDxfId="9959">
  <autoFilter ref="B5:H19" xr:uid="{00000000-0009-0000-0100-000050000000}"/>
  <sortState xmlns:xlrd2="http://schemas.microsoft.com/office/spreadsheetml/2017/richdata2" ref="B6:H18">
    <sortCondition ref="B6"/>
  </sortState>
  <tableColumns count="7">
    <tableColumn id="1" xr3:uid="{00000000-0010-0000-C900-000001000000}" name="BDC LIST" totalsRowLabel="Total" dataDxfId="9958" totalsRowDxfId="9957"/>
    <tableColumn id="2" xr3:uid="{00000000-0010-0000-C900-000002000000}" name="KSI_AGO" totalsRowFunction="sum" dataDxfId="9956" totalsRowDxfId="9955"/>
    <tableColumn id="3" xr3:uid="{00000000-0010-0000-C900-000003000000}" name="KSI_PMS" totalsRowFunction="sum" dataDxfId="9954" totalsRowDxfId="9953"/>
    <tableColumn id="4" xr3:uid="{00000000-0010-0000-C900-000004000000}" name="BUIPE_AGO" totalsRowFunction="sum" dataDxfId="9952" totalsRowDxfId="9951"/>
    <tableColumn id="5" xr3:uid="{00000000-0010-0000-C900-000005000000}" name="BUIPE_PMS" totalsRowFunction="sum" dataDxfId="9950" totalsRowDxfId="9949" dataCellStyle="Comma"/>
    <tableColumn id="6" xr3:uid="{00000000-0010-0000-C900-000006000000}" name="AKOSOMBO_AGO" totalsRowFunction="sum" dataDxfId="9948" totalsRowDxfId="9947"/>
    <tableColumn id="7" xr3:uid="{00000000-0010-0000-C900-000007000000}" name="DATE" dataDxfId="9946" totalsRowDxfId="9945">
      <calculatedColumnFormula>$G$3</calculatedColumnFormula>
    </tableColumn>
  </tableColumns>
  <tableStyleInfo showFirstColumn="0"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CA000000}" name="October16_2020" displayName="October16_2020" ref="B5:H20" totalsRowCount="1" headerRowDxfId="9944" headerRowBorderDxfId="9943" tableBorderDxfId="9942" totalsRowBorderDxfId="9941">
  <autoFilter ref="B5:H19" xr:uid="{00000000-0009-0000-0100-000051000000}"/>
  <sortState xmlns:xlrd2="http://schemas.microsoft.com/office/spreadsheetml/2017/richdata2" ref="B6:H18">
    <sortCondition ref="B6"/>
  </sortState>
  <tableColumns count="7">
    <tableColumn id="1" xr3:uid="{00000000-0010-0000-CA00-000001000000}" name="BDC LIST" totalsRowLabel="Total" dataDxfId="9940" totalsRowDxfId="9939"/>
    <tableColumn id="2" xr3:uid="{00000000-0010-0000-CA00-000002000000}" name="KSI_AGO" totalsRowFunction="sum" dataDxfId="9938" totalsRowDxfId="9937"/>
    <tableColumn id="3" xr3:uid="{00000000-0010-0000-CA00-000003000000}" name="KSI_PMS" totalsRowFunction="sum" dataDxfId="9936" totalsRowDxfId="9935"/>
    <tableColumn id="4" xr3:uid="{00000000-0010-0000-CA00-000004000000}" name="BUIPE_AGO" totalsRowFunction="sum" dataDxfId="9934" totalsRowDxfId="9933"/>
    <tableColumn id="5" xr3:uid="{00000000-0010-0000-CA00-000005000000}" name="BUIPE_PMS" totalsRowFunction="sum" dataDxfId="9932" totalsRowDxfId="9931" dataCellStyle="Comma"/>
    <tableColumn id="6" xr3:uid="{00000000-0010-0000-CA00-000006000000}" name="AKOSOMBO_AGO" totalsRowFunction="sum" dataDxfId="9930" totalsRowDxfId="9929"/>
    <tableColumn id="7" xr3:uid="{00000000-0010-0000-CA00-000007000000}" name="DATE" dataDxfId="9928" totalsRowDxfId="9927">
      <calculatedColumnFormula>$G$3</calculatedColumnFormula>
    </tableColumn>
  </tableColumns>
  <tableStyleInfo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CB000000}" name="October19_2020" displayName="October19_2020" ref="B5:H20" totalsRowCount="1" headerRowDxfId="9926" headerRowBorderDxfId="9925" tableBorderDxfId="9924" totalsRowBorderDxfId="9923">
  <autoFilter ref="B5:H19" xr:uid="{00000000-0009-0000-0100-000052000000}"/>
  <sortState xmlns:xlrd2="http://schemas.microsoft.com/office/spreadsheetml/2017/richdata2" ref="B6:H18">
    <sortCondition ref="B6"/>
  </sortState>
  <tableColumns count="7">
    <tableColumn id="1" xr3:uid="{00000000-0010-0000-CB00-000001000000}" name="BDC LIST" totalsRowLabel="Total" dataDxfId="9922" totalsRowDxfId="9921"/>
    <tableColumn id="2" xr3:uid="{00000000-0010-0000-CB00-000002000000}" name="KSI_AGO" totalsRowFunction="sum" dataDxfId="9920" totalsRowDxfId="9919"/>
    <tableColumn id="3" xr3:uid="{00000000-0010-0000-CB00-000003000000}" name="KSI_PMS" totalsRowFunction="sum" dataDxfId="9918" totalsRowDxfId="9917"/>
    <tableColumn id="4" xr3:uid="{00000000-0010-0000-CB00-000004000000}" name="BUIPE_AGO" totalsRowFunction="sum" dataDxfId="9916" totalsRowDxfId="9915"/>
    <tableColumn id="5" xr3:uid="{00000000-0010-0000-CB00-000005000000}" name="BUIPE_PMS" totalsRowFunction="sum" dataDxfId="9914" totalsRowDxfId="9913" dataCellStyle="Comma"/>
    <tableColumn id="6" xr3:uid="{00000000-0010-0000-CB00-000006000000}" name="AKOSOMBO_AGO" totalsRowFunction="sum" dataDxfId="9912" totalsRowDxfId="9911"/>
    <tableColumn id="7" xr3:uid="{00000000-0010-0000-CB00-000007000000}" name="DATE" dataDxfId="9910" totalsRowDxfId="9909">
      <calculatedColumnFormula>$G$3</calculatedColumnFormula>
    </tableColumn>
  </tableColumns>
  <tableStyleInfo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CC000000}" name="July_146789101112131416171819222324252624107131415161785" displayName="July_146789101112131416171819222324252624107131415161785" ref="B5:H20" totalsRowCount="1" headerRowDxfId="9908" headerRowBorderDxfId="9907" tableBorderDxfId="9906" totalsRowBorderDxfId="9905">
  <autoFilter ref="B5:H19" xr:uid="{00000000-0009-0000-0100-000054000000}"/>
  <sortState xmlns:xlrd2="http://schemas.microsoft.com/office/spreadsheetml/2017/richdata2" ref="B6:H18">
    <sortCondition ref="B6"/>
  </sortState>
  <tableColumns count="7">
    <tableColumn id="1" xr3:uid="{00000000-0010-0000-CC00-000001000000}" name="BDC LIST" totalsRowLabel="Total" dataDxfId="9904" totalsRowDxfId="9903"/>
    <tableColumn id="2" xr3:uid="{00000000-0010-0000-CC00-000002000000}" name="KSI_AGO" totalsRowFunction="sum" dataDxfId="9902" totalsRowDxfId="9901"/>
    <tableColumn id="3" xr3:uid="{00000000-0010-0000-CC00-000003000000}" name="KSI_PMS" totalsRowFunction="sum" dataDxfId="9900" totalsRowDxfId="9899"/>
    <tableColumn id="4" xr3:uid="{00000000-0010-0000-CC00-000004000000}" name="BUIPE_AGO" totalsRowFunction="sum" dataDxfId="9898" totalsRowDxfId="9897"/>
    <tableColumn id="5" xr3:uid="{00000000-0010-0000-CC00-000005000000}" name="BUIPE_PMS" totalsRowFunction="sum" dataDxfId="9896" totalsRowDxfId="9895" dataCellStyle="Comma"/>
    <tableColumn id="6" xr3:uid="{00000000-0010-0000-CC00-000006000000}" name="AKOSOMBO_AGO" totalsRowFunction="sum" dataDxfId="9894" totalsRowDxfId="9893"/>
    <tableColumn id="7" xr3:uid="{00000000-0010-0000-CC00-000007000000}" name="DATE" dataDxfId="9892" totalsRowDxfId="9891">
      <calculatedColumnFormula>$G$3</calculatedColumnFormula>
    </tableColumn>
  </tableColumns>
  <tableStyleInfo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CD000000}" name="October21_2020" displayName="October21_2020" ref="B5:H20" totalsRowCount="1" headerRowDxfId="9890" headerRowBorderDxfId="9889" tableBorderDxfId="9888" totalsRowBorderDxfId="9887">
  <autoFilter ref="B5:H19" xr:uid="{00000000-0009-0000-0100-000055000000}"/>
  <sortState xmlns:xlrd2="http://schemas.microsoft.com/office/spreadsheetml/2017/richdata2" ref="B6:H18">
    <sortCondition ref="B6"/>
  </sortState>
  <tableColumns count="7">
    <tableColumn id="1" xr3:uid="{00000000-0010-0000-CD00-000001000000}" name="BDC LIST" totalsRowLabel="Total" dataDxfId="9886" totalsRowDxfId="9885"/>
    <tableColumn id="2" xr3:uid="{00000000-0010-0000-CD00-000002000000}" name="KSI_AGO" totalsRowFunction="sum" dataDxfId="9884" totalsRowDxfId="9883"/>
    <tableColumn id="3" xr3:uid="{00000000-0010-0000-CD00-000003000000}" name="KSI_PMS" totalsRowFunction="sum" dataDxfId="9882" totalsRowDxfId="9881"/>
    <tableColumn id="4" xr3:uid="{00000000-0010-0000-CD00-000004000000}" name="BUIPE_AGO" totalsRowFunction="sum" dataDxfId="9880" totalsRowDxfId="9879"/>
    <tableColumn id="5" xr3:uid="{00000000-0010-0000-CD00-000005000000}" name="BUIPE_PMS" totalsRowFunction="sum" dataDxfId="9878" totalsRowDxfId="9877" dataCellStyle="Comma"/>
    <tableColumn id="6" xr3:uid="{00000000-0010-0000-CD00-000006000000}" name="AKOSOMBO_AGO" totalsRowFunction="sum" dataDxfId="9876" totalsRowDxfId="9875"/>
    <tableColumn id="7" xr3:uid="{00000000-0010-0000-CD00-000007000000}" name="DATE" dataDxfId="9874" totalsRowDxfId="9873">
      <calculatedColumnFormula>$G$3</calculatedColumnFormula>
    </tableColumn>
  </tableColumns>
  <tableStyleInfo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CE000000}" name="October23_2020" displayName="October23_2020" ref="B5:H20" totalsRowCount="1" headerRowDxfId="9872" headerRowBorderDxfId="9871" tableBorderDxfId="9870" totalsRowBorderDxfId="9869">
  <autoFilter ref="B5:H19" xr:uid="{00000000-0009-0000-0100-000053000000}"/>
  <sortState xmlns:xlrd2="http://schemas.microsoft.com/office/spreadsheetml/2017/richdata2" ref="B6:H18">
    <sortCondition ref="B6"/>
  </sortState>
  <tableColumns count="7">
    <tableColumn id="1" xr3:uid="{00000000-0010-0000-CE00-000001000000}" name="BDC LIST" totalsRowLabel="Total" dataDxfId="9868" totalsRowDxfId="9867"/>
    <tableColumn id="2" xr3:uid="{00000000-0010-0000-CE00-000002000000}" name="KSI_AGO" totalsRowFunction="sum" dataDxfId="9866" totalsRowDxfId="9865"/>
    <tableColumn id="3" xr3:uid="{00000000-0010-0000-CE00-000003000000}" name="KSI_PMS" totalsRowFunction="sum" dataDxfId="9864" totalsRowDxfId="9863"/>
    <tableColumn id="4" xr3:uid="{00000000-0010-0000-CE00-000004000000}" name="BUIPE_AGO" totalsRowFunction="sum" dataDxfId="9862" totalsRowDxfId="9861"/>
    <tableColumn id="5" xr3:uid="{00000000-0010-0000-CE00-000005000000}" name="BUIPE_PMS" totalsRowFunction="sum" dataDxfId="9860" totalsRowDxfId="9859" dataCellStyle="Comma"/>
    <tableColumn id="6" xr3:uid="{00000000-0010-0000-CE00-000006000000}" name="AKOSOMBO_AGO" totalsRowFunction="sum" dataDxfId="9858" totalsRowDxfId="9857"/>
    <tableColumn id="7" xr3:uid="{00000000-0010-0000-CE00-000007000000}" name="DATE" dataDxfId="9856" totalsRowDxfId="9855">
      <calculatedColumnFormula>$G$3</calculatedColumnFormula>
    </tableColumn>
  </tableColumns>
  <tableStyleInfo showFirstColumn="0" showLastColumn="0"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CF000000}" name="October26_2020" displayName="October26_2020" ref="B5:H20" totalsRowCount="1" headerRowDxfId="9854" headerRowBorderDxfId="9853" tableBorderDxfId="9852" totalsRowBorderDxfId="9851">
  <autoFilter ref="B5:H19" xr:uid="{00000000-0009-0000-0100-000056000000}"/>
  <sortState xmlns:xlrd2="http://schemas.microsoft.com/office/spreadsheetml/2017/richdata2" ref="B6:H18">
    <sortCondition ref="B6"/>
  </sortState>
  <tableColumns count="7">
    <tableColumn id="1" xr3:uid="{00000000-0010-0000-CF00-000001000000}" name="BDC LIST" totalsRowLabel="Total" dataDxfId="9850" totalsRowDxfId="9849"/>
    <tableColumn id="2" xr3:uid="{00000000-0010-0000-CF00-000002000000}" name="KSI_AGO" totalsRowFunction="sum" dataDxfId="9848" totalsRowDxfId="9847"/>
    <tableColumn id="3" xr3:uid="{00000000-0010-0000-CF00-000003000000}" name="KSI_PMS" totalsRowFunction="sum" dataDxfId="9846" totalsRowDxfId="9845"/>
    <tableColumn id="4" xr3:uid="{00000000-0010-0000-CF00-000004000000}" name="BUIPE_AGO" totalsRowFunction="sum" dataDxfId="9844" totalsRowDxfId="9843"/>
    <tableColumn id="5" xr3:uid="{00000000-0010-0000-CF00-000005000000}" name="BUIPE_PMS" totalsRowFunction="sum" dataDxfId="9842" totalsRowDxfId="9841" dataCellStyle="Comma"/>
    <tableColumn id="6" xr3:uid="{00000000-0010-0000-CF00-000006000000}" name="AKOSOMBO_AGO" totalsRowFunction="sum" dataDxfId="9840" totalsRowDxfId="9839"/>
    <tableColumn id="7" xr3:uid="{00000000-0010-0000-CF00-000007000000}" name="DATE" dataDxfId="9838" totalsRowDxfId="9837">
      <calculatedColumnFormula>$G$3</calculatedColumnFormula>
    </tableColumn>
  </tableColumns>
  <tableStyleInfo showFirstColumn="0" showLastColumn="0"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D0000000}" name="October27_2020" displayName="October27_2020" ref="B5:H20" totalsRowCount="1" headerRowDxfId="9836" headerRowBorderDxfId="9835" tableBorderDxfId="9834" totalsRowBorderDxfId="9833">
  <autoFilter ref="B5:H19" xr:uid="{00000000-0009-0000-0100-000057000000}"/>
  <sortState xmlns:xlrd2="http://schemas.microsoft.com/office/spreadsheetml/2017/richdata2" ref="B6:H18">
    <sortCondition ref="B6"/>
  </sortState>
  <tableColumns count="7">
    <tableColumn id="1" xr3:uid="{00000000-0010-0000-D000-000001000000}" name="BDC LIST" totalsRowLabel="Total" dataDxfId="9832" totalsRowDxfId="9831"/>
    <tableColumn id="2" xr3:uid="{00000000-0010-0000-D000-000002000000}" name="KSI_AGO" totalsRowFunction="sum" dataDxfId="9830" totalsRowDxfId="9829"/>
    <tableColumn id="3" xr3:uid="{00000000-0010-0000-D000-000003000000}" name="KSI_PMS" totalsRowFunction="sum" dataDxfId="9828" totalsRowDxfId="9827"/>
    <tableColumn id="4" xr3:uid="{00000000-0010-0000-D000-000004000000}" name="BUIPE_AGO" totalsRowFunction="sum" dataDxfId="9826" totalsRowDxfId="9825"/>
    <tableColumn id="5" xr3:uid="{00000000-0010-0000-D000-000005000000}" name="BUIPE_PMS" totalsRowFunction="sum" dataDxfId="9824" totalsRowDxfId="9823" dataCellStyle="Comma"/>
    <tableColumn id="6" xr3:uid="{00000000-0010-0000-D000-000006000000}" name="AKOSOMBO_AGO" totalsRowFunction="sum" dataDxfId="9822" totalsRowDxfId="9821"/>
    <tableColumn id="7" xr3:uid="{00000000-0010-0000-D000-000007000000}" name="DATE" dataDxfId="9820" totalsRowDxfId="9819">
      <calculatedColumnFormula>$G$3</calculatedColumnFormula>
    </tableColumn>
  </tableColumns>
  <tableStyleInfo showFirstColumn="0" showLastColumn="0"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D1000000}" name="October28_2020" displayName="October28_2020" ref="B5:H20" totalsRowCount="1" headerRowDxfId="9818" headerRowBorderDxfId="9817" tableBorderDxfId="9816" totalsRowBorderDxfId="9815">
  <autoFilter ref="B5:H19" xr:uid="{00000000-0009-0000-0100-000058000000}"/>
  <sortState xmlns:xlrd2="http://schemas.microsoft.com/office/spreadsheetml/2017/richdata2" ref="B6:H18">
    <sortCondition ref="B6"/>
  </sortState>
  <tableColumns count="7">
    <tableColumn id="1" xr3:uid="{00000000-0010-0000-D100-000001000000}" name="BDC LIST" totalsRowLabel="Total" dataDxfId="9814" totalsRowDxfId="9813"/>
    <tableColumn id="2" xr3:uid="{00000000-0010-0000-D100-000002000000}" name="KSI_AGO" totalsRowFunction="sum" dataDxfId="9812" totalsRowDxfId="9811"/>
    <tableColumn id="3" xr3:uid="{00000000-0010-0000-D100-000003000000}" name="KSI_PMS" totalsRowFunction="sum" dataDxfId="9810" totalsRowDxfId="9809"/>
    <tableColumn id="4" xr3:uid="{00000000-0010-0000-D100-000004000000}" name="BUIPE_AGO" totalsRowFunction="sum" dataDxfId="9808" totalsRowDxfId="9807"/>
    <tableColumn id="5" xr3:uid="{00000000-0010-0000-D100-000005000000}" name="BUIPE_PMS" totalsRowFunction="sum" dataDxfId="9806" totalsRowDxfId="9805" dataCellStyle="Comma"/>
    <tableColumn id="6" xr3:uid="{00000000-0010-0000-D100-000006000000}" name="AKOSOMBO_AGO" totalsRowFunction="sum" dataDxfId="9804" totalsRowDxfId="9803"/>
    <tableColumn id="7" xr3:uid="{00000000-0010-0000-D100-000007000000}" name="DATE" dataDxfId="9802" totalsRowDxfId="9801">
      <calculatedColumnFormula>$G$3</calculatedColumnFormula>
    </tableColumn>
  </tableColumns>
  <tableStyleInfo showFirstColumn="0" showLastColumn="0"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D2000000}" name="October29_2020" displayName="October29_2020" ref="B5:H20" totalsRowCount="1" headerRowDxfId="9800" headerRowBorderDxfId="9799" tableBorderDxfId="9798" totalsRowBorderDxfId="9797">
  <autoFilter ref="B5:H19" xr:uid="{00000000-0009-0000-0100-000059000000}"/>
  <sortState xmlns:xlrd2="http://schemas.microsoft.com/office/spreadsheetml/2017/richdata2" ref="B6:H18">
    <sortCondition ref="B6"/>
  </sortState>
  <tableColumns count="7">
    <tableColumn id="1" xr3:uid="{00000000-0010-0000-D200-000001000000}" name="BDC LIST" totalsRowLabel="Total" dataDxfId="9796" totalsRowDxfId="9795"/>
    <tableColumn id="2" xr3:uid="{00000000-0010-0000-D200-000002000000}" name="KSI_AGO" totalsRowFunction="sum" dataDxfId="9794" totalsRowDxfId="9793"/>
    <tableColumn id="3" xr3:uid="{00000000-0010-0000-D200-000003000000}" name="KSI_PMS" totalsRowFunction="sum" dataDxfId="9792" totalsRowDxfId="9791"/>
    <tableColumn id="4" xr3:uid="{00000000-0010-0000-D200-000004000000}" name="BUIPE_AGO" totalsRowFunction="sum" dataDxfId="9790" totalsRowDxfId="9789"/>
    <tableColumn id="5" xr3:uid="{00000000-0010-0000-D200-000005000000}" name="BUIPE_PMS" totalsRowFunction="sum" dataDxfId="9788" totalsRowDxfId="9787" dataCellStyle="Comma"/>
    <tableColumn id="6" xr3:uid="{00000000-0010-0000-D200-000006000000}" name="AKOSOMBO_AGO" totalsRowFunction="sum" dataDxfId="9786" totalsRowDxfId="9785"/>
    <tableColumn id="7" xr3:uid="{00000000-0010-0000-D200-000007000000}" name="DATE" dataDxfId="9784" totalsRowDxfId="9783">
      <calculatedColumnFormula>$G$3</calculatedColumnFormula>
    </tableColumn>
  </tableColumns>
  <tableStyleInfo showFirstColumn="0" showLastColumn="0"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D3000000}" name="October30_2020" displayName="October30_2020" ref="B5:H20" totalsRowCount="1" headerRowDxfId="9782" headerRowBorderDxfId="9781" tableBorderDxfId="9780" totalsRowBorderDxfId="9779">
  <autoFilter ref="B5:H19" xr:uid="{00000000-0009-0000-0100-00005A000000}"/>
  <sortState xmlns:xlrd2="http://schemas.microsoft.com/office/spreadsheetml/2017/richdata2" ref="B6:H18">
    <sortCondition ref="B6"/>
  </sortState>
  <tableColumns count="7">
    <tableColumn id="1" xr3:uid="{00000000-0010-0000-D300-000001000000}" name="BDC LIST" totalsRowLabel="Total" dataDxfId="9778" totalsRowDxfId="9777"/>
    <tableColumn id="2" xr3:uid="{00000000-0010-0000-D300-000002000000}" name="KSI_AGO" totalsRowFunction="sum" dataDxfId="9776" totalsRowDxfId="9775"/>
    <tableColumn id="3" xr3:uid="{00000000-0010-0000-D300-000003000000}" name="KSI_PMS" totalsRowFunction="sum" dataDxfId="9774" totalsRowDxfId="9773"/>
    <tableColumn id="4" xr3:uid="{00000000-0010-0000-D300-000004000000}" name="BUIPE_AGO" totalsRowFunction="sum" dataDxfId="9772" totalsRowDxfId="9771"/>
    <tableColumn id="5" xr3:uid="{00000000-0010-0000-D300-000005000000}" name="BUIPE_PMS" totalsRowFunction="sum" dataDxfId="9770" totalsRowDxfId="9769" dataCellStyle="Comma"/>
    <tableColumn id="6" xr3:uid="{00000000-0010-0000-D300-000006000000}" name="AKOSOMBO_AGO" totalsRowFunction="sum" dataDxfId="9768" totalsRowDxfId="9767"/>
    <tableColumn id="7" xr3:uid="{00000000-0010-0000-D300-000007000000}" name="DATE" dataDxfId="9766" totalsRowDxfId="9765">
      <calculatedColumnFormula>$G$3</calculatedColumnFormula>
    </tableColumn>
  </tableColumns>
  <tableStyleInfo showFirstColumn="0" showLastColumn="0"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D4000000}" name="November02_2020" displayName="November02_2020" ref="B5:H20" totalsRowCount="1" headerRowDxfId="9764" headerRowBorderDxfId="9763" tableBorderDxfId="9762" totalsRowBorderDxfId="9761">
  <autoFilter ref="B5:H19" xr:uid="{00000000-0009-0000-0100-000075000000}"/>
  <sortState xmlns:xlrd2="http://schemas.microsoft.com/office/spreadsheetml/2017/richdata2" ref="B6:H18">
    <sortCondition ref="B6"/>
  </sortState>
  <tableColumns count="7">
    <tableColumn id="1" xr3:uid="{00000000-0010-0000-D400-000001000000}" name="BDC LIST" totalsRowLabel="Total" dataDxfId="9760" totalsRowDxfId="9759"/>
    <tableColumn id="2" xr3:uid="{00000000-0010-0000-D400-000002000000}" name="KSI_AGO" totalsRowFunction="sum" dataDxfId="9758" totalsRowDxfId="9757"/>
    <tableColumn id="3" xr3:uid="{00000000-0010-0000-D400-000003000000}" name="KSI_PMS" totalsRowFunction="sum" dataDxfId="9756" totalsRowDxfId="9755"/>
    <tableColumn id="4" xr3:uid="{00000000-0010-0000-D400-000004000000}" name="BUIPE_AGO" totalsRowFunction="sum" dataDxfId="9754" totalsRowDxfId="9753"/>
    <tableColumn id="5" xr3:uid="{00000000-0010-0000-D400-000005000000}" name="BUIPE_PMS" totalsRowFunction="sum" dataDxfId="9752" totalsRowDxfId="9751" dataCellStyle="Comma"/>
    <tableColumn id="6" xr3:uid="{00000000-0010-0000-D400-000006000000}" name="AKOSOMBO_AGO" totalsRowFunction="sum" dataDxfId="9750" totalsRowDxfId="9749"/>
    <tableColumn id="7" xr3:uid="{00000000-0010-0000-D400-000007000000}" name="DATE" dataDxfId="9748" totalsRowDxfId="9747">
      <calculatedColumnFormula>$G$3</calculatedColumnFormula>
    </tableColumn>
  </tableColumns>
  <tableStyleInfo showFirstColumn="0" showLastColumn="0"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D5000000}" name="November03_2020" displayName="November03_2020" ref="B5:H20" totalsRowCount="1" headerRowDxfId="9746" headerRowBorderDxfId="9745" tableBorderDxfId="9744" totalsRowBorderDxfId="9743">
  <autoFilter ref="B5:H19" xr:uid="{00000000-0009-0000-0100-000076000000}"/>
  <sortState xmlns:xlrd2="http://schemas.microsoft.com/office/spreadsheetml/2017/richdata2" ref="B6:H18">
    <sortCondition ref="B6"/>
  </sortState>
  <tableColumns count="7">
    <tableColumn id="1" xr3:uid="{00000000-0010-0000-D500-000001000000}" name="BDC LIST" totalsRowLabel="Total" dataDxfId="9742" totalsRowDxfId="9741"/>
    <tableColumn id="2" xr3:uid="{00000000-0010-0000-D500-000002000000}" name="KSI_AGO" totalsRowFunction="sum" dataDxfId="9740" totalsRowDxfId="9739"/>
    <tableColumn id="3" xr3:uid="{00000000-0010-0000-D500-000003000000}" name="KSI_PMS" totalsRowFunction="sum" dataDxfId="9738" totalsRowDxfId="9737"/>
    <tableColumn id="4" xr3:uid="{00000000-0010-0000-D500-000004000000}" name="BUIPE_AGO" totalsRowFunction="sum" dataDxfId="9736" totalsRowDxfId="9735"/>
    <tableColumn id="5" xr3:uid="{00000000-0010-0000-D500-000005000000}" name="BUIPE_PMS" totalsRowFunction="sum" dataDxfId="9734" totalsRowDxfId="9733" dataCellStyle="Comma"/>
    <tableColumn id="6" xr3:uid="{00000000-0010-0000-D500-000006000000}" name="AKOSOMBO_AGO" totalsRowFunction="sum" dataDxfId="9732" totalsRowDxfId="9731"/>
    <tableColumn id="7" xr3:uid="{00000000-0010-0000-D500-000007000000}" name="DATE" dataDxfId="9730" totalsRowDxfId="9729">
      <calculatedColumnFormula>$G$3</calculatedColumnFormula>
    </tableColumn>
  </tableColumns>
  <tableStyleInfo showFirstColumn="0" showLastColumn="0" showRowStripes="1"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D6000000}" name="November04_2020" displayName="November04_2020" ref="B5:H20" totalsRowCount="1" headerRowDxfId="9728" headerRowBorderDxfId="9727" tableBorderDxfId="9726" totalsRowBorderDxfId="9725">
  <autoFilter ref="B5:H19" xr:uid="{00000000-0009-0000-0100-000077000000}"/>
  <sortState xmlns:xlrd2="http://schemas.microsoft.com/office/spreadsheetml/2017/richdata2" ref="B6:H18">
    <sortCondition ref="B6"/>
  </sortState>
  <tableColumns count="7">
    <tableColumn id="1" xr3:uid="{00000000-0010-0000-D600-000001000000}" name="BDC LIST" totalsRowLabel="Total" dataDxfId="9724" totalsRowDxfId="9723"/>
    <tableColumn id="2" xr3:uid="{00000000-0010-0000-D600-000002000000}" name="KSI_AGO" totalsRowFunction="sum" dataDxfId="9722" totalsRowDxfId="9721"/>
    <tableColumn id="3" xr3:uid="{00000000-0010-0000-D600-000003000000}" name="KSI_PMS" totalsRowFunction="sum" dataDxfId="9720" totalsRowDxfId="9719"/>
    <tableColumn id="4" xr3:uid="{00000000-0010-0000-D600-000004000000}" name="BUIPE_AGO" totalsRowFunction="sum" dataDxfId="9718" totalsRowDxfId="9717"/>
    <tableColumn id="5" xr3:uid="{00000000-0010-0000-D600-000005000000}" name="BUIPE_PMS" totalsRowFunction="sum" dataDxfId="9716" totalsRowDxfId="9715" dataCellStyle="Comma"/>
    <tableColumn id="6" xr3:uid="{00000000-0010-0000-D600-000006000000}" name="AKOSOMBO_AGO" totalsRowFunction="sum" dataDxfId="9714" totalsRowDxfId="9713"/>
    <tableColumn id="7" xr3:uid="{00000000-0010-0000-D600-000007000000}" name="DATE" dataDxfId="9712" totalsRowDxfId="9711">
      <calculatedColumnFormula>$G$3</calculatedColumnFormula>
    </tableColumn>
  </tableColumns>
  <tableStyleInfo showFirstColumn="0" showLastColumn="0" showRowStripes="1"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D7000000}" name="November05_2020" displayName="November05_2020" ref="B5:H20" totalsRowCount="1" headerRowDxfId="9710" headerRowBorderDxfId="9709" tableBorderDxfId="9708" totalsRowBorderDxfId="9707">
  <autoFilter ref="B5:H19" xr:uid="{00000000-0009-0000-0100-000078000000}"/>
  <sortState xmlns:xlrd2="http://schemas.microsoft.com/office/spreadsheetml/2017/richdata2" ref="B6:H18">
    <sortCondition ref="B6"/>
  </sortState>
  <tableColumns count="7">
    <tableColumn id="1" xr3:uid="{00000000-0010-0000-D700-000001000000}" name="BDC LIST" totalsRowLabel="Total" dataDxfId="9706" totalsRowDxfId="9705"/>
    <tableColumn id="2" xr3:uid="{00000000-0010-0000-D700-000002000000}" name="KSI_AGO" totalsRowFunction="sum" dataDxfId="9704" totalsRowDxfId="9703"/>
    <tableColumn id="3" xr3:uid="{00000000-0010-0000-D700-000003000000}" name="KSI_PMS" totalsRowFunction="sum" dataDxfId="9702" totalsRowDxfId="9701"/>
    <tableColumn id="4" xr3:uid="{00000000-0010-0000-D700-000004000000}" name="BUIPE_AGO" totalsRowFunction="sum" dataDxfId="9700" totalsRowDxfId="9699"/>
    <tableColumn id="5" xr3:uid="{00000000-0010-0000-D700-000005000000}" name="BUIPE_PMS" totalsRowFunction="sum" dataDxfId="9698" totalsRowDxfId="9697" dataCellStyle="Comma"/>
    <tableColumn id="6" xr3:uid="{00000000-0010-0000-D700-000006000000}" name="AKOSOMBO_AGO" totalsRowFunction="sum" dataDxfId="9696" totalsRowDxfId="9695"/>
    <tableColumn id="7" xr3:uid="{00000000-0010-0000-D700-000007000000}" name="DATE" dataDxfId="9694" totalsRowDxfId="9693">
      <calculatedColumnFormula>$G$3</calculatedColumnFormula>
    </tableColumn>
  </tableColumns>
  <tableStyleInfo showFirstColumn="0" showLastColumn="0" showRowStripes="1"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D8000000}" name="November06_2020" displayName="November06_2020" ref="B5:H20" totalsRowCount="1" headerRowDxfId="9692" headerRowBorderDxfId="9691" tableBorderDxfId="9690" totalsRowBorderDxfId="9689">
  <autoFilter ref="B5:H19" xr:uid="{00000000-0009-0000-0100-000079000000}"/>
  <sortState xmlns:xlrd2="http://schemas.microsoft.com/office/spreadsheetml/2017/richdata2" ref="B6:H18">
    <sortCondition ref="B6"/>
  </sortState>
  <tableColumns count="7">
    <tableColumn id="1" xr3:uid="{00000000-0010-0000-D800-000001000000}" name="BDC LIST" totalsRowLabel="Total" dataDxfId="9688" totalsRowDxfId="9687"/>
    <tableColumn id="2" xr3:uid="{00000000-0010-0000-D800-000002000000}" name="KSI_AGO" totalsRowFunction="sum" dataDxfId="9686" totalsRowDxfId="9685"/>
    <tableColumn id="3" xr3:uid="{00000000-0010-0000-D800-000003000000}" name="KSI_PMS" totalsRowFunction="sum" dataDxfId="9684" totalsRowDxfId="9683"/>
    <tableColumn id="4" xr3:uid="{00000000-0010-0000-D800-000004000000}" name="BUIPE_AGO" totalsRowFunction="sum" dataDxfId="9682" totalsRowDxfId="9681"/>
    <tableColumn id="5" xr3:uid="{00000000-0010-0000-D800-000005000000}" name="BUIPE_PMS" totalsRowFunction="sum" dataDxfId="9680" totalsRowDxfId="9679" dataCellStyle="Comma"/>
    <tableColumn id="6" xr3:uid="{00000000-0010-0000-D800-000006000000}" name="AKOSOMBO_AGO" totalsRowFunction="sum" dataDxfId="9678" totalsRowDxfId="9677"/>
    <tableColumn id="7" xr3:uid="{00000000-0010-0000-D800-000007000000}" name="DATE" dataDxfId="9676" totalsRowDxfId="9675">
      <calculatedColumnFormula>$G$3</calculatedColumnFormula>
    </tableColumn>
  </tableColumns>
  <tableStyleInfo showFirstColumn="0" showLastColumn="0" showRowStripes="1"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D9000000}" name="November07_2020" displayName="November07_2020" ref="B5:H20" totalsRowCount="1" headerRowDxfId="9674" headerRowBorderDxfId="9673" tableBorderDxfId="9672" totalsRowBorderDxfId="9671">
  <autoFilter ref="B5:H19" xr:uid="{00000000-0009-0000-0100-00007A000000}"/>
  <sortState xmlns:xlrd2="http://schemas.microsoft.com/office/spreadsheetml/2017/richdata2" ref="B6:H18">
    <sortCondition ref="B6"/>
  </sortState>
  <tableColumns count="7">
    <tableColumn id="1" xr3:uid="{00000000-0010-0000-D900-000001000000}" name="BDC LIST" totalsRowLabel="Total" dataDxfId="9670" totalsRowDxfId="9669"/>
    <tableColumn id="2" xr3:uid="{00000000-0010-0000-D900-000002000000}" name="KSI_AGO" totalsRowFunction="sum" dataDxfId="9668" totalsRowDxfId="9667"/>
    <tableColumn id="3" xr3:uid="{00000000-0010-0000-D900-000003000000}" name="KSI_PMS" totalsRowFunction="sum" dataDxfId="9666" totalsRowDxfId="9665"/>
    <tableColumn id="4" xr3:uid="{00000000-0010-0000-D900-000004000000}" name="BUIPE_AGO" totalsRowFunction="sum" dataDxfId="9664" totalsRowDxfId="9663"/>
    <tableColumn id="5" xr3:uid="{00000000-0010-0000-D900-000005000000}" name="BUIPE_PMS" totalsRowFunction="sum" dataDxfId="9662" totalsRowDxfId="9661" dataCellStyle="Comma"/>
    <tableColumn id="6" xr3:uid="{00000000-0010-0000-D900-000006000000}" name="AKOSOMBO_AGO" totalsRowFunction="sum" dataDxfId="9660" totalsRowDxfId="9659"/>
    <tableColumn id="7" xr3:uid="{00000000-0010-0000-D900-000007000000}" name="DATE" dataDxfId="9658" totalsRowDxfId="9657">
      <calculatedColumnFormula>$G$3</calculatedColumnFormula>
    </tableColumn>
  </tableColumns>
  <tableStyleInfo showFirstColumn="0" showLastColumn="0" showRowStripes="1"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DA000000}" name="November09_2020" displayName="November09_2020" ref="B5:H20" totalsRowCount="1" headerRowDxfId="9656" headerRowBorderDxfId="9655" tableBorderDxfId="9654" totalsRowBorderDxfId="9653">
  <autoFilter ref="B5:H19" xr:uid="{00000000-0009-0000-0100-00007B000000}"/>
  <sortState xmlns:xlrd2="http://schemas.microsoft.com/office/spreadsheetml/2017/richdata2" ref="B6:H18">
    <sortCondition ref="B6"/>
  </sortState>
  <tableColumns count="7">
    <tableColumn id="1" xr3:uid="{00000000-0010-0000-DA00-000001000000}" name="BDC LIST" totalsRowLabel="Total" dataDxfId="9652" totalsRowDxfId="9651"/>
    <tableColumn id="2" xr3:uid="{00000000-0010-0000-DA00-000002000000}" name="KSI_AGO" totalsRowFunction="sum" dataDxfId="9650" totalsRowDxfId="9649"/>
    <tableColumn id="3" xr3:uid="{00000000-0010-0000-DA00-000003000000}" name="KSI_PMS" totalsRowFunction="sum" dataDxfId="9648" totalsRowDxfId="9647"/>
    <tableColumn id="4" xr3:uid="{00000000-0010-0000-DA00-000004000000}" name="BUIPE_AGO" totalsRowFunction="sum" dataDxfId="9646" totalsRowDxfId="9645"/>
    <tableColumn id="5" xr3:uid="{00000000-0010-0000-DA00-000005000000}" name="BUIPE_PMS" totalsRowFunction="sum" dataDxfId="9644" totalsRowDxfId="9643" dataCellStyle="Comma"/>
    <tableColumn id="6" xr3:uid="{00000000-0010-0000-DA00-000006000000}" name="AKOSOMBO_AGO" totalsRowFunction="sum" dataDxfId="9642" totalsRowDxfId="9641"/>
    <tableColumn id="7" xr3:uid="{00000000-0010-0000-DA00-000007000000}" name="DATE" dataDxfId="9640" totalsRowDxfId="9639">
      <calculatedColumnFormula>$G$3</calculatedColumnFormula>
    </tableColumn>
  </tableColumns>
  <tableStyleInfo showFirstColumn="0" showLastColumn="0" showRowStripes="1"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DB000000}" name="November10_2020" displayName="November10_2020" ref="B5:H20" totalsRowCount="1" headerRowDxfId="9638" headerRowBorderDxfId="9637" tableBorderDxfId="9636" totalsRowBorderDxfId="9635">
  <autoFilter ref="B5:H19" xr:uid="{00000000-0009-0000-0100-00007C000000}"/>
  <sortState xmlns:xlrd2="http://schemas.microsoft.com/office/spreadsheetml/2017/richdata2" ref="B6:H18">
    <sortCondition ref="B6"/>
  </sortState>
  <tableColumns count="7">
    <tableColumn id="1" xr3:uid="{00000000-0010-0000-DB00-000001000000}" name="BDC LIST" totalsRowLabel="Total" dataDxfId="9634" totalsRowDxfId="9633"/>
    <tableColumn id="2" xr3:uid="{00000000-0010-0000-DB00-000002000000}" name="KSI_AGO" totalsRowFunction="sum" dataDxfId="9632" totalsRowDxfId="9631"/>
    <tableColumn id="3" xr3:uid="{00000000-0010-0000-DB00-000003000000}" name="KSI_PMS" totalsRowFunction="sum" dataDxfId="9630" totalsRowDxfId="9629"/>
    <tableColumn id="4" xr3:uid="{00000000-0010-0000-DB00-000004000000}" name="BUIPE_AGO" totalsRowFunction="sum" dataDxfId="9628" totalsRowDxfId="9627"/>
    <tableColumn id="5" xr3:uid="{00000000-0010-0000-DB00-000005000000}" name="BUIPE_PMS" totalsRowFunction="sum" dataDxfId="9626" totalsRowDxfId="9625" dataCellStyle="Comma"/>
    <tableColumn id="6" xr3:uid="{00000000-0010-0000-DB00-000006000000}" name="AKOSOMBO_AGO" totalsRowFunction="sum" dataDxfId="9624" totalsRowDxfId="9623"/>
    <tableColumn id="7" xr3:uid="{00000000-0010-0000-DB00-000007000000}" name="DATE" dataDxfId="9622" totalsRowDxfId="9621">
      <calculatedColumnFormula>$G$3</calculatedColumnFormula>
    </tableColumn>
  </tableColumns>
  <tableStyleInfo showFirstColumn="0" showLastColumn="0" showRowStripes="1"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DC000000}" name="November11_2020" displayName="November11_2020" ref="B5:H20" totalsRowCount="1" headerRowDxfId="9620" headerRowBorderDxfId="9619" tableBorderDxfId="9618" totalsRowBorderDxfId="9617">
  <autoFilter ref="B5:H19" xr:uid="{00000000-0009-0000-0100-00007D000000}"/>
  <sortState xmlns:xlrd2="http://schemas.microsoft.com/office/spreadsheetml/2017/richdata2" ref="B6:H18">
    <sortCondition ref="B6"/>
  </sortState>
  <tableColumns count="7">
    <tableColumn id="1" xr3:uid="{00000000-0010-0000-DC00-000001000000}" name="BDC LIST" totalsRowLabel="Total" dataDxfId="9616" totalsRowDxfId="9615"/>
    <tableColumn id="2" xr3:uid="{00000000-0010-0000-DC00-000002000000}" name="KSI_AGO" totalsRowFunction="sum" dataDxfId="9614" totalsRowDxfId="9613"/>
    <tableColumn id="3" xr3:uid="{00000000-0010-0000-DC00-000003000000}" name="KSI_PMS" totalsRowFunction="sum" dataDxfId="9612" totalsRowDxfId="9611"/>
    <tableColumn id="4" xr3:uid="{00000000-0010-0000-DC00-000004000000}" name="BUIPE_AGO" totalsRowFunction="sum" dataDxfId="9610" totalsRowDxfId="9609"/>
    <tableColumn id="5" xr3:uid="{00000000-0010-0000-DC00-000005000000}" name="BUIPE_PMS" totalsRowFunction="sum" dataDxfId="9608" totalsRowDxfId="9607" dataCellStyle="Comma"/>
    <tableColumn id="6" xr3:uid="{00000000-0010-0000-DC00-000006000000}" name="AKOSOMBO_AGO" totalsRowFunction="sum" dataDxfId="9606" totalsRowDxfId="9605"/>
    <tableColumn id="7" xr3:uid="{00000000-0010-0000-DC00-000007000000}" name="DATE" dataDxfId="9604" totalsRowDxfId="9603">
      <calculatedColumnFormula>$G$3</calculatedColumnFormula>
    </tableColumn>
  </tableColumns>
  <tableStyleInfo showFirstColumn="0" showLastColumn="0" showRowStripes="1"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DD000000}" name="November12_2020" displayName="November12_2020" ref="B5:H20" totalsRowCount="1" headerRowDxfId="9602" headerRowBorderDxfId="9601" tableBorderDxfId="9600" totalsRowBorderDxfId="9599">
  <autoFilter ref="B5:H19" xr:uid="{00000000-0009-0000-0100-00007E000000}"/>
  <sortState xmlns:xlrd2="http://schemas.microsoft.com/office/spreadsheetml/2017/richdata2" ref="B6:H18">
    <sortCondition ref="B6"/>
  </sortState>
  <tableColumns count="7">
    <tableColumn id="1" xr3:uid="{00000000-0010-0000-DD00-000001000000}" name="BDC LIST" totalsRowLabel="Total" dataDxfId="9598" totalsRowDxfId="9597"/>
    <tableColumn id="2" xr3:uid="{00000000-0010-0000-DD00-000002000000}" name="KSI_AGO" totalsRowFunction="sum" dataDxfId="9596" totalsRowDxfId="9595"/>
    <tableColumn id="3" xr3:uid="{00000000-0010-0000-DD00-000003000000}" name="KSI_PMS" totalsRowFunction="sum" dataDxfId="9594" totalsRowDxfId="9593"/>
    <tableColumn id="4" xr3:uid="{00000000-0010-0000-DD00-000004000000}" name="BUIPE_AGO" totalsRowFunction="sum" dataDxfId="9592" totalsRowDxfId="9591"/>
    <tableColumn id="5" xr3:uid="{00000000-0010-0000-DD00-000005000000}" name="BUIPE_PMS" totalsRowFunction="sum" dataDxfId="9590" totalsRowDxfId="9589" dataCellStyle="Comma"/>
    <tableColumn id="6" xr3:uid="{00000000-0010-0000-DD00-000006000000}" name="AKOSOMBO_AGO" totalsRowFunction="sum" dataDxfId="9588" totalsRowDxfId="9587"/>
    <tableColumn id="7" xr3:uid="{00000000-0010-0000-DD00-000007000000}" name="DATE" dataDxfId="9586" totalsRowDxfId="9585">
      <calculatedColumnFormula>$G$3</calculatedColumnFormula>
    </tableColumn>
  </tableColumns>
  <tableStyleInfo showFirstColumn="0" showLastColumn="0" showRowStripes="1"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DE000000}" name="November13_2020" displayName="November13_2020" ref="B5:H20" totalsRowCount="1" headerRowDxfId="9584" headerRowBorderDxfId="9583" tableBorderDxfId="9582" totalsRowBorderDxfId="9581">
  <autoFilter ref="B5:H19" xr:uid="{00000000-0009-0000-0100-00007F000000}"/>
  <sortState xmlns:xlrd2="http://schemas.microsoft.com/office/spreadsheetml/2017/richdata2" ref="B6:H18">
    <sortCondition ref="B6"/>
  </sortState>
  <tableColumns count="7">
    <tableColumn id="1" xr3:uid="{00000000-0010-0000-DE00-000001000000}" name="BDC LIST" totalsRowLabel="Total" dataDxfId="9580" totalsRowDxfId="9579"/>
    <tableColumn id="2" xr3:uid="{00000000-0010-0000-DE00-000002000000}" name="KSI_AGO" totalsRowFunction="sum" dataDxfId="9578" totalsRowDxfId="9577"/>
    <tableColumn id="3" xr3:uid="{00000000-0010-0000-DE00-000003000000}" name="KSI_PMS" totalsRowFunction="sum" dataDxfId="9576" totalsRowDxfId="9575"/>
    <tableColumn id="4" xr3:uid="{00000000-0010-0000-DE00-000004000000}" name="BUIPE_AGO" totalsRowFunction="sum" dataDxfId="9574" totalsRowDxfId="9573"/>
    <tableColumn id="5" xr3:uid="{00000000-0010-0000-DE00-000005000000}" name="BUIPE_PMS" totalsRowFunction="sum" dataDxfId="9572" totalsRowDxfId="9571" dataCellStyle="Comma"/>
    <tableColumn id="6" xr3:uid="{00000000-0010-0000-DE00-000006000000}" name="AKOSOMBO_AGO" totalsRowFunction="sum" dataDxfId="9570" totalsRowDxfId="9569"/>
    <tableColumn id="7" xr3:uid="{00000000-0010-0000-DE00-000007000000}" name="DATE" dataDxfId="9568" totalsRowDxfId="9567">
      <calculatedColumnFormula>$G$3</calculatedColumnFormula>
    </tableColumn>
  </tableColumns>
  <tableStyleInfo showFirstColumn="0" showLastColumn="0" showRowStripes="1"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DF000000}" name="November14_2020" displayName="November14_2020" ref="B5:H20" totalsRowCount="1" headerRowDxfId="9566" headerRowBorderDxfId="9565" tableBorderDxfId="9564" totalsRowBorderDxfId="9563">
  <autoFilter ref="B5:H19" xr:uid="{00000000-0009-0000-0100-000080000000}"/>
  <sortState xmlns:xlrd2="http://schemas.microsoft.com/office/spreadsheetml/2017/richdata2" ref="B6:H18">
    <sortCondition ref="B6"/>
  </sortState>
  <tableColumns count="7">
    <tableColumn id="1" xr3:uid="{00000000-0010-0000-DF00-000001000000}" name="BDC LIST" totalsRowLabel="Total" dataDxfId="9562" totalsRowDxfId="9561"/>
    <tableColumn id="2" xr3:uid="{00000000-0010-0000-DF00-000002000000}" name="KSI_AGO" totalsRowFunction="sum" dataDxfId="9560" totalsRowDxfId="9559"/>
    <tableColumn id="3" xr3:uid="{00000000-0010-0000-DF00-000003000000}" name="KSI_PMS" totalsRowFunction="sum" dataDxfId="9558" totalsRowDxfId="9557"/>
    <tableColumn id="4" xr3:uid="{00000000-0010-0000-DF00-000004000000}" name="BUIPE_AGO" totalsRowFunction="sum" dataDxfId="9556" totalsRowDxfId="9555"/>
    <tableColumn id="5" xr3:uid="{00000000-0010-0000-DF00-000005000000}" name="BUIPE_PMS" totalsRowFunction="sum" dataDxfId="9554" totalsRowDxfId="9553" dataCellStyle="Comma"/>
    <tableColumn id="6" xr3:uid="{00000000-0010-0000-DF00-000006000000}" name="AKOSOMBO_AGO" totalsRowFunction="sum" dataDxfId="9552" totalsRowDxfId="9551"/>
    <tableColumn id="7" xr3:uid="{00000000-0010-0000-DF00-000007000000}" name="DATE" dataDxfId="9550" totalsRowDxfId="9549">
      <calculatedColumnFormula>$G$3</calculatedColumnFormula>
    </tableColumn>
  </tableColumns>
  <tableStyleInfo showFirstColumn="0" showLastColumn="0" showRowStripes="1"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E0000000}" name="November16_2020" displayName="November16_2020" ref="B5:H20" totalsRowCount="1" headerRowDxfId="9548" headerRowBorderDxfId="9547" tableBorderDxfId="9546" totalsRowBorderDxfId="9545">
  <autoFilter ref="B5:H19" xr:uid="{00000000-0009-0000-0100-000081000000}"/>
  <sortState xmlns:xlrd2="http://schemas.microsoft.com/office/spreadsheetml/2017/richdata2" ref="B6:H18">
    <sortCondition ref="B6"/>
  </sortState>
  <tableColumns count="7">
    <tableColumn id="1" xr3:uid="{00000000-0010-0000-E000-000001000000}" name="BDC LIST" totalsRowLabel="Total" dataDxfId="9544" totalsRowDxfId="9543"/>
    <tableColumn id="2" xr3:uid="{00000000-0010-0000-E000-000002000000}" name="KSI_AGO" totalsRowFunction="sum" dataDxfId="9542" totalsRowDxfId="9541"/>
    <tableColumn id="3" xr3:uid="{00000000-0010-0000-E000-000003000000}" name="KSI_PMS" totalsRowFunction="sum" dataDxfId="9540" totalsRowDxfId="9539"/>
    <tableColumn id="4" xr3:uid="{00000000-0010-0000-E000-000004000000}" name="BUIPE_AGO" totalsRowFunction="sum" dataDxfId="9538" totalsRowDxfId="9537"/>
    <tableColumn id="5" xr3:uid="{00000000-0010-0000-E000-000005000000}" name="BUIPE_PMS" totalsRowFunction="sum" dataDxfId="9536" totalsRowDxfId="9535" dataCellStyle="Comma"/>
    <tableColumn id="6" xr3:uid="{00000000-0010-0000-E000-000006000000}" name="AKOSOMBO_AGO" totalsRowFunction="sum" dataDxfId="9534" totalsRowDxfId="9533"/>
    <tableColumn id="7" xr3:uid="{00000000-0010-0000-E000-000007000000}" name="DATE" dataDxfId="9532" totalsRowDxfId="9531">
      <calculatedColumnFormula>$G$3</calculatedColumnFormula>
    </tableColumn>
  </tableColumns>
  <tableStyleInfo showFirstColumn="0" showLastColumn="0" showRowStripes="1"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0000000-000C-0000-FFFF-FFFFE1000000}" name="November17_2020" displayName="November17_2020" ref="B5:H20" totalsRowCount="1" headerRowDxfId="9530" headerRowBorderDxfId="9529" tableBorderDxfId="9528" totalsRowBorderDxfId="9527">
  <autoFilter ref="B5:H19" xr:uid="{00000000-0009-0000-0100-000082000000}"/>
  <sortState xmlns:xlrd2="http://schemas.microsoft.com/office/spreadsheetml/2017/richdata2" ref="B6:H18">
    <sortCondition ref="B6"/>
  </sortState>
  <tableColumns count="7">
    <tableColumn id="1" xr3:uid="{00000000-0010-0000-E100-000001000000}" name="BDC LIST" totalsRowLabel="Total" dataDxfId="9526" totalsRowDxfId="9525"/>
    <tableColumn id="2" xr3:uid="{00000000-0010-0000-E100-000002000000}" name="KSI_AGO" totalsRowFunction="sum" dataDxfId="9524" totalsRowDxfId="9523"/>
    <tableColumn id="3" xr3:uid="{00000000-0010-0000-E100-000003000000}" name="KSI_PMS" totalsRowFunction="sum" dataDxfId="9522" totalsRowDxfId="9521"/>
    <tableColumn id="4" xr3:uid="{00000000-0010-0000-E100-000004000000}" name="BUIPE_AGO" totalsRowFunction="sum" dataDxfId="9520" totalsRowDxfId="9519"/>
    <tableColumn id="5" xr3:uid="{00000000-0010-0000-E100-000005000000}" name="BUIPE_PMS" totalsRowFunction="sum" dataDxfId="9518" totalsRowDxfId="9517" dataCellStyle="Comma"/>
    <tableColumn id="6" xr3:uid="{00000000-0010-0000-E100-000006000000}" name="AKOSOMBO_AGO" totalsRowFunction="sum" dataDxfId="9516" totalsRowDxfId="9515"/>
    <tableColumn id="7" xr3:uid="{00000000-0010-0000-E100-000007000000}" name="DATE" dataDxfId="9514" totalsRowDxfId="9513">
      <calculatedColumnFormula>$G$3</calculatedColumnFormula>
    </tableColumn>
  </tableColumns>
  <tableStyleInfo showFirstColumn="0" showLastColumn="0" showRowStripes="1"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000000-000C-0000-FFFF-FFFFE2000000}" name="November18_2020" displayName="November18_2020" ref="B5:H20" totalsRowCount="1" headerRowDxfId="9512" headerRowBorderDxfId="9511" tableBorderDxfId="9510" totalsRowBorderDxfId="9509">
  <autoFilter ref="B5:H19" xr:uid="{00000000-0009-0000-0100-000083000000}"/>
  <sortState xmlns:xlrd2="http://schemas.microsoft.com/office/spreadsheetml/2017/richdata2" ref="B6:H18">
    <sortCondition ref="B6"/>
  </sortState>
  <tableColumns count="7">
    <tableColumn id="1" xr3:uid="{00000000-0010-0000-E200-000001000000}" name="BDC LIST" totalsRowLabel="Total" dataDxfId="9508" totalsRowDxfId="9507"/>
    <tableColumn id="2" xr3:uid="{00000000-0010-0000-E200-000002000000}" name="KSI_AGO" totalsRowFunction="sum" dataDxfId="9506" totalsRowDxfId="9505"/>
    <tableColumn id="3" xr3:uid="{00000000-0010-0000-E200-000003000000}" name="KSI_PMS" totalsRowFunction="sum" dataDxfId="9504" totalsRowDxfId="9503"/>
    <tableColumn id="4" xr3:uid="{00000000-0010-0000-E200-000004000000}" name="BUIPE_AGO" totalsRowFunction="sum" dataDxfId="9502" totalsRowDxfId="9501"/>
    <tableColumn id="5" xr3:uid="{00000000-0010-0000-E200-000005000000}" name="BUIPE_PMS" totalsRowFunction="sum" dataDxfId="9500" totalsRowDxfId="9499" dataCellStyle="Comma"/>
    <tableColumn id="6" xr3:uid="{00000000-0010-0000-E200-000006000000}" name="AKOSOMBO_AGO" totalsRowFunction="sum" dataDxfId="9498" totalsRowDxfId="9497"/>
    <tableColumn id="7" xr3:uid="{00000000-0010-0000-E200-000007000000}" name="DATE" dataDxfId="9496" totalsRowDxfId="9495">
      <calculatedColumnFormula>$G$3</calculatedColumnFormula>
    </tableColumn>
  </tableColumns>
  <tableStyleInfo showFirstColumn="0" showLastColumn="0" showRowStripes="1"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0000000-000C-0000-FFFF-FFFFE3000000}" name="November19_2020" displayName="November19_2020" ref="B5:H20" totalsRowCount="1" headerRowDxfId="9494" headerRowBorderDxfId="9493" tableBorderDxfId="9492" totalsRowBorderDxfId="9491">
  <autoFilter ref="B5:H19" xr:uid="{00000000-0009-0000-0100-000084000000}"/>
  <sortState xmlns:xlrd2="http://schemas.microsoft.com/office/spreadsheetml/2017/richdata2" ref="B6:H18">
    <sortCondition ref="B6"/>
  </sortState>
  <tableColumns count="7">
    <tableColumn id="1" xr3:uid="{00000000-0010-0000-E300-000001000000}" name="BDC LIST" totalsRowLabel="Total" dataDxfId="9490" totalsRowDxfId="9489"/>
    <tableColumn id="2" xr3:uid="{00000000-0010-0000-E300-000002000000}" name="KSI_AGO" totalsRowFunction="sum" dataDxfId="9488" totalsRowDxfId="9487"/>
    <tableColumn id="3" xr3:uid="{00000000-0010-0000-E300-000003000000}" name="KSI_PMS" totalsRowFunction="sum" dataDxfId="9486" totalsRowDxfId="9485"/>
    <tableColumn id="4" xr3:uid="{00000000-0010-0000-E300-000004000000}" name="BUIPE_AGO" totalsRowFunction="sum" dataDxfId="9484" totalsRowDxfId="9483"/>
    <tableColumn id="5" xr3:uid="{00000000-0010-0000-E300-000005000000}" name="BUIPE_PMS" totalsRowFunction="sum" dataDxfId="9482" totalsRowDxfId="9481" dataCellStyle="Comma"/>
    <tableColumn id="6" xr3:uid="{00000000-0010-0000-E300-000006000000}" name="AKOSOMBO_AGO" totalsRowFunction="sum" dataDxfId="9480" totalsRowDxfId="9479"/>
    <tableColumn id="7" xr3:uid="{00000000-0010-0000-E300-000007000000}" name="DATE" dataDxfId="9478" totalsRowDxfId="9477">
      <calculatedColumnFormula>$G$3</calculatedColumnFormula>
    </tableColumn>
  </tableColumns>
  <tableStyleInfo showFirstColumn="0" showLastColumn="0" showRowStripes="1"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0000000-000C-0000-FFFF-FFFFE4000000}" name="November20_2020" displayName="November20_2020" ref="B5:H20" totalsRowCount="1" headerRowDxfId="9476" headerRowBorderDxfId="9475" tableBorderDxfId="9474" totalsRowBorderDxfId="9473">
  <autoFilter ref="B5:H19" xr:uid="{00000000-0009-0000-0100-000085000000}"/>
  <sortState xmlns:xlrd2="http://schemas.microsoft.com/office/spreadsheetml/2017/richdata2" ref="B6:H18">
    <sortCondition ref="B6"/>
  </sortState>
  <tableColumns count="7">
    <tableColumn id="1" xr3:uid="{00000000-0010-0000-E400-000001000000}" name="BDC LIST" totalsRowLabel="Total" dataDxfId="9472" totalsRowDxfId="9471"/>
    <tableColumn id="2" xr3:uid="{00000000-0010-0000-E400-000002000000}" name="KSI_AGO" totalsRowFunction="sum" dataDxfId="9470" totalsRowDxfId="9469"/>
    <tableColumn id="3" xr3:uid="{00000000-0010-0000-E400-000003000000}" name="KSI_PMS" totalsRowFunction="sum" dataDxfId="9468" totalsRowDxfId="9467"/>
    <tableColumn id="4" xr3:uid="{00000000-0010-0000-E400-000004000000}" name="BUIPE_AGO" totalsRowFunction="sum" dataDxfId="9466" totalsRowDxfId="9465"/>
    <tableColumn id="5" xr3:uid="{00000000-0010-0000-E400-000005000000}" name="BUIPE_PMS" totalsRowFunction="sum" dataDxfId="9464" totalsRowDxfId="9463" dataCellStyle="Comma"/>
    <tableColumn id="6" xr3:uid="{00000000-0010-0000-E400-000006000000}" name="AKOSOMBO_AGO" totalsRowFunction="sum" dataDxfId="9462" totalsRowDxfId="9461"/>
    <tableColumn id="7" xr3:uid="{00000000-0010-0000-E400-000007000000}" name="DATE" dataDxfId="9460" totalsRowDxfId="9459">
      <calculatedColumnFormula>$G$3</calculatedColumnFormula>
    </tableColumn>
  </tableColumns>
  <tableStyleInfo showFirstColumn="0" showLastColumn="0" showRowStripes="1" showColumnStripes="0"/>
</table>
</file>

<file path=xl/tables/table2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0000000-000C-0000-FFFF-FFFFE5000000}" name="November21_2020" displayName="November21_2020" ref="B5:H20" totalsRowCount="1" headerRowDxfId="9458" headerRowBorderDxfId="9457" tableBorderDxfId="9456" totalsRowBorderDxfId="9455">
  <autoFilter ref="B5:H19" xr:uid="{00000000-0009-0000-0100-000086000000}"/>
  <sortState xmlns:xlrd2="http://schemas.microsoft.com/office/spreadsheetml/2017/richdata2" ref="B6:H18">
    <sortCondition ref="B6"/>
  </sortState>
  <tableColumns count="7">
    <tableColumn id="1" xr3:uid="{00000000-0010-0000-E500-000001000000}" name="BDC LIST" totalsRowLabel="Total" dataDxfId="9454" totalsRowDxfId="9453"/>
    <tableColumn id="2" xr3:uid="{00000000-0010-0000-E500-000002000000}" name="KSI_AGO" totalsRowFunction="sum" dataDxfId="9452" totalsRowDxfId="9451"/>
    <tableColumn id="3" xr3:uid="{00000000-0010-0000-E500-000003000000}" name="KSI_PMS" totalsRowFunction="sum" dataDxfId="9450" totalsRowDxfId="9449"/>
    <tableColumn id="4" xr3:uid="{00000000-0010-0000-E500-000004000000}" name="BUIPE_AGO" totalsRowFunction="sum" dataDxfId="9448" totalsRowDxfId="9447"/>
    <tableColumn id="5" xr3:uid="{00000000-0010-0000-E500-000005000000}" name="BUIPE_PMS" totalsRowFunction="sum" dataDxfId="9446" totalsRowDxfId="9445" dataCellStyle="Comma"/>
    <tableColumn id="6" xr3:uid="{00000000-0010-0000-E500-000006000000}" name="AKOSOMBO_AGO" totalsRowFunction="sum" dataDxfId="9444" totalsRowDxfId="9443"/>
    <tableColumn id="7" xr3:uid="{00000000-0010-0000-E500-000007000000}" name="DATE" dataDxfId="9442" totalsRowDxfId="9441">
      <calculatedColumnFormula>$G$3</calculatedColumnFormula>
    </tableColumn>
  </tableColumns>
  <tableStyleInfo showFirstColumn="0" showLastColumn="0" showRowStripes="1" showColumnStripes="0"/>
</table>
</file>

<file path=xl/tables/table2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00000000-000C-0000-FFFF-FFFFE6000000}" name="November23_2020" displayName="November23_2020" ref="B5:H20" totalsRowCount="1" headerRowDxfId="9440" headerRowBorderDxfId="9439" tableBorderDxfId="9438" totalsRowBorderDxfId="9437">
  <autoFilter ref="B5:H19" xr:uid="{00000000-0009-0000-0100-000087000000}"/>
  <sortState xmlns:xlrd2="http://schemas.microsoft.com/office/spreadsheetml/2017/richdata2" ref="B6:H18">
    <sortCondition ref="B6"/>
  </sortState>
  <tableColumns count="7">
    <tableColumn id="1" xr3:uid="{00000000-0010-0000-E600-000001000000}" name="BDC LIST" totalsRowLabel="Total" dataDxfId="9436" totalsRowDxfId="9435"/>
    <tableColumn id="2" xr3:uid="{00000000-0010-0000-E600-000002000000}" name="KSI_AGO" totalsRowFunction="sum" dataDxfId="9434" totalsRowDxfId="9433"/>
    <tableColumn id="3" xr3:uid="{00000000-0010-0000-E600-000003000000}" name="KSI_PMS" totalsRowFunction="sum" dataDxfId="9432" totalsRowDxfId="9431"/>
    <tableColumn id="4" xr3:uid="{00000000-0010-0000-E600-000004000000}" name="BUIPE_AGO" totalsRowFunction="sum" dataDxfId="9430" totalsRowDxfId="9429"/>
    <tableColumn id="5" xr3:uid="{00000000-0010-0000-E600-000005000000}" name="BUIPE_PMS" totalsRowFunction="sum" dataDxfId="9428" totalsRowDxfId="9427" dataCellStyle="Comma"/>
    <tableColumn id="6" xr3:uid="{00000000-0010-0000-E600-000006000000}" name="AKOSOMBO_AGO" totalsRowFunction="sum" dataDxfId="9426" totalsRowDxfId="9425"/>
    <tableColumn id="7" xr3:uid="{00000000-0010-0000-E600-000007000000}" name="DATE" dataDxfId="9424" totalsRowDxfId="9423">
      <calculatedColumnFormula>$G$3</calculatedColumnFormula>
    </tableColumn>
  </tableColumns>
  <tableStyleInfo showFirstColumn="0" showLastColumn="0" showRowStripes="1" showColumnStripes="0"/>
</table>
</file>

<file path=xl/tables/table2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0000000-000C-0000-FFFF-FFFFE7000000}" name="November24_2020" displayName="November24_2020" ref="B5:H20" totalsRowCount="1" headerRowDxfId="9422" headerRowBorderDxfId="9421" tableBorderDxfId="9420" totalsRowBorderDxfId="9419">
  <autoFilter ref="B5:H19" xr:uid="{00000000-0009-0000-0100-000088000000}"/>
  <sortState xmlns:xlrd2="http://schemas.microsoft.com/office/spreadsheetml/2017/richdata2" ref="B6:H18">
    <sortCondition ref="B6"/>
  </sortState>
  <tableColumns count="7">
    <tableColumn id="1" xr3:uid="{00000000-0010-0000-E700-000001000000}" name="BDC LIST" totalsRowLabel="Total" dataDxfId="9418" totalsRowDxfId="9417"/>
    <tableColumn id="2" xr3:uid="{00000000-0010-0000-E700-000002000000}" name="KSI_AGO" totalsRowFunction="sum" dataDxfId="9416" totalsRowDxfId="9415"/>
    <tableColumn id="3" xr3:uid="{00000000-0010-0000-E700-000003000000}" name="KSI_PMS" totalsRowFunction="sum" dataDxfId="9414" totalsRowDxfId="9413"/>
    <tableColumn id="4" xr3:uid="{00000000-0010-0000-E700-000004000000}" name="BUIPE_AGO" totalsRowFunction="sum" dataDxfId="9412" totalsRowDxfId="9411"/>
    <tableColumn id="5" xr3:uid="{00000000-0010-0000-E700-000005000000}" name="BUIPE_PMS" totalsRowFunction="sum" dataDxfId="9410" totalsRowDxfId="9409" dataCellStyle="Comma"/>
    <tableColumn id="6" xr3:uid="{00000000-0010-0000-E700-000006000000}" name="AKOSOMBO_AGO" totalsRowFunction="sum" dataDxfId="9408" totalsRowDxfId="9407"/>
    <tableColumn id="7" xr3:uid="{00000000-0010-0000-E700-000007000000}" name="DATE" dataDxfId="9406" totalsRowDxfId="9405">
      <calculatedColumnFormula>$G$3</calculatedColumnFormula>
    </tableColumn>
  </tableColumns>
  <tableStyleInfo showFirstColumn="0" showLastColumn="0" showRowStripes="1" showColumnStripes="0"/>
</table>
</file>

<file path=xl/tables/table2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0000000-000C-0000-FFFF-FFFFE8000000}" name="November25_2020" displayName="November25_2020" ref="B5:H20" totalsRowCount="1" headerRowDxfId="9404" headerRowBorderDxfId="9403" tableBorderDxfId="9402" totalsRowBorderDxfId="9401">
  <autoFilter ref="B5:H19" xr:uid="{00000000-0009-0000-0100-000089000000}"/>
  <sortState xmlns:xlrd2="http://schemas.microsoft.com/office/spreadsheetml/2017/richdata2" ref="B6:H18">
    <sortCondition ref="B6"/>
  </sortState>
  <tableColumns count="7">
    <tableColumn id="1" xr3:uid="{00000000-0010-0000-E800-000001000000}" name="BDC LIST" totalsRowLabel="Total" dataDxfId="9400" totalsRowDxfId="9399"/>
    <tableColumn id="2" xr3:uid="{00000000-0010-0000-E800-000002000000}" name="KSI_AGO" totalsRowFunction="sum" dataDxfId="9398" totalsRowDxfId="9397"/>
    <tableColumn id="3" xr3:uid="{00000000-0010-0000-E800-000003000000}" name="KSI_PMS" totalsRowFunction="sum" dataDxfId="9396" totalsRowDxfId="9395"/>
    <tableColumn id="4" xr3:uid="{00000000-0010-0000-E800-000004000000}" name="BUIPE_AGO" totalsRowFunction="sum" dataDxfId="9394" totalsRowDxfId="9393"/>
    <tableColumn id="5" xr3:uid="{00000000-0010-0000-E800-000005000000}" name="BUIPE_PMS" totalsRowFunction="sum" dataDxfId="9392" totalsRowDxfId="9391" dataCellStyle="Comma"/>
    <tableColumn id="6" xr3:uid="{00000000-0010-0000-E800-000006000000}" name="AKOSOMBO_AGO" totalsRowFunction="sum" dataDxfId="9390" totalsRowDxfId="9389"/>
    <tableColumn id="7" xr3:uid="{00000000-0010-0000-E800-000007000000}" name="DATE" dataDxfId="9388" totalsRowDxfId="9387">
      <calculatedColumnFormula>$G$3</calculatedColumnFormula>
    </tableColumn>
  </tableColumns>
  <tableStyleInfo showFirstColumn="0" showLastColumn="0" showRowStripes="1" showColumnStripes="0"/>
</table>
</file>

<file path=xl/tables/table2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0000000-000C-0000-FFFF-FFFFE9000000}" name="November26_2020" displayName="November26_2020" ref="B5:H20" totalsRowCount="1" headerRowDxfId="9386" headerRowBorderDxfId="9385" tableBorderDxfId="9384" totalsRowBorderDxfId="9383">
  <autoFilter ref="B5:H19" xr:uid="{00000000-0009-0000-0100-00008D000000}"/>
  <sortState xmlns:xlrd2="http://schemas.microsoft.com/office/spreadsheetml/2017/richdata2" ref="B6:H18">
    <sortCondition ref="B6"/>
  </sortState>
  <tableColumns count="7">
    <tableColumn id="1" xr3:uid="{00000000-0010-0000-E900-000001000000}" name="BDC LIST" totalsRowLabel="Total" dataDxfId="9382" totalsRowDxfId="9381"/>
    <tableColumn id="2" xr3:uid="{00000000-0010-0000-E900-000002000000}" name="KSI_AGO" totalsRowFunction="sum" dataDxfId="9380" totalsRowDxfId="9379"/>
    <tableColumn id="3" xr3:uid="{00000000-0010-0000-E900-000003000000}" name="KSI_PMS" totalsRowFunction="sum" dataDxfId="9378" totalsRowDxfId="9377"/>
    <tableColumn id="4" xr3:uid="{00000000-0010-0000-E900-000004000000}" name="BUIPE_AGO" totalsRowFunction="sum" dataDxfId="9376" totalsRowDxfId="9375"/>
    <tableColumn id="5" xr3:uid="{00000000-0010-0000-E900-000005000000}" name="BUIPE_PMS" totalsRowFunction="sum" dataDxfId="9374" totalsRowDxfId="9373" dataCellStyle="Comma"/>
    <tableColumn id="6" xr3:uid="{00000000-0010-0000-E900-000006000000}" name="AKOSOMBO_AGO" totalsRowFunction="sum" dataDxfId="9372" totalsRowDxfId="9371"/>
    <tableColumn id="7" xr3:uid="{00000000-0010-0000-E900-000007000000}" name="DATE" dataDxfId="9370" totalsRowDxfId="9369">
      <calculatedColumnFormula>$G$3</calculatedColumnFormula>
    </tableColumn>
  </tableColumns>
  <tableStyleInfo showFirstColumn="0" showLastColumn="0" showRowStripes="1" showColumnStripes="0"/>
</table>
</file>

<file path=xl/tables/table2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0000000-000C-0000-FFFF-FFFFEA000000}" name="November27_2020" displayName="November27_2020" ref="B5:H20" totalsRowCount="1" headerRowDxfId="9368" headerRowBorderDxfId="9367" tableBorderDxfId="9366" totalsRowBorderDxfId="9365">
  <autoFilter ref="B5:H19" xr:uid="{00000000-0009-0000-0100-00008B000000}"/>
  <sortState xmlns:xlrd2="http://schemas.microsoft.com/office/spreadsheetml/2017/richdata2" ref="B6:H18">
    <sortCondition ref="B6"/>
  </sortState>
  <tableColumns count="7">
    <tableColumn id="1" xr3:uid="{00000000-0010-0000-EA00-000001000000}" name="BDC LIST" totalsRowLabel="Total" dataDxfId="9364" totalsRowDxfId="9363"/>
    <tableColumn id="2" xr3:uid="{00000000-0010-0000-EA00-000002000000}" name="KSI_AGO" totalsRowFunction="sum" dataDxfId="9362" totalsRowDxfId="9361"/>
    <tableColumn id="3" xr3:uid="{00000000-0010-0000-EA00-000003000000}" name="KSI_PMS" totalsRowFunction="sum" dataDxfId="9360" totalsRowDxfId="9359"/>
    <tableColumn id="4" xr3:uid="{00000000-0010-0000-EA00-000004000000}" name="BUIPE_AGO" totalsRowFunction="sum" dataDxfId="9358" totalsRowDxfId="9357"/>
    <tableColumn id="5" xr3:uid="{00000000-0010-0000-EA00-000005000000}" name="BUIPE_PMS" totalsRowFunction="sum" dataDxfId="9356" totalsRowDxfId="9355" dataCellStyle="Comma"/>
    <tableColumn id="6" xr3:uid="{00000000-0010-0000-EA00-000006000000}" name="AKOSOMBO_AGO" totalsRowFunction="sum" dataDxfId="9354" totalsRowDxfId="9353"/>
    <tableColumn id="7" xr3:uid="{00000000-0010-0000-EA00-000007000000}" name="DATE" dataDxfId="9352" totalsRowDxfId="9351">
      <calculatedColumnFormula>$G$3</calculatedColumnFormula>
    </tableColumn>
  </tableColumns>
  <tableStyleInfo showFirstColumn="0" showLastColumn="0" showRowStripes="1" showColumnStripes="0"/>
</table>
</file>

<file path=xl/tables/table2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0000000-000C-0000-FFFF-FFFFEB000000}" name="November30_2020" displayName="November30_2020" ref="B5:H20" totalsRowCount="1" headerRowDxfId="9350" headerRowBorderDxfId="9349" tableBorderDxfId="9348" totalsRowBorderDxfId="9347">
  <autoFilter ref="B5:H19" xr:uid="{00000000-0009-0000-0100-00008C000000}"/>
  <sortState xmlns:xlrd2="http://schemas.microsoft.com/office/spreadsheetml/2017/richdata2" ref="B6:H18">
    <sortCondition ref="B6"/>
  </sortState>
  <tableColumns count="7">
    <tableColumn id="1" xr3:uid="{00000000-0010-0000-EB00-000001000000}" name="BDC LIST" totalsRowLabel="Total" dataDxfId="9346" totalsRowDxfId="9345"/>
    <tableColumn id="2" xr3:uid="{00000000-0010-0000-EB00-000002000000}" name="KSI_AGO" totalsRowFunction="sum" dataDxfId="9344" totalsRowDxfId="9343"/>
    <tableColumn id="3" xr3:uid="{00000000-0010-0000-EB00-000003000000}" name="KSI_PMS" totalsRowFunction="sum" dataDxfId="9342" totalsRowDxfId="9341"/>
    <tableColumn id="4" xr3:uid="{00000000-0010-0000-EB00-000004000000}" name="BUIPE_AGO" totalsRowFunction="sum" dataDxfId="9340" totalsRowDxfId="9339"/>
    <tableColumn id="5" xr3:uid="{00000000-0010-0000-EB00-000005000000}" name="BUIPE_PMS" totalsRowFunction="sum" dataDxfId="9338" totalsRowDxfId="9337" dataCellStyle="Comma"/>
    <tableColumn id="6" xr3:uid="{00000000-0010-0000-EB00-000006000000}" name="AKOSOMBO_AGO" totalsRowFunction="sum" dataDxfId="9336" totalsRowDxfId="9335"/>
    <tableColumn id="7" xr3:uid="{00000000-0010-0000-EB00-000007000000}" name="DATE" dataDxfId="9334" totalsRowDxfId="9333">
      <calculatedColumnFormula>$G$3</calculatedColumnFormula>
    </tableColumn>
  </tableColumns>
  <tableStyleInfo showFirstColumn="0" showLastColumn="0" showRowStripes="1" showColumnStripes="0"/>
</table>
</file>

<file path=xl/tables/table2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EC000000}" name="December01_2020" displayName="December01_2020" ref="B5:H20" totalsRowCount="1" headerRowDxfId="9332" headerRowBorderDxfId="9331" tableBorderDxfId="9330" totalsRowBorderDxfId="9329">
  <autoFilter ref="B5:H19" xr:uid="{00000000-0009-0000-0100-00006F000000}"/>
  <sortState xmlns:xlrd2="http://schemas.microsoft.com/office/spreadsheetml/2017/richdata2" ref="B6:H18">
    <sortCondition ref="B6"/>
  </sortState>
  <tableColumns count="7">
    <tableColumn id="1" xr3:uid="{00000000-0010-0000-EC00-000001000000}" name="BDC LIST" totalsRowLabel="Total" dataDxfId="9328" totalsRowDxfId="9327"/>
    <tableColumn id="2" xr3:uid="{00000000-0010-0000-EC00-000002000000}" name="KSI_AGO" totalsRowFunction="sum" dataDxfId="9326" totalsRowDxfId="9325"/>
    <tableColumn id="3" xr3:uid="{00000000-0010-0000-EC00-000003000000}" name="KSI_PMS" totalsRowFunction="sum" dataDxfId="9324" totalsRowDxfId="9323"/>
    <tableColumn id="4" xr3:uid="{00000000-0010-0000-EC00-000004000000}" name="BUIPE_AGO" totalsRowFunction="sum" dataDxfId="9322" totalsRowDxfId="9321"/>
    <tableColumn id="5" xr3:uid="{00000000-0010-0000-EC00-000005000000}" name="BUIPE_PMS" totalsRowFunction="sum" dataDxfId="9320" totalsRowDxfId="9319" dataCellStyle="Comma"/>
    <tableColumn id="6" xr3:uid="{00000000-0010-0000-EC00-000006000000}" name="AKOSOMBO_AGO" totalsRowFunction="sum" dataDxfId="9318" totalsRowDxfId="9317"/>
    <tableColumn id="7" xr3:uid="{00000000-0010-0000-EC00-000007000000}" name="DATE" dataDxfId="9316" totalsRowDxfId="9315">
      <calculatedColumnFormula>$G$3</calculatedColumnFormula>
    </tableColumn>
  </tableColumns>
  <tableStyleInfo showFirstColumn="0" showLastColumn="0" showRowStripes="1" showColumnStripes="0"/>
</table>
</file>

<file path=xl/tables/table2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ED000000}" name="December02_2020" displayName="December02_2020" ref="B5:H20" totalsRowCount="1" headerRowDxfId="9314" headerRowBorderDxfId="9313" tableBorderDxfId="9312" totalsRowBorderDxfId="9311">
  <autoFilter ref="B5:H19" xr:uid="{00000000-0009-0000-0100-00005B000000}"/>
  <sortState xmlns:xlrd2="http://schemas.microsoft.com/office/spreadsheetml/2017/richdata2" ref="B6:H18">
    <sortCondition ref="B6"/>
  </sortState>
  <tableColumns count="7">
    <tableColumn id="1" xr3:uid="{00000000-0010-0000-ED00-000001000000}" name="BDC LIST" totalsRowLabel="Total" dataDxfId="9310" totalsRowDxfId="9309"/>
    <tableColumn id="2" xr3:uid="{00000000-0010-0000-ED00-000002000000}" name="KSI_AGO" totalsRowFunction="sum" dataDxfId="9308" totalsRowDxfId="9307"/>
    <tableColumn id="3" xr3:uid="{00000000-0010-0000-ED00-000003000000}" name="KSI_PMS" totalsRowFunction="sum" dataDxfId="9306" totalsRowDxfId="9305"/>
    <tableColumn id="4" xr3:uid="{00000000-0010-0000-ED00-000004000000}" name="BUIPE_AGO" totalsRowFunction="sum" dataDxfId="9304" totalsRowDxfId="9303"/>
    <tableColumn id="5" xr3:uid="{00000000-0010-0000-ED00-000005000000}" name="BUIPE_PMS" totalsRowFunction="sum" dataDxfId="9302" totalsRowDxfId="9301" dataCellStyle="Comma"/>
    <tableColumn id="6" xr3:uid="{00000000-0010-0000-ED00-000006000000}" name="AKOSOMBO_AGO" totalsRowFunction="sum" dataDxfId="9300" totalsRowDxfId="9299"/>
    <tableColumn id="7" xr3:uid="{00000000-0010-0000-ED00-000007000000}" name="DATE" dataDxfId="9298" totalsRowDxfId="9297">
      <calculatedColumnFormula>$G$3</calculatedColumnFormula>
    </tableColumn>
  </tableColumns>
  <tableStyleInfo showFirstColumn="0" showLastColumn="0" showRowStripes="1" showColumnStripes="0"/>
</table>
</file>

<file path=xl/tables/table2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EE000000}" name="December03_2020" displayName="December03_2020" ref="B5:H20" totalsRowCount="1" headerRowDxfId="9296" headerRowBorderDxfId="9295" tableBorderDxfId="9294" totalsRowBorderDxfId="9293">
  <autoFilter ref="B5:H19" xr:uid="{00000000-0009-0000-0100-00005D000000}"/>
  <sortState xmlns:xlrd2="http://schemas.microsoft.com/office/spreadsheetml/2017/richdata2" ref="B6:H18">
    <sortCondition ref="B6"/>
  </sortState>
  <tableColumns count="7">
    <tableColumn id="1" xr3:uid="{00000000-0010-0000-EE00-000001000000}" name="BDC LIST" totalsRowLabel="Total" dataDxfId="9292" totalsRowDxfId="9291"/>
    <tableColumn id="2" xr3:uid="{00000000-0010-0000-EE00-000002000000}" name="KSI_AGO" totalsRowFunction="sum" dataDxfId="9290" totalsRowDxfId="9289"/>
    <tableColumn id="3" xr3:uid="{00000000-0010-0000-EE00-000003000000}" name="KSI_PMS" totalsRowFunction="sum" dataDxfId="9288" totalsRowDxfId="9287"/>
    <tableColumn id="4" xr3:uid="{00000000-0010-0000-EE00-000004000000}" name="BUIPE_AGO" totalsRowFunction="sum" dataDxfId="9286" totalsRowDxfId="9285"/>
    <tableColumn id="5" xr3:uid="{00000000-0010-0000-EE00-000005000000}" name="BUIPE_PMS" totalsRowFunction="sum" dataDxfId="9284" totalsRowDxfId="9283" dataCellStyle="Comma"/>
    <tableColumn id="6" xr3:uid="{00000000-0010-0000-EE00-000006000000}" name="AKOSOMBO_AGO" totalsRowFunction="sum" dataDxfId="9282" totalsRowDxfId="9281"/>
    <tableColumn id="7" xr3:uid="{00000000-0010-0000-EE00-000007000000}" name="DATE" dataDxfId="9280" totalsRowDxfId="9279">
      <calculatedColumnFormula>$G$3</calculatedColumnFormula>
    </tableColumn>
  </tableColumns>
  <tableStyleInfo showFirstColumn="0" showLastColumn="0" showRowStripes="1" showColumnStripes="0"/>
</table>
</file>

<file path=xl/tables/table2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EF000000}" name="December04_2020" displayName="December04_2020" ref="B5:H20" totalsRowCount="1" headerRowDxfId="9278" headerRowBorderDxfId="9277" tableBorderDxfId="9276" totalsRowBorderDxfId="9275">
  <autoFilter ref="B5:H19" xr:uid="{00000000-0009-0000-0100-000068000000}"/>
  <sortState xmlns:xlrd2="http://schemas.microsoft.com/office/spreadsheetml/2017/richdata2" ref="B6:H18">
    <sortCondition ref="B6"/>
  </sortState>
  <tableColumns count="7">
    <tableColumn id="1" xr3:uid="{00000000-0010-0000-EF00-000001000000}" name="BDC LIST" totalsRowLabel="Total" dataDxfId="9274" totalsRowDxfId="9273"/>
    <tableColumn id="2" xr3:uid="{00000000-0010-0000-EF00-000002000000}" name="KSI_AGO" totalsRowFunction="sum" dataDxfId="9272" totalsRowDxfId="9271"/>
    <tableColumn id="3" xr3:uid="{00000000-0010-0000-EF00-000003000000}" name="KSI_PMS" totalsRowFunction="sum" dataDxfId="9270" totalsRowDxfId="9269"/>
    <tableColumn id="4" xr3:uid="{00000000-0010-0000-EF00-000004000000}" name="BUIPE_AGO" totalsRowFunction="sum" dataDxfId="9268" totalsRowDxfId="9267"/>
    <tableColumn id="5" xr3:uid="{00000000-0010-0000-EF00-000005000000}" name="BUIPE_PMS" totalsRowFunction="sum" dataDxfId="9266" totalsRowDxfId="9265" dataCellStyle="Comma"/>
    <tableColumn id="6" xr3:uid="{00000000-0010-0000-EF00-000006000000}" name="AKOSOMBO_AGO" totalsRowFunction="sum" dataDxfId="9264" totalsRowDxfId="9263"/>
    <tableColumn id="7" xr3:uid="{00000000-0010-0000-EF00-000007000000}" name="DATE" dataDxfId="9262" totalsRowDxfId="9261">
      <calculatedColumnFormula>$G$3</calculatedColumnFormula>
    </tableColumn>
  </tableColumns>
  <tableStyleInfo showFirstColumn="0" showLastColumn="0" showRowStripes="1" showColumnStripes="0"/>
</table>
</file>

<file path=xl/tables/table2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F0000000}" name="December05_2020" displayName="December05_2020" ref="B5:H20" totalsRowCount="1" headerRowDxfId="9260" headerRowBorderDxfId="9259" tableBorderDxfId="9258" totalsRowBorderDxfId="9257">
  <autoFilter ref="B5:H19" xr:uid="{00000000-0009-0000-0100-000067000000}"/>
  <sortState xmlns:xlrd2="http://schemas.microsoft.com/office/spreadsheetml/2017/richdata2" ref="B6:H18">
    <sortCondition ref="B6"/>
  </sortState>
  <tableColumns count="7">
    <tableColumn id="1" xr3:uid="{00000000-0010-0000-F000-000001000000}" name="BDC LIST" totalsRowLabel="Total" dataDxfId="9256" totalsRowDxfId="9255"/>
    <tableColumn id="2" xr3:uid="{00000000-0010-0000-F000-000002000000}" name="KSI_AGO" totalsRowFunction="sum" dataDxfId="9254" totalsRowDxfId="9253"/>
    <tableColumn id="3" xr3:uid="{00000000-0010-0000-F000-000003000000}" name="KSI_PMS" totalsRowFunction="sum" dataDxfId="9252" totalsRowDxfId="9251"/>
    <tableColumn id="4" xr3:uid="{00000000-0010-0000-F000-000004000000}" name="BUIPE_AGO" totalsRowFunction="sum" dataDxfId="9250" totalsRowDxfId="9249"/>
    <tableColumn id="5" xr3:uid="{00000000-0010-0000-F000-000005000000}" name="BUIPE_PMS" totalsRowFunction="sum" dataDxfId="9248" totalsRowDxfId="9247" dataCellStyle="Comma"/>
    <tableColumn id="6" xr3:uid="{00000000-0010-0000-F000-000006000000}" name="AKOSOMBO_AGO" totalsRowFunction="sum" dataDxfId="9246" totalsRowDxfId="9245"/>
    <tableColumn id="7" xr3:uid="{00000000-0010-0000-F000-000007000000}" name="DATE" dataDxfId="9244" totalsRowDxfId="9243">
      <calculatedColumnFormula>$G$3</calculatedColumnFormula>
    </tableColumn>
  </tableColumns>
  <tableStyleInfo showFirstColumn="0" showLastColumn="0" showRowStripes="1" showColumnStripes="0"/>
</table>
</file>

<file path=xl/tables/table2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F1000000}" name="December08_2020" displayName="December08_2020" ref="B5:H20" totalsRowCount="1" headerRowDxfId="9242" headerRowBorderDxfId="9241" tableBorderDxfId="9240" totalsRowBorderDxfId="9239">
  <autoFilter ref="B5:H19" xr:uid="{00000000-0009-0000-0100-000066000000}"/>
  <sortState xmlns:xlrd2="http://schemas.microsoft.com/office/spreadsheetml/2017/richdata2" ref="B6:H18">
    <sortCondition ref="B6"/>
  </sortState>
  <tableColumns count="7">
    <tableColumn id="1" xr3:uid="{00000000-0010-0000-F100-000001000000}" name="BDC LIST" totalsRowLabel="Total" dataDxfId="9238" totalsRowDxfId="9237"/>
    <tableColumn id="2" xr3:uid="{00000000-0010-0000-F100-000002000000}" name="KSI_AGO" totalsRowFunction="custom" dataDxfId="9236" totalsRowDxfId="9235">
      <totalsRowFormula>SUM(December08_2020[KSI_AGO])</totalsRowFormula>
    </tableColumn>
    <tableColumn id="3" xr3:uid="{00000000-0010-0000-F100-000003000000}" name="KSI_PMS" totalsRowFunction="custom" dataDxfId="9234" totalsRowDxfId="9233">
      <totalsRowFormula>SUM(December08_2020[KSI_PMS])</totalsRowFormula>
    </tableColumn>
    <tableColumn id="4" xr3:uid="{00000000-0010-0000-F100-000004000000}" name="BUIPE_AGO" totalsRowFunction="custom" dataDxfId="9232" totalsRowDxfId="9231">
      <totalsRowFormula>SUM(December08_2020[BUIPE_AGO])</totalsRowFormula>
    </tableColumn>
    <tableColumn id="5" xr3:uid="{00000000-0010-0000-F100-000005000000}" name="BUIPE_PMS" totalsRowFunction="custom" dataDxfId="9230" totalsRowDxfId="9229" dataCellStyle="Comma">
      <totalsRowFormula>SUM(December08_2020[BUIPE_PMS])</totalsRowFormula>
    </tableColumn>
    <tableColumn id="6" xr3:uid="{00000000-0010-0000-F100-000006000000}" name="AKOSOMBO_AGO" totalsRowFunction="custom" dataDxfId="9228" totalsRowDxfId="9227">
      <totalsRowFormula>SUM(December08_2020[AKOSOMBO_AGO])</totalsRowFormula>
    </tableColumn>
    <tableColumn id="7" xr3:uid="{00000000-0010-0000-F100-000007000000}" name="DATE" dataDxfId="9226" totalsRowDxfId="9225">
      <calculatedColumnFormula>$G$3</calculatedColumnFormula>
    </tableColumn>
  </tableColumns>
  <tableStyleInfo showFirstColumn="0" showLastColumn="0" showRowStripes="1" showColumnStripes="0"/>
</table>
</file>

<file path=xl/tables/table2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F2000000}" name="December09_2020" displayName="December09_2020" ref="B5:H20" totalsRowCount="1" headerRowDxfId="9224" headerRowBorderDxfId="9223" tableBorderDxfId="9222" totalsRowBorderDxfId="9221">
  <autoFilter ref="B5:H19" xr:uid="{00000000-0009-0000-0100-000065000000}"/>
  <sortState xmlns:xlrd2="http://schemas.microsoft.com/office/spreadsheetml/2017/richdata2" ref="B6:H18">
    <sortCondition ref="B6"/>
  </sortState>
  <tableColumns count="7">
    <tableColumn id="1" xr3:uid="{00000000-0010-0000-F200-000001000000}" name="BDC LIST" totalsRowLabel="Total" dataDxfId="9220" totalsRowDxfId="9219"/>
    <tableColumn id="2" xr3:uid="{00000000-0010-0000-F200-000002000000}" name="KSI_AGO" totalsRowFunction="custom" dataDxfId="9218" totalsRowDxfId="9217">
      <totalsRowFormula>SUM(December09_2020[KSI_AGO])</totalsRowFormula>
    </tableColumn>
    <tableColumn id="3" xr3:uid="{00000000-0010-0000-F200-000003000000}" name="KSI_PMS" totalsRowFunction="custom" dataDxfId="9216" totalsRowDxfId="9215">
      <totalsRowFormula>SUM(December09_2020[KSI_PMS])</totalsRowFormula>
    </tableColumn>
    <tableColumn id="4" xr3:uid="{00000000-0010-0000-F200-000004000000}" name="BUIPE_AGO" totalsRowFunction="custom" dataDxfId="9214" totalsRowDxfId="9213">
      <totalsRowFormula>SUM(December09_2020[BUIPE_AGO])</totalsRowFormula>
    </tableColumn>
    <tableColumn id="5" xr3:uid="{00000000-0010-0000-F200-000005000000}" name="BUIPE_PMS" totalsRowFunction="custom" dataDxfId="9212" totalsRowDxfId="9211" dataCellStyle="Comma">
      <totalsRowFormula>SUM(December09_2020[BUIPE_PMS])</totalsRowFormula>
    </tableColumn>
    <tableColumn id="6" xr3:uid="{00000000-0010-0000-F200-000006000000}" name="AKOSOMBO_AGO" totalsRowFunction="custom" dataDxfId="9210" totalsRowDxfId="9209">
      <totalsRowFormula>SUM(December09_2020[AKOSOMBO_AGO])</totalsRowFormula>
    </tableColumn>
    <tableColumn id="7" xr3:uid="{00000000-0010-0000-F200-000007000000}" name="DATE" dataDxfId="9208" totalsRowDxfId="9207">
      <calculatedColumnFormula>$G$3</calculatedColumnFormula>
    </tableColumn>
  </tableColumns>
  <tableStyleInfo showFirstColumn="0" showLastColumn="0" showRowStripes="1" showColumnStripes="0"/>
</table>
</file>

<file path=xl/tables/table2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F3000000}" name="December10_2020" displayName="December10_2020" ref="B5:H20" totalsRowCount="1" headerRowDxfId="9206" headerRowBorderDxfId="9205" tableBorderDxfId="9204" totalsRowBorderDxfId="9203">
  <autoFilter ref="B5:H19" xr:uid="{00000000-0009-0000-0100-000064000000}"/>
  <sortState xmlns:xlrd2="http://schemas.microsoft.com/office/spreadsheetml/2017/richdata2" ref="B6:H18">
    <sortCondition ref="B6"/>
  </sortState>
  <tableColumns count="7">
    <tableColumn id="1" xr3:uid="{00000000-0010-0000-F300-000001000000}" name="BDC LIST" totalsRowLabel="Total" dataDxfId="9202" totalsRowDxfId="9201"/>
    <tableColumn id="2" xr3:uid="{00000000-0010-0000-F300-000002000000}" name="KSI_AGO" totalsRowFunction="custom" dataDxfId="9200" totalsRowDxfId="9199">
      <totalsRowFormula>SUM(December10_2020[KSI_AGO])</totalsRowFormula>
    </tableColumn>
    <tableColumn id="3" xr3:uid="{00000000-0010-0000-F300-000003000000}" name="KSI_PMS" totalsRowFunction="custom" dataDxfId="9198" totalsRowDxfId="9197">
      <totalsRowFormula>SUM(December10_2020[KSI_PMS])</totalsRowFormula>
    </tableColumn>
    <tableColumn id="4" xr3:uid="{00000000-0010-0000-F300-000004000000}" name="BUIPE_AGO" totalsRowFunction="custom" dataDxfId="9196" totalsRowDxfId="9195">
      <totalsRowFormula>SUM(December10_2020[BUIPE_AGO])</totalsRowFormula>
    </tableColumn>
    <tableColumn id="5" xr3:uid="{00000000-0010-0000-F300-000005000000}" name="BUIPE_PMS" totalsRowFunction="custom" dataDxfId="9194" totalsRowDxfId="9193" dataCellStyle="Comma">
      <totalsRowFormula>SUM(December10_2020[BUIPE_PMS])</totalsRowFormula>
    </tableColumn>
    <tableColumn id="6" xr3:uid="{00000000-0010-0000-F300-000006000000}" name="AKOSOMBO_AGO" totalsRowFunction="custom" dataDxfId="9192" totalsRowDxfId="9191">
      <totalsRowFormula>SUM(December10_2020[AKOSOMBO_AGO])</totalsRowFormula>
    </tableColumn>
    <tableColumn id="7" xr3:uid="{00000000-0010-0000-F300-000007000000}" name="DATE" dataDxfId="9190" totalsRowDxfId="9189">
      <calculatedColumnFormula>$G$3</calculatedColumnFormula>
    </tableColumn>
  </tableColumns>
  <tableStyleInfo showFirstColumn="0" showLastColumn="0" showRowStripes="1" showColumnStripes="0"/>
</table>
</file>

<file path=xl/tables/table2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F4000000}" name="December11_2020" displayName="December11_2020" ref="B5:H20" totalsRowCount="1" headerRowDxfId="9188" headerRowBorderDxfId="9187" tableBorderDxfId="9186" totalsRowBorderDxfId="9185">
  <autoFilter ref="B5:H19" xr:uid="{00000000-0009-0000-0100-000063000000}"/>
  <sortState xmlns:xlrd2="http://schemas.microsoft.com/office/spreadsheetml/2017/richdata2" ref="B6:H18">
    <sortCondition ref="B6"/>
  </sortState>
  <tableColumns count="7">
    <tableColumn id="1" xr3:uid="{00000000-0010-0000-F400-000001000000}" name="BDC LIST" totalsRowLabel="Total" dataDxfId="9184" totalsRowDxfId="9183"/>
    <tableColumn id="2" xr3:uid="{00000000-0010-0000-F400-000002000000}" name="KSI_AGO" totalsRowFunction="custom" dataDxfId="9182" totalsRowDxfId="9181">
      <totalsRowFormula>SUM(December11_2020[KSI_AGO])</totalsRowFormula>
    </tableColumn>
    <tableColumn id="3" xr3:uid="{00000000-0010-0000-F400-000003000000}" name="KSI_PMS" totalsRowFunction="custom" dataDxfId="9180" totalsRowDxfId="9179">
      <totalsRowFormula>SUM(December11_2020[KSI_PMS])</totalsRowFormula>
    </tableColumn>
    <tableColumn id="4" xr3:uid="{00000000-0010-0000-F400-000004000000}" name="BUIPE_AGO" totalsRowFunction="custom" dataDxfId="9178" totalsRowDxfId="9177">
      <totalsRowFormula>SUM(December11_2020[BUIPE_AGO])</totalsRowFormula>
    </tableColumn>
    <tableColumn id="5" xr3:uid="{00000000-0010-0000-F400-000005000000}" name="BUIPE_PMS" totalsRowFunction="custom" dataDxfId="9176" totalsRowDxfId="9175" dataCellStyle="Comma">
      <totalsRowFormula>SUM(December11_2020[BUIPE_PMS])</totalsRowFormula>
    </tableColumn>
    <tableColumn id="6" xr3:uid="{00000000-0010-0000-F400-000006000000}" name="AKOSOMBO_AGO" totalsRowFunction="custom" dataDxfId="9174" totalsRowDxfId="9173">
      <totalsRowFormula>SUM(December11_2020[AKOSOMBO_AGO])</totalsRowFormula>
    </tableColumn>
    <tableColumn id="7" xr3:uid="{00000000-0010-0000-F400-000007000000}" name="DATE" dataDxfId="9172" totalsRowDxfId="9171">
      <calculatedColumnFormula>$G$3</calculatedColumnFormula>
    </tableColumn>
  </tableColumns>
  <tableStyleInfo showFirstColumn="0" showLastColumn="0" showRowStripes="1" showColumnStripes="0"/>
</table>
</file>

<file path=xl/tables/table2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F5000000}" name="December14_2020" displayName="December14_2020" ref="B5:H20" totalsRowCount="1" headerRowDxfId="9170" headerRowBorderDxfId="9169" tableBorderDxfId="9168" totalsRowBorderDxfId="9167">
  <autoFilter ref="B5:H19" xr:uid="{00000000-0009-0000-0100-00005C000000}"/>
  <sortState xmlns:xlrd2="http://schemas.microsoft.com/office/spreadsheetml/2017/richdata2" ref="B6:H18">
    <sortCondition ref="B6"/>
  </sortState>
  <tableColumns count="7">
    <tableColumn id="1" xr3:uid="{00000000-0010-0000-F500-000001000000}" name="BDC LIST" totalsRowLabel="Total" dataDxfId="9166" totalsRowDxfId="9165"/>
    <tableColumn id="2" xr3:uid="{00000000-0010-0000-F500-000002000000}" name="KSI_AGO" totalsRowFunction="custom" dataDxfId="9164" totalsRowDxfId="9163">
      <totalsRowFormula>SUM(December14_2020[KSI_AGO])</totalsRowFormula>
    </tableColumn>
    <tableColumn id="3" xr3:uid="{00000000-0010-0000-F500-000003000000}" name="KSI_PMS" totalsRowFunction="custom" dataDxfId="9162" totalsRowDxfId="9161">
      <totalsRowFormula>SUM(December14_2020[KSI_PMS])</totalsRowFormula>
    </tableColumn>
    <tableColumn id="4" xr3:uid="{00000000-0010-0000-F500-000004000000}" name="BUIPE_AGO" totalsRowFunction="custom" dataDxfId="9160" totalsRowDxfId="9159">
      <totalsRowFormula>SUM(December14_2020[BUIPE_AGO])</totalsRowFormula>
    </tableColumn>
    <tableColumn id="5" xr3:uid="{00000000-0010-0000-F500-000005000000}" name="BUIPE_PMS" totalsRowFunction="custom" dataDxfId="9158" totalsRowDxfId="9157" dataCellStyle="Comma">
      <totalsRowFormula>SUM(December14_2020[BUIPE_PMS])</totalsRowFormula>
    </tableColumn>
    <tableColumn id="6" xr3:uid="{00000000-0010-0000-F500-000006000000}" name="AKOSOMBO_AGO" totalsRowFunction="custom" dataDxfId="9156" totalsRowDxfId="9155">
      <totalsRowFormula>SUM(December14_2020[AKOSOMBO_AGO])</totalsRowFormula>
    </tableColumn>
    <tableColumn id="7" xr3:uid="{00000000-0010-0000-F500-000007000000}" name="DATE" dataDxfId="9154" totalsRowDxfId="9153">
      <calculatedColumnFormula>$G$3</calculatedColumnFormula>
    </tableColumn>
  </tableColumns>
  <tableStyleInfo showFirstColumn="0" showLastColumn="0" showRowStripes="1" showColumnStripes="0"/>
</table>
</file>

<file path=xl/tables/table2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F6000000}" name="December15_2020" displayName="December15_2020" ref="B5:H20" totalsRowCount="1" headerRowDxfId="9152" headerRowBorderDxfId="9151" tableBorderDxfId="9150" totalsRowBorderDxfId="9149">
  <autoFilter ref="B5:H19" xr:uid="{00000000-0009-0000-0100-00005E000000}"/>
  <sortState xmlns:xlrd2="http://schemas.microsoft.com/office/spreadsheetml/2017/richdata2" ref="B6:H18">
    <sortCondition ref="B6"/>
  </sortState>
  <tableColumns count="7">
    <tableColumn id="1" xr3:uid="{00000000-0010-0000-F600-000001000000}" name="BDC LIST" totalsRowLabel="Total" dataDxfId="9148" totalsRowDxfId="9147"/>
    <tableColumn id="2" xr3:uid="{00000000-0010-0000-F600-000002000000}" name="KSI_AGO" totalsRowFunction="custom" dataDxfId="9146" totalsRowDxfId="9145">
      <totalsRowFormula>SUM(December15_2020[KSI_AGO])</totalsRowFormula>
    </tableColumn>
    <tableColumn id="3" xr3:uid="{00000000-0010-0000-F600-000003000000}" name="KSI_PMS" totalsRowFunction="custom" dataDxfId="9144" totalsRowDxfId="9143">
      <totalsRowFormula>SUM(December15_2020[KSI_PMS])</totalsRowFormula>
    </tableColumn>
    <tableColumn id="4" xr3:uid="{00000000-0010-0000-F600-000004000000}" name="BUIPE_AGO" totalsRowFunction="custom" dataDxfId="9142" totalsRowDxfId="9141">
      <totalsRowFormula>SUM(December15_2020[BUIPE_AGO])</totalsRowFormula>
    </tableColumn>
    <tableColumn id="5" xr3:uid="{00000000-0010-0000-F600-000005000000}" name="BUIPE_PMS" totalsRowFunction="custom" dataDxfId="9140" totalsRowDxfId="9139" dataCellStyle="Comma">
      <totalsRowFormula>SUM(December15_2020[BUIPE_PMS])</totalsRowFormula>
    </tableColumn>
    <tableColumn id="6" xr3:uid="{00000000-0010-0000-F600-000006000000}" name="AKOSOMBO_AGO" totalsRowFunction="custom" dataDxfId="9138" totalsRowDxfId="9137">
      <totalsRowFormula>SUM(December15_2020[AKOSOMBO_AGO])</totalsRowFormula>
    </tableColumn>
    <tableColumn id="7" xr3:uid="{00000000-0010-0000-F600-000007000000}" name="DATE" dataDxfId="9136" totalsRowDxfId="9135">
      <calculatedColumnFormula>$G$3</calculatedColumnFormula>
    </tableColumn>
  </tableColumns>
  <tableStyleInfo showFirstColumn="0" showLastColumn="0" showRowStripes="1" showColumnStripes="0"/>
</table>
</file>

<file path=xl/tables/table2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F7000000}" name="December16_2020" displayName="December16_2020" ref="B5:H20" totalsRowCount="1" headerRowDxfId="9134" headerRowBorderDxfId="9133" tableBorderDxfId="9132" totalsRowBorderDxfId="9131">
  <autoFilter ref="B5:H19" xr:uid="{00000000-0009-0000-0100-00005F000000}"/>
  <sortState xmlns:xlrd2="http://schemas.microsoft.com/office/spreadsheetml/2017/richdata2" ref="B6:H18">
    <sortCondition ref="B6"/>
  </sortState>
  <tableColumns count="7">
    <tableColumn id="1" xr3:uid="{00000000-0010-0000-F700-000001000000}" name="BDC LIST" totalsRowLabel="Total" dataDxfId="9130" totalsRowDxfId="9129"/>
    <tableColumn id="2" xr3:uid="{00000000-0010-0000-F700-000002000000}" name="KSI_AGO" totalsRowFunction="custom" dataDxfId="9128" totalsRowDxfId="9127">
      <totalsRowFormula>SUM(December16_2020[KSI_AGO])</totalsRowFormula>
    </tableColumn>
    <tableColumn id="3" xr3:uid="{00000000-0010-0000-F700-000003000000}" name="KSI_PMS" totalsRowFunction="custom" dataDxfId="9126" totalsRowDxfId="9125">
      <totalsRowFormula>SUM(December16_2020[KSI_PMS])</totalsRowFormula>
    </tableColumn>
    <tableColumn id="4" xr3:uid="{00000000-0010-0000-F700-000004000000}" name="BUIPE_AGO" totalsRowFunction="custom" dataDxfId="9124" totalsRowDxfId="9123">
      <totalsRowFormula>SUM(December16_2020[BUIPE_AGO])</totalsRowFormula>
    </tableColumn>
    <tableColumn id="5" xr3:uid="{00000000-0010-0000-F700-000005000000}" name="BUIPE_PMS" totalsRowFunction="custom" dataDxfId="9122" totalsRowDxfId="9121" dataCellStyle="Comma">
      <totalsRowFormula>SUM(December16_2020[BUIPE_PMS])</totalsRowFormula>
    </tableColumn>
    <tableColumn id="6" xr3:uid="{00000000-0010-0000-F700-000006000000}" name="AKOSOMBO_AGO" totalsRowFunction="custom" dataDxfId="9120" totalsRowDxfId="9119">
      <totalsRowFormula>SUM(December16_2020[AKOSOMBO_AGO])</totalsRowFormula>
    </tableColumn>
    <tableColumn id="7" xr3:uid="{00000000-0010-0000-F700-000007000000}" name="DATE" dataDxfId="9118" totalsRowDxfId="9117">
      <calculatedColumnFormula>$G$3</calculatedColumnFormula>
    </tableColumn>
  </tableColumns>
  <tableStyleInfo showFirstColumn="0" showLastColumn="0" showRowStripes="1" showColumnStripes="0"/>
</table>
</file>

<file path=xl/tables/table2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F8000000}" name="December17_2020" displayName="December17_2020" ref="B5:H20" totalsRowCount="1" headerRowDxfId="9116" headerRowBorderDxfId="9115" tableBorderDxfId="9114" totalsRowBorderDxfId="9113">
  <autoFilter ref="B5:H19" xr:uid="{00000000-0009-0000-0100-000060000000}"/>
  <sortState xmlns:xlrd2="http://schemas.microsoft.com/office/spreadsheetml/2017/richdata2" ref="B6:H18">
    <sortCondition ref="B6"/>
  </sortState>
  <tableColumns count="7">
    <tableColumn id="1" xr3:uid="{00000000-0010-0000-F800-000001000000}" name="BDC LIST" totalsRowLabel="Total" dataDxfId="9112" totalsRowDxfId="9111"/>
    <tableColumn id="2" xr3:uid="{00000000-0010-0000-F800-000002000000}" name="KSI_AGO" totalsRowFunction="custom" dataDxfId="9110" totalsRowDxfId="9109">
      <totalsRowFormula>SUM(December17_2020[KSI_AGO])</totalsRowFormula>
    </tableColumn>
    <tableColumn id="3" xr3:uid="{00000000-0010-0000-F800-000003000000}" name="KSI_PMS" totalsRowFunction="custom" dataDxfId="9108" totalsRowDxfId="9107">
      <totalsRowFormula>SUM(December17_2020[KSI_PMS])</totalsRowFormula>
    </tableColumn>
    <tableColumn id="4" xr3:uid="{00000000-0010-0000-F800-000004000000}" name="BUIPE_AGO" totalsRowFunction="custom" dataDxfId="9106" totalsRowDxfId="9105">
      <totalsRowFormula>SUM(December17_2020[BUIPE_AGO])</totalsRowFormula>
    </tableColumn>
    <tableColumn id="5" xr3:uid="{00000000-0010-0000-F800-000005000000}" name="BUIPE_PMS" totalsRowFunction="custom" dataDxfId="9104" totalsRowDxfId="9103" dataCellStyle="Comma">
      <totalsRowFormula>SUM(December17_2020[BUIPE_PMS])</totalsRowFormula>
    </tableColumn>
    <tableColumn id="6" xr3:uid="{00000000-0010-0000-F800-000006000000}" name="AKOSOMBO_AGO" totalsRowFunction="custom" dataDxfId="9102" totalsRowDxfId="9101">
      <totalsRowFormula>SUM(December17_2020[AKOSOMBO_AGO])</totalsRowFormula>
    </tableColumn>
    <tableColumn id="7" xr3:uid="{00000000-0010-0000-F800-000007000000}" name="DATE" dataDxfId="9100" totalsRowDxfId="9099">
      <calculatedColumnFormula>$G$3</calculatedColumnFormula>
    </tableColumn>
  </tableColumns>
  <tableStyleInfo showFirstColumn="0" showLastColumn="0" showRowStripes="1" showColumnStripes="0"/>
</table>
</file>

<file path=xl/tables/table2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F9000000}" name="December18_2020" displayName="December18_2020" ref="B5:H20" totalsRowCount="1" headerRowDxfId="9098" headerRowBorderDxfId="9097" tableBorderDxfId="9096" totalsRowBorderDxfId="9095">
  <autoFilter ref="B5:H19" xr:uid="{00000000-0009-0000-0100-000061000000}"/>
  <sortState xmlns:xlrd2="http://schemas.microsoft.com/office/spreadsheetml/2017/richdata2" ref="B6:H18">
    <sortCondition ref="B6"/>
  </sortState>
  <tableColumns count="7">
    <tableColumn id="1" xr3:uid="{00000000-0010-0000-F900-000001000000}" name="BDC LIST" totalsRowLabel="Total" dataDxfId="9094" totalsRowDxfId="9093"/>
    <tableColumn id="2" xr3:uid="{00000000-0010-0000-F900-000002000000}" name="KSI_AGO" totalsRowFunction="custom" dataDxfId="9092" totalsRowDxfId="9091">
      <totalsRowFormula>SUM(December18_2020[KSI_AGO])</totalsRowFormula>
    </tableColumn>
    <tableColumn id="3" xr3:uid="{00000000-0010-0000-F900-000003000000}" name="KSI_PMS" totalsRowFunction="custom" dataDxfId="9090" totalsRowDxfId="9089">
      <totalsRowFormula>SUM(December18_2020[KSI_PMS])</totalsRowFormula>
    </tableColumn>
    <tableColumn id="4" xr3:uid="{00000000-0010-0000-F900-000004000000}" name="BUIPE_AGO" totalsRowFunction="custom" dataDxfId="9088" totalsRowDxfId="9087">
      <totalsRowFormula>SUM(December18_2020[BUIPE_AGO])</totalsRowFormula>
    </tableColumn>
    <tableColumn id="5" xr3:uid="{00000000-0010-0000-F900-000005000000}" name="BUIPE_PMS" totalsRowFunction="custom" dataDxfId="9086" totalsRowDxfId="9085" dataCellStyle="Comma">
      <totalsRowFormula>SUM(December18_2020[BUIPE_PMS])</totalsRowFormula>
    </tableColumn>
    <tableColumn id="6" xr3:uid="{00000000-0010-0000-F900-000006000000}" name="AKOSOMBO_AGO" totalsRowFunction="custom" dataDxfId="9084" totalsRowDxfId="9083">
      <totalsRowFormula>SUM(December18_2020[AKOSOMBO_AGO])</totalsRowFormula>
    </tableColumn>
    <tableColumn id="7" xr3:uid="{00000000-0010-0000-F900-000007000000}" name="DATE" dataDxfId="9082" totalsRowDxfId="9081">
      <calculatedColumnFormula>$G$3</calculatedColumnFormula>
    </tableColumn>
  </tableColumns>
  <tableStyleInfo showFirstColumn="0" showLastColumn="0" showRowStripes="1" showColumnStripes="0"/>
</table>
</file>

<file path=xl/tables/table2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8F455AF-4474-4B22-B2A8-BB88EF1868BC}" name="December21_2020" displayName="December21_2020" ref="B5:H20" totalsRowCount="1" headerRowDxfId="9080" headerRowBorderDxfId="9079" tableBorderDxfId="9078" totalsRowBorderDxfId="9077">
  <autoFilter ref="B5:H19" xr:uid="{FF66A58E-A4B9-4C7A-9BD1-5B112B41DBB6}"/>
  <sortState xmlns:xlrd2="http://schemas.microsoft.com/office/spreadsheetml/2017/richdata2" ref="B6:H18">
    <sortCondition ref="B6"/>
  </sortState>
  <tableColumns count="7">
    <tableColumn id="1" xr3:uid="{6CDE8D96-0028-4A54-BB3C-08D129F4AD25}" name="BDC LIST" totalsRowLabel="Total" dataDxfId="9076" totalsRowDxfId="9075"/>
    <tableColumn id="2" xr3:uid="{AE5B3C11-02C6-4252-B257-5F6A1D0BF291}" name="KSI_AGO" totalsRowFunction="custom" dataDxfId="9074" totalsRowDxfId="9073">
      <totalsRowFormula>SUM(December21_2020[KSI_AGO])</totalsRowFormula>
    </tableColumn>
    <tableColumn id="3" xr3:uid="{3FF19CEA-226F-44D1-8803-3945E1FD9DE3}" name="KSI_PMS" totalsRowFunction="custom" dataDxfId="9072" totalsRowDxfId="9071">
      <totalsRowFormula>SUM(December21_2020[KSI_PMS])</totalsRowFormula>
    </tableColumn>
    <tableColumn id="4" xr3:uid="{12641379-9052-4FD6-A1C6-17BE490320A2}" name="BUIPE_AGO" totalsRowFunction="custom" dataDxfId="9070" totalsRowDxfId="9069">
      <totalsRowFormula>SUM(December21_2020[BUIPE_AGO])</totalsRowFormula>
    </tableColumn>
    <tableColumn id="5" xr3:uid="{5FDAF039-6806-4507-93AE-83A9B6D0BE04}" name="BUIPE_PMS" totalsRowFunction="custom" dataDxfId="9068" totalsRowDxfId="9067" dataCellStyle="Comma">
      <totalsRowFormula>SUM(December21_2020[BUIPE_PMS])</totalsRowFormula>
    </tableColumn>
    <tableColumn id="6" xr3:uid="{1B84722D-A7A8-47FE-A5A3-A2655E26BD08}" name="AKOSOMBO_AGO" totalsRowFunction="custom" dataDxfId="9066" totalsRowDxfId="9065">
      <totalsRowFormula>SUM(December21_2020[AKOSOMBO_AGO])</totalsRowFormula>
    </tableColumn>
    <tableColumn id="7" xr3:uid="{70AEDB2F-090E-4F1D-93D7-8182BEBF7FCE}" name="DATE" dataDxfId="9064" totalsRowDxfId="9063">
      <calculatedColumnFormula>$G$3</calculatedColumnFormula>
    </tableColumn>
  </tableColumns>
  <tableStyleInfo showFirstColumn="0" showLastColumn="0" showRowStripes="1" showColumnStripes="0"/>
</table>
</file>

<file path=xl/tables/table2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FB000000}" name="December22_2020" displayName="December22_2020" ref="B5:H20" totalsRowCount="1" headerRowDxfId="9062" headerRowBorderDxfId="9061" tableBorderDxfId="9060" totalsRowBorderDxfId="9059">
  <autoFilter ref="B5:H19" xr:uid="{00000000-0009-0000-0100-00006B000000}"/>
  <sortState xmlns:xlrd2="http://schemas.microsoft.com/office/spreadsheetml/2017/richdata2" ref="B6:H18">
    <sortCondition ref="B6"/>
  </sortState>
  <tableColumns count="7">
    <tableColumn id="1" xr3:uid="{00000000-0010-0000-FB00-000001000000}" name="BDC LIST" totalsRowLabel="Total" dataDxfId="9058" totalsRowDxfId="9057"/>
    <tableColumn id="2" xr3:uid="{00000000-0010-0000-FB00-000002000000}" name="KSI_AGO" totalsRowFunction="custom" dataDxfId="9056" totalsRowDxfId="9055">
      <totalsRowFormula>SUM(December22_2020[KSI_AGO])</totalsRowFormula>
    </tableColumn>
    <tableColumn id="3" xr3:uid="{00000000-0010-0000-FB00-000003000000}" name="KSI_PMS" totalsRowFunction="custom" dataDxfId="9054" totalsRowDxfId="9053">
      <totalsRowFormula>SUM(December22_2020[KSI_PMS])</totalsRowFormula>
    </tableColumn>
    <tableColumn id="4" xr3:uid="{00000000-0010-0000-FB00-000004000000}" name="BUIPE_AGO" totalsRowFunction="custom" dataDxfId="9052" totalsRowDxfId="9051">
      <totalsRowFormula>SUM(December22_2020[BUIPE_AGO])</totalsRowFormula>
    </tableColumn>
    <tableColumn id="5" xr3:uid="{00000000-0010-0000-FB00-000005000000}" name="BUIPE_PMS" totalsRowFunction="custom" dataDxfId="9050" totalsRowDxfId="9049" dataCellStyle="Comma">
      <totalsRowFormula>SUM(December22_2020[BUIPE_PMS])</totalsRowFormula>
    </tableColumn>
    <tableColumn id="6" xr3:uid="{00000000-0010-0000-FB00-000006000000}" name="AKOSOMBO_AGO" totalsRowFunction="custom" dataDxfId="9048" totalsRowDxfId="9047">
      <totalsRowFormula>SUM(December22_2020[AKOSOMBO_AGO])</totalsRowFormula>
    </tableColumn>
    <tableColumn id="7" xr3:uid="{00000000-0010-0000-FB00-000007000000}" name="DATE" dataDxfId="9046" totalsRowDxfId="9045">
      <calculatedColumnFormula>$G$3</calculatedColumnFormula>
    </tableColumn>
  </tableColumns>
  <tableStyleInfo showFirstColumn="0" showLastColumn="0" showRowStripes="1" showColumnStripes="0"/>
</table>
</file>

<file path=xl/tables/table2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FC000000}" name="December23_2020" displayName="December23_2020" ref="B5:H20" totalsRowCount="1" headerRowDxfId="9044" headerRowBorderDxfId="9043" tableBorderDxfId="9042" totalsRowBorderDxfId="9041">
  <autoFilter ref="B5:H19" xr:uid="{00000000-0009-0000-0100-000069000000}"/>
  <sortState xmlns:xlrd2="http://schemas.microsoft.com/office/spreadsheetml/2017/richdata2" ref="B6:H18">
    <sortCondition ref="B6"/>
  </sortState>
  <tableColumns count="7">
    <tableColumn id="1" xr3:uid="{00000000-0010-0000-FC00-000001000000}" name="BDC LIST" totalsRowLabel="Total" dataDxfId="9040" totalsRowDxfId="9039"/>
    <tableColumn id="2" xr3:uid="{00000000-0010-0000-FC00-000002000000}" name="KSI_AGO" totalsRowFunction="custom" dataDxfId="9038" totalsRowDxfId="9037">
      <totalsRowFormula>SUM(December23_2020[KSI_AGO])</totalsRowFormula>
    </tableColumn>
    <tableColumn id="3" xr3:uid="{00000000-0010-0000-FC00-000003000000}" name="KSI_PMS" totalsRowFunction="custom" dataDxfId="9036" totalsRowDxfId="9035">
      <totalsRowFormula>SUM(December23_2020[KSI_PMS])</totalsRowFormula>
    </tableColumn>
    <tableColumn id="4" xr3:uid="{00000000-0010-0000-FC00-000004000000}" name="BUIPE_AGO" totalsRowFunction="custom" dataDxfId="9034" totalsRowDxfId="9033">
      <totalsRowFormula>SUM(December23_2020[BUIPE_AGO])</totalsRowFormula>
    </tableColumn>
    <tableColumn id="5" xr3:uid="{00000000-0010-0000-FC00-000005000000}" name="BUIPE_PMS" totalsRowFunction="custom" dataDxfId="9032" totalsRowDxfId="9031" dataCellStyle="Comma">
      <totalsRowFormula>SUM(December23_2020[BUIPE_PMS])</totalsRowFormula>
    </tableColumn>
    <tableColumn id="6" xr3:uid="{00000000-0010-0000-FC00-000006000000}" name="AKOSOMBO_AGO" totalsRowFunction="custom" dataDxfId="9030" totalsRowDxfId="9029">
      <totalsRowFormula>SUM(December23_2020[AKOSOMBO_AGO])</totalsRowFormula>
    </tableColumn>
    <tableColumn id="7" xr3:uid="{00000000-0010-0000-FC00-000007000000}" name="DATE" dataDxfId="9028" totalsRowDxfId="9027">
      <calculatedColumnFormula>$G$3</calculatedColumnFormula>
    </tableColumn>
  </tableColumns>
  <tableStyleInfo showFirstColumn="0" showLastColumn="0" showRowStripes="1" showColumnStripes="0"/>
</table>
</file>

<file path=xl/tables/table2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FD000000}" name="December24_2020" displayName="December24_2020" ref="B5:H20" totalsRowCount="1" headerRowDxfId="9026" headerRowBorderDxfId="9025" tableBorderDxfId="9024" totalsRowBorderDxfId="9023">
  <autoFilter ref="B5:H19" xr:uid="{00000000-0009-0000-0100-00006C000000}"/>
  <sortState xmlns:xlrd2="http://schemas.microsoft.com/office/spreadsheetml/2017/richdata2" ref="B6:H18">
    <sortCondition ref="B6"/>
  </sortState>
  <tableColumns count="7">
    <tableColumn id="1" xr3:uid="{00000000-0010-0000-FD00-000001000000}" name="BDC LIST" totalsRowLabel="Total" dataDxfId="9022" totalsRowDxfId="9021"/>
    <tableColumn id="2" xr3:uid="{00000000-0010-0000-FD00-000002000000}" name="KSI_AGO" totalsRowFunction="custom" dataDxfId="9020" totalsRowDxfId="9019">
      <totalsRowFormula>SUM(December24_2020[KSI_AGO])</totalsRowFormula>
    </tableColumn>
    <tableColumn id="3" xr3:uid="{00000000-0010-0000-FD00-000003000000}" name="KSI_PMS" totalsRowFunction="custom" dataDxfId="9018" totalsRowDxfId="9017">
      <totalsRowFormula>SUM(December24_2020[KSI_PMS])</totalsRowFormula>
    </tableColumn>
    <tableColumn id="4" xr3:uid="{00000000-0010-0000-FD00-000004000000}" name="BUIPE_AGO" totalsRowFunction="custom" dataDxfId="9016" totalsRowDxfId="9015">
      <totalsRowFormula>SUM(December24_2020[BUIPE_AGO])</totalsRowFormula>
    </tableColumn>
    <tableColumn id="5" xr3:uid="{00000000-0010-0000-FD00-000005000000}" name="BUIPE_PMS" totalsRowFunction="custom" dataDxfId="9014" totalsRowDxfId="9013" dataCellStyle="Comma">
      <totalsRowFormula>SUM(December24_2020[BUIPE_PMS])</totalsRowFormula>
    </tableColumn>
    <tableColumn id="6" xr3:uid="{00000000-0010-0000-FD00-000006000000}" name="AKOSOMBO_AGO" totalsRowFunction="custom" dataDxfId="9012" totalsRowDxfId="9011">
      <totalsRowFormula>SUM(December24_2020[AKOSOMBO_AGO])</totalsRowFormula>
    </tableColumn>
    <tableColumn id="7" xr3:uid="{00000000-0010-0000-FD00-000007000000}" name="DATE" dataDxfId="9010" totalsRowDxfId="9009">
      <calculatedColumnFormula>$G$3</calculatedColumnFormula>
    </tableColumn>
  </tableColumns>
  <tableStyleInfo showFirstColumn="0" showLastColumn="0" showRowStripes="1" showColumnStripes="0"/>
</table>
</file>

<file path=xl/tables/table2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FE000000}" name="December29_2020112131416171819222324252624107131415161920212224678910111213141516171041917252326272467891012131415161718192021" displayName="December29_2020112131416171819222324252624107131415161920212224678910111213141516171041917252326272467891012131415161718192021" ref="B5:H20" totalsRowCount="1" headerRowDxfId="9008" headerRowBorderDxfId="9007" tableBorderDxfId="9006" totalsRowBorderDxfId="9005">
  <autoFilter ref="B5:H19" xr:uid="{00000000-0009-0000-0100-00006D000000}"/>
  <sortState xmlns:xlrd2="http://schemas.microsoft.com/office/spreadsheetml/2017/richdata2" ref="B6:H18">
    <sortCondition ref="B6"/>
  </sortState>
  <tableColumns count="7">
    <tableColumn id="1" xr3:uid="{00000000-0010-0000-FE00-000001000000}" name="BDC LIST" totalsRowLabel="Total" dataDxfId="9004" totalsRowDxfId="9003"/>
    <tableColumn id="2" xr3:uid="{00000000-0010-0000-FE00-000002000000}" name="KSI_AGO" totalsRowFunction="custom" dataDxfId="9002" totalsRowDxfId="9001">
      <totalsRowFormula>SUM(December29_2020112131416171819222324252624107131415161920212224678910111213141516171041917252326272467891012131415161718192021[KSI_AGO])</totalsRowFormula>
    </tableColumn>
    <tableColumn id="3" xr3:uid="{00000000-0010-0000-FE00-000003000000}" name="KSI_PMS" totalsRowFunction="custom" dataDxfId="9000" totalsRowDxfId="8999">
      <totalsRowFormula>SUM(December29_2020112131416171819222324252624107131415161920212224678910111213141516171041917252326272467891012131415161718192021[KSI_PMS])</totalsRowFormula>
    </tableColumn>
    <tableColumn id="4" xr3:uid="{00000000-0010-0000-FE00-000004000000}" name="BUIPE_AGO" totalsRowFunction="custom" dataDxfId="8998" totalsRowDxfId="8997">
      <totalsRowFormula>SUM(December29_2020112131416171819222324252624107131415161920212224678910111213141516171041917252326272467891012131415161718192021[BUIPE_AGO])</totalsRowFormula>
    </tableColumn>
    <tableColumn id="5" xr3:uid="{00000000-0010-0000-FE00-000005000000}" name="BUIPE_PMS" totalsRowFunction="custom" dataDxfId="8996" totalsRowDxfId="8995" dataCellStyle="Comma">
      <totalsRowFormula>SUM(December29_2020112131416171819222324252624107131415161920212224678910111213141516171041917252326272467891012131415161718192021[BUIPE_PMS])</totalsRowFormula>
    </tableColumn>
    <tableColumn id="6" xr3:uid="{00000000-0010-0000-FE00-000006000000}" name="AKOSOMBO_AGO" totalsRowFunction="custom" dataDxfId="8994" totalsRowDxfId="8993">
      <totalsRowFormula>SUM(December29_2020112131416171819222324252624107131415161920212224678910111213141516171041917252326272467891012131415161718192021[AKOSOMBO_AGO])</totalsRowFormula>
    </tableColumn>
    <tableColumn id="7" xr3:uid="{00000000-0010-0000-FE00-000007000000}" name="DATE" dataDxfId="8992" totalsRowDxfId="8991">
      <calculatedColumnFormula>$G$3</calculatedColumnFormula>
    </tableColumn>
  </tableColumns>
  <tableStyleInfo showFirstColumn="0" showLastColumn="0" showRowStripes="1" showColumnStripes="0"/>
</table>
</file>

<file path=xl/tables/table2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FF000000}" name="December30_2020" displayName="December30_2020" ref="B5:H20" totalsRowCount="1" headerRowDxfId="8990" headerRowBorderDxfId="8989" tableBorderDxfId="8988" totalsRowBorderDxfId="8987">
  <autoFilter ref="B5:H19" xr:uid="{00000000-0009-0000-0100-000070000000}"/>
  <sortState xmlns:xlrd2="http://schemas.microsoft.com/office/spreadsheetml/2017/richdata2" ref="B6:H18">
    <sortCondition ref="B6"/>
  </sortState>
  <tableColumns count="7">
    <tableColumn id="1" xr3:uid="{00000000-0010-0000-FF00-000001000000}" name="BDC LIST" totalsRowLabel="Total" dataDxfId="8986" totalsRowDxfId="8985"/>
    <tableColumn id="2" xr3:uid="{00000000-0010-0000-FF00-000002000000}" name="KSI_AGO" totalsRowFunction="custom" dataDxfId="8984" totalsRowDxfId="8983">
      <totalsRowFormula>SUM(December30_2020[KSI_AGO])</totalsRowFormula>
    </tableColumn>
    <tableColumn id="3" xr3:uid="{00000000-0010-0000-FF00-000003000000}" name="KSI_PMS" totalsRowFunction="custom" dataDxfId="8982" totalsRowDxfId="8981">
      <totalsRowFormula>SUM(December30_2020[KSI_PMS])</totalsRowFormula>
    </tableColumn>
    <tableColumn id="4" xr3:uid="{00000000-0010-0000-FF00-000004000000}" name="BUIPE_AGO" totalsRowFunction="custom" dataDxfId="8980" totalsRowDxfId="8979">
      <totalsRowFormula>SUM(December30_2020[BUIPE_AGO])</totalsRowFormula>
    </tableColumn>
    <tableColumn id="5" xr3:uid="{00000000-0010-0000-FF00-000005000000}" name="BUIPE_PMS" totalsRowFunction="custom" dataDxfId="8978" totalsRowDxfId="8977" dataCellStyle="Comma">
      <totalsRowFormula>SUM(December30_2020[BUIPE_PMS])</totalsRowFormula>
    </tableColumn>
    <tableColumn id="6" xr3:uid="{00000000-0010-0000-FF00-000006000000}" name="AKOSOMBO_AGO" totalsRowFunction="custom" dataDxfId="8976" totalsRowDxfId="8975">
      <totalsRowFormula>SUM(December30_2020[AKOSOMBO_AGO])</totalsRowFormula>
    </tableColumn>
    <tableColumn id="7" xr3:uid="{00000000-0010-0000-FF00-000007000000}" name="DATE" dataDxfId="8974" totalsRowDxfId="8973">
      <calculatedColumnFormula>$G$3</calculatedColumnFormula>
    </tableColumn>
  </tableColumns>
  <tableStyleInfo showFirstColumn="0" showLastColumn="0" showRowStripes="1" showColumnStripes="0"/>
</table>
</file>

<file path=xl/tables/table2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0000000-000C-0000-FFFF-FFFF00010000}" name="December31_2020" displayName="December31_2020" ref="B5:H20" totalsRowCount="1" headerRowDxfId="8972" headerRowBorderDxfId="8971" tableBorderDxfId="8970" totalsRowBorderDxfId="8969">
  <autoFilter ref="B5:H19" xr:uid="{00000000-0009-0000-0100-000094000000}"/>
  <sortState xmlns:xlrd2="http://schemas.microsoft.com/office/spreadsheetml/2017/richdata2" ref="B6:H18">
    <sortCondition ref="B6"/>
  </sortState>
  <tableColumns count="7">
    <tableColumn id="1" xr3:uid="{00000000-0010-0000-0001-000001000000}" name="BDC LIST" totalsRowLabel="Total" dataDxfId="8968" totalsRowDxfId="8967"/>
    <tableColumn id="2" xr3:uid="{00000000-0010-0000-0001-000002000000}" name="KSI_AGO" totalsRowFunction="custom" dataDxfId="8966" totalsRowDxfId="8965">
      <totalsRowFormula>SUM(December31_2020[KSI_AGO])</totalsRowFormula>
    </tableColumn>
    <tableColumn id="3" xr3:uid="{00000000-0010-0000-0001-000003000000}" name="KSI_PMS" totalsRowFunction="custom" dataDxfId="8964" totalsRowDxfId="8963">
      <totalsRowFormula>SUM(December31_2020[KSI_PMS])</totalsRowFormula>
    </tableColumn>
    <tableColumn id="4" xr3:uid="{00000000-0010-0000-0001-000004000000}" name="BUIPE_AGO" totalsRowFunction="custom" dataDxfId="8962" totalsRowDxfId="8961">
      <totalsRowFormula>SUM(December31_2020[BUIPE_AGO])</totalsRowFormula>
    </tableColumn>
    <tableColumn id="5" xr3:uid="{00000000-0010-0000-0001-000005000000}" name="BUIPE_PMS" totalsRowFunction="custom" dataDxfId="8960" totalsRowDxfId="8959" dataCellStyle="Comma">
      <totalsRowFormula>SUM(December31_2020[BUIPE_PMS])</totalsRowFormula>
    </tableColumn>
    <tableColumn id="6" xr3:uid="{00000000-0010-0000-0001-000006000000}" name="AKOSOMBO_AGO" totalsRowFunction="custom" dataDxfId="8958" totalsRowDxfId="8957">
      <totalsRowFormula>SUM(December31_2020[AKOSOMBO_AGO])</totalsRowFormula>
    </tableColumn>
    <tableColumn id="7" xr3:uid="{00000000-0010-0000-0001-000007000000}" name="DATE" dataDxfId="8956" totalsRowDxfId="8955">
      <calculatedColumnFormula>$G$3</calculatedColumnFormula>
    </tableColumn>
  </tableColumns>
  <tableStyleInfo showFirstColumn="0" showLastColumn="0" showRowStripes="1" showColumnStripes="0"/>
</table>
</file>

<file path=xl/tables/table2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D7E7CF5-F26D-4E4B-A782-8AB2DBEF4413}" name="January04_2021" displayName="January04_2021" ref="B5:H20" totalsRowCount="1" headerRowDxfId="8954" headerRowBorderDxfId="8953" tableBorderDxfId="8952" totalsRowBorderDxfId="8951">
  <autoFilter ref="B5:H19" xr:uid="{00000000-0009-0000-0100-000006000000}"/>
  <sortState xmlns:xlrd2="http://schemas.microsoft.com/office/spreadsheetml/2017/richdata2" ref="B6:H18">
    <sortCondition ref="B6"/>
  </sortState>
  <tableColumns count="7">
    <tableColumn id="1" xr3:uid="{00000000-0010-0000-0000-000001000000}" name="BDC LIST" totalsRowLabel="Total" dataDxfId="8950" totalsRowDxfId="8949"/>
    <tableColumn id="2" xr3:uid="{00000000-0010-0000-0000-000002000000}" name="KSI_AGO" totalsRowFunction="custom" dataDxfId="8948" totalsRowDxfId="8947">
      <totalsRowFormula>SUM(January04_2021[KSI_AGO])</totalsRowFormula>
    </tableColumn>
    <tableColumn id="3" xr3:uid="{00000000-0010-0000-0000-000003000000}" name="KSI_PMS" totalsRowFunction="custom" dataDxfId="8946" totalsRowDxfId="8945">
      <totalsRowFormula>SUM(January04_2021[KSI_PMS])</totalsRowFormula>
    </tableColumn>
    <tableColumn id="4" xr3:uid="{00000000-0010-0000-0000-000004000000}" name="BUIPE_AGO" totalsRowFunction="custom" dataDxfId="8944" totalsRowDxfId="8943">
      <totalsRowFormula>SUM(January04_2021[BUIPE_AGO])</totalsRowFormula>
    </tableColumn>
    <tableColumn id="5" xr3:uid="{00000000-0010-0000-0000-000005000000}" name="BUIPE_PMS" totalsRowFunction="custom" dataDxfId="8942" totalsRowDxfId="8941" dataCellStyle="Comma">
      <totalsRowFormula>SUM(January04_2021[BUIPE_PMS])</totalsRowFormula>
    </tableColumn>
    <tableColumn id="6" xr3:uid="{00000000-0010-0000-0000-000006000000}" name="AKOSOMBO_AGO" totalsRowFunction="custom" dataDxfId="8940" totalsRowDxfId="8939">
      <totalsRowFormula>SUM(January04_2021[AKOSOMBO_AGO])</totalsRowFormula>
    </tableColumn>
    <tableColumn id="7" xr3:uid="{00000000-0010-0000-0000-000007000000}" name="DATE" dataDxfId="8938" totalsRowDxfId="8937">
      <calculatedColumnFormula>$G$3</calculatedColumnFormula>
    </tableColumn>
  </tableColumns>
  <tableStyleInfo showFirstColumn="0" showLastColumn="0" showRowStripes="1" showColumnStripes="0"/>
</table>
</file>

<file path=xl/tables/table2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7D8D386-16A1-4899-B26E-5A44D00921A2}" name="January05_2021" displayName="January05_2021" ref="B5:H20" totalsRowCount="1" headerRowDxfId="8936" headerRowBorderDxfId="8935" tableBorderDxfId="8934" totalsRowBorderDxfId="8933">
  <autoFilter ref="B5:H19" xr:uid="{00000000-0009-0000-0100-000001000000}"/>
  <sortState xmlns:xlrd2="http://schemas.microsoft.com/office/spreadsheetml/2017/richdata2" ref="B6:H18">
    <sortCondition ref="B6"/>
  </sortState>
  <tableColumns count="7">
    <tableColumn id="1" xr3:uid="{1166D243-8E89-4566-BE58-B70138B19507}" name="BDC LIST" totalsRowLabel="Total" dataDxfId="8932" totalsRowDxfId="8931"/>
    <tableColumn id="2" xr3:uid="{C9361B94-411F-448B-B25D-A7ED3D6522FD}" name="KSI_AGO" totalsRowFunction="custom" dataDxfId="8930" totalsRowDxfId="8929">
      <totalsRowFormula>SUM(January05_2021[KSI_AGO])</totalsRowFormula>
    </tableColumn>
    <tableColumn id="3" xr3:uid="{D54852C9-B09C-4690-93D9-87950A48750A}" name="KSI_PMS" totalsRowFunction="custom" dataDxfId="8928" totalsRowDxfId="8927">
      <totalsRowFormula>SUM(January05_2021[KSI_PMS])</totalsRowFormula>
    </tableColumn>
    <tableColumn id="4" xr3:uid="{7475769D-FB7F-4358-8D0E-81B6E82E6A18}" name="BUIPE_AGO" totalsRowFunction="custom" dataDxfId="8926" totalsRowDxfId="8925">
      <totalsRowFormula>SUM(January05_2021[BUIPE_AGO])</totalsRowFormula>
    </tableColumn>
    <tableColumn id="5" xr3:uid="{68382443-6325-4020-B934-722F5B91A163}" name="BUIPE_PMS" totalsRowFunction="custom" dataDxfId="8924" totalsRowDxfId="8923" dataCellStyle="Comma">
      <totalsRowFormula>SUM(January05_2021[BUIPE_PMS])</totalsRowFormula>
    </tableColumn>
    <tableColumn id="6" xr3:uid="{9A677275-D8A0-4DEE-BC92-B6D3270D8BAC}" name="AKOSOMBO_AGO" totalsRowFunction="custom" dataDxfId="8922" totalsRowDxfId="8921">
      <totalsRowFormula>SUM(January05_2021[AKOSOMBO_AGO])</totalsRowFormula>
    </tableColumn>
    <tableColumn id="7" xr3:uid="{712E0C01-0061-436C-A06D-94F62A33E9B4}" name="DATE" dataDxfId="8920" totalsRowDxfId="8919">
      <calculatedColumnFormula>$G$3</calculatedColumnFormula>
    </tableColumn>
  </tableColumns>
  <tableStyleInfo showFirstColumn="0" showLastColumn="0" showRowStripes="1" showColumnStripes="0"/>
</table>
</file>

<file path=xl/tables/table2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F058A4D9-F259-44BF-921E-28CD9800BC83}" name="January06_2021" displayName="January06_2021" ref="B5:H20" totalsRowCount="1" headerRowDxfId="8918" headerRowBorderDxfId="8917" tableBorderDxfId="8916" totalsRowBorderDxfId="8915">
  <autoFilter ref="B5:H19" xr:uid="{00000000-0009-0000-0100-000003000000}"/>
  <sortState xmlns:xlrd2="http://schemas.microsoft.com/office/spreadsheetml/2017/richdata2" ref="B6:H18">
    <sortCondition ref="B6"/>
  </sortState>
  <tableColumns count="7">
    <tableColumn id="1" xr3:uid="{2710147D-C15F-44EE-B191-CAB45C93DE44}" name="BDC LIST" totalsRowLabel="Total" dataDxfId="8914" totalsRowDxfId="8913"/>
    <tableColumn id="2" xr3:uid="{B2B537C5-C334-4472-85FD-089A11254C75}" name="KSI_AGO" totalsRowFunction="custom" dataDxfId="8912" totalsRowDxfId="8911">
      <totalsRowFormula>SUM(January06_2021[KSI_AGO])</totalsRowFormula>
    </tableColumn>
    <tableColumn id="3" xr3:uid="{D6F03D62-BE69-42B4-9F28-9597F02289F5}" name="KSI_PMS" totalsRowFunction="custom" dataDxfId="8910" totalsRowDxfId="8909">
      <totalsRowFormula>SUM(January06_2021[KSI_PMS])</totalsRowFormula>
    </tableColumn>
    <tableColumn id="4" xr3:uid="{17287F59-EB70-4340-AFD1-CA2FF767F225}" name="BUIPE_AGO" totalsRowFunction="custom" dataDxfId="8908" totalsRowDxfId="8907">
      <totalsRowFormula>SUM(January06_2021[BUIPE_AGO])</totalsRowFormula>
    </tableColumn>
    <tableColumn id="5" xr3:uid="{10568B40-5182-4090-8220-D0CA0F41C71E}" name="BUIPE_PMS" totalsRowFunction="custom" dataDxfId="8906" totalsRowDxfId="8905" dataCellStyle="Comma">
      <totalsRowFormula>SUM(January06_2021[BUIPE_PMS])</totalsRowFormula>
    </tableColumn>
    <tableColumn id="6" xr3:uid="{A7079A0C-F0AB-4B8F-A231-34ED5A6243ED}" name="AKOSOMBO_AGO" totalsRowFunction="custom" dataDxfId="8904" totalsRowDxfId="8903">
      <totalsRowFormula>SUM(January06_2021[AKOSOMBO_AGO])</totalsRowFormula>
    </tableColumn>
    <tableColumn id="7" xr3:uid="{6D00318D-096F-474C-8267-61F7E142DB19}" name="DATE" dataDxfId="8902" totalsRowDxfId="8901">
      <calculatedColumnFormula>$G$3</calculatedColumnFormula>
    </tableColumn>
  </tableColumns>
  <tableStyleInfo showFirstColumn="0" showLastColumn="0" showRowStripes="1" showColumnStripes="0"/>
</table>
</file>

<file path=xl/tables/table2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A75FBE5E-F33C-4A8B-85E3-D2D354BFE15C}" name="January08_2021" displayName="January08_2021" ref="B5:H20" totalsRowCount="1" headerRowDxfId="8900" headerRowBorderDxfId="8899" tableBorderDxfId="8898" totalsRowBorderDxfId="8897">
  <autoFilter ref="B5:H19" xr:uid="{00000000-0009-0000-0100-00000D000000}"/>
  <sortState xmlns:xlrd2="http://schemas.microsoft.com/office/spreadsheetml/2017/richdata2" ref="B6:H18">
    <sortCondition ref="B6"/>
  </sortState>
  <tableColumns count="7">
    <tableColumn id="1" xr3:uid="{95DAC083-2E02-4AED-BA30-C69DFE2527E2}" name="BDC LIST" totalsRowLabel="Total" dataDxfId="8896" totalsRowDxfId="8895"/>
    <tableColumn id="2" xr3:uid="{C64F3746-CEC6-4428-AB97-4F361CD53B3F}" name="KSI_AGO" totalsRowFunction="custom" dataDxfId="8894" totalsRowDxfId="8893">
      <totalsRowFormula>SUM(January08_2021[KSI_AGO])</totalsRowFormula>
    </tableColumn>
    <tableColumn id="3" xr3:uid="{DAB71858-307F-43A5-B400-39EC787546D3}" name="KSI_PMS" totalsRowFunction="custom" dataDxfId="8892" totalsRowDxfId="8891">
      <totalsRowFormula>SUM(January08_2021[KSI_PMS])</totalsRowFormula>
    </tableColumn>
    <tableColumn id="4" xr3:uid="{1707F552-1F12-489A-804F-55C3F19BDE9D}" name="BUIPE_AGO" totalsRowFunction="custom" dataDxfId="8890" totalsRowDxfId="8889">
      <totalsRowFormula>SUM(January08_2021[BUIPE_AGO])</totalsRowFormula>
    </tableColumn>
    <tableColumn id="5" xr3:uid="{A6BAFBBF-F9E2-4B64-AC6C-5B55FB8B7D08}" name="BUIPE_PMS" totalsRowFunction="custom" dataDxfId="8888" totalsRowDxfId="8887" dataCellStyle="Comma">
      <totalsRowFormula>SUM(January08_2021[BUIPE_PMS])</totalsRowFormula>
    </tableColumn>
    <tableColumn id="6" xr3:uid="{14DA0054-CD16-4C9C-9BC1-B10EAA60CF1F}" name="AKOSOMBO_AGO" totalsRowFunction="custom" dataDxfId="8886" totalsRowDxfId="8885">
      <totalsRowFormula>SUM(January08_2021[AKOSOMBO_AGO])</totalsRowFormula>
    </tableColumn>
    <tableColumn id="7" xr3:uid="{8F872FD2-8E59-4CBF-9E4F-10BF60F51AC9}" name="DATE" dataDxfId="8884" totalsRowDxfId="8883">
      <calculatedColumnFormula>$G$3</calculatedColumnFormula>
    </tableColumn>
  </tableColumns>
  <tableStyleInfo showFirstColumn="0" showLastColumn="0" showRowStripes="1" showColumnStripes="0"/>
</table>
</file>

<file path=xl/tables/table2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98E82E67-40E7-4070-A580-B4736DAAAA64}" name="January09_2021" displayName="January09_2021" ref="B5:H20" totalsRowCount="1" headerRowDxfId="8882" headerRowBorderDxfId="8881" tableBorderDxfId="8880" totalsRowBorderDxfId="8879">
  <autoFilter ref="B5:H19" xr:uid="{00000000-0009-0000-0100-000007000000}"/>
  <sortState xmlns:xlrd2="http://schemas.microsoft.com/office/spreadsheetml/2017/richdata2" ref="B6:H18">
    <sortCondition ref="B6"/>
  </sortState>
  <tableColumns count="7">
    <tableColumn id="1" xr3:uid="{695C5500-0347-4F1C-AC54-E8E576BA7687}" name="BDC LIST" totalsRowLabel="Total" dataDxfId="8878" totalsRowDxfId="8877"/>
    <tableColumn id="2" xr3:uid="{EFC8CC11-2148-47F0-8033-DFFBC97D10EF}" name="KSI_AGO" totalsRowFunction="custom" dataDxfId="8876" totalsRowDxfId="8875">
      <totalsRowFormula>SUM(January09_2021[KSI_AGO])</totalsRowFormula>
    </tableColumn>
    <tableColumn id="3" xr3:uid="{B880BB4A-DEDA-4C2C-B376-55F2EDE349C3}" name="KSI_PMS" totalsRowFunction="custom" dataDxfId="8874" totalsRowDxfId="8873">
      <totalsRowFormula>SUM(January09_2021[KSI_PMS])</totalsRowFormula>
    </tableColumn>
    <tableColumn id="4" xr3:uid="{D9BC8BBC-25EB-44B4-890B-B8A619FD7660}" name="BUIPE_AGO" totalsRowFunction="custom" dataDxfId="8872" totalsRowDxfId="8871">
      <totalsRowFormula>SUM(January09_2021[BUIPE_AGO])</totalsRowFormula>
    </tableColumn>
    <tableColumn id="5" xr3:uid="{1A4542CF-BB90-482A-9239-442911856327}" name="BUIPE_PMS" totalsRowFunction="custom" dataDxfId="8870" totalsRowDxfId="8869" dataCellStyle="Comma">
      <totalsRowFormula>SUM(January09_2021[BUIPE_PMS])</totalsRowFormula>
    </tableColumn>
    <tableColumn id="6" xr3:uid="{EB107F39-27E2-44BE-870D-FAEC76F1B15F}" name="AKOSOMBO_AGO" totalsRowFunction="custom" dataDxfId="8868" totalsRowDxfId="8867">
      <totalsRowFormula>SUM(January09_2021[AKOSOMBO_AGO])</totalsRowFormula>
    </tableColumn>
    <tableColumn id="7" xr3:uid="{AF55A627-8B6D-4511-BB20-E421A65C02DF}" name="DATE" dataDxfId="8866" totalsRowDxfId="8865">
      <calculatedColumnFormula>$G$3</calculatedColumnFormula>
    </tableColumn>
  </tableColumns>
  <tableStyleInfo showFirstColumn="0" showLastColumn="0" showRowStripes="1" showColumnStripes="0"/>
</table>
</file>

<file path=xl/tables/table2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2E4CF69D-B346-4FA8-AA15-0B059EB91E51}" name="January11_2021" displayName="January11_2021" ref="B5:H20" totalsRowCount="1" headerRowDxfId="8864" headerRowBorderDxfId="8863" tableBorderDxfId="8862" totalsRowBorderDxfId="8861">
  <autoFilter ref="B5:H19" xr:uid="{00000000-0009-0000-0100-000009000000}"/>
  <sortState xmlns:xlrd2="http://schemas.microsoft.com/office/spreadsheetml/2017/richdata2" ref="B6:H18">
    <sortCondition ref="B6"/>
  </sortState>
  <tableColumns count="7">
    <tableColumn id="1" xr3:uid="{0FFA60B8-7559-431E-B3E3-33CB8F82E3CB}" name="BDC LIST" totalsRowLabel="Total" dataDxfId="8860" totalsRowDxfId="8859"/>
    <tableColumn id="2" xr3:uid="{9A3CFC07-2340-4F48-A603-7C7091DAFBF3}" name="KSI_AGO" totalsRowFunction="custom" dataDxfId="8858" totalsRowDxfId="8857">
      <totalsRowFormula>SUM(January11_2021[KSI_AGO])</totalsRowFormula>
    </tableColumn>
    <tableColumn id="3" xr3:uid="{CE9D6E67-0F0C-4439-A54F-5D511AEF63B0}" name="KSI_PMS" totalsRowFunction="custom" dataDxfId="8856" totalsRowDxfId="8855">
      <totalsRowFormula>SUM(January11_2021[KSI_PMS])</totalsRowFormula>
    </tableColumn>
    <tableColumn id="4" xr3:uid="{24699D94-1B96-462F-A896-BD7AE19C77BF}" name="BUIPE_AGO" totalsRowFunction="custom" dataDxfId="8854" totalsRowDxfId="8853">
      <totalsRowFormula>SUM(January11_2021[BUIPE_AGO])</totalsRowFormula>
    </tableColumn>
    <tableColumn id="5" xr3:uid="{55C03DEF-0C46-4F14-8C55-A3AECBA919C1}" name="BUIPE_PMS" totalsRowFunction="custom" dataDxfId="8852" totalsRowDxfId="8851" dataCellStyle="Comma">
      <totalsRowFormula>SUM(January11_2021[BUIPE_PMS])</totalsRowFormula>
    </tableColumn>
    <tableColumn id="6" xr3:uid="{48A06E88-D670-4449-971E-D10F0B37C864}" name="AKOSOMBO_AGO" totalsRowFunction="custom" dataDxfId="8850" totalsRowDxfId="8849">
      <totalsRowFormula>SUM(January11_2021[AKOSOMBO_AGO])</totalsRowFormula>
    </tableColumn>
    <tableColumn id="7" xr3:uid="{2B6E1A4F-4C7A-40C2-8368-FD0407C37E92}" name="DATE" dataDxfId="8848" totalsRowDxfId="8847">
      <calculatedColumnFormula>$G$3</calculatedColumnFormula>
    </tableColumn>
  </tableColumns>
  <tableStyleInfo showFirstColumn="0" showLastColumn="0" showRowStripes="1" showColumnStripes="0"/>
</table>
</file>

<file path=xl/tables/table2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D802CDDD-1E36-44CC-B143-68932FE5DB2A}" name="January12_2021" displayName="January12_2021" ref="B5:H20" totalsRowCount="1" headerRowDxfId="8846" headerRowBorderDxfId="8845" tableBorderDxfId="8844" totalsRowBorderDxfId="8843">
  <autoFilter ref="B5:H19" xr:uid="{00000000-0009-0000-0100-00000A000000}"/>
  <sortState xmlns:xlrd2="http://schemas.microsoft.com/office/spreadsheetml/2017/richdata2" ref="B6:H18">
    <sortCondition ref="B6"/>
  </sortState>
  <tableColumns count="7">
    <tableColumn id="1" xr3:uid="{151602AC-5C36-4263-90CF-610FF77AF36C}" name="BDC LIST" totalsRowLabel="Total" dataDxfId="8842" totalsRowDxfId="8841"/>
    <tableColumn id="2" xr3:uid="{356991BB-4306-457D-BA17-26A88BE6BCD6}" name="KSI_AGO" totalsRowFunction="custom" dataDxfId="8840" totalsRowDxfId="8839">
      <totalsRowFormula>SUM(January12_2021[KSI_AGO])</totalsRowFormula>
    </tableColumn>
    <tableColumn id="3" xr3:uid="{C87D836F-104C-482C-B30C-97BBF7E5B47E}" name="KSI_PMS" totalsRowFunction="custom" dataDxfId="8838" totalsRowDxfId="8837">
      <totalsRowFormula>SUM(January12_2021[KSI_PMS])</totalsRowFormula>
    </tableColumn>
    <tableColumn id="4" xr3:uid="{175E69C2-9A74-4B6C-AB6B-AB658E0C10B0}" name="BUIPE_AGO" totalsRowFunction="custom" dataDxfId="8836" totalsRowDxfId="8835">
      <totalsRowFormula>SUM(January12_2021[BUIPE_AGO])</totalsRowFormula>
    </tableColumn>
    <tableColumn id="5" xr3:uid="{7D2D510E-5CB8-4A4F-AA52-3EAAFDCD8E4B}" name="BUIPE_PMS" totalsRowFunction="custom" dataDxfId="8834" totalsRowDxfId="8833" dataCellStyle="Comma">
      <totalsRowFormula>SUM(January12_2021[BUIPE_PMS])</totalsRowFormula>
    </tableColumn>
    <tableColumn id="6" xr3:uid="{0787B7CF-3F48-4722-B035-AFD28BC4F8EA}" name="AKOSOMBO_AGO" totalsRowFunction="custom" dataDxfId="8832" totalsRowDxfId="8831">
      <totalsRowFormula>SUM(January12_2021[AKOSOMBO_AGO])</totalsRowFormula>
    </tableColumn>
    <tableColumn id="7" xr3:uid="{33D72CEC-C628-43C1-A388-91DA87BA7A6B}" name="DATE" dataDxfId="8830" totalsRowDxfId="8829">
      <calculatedColumnFormula>$G$3</calculatedColumnFormula>
    </tableColumn>
  </tableColumns>
  <tableStyleInfo showFirstColumn="0" showLastColumn="0" showRowStripes="1" showColumnStripes="0"/>
</table>
</file>

<file path=xl/tables/table2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AF3F6DCC-7B7B-4DD8-9360-CE465FB54D5C}" name="January13_2021" displayName="January13_2021" ref="B5:H20" totalsRowCount="1" headerRowDxfId="8828" headerRowBorderDxfId="8827" tableBorderDxfId="8826" totalsRowBorderDxfId="8825">
  <autoFilter ref="B5:H19" xr:uid="{00000000-0009-0000-0100-000008000000}"/>
  <sortState xmlns:xlrd2="http://schemas.microsoft.com/office/spreadsheetml/2017/richdata2" ref="B6:H18">
    <sortCondition ref="B6"/>
  </sortState>
  <tableColumns count="7">
    <tableColumn id="1" xr3:uid="{7D662E43-01FB-4D41-9041-BF57DEDBBE39}" name="BDC LIST" totalsRowLabel="Total" dataDxfId="8824" totalsRowDxfId="8823"/>
    <tableColumn id="2" xr3:uid="{4690A067-422D-4A82-9D3D-742F2A1AC998}" name="KSI_AGO" totalsRowFunction="custom" dataDxfId="8822" totalsRowDxfId="8821">
      <totalsRowFormula>SUM(January13_2021[KSI_AGO])</totalsRowFormula>
    </tableColumn>
    <tableColumn id="3" xr3:uid="{DFE035C0-9F98-4094-AA55-FED232F0A620}" name="KSI_PMS" totalsRowFunction="custom" dataDxfId="8820" totalsRowDxfId="8819">
      <totalsRowFormula>SUM(January13_2021[KSI_PMS])</totalsRowFormula>
    </tableColumn>
    <tableColumn id="4" xr3:uid="{ACDBA231-A717-4E34-A00A-CCCDE1807CCE}" name="BUIPE_AGO" totalsRowFunction="custom" dataDxfId="8818" totalsRowDxfId="8817">
      <totalsRowFormula>SUM(January13_2021[BUIPE_AGO])</totalsRowFormula>
    </tableColumn>
    <tableColumn id="5" xr3:uid="{2DFD495C-4962-4071-92C5-F90DD7828BF1}" name="BUIPE_PMS" totalsRowFunction="custom" dataDxfId="8816" totalsRowDxfId="8815" dataCellStyle="Comma">
      <totalsRowFormula>SUM(January13_2021[BUIPE_PMS])</totalsRowFormula>
    </tableColumn>
    <tableColumn id="6" xr3:uid="{3EF9C848-2EE5-469D-A51A-69C208E2523E}" name="AKOSOMBO_AGO" totalsRowFunction="custom" dataDxfId="8814" totalsRowDxfId="8813">
      <totalsRowFormula>SUM(January13_2021[AKOSOMBO_AGO])</totalsRowFormula>
    </tableColumn>
    <tableColumn id="7" xr3:uid="{27D41855-45D7-4ACB-887A-79E3249115A4}" name="DATE" dataDxfId="8812" totalsRowDxfId="8811">
      <calculatedColumnFormula>$G$3</calculatedColumnFormula>
    </tableColumn>
  </tableColumns>
  <tableStyleInfo showFirstColumn="0" showLastColumn="0" showRowStripes="1" showColumnStripes="0"/>
</table>
</file>

<file path=xl/tables/table2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31DF7070-06E6-4CD2-90CE-0EA4AA118A2F}" name="January14_2021" displayName="January14_2021" ref="B5:H20" totalsRowCount="1" headerRowDxfId="8810" headerRowBorderDxfId="8809" tableBorderDxfId="8808" totalsRowBorderDxfId="8807">
  <autoFilter ref="B5:H19" xr:uid="{00000000-0009-0000-0100-00000B000000}"/>
  <sortState xmlns:xlrd2="http://schemas.microsoft.com/office/spreadsheetml/2017/richdata2" ref="B6:H18">
    <sortCondition ref="B6"/>
  </sortState>
  <tableColumns count="7">
    <tableColumn id="1" xr3:uid="{8321684C-4C72-419D-A2B5-5E9990BDB367}" name="BDC LIST" totalsRowLabel="Total" dataDxfId="8806" totalsRowDxfId="8805"/>
    <tableColumn id="2" xr3:uid="{426A548A-5461-4298-8073-88B5579FF70B}" name="KSI_AGO" totalsRowFunction="custom" dataDxfId="8804" totalsRowDxfId="8803">
      <totalsRowFormula>SUM(January14_2021[KSI_AGO])</totalsRowFormula>
    </tableColumn>
    <tableColumn id="3" xr3:uid="{180A7D19-32C3-434B-A975-C427B499DCBA}" name="KSI_PMS" totalsRowFunction="custom" dataDxfId="8802" totalsRowDxfId="8801">
      <totalsRowFormula>SUM(January14_2021[KSI_PMS])</totalsRowFormula>
    </tableColumn>
    <tableColumn id="4" xr3:uid="{B1D9D100-D1EA-42F9-A0A0-98930D6A1568}" name="BUIPE_AGO" totalsRowFunction="custom" dataDxfId="8800" totalsRowDxfId="8799">
      <totalsRowFormula>SUM(January14_2021[BUIPE_AGO])</totalsRowFormula>
    </tableColumn>
    <tableColumn id="5" xr3:uid="{05BB59D5-139A-4063-BD47-6C168FB52EAA}" name="BUIPE_PMS" totalsRowFunction="custom" dataDxfId="8798" totalsRowDxfId="8797" dataCellStyle="Comma">
      <totalsRowFormula>SUM(January14_2021[BUIPE_PMS])</totalsRowFormula>
    </tableColumn>
    <tableColumn id="6" xr3:uid="{AC15E0CF-F049-4FDF-92EF-378D1B5CC7C1}" name="AKOSOMBO_AGO" totalsRowFunction="custom" dataDxfId="8796" totalsRowDxfId="8795">
      <totalsRowFormula>SUM(January14_2021[AKOSOMBO_AGO])</totalsRowFormula>
    </tableColumn>
    <tableColumn id="7" xr3:uid="{EB4FEDDB-EFAF-480A-B999-F11389248DB4}" name="DATE" dataDxfId="8794" totalsRowDxfId="8793">
      <calculatedColumnFormula>$G$3</calculatedColumnFormula>
    </tableColumn>
  </tableColumns>
  <tableStyleInfo showFirstColumn="0" showLastColumn="0" showRowStripes="1" showColumnStripes="0"/>
</table>
</file>

<file path=xl/tables/table2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09176D7C-FB50-44B4-95FB-544F3759E86C}" name="January15_2021" displayName="January15_2021" ref="B5:H20" totalsRowCount="1" headerRowDxfId="8792" headerRowBorderDxfId="8791" tableBorderDxfId="8790" totalsRowBorderDxfId="8789">
  <autoFilter ref="B5:H19" xr:uid="{00000000-0009-0000-0100-00000C000000}"/>
  <sortState xmlns:xlrd2="http://schemas.microsoft.com/office/spreadsheetml/2017/richdata2" ref="B6:H18">
    <sortCondition ref="B6"/>
  </sortState>
  <tableColumns count="7">
    <tableColumn id="1" xr3:uid="{0D678A83-0290-4D65-BF0E-982D99D4C6B2}" name="BDC LIST" totalsRowLabel="Total" dataDxfId="8788" totalsRowDxfId="8787"/>
    <tableColumn id="2" xr3:uid="{AA64F89D-551D-4ADE-9DA8-6B4757385B87}" name="KSI_AGO" totalsRowFunction="custom" dataDxfId="8786" totalsRowDxfId="8785">
      <totalsRowFormula>SUM(January15_2021[KSI_AGO])</totalsRowFormula>
    </tableColumn>
    <tableColumn id="3" xr3:uid="{BCEEF810-94B3-4EC8-8A8B-AD065B27AF6F}" name="KSI_PMS" totalsRowFunction="custom" dataDxfId="8784" totalsRowDxfId="8783">
      <totalsRowFormula>SUM(January15_2021[KSI_PMS])</totalsRowFormula>
    </tableColumn>
    <tableColumn id="4" xr3:uid="{3BBD9650-AC16-4C53-8010-79C5B681088E}" name="BUIPE_AGO" totalsRowFunction="custom" dataDxfId="8782" totalsRowDxfId="8781">
      <totalsRowFormula>SUM(January15_2021[BUIPE_AGO])</totalsRowFormula>
    </tableColumn>
    <tableColumn id="5" xr3:uid="{3AE2D7E9-1881-49B0-B328-8C7DE8D4D0C6}" name="BUIPE_PMS" totalsRowFunction="custom" dataDxfId="8780" totalsRowDxfId="8779" dataCellStyle="Comma">
      <totalsRowFormula>SUM(January15_2021[BUIPE_PMS])</totalsRowFormula>
    </tableColumn>
    <tableColumn id="6" xr3:uid="{F53949EA-8F3A-499A-8797-4675543E94C8}" name="AKOSOMBO_AGO" totalsRowFunction="custom" dataDxfId="8778" totalsRowDxfId="8777">
      <totalsRowFormula>SUM(January15_2021[AKOSOMBO_AGO])</totalsRowFormula>
    </tableColumn>
    <tableColumn id="7" xr3:uid="{36A38F78-27E6-47D6-9FF4-6561F068E732}" name="DATE" dataDxfId="8776" totalsRowDxfId="8775">
      <calculatedColumnFormula>$G$3</calculatedColumnFormula>
    </tableColumn>
  </tableColumns>
  <tableStyleInfo showFirstColumn="0" showLastColumn="0" showRowStripes="1" showColumnStripes="0"/>
</table>
</file>

<file path=xl/tables/table2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3E30408F-8BB0-4C85-9AB5-38D66CB0FCA4}" name="January16_2021" displayName="January16_2021" ref="B5:H20" totalsRowCount="1" headerRowDxfId="8774" headerRowBorderDxfId="8773" tableBorderDxfId="8772" totalsRowBorderDxfId="8771">
  <autoFilter ref="B5:H19" xr:uid="{00000000-0009-0000-0100-000005000000}"/>
  <sortState xmlns:xlrd2="http://schemas.microsoft.com/office/spreadsheetml/2017/richdata2" ref="B6:H18">
    <sortCondition ref="B6"/>
  </sortState>
  <tableColumns count="7">
    <tableColumn id="1" xr3:uid="{D9BE9AA0-B65A-4A73-A75A-33BA2AAD8A6B}" name="BDC LIST" totalsRowLabel="Total" dataDxfId="8770" totalsRowDxfId="8769"/>
    <tableColumn id="2" xr3:uid="{7F9D0DAD-D91B-4EA3-A578-925964596711}" name="KSI_AGO" totalsRowFunction="custom" dataDxfId="8768" totalsRowDxfId="8767">
      <totalsRowFormula>SUM(January16_2021[KSI_AGO])</totalsRowFormula>
    </tableColumn>
    <tableColumn id="3" xr3:uid="{E70C6FED-6C71-482E-8035-BC64E002CEE9}" name="KSI_PMS" totalsRowFunction="sum" dataDxfId="8766" totalsRowDxfId="8765"/>
    <tableColumn id="4" xr3:uid="{DD35408E-506C-4691-B45A-8E816888C300}" name="BUIPE_AGO" totalsRowFunction="custom" dataDxfId="8764" totalsRowDxfId="8763">
      <totalsRowFormula>SUM(January16_2021[BUIPE_AGO])</totalsRowFormula>
    </tableColumn>
    <tableColumn id="5" xr3:uid="{DD245B59-2BA4-4EF4-A0BE-D4CC8F7989A6}" name="BUIPE_PMS" totalsRowFunction="custom" dataDxfId="8762" totalsRowDxfId="8761" dataCellStyle="Comma">
      <totalsRowFormula>SUM(January16_2021[BUIPE_PMS])</totalsRowFormula>
    </tableColumn>
    <tableColumn id="6" xr3:uid="{53333669-6A56-4005-B154-82BA2358D70D}" name="AKOSOMBO_AGO" totalsRowFunction="custom" dataDxfId="8760" totalsRowDxfId="8759">
      <totalsRowFormula>SUM(January16_2021[AKOSOMBO_AGO])</totalsRowFormula>
    </tableColumn>
    <tableColumn id="7" xr3:uid="{BE80720A-C878-4C23-8D31-EB1E8586354E}" name="DATE" dataDxfId="8758" totalsRowDxfId="8757">
      <calculatedColumnFormula>$G$3</calculatedColumnFormula>
    </tableColumn>
  </tableColumns>
  <tableStyleInfo showFirstColumn="0" showLastColumn="0" showRowStripes="1" showColumnStripes="0"/>
</table>
</file>

<file path=xl/tables/table2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C77B23-0BD6-4001-B9EB-D684EBA74697}" name="January18_2021" displayName="January18_2021" ref="B5:H20" totalsRowCount="1" headerRowDxfId="8756" headerRowBorderDxfId="8755" tableBorderDxfId="8754" totalsRowBorderDxfId="8753">
  <autoFilter ref="B5:H19" xr:uid="{00000000-0009-0000-0100-00000E000000}"/>
  <sortState xmlns:xlrd2="http://schemas.microsoft.com/office/spreadsheetml/2017/richdata2" ref="B6:H18">
    <sortCondition ref="B6"/>
  </sortState>
  <tableColumns count="7">
    <tableColumn id="1" xr3:uid="{C502500D-86F6-4FB2-961E-2F255D929E08}" name="BDC LIST" totalsRowLabel="Total" dataDxfId="8752" totalsRowDxfId="8751"/>
    <tableColumn id="2" xr3:uid="{0F6848C4-64B2-4E30-AA82-C52A0364685C}" name="KSI_AGO" totalsRowFunction="custom" dataDxfId="8750" totalsRowDxfId="8749">
      <totalsRowFormula>SUM(January18_2021[KSI_AGO])</totalsRowFormula>
    </tableColumn>
    <tableColumn id="3" xr3:uid="{8213F297-5C1C-4910-8AF1-610E45C627F2}" name="KSI_PMS" totalsRowFunction="sum" dataDxfId="8748" totalsRowDxfId="8747"/>
    <tableColumn id="4" xr3:uid="{8200D4F7-6C8D-4F42-9470-DBB59EFAED0B}" name="BUIPE_AGO" totalsRowFunction="custom" dataDxfId="8746" totalsRowDxfId="8745">
      <totalsRowFormula>SUM(January18_2021[BUIPE_AGO])</totalsRowFormula>
    </tableColumn>
    <tableColumn id="5" xr3:uid="{359E5A26-600C-4777-B2D0-25ABF99BDC5B}" name="BUIPE_PMS" totalsRowFunction="custom" dataDxfId="8744" totalsRowDxfId="8743" dataCellStyle="Comma">
      <totalsRowFormula>SUM(January18_2021[BUIPE_PMS])</totalsRowFormula>
    </tableColumn>
    <tableColumn id="6" xr3:uid="{EC200059-D859-42AE-A861-FE5D6784F6F1}" name="AKOSOMBO_AGO" totalsRowFunction="custom" dataDxfId="8742" totalsRowDxfId="8741">
      <totalsRowFormula>SUM(January18_2021[AKOSOMBO_AGO])</totalsRowFormula>
    </tableColumn>
    <tableColumn id="7" xr3:uid="{0E09F0CB-1670-4D78-AB2F-FFBE2CC04790}" name="DATE" dataDxfId="8740" totalsRowDxfId="8739">
      <calculatedColumnFormula>$G$3</calculatedColumnFormula>
    </tableColumn>
  </tableColumns>
  <tableStyleInfo showFirstColumn="0" showLastColumn="0" showRowStripes="1" showColumnStripes="0"/>
</table>
</file>

<file path=xl/tables/table2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C6C4C16C-D79C-48C0-AA11-EB948A0C09AE}" name="January19_2021" displayName="January19_2021" ref="B5:H20" totalsRowCount="1" headerRowDxfId="8738" headerRowBorderDxfId="8737" tableBorderDxfId="8736" totalsRowBorderDxfId="8735">
  <autoFilter ref="B5:H19" xr:uid="{00000000-0009-0000-0100-00000F000000}"/>
  <sortState xmlns:xlrd2="http://schemas.microsoft.com/office/spreadsheetml/2017/richdata2" ref="B6:H18">
    <sortCondition ref="B6"/>
  </sortState>
  <tableColumns count="7">
    <tableColumn id="1" xr3:uid="{8A550660-B5F4-45C7-ADC6-2E7E0A46C3F4}" name="BDC LIST" totalsRowLabel="Total" dataDxfId="8734" totalsRowDxfId="8733"/>
    <tableColumn id="2" xr3:uid="{E135EF6E-9238-413E-960B-30369AC25C7E}" name="KSI_AGO" totalsRowFunction="custom" dataDxfId="8732" totalsRowDxfId="8731">
      <totalsRowFormula>SUM(January19_2021[KSI_AGO])</totalsRowFormula>
    </tableColumn>
    <tableColumn id="3" xr3:uid="{21336007-897C-4CC2-9769-2EA50B2BC170}" name="KSI_PMS" totalsRowFunction="sum" dataDxfId="8730" totalsRowDxfId="8729"/>
    <tableColumn id="4" xr3:uid="{07E0DD2F-EAAF-4278-BF66-E005A4A68E74}" name="BUIPE_AGO" totalsRowFunction="custom" dataDxfId="8728" totalsRowDxfId="8727">
      <totalsRowFormula>SUM(January19_2021[BUIPE_AGO])</totalsRowFormula>
    </tableColumn>
    <tableColumn id="5" xr3:uid="{C50BD103-AF10-4D76-B11C-F9B1AF44E402}" name="BUIPE_PMS" totalsRowFunction="custom" dataDxfId="8726" totalsRowDxfId="8725" dataCellStyle="Comma">
      <totalsRowFormula>SUM(January19_2021[BUIPE_PMS])</totalsRowFormula>
    </tableColumn>
    <tableColumn id="6" xr3:uid="{B2FD524F-2625-4E15-8AC6-06164476A148}" name="AKOSOMBO_AGO" totalsRowFunction="custom" dataDxfId="8724" totalsRowDxfId="8723">
      <totalsRowFormula>SUM(January19_2021[AKOSOMBO_AGO])</totalsRowFormula>
    </tableColumn>
    <tableColumn id="7" xr3:uid="{FA854D3F-1D50-4946-9340-5FD75416150C}" name="DATE" dataDxfId="8722" totalsRowDxfId="8721">
      <calculatedColumnFormula>$G$3</calculatedColumnFormula>
    </tableColumn>
  </tableColumns>
  <tableStyleInfo showFirstColumn="0" showLastColumn="0" showRowStripes="1" showColumnStripes="0"/>
</table>
</file>

<file path=xl/tables/table2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F287C067-55B8-4CC0-AB98-EA597312F5ED}" name="January20_2021" displayName="January20_2021" ref="B5:H20" totalsRowCount="1" headerRowDxfId="8720" headerRowBorderDxfId="8719" tableBorderDxfId="8718" totalsRowBorderDxfId="8717">
  <autoFilter ref="B5:H19" xr:uid="{00000000-0009-0000-0100-000010000000}"/>
  <sortState xmlns:xlrd2="http://schemas.microsoft.com/office/spreadsheetml/2017/richdata2" ref="B6:H18">
    <sortCondition ref="B6"/>
  </sortState>
  <tableColumns count="7">
    <tableColumn id="1" xr3:uid="{2616A2CB-FA47-4134-92B4-81DB7F7891BC}" name="BDC LIST" totalsRowLabel="Total" dataDxfId="8716" totalsRowDxfId="8715"/>
    <tableColumn id="2" xr3:uid="{52D91E57-618F-4F9F-B10A-BC5EE31E21C5}" name="KSI_AGO" totalsRowFunction="custom" dataDxfId="8714" totalsRowDxfId="8713">
      <totalsRowFormula>SUM(January20_2021[KSI_AGO])</totalsRowFormula>
    </tableColumn>
    <tableColumn id="3" xr3:uid="{58C67DB1-E77A-46AF-BA3C-09D3134B983D}" name="KSI_PMS" totalsRowFunction="sum" dataDxfId="8712" totalsRowDxfId="8711"/>
    <tableColumn id="4" xr3:uid="{7E724DB8-76C8-4377-8106-43203872D2AE}" name="BUIPE_AGO" totalsRowFunction="custom" dataDxfId="8710" totalsRowDxfId="8709">
      <totalsRowFormula>SUM(January20_2021[BUIPE_AGO])</totalsRowFormula>
    </tableColumn>
    <tableColumn id="5" xr3:uid="{5A44F345-2756-4CCF-88B6-579BBE4C5533}" name="BUIPE_PMS" totalsRowFunction="custom" dataDxfId="8708" totalsRowDxfId="8707" dataCellStyle="Comma">
      <totalsRowFormula>SUM(January20_2021[BUIPE_PMS])</totalsRowFormula>
    </tableColumn>
    <tableColumn id="6" xr3:uid="{1C73BC83-333A-4B5B-8191-DD39B7BA1A4A}" name="AKOSOMBO_AGO" totalsRowFunction="custom" dataDxfId="8706" totalsRowDxfId="8705">
      <totalsRowFormula>SUM(January20_2021[AKOSOMBO_AGO])</totalsRowFormula>
    </tableColumn>
    <tableColumn id="7" xr3:uid="{D3C1A00C-7A91-4A4F-A7D1-29686FF8D9B4}" name="DATE" dataDxfId="8704" totalsRowDxfId="8703">
      <calculatedColumnFormula>$G$3</calculatedColumnFormula>
    </tableColumn>
  </tableColumns>
  <tableStyleInfo showFirstColumn="0" showLastColumn="0" showRowStripes="1" showColumnStripes="0"/>
</table>
</file>

<file path=xl/tables/table2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29AB6F69-6788-4F98-A62F-98852A72732E}" name="January21_2021" displayName="January21_2021" ref="B5:H20" totalsRowCount="1" headerRowDxfId="8702" headerRowBorderDxfId="8701" tableBorderDxfId="8700" totalsRowBorderDxfId="8699">
  <autoFilter ref="B5:H19" xr:uid="{00000000-0009-0000-0100-000012000000}"/>
  <sortState xmlns:xlrd2="http://schemas.microsoft.com/office/spreadsheetml/2017/richdata2" ref="B6:H18">
    <sortCondition ref="B6"/>
  </sortState>
  <tableColumns count="7">
    <tableColumn id="1" xr3:uid="{680DE374-31A6-423F-A467-4E87677E05B8}" name="BDC LIST" totalsRowLabel="Total" dataDxfId="8698" totalsRowDxfId="8697"/>
    <tableColumn id="2" xr3:uid="{70CC9D6F-FD8F-4B1A-A188-0E76DF557484}" name="KSI_AGO" totalsRowFunction="custom" dataDxfId="8696" totalsRowDxfId="8695">
      <totalsRowFormula>SUM(January21_2021[KSI_AGO])</totalsRowFormula>
    </tableColumn>
    <tableColumn id="3" xr3:uid="{EAD41F2E-9BF6-4079-831E-3D88D5A1E0AA}" name="KSI_PMS" totalsRowFunction="sum" dataDxfId="8694" totalsRowDxfId="8693"/>
    <tableColumn id="4" xr3:uid="{CC6B299F-B7C5-4EEC-9947-F2CE82B54F43}" name="BUIPE_AGO" totalsRowFunction="custom" dataDxfId="8692" totalsRowDxfId="8691">
      <totalsRowFormula>SUM(January21_2021[BUIPE_AGO])</totalsRowFormula>
    </tableColumn>
    <tableColumn id="5" xr3:uid="{A65C981B-F077-4D45-8A2A-099004E9264E}" name="BUIPE_PMS" totalsRowFunction="custom" dataDxfId="8690" totalsRowDxfId="8689" dataCellStyle="Comma">
      <totalsRowFormula>SUM(January21_2021[BUIPE_PMS])</totalsRowFormula>
    </tableColumn>
    <tableColumn id="6" xr3:uid="{284643CE-3C06-4E27-A94B-BD02CE74BA63}" name="AKOSOMBO_AGO" totalsRowFunction="custom" dataDxfId="8688" totalsRowDxfId="8687">
      <totalsRowFormula>SUM(January21_2021[AKOSOMBO_AGO])</totalsRowFormula>
    </tableColumn>
    <tableColumn id="7" xr3:uid="{DB6A6632-7603-459E-96FA-72C429038F3B}" name="DATE" dataDxfId="8686" totalsRowDxfId="8685">
      <calculatedColumnFormula>$G$3</calculatedColumnFormula>
    </tableColumn>
  </tableColumns>
  <tableStyleInfo showFirstColumn="0" showLastColumn="0" showRowStripes="1" showColumnStripes="0"/>
</table>
</file>

<file path=xl/tables/table2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EDA7220B-1F7C-4382-96E9-80E9A48479DD}" name="January22_2021" displayName="January22_2021" ref="B5:H20" totalsRowCount="1" headerRowDxfId="8684" headerRowBorderDxfId="8683" tableBorderDxfId="8682" totalsRowBorderDxfId="8681">
  <autoFilter ref="B5:H19" xr:uid="{00000000-0009-0000-0100-000013000000}"/>
  <sortState xmlns:xlrd2="http://schemas.microsoft.com/office/spreadsheetml/2017/richdata2" ref="B6:H18">
    <sortCondition ref="B6"/>
  </sortState>
  <tableColumns count="7">
    <tableColumn id="1" xr3:uid="{56F0D1CB-28DD-4D55-AF35-72A481BED517}" name="BDC LIST" totalsRowLabel="Total" dataDxfId="8680" totalsRowDxfId="8679"/>
    <tableColumn id="2" xr3:uid="{A2D21F87-AEC3-4D9A-9796-6821C6E1884F}" name="KSI_AGO" totalsRowFunction="custom" dataDxfId="8678" totalsRowDxfId="8677">
      <totalsRowFormula>SUM(January22_2021[KSI_AGO])</totalsRowFormula>
    </tableColumn>
    <tableColumn id="3" xr3:uid="{0027E188-DB04-4B86-A15A-A8F01AC80340}" name="KSI_PMS" totalsRowFunction="sum" dataDxfId="8676" totalsRowDxfId="8675"/>
    <tableColumn id="4" xr3:uid="{654A1A8A-7592-404F-81BE-33A2041A4A00}" name="BUIPE_AGO" totalsRowFunction="custom" dataDxfId="8674" totalsRowDxfId="8673">
      <totalsRowFormula>SUM(January22_2021[BUIPE_AGO])</totalsRowFormula>
    </tableColumn>
    <tableColumn id="5" xr3:uid="{A8376C49-EAAE-4561-953A-D5775237C559}" name="BUIPE_PMS" totalsRowFunction="custom" dataDxfId="8672" totalsRowDxfId="8671" dataCellStyle="Comma">
      <totalsRowFormula>SUM(January22_2021[BUIPE_PMS])</totalsRowFormula>
    </tableColumn>
    <tableColumn id="6" xr3:uid="{A65610A9-4038-404D-A30F-09D165E1282D}" name="AKOSOMBO_AGO" totalsRowFunction="custom" dataDxfId="8670" totalsRowDxfId="8669">
      <totalsRowFormula>SUM(January22_2021[AKOSOMBO_AGO])</totalsRowFormula>
    </tableColumn>
    <tableColumn id="7" xr3:uid="{39AFEDC5-EA2F-49BE-A0BF-56D999B7F0AC}" name="DATE" dataDxfId="8668" totalsRowDxfId="8667">
      <calculatedColumnFormula>$G$3</calculatedColumnFormula>
    </tableColumn>
  </tableColumns>
  <tableStyleInfo showFirstColumn="0" showLastColumn="0" showRowStripes="1" showColumnStripes="0"/>
</table>
</file>

<file path=xl/tables/table2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50B3C879-B6DF-441A-953B-7602C7872600}" name="January25_2021" displayName="January25_2021" ref="B5:H20" totalsRowCount="1" headerRowDxfId="8666" headerRowBorderDxfId="8665" tableBorderDxfId="8664" totalsRowBorderDxfId="8663">
  <autoFilter ref="B5:H19" xr:uid="{00000000-0009-0000-0100-000011000000}"/>
  <sortState xmlns:xlrd2="http://schemas.microsoft.com/office/spreadsheetml/2017/richdata2" ref="B6:H18">
    <sortCondition ref="B6"/>
  </sortState>
  <tableColumns count="7">
    <tableColumn id="1" xr3:uid="{BDA4763D-C390-4F68-B0FB-7D868917721A}" name="BDC LIST" totalsRowLabel="Total" dataDxfId="8662" totalsRowDxfId="8661"/>
    <tableColumn id="2" xr3:uid="{06241028-BD4C-4BFF-9E2C-6CF403C031AB}" name="KSI_AGO" totalsRowFunction="custom" dataDxfId="8660" totalsRowDxfId="8659">
      <totalsRowFormula>SUM(January25_2021[KSI_AGO])</totalsRowFormula>
    </tableColumn>
    <tableColumn id="3" xr3:uid="{62C395D4-C539-4699-B823-E6CFA0FB9836}" name="KSI_PMS" totalsRowFunction="sum" dataDxfId="8658" totalsRowDxfId="8657"/>
    <tableColumn id="4" xr3:uid="{F21DEF85-60C6-4ADB-8445-5AC3EADF988C}" name="BUIPE_AGO" totalsRowFunction="custom" dataDxfId="8656" totalsRowDxfId="8655">
      <totalsRowFormula>SUM(January25_2021[BUIPE_AGO])</totalsRowFormula>
    </tableColumn>
    <tableColumn id="5" xr3:uid="{3EB198A1-C00E-4BFC-9AD4-4429D5EA3CB1}" name="BUIPE_PMS" totalsRowFunction="custom" dataDxfId="8654" totalsRowDxfId="8653" dataCellStyle="Comma">
      <totalsRowFormula>SUM(January25_2021[BUIPE_PMS])</totalsRowFormula>
    </tableColumn>
    <tableColumn id="6" xr3:uid="{B5D50035-271A-4BE5-AC97-D761D60F3329}" name="AKOSOMBO_AGO" totalsRowFunction="custom" dataDxfId="8652" totalsRowDxfId="8651">
      <totalsRowFormula>SUM(January25_2021[AKOSOMBO_AGO])</totalsRowFormula>
    </tableColumn>
    <tableColumn id="7" xr3:uid="{12380724-AC1C-451E-991D-2C5EC9782677}" name="DATE" dataDxfId="8650" totalsRowDxfId="8649">
      <calculatedColumnFormula>$G$3</calculatedColumnFormula>
    </tableColumn>
  </tableColumns>
  <tableStyleInfo showFirstColumn="0" showLastColumn="0" showRowStripes="1" showColumnStripes="0"/>
</table>
</file>

<file path=xl/tables/table2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9AC7DEE3-B96D-454E-AF4B-FC3ADCB03486}" name="January26_2021" displayName="January26_2021" ref="B5:H20" totalsRowCount="1" headerRowDxfId="8648" headerRowBorderDxfId="8647" tableBorderDxfId="8646" totalsRowBorderDxfId="8645">
  <autoFilter ref="B5:H19" xr:uid="{00000000-0009-0000-0100-000014000000}"/>
  <sortState xmlns:xlrd2="http://schemas.microsoft.com/office/spreadsheetml/2017/richdata2" ref="B6:H18">
    <sortCondition ref="B6"/>
  </sortState>
  <tableColumns count="7">
    <tableColumn id="1" xr3:uid="{D8AC1DE7-3239-46D5-BB0F-316942F70AB8}" name="BDC LIST" totalsRowLabel="Total" dataDxfId="8644" totalsRowDxfId="8643"/>
    <tableColumn id="2" xr3:uid="{AB0AE47B-B4A3-4F2A-A752-F5186B25826F}" name="KSI_AGO" totalsRowFunction="custom" dataDxfId="8642" totalsRowDxfId="8641">
      <totalsRowFormula>SUM(January26_2021[KSI_AGO])</totalsRowFormula>
    </tableColumn>
    <tableColumn id="3" xr3:uid="{766DB83F-87C8-4DDA-9A48-46D0B4653A88}" name="KSI_PMS" totalsRowFunction="sum" dataDxfId="8640" totalsRowDxfId="8639"/>
    <tableColumn id="4" xr3:uid="{EE9DA23D-6380-4B29-875B-8DB1E949693D}" name="BUIPE_AGO" totalsRowFunction="custom" dataDxfId="8638" totalsRowDxfId="8637">
      <totalsRowFormula>SUM(January26_2021[BUIPE_AGO])</totalsRowFormula>
    </tableColumn>
    <tableColumn id="5" xr3:uid="{8208E7D2-1C92-450A-8169-BD657367B7A9}" name="BUIPE_PMS" totalsRowFunction="custom" dataDxfId="8636" totalsRowDxfId="8635" dataCellStyle="Comma">
      <totalsRowFormula>SUM(January26_2021[BUIPE_PMS])</totalsRowFormula>
    </tableColumn>
    <tableColumn id="6" xr3:uid="{AA5363B0-D33F-4249-90FE-30B161101FFF}" name="AKOSOMBO_AGO" totalsRowFunction="custom" dataDxfId="8634" totalsRowDxfId="8633">
      <totalsRowFormula>SUM(January26_2021[AKOSOMBO_AGO])</totalsRowFormula>
    </tableColumn>
    <tableColumn id="7" xr3:uid="{2D502963-07F7-44BA-BF34-B371542E9C73}" name="DATE" dataDxfId="8632" totalsRowDxfId="8631">
      <calculatedColumnFormula>$G$3</calculatedColumnFormula>
    </tableColumn>
  </tableColumns>
  <tableStyleInfo showFirstColumn="0" showLastColumn="0" showRowStripes="1" showColumnStripes="0"/>
</table>
</file>

<file path=xl/tables/table2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B18F9AAB-77E5-4590-845A-B4E22E47ECBD}" name="January27_2021" displayName="January27_2021" ref="B5:H20" totalsRowCount="1" headerRowDxfId="8630" headerRowBorderDxfId="8629" tableBorderDxfId="8628" totalsRowBorderDxfId="8627">
  <autoFilter ref="B5:H19" xr:uid="{00000000-0009-0000-0100-000016000000}"/>
  <sortState xmlns:xlrd2="http://schemas.microsoft.com/office/spreadsheetml/2017/richdata2" ref="B6:H18">
    <sortCondition ref="B6"/>
  </sortState>
  <tableColumns count="7">
    <tableColumn id="1" xr3:uid="{F9C27C3C-4E22-4E1B-AF47-550FB99B9DF0}" name="BDC LIST" totalsRowLabel="Total" dataDxfId="8626" totalsRowDxfId="8625"/>
    <tableColumn id="2" xr3:uid="{1A7E209D-1B30-4754-B96A-C96B40EE22CF}" name="KSI_AGO" totalsRowFunction="custom" dataDxfId="8624" totalsRowDxfId="8623">
      <totalsRowFormula>SUM(January27_2021[KSI_AGO])</totalsRowFormula>
    </tableColumn>
    <tableColumn id="3" xr3:uid="{F5037F99-C6F2-48F1-ADE0-5EF0ED9A7726}" name="KSI_PMS" totalsRowFunction="sum" dataDxfId="8622" totalsRowDxfId="8621"/>
    <tableColumn id="4" xr3:uid="{E26B3EE9-EBF1-4752-A9B1-99EFB171F367}" name="BUIPE_AGO" totalsRowFunction="custom" dataDxfId="8620" totalsRowDxfId="8619">
      <totalsRowFormula>SUM(January27_2021[BUIPE_AGO])</totalsRowFormula>
    </tableColumn>
    <tableColumn id="5" xr3:uid="{E2E6FE32-6B2F-45F1-BB37-64491B6B57F3}" name="BUIPE_PMS" totalsRowFunction="custom" dataDxfId="8618" totalsRowDxfId="8617" dataCellStyle="Comma">
      <totalsRowFormula>SUM(January27_2021[BUIPE_PMS])</totalsRowFormula>
    </tableColumn>
    <tableColumn id="6" xr3:uid="{16AC0E5A-5342-475B-B4F7-4FF3162A6237}" name="AKOSOMBO_AGO" totalsRowFunction="custom" dataDxfId="8616" totalsRowDxfId="8615">
      <totalsRowFormula>SUM(January27_2021[AKOSOMBO_AGO])</totalsRowFormula>
    </tableColumn>
    <tableColumn id="7" xr3:uid="{87E8EF25-9F04-4A7F-9B8B-3EA58B0E126B}" name="DATE" dataDxfId="8614" totalsRowDxfId="8613">
      <calculatedColumnFormula>$G$3</calculatedColumnFormula>
    </tableColumn>
  </tableColumns>
  <tableStyleInfo showFirstColumn="0" showLastColumn="0" showRowStripes="1" showColumnStripes="0"/>
</table>
</file>

<file path=xl/tables/table2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87737D14-B54E-4B71-A33A-605D7227932E}" name="January28_2021" displayName="January28_2021" ref="B5:H20" totalsRowCount="1" headerRowDxfId="8612" headerRowBorderDxfId="8611" tableBorderDxfId="8610" totalsRowBorderDxfId="8609">
  <autoFilter ref="B5:H19" xr:uid="{00000000-0009-0000-0100-000015000000}"/>
  <sortState xmlns:xlrd2="http://schemas.microsoft.com/office/spreadsheetml/2017/richdata2" ref="B6:H18">
    <sortCondition ref="B6"/>
  </sortState>
  <tableColumns count="7">
    <tableColumn id="1" xr3:uid="{3344318D-425D-43F9-81D4-85183F021DB2}" name="BDC LIST" totalsRowLabel="Total" dataDxfId="8608" totalsRowDxfId="8607"/>
    <tableColumn id="2" xr3:uid="{AE9550BD-EA34-42E1-B28A-684F8D0BC03E}" name="KSI_AGO" totalsRowFunction="custom" dataDxfId="8606" totalsRowDxfId="8605">
      <totalsRowFormula>SUM(January28_2021[KSI_AGO])</totalsRowFormula>
    </tableColumn>
    <tableColumn id="3" xr3:uid="{614360B7-BBCD-429A-8B2F-9ABBA3FF56C4}" name="KSI_PMS" totalsRowFunction="sum" dataDxfId="8604" totalsRowDxfId="8603"/>
    <tableColumn id="4" xr3:uid="{55B97EDC-6F07-4F7C-9F58-D2E2DC9CD4FC}" name="BUIPE_AGO" totalsRowFunction="custom" dataDxfId="8602" totalsRowDxfId="8601">
      <totalsRowFormula>SUM(January28_2021[BUIPE_AGO])</totalsRowFormula>
    </tableColumn>
    <tableColumn id="5" xr3:uid="{88D90C9A-AF6D-481F-A10A-9C141F6F2734}" name="BUIPE_PMS" totalsRowFunction="custom" dataDxfId="8600" totalsRowDxfId="8599" dataCellStyle="Comma">
      <totalsRowFormula>SUM(January28_2021[BUIPE_PMS])</totalsRowFormula>
    </tableColumn>
    <tableColumn id="6" xr3:uid="{D6F9FF4C-739E-4B3B-AC24-1FC2B49DCA09}" name="AKOSOMBO_AGO" totalsRowFunction="custom" dataDxfId="8598" totalsRowDxfId="8597">
      <totalsRowFormula>SUM(January28_2021[AKOSOMBO_AGO])</totalsRowFormula>
    </tableColumn>
    <tableColumn id="7" xr3:uid="{673A8C72-8CF6-4F91-BD34-51C16EF34121}" name="DATE" dataDxfId="8596" totalsRowDxfId="8595">
      <calculatedColumnFormula>$G$3</calculatedColumnFormula>
    </tableColumn>
  </tableColumns>
  <tableStyleInfo showFirstColumn="0" showLastColumn="0" showRowStripes="1" showColumnStripes="0"/>
</table>
</file>

<file path=xl/tables/table2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C6E09BD8-1E0E-45B5-85BF-2BA6E7923860}" name="January29_2021" displayName="January29_2021" ref="B5:H20" totalsRowCount="1" headerRowDxfId="8594" headerRowBorderDxfId="8593" tableBorderDxfId="8592" totalsRowBorderDxfId="8591">
  <autoFilter ref="B5:H19" xr:uid="{00000000-0009-0000-0100-000017000000}"/>
  <sortState xmlns:xlrd2="http://schemas.microsoft.com/office/spreadsheetml/2017/richdata2" ref="B6:H18">
    <sortCondition ref="B6"/>
  </sortState>
  <tableColumns count="7">
    <tableColumn id="1" xr3:uid="{86D3D94D-3F1F-4F4F-A199-F5723E3ADDAD}" name="BDC LIST" totalsRowLabel="Total" dataDxfId="8590" totalsRowDxfId="8589"/>
    <tableColumn id="2" xr3:uid="{5E5FB677-FDEA-4587-9E9E-AA925E1A1864}" name="KSI_AGO" totalsRowFunction="custom" dataDxfId="8588" totalsRowDxfId="8587">
      <totalsRowFormula>SUM(January29_2021[KSI_AGO])</totalsRowFormula>
    </tableColumn>
    <tableColumn id="3" xr3:uid="{2F11D4F4-1754-4023-9765-5B66D77BC104}" name="KSI_PMS" totalsRowFunction="sum" dataDxfId="8586" totalsRowDxfId="8585"/>
    <tableColumn id="4" xr3:uid="{A0FAE63D-A025-4AD0-917B-7C89ADF9D863}" name="BUIPE_AGO" totalsRowFunction="custom" dataDxfId="8584" totalsRowDxfId="8583">
      <totalsRowFormula>SUM(January29_2021[BUIPE_AGO])</totalsRowFormula>
    </tableColumn>
    <tableColumn id="5" xr3:uid="{8264ADC9-3157-40F9-8F0C-6CB4C530CF88}" name="BUIPE_PMS" totalsRowFunction="custom" dataDxfId="8582" totalsRowDxfId="8581" dataCellStyle="Comma">
      <totalsRowFormula>SUM(January29_2021[BUIPE_PMS])</totalsRowFormula>
    </tableColumn>
    <tableColumn id="6" xr3:uid="{BEFF4942-0926-4863-B4CA-26FBF1B9137A}" name="AKOSOMBO_AGO" totalsRowFunction="custom" dataDxfId="8580" totalsRowDxfId="8579">
      <totalsRowFormula>SUM(January29_2021[AKOSOMBO_AGO])</totalsRowFormula>
    </tableColumn>
    <tableColumn id="7" xr3:uid="{89E2BAB3-64B9-47DC-8C37-46DC5F995CA8}" name="DATE" dataDxfId="8578" totalsRowDxfId="8577">
      <calculatedColumnFormula>$G$3</calculatedColumnFormula>
    </tableColumn>
  </tableColumns>
  <tableStyleInfo showFirstColumn="0" showLastColumn="0" showRowStripes="1" showColumnStripes="0"/>
</table>
</file>

<file path=xl/tables/table2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69156A17-4797-4F0F-A25E-94FA583C9B76}" name="February01_2021" displayName="February01_2021" ref="B5:H20" totalsRowCount="1" headerRowDxfId="8576" headerRowBorderDxfId="8575" tableBorderDxfId="8574" totalsRowBorderDxfId="8573">
  <autoFilter ref="B5:H19" xr:uid="{00000000-0009-0000-0100-000018000000}"/>
  <sortState xmlns:xlrd2="http://schemas.microsoft.com/office/spreadsheetml/2017/richdata2" ref="B6:H18">
    <sortCondition ref="B6"/>
  </sortState>
  <tableColumns count="7">
    <tableColumn id="1" xr3:uid="{F163B1C4-C6D4-42BD-9C5F-F32388C4DFFC}" name="BDC LIST" totalsRowLabel="Total" dataDxfId="8572" totalsRowDxfId="8571"/>
    <tableColumn id="2" xr3:uid="{904F024A-8B31-4E21-B5D3-2E59750263D7}" name="KSI_AGO" totalsRowFunction="custom" dataDxfId="8570" totalsRowDxfId="8569">
      <totalsRowFormula>SUM(February01_2021[KSI_AGO])</totalsRowFormula>
    </tableColumn>
    <tableColumn id="3" xr3:uid="{8E5B1F7B-A047-4770-B950-5E6435D266DF}" name="KSI_PMS" totalsRowFunction="sum" dataDxfId="8568" totalsRowDxfId="8567"/>
    <tableColumn id="4" xr3:uid="{2A0BAF34-0042-4CFF-A0B2-3A630DFC812D}" name="BUIPE_AGO" totalsRowFunction="custom" dataDxfId="8566" totalsRowDxfId="8565">
      <totalsRowFormula>SUM(February01_2021[BUIPE_AGO])</totalsRowFormula>
    </tableColumn>
    <tableColumn id="5" xr3:uid="{E38C826A-DD4E-4442-A43E-24C97843EB81}" name="BUIPE_PMS" totalsRowFunction="custom" dataDxfId="8564" totalsRowDxfId="8563" dataCellStyle="Comma">
      <totalsRowFormula>SUM(February01_2021[BUIPE_PMS])</totalsRowFormula>
    </tableColumn>
    <tableColumn id="6" xr3:uid="{9D6F8405-7A91-4D8B-BB30-079C70BBFB39}" name="AKOSOMBO_AGO" totalsRowFunction="custom" dataDxfId="8562" totalsRowDxfId="8561">
      <totalsRowFormula>SUM(February01_2021[AKOSOMBO_AGO])</totalsRowFormula>
    </tableColumn>
    <tableColumn id="7" xr3:uid="{DC0419CD-6E02-4707-91D9-C5B554ED0D6D}" name="DATE" dataDxfId="8560" totalsRowDxfId="8559">
      <calculatedColumnFormula>$G$3</calculatedColumnFormula>
    </tableColumn>
  </tableColumns>
  <tableStyleInfo showFirstColumn="0" showLastColumn="0" showRowStripes="1" showColumnStripes="0"/>
</table>
</file>

<file path=xl/tables/table2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F821AFED-E151-4EE6-9FFC-09112AE4CAB1}" name="February02_2021" displayName="February02_2021" ref="B5:H20" totalsRowCount="1" headerRowDxfId="8558" headerRowBorderDxfId="8557" tableBorderDxfId="8556" totalsRowBorderDxfId="8555">
  <autoFilter ref="B5:H19" xr:uid="{00000000-0009-0000-0100-000019000000}"/>
  <sortState xmlns:xlrd2="http://schemas.microsoft.com/office/spreadsheetml/2017/richdata2" ref="B6:H18">
    <sortCondition ref="B6"/>
  </sortState>
  <tableColumns count="7">
    <tableColumn id="1" xr3:uid="{32712FAD-40C6-414E-A7B7-238192DE92CD}" name="BDC LIST" totalsRowLabel="Total" dataDxfId="8554" totalsRowDxfId="8553"/>
    <tableColumn id="2" xr3:uid="{A4867C2E-A87E-474B-AFFE-FF159366ECC1}" name="KSI_AGO" totalsRowFunction="custom" dataDxfId="8552" totalsRowDxfId="8551">
      <totalsRowFormula>SUM(February02_2021[KSI_AGO])</totalsRowFormula>
    </tableColumn>
    <tableColumn id="3" xr3:uid="{5D44D6C1-D6CA-4732-A1E2-4CD71625332A}" name="KSI_PMS" totalsRowFunction="sum" dataDxfId="8550" totalsRowDxfId="8549"/>
    <tableColumn id="4" xr3:uid="{D89E5B53-B845-4064-A180-5ADFAF1B40AA}" name="BUIPE_AGO" totalsRowFunction="custom" dataDxfId="8548" totalsRowDxfId="8547">
      <totalsRowFormula>SUM(February02_2021[BUIPE_AGO])</totalsRowFormula>
    </tableColumn>
    <tableColumn id="5" xr3:uid="{76E361E3-76EB-4422-A9CB-6789D942F764}" name="BUIPE_PMS" totalsRowFunction="custom" dataDxfId="8546" totalsRowDxfId="8545" dataCellStyle="Comma">
      <totalsRowFormula>SUM(February02_2021[BUIPE_PMS])</totalsRowFormula>
    </tableColumn>
    <tableColumn id="6" xr3:uid="{4015D1AB-A9E2-4FAC-9747-A17C3CD85B45}" name="AKOSOMBO_AGO" totalsRowFunction="custom" dataDxfId="8544" totalsRowDxfId="8543">
      <totalsRowFormula>SUM(February02_2021[AKOSOMBO_AGO])</totalsRowFormula>
    </tableColumn>
    <tableColumn id="7" xr3:uid="{9B8C8E68-09A6-4A1A-A33B-079BA5430ED0}" name="DATE" dataDxfId="8542" totalsRowDxfId="8541">
      <calculatedColumnFormula>$G$3</calculatedColumnFormula>
    </tableColumn>
  </tableColumns>
  <tableStyleInfo showFirstColumn="0" showLastColumn="0" showRowStripes="1" showColumnStripes="0"/>
</table>
</file>

<file path=xl/tables/table2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2FBF8513-18C2-4A8B-A772-8020E037E3A8}" name="February03_2021" displayName="February03_2021" ref="B5:H20" totalsRowCount="1" headerRowDxfId="8540" headerRowBorderDxfId="8539" tableBorderDxfId="8538" totalsRowBorderDxfId="8537">
  <autoFilter ref="B5:H19" xr:uid="{00000000-0009-0000-0100-00001A000000}"/>
  <sortState xmlns:xlrd2="http://schemas.microsoft.com/office/spreadsheetml/2017/richdata2" ref="B6:H18">
    <sortCondition ref="B6"/>
  </sortState>
  <tableColumns count="7">
    <tableColumn id="1" xr3:uid="{270D2E48-D47E-4022-9475-FCDF67E21264}" name="BDC LIST" totalsRowLabel="Total" dataDxfId="8536" totalsRowDxfId="8535"/>
    <tableColumn id="2" xr3:uid="{69DDB415-90F5-4BF9-9A6D-5EC178F07E50}" name="KSI_AGO" totalsRowFunction="custom" dataDxfId="8534" totalsRowDxfId="8533">
      <totalsRowFormula>SUM(February03_2021[KSI_AGO])</totalsRowFormula>
    </tableColumn>
    <tableColumn id="3" xr3:uid="{437EC51F-DB8C-4AF9-87F7-2135C257DCB2}" name="KSI_PMS" totalsRowFunction="sum" dataDxfId="8532" totalsRowDxfId="8531"/>
    <tableColumn id="4" xr3:uid="{26DA1F0D-2529-4EE1-A6AB-BD588F38A4E9}" name="BUIPE_AGO" totalsRowFunction="custom" dataDxfId="8530" totalsRowDxfId="8529">
      <totalsRowFormula>SUM(February03_2021[BUIPE_AGO])</totalsRowFormula>
    </tableColumn>
    <tableColumn id="5" xr3:uid="{5E8B752B-8EF7-4B31-8379-94463973D5D4}" name="BUIPE_PMS" totalsRowFunction="custom" dataDxfId="8528" totalsRowDxfId="8527" dataCellStyle="Comma">
      <totalsRowFormula>SUM(February03_2021[BUIPE_PMS])</totalsRowFormula>
    </tableColumn>
    <tableColumn id="6" xr3:uid="{83343C72-FFD0-421D-B35B-A1EDE22056DB}" name="AKOSOMBO_AGO" totalsRowFunction="custom" dataDxfId="8526" totalsRowDxfId="8525">
      <totalsRowFormula>SUM(February03_2021[AKOSOMBO_AGO])</totalsRowFormula>
    </tableColumn>
    <tableColumn id="7" xr3:uid="{D9160962-17FD-4B89-A74E-C80AB85F8991}" name="DATE" dataDxfId="8524" totalsRowDxfId="8523">
      <calculatedColumnFormula>$G$3</calculatedColumnFormula>
    </tableColumn>
  </tableColumns>
  <tableStyleInfo showFirstColumn="0" showLastColumn="0" showRowStripes="1" showColumnStripes="0"/>
</table>
</file>

<file path=xl/tables/table2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336AAC04-D663-4778-9088-462B6507DACE}" name="February04_2021" displayName="February04_2021" ref="B5:H20" totalsRowCount="1" headerRowDxfId="8522" headerRowBorderDxfId="8521" tableBorderDxfId="8520" totalsRowBorderDxfId="8519">
  <autoFilter ref="B5:H19" xr:uid="{00000000-0009-0000-0100-00001B000000}"/>
  <sortState xmlns:xlrd2="http://schemas.microsoft.com/office/spreadsheetml/2017/richdata2" ref="B6:H18">
    <sortCondition ref="B6"/>
  </sortState>
  <tableColumns count="7">
    <tableColumn id="1" xr3:uid="{882E3D93-2D94-4509-A7AD-6343D4125A6C}" name="BDC LIST" totalsRowLabel="Total" dataDxfId="8518" totalsRowDxfId="8517"/>
    <tableColumn id="2" xr3:uid="{2725AACE-017C-4C20-8336-A62DDC7DA187}" name="KSI_AGO" totalsRowFunction="custom" dataDxfId="8516" totalsRowDxfId="8515">
      <totalsRowFormula>SUM(February04_2021[KSI_AGO])</totalsRowFormula>
    </tableColumn>
    <tableColumn id="3" xr3:uid="{7594E4A1-655C-4818-B509-3768AC4734EE}" name="KSI_PMS" totalsRowFunction="sum" dataDxfId="8514" totalsRowDxfId="8513"/>
    <tableColumn id="4" xr3:uid="{C49720F2-390A-421D-A2FF-742DEA813D12}" name="BUIPE_AGO" totalsRowFunction="custom" dataDxfId="8512" totalsRowDxfId="8511">
      <totalsRowFormula>SUM(February04_2021[BUIPE_AGO])</totalsRowFormula>
    </tableColumn>
    <tableColumn id="5" xr3:uid="{09B6F433-EE2C-4EC0-A93E-8FAFA35E5A39}" name="BUIPE_PMS" totalsRowFunction="custom" dataDxfId="8510" totalsRowDxfId="8509" dataCellStyle="Comma">
      <totalsRowFormula>SUM(February04_2021[BUIPE_PMS])</totalsRowFormula>
    </tableColumn>
    <tableColumn id="6" xr3:uid="{DCF7BB49-D7B6-49DC-B098-5364E32DE764}" name="AKOSOMBO_AGO" totalsRowFunction="custom" dataDxfId="8508" totalsRowDxfId="8507">
      <totalsRowFormula>SUM(February04_2021[AKOSOMBO_AGO])</totalsRowFormula>
    </tableColumn>
    <tableColumn id="7" xr3:uid="{92FE7E29-9194-41B0-A7E5-D6C1E2613AF3}" name="DATE" dataDxfId="8506" totalsRowDxfId="8505">
      <calculatedColumnFormula>$G$3</calculatedColumnFormula>
    </tableColumn>
  </tableColumns>
  <tableStyleInfo showFirstColumn="0" showLastColumn="0" showRowStripes="1" showColumnStripes="0"/>
</table>
</file>

<file path=xl/tables/table2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82794127-9989-4DEF-B58E-820074E2957F}" name="February05_2021" displayName="February05_2021" ref="B5:H20" totalsRowCount="1" headerRowDxfId="8504" headerRowBorderDxfId="8503" tableBorderDxfId="8502" totalsRowBorderDxfId="8501">
  <autoFilter ref="B5:H19" xr:uid="{00000000-0009-0000-0100-00001C000000}"/>
  <sortState xmlns:xlrd2="http://schemas.microsoft.com/office/spreadsheetml/2017/richdata2" ref="B6:H18">
    <sortCondition ref="B6"/>
  </sortState>
  <tableColumns count="7">
    <tableColumn id="1" xr3:uid="{6D1EAB3B-D781-4276-A96E-59AD6DFF15ED}" name="BDC LIST" totalsRowLabel="Total" dataDxfId="8500" totalsRowDxfId="8499"/>
    <tableColumn id="2" xr3:uid="{5E7BBD71-75A9-458A-9FBD-6837AB24B76C}" name="KSI_AGO" totalsRowFunction="custom" dataDxfId="8498" totalsRowDxfId="8497">
      <totalsRowFormula>SUM(February05_2021[KSI_AGO])</totalsRowFormula>
    </tableColumn>
    <tableColumn id="3" xr3:uid="{BFD45287-E4D6-481D-BD1A-56AA643F87C4}" name="KSI_PMS" totalsRowFunction="sum" dataDxfId="8496" totalsRowDxfId="8495"/>
    <tableColumn id="4" xr3:uid="{8973E7D0-D819-4DF6-8F7D-CC8D2B9CCF5B}" name="BUIPE_AGO" totalsRowFunction="custom" dataDxfId="8494" totalsRowDxfId="8493">
      <totalsRowFormula>SUM(February05_2021[BUIPE_AGO])</totalsRowFormula>
    </tableColumn>
    <tableColumn id="5" xr3:uid="{012C8CC2-68E1-4D7D-BAFB-57443FB03508}" name="BUIPE_PMS" totalsRowFunction="custom" dataDxfId="8492" totalsRowDxfId="8491" dataCellStyle="Comma">
      <totalsRowFormula>SUM(February05_2021[BUIPE_PMS])</totalsRowFormula>
    </tableColumn>
    <tableColumn id="6" xr3:uid="{FA1EC0E8-53F5-43B7-B66A-A8BE1AD703E0}" name="AKOSOMBO_AGO" totalsRowFunction="custom" dataDxfId="8490" totalsRowDxfId="8489">
      <totalsRowFormula>SUM(February05_2021[AKOSOMBO_AGO])</totalsRowFormula>
    </tableColumn>
    <tableColumn id="7" xr3:uid="{7759CBF0-87A3-4D47-BF57-4ACA5E84ABFC}" name="DATE" dataDxfId="8488" totalsRowDxfId="8487">
      <calculatedColumnFormula>$G$3</calculatedColumnFormula>
    </tableColumn>
  </tableColumns>
  <tableStyleInfo showFirstColumn="0" showLastColumn="0" showRowStripes="1" showColumnStripes="0"/>
</table>
</file>

<file path=xl/tables/table2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0F705A60-85C2-4A79-8167-176E6EAA7303}" name="February08_2021" displayName="February08_2021" ref="B5:H20" totalsRowCount="1" headerRowDxfId="8486" headerRowBorderDxfId="8485" tableBorderDxfId="8484" totalsRowBorderDxfId="8483">
  <autoFilter ref="B5:H19" xr:uid="{00000000-0009-0000-0100-00001D000000}"/>
  <sortState xmlns:xlrd2="http://schemas.microsoft.com/office/spreadsheetml/2017/richdata2" ref="B6:H18">
    <sortCondition ref="B6"/>
  </sortState>
  <tableColumns count="7">
    <tableColumn id="1" xr3:uid="{B4990038-4515-4DE3-A788-23647BEE91E1}" name="BDC LIST" totalsRowLabel="Total" dataDxfId="8482" totalsRowDxfId="8481"/>
    <tableColumn id="2" xr3:uid="{739656EB-AAFC-4F09-8073-C572ACBE63BB}" name="KSI_AGO" totalsRowFunction="custom" dataDxfId="8480" totalsRowDxfId="8479">
      <totalsRowFormula>SUM(February08_2021[KSI_AGO])</totalsRowFormula>
    </tableColumn>
    <tableColumn id="3" xr3:uid="{4E491A1A-0CC8-4F43-8B1B-8A56819DE885}" name="KSI_PMS" totalsRowFunction="sum" dataDxfId="8478" totalsRowDxfId="8477"/>
    <tableColumn id="4" xr3:uid="{73F7E9EE-25BB-4240-82B2-AA9EAE6475BF}" name="BUIPE_AGO" totalsRowFunction="custom" dataDxfId="8476" totalsRowDxfId="8475">
      <totalsRowFormula>SUM(February08_2021[BUIPE_AGO])</totalsRowFormula>
    </tableColumn>
    <tableColumn id="5" xr3:uid="{4EF50F29-A046-4252-AAC6-3BCF16D0052F}" name="BUIPE_PMS" totalsRowFunction="custom" dataDxfId="8474" totalsRowDxfId="8473" dataCellStyle="Comma">
      <totalsRowFormula>SUM(February08_2021[BUIPE_PMS])</totalsRowFormula>
    </tableColumn>
    <tableColumn id="6" xr3:uid="{4974B625-16F6-4CEB-9F1F-0F9EF0EC551B}" name="AKOSOMBO_AGO" totalsRowFunction="custom" dataDxfId="8472" totalsRowDxfId="8471">
      <totalsRowFormula>SUM(February08_2021[AKOSOMBO_AGO])</totalsRowFormula>
    </tableColumn>
    <tableColumn id="7" xr3:uid="{FAE5B15E-BEE8-49A7-95C2-1BFE8B1F14CF}" name="DATE" dataDxfId="8470" totalsRowDxfId="8469">
      <calculatedColumnFormula>$G$3</calculatedColumnFormula>
    </tableColumn>
  </tableColumns>
  <tableStyleInfo showFirstColumn="0" showLastColumn="0" showRowStripes="1" showColumnStripes="0"/>
</table>
</file>

<file path=xl/tables/table2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F6AA42EE-AC3A-45EB-8A59-5CAA77EC668D}" name="February09_2021" displayName="February09_2021" ref="B5:H20" totalsRowCount="1" headerRowDxfId="8468" headerRowBorderDxfId="8467" tableBorderDxfId="8466" totalsRowBorderDxfId="8465">
  <autoFilter ref="B5:H19" xr:uid="{00000000-0009-0000-0100-00001E000000}"/>
  <sortState xmlns:xlrd2="http://schemas.microsoft.com/office/spreadsheetml/2017/richdata2" ref="B6:H18">
    <sortCondition ref="B6"/>
  </sortState>
  <tableColumns count="7">
    <tableColumn id="1" xr3:uid="{8A7F4B91-38B7-40A6-9C8B-7E18D484D3B0}" name="BDC LIST" totalsRowLabel="Total" dataDxfId="8464" totalsRowDxfId="8463"/>
    <tableColumn id="2" xr3:uid="{9271BED8-7530-467A-A7AF-50AD05725231}" name="KSI_AGO" totalsRowFunction="custom" dataDxfId="8462" totalsRowDxfId="8461">
      <totalsRowFormula>SUM(February09_2021[KSI_AGO])</totalsRowFormula>
    </tableColumn>
    <tableColumn id="3" xr3:uid="{D70B7B7B-1B29-4BB1-9F76-8350E74B37AA}" name="KSI_PMS" totalsRowFunction="sum" dataDxfId="8460" totalsRowDxfId="8459"/>
    <tableColumn id="4" xr3:uid="{10EF0E9B-FDC9-40D1-8983-11DD99C9E3A7}" name="BUIPE_AGO" totalsRowFunction="custom" dataDxfId="8458" totalsRowDxfId="8457">
      <totalsRowFormula>SUM(February09_2021[BUIPE_AGO])</totalsRowFormula>
    </tableColumn>
    <tableColumn id="5" xr3:uid="{AD7AA0E1-32DB-408E-AB5D-58398FAEE66B}" name="BUIPE_PMS" totalsRowFunction="custom" dataDxfId="8456" totalsRowDxfId="8455" dataCellStyle="Comma">
      <totalsRowFormula>SUM(February09_2021[BUIPE_PMS])</totalsRowFormula>
    </tableColumn>
    <tableColumn id="6" xr3:uid="{97719862-17F9-4434-B62F-E27DE46E261E}" name="AKOSOMBO_AGO" totalsRowFunction="custom" dataDxfId="8454" totalsRowDxfId="8453">
      <totalsRowFormula>SUM(February09_2021[AKOSOMBO_AGO])</totalsRowFormula>
    </tableColumn>
    <tableColumn id="7" xr3:uid="{FDA8E626-BAEF-4A19-A58E-462457DBFA44}" name="DATE" dataDxfId="8452" totalsRowDxfId="8451">
      <calculatedColumnFormula>$G$3</calculatedColumnFormula>
    </tableColumn>
  </tableColumns>
  <tableStyleInfo showFirstColumn="0" showLastColumn="0" showRowStripes="1" showColumnStripes="0"/>
</table>
</file>

<file path=xl/tables/table2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D655206F-2B59-43BB-B459-B416E31BACB9}" name="February10_2021" displayName="February10_2021" ref="B5:H20" totalsRowCount="1" headerRowDxfId="8450" headerRowBorderDxfId="8449" tableBorderDxfId="8448" totalsRowBorderDxfId="8447">
  <autoFilter ref="B5:H19" xr:uid="{00000000-0009-0000-0100-00001F000000}"/>
  <sortState xmlns:xlrd2="http://schemas.microsoft.com/office/spreadsheetml/2017/richdata2" ref="B6:H18">
    <sortCondition ref="B6"/>
  </sortState>
  <tableColumns count="7">
    <tableColumn id="1" xr3:uid="{5B6EAF72-649B-4278-A9E1-231FE6C8B664}" name="BDC LIST" totalsRowLabel="Total" dataDxfId="8446" totalsRowDxfId="8445"/>
    <tableColumn id="2" xr3:uid="{16C087D7-DBE3-4B93-8F42-1CD0C0E973F2}" name="KSI_AGO" totalsRowFunction="custom" dataDxfId="8444" totalsRowDxfId="8443">
      <totalsRowFormula>SUM(February10_2021[KSI_AGO])</totalsRowFormula>
    </tableColumn>
    <tableColumn id="3" xr3:uid="{BDE38E7D-7A5F-4C5F-BF39-E1B20D1046D7}" name="KSI_PMS" totalsRowFunction="sum" dataDxfId="8442" totalsRowDxfId="8441"/>
    <tableColumn id="4" xr3:uid="{C21E7B91-E070-4AFF-8F63-3114A4E9078D}" name="BUIPE_AGO" totalsRowFunction="custom" dataDxfId="8440" totalsRowDxfId="8439">
      <totalsRowFormula>SUM(February10_2021[BUIPE_AGO])</totalsRowFormula>
    </tableColumn>
    <tableColumn id="5" xr3:uid="{E6D67E04-0A7F-4196-BC79-EDB8F64DA8C2}" name="BUIPE_PMS" totalsRowFunction="custom" dataDxfId="8438" totalsRowDxfId="8437" dataCellStyle="Comma">
      <totalsRowFormula>SUM(February10_2021[BUIPE_PMS])</totalsRowFormula>
    </tableColumn>
    <tableColumn id="6" xr3:uid="{044A34FF-BEF0-4B58-B671-61357CB7B5AF}" name="AKOSOMBO_AGO" totalsRowFunction="custom" dataDxfId="8436" totalsRowDxfId="8435">
      <totalsRowFormula>SUM(February10_2021[AKOSOMBO_AGO])</totalsRowFormula>
    </tableColumn>
    <tableColumn id="7" xr3:uid="{42BC59DB-195C-413A-8D6B-A00ED8465C8B}" name="DATE" dataDxfId="8434" totalsRowDxfId="8433">
      <calculatedColumnFormula>$G$3</calculatedColumnFormula>
    </tableColumn>
  </tableColumns>
  <tableStyleInfo showFirstColumn="0" showLastColumn="0" showRowStripes="1" showColumnStripes="0"/>
</table>
</file>

<file path=xl/tables/table2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0E8B0A52-365B-4892-93B5-AE33E495B459}" name="February11_2021" displayName="February11_2021" ref="B5:H20" totalsRowCount="1" headerRowDxfId="8432" headerRowBorderDxfId="8431" tableBorderDxfId="8430" totalsRowBorderDxfId="8429">
  <autoFilter ref="B5:H19" xr:uid="{00000000-0009-0000-0100-000020000000}"/>
  <sortState xmlns:xlrd2="http://schemas.microsoft.com/office/spreadsheetml/2017/richdata2" ref="B6:H18">
    <sortCondition ref="B6"/>
  </sortState>
  <tableColumns count="7">
    <tableColumn id="1" xr3:uid="{88AFADC7-CD19-41A1-AA5E-6295E8E71D8E}" name="BDC LIST" totalsRowLabel="Total" dataDxfId="8428" totalsRowDxfId="8427"/>
    <tableColumn id="2" xr3:uid="{DCC1FB1A-C299-45EA-A391-B201B99C18EB}" name="KSI_AGO" totalsRowFunction="custom" dataDxfId="8426" totalsRowDxfId="8425">
      <totalsRowFormula>SUM(February11_2021[KSI_AGO])</totalsRowFormula>
    </tableColumn>
    <tableColumn id="3" xr3:uid="{C1D4AF0B-63EF-465B-9451-072A1A1D1F78}" name="KSI_PMS" totalsRowFunction="sum" dataDxfId="8424" totalsRowDxfId="8423"/>
    <tableColumn id="4" xr3:uid="{5B861167-94F0-46F6-81BF-3F563EA85124}" name="BUIPE_AGO" totalsRowFunction="custom" dataDxfId="8422" totalsRowDxfId="8421">
      <totalsRowFormula>SUM(February11_2021[BUIPE_AGO])</totalsRowFormula>
    </tableColumn>
    <tableColumn id="5" xr3:uid="{AFBC4728-3163-4955-A0E2-75B7F0B4B188}" name="BUIPE_PMS" totalsRowFunction="custom" dataDxfId="8420" totalsRowDxfId="8419" dataCellStyle="Comma">
      <totalsRowFormula>SUM(February11_2021[BUIPE_PMS])</totalsRowFormula>
    </tableColumn>
    <tableColumn id="6" xr3:uid="{D872498E-981A-461D-9194-2BE605C7E3DD}" name="AKOSOMBO_AGO" totalsRowFunction="custom" dataDxfId="8418" totalsRowDxfId="8417">
      <totalsRowFormula>SUM(February11_2021[AKOSOMBO_AGO])</totalsRowFormula>
    </tableColumn>
    <tableColumn id="7" xr3:uid="{C453EC25-788B-4231-8AEF-481FB900D482}" name="DATE" dataDxfId="8416" totalsRowDxfId="8415">
      <calculatedColumnFormula>$G$3</calculatedColumnFormula>
    </tableColumn>
  </tableColumns>
  <tableStyleInfo showFirstColumn="0" showLastColumn="0" showRowStripes="1" showColumnStripes="0"/>
</table>
</file>

<file path=xl/tables/table2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496F23FF-82B9-4D17-A0A7-8F542F9551E1}" name="February12_2021" displayName="February12_2021" ref="B5:H20" totalsRowCount="1" headerRowDxfId="8414" headerRowBorderDxfId="8413" tableBorderDxfId="8412" totalsRowBorderDxfId="8411">
  <autoFilter ref="B5:H19" xr:uid="{00000000-0009-0000-0100-000021000000}"/>
  <sortState xmlns:xlrd2="http://schemas.microsoft.com/office/spreadsheetml/2017/richdata2" ref="B6:H18">
    <sortCondition ref="B6"/>
  </sortState>
  <tableColumns count="7">
    <tableColumn id="1" xr3:uid="{7467EAF6-735A-4AE6-AECD-16612A4084D6}" name="BDC LIST" totalsRowLabel="Total" dataDxfId="8410" totalsRowDxfId="8409"/>
    <tableColumn id="2" xr3:uid="{E6581E5C-2431-460C-BBDD-609D538CD142}" name="KSI_AGO" totalsRowFunction="custom" dataDxfId="8408" totalsRowDxfId="8407">
      <totalsRowFormula>SUM(February12_2021[KSI_AGO])</totalsRowFormula>
    </tableColumn>
    <tableColumn id="3" xr3:uid="{5598239B-CAB1-4E4E-A290-C1FB21F2AB65}" name="KSI_PMS" totalsRowFunction="sum" dataDxfId="8406" totalsRowDxfId="8405"/>
    <tableColumn id="4" xr3:uid="{2013FAC1-4CD2-42AB-9135-1D3EDC6F735F}" name="BUIPE_AGO" totalsRowFunction="custom" dataDxfId="8404" totalsRowDxfId="8403">
      <totalsRowFormula>SUM(February12_2021[BUIPE_AGO])</totalsRowFormula>
    </tableColumn>
    <tableColumn id="5" xr3:uid="{B2B905C8-E76C-4E9B-8D5D-D5FFF2144806}" name="BUIPE_PMS" totalsRowFunction="custom" dataDxfId="8402" totalsRowDxfId="8401" dataCellStyle="Comma">
      <totalsRowFormula>SUM(February12_2021[BUIPE_PMS])</totalsRowFormula>
    </tableColumn>
    <tableColumn id="6" xr3:uid="{7CBB1E62-2F66-490B-8F22-B7B0040BEAA9}" name="AKOSOMBO_AGO" totalsRowFunction="custom" dataDxfId="8400" totalsRowDxfId="8399">
      <totalsRowFormula>SUM(February12_2021[AKOSOMBO_AGO])</totalsRowFormula>
    </tableColumn>
    <tableColumn id="7" xr3:uid="{9C7C6E7C-76A1-442F-A9C8-FBD1D61AE604}" name="DATE" dataDxfId="8398" totalsRowDxfId="8397">
      <calculatedColumnFormula>$G$3</calculatedColumnFormula>
    </tableColumn>
  </tableColumns>
  <tableStyleInfo showFirstColumn="0" showLastColumn="0" showRowStripes="1" showColumnStripes="0"/>
</table>
</file>

<file path=xl/tables/table2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1B7747A2-5C66-41FC-A57D-A0821AC8EB4D}" name="February13_2021" displayName="February13_2021" ref="B5:H20" totalsRowCount="1" headerRowDxfId="8396" headerRowBorderDxfId="8395" tableBorderDxfId="8394" totalsRowBorderDxfId="8393">
  <autoFilter ref="B5:H19" xr:uid="{00000000-0009-0000-0100-000022000000}"/>
  <sortState xmlns:xlrd2="http://schemas.microsoft.com/office/spreadsheetml/2017/richdata2" ref="B6:H18">
    <sortCondition ref="B6"/>
  </sortState>
  <tableColumns count="7">
    <tableColumn id="1" xr3:uid="{44AD6FBF-F1D9-4198-8852-52138AD7636A}" name="BDC LIST" totalsRowLabel="Total" dataDxfId="8392" totalsRowDxfId="8391"/>
    <tableColumn id="2" xr3:uid="{CBE9633C-ED4C-4B6E-9CDF-C268DD5FB4B4}" name="KSI_AGO" totalsRowFunction="custom" dataDxfId="8390" totalsRowDxfId="8389">
      <totalsRowFormula>SUM(February13_2021[KSI_AGO])</totalsRowFormula>
    </tableColumn>
    <tableColumn id="3" xr3:uid="{C042A49B-BF8B-416F-B184-9CE2C40B6960}" name="KSI_PMS" totalsRowFunction="sum" dataDxfId="8388" totalsRowDxfId="8387"/>
    <tableColumn id="4" xr3:uid="{0A6758F6-B692-48CF-8F36-DD7A35472B04}" name="BUIPE_AGO" totalsRowFunction="custom" dataDxfId="8386" totalsRowDxfId="8385">
      <totalsRowFormula>SUM(February13_2021[BUIPE_AGO])</totalsRowFormula>
    </tableColumn>
    <tableColumn id="5" xr3:uid="{C39D98EB-0650-4EB9-B536-FFCEC980144F}" name="BUIPE_PMS" totalsRowFunction="custom" dataDxfId="8384" totalsRowDxfId="8383" dataCellStyle="Comma">
      <totalsRowFormula>SUM(February13_2021[BUIPE_PMS])</totalsRowFormula>
    </tableColumn>
    <tableColumn id="6" xr3:uid="{0D1E9BF5-3770-4062-AC55-24F6A03381F7}" name="AKOSOMBO_AGO" totalsRowFunction="custom" dataDxfId="8382" totalsRowDxfId="8381">
      <totalsRowFormula>SUM(February13_2021[AKOSOMBO_AGO])</totalsRowFormula>
    </tableColumn>
    <tableColumn id="7" xr3:uid="{1FA833D5-5525-4066-9E26-9355CB99CE25}" name="DATE" dataDxfId="8380" totalsRowDxfId="8379">
      <calculatedColumnFormula>$G$3</calculatedColumnFormula>
    </tableColumn>
  </tableColumns>
  <tableStyleInfo showFirstColumn="0" showLastColumn="0" showRowStripes="1" showColumnStripes="0"/>
</table>
</file>

<file path=xl/tables/table2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9BFE682E-0BDD-48C0-8DBF-B1A99A65526D}" name="February15_2021" displayName="February15_2021" ref="B5:H20" totalsRowCount="1" headerRowDxfId="8378" headerRowBorderDxfId="8377" tableBorderDxfId="8376" totalsRowBorderDxfId="8375">
  <autoFilter ref="B5:H19" xr:uid="{00000000-0009-0000-0100-000024000000}"/>
  <sortState xmlns:xlrd2="http://schemas.microsoft.com/office/spreadsheetml/2017/richdata2" ref="B6:H18">
    <sortCondition ref="B6"/>
  </sortState>
  <tableColumns count="7">
    <tableColumn id="1" xr3:uid="{EF646389-FEC3-417E-A613-84EA2437BD20}" name="BDC LIST" totalsRowLabel="Total" dataDxfId="8374" totalsRowDxfId="8373"/>
    <tableColumn id="2" xr3:uid="{3AE19864-00C1-472B-9BA1-5100BDF6C297}" name="KSI_AGO" totalsRowFunction="custom" dataDxfId="8372" totalsRowDxfId="8371">
      <totalsRowFormula>SUM(February15_2021[KSI_AGO])</totalsRowFormula>
    </tableColumn>
    <tableColumn id="3" xr3:uid="{843654B8-A222-49F8-A37F-F003421248C0}" name="KSI_PMS" totalsRowFunction="sum" dataDxfId="8370" totalsRowDxfId="8369"/>
    <tableColumn id="4" xr3:uid="{A4F12A68-FE7D-4CED-BF48-864967A1C201}" name="BUIPE_AGO" totalsRowFunction="custom" dataDxfId="8368" totalsRowDxfId="8367">
      <totalsRowFormula>SUM(February15_2021[BUIPE_AGO])</totalsRowFormula>
    </tableColumn>
    <tableColumn id="5" xr3:uid="{CC03A837-65A5-4DBE-B190-2B72C319E5BD}" name="BUIPE_PMS" totalsRowFunction="custom" dataDxfId="8366" totalsRowDxfId="8365" dataCellStyle="Comma">
      <totalsRowFormula>SUM(February15_2021[BUIPE_PMS])</totalsRowFormula>
    </tableColumn>
    <tableColumn id="6" xr3:uid="{0C42129A-70FE-47E1-B6BF-EDF2581DD0C9}" name="AKOSOMBO_AGO" totalsRowFunction="custom" dataDxfId="8364" totalsRowDxfId="8363">
      <totalsRowFormula>SUM(February15_2021[AKOSOMBO_AGO])</totalsRowFormula>
    </tableColumn>
    <tableColumn id="7" xr3:uid="{3DE0FF43-DEDF-49DE-A6B2-5503E1309E93}" name="DATE" dataDxfId="8362" totalsRowDxfId="8361">
      <calculatedColumnFormula>$G$3</calculatedColumnFormula>
    </tableColumn>
  </tableColumns>
  <tableStyleInfo showFirstColumn="0" showLastColumn="0" showRowStripes="1" showColumnStripes="0"/>
</table>
</file>

<file path=xl/tables/table2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796833B5-A82D-461F-897C-CDDCCF49584F}" name="February16_2021" displayName="February16_2021" ref="B5:H20" totalsRowCount="1" headerRowDxfId="8360" headerRowBorderDxfId="8359" tableBorderDxfId="8358" totalsRowBorderDxfId="8357">
  <autoFilter ref="B5:H19" xr:uid="{00000000-0009-0000-0100-000023000000}"/>
  <sortState xmlns:xlrd2="http://schemas.microsoft.com/office/spreadsheetml/2017/richdata2" ref="B6:H18">
    <sortCondition ref="B6"/>
  </sortState>
  <tableColumns count="7">
    <tableColumn id="1" xr3:uid="{05A49648-2679-43CD-9A3C-A610B61B2430}" name="BDC LIST" totalsRowLabel="Total" dataDxfId="8356" totalsRowDxfId="8355"/>
    <tableColumn id="2" xr3:uid="{1EECF225-F486-4D8C-8E20-E80AE9BD3A51}" name="KSI_AGO" totalsRowFunction="custom" dataDxfId="8354" totalsRowDxfId="8353">
      <totalsRowFormula>SUM(February16_2021[KSI_AGO])</totalsRowFormula>
    </tableColumn>
    <tableColumn id="3" xr3:uid="{A7D9808C-FAFA-4664-9FE2-141F1ED8EDD2}" name="KSI_PMS" totalsRowFunction="sum" dataDxfId="8352" totalsRowDxfId="8351"/>
    <tableColumn id="4" xr3:uid="{54292DCE-991B-4EDB-84E9-E3F9EE8A96AE}" name="BUIPE_AGO" totalsRowFunction="custom" dataDxfId="8350" totalsRowDxfId="8349">
      <totalsRowFormula>SUM(February16_2021[BUIPE_AGO])</totalsRowFormula>
    </tableColumn>
    <tableColumn id="5" xr3:uid="{EA530E88-CC3A-4544-9FF0-E87F48498E0C}" name="BUIPE_PMS" totalsRowFunction="custom" dataDxfId="8348" totalsRowDxfId="8347" dataCellStyle="Comma">
      <totalsRowFormula>SUM(February16_2021[BUIPE_PMS])</totalsRowFormula>
    </tableColumn>
    <tableColumn id="6" xr3:uid="{AB18E57E-2892-4B97-A6B9-AA5E06A99C46}" name="AKOSOMBO_AGO" totalsRowFunction="custom" dataDxfId="8346" totalsRowDxfId="8345">
      <totalsRowFormula>SUM(February16_2021[AKOSOMBO_AGO])</totalsRowFormula>
    </tableColumn>
    <tableColumn id="7" xr3:uid="{24334449-26DE-400E-BF76-38261459757B}" name="DATE" dataDxfId="8344" totalsRowDxfId="8343">
      <calculatedColumnFormula>$G$3</calculatedColumnFormula>
    </tableColumn>
  </tableColumns>
  <tableStyleInfo showFirstColumn="0" showLastColumn="0" showRowStripes="1" showColumnStripes="0"/>
</table>
</file>

<file path=xl/tables/table2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48406C1B-9E3A-4807-B64E-525F6C50AEF2}" name="February17_2021" displayName="February17_2021" ref="B5:H21" totalsRowCount="1" headerRowDxfId="8342" headerRowBorderDxfId="8341" tableBorderDxfId="8340" totalsRowBorderDxfId="8339">
  <autoFilter ref="B5:H20" xr:uid="{00000000-0009-0000-0100-000026000000}"/>
  <sortState xmlns:xlrd2="http://schemas.microsoft.com/office/spreadsheetml/2017/richdata2" ref="B6:H18">
    <sortCondition ref="B6"/>
  </sortState>
  <tableColumns count="7">
    <tableColumn id="1" xr3:uid="{C726CC12-26BA-4D6A-B193-517E3DFE5C8B}" name="BDC LIST" totalsRowLabel="Total" dataDxfId="8338" totalsRowDxfId="8337"/>
    <tableColumn id="2" xr3:uid="{6DB38E92-9F71-4962-9FE5-C3147007BCBB}" name="KSI_AGO" totalsRowFunction="custom" dataDxfId="8336" totalsRowDxfId="8335">
      <totalsRowFormula>SUM(February17_2021[KSI_AGO])</totalsRowFormula>
    </tableColumn>
    <tableColumn id="3" xr3:uid="{4BC62F5D-DC11-43AF-B98B-CDFC66C9390C}" name="KSI_PMS" totalsRowFunction="sum" dataDxfId="8334" totalsRowDxfId="8333"/>
    <tableColumn id="4" xr3:uid="{F5349615-3C92-49D8-B32D-AC06358EFC9D}" name="BUIPE_AGO" totalsRowFunction="custom" dataDxfId="8332" totalsRowDxfId="8331">
      <totalsRowFormula>SUM(February17_2021[BUIPE_AGO])</totalsRowFormula>
    </tableColumn>
    <tableColumn id="5" xr3:uid="{2232BEC6-5EE9-437F-BA01-2935A2C84AC7}" name="BUIPE_PMS" totalsRowFunction="custom" dataDxfId="8330" totalsRowDxfId="8329" dataCellStyle="Comma">
      <totalsRowFormula>SUM(February17_2021[BUIPE_PMS])</totalsRowFormula>
    </tableColumn>
    <tableColumn id="6" xr3:uid="{53A26428-C712-42D7-BDEF-721BBE80913E}" name="AKOSOMBO_AGO" totalsRowFunction="custom" dataDxfId="8328" totalsRowDxfId="8327">
      <totalsRowFormula>SUM(February17_2021[AKOSOMBO_AGO])</totalsRowFormula>
    </tableColumn>
    <tableColumn id="7" xr3:uid="{E364A1BB-526D-49F4-8BCC-CDA9F0535137}" name="DATE" dataDxfId="8326" totalsRowDxfId="8325">
      <calculatedColumnFormula>$G$3</calculatedColumnFormula>
    </tableColumn>
  </tableColumns>
  <tableStyleInfo showFirstColumn="0" showLastColumn="0" showRowStripes="1" showColumnStripes="0"/>
</table>
</file>

<file path=xl/tables/table2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8DEBD370-21B4-415B-B409-20B0BDAFF06E}" name="February18_2021" displayName="February18_2021" ref="B5:H21" totalsRowCount="1" headerRowDxfId="8324" headerRowBorderDxfId="8323" tableBorderDxfId="8322" totalsRowBorderDxfId="8321">
  <autoFilter ref="B5:H20" xr:uid="{00000000-0009-0000-0100-000027000000}"/>
  <sortState xmlns:xlrd2="http://schemas.microsoft.com/office/spreadsheetml/2017/richdata2" ref="B6:H18">
    <sortCondition ref="B6"/>
  </sortState>
  <tableColumns count="7">
    <tableColumn id="1" xr3:uid="{D566E586-10D2-4BE7-A709-494C9C5BF96B}" name="BDC LIST" totalsRowLabel="Total" dataDxfId="8320" totalsRowDxfId="8319"/>
    <tableColumn id="2" xr3:uid="{F3F26405-E9D4-48C2-BC27-63C2967D158E}" name="KSI_AGO" totalsRowFunction="custom" dataDxfId="8318" totalsRowDxfId="8317">
      <totalsRowFormula>SUM(February18_2021[KSI_AGO])</totalsRowFormula>
    </tableColumn>
    <tableColumn id="3" xr3:uid="{982B4ED7-D89F-4215-A800-8684FB4926D3}" name="KSI_PMS" totalsRowFunction="sum" dataDxfId="8316" totalsRowDxfId="8315"/>
    <tableColumn id="4" xr3:uid="{B2A31749-017D-43B8-8B5A-13B4C9084707}" name="BUIPE_AGO" totalsRowFunction="custom" dataDxfId="8314" totalsRowDxfId="8313">
      <totalsRowFormula>SUM(February18_2021[BUIPE_AGO])</totalsRowFormula>
    </tableColumn>
    <tableColumn id="5" xr3:uid="{9A1DAE4D-3101-44FB-93BE-0CD8A1539167}" name="BUIPE_PMS" totalsRowFunction="custom" dataDxfId="8312" totalsRowDxfId="8311" dataCellStyle="Comma">
      <totalsRowFormula>SUM(February18_2021[BUIPE_PMS])</totalsRowFormula>
    </tableColumn>
    <tableColumn id="6" xr3:uid="{565BCE81-0D2C-4A4A-88FD-0A73FE21176F}" name="AKOSOMBO_AGO" totalsRowFunction="custom" dataDxfId="8310" totalsRowDxfId="8309">
      <totalsRowFormula>SUM(February18_2021[AKOSOMBO_AGO])</totalsRowFormula>
    </tableColumn>
    <tableColumn id="7" xr3:uid="{73D9294A-3F76-4424-87FF-6D7E397BDF2E}" name="DATE" dataDxfId="8308" totalsRowDxfId="8307">
      <calculatedColumnFormula>$G$3</calculatedColumnFormula>
    </tableColumn>
  </tableColumns>
  <tableStyleInfo showFirstColumn="0" showLastColumn="0" showRowStripes="1" showColumnStripes="0"/>
</table>
</file>

<file path=xl/tables/table2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670414E2-83CD-438C-B483-2EFD08E7BD9E}" name="February19_2021" displayName="February19_2021" ref="B5:H21" totalsRowCount="1" headerRowDxfId="8306" headerRowBorderDxfId="8305" tableBorderDxfId="8304" totalsRowBorderDxfId="8303">
  <autoFilter ref="B5:H20" xr:uid="{00000000-0009-0000-0100-000025000000}"/>
  <sortState xmlns:xlrd2="http://schemas.microsoft.com/office/spreadsheetml/2017/richdata2" ref="B6:H18">
    <sortCondition ref="B6"/>
  </sortState>
  <tableColumns count="7">
    <tableColumn id="1" xr3:uid="{E2C8B33C-41D0-4504-A385-FDEB29E54E0D}" name="BDC LIST" totalsRowLabel="Total" dataDxfId="8302" totalsRowDxfId="8301"/>
    <tableColumn id="2" xr3:uid="{B80F88D0-5CDC-42D4-9754-2C456BE06A0F}" name="KSI_AGO" totalsRowFunction="custom" dataDxfId="8300" totalsRowDxfId="8299">
      <totalsRowFormula>SUM(February19_2021[KSI_AGO])</totalsRowFormula>
    </tableColumn>
    <tableColumn id="3" xr3:uid="{FB8A7517-D571-49B1-91A6-A14FB9709487}" name="KSI_PMS" totalsRowFunction="sum" dataDxfId="8298" totalsRowDxfId="8297"/>
    <tableColumn id="4" xr3:uid="{747326D8-4481-4F9F-AA3D-4622A7B7AC9A}" name="BUIPE_AGO" totalsRowFunction="custom" dataDxfId="8296" totalsRowDxfId="8295">
      <totalsRowFormula>SUM(February19_2021[BUIPE_AGO])</totalsRowFormula>
    </tableColumn>
    <tableColumn id="5" xr3:uid="{94E66934-3005-48D2-A378-FBEC4480E38D}" name="BUIPE_PMS" totalsRowFunction="custom" dataDxfId="8294" totalsRowDxfId="8293" dataCellStyle="Comma">
      <totalsRowFormula>SUM(February19_2021[BUIPE_PMS])</totalsRowFormula>
    </tableColumn>
    <tableColumn id="6" xr3:uid="{7D4B2D76-63A0-42E4-9652-5B46923DB103}" name="AKOSOMBO_AGO" totalsRowFunction="custom" dataDxfId="8292" totalsRowDxfId="8291">
      <totalsRowFormula>SUM(February19_2021[AKOSOMBO_AGO])</totalsRowFormula>
    </tableColumn>
    <tableColumn id="7" xr3:uid="{5D15BE39-11D0-4923-8BC4-5015DE6F354E}" name="DATE" dataDxfId="8290" totalsRowDxfId="8289">
      <calculatedColumnFormula>$G$3</calculatedColumnFormula>
    </tableColumn>
  </tableColumns>
  <tableStyleInfo showFirstColumn="0" showLastColumn="0" showRowStripes="1" showColumnStripes="0"/>
</table>
</file>

<file path=xl/tables/table2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5D840996-E191-41D4-825E-ABB0686FAB14}" name="February22_2021" displayName="February22_2021" ref="B5:H21" totalsRowCount="1" headerRowDxfId="8288" headerRowBorderDxfId="8287" tableBorderDxfId="8286" totalsRowBorderDxfId="8285">
  <autoFilter ref="B5:H20" xr:uid="{00000000-0009-0000-0100-00002E000000}"/>
  <sortState xmlns:xlrd2="http://schemas.microsoft.com/office/spreadsheetml/2017/richdata2" ref="B6:H18">
    <sortCondition ref="B6"/>
  </sortState>
  <tableColumns count="7">
    <tableColumn id="1" xr3:uid="{A1DCE1AF-79EC-43EC-A501-04710139ABF2}" name="BDC LIST" totalsRowLabel="Total" dataDxfId="8284" totalsRowDxfId="8283"/>
    <tableColumn id="2" xr3:uid="{3F3A5EA7-C69A-47DF-AFDC-87EB225703FD}" name="KSI_AGO" totalsRowFunction="custom" dataDxfId="8282" totalsRowDxfId="8281">
      <totalsRowFormula>SUM(February22_2021[KSI_AGO])</totalsRowFormula>
    </tableColumn>
    <tableColumn id="3" xr3:uid="{6D9EEF06-C1CE-4CCD-8CB5-30374AE0333A}" name="KSI_PMS" totalsRowFunction="sum" dataDxfId="8280" totalsRowDxfId="8279"/>
    <tableColumn id="4" xr3:uid="{B11C8C00-D42E-4A97-8F8D-2A71D285C7B8}" name="BUIPE_AGO" totalsRowFunction="custom" dataDxfId="8278" totalsRowDxfId="8277">
      <totalsRowFormula>SUM(February22_2021[BUIPE_AGO])</totalsRowFormula>
    </tableColumn>
    <tableColumn id="5" xr3:uid="{59D3A42C-11C4-4331-BD11-FBA7605B8C29}" name="BUIPE_PMS" totalsRowFunction="custom" dataDxfId="8276" totalsRowDxfId="8275" dataCellStyle="Comma">
      <totalsRowFormula>SUM(February22_2021[BUIPE_PMS])</totalsRowFormula>
    </tableColumn>
    <tableColumn id="6" xr3:uid="{8D8D4AE2-C190-49DF-80E3-E4DB0B49D1F3}" name="AKOSOMBO_AGO" totalsRowFunction="custom" dataDxfId="8274" totalsRowDxfId="8273">
      <totalsRowFormula>SUM(February22_2021[AKOSOMBO_AGO])</totalsRowFormula>
    </tableColumn>
    <tableColumn id="7" xr3:uid="{1DE22CF1-F8F8-4CD1-9634-DE777DA56A5A}" name="DATE" dataDxfId="8272" totalsRowDxfId="8271">
      <calculatedColumnFormula>$G$3</calculatedColumnFormula>
    </tableColumn>
  </tableColumns>
  <tableStyleInfo showFirstColumn="0" showLastColumn="0" showRowStripes="1" showColumnStripes="0"/>
</table>
</file>

<file path=xl/tables/table2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2F766055-2971-4576-8850-A7ACC6444618}" name="February23_2021" displayName="February23_2021" ref="B5:H21" totalsRowCount="1" headerRowDxfId="8270" headerRowBorderDxfId="8269" tableBorderDxfId="8268" totalsRowBorderDxfId="8267">
  <autoFilter ref="B5:H20" xr:uid="{00000000-0009-0000-0100-000029000000}"/>
  <sortState xmlns:xlrd2="http://schemas.microsoft.com/office/spreadsheetml/2017/richdata2" ref="B6:H18">
    <sortCondition ref="B6"/>
  </sortState>
  <tableColumns count="7">
    <tableColumn id="1" xr3:uid="{75A40783-08BF-4F91-BF56-2A10E0510BAA}" name="BDC LIST" totalsRowLabel="Total" dataDxfId="8266" totalsRowDxfId="8265"/>
    <tableColumn id="2" xr3:uid="{DB7F0C87-2937-45E1-BB55-D418C86F4B2D}" name="KSI_AGO" totalsRowFunction="custom" dataDxfId="8264" totalsRowDxfId="8263">
      <totalsRowFormula>SUM(February23_2021[KSI_AGO])</totalsRowFormula>
    </tableColumn>
    <tableColumn id="3" xr3:uid="{783540E5-1124-49F2-9132-4C525EE9053F}" name="KSI_PMS" totalsRowFunction="sum" dataDxfId="8262" totalsRowDxfId="8261"/>
    <tableColumn id="4" xr3:uid="{8E75CB27-17AF-4346-A2AE-E0FD8F0125B1}" name="BUIPE_AGO" totalsRowFunction="custom" dataDxfId="8260" totalsRowDxfId="8259">
      <totalsRowFormula>SUM(February23_2021[BUIPE_AGO])</totalsRowFormula>
    </tableColumn>
    <tableColumn id="5" xr3:uid="{16A7EA81-2A88-4A2B-B74D-F5EC80E26425}" name="BUIPE_PMS" totalsRowFunction="custom" dataDxfId="8258" totalsRowDxfId="8257" dataCellStyle="Comma">
      <totalsRowFormula>SUM(February23_2021[BUIPE_PMS])</totalsRowFormula>
    </tableColumn>
    <tableColumn id="6" xr3:uid="{E9E88BF8-B165-42E1-B402-AD1B0EA10181}" name="AKOSOMBO_AGO" totalsRowFunction="custom" dataDxfId="8256" totalsRowDxfId="8255">
      <totalsRowFormula>SUM(February23_2021[AKOSOMBO_AGO])</totalsRowFormula>
    </tableColumn>
    <tableColumn id="7" xr3:uid="{390AC783-FB8B-4EB1-BB62-6B261E2D5326}" name="DATE" dataDxfId="8254" totalsRowDxfId="8253">
      <calculatedColumnFormula>$G$3</calculatedColumnFormula>
    </tableColumn>
  </tableColumns>
  <tableStyleInfo showFirstColumn="0" showLastColumn="0" showRowStripes="1" showColumnStripes="0"/>
</table>
</file>

<file path=xl/tables/table2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8422F784-959A-45DA-BDF2-968B20C5AD5D}" name="February24_2021" displayName="February24_2021" ref="B5:H21" totalsRowCount="1" headerRowDxfId="8252" headerRowBorderDxfId="8251" tableBorderDxfId="8250" totalsRowBorderDxfId="8249">
  <autoFilter ref="B5:H20" xr:uid="{00000000-0009-0000-0100-00002A000000}"/>
  <sortState xmlns:xlrd2="http://schemas.microsoft.com/office/spreadsheetml/2017/richdata2" ref="B6:H18">
    <sortCondition ref="B6"/>
  </sortState>
  <tableColumns count="7">
    <tableColumn id="1" xr3:uid="{278895C8-AA0A-4A14-BAB5-5BF2E040C85C}" name="BDC LIST" totalsRowLabel="Total" dataDxfId="8248" totalsRowDxfId="8247"/>
    <tableColumn id="2" xr3:uid="{2A0524AB-CB13-4AEE-88D7-35E1775C458B}" name="KSI_AGO" totalsRowFunction="custom" dataDxfId="8246" totalsRowDxfId="8245">
      <totalsRowFormula>SUM(February24_2021[KSI_AGO])</totalsRowFormula>
    </tableColumn>
    <tableColumn id="3" xr3:uid="{9DEA88D3-05A4-4A0F-9B78-6C0EDFA5C752}" name="KSI_PMS" totalsRowFunction="sum" dataDxfId="8244" totalsRowDxfId="8243"/>
    <tableColumn id="4" xr3:uid="{833EB152-F092-4C42-8355-54DEF31E0AA5}" name="BUIPE_AGO" totalsRowFunction="custom" dataDxfId="8242" totalsRowDxfId="8241">
      <totalsRowFormula>SUM(February24_2021[BUIPE_AGO])</totalsRowFormula>
    </tableColumn>
    <tableColumn id="5" xr3:uid="{6BA2FEE4-8E63-4FF4-AB77-78674CD9F48F}" name="BUIPE_PMS" totalsRowFunction="custom" dataDxfId="8240" totalsRowDxfId="8239" dataCellStyle="Comma">
      <totalsRowFormula>SUM(February24_2021[BUIPE_PMS])</totalsRowFormula>
    </tableColumn>
    <tableColumn id="6" xr3:uid="{051A4B76-2431-4D62-B990-DE66C78FC288}" name="AKOSOMBO_AGO" totalsRowFunction="custom" dataDxfId="8238" totalsRowDxfId="8237">
      <totalsRowFormula>SUM(February24_2021[AKOSOMBO_AGO])</totalsRowFormula>
    </tableColumn>
    <tableColumn id="7" xr3:uid="{382C510E-E64B-4AC0-B60A-2BAFD52D0EB6}" name="DATE" dataDxfId="8236" totalsRowDxfId="8235">
      <calculatedColumnFormula>$G$3</calculatedColumnFormula>
    </tableColumn>
  </tableColumns>
  <tableStyleInfo showFirstColumn="0" showLastColumn="0" showRowStripes="1" showColumnStripes="0"/>
</table>
</file>

<file path=xl/tables/table2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5AB65396-1182-4FEC-9B2A-AD4FF5285576}" name="February25_2021" displayName="February25_2021" ref="B5:H21" totalsRowCount="1" headerRowDxfId="8234" headerRowBorderDxfId="8233" tableBorderDxfId="8232" totalsRowBorderDxfId="8231">
  <autoFilter ref="B5:H20" xr:uid="{00000000-0009-0000-0100-00002B000000}"/>
  <sortState xmlns:xlrd2="http://schemas.microsoft.com/office/spreadsheetml/2017/richdata2" ref="B6:H18">
    <sortCondition ref="B6"/>
  </sortState>
  <tableColumns count="7">
    <tableColumn id="1" xr3:uid="{BCC6B638-317B-4A2E-A7C8-E936DA302264}" name="BDC LIST" totalsRowLabel="Total" dataDxfId="8230" totalsRowDxfId="8229"/>
    <tableColumn id="2" xr3:uid="{4A1613BB-B865-4791-BEBD-C82D59DB0D74}" name="KSI_AGO" totalsRowFunction="custom" dataDxfId="8228" totalsRowDxfId="8227">
      <totalsRowFormula>SUM(February25_2021[KSI_AGO])</totalsRowFormula>
    </tableColumn>
    <tableColumn id="3" xr3:uid="{9D53F5A4-5365-4322-BE31-2657A3B4F552}" name="KSI_PMS" totalsRowFunction="sum" dataDxfId="8226" totalsRowDxfId="8225"/>
    <tableColumn id="4" xr3:uid="{6178902A-2E64-4C2F-BFFD-54A18F3A23D1}" name="BUIPE_AGO" totalsRowFunction="custom" dataDxfId="8224" totalsRowDxfId="8223">
      <totalsRowFormula>SUM(February25_2021[BUIPE_AGO])</totalsRowFormula>
    </tableColumn>
    <tableColumn id="5" xr3:uid="{46DBF55D-8248-4639-A705-3E4CE478637E}" name="BUIPE_PMS" totalsRowFunction="custom" dataDxfId="8222" totalsRowDxfId="8221" dataCellStyle="Comma">
      <totalsRowFormula>SUM(February25_2021[BUIPE_PMS])</totalsRowFormula>
    </tableColumn>
    <tableColumn id="6" xr3:uid="{A99419F2-E48B-47C9-ADD1-4A8FD5543014}" name="AKOSOMBO_AGO" totalsRowFunction="custom" dataDxfId="8220" totalsRowDxfId="8219">
      <totalsRowFormula>SUM(February25_2021[AKOSOMBO_AGO])</totalsRowFormula>
    </tableColumn>
    <tableColumn id="7" xr3:uid="{BAA463DC-B4EB-4938-8C9C-EB60245AAAB0}" name="DATE" dataDxfId="8218" totalsRowDxfId="8217">
      <calculatedColumnFormula>$G$3</calculatedColumnFormula>
    </tableColumn>
  </tableColumns>
  <tableStyleInfo showFirstColumn="0" showLastColumn="0" showRowStripes="1" showColumnStripes="0"/>
</table>
</file>

<file path=xl/tables/table2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7517056C-8662-421B-A460-D1E6AAF6D565}" name="February26_2021" displayName="February26_2021" ref="B5:H21" totalsRowCount="1" headerRowDxfId="8216" headerRowBorderDxfId="8215" tableBorderDxfId="8214" totalsRowBorderDxfId="8213">
  <autoFilter ref="B5:H20" xr:uid="{00000000-0009-0000-0100-00002C000000}"/>
  <sortState xmlns:xlrd2="http://schemas.microsoft.com/office/spreadsheetml/2017/richdata2" ref="B6:H18">
    <sortCondition ref="B6"/>
  </sortState>
  <tableColumns count="7">
    <tableColumn id="1" xr3:uid="{8762BB89-5169-4950-A05D-639B7DAD1901}" name="BDC LIST" totalsRowLabel="Total" dataDxfId="8212" totalsRowDxfId="8211"/>
    <tableColumn id="2" xr3:uid="{17F05D69-D7AA-47A1-8F2E-FCE16E8EDE65}" name="KSI_AGO" totalsRowFunction="custom" dataDxfId="8210" totalsRowDxfId="8209">
      <totalsRowFormula>SUM(February26_2021[KSI_AGO])</totalsRowFormula>
    </tableColumn>
    <tableColumn id="3" xr3:uid="{82BFC982-71D8-40B0-8CB1-1D55BBA5573D}" name="KSI_PMS" totalsRowFunction="sum" dataDxfId="8208" totalsRowDxfId="8207"/>
    <tableColumn id="4" xr3:uid="{21465561-EBFD-4217-B3D9-F5958EB8C74C}" name="BUIPE_AGO" totalsRowFunction="custom" dataDxfId="8206" totalsRowDxfId="8205">
      <totalsRowFormula>SUM(February26_2021[BUIPE_AGO])</totalsRowFormula>
    </tableColumn>
    <tableColumn id="5" xr3:uid="{1011B64B-A159-4CFC-8099-658BD3E9BE29}" name="BUIPE_PMS" totalsRowFunction="custom" dataDxfId="8204" totalsRowDxfId="8203" dataCellStyle="Comma">
      <totalsRowFormula>SUM(February26_2021[BUIPE_PMS])</totalsRowFormula>
    </tableColumn>
    <tableColumn id="6" xr3:uid="{78F419C3-5AA8-4A5E-8CAA-265B41E36094}" name="AKOSOMBO_AGO" totalsRowFunction="custom" dataDxfId="8202" totalsRowDxfId="8201">
      <totalsRowFormula>SUM(February26_2021[AKOSOMBO_AGO])</totalsRowFormula>
    </tableColumn>
    <tableColumn id="7" xr3:uid="{AE72CE20-55A8-47DC-8426-1F3E3B561455}" name="DATE" dataDxfId="8200" totalsRowDxfId="8199">
      <calculatedColumnFormula>$G$3</calculatedColumnFormula>
    </tableColumn>
  </tableColumns>
  <tableStyleInfo showFirstColumn="0" showLastColumn="0" showRowStripes="1" showColumnStripes="0"/>
</table>
</file>

<file path=xl/tables/table3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83759945-92E7-4671-8EBD-986415CE49AF}" name="February27_2021" displayName="February27_2021" ref="B5:H21" totalsRowCount="1" headerRowDxfId="8198" headerRowBorderDxfId="8197" tableBorderDxfId="8196" totalsRowBorderDxfId="8195">
  <autoFilter ref="B5:H20" xr:uid="{00000000-0009-0000-0100-00002D000000}"/>
  <sortState xmlns:xlrd2="http://schemas.microsoft.com/office/spreadsheetml/2017/richdata2" ref="B6:H18">
    <sortCondition ref="B6"/>
  </sortState>
  <tableColumns count="7">
    <tableColumn id="1" xr3:uid="{EF49AB79-997B-4C20-B377-2AED98BB9268}" name="BDC LIST" totalsRowLabel="Total" dataDxfId="8194" totalsRowDxfId="8193"/>
    <tableColumn id="2" xr3:uid="{A9FBF2F7-40E3-4EA9-BA09-C05BB59F64D6}" name="KSI_AGO" totalsRowFunction="custom" dataDxfId="8192" totalsRowDxfId="8191">
      <totalsRowFormula>SUM(February27_2021[KSI_AGO])</totalsRowFormula>
    </tableColumn>
    <tableColumn id="3" xr3:uid="{4FB59BDD-41B4-4FF0-8B55-B14A591729EB}" name="KSI_PMS" totalsRowFunction="sum" dataDxfId="8190" totalsRowDxfId="8189"/>
    <tableColumn id="4" xr3:uid="{8492D54E-5B2D-4C3C-A78D-393211D7C653}" name="BUIPE_AGO" totalsRowFunction="custom" dataDxfId="8188" totalsRowDxfId="8187">
      <totalsRowFormula>SUM(February27_2021[BUIPE_AGO])</totalsRowFormula>
    </tableColumn>
    <tableColumn id="5" xr3:uid="{5DDDD481-B088-439E-8963-96C71FFB84F4}" name="BUIPE_PMS" totalsRowFunction="custom" dataDxfId="8186" totalsRowDxfId="8185" dataCellStyle="Comma">
      <totalsRowFormula>SUM(February27_2021[BUIPE_PMS])</totalsRowFormula>
    </tableColumn>
    <tableColumn id="6" xr3:uid="{423D9DF4-DF44-4B11-8AA2-618D6E5B27DB}" name="AKOSOMBO_AGO" totalsRowFunction="custom" dataDxfId="8184" totalsRowDxfId="8183">
      <totalsRowFormula>SUM(February27_2021[AKOSOMBO_AGO])</totalsRowFormula>
    </tableColumn>
    <tableColumn id="7" xr3:uid="{E505F8EA-D72D-4B1C-B7A7-C41910EE7A7E}" name="DATE" dataDxfId="8182" totalsRowDxfId="8181">
      <calculatedColumnFormula>$G$3</calculatedColumnFormula>
    </tableColumn>
  </tableColumns>
  <tableStyleInfo showFirstColumn="0" showLastColumn="0" showRowStripes="1" showColumnStripes="0"/>
</table>
</file>

<file path=xl/tables/table3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7ECEB2B4-20A3-47B0-BCC9-11821E087938}" name="March01_2021" displayName="March01_2021" ref="B5:H21" totalsRowCount="1" headerRowDxfId="8180" headerRowBorderDxfId="8179" tableBorderDxfId="8178" totalsRowBorderDxfId="8177">
  <autoFilter ref="B5:H20" xr:uid="{00000000-0009-0000-0100-00002F000000}"/>
  <sortState xmlns:xlrd2="http://schemas.microsoft.com/office/spreadsheetml/2017/richdata2" ref="B6:H18">
    <sortCondition ref="B6"/>
  </sortState>
  <tableColumns count="7">
    <tableColumn id="1" xr3:uid="{FE774112-C5E4-47D0-9480-28E4270BED24}" name="BDC LIST" totalsRowLabel="Total" dataDxfId="8176" totalsRowDxfId="8175"/>
    <tableColumn id="2" xr3:uid="{31AD3A2D-2342-49AC-A90B-789F71BCE660}" name="KSI_AGO" totalsRowFunction="custom" dataDxfId="8174" totalsRowDxfId="8173">
      <totalsRowFormula>SUM(March01_2021[KSI_AGO])</totalsRowFormula>
    </tableColumn>
    <tableColumn id="3" xr3:uid="{7E33D9A8-33EA-430D-AD82-DF3F876D0577}" name="KSI_PMS" totalsRowFunction="sum" dataDxfId="8172" totalsRowDxfId="8171"/>
    <tableColumn id="4" xr3:uid="{4497A01E-AFD5-4EDC-B80A-A1C1DACBE2E5}" name="BUIPE_AGO" totalsRowFunction="custom" dataDxfId="8170" totalsRowDxfId="8169">
      <totalsRowFormula>SUM(March01_2021[BUIPE_AGO])</totalsRowFormula>
    </tableColumn>
    <tableColumn id="5" xr3:uid="{46ADB221-A748-4899-8747-959AD5AB26C6}" name="BUIPE_PMS" totalsRowFunction="custom" dataDxfId="8168" totalsRowDxfId="8167" dataCellStyle="Comma">
      <totalsRowFormula>SUM(March01_2021[BUIPE_PMS])</totalsRowFormula>
    </tableColumn>
    <tableColumn id="6" xr3:uid="{3EBDFC1F-5A3F-4BAB-A8AC-78AD3AE2FCBE}" name="AKOSOMBO_AGO" totalsRowFunction="custom" dataDxfId="8166" totalsRowDxfId="8165">
      <totalsRowFormula>SUM(March01_2021[AKOSOMBO_AGO])</totalsRowFormula>
    </tableColumn>
    <tableColumn id="7" xr3:uid="{1C4678EE-A676-4169-92EA-E7D802E48282}" name="DATE" dataDxfId="8164" totalsRowDxfId="8163">
      <calculatedColumnFormula>$G$3</calculatedColumnFormula>
    </tableColumn>
  </tableColumns>
  <tableStyleInfo showFirstColumn="0" showLastColumn="0" showRowStripes="1" showColumnStripes="0"/>
</table>
</file>

<file path=xl/tables/table3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888FB00B-7300-46D6-BD69-647817CE10AA}" name="March02_2021" displayName="March02_2021" ref="B5:H21" totalsRowCount="1" headerRowDxfId="8162" headerRowBorderDxfId="8161" tableBorderDxfId="8160" totalsRowBorderDxfId="8159">
  <autoFilter ref="B5:H20" xr:uid="{00000000-0009-0000-0100-000028000000}"/>
  <sortState xmlns:xlrd2="http://schemas.microsoft.com/office/spreadsheetml/2017/richdata2" ref="B6:H18">
    <sortCondition ref="B6"/>
  </sortState>
  <tableColumns count="7">
    <tableColumn id="1" xr3:uid="{0B9D7E30-DD8A-44B5-864E-0F10E9DE6A43}" name="BDC LIST" totalsRowLabel="Total" dataDxfId="8158" totalsRowDxfId="8157"/>
    <tableColumn id="2" xr3:uid="{50E313D7-70C9-40ED-B7A0-EA05A82BD72F}" name="KSI_AGO" totalsRowFunction="custom" dataDxfId="8156" totalsRowDxfId="8155">
      <totalsRowFormula>SUM(March02_2021[KSI_AGO])</totalsRowFormula>
    </tableColumn>
    <tableColumn id="3" xr3:uid="{4519FF33-FBAD-4CE9-AA9B-55ED2716098A}" name="KSI_PMS" totalsRowFunction="sum" dataDxfId="8154" totalsRowDxfId="8153"/>
    <tableColumn id="4" xr3:uid="{8987ACC0-159D-44CA-8889-6BE87744ADB6}" name="BUIPE_AGO" totalsRowFunction="custom" dataDxfId="8152" totalsRowDxfId="8151">
      <totalsRowFormula>SUM(March02_2021[BUIPE_AGO])</totalsRowFormula>
    </tableColumn>
    <tableColumn id="5" xr3:uid="{059BA24E-D766-4D0E-AE9E-FA949FCB7E50}" name="BUIPE_PMS" totalsRowFunction="custom" dataDxfId="8150" totalsRowDxfId="8149" dataCellStyle="Comma">
      <totalsRowFormula>SUM(March02_2021[BUIPE_PMS])</totalsRowFormula>
    </tableColumn>
    <tableColumn id="6" xr3:uid="{2A25D516-EA8F-44C7-82F3-673BB1560889}" name="AKOSOMBO_AGO" totalsRowFunction="custom" dataDxfId="8148" totalsRowDxfId="8147">
      <totalsRowFormula>SUM(March02_2021[AKOSOMBO_AGO])</totalsRowFormula>
    </tableColumn>
    <tableColumn id="7" xr3:uid="{74598F8A-F121-4409-858E-F6874CAB26F6}" name="DATE" dataDxfId="8146" totalsRowDxfId="8145">
      <calculatedColumnFormula>$G$3</calculatedColumnFormula>
    </tableColumn>
  </tableColumns>
  <tableStyleInfo showFirstColumn="0" showLastColumn="0" showRowStripes="1" showColumnStripes="0"/>
</table>
</file>

<file path=xl/tables/table3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6C28895C-FCC7-422E-AD09-833876BFD775}" name="March03_2021" displayName="March03_2021" ref="B5:H21" totalsRowCount="1" headerRowDxfId="8144" headerRowBorderDxfId="8143" tableBorderDxfId="8142" totalsRowBorderDxfId="8141">
  <autoFilter ref="B5:H20" xr:uid="{00000000-0009-0000-0100-000030000000}"/>
  <sortState xmlns:xlrd2="http://schemas.microsoft.com/office/spreadsheetml/2017/richdata2" ref="B6:H18">
    <sortCondition ref="B6"/>
  </sortState>
  <tableColumns count="7">
    <tableColumn id="1" xr3:uid="{387B0136-D715-420A-8924-3C5FFE0D7D40}" name="BDC LIST" totalsRowLabel="Total" dataDxfId="8140" totalsRowDxfId="8139"/>
    <tableColumn id="2" xr3:uid="{0B50F70F-5E0F-4C14-97ED-46A4BCDEECF0}" name="KSI_AGO" totalsRowFunction="custom" dataDxfId="8138" totalsRowDxfId="8137">
      <totalsRowFormula>SUM(March03_2021[KSI_AGO])</totalsRowFormula>
    </tableColumn>
    <tableColumn id="3" xr3:uid="{C594EE93-65A7-4841-B165-331E178A0AA0}" name="KSI_PMS" totalsRowFunction="sum" dataDxfId="8136" totalsRowDxfId="8135"/>
    <tableColumn id="4" xr3:uid="{983C13A1-F1EF-402B-A947-E04698AACD5A}" name="BUIPE_AGO" totalsRowFunction="custom" dataDxfId="8134" totalsRowDxfId="8133">
      <totalsRowFormula>SUM(March03_2021[BUIPE_AGO])</totalsRowFormula>
    </tableColumn>
    <tableColumn id="5" xr3:uid="{D324B08B-231B-4D8F-8F2F-DCA2D37409CA}" name="BUIPE_PMS" totalsRowFunction="custom" dataDxfId="8132" totalsRowDxfId="8131" dataCellStyle="Comma">
      <totalsRowFormula>SUM(March03_2021[BUIPE_PMS])</totalsRowFormula>
    </tableColumn>
    <tableColumn id="6" xr3:uid="{51E3728F-0711-49A1-86F1-70EAEACAB2B8}" name="AKOSOMBO_AGO" totalsRowFunction="custom" dataDxfId="8130" totalsRowDxfId="8129">
      <totalsRowFormula>SUM(March03_2021[AKOSOMBO_AGO])</totalsRowFormula>
    </tableColumn>
    <tableColumn id="7" xr3:uid="{366445F1-827B-4FBA-8282-D164D400016A}" name="DATE" dataDxfId="8128" totalsRowDxfId="8127">
      <calculatedColumnFormula>$G$3</calculatedColumnFormula>
    </tableColumn>
  </tableColumns>
  <tableStyleInfo showFirstColumn="0" showLastColumn="0" showRowStripes="1" showColumnStripes="0"/>
</table>
</file>

<file path=xl/tables/table3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23617838-59DD-4AD2-AF58-07AD3A147A20}" name="March04_2021" displayName="March04_2021" ref="B5:H21" totalsRowCount="1" headerRowDxfId="8126" headerRowBorderDxfId="8125" tableBorderDxfId="8124" totalsRowBorderDxfId="8123">
  <autoFilter ref="B5:H20" xr:uid="{49ED0A1A-67B0-43D7-8DF2-8A5A88E25069}"/>
  <sortState xmlns:xlrd2="http://schemas.microsoft.com/office/spreadsheetml/2017/richdata2" ref="B6:H18">
    <sortCondition ref="B6"/>
  </sortState>
  <tableColumns count="7">
    <tableColumn id="1" xr3:uid="{3F7D07C0-7B62-4B67-AED8-FADF3D3EE043}" name="BDC LIST" totalsRowLabel="Total" dataDxfId="8122" totalsRowDxfId="8121"/>
    <tableColumn id="2" xr3:uid="{D55B9402-0C95-43CC-AAAB-04F2511CEE67}" name="KSI_AGO" totalsRowFunction="custom" dataDxfId="8120" totalsRowDxfId="8119">
      <totalsRowFormula>SUM(March04_2021[KSI_AGO])</totalsRowFormula>
    </tableColumn>
    <tableColumn id="3" xr3:uid="{E80B0F46-42B3-4972-8593-43D57CC57906}" name="KSI_PMS" totalsRowFunction="sum" dataDxfId="8118" totalsRowDxfId="8117"/>
    <tableColumn id="4" xr3:uid="{6D7E3C46-F8A8-4D62-81B7-29C8D3D7701B}" name="BUIPE_AGO" totalsRowFunction="custom" dataDxfId="8116" totalsRowDxfId="8115">
      <totalsRowFormula>SUM(March04_2021[BUIPE_AGO])</totalsRowFormula>
    </tableColumn>
    <tableColumn id="5" xr3:uid="{FDF03A8F-9D56-4388-AA1E-F28A56241BC4}" name="BUIPE_PMS" totalsRowFunction="custom" dataDxfId="8114" totalsRowDxfId="8113" dataCellStyle="Comma">
      <totalsRowFormula>SUM(March04_2021[BUIPE_PMS])</totalsRowFormula>
    </tableColumn>
    <tableColumn id="6" xr3:uid="{042D0780-9FC7-4FD2-9FC9-476577FD6CD8}" name="AKOSOMBO_AGO" totalsRowFunction="custom" dataDxfId="8112" totalsRowDxfId="8111">
      <totalsRowFormula>SUM(March04_2021[AKOSOMBO_AGO])</totalsRowFormula>
    </tableColumn>
    <tableColumn id="7" xr3:uid="{56475D93-F08A-4675-8CC1-5733E1801B47}" name="DATE" dataDxfId="8110" totalsRowDxfId="8109">
      <calculatedColumnFormula>$G$3</calculatedColumnFormula>
    </tableColumn>
  </tableColumns>
  <tableStyleInfo showFirstColumn="0" showLastColumn="0" showRowStripes="1" showColumnStripes="0"/>
</table>
</file>

<file path=xl/tables/table3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B43C54B6-1518-45A0-82FC-575FBED1687A}" name="March05_2021" displayName="March05_2021" ref="B5:H21" totalsRowCount="1" headerRowDxfId="8108" headerRowBorderDxfId="8107" tableBorderDxfId="8106" totalsRowBorderDxfId="8105">
  <autoFilter ref="B5:H20" xr:uid="{2BAE804E-0AA8-4653-9FF2-1293F54747C6}"/>
  <sortState xmlns:xlrd2="http://schemas.microsoft.com/office/spreadsheetml/2017/richdata2" ref="B6:H18">
    <sortCondition ref="B6"/>
  </sortState>
  <tableColumns count="7">
    <tableColumn id="1" xr3:uid="{663F8393-82DA-4DEC-954C-004DF4DAEE1A}" name="BDC LIST" totalsRowLabel="Total" dataDxfId="8104" totalsRowDxfId="8103"/>
    <tableColumn id="2" xr3:uid="{4EA2CEA9-9621-4D1B-A6A0-4DEB00594CB2}" name="KSI_AGO" totalsRowFunction="custom" dataDxfId="8102" totalsRowDxfId="8101">
      <totalsRowFormula>SUM(March05_2021[KSI_AGO])</totalsRowFormula>
    </tableColumn>
    <tableColumn id="3" xr3:uid="{4B2C54EC-EBA9-4AFA-8B11-A3B1BBD06CE4}" name="KSI_PMS" totalsRowFunction="sum" dataDxfId="8100" totalsRowDxfId="8099"/>
    <tableColumn id="4" xr3:uid="{0C975CCA-9B43-4029-A556-FD4574D5168E}" name="BUIPE_AGO" totalsRowFunction="custom" dataDxfId="8098" totalsRowDxfId="8097">
      <totalsRowFormula>SUM(March05_2021[BUIPE_AGO])</totalsRowFormula>
    </tableColumn>
    <tableColumn id="5" xr3:uid="{141CD1DA-2B8F-4512-9284-F6A6C7FFB316}" name="BUIPE_PMS" totalsRowFunction="custom" dataDxfId="8096" totalsRowDxfId="8095" dataCellStyle="Comma">
      <totalsRowFormula>SUM(March05_2021[BUIPE_PMS])</totalsRowFormula>
    </tableColumn>
    <tableColumn id="6" xr3:uid="{80D8FD91-E36E-47F1-A837-C2365F13D2C7}" name="AKOSOMBO_AGO" totalsRowFunction="custom" dataDxfId="8094" totalsRowDxfId="8093">
      <totalsRowFormula>SUM(March05_2021[AKOSOMBO_AGO])</totalsRowFormula>
    </tableColumn>
    <tableColumn id="7" xr3:uid="{A88A2C1E-261C-4C9B-A4C8-4252FD3BA700}" name="DATE" dataDxfId="8092" totalsRowDxfId="8091">
      <calculatedColumnFormula>$G$3</calculatedColumnFormula>
    </tableColumn>
  </tableColumns>
  <tableStyleInfo showFirstColumn="0" showLastColumn="0" showRowStripes="1" showColumnStripes="0"/>
</table>
</file>

<file path=xl/tables/table3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5" xr:uid="{423EB156-2B45-489C-BF7D-461576376388}" name="March10_2021" displayName="March10_2021" ref="B5:H21" totalsRowCount="1" headerRowDxfId="8090" headerRowBorderDxfId="8089" tableBorderDxfId="8088" totalsRowBorderDxfId="8087">
  <autoFilter ref="B5:H20" xr:uid="{E3172EBA-07A2-4C7F-A2EB-0616DF7EBD57}"/>
  <sortState xmlns:xlrd2="http://schemas.microsoft.com/office/spreadsheetml/2017/richdata2" ref="B6:H18">
    <sortCondition ref="B6"/>
  </sortState>
  <tableColumns count="7">
    <tableColumn id="1" xr3:uid="{2F45FB45-78D2-4F72-BFE0-596B86769ED4}" name="BDC LIST" totalsRowLabel="Total" dataDxfId="8086" totalsRowDxfId="8085"/>
    <tableColumn id="2" xr3:uid="{AC13CFDA-69A0-469A-ABA5-8A2DE002906F}" name="KSI_AGO" totalsRowFunction="custom" dataDxfId="8084" totalsRowDxfId="8083">
      <totalsRowFormula>SUM(March10_2021[KSI_AGO])</totalsRowFormula>
    </tableColumn>
    <tableColumn id="3" xr3:uid="{E8C75633-20EF-4061-A61E-1CB125D9A9E3}" name="KSI_PMS" totalsRowFunction="sum" dataDxfId="8082" totalsRowDxfId="8081"/>
    <tableColumn id="4" xr3:uid="{47E6F1A0-2861-4086-A4A9-9C1D147C4F4F}" name="BUIPE_AGO" totalsRowFunction="custom" dataDxfId="8080" totalsRowDxfId="8079">
      <totalsRowFormula>SUM(March10_2021[BUIPE_AGO])</totalsRowFormula>
    </tableColumn>
    <tableColumn id="5" xr3:uid="{C7CF99C5-4597-4ECD-8F33-A92713137D6D}" name="BUIPE_PMS" totalsRowFunction="custom" dataDxfId="8078" totalsRowDxfId="8077" dataCellStyle="Comma">
      <totalsRowFormula>SUM(March10_2021[BUIPE_PMS])</totalsRowFormula>
    </tableColumn>
    <tableColumn id="6" xr3:uid="{575DF95F-DCCD-4415-A48A-AEF1F3DCF201}" name="AKOSOMBO_AGO" totalsRowFunction="custom" dataDxfId="8076" totalsRowDxfId="8075">
      <totalsRowFormula>SUM(March10_2021[AKOSOMBO_AGO])</totalsRowFormula>
    </tableColumn>
    <tableColumn id="7" xr3:uid="{AC629570-B1A2-4000-ACC0-1A3F5A80FAF1}" name="DATE" dataDxfId="8074" totalsRowDxfId="8073">
      <calculatedColumnFormula>$G$3</calculatedColumnFormula>
    </tableColumn>
  </tableColumns>
  <tableStyleInfo showFirstColumn="0" showLastColumn="0" showRowStripes="1" showColumnStripes="0"/>
</table>
</file>

<file path=xl/tables/table3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ED44C624-C70F-499D-8569-C50245716B13}" name="March11_2021" displayName="March11_2021" ref="B5:H21" totalsRowCount="1" headerRowDxfId="8072" headerRowBorderDxfId="8071" tableBorderDxfId="8070" totalsRowBorderDxfId="8069">
  <autoFilter ref="B5:H20" xr:uid="{F9B8FF28-D84D-45B2-BD57-A2EDB409842C}"/>
  <sortState xmlns:xlrd2="http://schemas.microsoft.com/office/spreadsheetml/2017/richdata2" ref="B6:H18">
    <sortCondition ref="B6"/>
  </sortState>
  <tableColumns count="7">
    <tableColumn id="1" xr3:uid="{E5B704DB-B375-4B03-B7DF-C5A2A999B8A2}" name="BDC LIST" totalsRowLabel="Total" dataDxfId="8068" totalsRowDxfId="8067"/>
    <tableColumn id="2" xr3:uid="{0909D16E-187D-4FC5-8708-5C5B84B072A7}" name="KSI_AGO" totalsRowFunction="custom" dataDxfId="8066" totalsRowDxfId="8065">
      <totalsRowFormula>SUM(March11_2021[KSI_AGO])</totalsRowFormula>
    </tableColumn>
    <tableColumn id="3" xr3:uid="{E21E46DB-9883-4BF0-B639-D3F94950E13C}" name="KSI_PMS" totalsRowFunction="sum" dataDxfId="8064" totalsRowDxfId="8063"/>
    <tableColumn id="4" xr3:uid="{41EF5852-80DE-4F43-9F44-F1FB77E3E091}" name="BUIPE_AGO" totalsRowFunction="custom" dataDxfId="8062" totalsRowDxfId="8061">
      <totalsRowFormula>SUM(March11_2021[BUIPE_AGO])</totalsRowFormula>
    </tableColumn>
    <tableColumn id="5" xr3:uid="{FB6038B7-C098-4FAA-9BD9-305AE26EAD1A}" name="BUIPE_PMS" totalsRowFunction="custom" dataDxfId="8060" totalsRowDxfId="8059" dataCellStyle="Comma">
      <totalsRowFormula>SUM(March11_2021[BUIPE_PMS])</totalsRowFormula>
    </tableColumn>
    <tableColumn id="6" xr3:uid="{E6813732-BAB7-4645-93CB-163A0547DE8D}" name="AKOSOMBO_AGO" totalsRowFunction="custom" dataDxfId="8058" totalsRowDxfId="8057">
      <totalsRowFormula>SUM(March11_2021[AKOSOMBO_AGO])</totalsRowFormula>
    </tableColumn>
    <tableColumn id="7" xr3:uid="{EBF7422F-8908-47F4-A45C-1F6D212A32C2}" name="DATE" dataDxfId="8056" totalsRowDxfId="8055">
      <calculatedColumnFormula>$G$3</calculatedColumnFormula>
    </tableColumn>
  </tableColumns>
  <tableStyleInfo showFirstColumn="0" showLastColumn="0" showRowStripes="1" showColumnStripes="0"/>
</table>
</file>

<file path=xl/tables/table3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0" xr:uid="{2F7C0C30-0AC7-457E-87B5-3F157195A616}" name="March12_2021" displayName="March12_2021" ref="B5:H21" totalsRowCount="1" headerRowDxfId="8054" headerRowBorderDxfId="8053" tableBorderDxfId="8052" totalsRowBorderDxfId="8051">
  <autoFilter ref="B5:H20" xr:uid="{E19BD97E-645B-47F2-96D0-9745AD63AD45}"/>
  <sortState xmlns:xlrd2="http://schemas.microsoft.com/office/spreadsheetml/2017/richdata2" ref="B6:H18">
    <sortCondition ref="B6"/>
  </sortState>
  <tableColumns count="7">
    <tableColumn id="1" xr3:uid="{5D419A1C-9774-4D2D-844B-A9A746150273}" name="BDC LIST" totalsRowLabel="Total" dataDxfId="8050" totalsRowDxfId="8049"/>
    <tableColumn id="2" xr3:uid="{C58AC37C-DA0A-40C3-81D3-3C699A396219}" name="KSI_AGO" totalsRowFunction="custom" dataDxfId="8048" totalsRowDxfId="8047">
      <totalsRowFormula>SUM(March12_2021[KSI_AGO])</totalsRowFormula>
    </tableColumn>
    <tableColumn id="3" xr3:uid="{58EC3359-1BD1-4E04-8460-F5D706AC3AB1}" name="KSI_PMS" totalsRowFunction="sum" dataDxfId="8046" totalsRowDxfId="8045"/>
    <tableColumn id="4" xr3:uid="{709E8CFA-5D99-4CC4-BBCC-7562DBAF9106}" name="BUIPE_AGO" totalsRowFunction="custom" dataDxfId="8044" totalsRowDxfId="8043">
      <totalsRowFormula>SUM(March12_2021[BUIPE_AGO])</totalsRowFormula>
    </tableColumn>
    <tableColumn id="5" xr3:uid="{74FBD6D6-52D5-47A2-B3A1-075BB3091389}" name="BUIPE_PMS" totalsRowFunction="custom" dataDxfId="8042" totalsRowDxfId="8041" dataCellStyle="Comma">
      <totalsRowFormula>SUM(March12_2021[BUIPE_PMS])</totalsRowFormula>
    </tableColumn>
    <tableColumn id="6" xr3:uid="{9FB3B855-A0FE-4F3C-BC01-DCCD15D71E8B}" name="AKOSOMBO_AGO" totalsRowFunction="custom" dataDxfId="8040" totalsRowDxfId="8039">
      <totalsRowFormula>SUM(March12_2021[AKOSOMBO_AGO])</totalsRowFormula>
    </tableColumn>
    <tableColumn id="7" xr3:uid="{52BDCB31-048A-49C2-BD04-515162F82B48}" name="DATE" dataDxfId="8038" totalsRowDxfId="8037">
      <calculatedColumnFormula>$G$3</calculatedColumnFormula>
    </tableColumn>
  </tableColumns>
  <tableStyleInfo showFirstColumn="0" showLastColumn="0" showRowStripes="1" showColumnStripes="0"/>
</table>
</file>

<file path=xl/tables/table3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1" xr:uid="{52FDF657-C540-41A0-B275-743B992BA31B}" name="March15_2021" displayName="March15_2021" ref="B5:H21" totalsRowCount="1" headerRowDxfId="8036" headerRowBorderDxfId="8035" tableBorderDxfId="8034" totalsRowBorderDxfId="8033">
  <autoFilter ref="B5:H20" xr:uid="{2B8E291C-6352-455E-917B-976792035466}"/>
  <sortState xmlns:xlrd2="http://schemas.microsoft.com/office/spreadsheetml/2017/richdata2" ref="B6:H18">
    <sortCondition ref="B6"/>
  </sortState>
  <tableColumns count="7">
    <tableColumn id="1" xr3:uid="{E0ACEF2B-F415-4657-8491-ED7108E54F22}" name="BDC LIST" totalsRowLabel="Total" dataDxfId="8032" totalsRowDxfId="8031"/>
    <tableColumn id="2" xr3:uid="{77BF5742-346B-4BE4-B79F-79164E284AAA}" name="KSI_AGO" totalsRowFunction="custom" dataDxfId="8030" totalsRowDxfId="8029">
      <totalsRowFormula>SUM(March15_2021[KSI_AGO])</totalsRowFormula>
    </tableColumn>
    <tableColumn id="3" xr3:uid="{1EB4DBAF-43F1-4E7F-86BB-CC1E7555B031}" name="KSI_PMS" totalsRowFunction="sum" dataDxfId="8028" totalsRowDxfId="8027"/>
    <tableColumn id="4" xr3:uid="{AAC3FAC4-13AD-4A83-8744-B9E9E6E67159}" name="BUIPE_AGO" totalsRowFunction="custom" dataDxfId="8026" totalsRowDxfId="8025">
      <totalsRowFormula>SUM(March15_2021[BUIPE_AGO])</totalsRowFormula>
    </tableColumn>
    <tableColumn id="5" xr3:uid="{4207B3EC-B2C8-49AC-86A4-C68355BA5EC0}" name="BUIPE_PMS" totalsRowFunction="custom" dataDxfId="8024" totalsRowDxfId="8023" dataCellStyle="Comma">
      <totalsRowFormula>SUM(March15_2021[BUIPE_PMS])</totalsRowFormula>
    </tableColumn>
    <tableColumn id="6" xr3:uid="{A55D4D30-40D7-499E-8ABC-B33F8D35EB85}" name="AKOSOMBO_AGO" totalsRowFunction="custom" dataDxfId="8022" totalsRowDxfId="8021">
      <totalsRowFormula>SUM(March15_2021[AKOSOMBO_AGO])</totalsRowFormula>
    </tableColumn>
    <tableColumn id="7" xr3:uid="{AECCE848-D795-4C11-948D-F42E13F0F78C}" name="DATE" dataDxfId="8020" totalsRowDxfId="8019">
      <calculatedColumnFormula>$G$3</calculatedColumnFormula>
    </tableColumn>
  </tableColumns>
  <tableStyleInfo showFirstColumn="0" showLastColumn="0" showRowStripes="1" showColumnStripes="0"/>
</table>
</file>

<file path=xl/tables/table3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2" xr:uid="{1A062B86-8D2E-4C33-AEE1-9E595FC87558}" name="March16_2021" displayName="March16_2021" ref="B5:H21" totalsRowCount="1" headerRowDxfId="8018" headerRowBorderDxfId="8017" tableBorderDxfId="8016" totalsRowBorderDxfId="8015">
  <autoFilter ref="B5:H20" xr:uid="{604BF22D-C19E-4E6E-9883-4D04CE27C822}"/>
  <sortState xmlns:xlrd2="http://schemas.microsoft.com/office/spreadsheetml/2017/richdata2" ref="B6:H18">
    <sortCondition ref="B6"/>
  </sortState>
  <tableColumns count="7">
    <tableColumn id="1" xr3:uid="{73B854AC-918E-4962-8025-599C0700A2E8}" name="BDC LIST" totalsRowLabel="Total" dataDxfId="8014" totalsRowDxfId="8013"/>
    <tableColumn id="2" xr3:uid="{C2767849-C948-4936-8463-CA9D5701D0EE}" name="KSI_AGO" totalsRowFunction="custom" dataDxfId="8012" totalsRowDxfId="8011">
      <totalsRowFormula>SUM(March16_2021[KSI_AGO])</totalsRowFormula>
    </tableColumn>
    <tableColumn id="3" xr3:uid="{A4718C38-2B9F-4546-96CE-0C5885CC7924}" name="KSI_PMS" totalsRowFunction="sum" dataDxfId="8010" totalsRowDxfId="8009"/>
    <tableColumn id="4" xr3:uid="{A8ED9CF4-FAF7-4E14-BFC4-E977A376F1DC}" name="BUIPE_AGO" totalsRowFunction="custom" dataDxfId="8008" totalsRowDxfId="8007">
      <totalsRowFormula>SUM(March16_2021[BUIPE_AGO])</totalsRowFormula>
    </tableColumn>
    <tableColumn id="5" xr3:uid="{8C27912D-8D2C-4272-AABF-B377C93FF7B1}" name="BUIPE_PMS" totalsRowFunction="custom" dataDxfId="8006" totalsRowDxfId="8005" dataCellStyle="Comma">
      <totalsRowFormula>SUM(March16_2021[BUIPE_PMS])</totalsRowFormula>
    </tableColumn>
    <tableColumn id="6" xr3:uid="{29F73B77-8F54-4B99-AFD5-2AF2F465CBE2}" name="AKOSOMBO_AGO" totalsRowFunction="custom" dataDxfId="8004" totalsRowDxfId="8003">
      <totalsRowFormula>SUM(March16_2021[AKOSOMBO_AGO])</totalsRowFormula>
    </tableColumn>
    <tableColumn id="7" xr3:uid="{0DED5891-5DBE-4A6F-B7DA-D2461A291BED}" name="DATE" dataDxfId="8002" totalsRowDxfId="8001">
      <calculatedColumnFormula>$G$3</calculatedColumnFormula>
    </tableColumn>
  </tableColumns>
  <tableStyleInfo showFirstColumn="0" showLastColumn="0" showRowStripes="1" showColumnStripes="0"/>
</table>
</file>

<file path=xl/tables/table3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3" xr:uid="{991BB096-ECF9-4704-AE13-B565B7064C48}" name="March17_2021" displayName="March17_2021" ref="B5:H21" totalsRowCount="1" headerRowDxfId="8000" headerRowBorderDxfId="7999" tableBorderDxfId="7998" totalsRowBorderDxfId="7997">
  <autoFilter ref="B5:H20" xr:uid="{CCC2F2A1-DBB5-4812-A34B-856A64423668}"/>
  <sortState xmlns:xlrd2="http://schemas.microsoft.com/office/spreadsheetml/2017/richdata2" ref="B6:H18">
    <sortCondition ref="B6"/>
  </sortState>
  <tableColumns count="7">
    <tableColumn id="1" xr3:uid="{A3E41378-F7E9-483B-B184-5DE066847102}" name="BDC LIST" totalsRowLabel="Total" dataDxfId="7996" totalsRowDxfId="7995"/>
    <tableColumn id="2" xr3:uid="{983BED95-56F7-4B79-A97A-EAAA3443D91C}" name="KSI_AGO" totalsRowFunction="custom" dataDxfId="7994" totalsRowDxfId="7993">
      <totalsRowFormula>SUM(March17_2021[KSI_AGO])</totalsRowFormula>
    </tableColumn>
    <tableColumn id="3" xr3:uid="{48BFDFB1-FE02-4C29-99C2-6119CC04CCF5}" name="KSI_PMS" totalsRowFunction="sum" dataDxfId="7992" totalsRowDxfId="7991"/>
    <tableColumn id="4" xr3:uid="{7825332E-7F9D-4F51-8B0B-12D8DCF44CE4}" name="BUIPE_AGO" totalsRowFunction="custom" dataDxfId="7990" totalsRowDxfId="7989">
      <totalsRowFormula>SUM(March17_2021[BUIPE_AGO])</totalsRowFormula>
    </tableColumn>
    <tableColumn id="5" xr3:uid="{A8CEBA14-1AFE-4188-9E88-64D1C921F7DB}" name="BUIPE_PMS" totalsRowFunction="custom" dataDxfId="7988" totalsRowDxfId="7987" dataCellStyle="Comma">
      <totalsRowFormula>SUM(March17_2021[BUIPE_PMS])</totalsRowFormula>
    </tableColumn>
    <tableColumn id="6" xr3:uid="{15648F8B-A3BB-49FB-B565-A4B1728552F5}" name="AKOSOMBO_AGO" totalsRowFunction="custom" dataDxfId="7986" totalsRowDxfId="7985">
      <totalsRowFormula>SUM(March17_2021[AKOSOMBO_AGO])</totalsRowFormula>
    </tableColumn>
    <tableColumn id="7" xr3:uid="{200F6D15-B5C1-453D-8A18-CC013784F219}" name="DATE" dataDxfId="7984" totalsRowDxfId="7983">
      <calculatedColumnFormula>$G$3</calculatedColumnFormula>
    </tableColumn>
  </tableColumns>
  <tableStyleInfo showFirstColumn="0" showLastColumn="0" showRowStripes="1" showColumnStripes="0"/>
</table>
</file>

<file path=xl/tables/table3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4" xr:uid="{CC71825D-030F-4EDA-AD25-99A193975A71}" name="March18_2021" displayName="March18_2021" ref="B5:H21" totalsRowCount="1" headerRowDxfId="7982" headerRowBorderDxfId="7981" tableBorderDxfId="7980" totalsRowBorderDxfId="7979">
  <autoFilter ref="B5:H20" xr:uid="{60795185-4F60-455E-A0D3-EB5766BB5F34}"/>
  <sortState xmlns:xlrd2="http://schemas.microsoft.com/office/spreadsheetml/2017/richdata2" ref="B6:H18">
    <sortCondition ref="B6"/>
  </sortState>
  <tableColumns count="7">
    <tableColumn id="1" xr3:uid="{FEBB48FD-6161-46A6-8966-F9E6A606ED66}" name="BDC LIST" totalsRowLabel="Total" dataDxfId="7978" totalsRowDxfId="7977"/>
    <tableColumn id="2" xr3:uid="{3E6C3F5C-F14F-469E-815D-AD6DEF1E2CAA}" name="KSI_AGO" totalsRowFunction="custom" dataDxfId="7976" totalsRowDxfId="7975">
      <totalsRowFormula>SUM(March18_2021[KSI_AGO])</totalsRowFormula>
    </tableColumn>
    <tableColumn id="3" xr3:uid="{76C6F2FF-3B73-4476-A826-863B721BB586}" name="KSI_PMS" totalsRowFunction="sum" dataDxfId="7974" totalsRowDxfId="7973"/>
    <tableColumn id="4" xr3:uid="{54B6A49E-CA99-48A6-A280-C29A51B30445}" name="BUIPE_AGO" totalsRowFunction="custom" dataDxfId="7972" totalsRowDxfId="7971">
      <totalsRowFormula>SUM(March18_2021[BUIPE_AGO])</totalsRowFormula>
    </tableColumn>
    <tableColumn id="5" xr3:uid="{39788D30-5028-480A-B1B3-74B0D2D72C61}" name="BUIPE_PMS" totalsRowFunction="custom" dataDxfId="7970" totalsRowDxfId="7969" dataCellStyle="Comma">
      <totalsRowFormula>SUM(March18_2021[BUIPE_PMS])</totalsRowFormula>
    </tableColumn>
    <tableColumn id="6" xr3:uid="{02F8FD5F-3B8A-4D20-A1CF-7AE60ECB601D}" name="AKOSOMBO_AGO" totalsRowFunction="custom" dataDxfId="7968" totalsRowDxfId="7967">
      <totalsRowFormula>SUM(March18_2021[AKOSOMBO_AGO])</totalsRowFormula>
    </tableColumn>
    <tableColumn id="7" xr3:uid="{D98736D7-BCF0-484F-9B6A-B3776B8CE5A3}" name="DATE" dataDxfId="7966" totalsRowDxfId="7965">
      <calculatedColumnFormula>$G$3</calculatedColumnFormula>
    </tableColumn>
  </tableColumns>
  <tableStyleInfo showFirstColumn="0" showLastColumn="0" showRowStripes="1" showColumnStripes="0"/>
</table>
</file>

<file path=xl/tables/table3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5" xr:uid="{6E70703E-1A61-46E4-829D-ECB58208C62B}" name="March19_2021" displayName="March19_2021" ref="B5:H21" totalsRowCount="1" headerRowDxfId="7964" headerRowBorderDxfId="7963" tableBorderDxfId="7962" totalsRowBorderDxfId="7961">
  <autoFilter ref="B5:H20" xr:uid="{DD9EAAC6-E62B-45F8-83DC-29F29B720DA2}"/>
  <sortState xmlns:xlrd2="http://schemas.microsoft.com/office/spreadsheetml/2017/richdata2" ref="B6:H18">
    <sortCondition ref="B6"/>
  </sortState>
  <tableColumns count="7">
    <tableColumn id="1" xr3:uid="{16FDC181-7CF8-487A-91BC-28CEC4F986B5}" name="BDC LIST" totalsRowLabel="Total" dataDxfId="7960" totalsRowDxfId="7959"/>
    <tableColumn id="2" xr3:uid="{A4EBAD26-ED94-4FB4-8732-B94B31CE2A3D}" name="KSI_AGO" totalsRowFunction="custom" dataDxfId="7958" totalsRowDxfId="7957">
      <totalsRowFormula>SUM(March19_2021[KSI_AGO])</totalsRowFormula>
    </tableColumn>
    <tableColumn id="3" xr3:uid="{F2F50363-0B40-4ED2-B610-EFE0487FE6E0}" name="KSI_PMS" totalsRowFunction="sum" dataDxfId="7956" totalsRowDxfId="7955"/>
    <tableColumn id="4" xr3:uid="{5D67E61E-020C-4C6A-A69C-2AE7F2EECF23}" name="BUIPE_AGO" totalsRowFunction="custom" dataDxfId="7954" totalsRowDxfId="7953">
      <totalsRowFormula>SUM(March19_2021[BUIPE_AGO])</totalsRowFormula>
    </tableColumn>
    <tableColumn id="5" xr3:uid="{5D1D53A3-E05E-4FE8-A344-EBC901A54833}" name="BUIPE_PMS" totalsRowFunction="custom" dataDxfId="7952" totalsRowDxfId="7951" dataCellStyle="Comma">
      <totalsRowFormula>SUM(March19_2021[BUIPE_PMS])</totalsRowFormula>
    </tableColumn>
    <tableColumn id="6" xr3:uid="{8AF79ABA-5067-4155-8063-884D2A62D09F}" name="AKOSOMBO_AGO" totalsRowFunction="custom" dataDxfId="7950" totalsRowDxfId="7949">
      <totalsRowFormula>SUM(March19_2021[AKOSOMBO_AGO])</totalsRowFormula>
    </tableColumn>
    <tableColumn id="7" xr3:uid="{44FE4341-E9D3-49D4-B00A-529E66466E2F}" name="DATE" dataDxfId="7948" totalsRowDxfId="7947">
      <calculatedColumnFormula>$G$3</calculatedColumnFormula>
    </tableColumn>
  </tableColumns>
  <tableStyleInfo showFirstColumn="0" showLastColumn="0" showRowStripes="1" showColumnStripes="0"/>
</table>
</file>

<file path=xl/tables/table3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6" xr:uid="{96C70C62-AAB7-496C-B157-DCF6CC1DBB50}" name="March22_2021" displayName="March22_2021" ref="B5:H21" totalsRowCount="1" headerRowDxfId="7946" headerRowBorderDxfId="7945" tableBorderDxfId="7944" totalsRowBorderDxfId="7943">
  <autoFilter ref="B5:H20" xr:uid="{88B4EFF9-61D0-4DE2-AB80-0F1D75C4C3A9}"/>
  <sortState xmlns:xlrd2="http://schemas.microsoft.com/office/spreadsheetml/2017/richdata2" ref="B6:H18">
    <sortCondition ref="B6"/>
  </sortState>
  <tableColumns count="7">
    <tableColumn id="1" xr3:uid="{5BBB8AFC-88E2-4565-9B2D-E44BA7DF4A22}" name="BDC LIST" totalsRowLabel="Total" dataDxfId="7942" totalsRowDxfId="7941"/>
    <tableColumn id="2" xr3:uid="{BCF6E934-D34D-4525-BCDF-D13C0C7C4A30}" name="KSI_AGO" totalsRowFunction="custom" dataDxfId="7940" totalsRowDxfId="7939">
      <totalsRowFormula>SUM(March22_2021[KSI_AGO])</totalsRowFormula>
    </tableColumn>
    <tableColumn id="3" xr3:uid="{1FFE4820-21B9-4617-A6F6-ADD01F9AEC4D}" name="KSI_PMS" totalsRowFunction="sum" dataDxfId="7938" totalsRowDxfId="7937"/>
    <tableColumn id="4" xr3:uid="{3E92513C-75C5-4D87-AA57-D3A91D5557CE}" name="BUIPE_AGO" totalsRowFunction="custom" dataDxfId="7936" totalsRowDxfId="7935">
      <totalsRowFormula>SUM(March22_2021[BUIPE_AGO])</totalsRowFormula>
    </tableColumn>
    <tableColumn id="5" xr3:uid="{D558081F-BD52-4A20-9BD2-2E1163C48CC5}" name="BUIPE_PMS" totalsRowFunction="custom" dataDxfId="7934" totalsRowDxfId="7933" dataCellStyle="Comma">
      <totalsRowFormula>SUM(March22_2021[BUIPE_PMS])</totalsRowFormula>
    </tableColumn>
    <tableColumn id="6" xr3:uid="{54872DDC-6347-4444-9E18-C6F78FED5E90}" name="AKOSOMBO_AGO" totalsRowFunction="custom" dataDxfId="7932" totalsRowDxfId="7931">
      <totalsRowFormula>SUM(March22_2021[AKOSOMBO_AGO])</totalsRowFormula>
    </tableColumn>
    <tableColumn id="7" xr3:uid="{F8008501-4CA3-4F1E-804E-24AC775F922D}" name="DATE" dataDxfId="7930" totalsRowDxfId="7929">
      <calculatedColumnFormula>$G$3</calculatedColumnFormula>
    </tableColumn>
  </tableColumns>
  <tableStyleInfo showFirstColumn="0" showLastColumn="0" showRowStripes="1" showColumnStripes="0"/>
</table>
</file>

<file path=xl/tables/table3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7" xr:uid="{95669280-3D8C-4FF0-9BAF-583F279E7792}" name="March23_2021" displayName="March23_2021" ref="B5:H21" totalsRowCount="1" headerRowDxfId="7928" headerRowBorderDxfId="7927" tableBorderDxfId="7926" totalsRowBorderDxfId="7925">
  <autoFilter ref="B5:H20" xr:uid="{B47E19E1-4464-427A-A886-0041DCE82577}"/>
  <sortState xmlns:xlrd2="http://schemas.microsoft.com/office/spreadsheetml/2017/richdata2" ref="B6:H18">
    <sortCondition ref="B6"/>
  </sortState>
  <tableColumns count="7">
    <tableColumn id="1" xr3:uid="{DA036D78-06A2-4987-8CFE-447208913259}" name="BDC LIST" totalsRowLabel="Total" dataDxfId="7924" totalsRowDxfId="7923"/>
    <tableColumn id="2" xr3:uid="{98B6A0EF-F03E-4D8D-986B-AD17D7353151}" name="KSI_AGO" totalsRowFunction="custom" dataDxfId="7922" totalsRowDxfId="7921">
      <totalsRowFormula>SUM(March23_2021[KSI_AGO])</totalsRowFormula>
    </tableColumn>
    <tableColumn id="3" xr3:uid="{2C79AB37-E7B2-457A-996B-4A44B7A53BBD}" name="KSI_PMS" totalsRowFunction="sum" dataDxfId="7920" totalsRowDxfId="7919"/>
    <tableColumn id="4" xr3:uid="{0D34A5D6-3AE7-4CB0-96D5-2E05AE0F90DD}" name="BUIPE_AGO" totalsRowFunction="custom" dataDxfId="7918" totalsRowDxfId="7917">
      <totalsRowFormula>SUM(March23_2021[BUIPE_AGO])</totalsRowFormula>
    </tableColumn>
    <tableColumn id="5" xr3:uid="{4B68C80E-3C54-42C4-8E62-D0B959378228}" name="BUIPE_PMS" totalsRowFunction="custom" dataDxfId="7916" totalsRowDxfId="7915" dataCellStyle="Comma">
      <totalsRowFormula>SUM(March23_2021[BUIPE_PMS])</totalsRowFormula>
    </tableColumn>
    <tableColumn id="6" xr3:uid="{2620A8A8-F74D-4CB8-87DE-80378E6E407B}" name="AKOSOMBO_AGO" totalsRowFunction="custom" dataDxfId="7914" totalsRowDxfId="7913">
      <totalsRowFormula>SUM(March23_2021[AKOSOMBO_AGO])</totalsRowFormula>
    </tableColumn>
    <tableColumn id="7" xr3:uid="{56CCCA2C-95CE-4713-A3E0-57BA7E7F054C}" name="DATE" dataDxfId="7912" totalsRowDxfId="7911">
      <calculatedColumnFormula>$G$3</calculatedColumnFormula>
    </tableColumn>
  </tableColumns>
  <tableStyleInfo showFirstColumn="0" showLastColumn="0" showRowStripes="1" showColumnStripes="0"/>
</table>
</file>

<file path=xl/tables/table3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8" xr:uid="{892CF9C2-1923-4499-8F83-A619FF5086BC}" name="March24_2021" displayName="March24_2021" ref="B5:H21" totalsRowCount="1" headerRowDxfId="7910" headerRowBorderDxfId="7909" tableBorderDxfId="7908" totalsRowBorderDxfId="7907">
  <autoFilter ref="B5:H20" xr:uid="{CCDCF690-DE8E-44BD-842B-9D4FFCDC88AB}"/>
  <sortState xmlns:xlrd2="http://schemas.microsoft.com/office/spreadsheetml/2017/richdata2" ref="B6:H18">
    <sortCondition ref="B6"/>
  </sortState>
  <tableColumns count="7">
    <tableColumn id="1" xr3:uid="{0117F13A-F993-43E6-A7A9-ED5E59A2685B}" name="BDC LIST" totalsRowLabel="Total" dataDxfId="7906" totalsRowDxfId="7905"/>
    <tableColumn id="2" xr3:uid="{31DAC7B8-030B-46C2-9AB9-D0706F267606}" name="KSI_AGO" totalsRowFunction="custom" dataDxfId="7904" totalsRowDxfId="7903">
      <totalsRowFormula>SUM(March24_2021[KSI_AGO])</totalsRowFormula>
    </tableColumn>
    <tableColumn id="3" xr3:uid="{8B65519C-0443-4DC2-A9EB-1F7D0BADC98E}" name="KSI_PMS" totalsRowFunction="sum" dataDxfId="7902" totalsRowDxfId="7901"/>
    <tableColumn id="4" xr3:uid="{20FC729C-75EF-4C56-98A7-4ECEEBA9DA92}" name="BUIPE_AGO" totalsRowFunction="custom" dataDxfId="7900" totalsRowDxfId="7899">
      <totalsRowFormula>SUM(March24_2021[BUIPE_AGO])</totalsRowFormula>
    </tableColumn>
    <tableColumn id="5" xr3:uid="{BDE8AC00-351A-46D9-B5D1-F6B65503A3ED}" name="BUIPE_PMS" totalsRowFunction="custom" dataDxfId="7898" totalsRowDxfId="7897" dataCellStyle="Comma">
      <totalsRowFormula>SUM(March24_2021[BUIPE_PMS])</totalsRowFormula>
    </tableColumn>
    <tableColumn id="6" xr3:uid="{52AABB06-9C41-4B0C-A87E-375E110E67E4}" name="AKOSOMBO_AGO" totalsRowFunction="custom" dataDxfId="7896" totalsRowDxfId="7895">
      <totalsRowFormula>SUM(March24_2021[AKOSOMBO_AGO])</totalsRowFormula>
    </tableColumn>
    <tableColumn id="7" xr3:uid="{19574E5E-94B8-44F7-98D2-C5988C94C6D9}" name="DATE" dataDxfId="7894" totalsRowDxfId="7893">
      <calculatedColumnFormula>$G$3</calculatedColumnFormula>
    </tableColumn>
  </tableColumns>
  <tableStyleInfo showFirstColumn="0" showLastColumn="0" showRowStripes="1" showColumnStripes="0"/>
</table>
</file>

<file path=xl/tables/table3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9" xr:uid="{A667A1A6-F234-4644-B040-F019B19655A7}" name="March25_2021" displayName="March25_2021" ref="B5:H21" totalsRowCount="1" headerRowDxfId="7892" headerRowBorderDxfId="7891" tableBorderDxfId="7890" totalsRowBorderDxfId="7889">
  <autoFilter ref="B5:H20" xr:uid="{601B916B-5CFD-453A-B78C-55A83768D340}"/>
  <sortState xmlns:xlrd2="http://schemas.microsoft.com/office/spreadsheetml/2017/richdata2" ref="B6:H18">
    <sortCondition ref="B6"/>
  </sortState>
  <tableColumns count="7">
    <tableColumn id="1" xr3:uid="{E531B049-255B-4DA8-B481-A265EEAE7909}" name="BDC LIST" totalsRowLabel="Total" dataDxfId="7888" totalsRowDxfId="7887"/>
    <tableColumn id="2" xr3:uid="{7CE93600-2959-468F-8AA2-9813F5A0E3B4}" name="KSI_AGO" totalsRowFunction="custom" dataDxfId="7886" totalsRowDxfId="7885">
      <totalsRowFormula>SUM(March25_2021[KSI_AGO])</totalsRowFormula>
    </tableColumn>
    <tableColumn id="3" xr3:uid="{818B5763-E2D2-49A7-8C36-02E2FE5E5339}" name="KSI_PMS" totalsRowFunction="sum" dataDxfId="7884" totalsRowDxfId="7883"/>
    <tableColumn id="4" xr3:uid="{C6B88FB9-C08F-4B0C-9714-99BCFAF0F43E}" name="BUIPE_AGO" totalsRowFunction="custom" dataDxfId="7882" totalsRowDxfId="7881">
      <totalsRowFormula>SUM(March25_2021[BUIPE_AGO])</totalsRowFormula>
    </tableColumn>
    <tableColumn id="5" xr3:uid="{918E665B-CD4D-4536-82CF-E394632CBBD1}" name="BUIPE_PMS" totalsRowFunction="custom" dataDxfId="7880" totalsRowDxfId="7879" dataCellStyle="Comma">
      <totalsRowFormula>SUM(March25_2021[BUIPE_PMS])</totalsRowFormula>
    </tableColumn>
    <tableColumn id="6" xr3:uid="{F556EFB9-72DC-45C0-842F-716F908AF5B0}" name="AKOSOMBO_AGO" totalsRowFunction="custom" dataDxfId="7878" totalsRowDxfId="7877">
      <totalsRowFormula>SUM(March25_2021[AKOSOMBO_AGO])</totalsRowFormula>
    </tableColumn>
    <tableColumn id="7" xr3:uid="{C9E1E2E5-27A4-464D-91D3-D78C0D6C795D}" name="DATE" dataDxfId="7876" totalsRowDxfId="7875">
      <calculatedColumnFormula>$G$3</calculatedColumnFormula>
    </tableColumn>
  </tableColumns>
  <tableStyleInfo showFirstColumn="0" showLastColumn="0" showRowStripes="1" showColumnStripes="0"/>
</table>
</file>

<file path=xl/tables/table3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0" xr:uid="{6C4FCD57-1F4B-4EF3-9B0B-905FBA5F19E8}" name="March26_2021" displayName="March26_2021" ref="B5:H21" totalsRowCount="1" headerRowDxfId="7874" headerRowBorderDxfId="7873" tableBorderDxfId="7872" totalsRowBorderDxfId="7871">
  <autoFilter ref="B5:H20" xr:uid="{AAC73A65-8AB7-4C9E-9279-E9EDFEC80B5D}"/>
  <sortState xmlns:xlrd2="http://schemas.microsoft.com/office/spreadsheetml/2017/richdata2" ref="B6:H18">
    <sortCondition ref="B6"/>
  </sortState>
  <tableColumns count="7">
    <tableColumn id="1" xr3:uid="{A825FE2C-39C8-4B67-9297-12CD439F3FF9}" name="BDC LIST" totalsRowLabel="Total" dataDxfId="7870" totalsRowDxfId="7869"/>
    <tableColumn id="2" xr3:uid="{536FFC05-AE8B-4F5C-8043-F664C14F0A3F}" name="KSI_AGO" totalsRowFunction="custom" dataDxfId="7868" totalsRowDxfId="7867">
      <totalsRowFormula>SUM(March26_2021[KSI_AGO])</totalsRowFormula>
    </tableColumn>
    <tableColumn id="3" xr3:uid="{EB577113-B9D7-46A1-9C8D-905C147F6ABF}" name="KSI_PMS" totalsRowFunction="sum" dataDxfId="7866" totalsRowDxfId="7865"/>
    <tableColumn id="4" xr3:uid="{0100D390-3C17-4DEB-B8C6-9B96A3416392}" name="BUIPE_AGO" totalsRowFunction="custom" dataDxfId="7864" totalsRowDxfId="7863">
      <totalsRowFormula>SUM(March26_2021[BUIPE_AGO])</totalsRowFormula>
    </tableColumn>
    <tableColumn id="5" xr3:uid="{B9028207-A7F0-40A7-A82F-E11EDE594CD2}" name="BUIPE_PMS" totalsRowFunction="custom" dataDxfId="7862" totalsRowDxfId="7861" dataCellStyle="Comma">
      <totalsRowFormula>SUM(March26_2021[BUIPE_PMS])</totalsRowFormula>
    </tableColumn>
    <tableColumn id="6" xr3:uid="{484803AB-1111-464A-A07D-C9CA99739890}" name="AKOSOMBO_AGO" totalsRowFunction="custom" dataDxfId="7860" totalsRowDxfId="7859">
      <totalsRowFormula>SUM(March26_2021[AKOSOMBO_AGO])</totalsRowFormula>
    </tableColumn>
    <tableColumn id="7" xr3:uid="{0DFFCAB5-00C5-414C-AEA0-41A6C64A3724}" name="DATE" dataDxfId="7858" totalsRowDxfId="7857">
      <calculatedColumnFormula>$G$3</calculatedColumnFormula>
    </tableColumn>
  </tableColumns>
  <tableStyleInfo showFirstColumn="0" showLastColumn="0" showRowStripes="1" showColumnStripes="0"/>
</table>
</file>

<file path=xl/tables/table3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1" xr:uid="{BAA3CBDB-F273-4892-A7B8-AF2ECBED2B3C}" name="March29_2021" displayName="March29_2021" ref="B5:H21" totalsRowCount="1" headerRowDxfId="7856" headerRowBorderDxfId="7855" tableBorderDxfId="7854" totalsRowBorderDxfId="7853">
  <autoFilter ref="B5:H20" xr:uid="{B0794DB4-4E50-45E1-9EC5-4B100973DB54}"/>
  <sortState xmlns:xlrd2="http://schemas.microsoft.com/office/spreadsheetml/2017/richdata2" ref="B6:H18">
    <sortCondition ref="B6"/>
  </sortState>
  <tableColumns count="7">
    <tableColumn id="1" xr3:uid="{A3AE82C7-7543-4086-9503-B26489C133D3}" name="BDC LIST" totalsRowLabel="Total" dataDxfId="7852" totalsRowDxfId="7851"/>
    <tableColumn id="2" xr3:uid="{594A6660-26B2-4F34-9782-AE8356A60020}" name="KSI_AGO" totalsRowFunction="custom" dataDxfId="7850" totalsRowDxfId="7849">
      <totalsRowFormula>SUM(March29_2021[KSI_AGO])</totalsRowFormula>
    </tableColumn>
    <tableColumn id="3" xr3:uid="{1189D3F1-2C6B-45EB-B4D6-DB91691C390B}" name="KSI_PMS" totalsRowFunction="sum" dataDxfId="7848" totalsRowDxfId="7847"/>
    <tableColumn id="4" xr3:uid="{BFC6AAE9-BC66-4764-AD2B-28654E75E931}" name="BUIPE_AGO" totalsRowFunction="custom" dataDxfId="7846" totalsRowDxfId="7845">
      <totalsRowFormula>SUM(March29_2021[BUIPE_AGO])</totalsRowFormula>
    </tableColumn>
    <tableColumn id="5" xr3:uid="{DB8E787E-660A-4B54-A91F-D5422FDC8E05}" name="BUIPE_PMS" totalsRowFunction="custom" dataDxfId="7844" totalsRowDxfId="7843" dataCellStyle="Comma">
      <totalsRowFormula>SUM(March29_2021[BUIPE_PMS])</totalsRowFormula>
    </tableColumn>
    <tableColumn id="6" xr3:uid="{7D28075F-049B-47E5-AB3C-031EA15DF581}" name="AKOSOMBO_AGO" totalsRowFunction="custom" dataDxfId="7842" totalsRowDxfId="7841">
      <totalsRowFormula>SUM(March29_2021[AKOSOMBO_AGO])</totalsRowFormula>
    </tableColumn>
    <tableColumn id="7" xr3:uid="{8E126BB5-570D-4436-AA79-E09EB317D3B2}" name="DATE" dataDxfId="7840" totalsRowDxfId="7839">
      <calculatedColumnFormula>$G$3</calculatedColumnFormula>
    </tableColumn>
  </tableColumns>
  <tableStyleInfo showFirstColumn="0" showLastColumn="0" showRowStripes="1" showColumnStripes="0"/>
</table>
</file>

<file path=xl/tables/table3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2" xr:uid="{D4E81103-BFEB-447D-9C7C-3671C0951D52}" name="March30_2021" displayName="March30_2021" ref="B5:H21" totalsRowCount="1" headerRowDxfId="7838" headerRowBorderDxfId="7837" tableBorderDxfId="7836" totalsRowBorderDxfId="7835">
  <autoFilter ref="B5:H20" xr:uid="{C0C89976-FA71-4F36-8B1A-DB3EB70D1B00}"/>
  <sortState xmlns:xlrd2="http://schemas.microsoft.com/office/spreadsheetml/2017/richdata2" ref="B6:H18">
    <sortCondition ref="B6"/>
  </sortState>
  <tableColumns count="7">
    <tableColumn id="1" xr3:uid="{2D39CCCE-832F-4244-AA43-245BC2580CF7}" name="BDC LIST" totalsRowLabel="Total" dataDxfId="7834" totalsRowDxfId="7833"/>
    <tableColumn id="2" xr3:uid="{31D30861-80F6-4B7E-B3A0-F9B6EF281B2D}" name="KSI_AGO" totalsRowFunction="custom" dataDxfId="7832" totalsRowDxfId="7831">
      <totalsRowFormula>SUM(March30_2021[KSI_AGO])</totalsRowFormula>
    </tableColumn>
    <tableColumn id="3" xr3:uid="{C29E711B-7D0C-4779-A5BA-3BFE1BEC0C92}" name="KSI_PMS" totalsRowFunction="sum" dataDxfId="7830" totalsRowDxfId="7829"/>
    <tableColumn id="4" xr3:uid="{601F03A8-4340-470E-A4FC-42CC48511470}" name="BUIPE_AGO" totalsRowFunction="custom" dataDxfId="7828" totalsRowDxfId="7827">
      <totalsRowFormula>SUM(March30_2021[BUIPE_AGO])</totalsRowFormula>
    </tableColumn>
    <tableColumn id="5" xr3:uid="{A15703D5-F17A-49AE-96C7-0311868B115D}" name="BUIPE_PMS" totalsRowFunction="custom" dataDxfId="7826" totalsRowDxfId="7825" dataCellStyle="Comma">
      <totalsRowFormula>SUM(March30_2021[BUIPE_PMS])</totalsRowFormula>
    </tableColumn>
    <tableColumn id="6" xr3:uid="{508BC503-4597-468D-9330-56076435658E}" name="AKOSOMBO_AGO" totalsRowFunction="custom" dataDxfId="7824" totalsRowDxfId="7823">
      <totalsRowFormula>SUM(March30_2021[AKOSOMBO_AGO])</totalsRowFormula>
    </tableColumn>
    <tableColumn id="7" xr3:uid="{FE8133FF-3C1D-49F1-8148-A2B2CD8BE3E0}" name="DATE" dataDxfId="7822" totalsRowDxfId="7821">
      <calculatedColumnFormula>$G$3</calculatedColumnFormula>
    </tableColumn>
  </tableColumns>
  <tableStyleInfo showFirstColumn="0" showLastColumn="0" showRowStripes="1" showColumnStripes="0"/>
</table>
</file>

<file path=xl/tables/table3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7" xr:uid="{2FBCA86C-130D-49D0-BC6E-3905B7F7EB29}" name="March31_2021" displayName="March31_2021" ref="B5:H21" totalsRowCount="1" headerRowDxfId="7820" headerRowBorderDxfId="7819" tableBorderDxfId="7818" totalsRowBorderDxfId="7817">
  <autoFilter ref="B5:H20" xr:uid="{E2A3928A-5029-453D-9093-760BBE6230CF}"/>
  <sortState xmlns:xlrd2="http://schemas.microsoft.com/office/spreadsheetml/2017/richdata2" ref="B6:H18">
    <sortCondition ref="B6"/>
  </sortState>
  <tableColumns count="7">
    <tableColumn id="1" xr3:uid="{D5445357-801C-4540-8933-C238FED111C1}" name="BDC LIST" totalsRowLabel="Total" dataDxfId="7816" totalsRowDxfId="7815"/>
    <tableColumn id="2" xr3:uid="{A13AADB6-0F30-488A-9899-71CF61827C31}" name="KSI_AGO" totalsRowFunction="custom" dataDxfId="7814" totalsRowDxfId="7813">
      <totalsRowFormula>SUM(March31_2021[KSI_AGO])</totalsRowFormula>
    </tableColumn>
    <tableColumn id="3" xr3:uid="{4D921187-28B9-46E9-9F4C-2145C48A955C}" name="KSI_PMS" totalsRowFunction="sum" dataDxfId="7812" totalsRowDxfId="7811"/>
    <tableColumn id="4" xr3:uid="{5905CF3C-E156-4E4A-88B7-0845619B4DCA}" name="BUIPE_AGO" totalsRowFunction="custom" dataDxfId="7810" totalsRowDxfId="7809">
      <totalsRowFormula>SUM(March31_2021[BUIPE_AGO])</totalsRowFormula>
    </tableColumn>
    <tableColumn id="5" xr3:uid="{D8EB7333-B2F5-4E5D-A6BD-B4A5FF88574F}" name="BUIPE_PMS" totalsRowFunction="custom" dataDxfId="7808" totalsRowDxfId="7807" dataCellStyle="Comma">
      <totalsRowFormula>SUM(March31_2021[BUIPE_PMS])</totalsRowFormula>
    </tableColumn>
    <tableColumn id="6" xr3:uid="{75EB0D7C-61C2-4757-B82A-0A380B21B6A9}" name="AKOSOMBO_AGO" totalsRowFunction="custom" dataDxfId="7806" totalsRowDxfId="7805">
      <totalsRowFormula>SUM(March31_2021[AKOSOMBO_AGO])</totalsRowFormula>
    </tableColumn>
    <tableColumn id="7" xr3:uid="{687187BD-8AFC-4225-A67C-D159964961ED}" name="DATE" dataDxfId="7804" totalsRowDxfId="7803">
      <calculatedColumnFormula>$G$3</calculatedColumnFormula>
    </tableColumn>
  </tableColumns>
  <tableStyleInfo showFirstColumn="0" showLastColumn="0" showRowStripes="1" showColumnStripes="0"/>
</table>
</file>

<file path=xl/tables/table3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8" xr:uid="{99287509-A9A7-4CA6-B6A8-CAF4F09DBFCD}" name="April01_2021" displayName="April01_2021" ref="B5:H21" totalsRowCount="1" headerRowDxfId="7802" headerRowBorderDxfId="7801" tableBorderDxfId="7800" totalsRowBorderDxfId="7799">
  <autoFilter ref="B5:H20" xr:uid="{D88B2078-D7B6-4259-BEA8-AA0C63EEF249}"/>
  <sortState xmlns:xlrd2="http://schemas.microsoft.com/office/spreadsheetml/2017/richdata2" ref="B6:H18">
    <sortCondition ref="B6"/>
  </sortState>
  <tableColumns count="7">
    <tableColumn id="1" xr3:uid="{F569899E-0C7C-4F3D-BAB9-2401BC0C8C23}" name="BDC LIST" totalsRowLabel="Total" dataDxfId="7798" totalsRowDxfId="7797"/>
    <tableColumn id="2" xr3:uid="{5946143B-33EA-4FB3-A348-72E1793CE664}" name="KSI_AGO" totalsRowFunction="custom" dataDxfId="7796" totalsRowDxfId="7795">
      <totalsRowFormula>SUM(April01_2021[KSI_AGO])</totalsRowFormula>
    </tableColumn>
    <tableColumn id="3" xr3:uid="{626CFBFB-BC38-4A1B-8A3D-0810930A991B}" name="KSI_PMS" totalsRowFunction="sum" dataDxfId="7794" totalsRowDxfId="7793"/>
    <tableColumn id="4" xr3:uid="{E4E6FD3A-19B8-4301-8315-118A0B661817}" name="BUIPE_AGO" totalsRowFunction="custom" dataDxfId="7792" totalsRowDxfId="7791">
      <totalsRowFormula>SUM(April01_2021[BUIPE_AGO])</totalsRowFormula>
    </tableColumn>
    <tableColumn id="5" xr3:uid="{42A0FEA0-3AF4-48EC-8BC8-A058A24C678E}" name="BUIPE_PMS" totalsRowFunction="custom" dataDxfId="7790" totalsRowDxfId="7789" dataCellStyle="Comma">
      <totalsRowFormula>SUM(April01_2021[BUIPE_PMS])</totalsRowFormula>
    </tableColumn>
    <tableColumn id="6" xr3:uid="{2B275874-5AC5-4541-8970-A0A6E20C1831}" name="AKOSOMBO_AGO" totalsRowFunction="custom" dataDxfId="7788" totalsRowDxfId="7787">
      <totalsRowFormula>SUM(April01_2021[AKOSOMBO_AGO])</totalsRowFormula>
    </tableColumn>
    <tableColumn id="7" xr3:uid="{B06FD8DF-CE9A-4F30-9906-C05775EFF88E}" name="DATE" dataDxfId="7786" totalsRowDxfId="7785">
      <calculatedColumnFormula>$G$3</calculatedColumnFormula>
    </tableColumn>
  </tableColumns>
  <tableStyleInfo showFirstColumn="0" showLastColumn="0" showRowStripes="1" showColumnStripes="0"/>
</table>
</file>

<file path=xl/tables/table3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9" xr:uid="{0417B035-30DC-4054-97A5-A201B03EE740}" name="April06_2021" displayName="April06_2021" ref="B5:H21" totalsRowCount="1" headerRowDxfId="7784" headerRowBorderDxfId="7783" tableBorderDxfId="7782" totalsRowBorderDxfId="7781">
  <autoFilter ref="B5:H20" xr:uid="{D8375C36-71AE-4724-9FCB-4F0CB06EA56C}"/>
  <sortState xmlns:xlrd2="http://schemas.microsoft.com/office/spreadsheetml/2017/richdata2" ref="B6:H18">
    <sortCondition ref="B6"/>
  </sortState>
  <tableColumns count="7">
    <tableColumn id="1" xr3:uid="{F03F276D-9974-42D0-BCEF-0E724710ED97}" name="BDC LIST" totalsRowLabel="Total" dataDxfId="7780" totalsRowDxfId="7779"/>
    <tableColumn id="2" xr3:uid="{1D90BE64-A3F7-4179-9222-24997D957739}" name="KSI_AGO" totalsRowFunction="custom" dataDxfId="7778" totalsRowDxfId="7777">
      <totalsRowFormula>SUM(April06_2021[KSI_AGO])</totalsRowFormula>
    </tableColumn>
    <tableColumn id="3" xr3:uid="{000478D0-6DDF-4A15-8DC9-4A61F0E96550}" name="KSI_PMS" totalsRowFunction="sum" dataDxfId="7776" totalsRowDxfId="7775"/>
    <tableColumn id="4" xr3:uid="{14BD1E4C-0E14-4D66-905B-0AFDE3504779}" name="BUIPE_AGO" totalsRowFunction="custom" dataDxfId="7774" totalsRowDxfId="7773">
      <totalsRowFormula>SUM(April06_2021[BUIPE_AGO])</totalsRowFormula>
    </tableColumn>
    <tableColumn id="5" xr3:uid="{A8ED81C0-8833-4E02-9A78-785A1D07C159}" name="BUIPE_PMS" totalsRowFunction="custom" dataDxfId="7772" totalsRowDxfId="7771" dataCellStyle="Comma">
      <totalsRowFormula>SUM(April06_2021[BUIPE_PMS])</totalsRowFormula>
    </tableColumn>
    <tableColumn id="6" xr3:uid="{1DC18BCD-2DFA-48AF-BD6C-1E7014EC997F}" name="AKOSOMBO_AGO" totalsRowFunction="custom" dataDxfId="7770" totalsRowDxfId="7769">
      <totalsRowFormula>SUM(April06_2021[AKOSOMBO_AGO])</totalsRowFormula>
    </tableColumn>
    <tableColumn id="7" xr3:uid="{41A8FECB-578E-4CEE-A5B4-E6A31E5B6515}" name="DATE" dataDxfId="7768" totalsRowDxfId="7767">
      <calculatedColumnFormula>$G$3</calculatedColumnFormula>
    </tableColumn>
  </tableColumns>
  <tableStyleInfo showFirstColumn="0" showLastColumn="0" showRowStripes="1" showColumnStripes="0"/>
</table>
</file>

<file path=xl/tables/table3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0" xr:uid="{0253717F-B57A-4D1E-8FA6-CF676CC7416E}" name="April07_2021" displayName="April07_2021" ref="B5:H21" totalsRowCount="1" headerRowDxfId="7766" headerRowBorderDxfId="7765" tableBorderDxfId="7764" totalsRowBorderDxfId="7763">
  <autoFilter ref="B5:H20" xr:uid="{197AE464-404B-46D1-9D4C-9EED349CF985}"/>
  <sortState xmlns:xlrd2="http://schemas.microsoft.com/office/spreadsheetml/2017/richdata2" ref="B6:H18">
    <sortCondition ref="B6"/>
  </sortState>
  <tableColumns count="7">
    <tableColumn id="1" xr3:uid="{D8A896A9-E12C-4A7A-A18E-295D7F3CFC40}" name="BDC LIST" totalsRowLabel="Total" dataDxfId="7762" totalsRowDxfId="7761"/>
    <tableColumn id="2" xr3:uid="{F8B85322-4E05-4FEF-BB5D-6AEB036B79CD}" name="KSI_AGO" totalsRowFunction="custom" dataDxfId="7760" totalsRowDxfId="7759">
      <totalsRowFormula>SUM(April07_2021[KSI_AGO])</totalsRowFormula>
    </tableColumn>
    <tableColumn id="3" xr3:uid="{D609671B-6E8E-48FC-A0EB-EDA490E54FCF}" name="KSI_PMS" totalsRowFunction="sum" dataDxfId="7758" totalsRowDxfId="7757"/>
    <tableColumn id="4" xr3:uid="{A4349518-3B62-46E2-8EEB-262FBA59E4F9}" name="BUIPE_AGO" totalsRowFunction="custom" dataDxfId="7756" totalsRowDxfId="7755">
      <totalsRowFormula>SUM(April07_2021[BUIPE_AGO])</totalsRowFormula>
    </tableColumn>
    <tableColumn id="5" xr3:uid="{402136AF-340C-41AC-8E1B-32443743F0EB}" name="BUIPE_PMS" totalsRowFunction="custom" dataDxfId="7754" totalsRowDxfId="7753" dataCellStyle="Comma">
      <totalsRowFormula>SUM(April07_2021[BUIPE_PMS])</totalsRowFormula>
    </tableColumn>
    <tableColumn id="6" xr3:uid="{E081594C-0A7C-4003-A987-40CE340529E3}" name="AKOSOMBO_AGO" totalsRowFunction="custom" dataDxfId="7752" totalsRowDxfId="7751">
      <totalsRowFormula>SUM(April07_2021[AKOSOMBO_AGO])</totalsRowFormula>
    </tableColumn>
    <tableColumn id="7" xr3:uid="{9F8A9151-7A4A-4F2E-9F1D-F7BD28CB9F1C}" name="DATE" dataDxfId="7750" totalsRowDxfId="7749">
      <calculatedColumnFormula>$G$3</calculatedColumnFormula>
    </tableColumn>
  </tableColumns>
  <tableStyleInfo showFirstColumn="0" showLastColumn="0" showRowStripes="1" showColumnStripes="0"/>
</table>
</file>

<file path=xl/tables/table3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1" xr:uid="{721C2606-F9E6-450D-AAEF-9874BA5FA39F}" name="April08_2021" displayName="April08_2021" ref="B5:H21" totalsRowCount="1" headerRowDxfId="7748" headerRowBorderDxfId="7747" tableBorderDxfId="7746" totalsRowBorderDxfId="7745">
  <autoFilter ref="B5:H20" xr:uid="{7854BE3E-EA20-40F7-9451-C0488BF8944C}"/>
  <sortState xmlns:xlrd2="http://schemas.microsoft.com/office/spreadsheetml/2017/richdata2" ref="B6:H18">
    <sortCondition ref="B6"/>
  </sortState>
  <tableColumns count="7">
    <tableColumn id="1" xr3:uid="{E40F199F-8B81-4FF1-8EAF-C66783C4FE99}" name="BDC LIST" totalsRowLabel="Total" dataDxfId="7744" totalsRowDxfId="7743"/>
    <tableColumn id="2" xr3:uid="{F4C05371-E712-4DE8-8B65-9FC3FE83FE3B}" name="KSI_AGO" totalsRowFunction="custom" dataDxfId="7742" totalsRowDxfId="7741">
      <totalsRowFormula>SUM(April08_2021[KSI_AGO])</totalsRowFormula>
    </tableColumn>
    <tableColumn id="3" xr3:uid="{7A50D622-BDDC-423F-804A-34DB1178FC9B}" name="KSI_PMS" totalsRowFunction="sum" dataDxfId="7740" totalsRowDxfId="7739"/>
    <tableColumn id="4" xr3:uid="{B70A6F73-435D-4863-A66A-8E108CB89F73}" name="BUIPE_AGO" totalsRowFunction="custom" dataDxfId="7738" totalsRowDxfId="7737">
      <totalsRowFormula>SUM(April08_2021[BUIPE_AGO])</totalsRowFormula>
    </tableColumn>
    <tableColumn id="5" xr3:uid="{BCDB2E85-3EAA-41DE-8721-C0CCB3F337FA}" name="BUIPE_PMS" totalsRowFunction="custom" dataDxfId="7736" totalsRowDxfId="7735" dataCellStyle="Comma">
      <totalsRowFormula>SUM(April08_2021[BUIPE_PMS])</totalsRowFormula>
    </tableColumn>
    <tableColumn id="6" xr3:uid="{CF753051-99DA-40C6-B56F-559A145EF4D1}" name="AKOSOMBO_AGO" totalsRowFunction="custom" dataDxfId="7734" totalsRowDxfId="7733">
      <totalsRowFormula>SUM(April08_2021[AKOSOMBO_AGO])</totalsRowFormula>
    </tableColumn>
    <tableColumn id="7" xr3:uid="{9D3E964D-AE94-45EF-977F-9293534C0033}" name="DATE" dataDxfId="7732" totalsRowDxfId="7731">
      <calculatedColumnFormula>$G$3</calculatedColumnFormula>
    </tableColumn>
  </tableColumns>
  <tableStyleInfo showFirstColumn="0" showLastColumn="0" showRowStripes="1" showColumnStripes="0"/>
</table>
</file>

<file path=xl/tables/table3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2" xr:uid="{B2222CBF-3292-4C75-8AB2-53A792C26D39}" name="April09_2021" displayName="April09_2021" ref="B5:H21" totalsRowCount="1" headerRowDxfId="7730" headerRowBorderDxfId="7729" tableBorderDxfId="7728" totalsRowBorderDxfId="7727">
  <autoFilter ref="B5:H20" xr:uid="{C52D9407-1DA7-4249-91C0-E90E7223C2CC}"/>
  <sortState xmlns:xlrd2="http://schemas.microsoft.com/office/spreadsheetml/2017/richdata2" ref="B6:H18">
    <sortCondition ref="B6"/>
  </sortState>
  <tableColumns count="7">
    <tableColumn id="1" xr3:uid="{D9BDDC58-DC2D-400E-9B35-02C22C66A133}" name="BDC LIST" totalsRowLabel="Total" dataDxfId="7726" totalsRowDxfId="7725"/>
    <tableColumn id="2" xr3:uid="{522DCF20-41D8-4292-99DC-676791E569C7}" name="KSI_AGO" totalsRowFunction="custom" dataDxfId="7724" totalsRowDxfId="7723">
      <totalsRowFormula>SUM(April09_2021[KSI_AGO])</totalsRowFormula>
    </tableColumn>
    <tableColumn id="3" xr3:uid="{9595B34B-8970-4D5C-9A20-FC7A791D4396}" name="KSI_PMS" totalsRowFunction="sum" dataDxfId="7722" totalsRowDxfId="7721"/>
    <tableColumn id="4" xr3:uid="{9884CC6B-DA95-4077-9DC4-B3594A20CACB}" name="BUIPE_AGO" totalsRowFunction="custom" dataDxfId="7720" totalsRowDxfId="7719">
      <totalsRowFormula>SUM(April09_2021[BUIPE_AGO])</totalsRowFormula>
    </tableColumn>
    <tableColumn id="5" xr3:uid="{097004F5-6523-48F3-8F5D-12BC12F18674}" name="BUIPE_PMS" totalsRowFunction="custom" dataDxfId="7718" totalsRowDxfId="7717" dataCellStyle="Comma">
      <totalsRowFormula>SUM(April09_2021[BUIPE_PMS])</totalsRowFormula>
    </tableColumn>
    <tableColumn id="6" xr3:uid="{A3B44F2D-DB9B-4565-8C3C-3D0E0DE4DB2D}" name="AKOSOMBO_AGO" totalsRowFunction="custom" dataDxfId="7716" totalsRowDxfId="7715">
      <totalsRowFormula>SUM(April09_2021[AKOSOMBO_AGO])</totalsRowFormula>
    </tableColumn>
    <tableColumn id="7" xr3:uid="{E4F269D5-F5C7-4CB0-9CBC-BB2D8E4886FC}" name="DATE" dataDxfId="7714" totalsRowDxfId="7713">
      <calculatedColumnFormula>$G$3</calculatedColumnFormula>
    </tableColumn>
  </tableColumns>
  <tableStyleInfo showFirstColumn="0" showLastColumn="0" showRowStripes="1" showColumnStripes="0"/>
</table>
</file>

<file path=xl/tables/table3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3" xr:uid="{465A9997-82AE-4A90-94E5-74102978BB21}" name="April10_2021" displayName="April10_2021" ref="B5:H21" totalsRowCount="1" headerRowDxfId="7712" headerRowBorderDxfId="7711" tableBorderDxfId="7710" totalsRowBorderDxfId="7709">
  <autoFilter ref="B5:H20" xr:uid="{1A3428B3-BF90-4F89-8D72-776B61464BD4}"/>
  <sortState xmlns:xlrd2="http://schemas.microsoft.com/office/spreadsheetml/2017/richdata2" ref="B6:H18">
    <sortCondition ref="B6"/>
  </sortState>
  <tableColumns count="7">
    <tableColumn id="1" xr3:uid="{A52A8F57-E6DD-4338-A04D-937016BC0121}" name="BDC LIST" totalsRowLabel="Total" dataDxfId="7708" totalsRowDxfId="7707"/>
    <tableColumn id="2" xr3:uid="{C6CA690D-6CA8-47A8-8DD2-4E2B33355CE0}" name="KSI_AGO" totalsRowFunction="custom" dataDxfId="7706" totalsRowDxfId="7705">
      <totalsRowFormula>SUM(April10_2021[KSI_AGO])</totalsRowFormula>
    </tableColumn>
    <tableColumn id="3" xr3:uid="{525E8765-A66E-4C7E-9B65-F29BDC8B2112}" name="KSI_PMS" totalsRowFunction="sum" dataDxfId="7704" totalsRowDxfId="7703"/>
    <tableColumn id="4" xr3:uid="{322D449A-1E79-4283-B62A-2E7FB4D60FFC}" name="BUIPE_AGO" totalsRowFunction="custom" dataDxfId="7702" totalsRowDxfId="7701">
      <totalsRowFormula>SUM(April10_2021[BUIPE_AGO])</totalsRowFormula>
    </tableColumn>
    <tableColumn id="5" xr3:uid="{570C9776-A158-4010-AA6B-DD3939D40BC6}" name="BUIPE_PMS" totalsRowFunction="custom" dataDxfId="7700" totalsRowDxfId="7699" dataCellStyle="Comma">
      <totalsRowFormula>SUM(April10_2021[BUIPE_PMS])</totalsRowFormula>
    </tableColumn>
    <tableColumn id="6" xr3:uid="{44B004EB-5592-4184-928E-AF74DD19FBA7}" name="AKOSOMBO_AGO" totalsRowFunction="custom" dataDxfId="7698" totalsRowDxfId="7697">
      <totalsRowFormula>SUM(April10_2021[AKOSOMBO_AGO])</totalsRowFormula>
    </tableColumn>
    <tableColumn id="7" xr3:uid="{A702DE94-EA58-4597-B337-89CAA63325B8}" name="DATE" dataDxfId="7696" totalsRowDxfId="7695">
      <calculatedColumnFormula>$G$3</calculatedColumnFormula>
    </tableColumn>
  </tableColumns>
  <tableStyleInfo showFirstColumn="0" showLastColumn="0" showRowStripes="1" showColumnStripes="0"/>
</table>
</file>

<file path=xl/tables/table3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4" xr:uid="{0ACBA225-96C4-4090-8A9A-75A487CE6EBF}" name="April12_2021" displayName="April12_2021" ref="B5:H21" totalsRowCount="1" headerRowDxfId="7694" headerRowBorderDxfId="7693" tableBorderDxfId="7692" totalsRowBorderDxfId="7691">
  <autoFilter ref="B5:H20" xr:uid="{25575202-E330-43EB-8E66-D2749546C9A3}"/>
  <sortState xmlns:xlrd2="http://schemas.microsoft.com/office/spreadsheetml/2017/richdata2" ref="B6:H18">
    <sortCondition ref="B6"/>
  </sortState>
  <tableColumns count="7">
    <tableColumn id="1" xr3:uid="{F3FF2D1F-4EE6-4648-B386-68CB49E8B0E5}" name="BDC LIST" totalsRowLabel="Total" dataDxfId="7690" totalsRowDxfId="7689"/>
    <tableColumn id="2" xr3:uid="{506622CC-8E00-437E-BDC2-172189600905}" name="KSI_AGO" totalsRowFunction="custom" dataDxfId="7688" totalsRowDxfId="7687">
      <totalsRowFormula>SUM(April12_2021[KSI_AGO])</totalsRowFormula>
    </tableColumn>
    <tableColumn id="3" xr3:uid="{DEA59A3D-98A8-461A-A49E-0F6FB5D2022B}" name="KSI_PMS" totalsRowFunction="sum" dataDxfId="7686" totalsRowDxfId="7685"/>
    <tableColumn id="4" xr3:uid="{7D18A35F-8527-4CC6-AE3A-CF23A2F68C8C}" name="BUIPE_AGO" totalsRowFunction="custom" dataDxfId="7684" totalsRowDxfId="7683">
      <totalsRowFormula>SUM(April12_2021[BUIPE_AGO])</totalsRowFormula>
    </tableColumn>
    <tableColumn id="5" xr3:uid="{CFB27EC0-F1F4-48CB-882F-FAA69F0DD1DB}" name="BUIPE_PMS" totalsRowFunction="custom" dataDxfId="7682" totalsRowDxfId="7681" dataCellStyle="Comma">
      <totalsRowFormula>SUM(April12_2021[BUIPE_PMS])</totalsRowFormula>
    </tableColumn>
    <tableColumn id="6" xr3:uid="{78C0E2FC-AC5B-4F18-8851-69383F4E6B83}" name="AKOSOMBO_AGO" totalsRowFunction="custom" dataDxfId="7680" totalsRowDxfId="7679">
      <totalsRowFormula>SUM(April12_2021[AKOSOMBO_AGO])</totalsRowFormula>
    </tableColumn>
    <tableColumn id="7" xr3:uid="{AC622D40-2FDF-45BE-BD55-B65D0ECF3385}" name="DATE" dataDxfId="7678" totalsRowDxfId="7677">
      <calculatedColumnFormula>$G$3</calculatedColumnFormula>
    </tableColumn>
  </tableColumns>
  <tableStyleInfo showFirstColumn="0" showLastColumn="0" showRowStripes="1" showColumnStripes="0"/>
</table>
</file>

<file path=xl/tables/table3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5" xr:uid="{257B6C0A-9EBF-41C5-BFA1-11F86395FB82}" name="April13_2021" displayName="April13_2021" ref="B5:H21" totalsRowCount="1" headerRowDxfId="7676" headerRowBorderDxfId="7675" tableBorderDxfId="7674" totalsRowBorderDxfId="7673">
  <autoFilter ref="B5:H20" xr:uid="{6060CF57-6AC3-4F9D-AF48-D98AA84CE4B8}"/>
  <sortState xmlns:xlrd2="http://schemas.microsoft.com/office/spreadsheetml/2017/richdata2" ref="B6:H18">
    <sortCondition ref="B6"/>
  </sortState>
  <tableColumns count="7">
    <tableColumn id="1" xr3:uid="{B919222B-B845-4B57-9770-F3922EAE8B20}" name="BDC LIST" totalsRowLabel="Total" dataDxfId="7672" totalsRowDxfId="7671"/>
    <tableColumn id="2" xr3:uid="{E60CC1E3-1E38-49A3-960F-8AFC8102E22D}" name="KSI_AGO" totalsRowFunction="custom" dataDxfId="7670" totalsRowDxfId="7669">
      <totalsRowFormula>SUM(April13_2021[KSI_AGO])</totalsRowFormula>
    </tableColumn>
    <tableColumn id="3" xr3:uid="{55D31B1D-A3F5-4F24-B435-428706B4B747}" name="KSI_PMS" totalsRowFunction="sum" dataDxfId="7668" totalsRowDxfId="7667"/>
    <tableColumn id="4" xr3:uid="{97AC1ED3-8B13-4739-8E0D-47E85002C6C5}" name="BUIPE_AGO" totalsRowFunction="custom" dataDxfId="7666" totalsRowDxfId="7665">
      <totalsRowFormula>SUM(April13_2021[BUIPE_AGO])</totalsRowFormula>
    </tableColumn>
    <tableColumn id="5" xr3:uid="{DCF5ABF8-7F86-462F-962F-459C62749055}" name="BUIPE_PMS" totalsRowFunction="custom" dataDxfId="7664" totalsRowDxfId="7663" dataCellStyle="Comma">
      <totalsRowFormula>SUM(April13_2021[BUIPE_PMS])</totalsRowFormula>
    </tableColumn>
    <tableColumn id="6" xr3:uid="{ED676FAC-47F5-4D32-8EE7-393EC1ADB8D2}" name="AKOSOMBO_AGO" totalsRowFunction="custom" dataDxfId="7662" totalsRowDxfId="7661">
      <totalsRowFormula>SUM(April13_2021[AKOSOMBO_AGO])</totalsRowFormula>
    </tableColumn>
    <tableColumn id="7" xr3:uid="{120766BF-EBB2-4401-9012-528565414D94}" name="DATE" dataDxfId="7660" totalsRowDxfId="7659">
      <calculatedColumnFormula>$G$3</calculatedColumnFormula>
    </tableColumn>
  </tableColumns>
  <tableStyleInfo showFirstColumn="0" showLastColumn="0" showRowStripes="1" showColumnStripes="0"/>
</table>
</file>

<file path=xl/tables/table3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6" xr:uid="{CFA7900C-4337-4F35-8B46-FC0DC13A7A8C}" name="April14_2021" displayName="April14_2021" ref="B5:H21" totalsRowCount="1" headerRowDxfId="7658" headerRowBorderDxfId="7657" tableBorderDxfId="7656" totalsRowBorderDxfId="7655">
  <autoFilter ref="B5:H20" xr:uid="{88B914EA-106A-4C95-839B-C60B9BFE4D3C}"/>
  <sortState xmlns:xlrd2="http://schemas.microsoft.com/office/spreadsheetml/2017/richdata2" ref="B6:H18">
    <sortCondition ref="B6"/>
  </sortState>
  <tableColumns count="7">
    <tableColumn id="1" xr3:uid="{8AB1AF09-E9F0-4C7E-88DE-EA31822831B7}" name="BDC LIST" totalsRowLabel="Total" dataDxfId="7654" totalsRowDxfId="7653"/>
    <tableColumn id="2" xr3:uid="{C93D7C90-9B9D-4A5A-BF79-1AF3B2B76FD8}" name="KSI_AGO" totalsRowFunction="custom" dataDxfId="7652" totalsRowDxfId="7651">
      <totalsRowFormula>SUM(April14_2021[KSI_AGO])</totalsRowFormula>
    </tableColumn>
    <tableColumn id="3" xr3:uid="{2FBF0656-D5D7-4420-9E8F-1D660016E9C6}" name="KSI_PMS" totalsRowFunction="sum" dataDxfId="7650" totalsRowDxfId="7649"/>
    <tableColumn id="4" xr3:uid="{AC14F371-8FBE-4213-B2F0-CFDEBD91CE3B}" name="BUIPE_AGO" totalsRowFunction="custom" dataDxfId="7648" totalsRowDxfId="7647">
      <totalsRowFormula>SUM(April14_2021[BUIPE_AGO])</totalsRowFormula>
    </tableColumn>
    <tableColumn id="5" xr3:uid="{DBDD3B5F-13CD-4A27-B41F-3D23692CC778}" name="BUIPE_PMS" totalsRowFunction="custom" dataDxfId="7646" totalsRowDxfId="7645" dataCellStyle="Comma">
      <totalsRowFormula>SUM(April14_2021[BUIPE_PMS])</totalsRowFormula>
    </tableColumn>
    <tableColumn id="6" xr3:uid="{54B8F788-87CC-4512-809B-027AAE22D7B4}" name="AKOSOMBO_AGO" totalsRowFunction="custom" dataDxfId="7644" totalsRowDxfId="7643">
      <totalsRowFormula>SUM(April14_2021[AKOSOMBO_AGO])</totalsRowFormula>
    </tableColumn>
    <tableColumn id="7" xr3:uid="{F30873EF-D98D-47FB-9EFF-7A15AA537EFA}" name="DATE" dataDxfId="7642" totalsRowDxfId="7641">
      <calculatedColumnFormula>$G$3</calculatedColumnFormula>
    </tableColumn>
  </tableColumns>
  <tableStyleInfo showFirstColumn="0" showLastColumn="0" showRowStripes="1" showColumnStripes="0"/>
</table>
</file>

<file path=xl/tables/table3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7" xr:uid="{98F71B32-E010-41B8-AC6F-5589AE02FD52}" name="April15_2021" displayName="April15_2021" ref="B5:H21" totalsRowCount="1" headerRowDxfId="7640" headerRowBorderDxfId="7639" tableBorderDxfId="7638" totalsRowBorderDxfId="7637">
  <autoFilter ref="B5:H20" xr:uid="{090D0150-428B-4F2C-B491-6693BA9D73D2}"/>
  <sortState xmlns:xlrd2="http://schemas.microsoft.com/office/spreadsheetml/2017/richdata2" ref="B6:H18">
    <sortCondition ref="B6"/>
  </sortState>
  <tableColumns count="7">
    <tableColumn id="1" xr3:uid="{1C54F9CC-75F5-4D19-854E-3B32E616B984}" name="BDC LIST" totalsRowLabel="Total" dataDxfId="7636" totalsRowDxfId="7635"/>
    <tableColumn id="2" xr3:uid="{0DF42E0C-099A-476D-9E80-4694096741F1}" name="KSI_AGO" totalsRowFunction="custom" dataDxfId="7634" totalsRowDxfId="7633">
      <totalsRowFormula>SUM(April15_2021[KSI_AGO])</totalsRowFormula>
    </tableColumn>
    <tableColumn id="3" xr3:uid="{E4EB9739-426C-4740-9124-8315D9160D93}" name="KSI_PMS" totalsRowFunction="sum" dataDxfId="7632" totalsRowDxfId="7631"/>
    <tableColumn id="4" xr3:uid="{4F1ABFAF-8085-4F6F-A7C4-1124561E4966}" name="BUIPE_AGO" totalsRowFunction="custom" dataDxfId="7630" totalsRowDxfId="7629">
      <totalsRowFormula>SUM(April15_2021[BUIPE_AGO])</totalsRowFormula>
    </tableColumn>
    <tableColumn id="5" xr3:uid="{2883C1C7-EB71-426D-91AE-FF1F0FBA6673}" name="BUIPE_PMS" totalsRowFunction="custom" dataDxfId="7628" totalsRowDxfId="7627" dataCellStyle="Comma">
      <totalsRowFormula>SUM(April15_2021[BUIPE_PMS])</totalsRowFormula>
    </tableColumn>
    <tableColumn id="6" xr3:uid="{8268D39B-2DA5-4F11-B830-10359EF3A710}" name="AKOSOMBO_AGO" totalsRowFunction="custom" dataDxfId="7626" totalsRowDxfId="7625">
      <totalsRowFormula>SUM(April15_2021[AKOSOMBO_AGO])</totalsRowFormula>
    </tableColumn>
    <tableColumn id="7" xr3:uid="{C1237B35-FFE1-4FAE-ACCD-09CD60A3F964}" name="DATE" dataDxfId="7624" totalsRowDxfId="7623">
      <calculatedColumnFormula>$G$3</calculatedColumnFormula>
    </tableColumn>
  </tableColumns>
  <tableStyleInfo showFirstColumn="0" showLastColumn="0" showRowStripes="1" showColumnStripes="0"/>
</table>
</file>

<file path=xl/tables/table3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8" xr:uid="{23C9D4F4-1C5A-4F54-936E-7EA9C0AFD767}" name="April16_2021" displayName="April16_2021" ref="B5:H21" totalsRowCount="1" headerRowDxfId="7622" headerRowBorderDxfId="7621" tableBorderDxfId="7620" totalsRowBorderDxfId="7619">
  <autoFilter ref="B5:H20" xr:uid="{3FA0A6CC-DDF5-4614-88A5-D9448B59849E}"/>
  <sortState xmlns:xlrd2="http://schemas.microsoft.com/office/spreadsheetml/2017/richdata2" ref="B6:H18">
    <sortCondition ref="B6"/>
  </sortState>
  <tableColumns count="7">
    <tableColumn id="1" xr3:uid="{29D0CED4-3CF8-4DC5-A6B7-86EE08F8DDE6}" name="BDC LIST" totalsRowLabel="Total" dataDxfId="7618" totalsRowDxfId="7617"/>
    <tableColumn id="2" xr3:uid="{9C3FFC4D-9157-4730-BEB4-3EEABC2742E8}" name="KSI_AGO" totalsRowFunction="custom" dataDxfId="7616" totalsRowDxfId="7615">
      <totalsRowFormula>SUM(April16_2021[KSI_AGO])</totalsRowFormula>
    </tableColumn>
    <tableColumn id="3" xr3:uid="{D043BEE2-B811-4C51-9EA9-3A56DF7B4F4A}" name="KSI_PMS" totalsRowFunction="sum" dataDxfId="7614" totalsRowDxfId="7613"/>
    <tableColumn id="4" xr3:uid="{15B7EFB3-4C0E-4FF4-A007-FB0DE4224ECE}" name="BUIPE_AGO" totalsRowFunction="custom" dataDxfId="7612" totalsRowDxfId="7611">
      <totalsRowFormula>SUM(April16_2021[BUIPE_AGO])</totalsRowFormula>
    </tableColumn>
    <tableColumn id="5" xr3:uid="{2CFB1E9C-6B45-429E-8D0C-2DA0D3042178}" name="BUIPE_PMS" totalsRowFunction="custom" dataDxfId="7610" totalsRowDxfId="7609" dataCellStyle="Comma">
      <totalsRowFormula>SUM(April16_2021[BUIPE_PMS])</totalsRowFormula>
    </tableColumn>
    <tableColumn id="6" xr3:uid="{3DE1987E-5285-474B-9E42-ECB2A54D375D}" name="AKOSOMBO_AGO" totalsRowFunction="custom" dataDxfId="7608" totalsRowDxfId="7607">
      <totalsRowFormula>SUM(April16_2021[AKOSOMBO_AGO])</totalsRowFormula>
    </tableColumn>
    <tableColumn id="7" xr3:uid="{95188A98-7FF0-425A-ACC9-8B4C3AFC5565}" name="DATE" dataDxfId="7606" totalsRowDxfId="7605">
      <calculatedColumnFormula>$G$3</calculatedColumnFormula>
    </tableColumn>
  </tableColumns>
  <tableStyleInfo showFirstColumn="0" showLastColumn="0" showRowStripes="1" showColumnStripes="0"/>
</table>
</file>

<file path=xl/tables/table3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9" xr:uid="{CBA005CE-E6C7-4C04-B3C9-73C35EA8E9FA}" name="April17_2021" displayName="April17_2021" ref="B5:H21" totalsRowCount="1" headerRowDxfId="7604" headerRowBorderDxfId="7603" tableBorderDxfId="7602" totalsRowBorderDxfId="7601">
  <autoFilter ref="B5:H20" xr:uid="{9C17725C-7CD1-4FDD-8C50-8F439B906AB9}"/>
  <sortState xmlns:xlrd2="http://schemas.microsoft.com/office/spreadsheetml/2017/richdata2" ref="B6:H18">
    <sortCondition ref="B6"/>
  </sortState>
  <tableColumns count="7">
    <tableColumn id="1" xr3:uid="{C3950A39-CB7A-4767-B999-9347879EF5F6}" name="BDC LIST" totalsRowLabel="Total" dataDxfId="7600" totalsRowDxfId="7599"/>
    <tableColumn id="2" xr3:uid="{FE863234-8F48-4BA1-A42E-4514763268B8}" name="KSI_AGO" totalsRowFunction="custom" dataDxfId="7598" totalsRowDxfId="7597">
      <totalsRowFormula>SUM(April17_2021[KSI_AGO])</totalsRowFormula>
    </tableColumn>
    <tableColumn id="3" xr3:uid="{9DF46EB6-3CF0-4BCD-BFC1-DCAACE838314}" name="KSI_PMS" totalsRowFunction="sum" dataDxfId="7596" totalsRowDxfId="7595"/>
    <tableColumn id="4" xr3:uid="{2E0CD457-DDAD-46E1-B7F5-01E6939D3CE4}" name="BUIPE_AGO" totalsRowFunction="custom" dataDxfId="7594" totalsRowDxfId="7593">
      <totalsRowFormula>SUM(April17_2021[BUIPE_AGO])</totalsRowFormula>
    </tableColumn>
    <tableColumn id="5" xr3:uid="{773A2B44-9640-4026-8938-2466BE6C00F2}" name="BUIPE_PMS" totalsRowFunction="custom" dataDxfId="7592" totalsRowDxfId="7591" dataCellStyle="Comma">
      <totalsRowFormula>SUM(April17_2021[BUIPE_PMS])</totalsRowFormula>
    </tableColumn>
    <tableColumn id="6" xr3:uid="{327EA389-CD55-4F0E-821B-44DDD4C818A0}" name="AKOSOMBO_AGO" totalsRowFunction="custom" dataDxfId="7590" totalsRowDxfId="7589">
      <totalsRowFormula>SUM(April17_2021[AKOSOMBO_AGO])</totalsRowFormula>
    </tableColumn>
    <tableColumn id="7" xr3:uid="{D6F593B0-BE05-4CDF-AC99-ADFC54B3BB22}" name="DATE" dataDxfId="7588" totalsRowDxfId="7587">
      <calculatedColumnFormula>$G$3</calculatedColumnFormula>
    </tableColumn>
  </tableColumns>
  <tableStyleInfo showFirstColumn="0" showLastColumn="0" showRowStripes="1" showColumnStripes="0"/>
</table>
</file>

<file path=xl/tables/table3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0" xr:uid="{CBE163A3-1331-4D2A-9F57-3742243CCE31}" name="April19_2021" displayName="April19_2021" ref="B5:H21" totalsRowCount="1" headerRowDxfId="7586" headerRowBorderDxfId="7585" tableBorderDxfId="7584" totalsRowBorderDxfId="7583">
  <autoFilter ref="B5:H20" xr:uid="{2B7DDA67-9006-4718-B788-3CB3D0D9579E}"/>
  <sortState xmlns:xlrd2="http://schemas.microsoft.com/office/spreadsheetml/2017/richdata2" ref="B6:H18">
    <sortCondition ref="B6"/>
  </sortState>
  <tableColumns count="7">
    <tableColumn id="1" xr3:uid="{397A88D6-2656-429A-8F85-7DB4FDA18EF0}" name="BDC LIST" totalsRowLabel="Total" dataDxfId="7582" totalsRowDxfId="7581"/>
    <tableColumn id="2" xr3:uid="{2FDD973E-CB56-4B0B-9BA0-2B455FA4D2F0}" name="KSI_AGO" totalsRowFunction="custom" dataDxfId="7580" totalsRowDxfId="7579">
      <totalsRowFormula>SUM(April19_2021[KSI_AGO])</totalsRowFormula>
    </tableColumn>
    <tableColumn id="3" xr3:uid="{B27B8B6F-9EC6-436B-8759-55CB46BAB6F6}" name="KSI_PMS" totalsRowFunction="sum" dataDxfId="7578" totalsRowDxfId="7577"/>
    <tableColumn id="4" xr3:uid="{CBE17993-97B9-432A-A21E-F1C61113DEC5}" name="BUIPE_AGO" totalsRowFunction="custom" dataDxfId="7576" totalsRowDxfId="7575">
      <totalsRowFormula>SUM(April19_2021[BUIPE_AGO])</totalsRowFormula>
    </tableColumn>
    <tableColumn id="5" xr3:uid="{3027565D-52DD-47D3-B769-0A004B06279F}" name="BUIPE_PMS" totalsRowFunction="custom" dataDxfId="7574" totalsRowDxfId="7573" dataCellStyle="Comma">
      <totalsRowFormula>SUM(April19_2021[BUIPE_PMS])</totalsRowFormula>
    </tableColumn>
    <tableColumn id="6" xr3:uid="{0FB471E3-6595-4519-AC7B-F5FA43FF8C50}" name="AKOSOMBO_AGO" totalsRowFunction="custom" dataDxfId="7572" totalsRowDxfId="7571">
      <totalsRowFormula>SUM(April19_2021[AKOSOMBO_AGO])</totalsRowFormula>
    </tableColumn>
    <tableColumn id="7" xr3:uid="{211BF170-827F-4837-B619-043CB386DE81}" name="DATE" dataDxfId="7570" totalsRowDxfId="7569">
      <calculatedColumnFormula>$G$3</calculatedColumnFormula>
    </tableColumn>
  </tableColumns>
  <tableStyleInfo showFirstColumn="0" showLastColumn="0" showRowStripes="1" showColumnStripes="0"/>
</table>
</file>

<file path=xl/tables/table3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1" xr:uid="{FAFE5185-6275-4E6C-8F58-266D8F7F4EA0}" name="April20_2021" displayName="April20_2021" ref="B5:H21" totalsRowCount="1" headerRowDxfId="7568" headerRowBorderDxfId="7567" tableBorderDxfId="7566" totalsRowBorderDxfId="7565">
  <autoFilter ref="B5:H20" xr:uid="{FB6E35AD-A765-481F-8CEF-E70ADBE521D3}"/>
  <sortState xmlns:xlrd2="http://schemas.microsoft.com/office/spreadsheetml/2017/richdata2" ref="B6:H18">
    <sortCondition ref="B6"/>
  </sortState>
  <tableColumns count="7">
    <tableColumn id="1" xr3:uid="{3A3F66D2-AE14-404C-A091-F20A2B6999A1}" name="BDC LIST" totalsRowLabel="Total" dataDxfId="7564" totalsRowDxfId="7563"/>
    <tableColumn id="2" xr3:uid="{316C183F-7E75-49CA-A9BE-5060C4E4ABC4}" name="KSI_AGO" totalsRowFunction="custom" dataDxfId="7562" totalsRowDxfId="7561">
      <totalsRowFormula>SUM(April20_2021[KSI_AGO])</totalsRowFormula>
    </tableColumn>
    <tableColumn id="3" xr3:uid="{7D027FE6-ECC8-4E86-B0C0-966172735419}" name="KSI_PMS" totalsRowFunction="sum" dataDxfId="7560" totalsRowDxfId="7559"/>
    <tableColumn id="4" xr3:uid="{ABE6441D-AAF1-4A8E-B29B-E234E9D17917}" name="BUIPE_AGO" totalsRowFunction="custom" dataDxfId="7558" totalsRowDxfId="7557">
      <totalsRowFormula>SUM(April20_2021[BUIPE_AGO])</totalsRowFormula>
    </tableColumn>
    <tableColumn id="5" xr3:uid="{BAF60145-4C58-41DA-A20E-FA8361EA4A09}" name="BUIPE_PMS" totalsRowFunction="custom" dataDxfId="7556" totalsRowDxfId="7555" dataCellStyle="Comma">
      <totalsRowFormula>SUM(April20_2021[BUIPE_PMS])</totalsRowFormula>
    </tableColumn>
    <tableColumn id="6" xr3:uid="{72B1174E-CC0E-47C9-AA2C-E55A91E3FDF2}" name="AKOSOMBO_AGO" totalsRowFunction="custom" dataDxfId="7554" totalsRowDxfId="7553">
      <totalsRowFormula>SUM(April20_2021[AKOSOMBO_AGO])</totalsRowFormula>
    </tableColumn>
    <tableColumn id="7" xr3:uid="{0F70B505-B876-4AB0-851E-67164A97ED1D}" name="DATE" dataDxfId="7552" totalsRowDxfId="7551">
      <calculatedColumnFormula>$G$3</calculatedColumnFormula>
    </tableColumn>
  </tableColumns>
  <tableStyleInfo showFirstColumn="0" showLastColumn="0" showRowStripes="1" showColumnStripes="0"/>
</table>
</file>

<file path=xl/tables/table3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2" xr:uid="{A1E25FAB-CFBC-4D7A-8291-B6652E31E9FF}" name="April21_2021" displayName="April21_2021" ref="B5:H21" totalsRowCount="1" headerRowDxfId="7550" headerRowBorderDxfId="7549" tableBorderDxfId="7548" totalsRowBorderDxfId="7547">
  <autoFilter ref="B5:H20" xr:uid="{105B4694-210E-46D4-8F97-67FE28F6C1C5}"/>
  <sortState xmlns:xlrd2="http://schemas.microsoft.com/office/spreadsheetml/2017/richdata2" ref="B6:H18">
    <sortCondition ref="B6"/>
  </sortState>
  <tableColumns count="7">
    <tableColumn id="1" xr3:uid="{9FC6AB67-D8AA-443E-B48A-09536C73F5CE}" name="BDC LIST" totalsRowLabel="Total" dataDxfId="7546" totalsRowDxfId="7545"/>
    <tableColumn id="2" xr3:uid="{F2390E00-4D16-4A8B-93F0-1C67D3F83A53}" name="KSI_AGO" totalsRowFunction="custom" dataDxfId="7544" totalsRowDxfId="7543">
      <totalsRowFormula>SUM(April21_2021[KSI_AGO])</totalsRowFormula>
    </tableColumn>
    <tableColumn id="3" xr3:uid="{91463DF7-16FD-4E9E-A265-6E4595F6C403}" name="KSI_PMS" totalsRowFunction="sum" dataDxfId="7542" totalsRowDxfId="7541"/>
    <tableColumn id="4" xr3:uid="{17FBF97E-4AD9-4F71-94D7-842270A7B115}" name="BUIPE_AGO" totalsRowFunction="custom" dataDxfId="7540" totalsRowDxfId="7539">
      <totalsRowFormula>SUM(April21_2021[BUIPE_AGO])</totalsRowFormula>
    </tableColumn>
    <tableColumn id="5" xr3:uid="{6CC4B085-0F29-4915-B86F-1459E81FBA09}" name="BUIPE_PMS" totalsRowFunction="custom" dataDxfId="7538" totalsRowDxfId="7537" dataCellStyle="Comma">
      <totalsRowFormula>SUM(April21_2021[BUIPE_PMS])</totalsRowFormula>
    </tableColumn>
    <tableColumn id="6" xr3:uid="{73E66E32-E91A-4C01-88CD-39F1ABF3C402}" name="AKOSOMBO_AGO" totalsRowFunction="custom" dataDxfId="7536" totalsRowDxfId="7535">
      <totalsRowFormula>SUM(April21_2021[AKOSOMBO_AGO])</totalsRowFormula>
    </tableColumn>
    <tableColumn id="7" xr3:uid="{B001A240-A6DE-4F52-A433-5C2E11310E56}" name="DATE" dataDxfId="7534" totalsRowDxfId="7533">
      <calculatedColumnFormula>$G$3</calculatedColumnFormula>
    </tableColumn>
  </tableColumns>
  <tableStyleInfo showFirstColumn="0" showLastColumn="0" showRowStripes="1" showColumnStripes="0"/>
</table>
</file>

<file path=xl/tables/table3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4" xr:uid="{874006F3-03E6-4A42-BC40-7FB103818022}" name="April22_2021" displayName="April22_2021" ref="B5:H21" totalsRowCount="1" headerRowDxfId="7532" headerRowBorderDxfId="7531" tableBorderDxfId="7530" totalsRowBorderDxfId="7529">
  <autoFilter ref="B5:H20" xr:uid="{20E48007-1898-4E31-8035-921708B03659}"/>
  <sortState xmlns:xlrd2="http://schemas.microsoft.com/office/spreadsheetml/2017/richdata2" ref="B6:H18">
    <sortCondition ref="B6"/>
  </sortState>
  <tableColumns count="7">
    <tableColumn id="1" xr3:uid="{CB1C43A8-3562-470B-945F-1E0A2E62DC83}" name="BDC LIST" totalsRowLabel="Total" dataDxfId="7528" totalsRowDxfId="7527"/>
    <tableColumn id="2" xr3:uid="{24ECDCF4-39C9-4547-AB95-AEFE0ABBCC81}" name="KSI_AGO" totalsRowFunction="custom" dataDxfId="7526" totalsRowDxfId="7525">
      <totalsRowFormula>SUM(April22_2021[KSI_AGO])</totalsRowFormula>
    </tableColumn>
    <tableColumn id="3" xr3:uid="{64D46637-0046-4FDB-8B23-B84E19FFAA1F}" name="KSI_PMS" totalsRowFunction="sum" dataDxfId="7524" totalsRowDxfId="7523"/>
    <tableColumn id="4" xr3:uid="{EA9DF696-61D3-422E-87BF-00E54EFC2159}" name="BUIPE_AGO" totalsRowFunction="custom" dataDxfId="7522" totalsRowDxfId="7521">
      <totalsRowFormula>SUM(April22_2021[BUIPE_AGO])</totalsRowFormula>
    </tableColumn>
    <tableColumn id="5" xr3:uid="{090670AC-BCA2-4B06-A0FC-91251DB23887}" name="BUIPE_PMS" totalsRowFunction="custom" dataDxfId="7520" totalsRowDxfId="7519" dataCellStyle="Comma">
      <totalsRowFormula>SUM(April22_2021[BUIPE_PMS])</totalsRowFormula>
    </tableColumn>
    <tableColumn id="6" xr3:uid="{CB8A66C8-23ED-4422-A920-DFD10CE3125D}" name="AKOSOMBO_AGO" totalsRowFunction="custom" dataDxfId="7518" totalsRowDxfId="7517">
      <totalsRowFormula>SUM(April22_2021[AKOSOMBO_AGO])</totalsRowFormula>
    </tableColumn>
    <tableColumn id="7" xr3:uid="{2DE8EF1A-D907-4AB5-8E0F-F8A2339627A1}" name="DATE" dataDxfId="7516" totalsRowDxfId="7515">
      <calculatedColumnFormula>$G$3</calculatedColumnFormula>
    </tableColumn>
  </tableColumns>
  <tableStyleInfo showFirstColumn="0" showLastColumn="0" showRowStripes="1" showColumnStripes="0"/>
</table>
</file>

<file path=xl/tables/table3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3" xr:uid="{E3FA7844-6E49-42B5-B064-B0AEA9E8F930}" name="April23_2021" displayName="April23_2021" ref="B5:H21" totalsRowCount="1" headerRowDxfId="7514" headerRowBorderDxfId="7513" tableBorderDxfId="7512" totalsRowBorderDxfId="7511">
  <autoFilter ref="B5:H20" xr:uid="{439C5137-0AF5-4985-8AD5-77E7E645C535}"/>
  <sortState xmlns:xlrd2="http://schemas.microsoft.com/office/spreadsheetml/2017/richdata2" ref="B6:H18">
    <sortCondition ref="B6"/>
  </sortState>
  <tableColumns count="7">
    <tableColumn id="1" xr3:uid="{6D37C876-03F3-485A-BD22-BFB03B7D5235}" name="BDC LIST" totalsRowLabel="Total" dataDxfId="7510" totalsRowDxfId="7509"/>
    <tableColumn id="2" xr3:uid="{38B6166C-7D87-4733-9667-0FC482E34B11}" name="KSI_AGO" totalsRowFunction="custom" dataDxfId="7508" totalsRowDxfId="7507">
      <totalsRowFormula>SUM(April23_2021[KSI_AGO])</totalsRowFormula>
    </tableColumn>
    <tableColumn id="3" xr3:uid="{5FDC317A-6AC6-40E7-95E3-5530615A99B1}" name="KSI_PMS" totalsRowFunction="sum" dataDxfId="7506" totalsRowDxfId="7505"/>
    <tableColumn id="4" xr3:uid="{D84D94AF-6949-4CDA-A714-B353DB3AF198}" name="BUIPE_AGO" totalsRowFunction="custom" dataDxfId="7504" totalsRowDxfId="7503">
      <totalsRowFormula>SUM(April23_2021[BUIPE_AGO])</totalsRowFormula>
    </tableColumn>
    <tableColumn id="5" xr3:uid="{21F60684-11BC-4D0A-9B05-EEAD0558B148}" name="BUIPE_PMS" totalsRowFunction="custom" dataDxfId="7502" totalsRowDxfId="7501" dataCellStyle="Comma">
      <totalsRowFormula>SUM(April23_2021[BUIPE_PMS])</totalsRowFormula>
    </tableColumn>
    <tableColumn id="6" xr3:uid="{3AF30532-6085-4B14-B666-60FDD3DD880A}" name="AKOSOMBO_AGO" totalsRowFunction="custom" dataDxfId="7500" totalsRowDxfId="7499">
      <totalsRowFormula>SUM(April23_2021[AKOSOMBO_AGO])</totalsRowFormula>
    </tableColumn>
    <tableColumn id="7" xr3:uid="{6B2F7981-E673-4D28-8B18-5EB5EF3491C1}" name="DATE" dataDxfId="7498" totalsRowDxfId="7497">
      <calculatedColumnFormula>$G$3</calculatedColumnFormula>
    </tableColumn>
  </tableColumns>
  <tableStyleInfo showFirstColumn="0" showLastColumn="0" showRowStripes="1" showColumnStripes="0"/>
</table>
</file>

<file path=xl/tables/table3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4" xr:uid="{A101FFFD-16F2-49FD-8362-20FE5A1B3AF3}" name="April26_2021" displayName="April26_2021" ref="B5:H21" totalsRowCount="1" headerRowDxfId="7496" headerRowBorderDxfId="7495" tableBorderDxfId="7494" totalsRowBorderDxfId="7493">
  <autoFilter ref="B5:H20" xr:uid="{96471A8F-E52E-4775-9693-BE86655F0EF9}"/>
  <sortState xmlns:xlrd2="http://schemas.microsoft.com/office/spreadsheetml/2017/richdata2" ref="B6:H18">
    <sortCondition ref="B6"/>
  </sortState>
  <tableColumns count="7">
    <tableColumn id="1" xr3:uid="{D6F6361E-0596-426E-96E5-0FC928EB9429}" name="BDC LIST" totalsRowLabel="Total" dataDxfId="7492" totalsRowDxfId="7491"/>
    <tableColumn id="2" xr3:uid="{ADE71CDD-996B-4AAE-99E1-3D53D220F1AC}" name="KSI_AGO" totalsRowFunction="custom" dataDxfId="7490" totalsRowDxfId="7489">
      <totalsRowFormula>SUM(April26_2021[KSI_AGO])</totalsRowFormula>
    </tableColumn>
    <tableColumn id="3" xr3:uid="{6FEBCCB5-E6A2-4C72-B33E-0DCEB6E30BF2}" name="KSI_PMS" totalsRowFunction="sum" dataDxfId="7488" totalsRowDxfId="7487"/>
    <tableColumn id="4" xr3:uid="{87DF083B-514A-4713-B1B7-8367707D98A5}" name="BUIPE_AGO" totalsRowFunction="custom" dataDxfId="7486" totalsRowDxfId="7485">
      <totalsRowFormula>SUM(April26_2021[BUIPE_AGO])</totalsRowFormula>
    </tableColumn>
    <tableColumn id="5" xr3:uid="{BB2DB2DB-8372-4CE6-B8EB-7007C0C9989F}" name="BUIPE_PMS" totalsRowFunction="custom" dataDxfId="7484" totalsRowDxfId="7483" dataCellStyle="Comma">
      <totalsRowFormula>SUM(April26_2021[BUIPE_PMS])</totalsRowFormula>
    </tableColumn>
    <tableColumn id="6" xr3:uid="{9DC87CB3-7846-4A58-8340-CC97BB252374}" name="AKOSOMBO_AGO" totalsRowFunction="custom" dataDxfId="7482" totalsRowDxfId="7481">
      <totalsRowFormula>SUM(April26_2021[AKOSOMBO_AGO])</totalsRowFormula>
    </tableColumn>
    <tableColumn id="7" xr3:uid="{9D84E350-C943-4F45-8FD0-09C2F7F34574}" name="DATE" dataDxfId="7480" totalsRowDxfId="7479">
      <calculatedColumnFormula>$G$3</calculatedColumnFormula>
    </tableColumn>
  </tableColumns>
  <tableStyleInfo showFirstColumn="0" showLastColumn="0" showRowStripes="1" showColumnStripes="0"/>
</table>
</file>

<file path=xl/tables/table3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5" xr:uid="{DF61029A-450F-41DD-9F4E-7071D02AC2E3}" name="April27_2021" displayName="April27_2021" ref="B5:H21" totalsRowCount="1" headerRowDxfId="7478" headerRowBorderDxfId="7477" tableBorderDxfId="7476" totalsRowBorderDxfId="7475">
  <autoFilter ref="B5:H20" xr:uid="{E6783D7A-0B9F-4D60-9B69-7C5A72D6913E}"/>
  <sortState xmlns:xlrd2="http://schemas.microsoft.com/office/spreadsheetml/2017/richdata2" ref="B6:H18">
    <sortCondition ref="B6"/>
  </sortState>
  <tableColumns count="7">
    <tableColumn id="1" xr3:uid="{6199D254-0C9A-460A-88A7-C89638239D37}" name="BDC LIST" totalsRowLabel="Total" dataDxfId="7474" totalsRowDxfId="7473"/>
    <tableColumn id="2" xr3:uid="{65878961-CAA4-47C3-BAA4-9B2D68547709}" name="KSI_AGO" totalsRowFunction="custom" dataDxfId="7472" totalsRowDxfId="7471">
      <totalsRowFormula>SUM(April27_2021[KSI_AGO])</totalsRowFormula>
    </tableColumn>
    <tableColumn id="3" xr3:uid="{38FC69CC-E3B5-4DC2-983F-416B04C910DE}" name="KSI_PMS" totalsRowFunction="sum" dataDxfId="7470" totalsRowDxfId="7469"/>
    <tableColumn id="4" xr3:uid="{80547F2D-4D6C-4C6A-B7B8-AF44CB3D7A4E}" name="BUIPE_AGO" totalsRowFunction="custom" dataDxfId="7468" totalsRowDxfId="7467">
      <totalsRowFormula>SUM(April27_2021[BUIPE_AGO])</totalsRowFormula>
    </tableColumn>
    <tableColumn id="5" xr3:uid="{0F42D731-C971-4922-9FF5-B8FBE0D02847}" name="BUIPE_PMS" totalsRowFunction="custom" dataDxfId="7466" totalsRowDxfId="7465" dataCellStyle="Comma">
      <totalsRowFormula>SUM(April27_2021[BUIPE_PMS])</totalsRowFormula>
    </tableColumn>
    <tableColumn id="6" xr3:uid="{588F9646-34F2-42EA-808B-7D1204E61F04}" name="AKOSOMBO_AGO" totalsRowFunction="custom" dataDxfId="7464" totalsRowDxfId="7463">
      <totalsRowFormula>SUM(April27_2021[AKOSOMBO_AGO])</totalsRowFormula>
    </tableColumn>
    <tableColumn id="7" xr3:uid="{45A19BDB-26B1-4C9D-AEAE-721668FE9A30}" name="DATE" dataDxfId="7462" totalsRowDxfId="7461">
      <calculatedColumnFormula>$G$3</calculatedColumnFormula>
    </tableColumn>
  </tableColumns>
  <tableStyleInfo showFirstColumn="0" showLastColumn="0" showRowStripes="1" showColumnStripes="0"/>
</table>
</file>

<file path=xl/tables/table3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6" xr:uid="{FE62CF63-972D-436E-A6BE-3A7A00804EB6}" name="April28_2021" displayName="April28_2021" ref="B5:H21" totalsRowCount="1" headerRowDxfId="7460" headerRowBorderDxfId="7459" tableBorderDxfId="7458" totalsRowBorderDxfId="7457">
  <autoFilter ref="B5:H20" xr:uid="{3C507921-4839-4F6A-8ACD-355282251469}"/>
  <sortState xmlns:xlrd2="http://schemas.microsoft.com/office/spreadsheetml/2017/richdata2" ref="B6:H18">
    <sortCondition ref="B6"/>
  </sortState>
  <tableColumns count="7">
    <tableColumn id="1" xr3:uid="{970FFA76-839F-4E8B-9D85-320A4C633A46}" name="BDC LIST" totalsRowLabel="Total" dataDxfId="7456" totalsRowDxfId="7455"/>
    <tableColumn id="2" xr3:uid="{0616ACB0-7124-4968-B0C0-F7EEFCDA1678}" name="KSI_AGO" totalsRowFunction="custom" dataDxfId="7454" totalsRowDxfId="7453">
      <totalsRowFormula>SUM(April28_2021[KSI_AGO])</totalsRowFormula>
    </tableColumn>
    <tableColumn id="3" xr3:uid="{5E48190E-29A8-4CD6-90D9-FF438E14E88B}" name="KSI_PMS" totalsRowFunction="sum" dataDxfId="7452" totalsRowDxfId="7451"/>
    <tableColumn id="4" xr3:uid="{66B5E539-E86D-417C-BAC8-38979C4D2B31}" name="BUIPE_AGO" totalsRowFunction="custom" dataDxfId="7450" totalsRowDxfId="7449">
      <totalsRowFormula>SUM(April28_2021[BUIPE_AGO])</totalsRowFormula>
    </tableColumn>
    <tableColumn id="5" xr3:uid="{3E6635DE-6914-480D-9107-3B2CB22FCB93}" name="BUIPE_PMS" totalsRowFunction="custom" dataDxfId="7448" totalsRowDxfId="7447" dataCellStyle="Comma">
      <totalsRowFormula>SUM(April28_2021[BUIPE_PMS])</totalsRowFormula>
    </tableColumn>
    <tableColumn id="6" xr3:uid="{0FBB12C8-5D8D-4648-8889-4236732F3C9B}" name="AKOSOMBO_AGO" totalsRowFunction="custom" dataDxfId="7446" totalsRowDxfId="7445">
      <totalsRowFormula>SUM(April28_2021[AKOSOMBO_AGO])</totalsRowFormula>
    </tableColumn>
    <tableColumn id="7" xr3:uid="{F1D411ED-1366-4B00-890B-E58F49D55D84}" name="DATE" dataDxfId="7444" totalsRowDxfId="7443">
      <calculatedColumnFormula>$G$3</calculatedColumnFormula>
    </tableColumn>
  </tableColumns>
  <tableStyleInfo showFirstColumn="0" showLastColumn="0" showRowStripes="1" showColumnStripes="0"/>
</table>
</file>

<file path=xl/tables/table3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7" xr:uid="{893DFCC3-3560-456F-BEF1-001760F098B9}" name="April29_2021" displayName="April29_2021" ref="B5:H21" totalsRowCount="1" headerRowDxfId="7442" headerRowBorderDxfId="7441" tableBorderDxfId="7440" totalsRowBorderDxfId="7439">
  <autoFilter ref="B5:H20" xr:uid="{CFF7CCAA-4C3F-450E-9756-7188B5259357}"/>
  <sortState xmlns:xlrd2="http://schemas.microsoft.com/office/spreadsheetml/2017/richdata2" ref="B6:H18">
    <sortCondition ref="B6"/>
  </sortState>
  <tableColumns count="7">
    <tableColumn id="1" xr3:uid="{55D4FC3C-841D-4A73-A646-1A538E87132F}" name="BDC LIST" totalsRowLabel="Total" dataDxfId="7438" totalsRowDxfId="7437"/>
    <tableColumn id="2" xr3:uid="{DB305585-D840-4547-8C2C-C05C9248C012}" name="KSI_AGO" totalsRowFunction="custom" dataDxfId="7436" totalsRowDxfId="7435">
      <totalsRowFormula>SUM(April29_2021[KSI_AGO])</totalsRowFormula>
    </tableColumn>
    <tableColumn id="3" xr3:uid="{68B21057-3138-41A0-9476-445B8DB98EA9}" name="KSI_PMS" totalsRowFunction="sum" dataDxfId="7434" totalsRowDxfId="7433"/>
    <tableColumn id="4" xr3:uid="{54FCCAF4-F2DE-478F-A5FE-0874E40996C7}" name="BUIPE_AGO" totalsRowFunction="custom" dataDxfId="7432" totalsRowDxfId="7431">
      <totalsRowFormula>SUM(April29_2021[BUIPE_AGO])</totalsRowFormula>
    </tableColumn>
    <tableColumn id="5" xr3:uid="{829D9D50-F833-413C-B0BF-11B646487C6B}" name="BUIPE_PMS" totalsRowFunction="custom" dataDxfId="7430" totalsRowDxfId="7429" dataCellStyle="Comma">
      <totalsRowFormula>SUM(April29_2021[BUIPE_PMS])</totalsRowFormula>
    </tableColumn>
    <tableColumn id="6" xr3:uid="{056361FC-ECD2-4829-855D-7B846D20C60F}" name="AKOSOMBO_AGO" totalsRowFunction="custom" dataDxfId="7428" totalsRowDxfId="7427">
      <totalsRowFormula>SUM(April29_2021[AKOSOMBO_AGO])</totalsRowFormula>
    </tableColumn>
    <tableColumn id="7" xr3:uid="{C766D6F7-02F0-4B26-8104-F4236EF3A44B}" name="DATE" dataDxfId="7426" totalsRowDxfId="7425">
      <calculatedColumnFormula>$G$3</calculatedColumnFormula>
    </tableColumn>
  </tableColumns>
  <tableStyleInfo showFirstColumn="0" showLastColumn="0" showRowStripes="1" showColumnStripes="0"/>
</table>
</file>

<file path=xl/tables/table3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3" xr:uid="{CFEBD5A3-DA3F-48E6-A0F1-A5BE8CD44BE5}" name="April30_2021" displayName="April30_2021" ref="B5:H21" totalsRowCount="1" headerRowDxfId="7424" headerRowBorderDxfId="7423" tableBorderDxfId="7422" totalsRowBorderDxfId="7421">
  <autoFilter ref="B5:H20" xr:uid="{3C361D31-CCCD-40D0-8624-26BC405B7A5F}"/>
  <sortState xmlns:xlrd2="http://schemas.microsoft.com/office/spreadsheetml/2017/richdata2" ref="B6:H18">
    <sortCondition ref="B6"/>
  </sortState>
  <tableColumns count="7">
    <tableColumn id="1" xr3:uid="{AD183953-1410-442F-A466-5A378E889A0E}" name="BDC LIST" totalsRowLabel="Total" dataDxfId="7420" totalsRowDxfId="7419"/>
    <tableColumn id="2" xr3:uid="{FDED613D-48C7-4C76-835F-DB540E1E136B}" name="KSI_AGO" totalsRowFunction="custom" dataDxfId="7418" totalsRowDxfId="7417">
      <totalsRowFormula>SUM(April30_2021[KSI_AGO])</totalsRowFormula>
    </tableColumn>
    <tableColumn id="3" xr3:uid="{7B1579B4-C605-47A3-8DB9-E89352EE6766}" name="KSI_PMS" totalsRowFunction="sum" dataDxfId="7416" totalsRowDxfId="7415"/>
    <tableColumn id="4" xr3:uid="{2CC7C13D-1152-4619-B6F7-DAAD28491EE3}" name="BUIPE_AGO" totalsRowFunction="custom" dataDxfId="7414" totalsRowDxfId="7413">
      <totalsRowFormula>SUM(April30_2021[BUIPE_AGO])</totalsRowFormula>
    </tableColumn>
    <tableColumn id="5" xr3:uid="{EE81896A-19E3-494F-AB0F-ACB2E188DEF4}" name="BUIPE_PMS" totalsRowFunction="custom" dataDxfId="7412" totalsRowDxfId="7411" dataCellStyle="Comma">
      <totalsRowFormula>SUM(April30_2021[BUIPE_PMS])</totalsRowFormula>
    </tableColumn>
    <tableColumn id="6" xr3:uid="{C0AA979A-3868-4C6A-B911-2D51EDEF5BD3}" name="AKOSOMBO_AGO" totalsRowFunction="custom" dataDxfId="7410" totalsRowDxfId="7409">
      <totalsRowFormula>SUM(April30_2021[AKOSOMBO_AGO])</totalsRowFormula>
    </tableColumn>
    <tableColumn id="7" xr3:uid="{695BAF21-8253-4843-95B9-482698388D99}" name="DATE" dataDxfId="7408" totalsRowDxfId="7407">
      <calculatedColumnFormula>$G$3</calculatedColumnFormula>
    </tableColumn>
  </tableColumns>
  <tableStyleInfo showFirstColumn="0" showLastColumn="0" showRowStripes="1" showColumnStripes="0"/>
</table>
</file>

<file path=xl/tables/table3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3" xr:uid="{BF5FA086-F2D2-4D88-AC16-BD93042B04BB}" name="May05_2021" displayName="May05_2021" ref="B5:H21" totalsRowCount="1" headerRowDxfId="7406" headerRowBorderDxfId="7405" tableBorderDxfId="7404" totalsRowBorderDxfId="7403">
  <autoFilter ref="B5:H20" xr:uid="{70476C21-6BF1-470F-8168-88F1763922E6}"/>
  <sortState xmlns:xlrd2="http://schemas.microsoft.com/office/spreadsheetml/2017/richdata2" ref="B6:H18">
    <sortCondition ref="B6"/>
  </sortState>
  <tableColumns count="7">
    <tableColumn id="1" xr3:uid="{146C7348-9AB9-4456-89BB-1699FD12DB43}" name="BDC LIST" totalsRowLabel="Total" dataDxfId="7402" totalsRowDxfId="7401"/>
    <tableColumn id="2" xr3:uid="{2AC32825-7638-4FA6-9926-5923158F7343}" name="KSI_AGO" totalsRowFunction="custom" dataDxfId="7400" totalsRowDxfId="7399">
      <totalsRowFormula>SUM(May05_2021[KSI_AGO])</totalsRowFormula>
    </tableColumn>
    <tableColumn id="3" xr3:uid="{0A34AA91-5DFC-4F4E-AB90-218EE179655C}" name="KSI_PMS" totalsRowFunction="sum" dataDxfId="7398" totalsRowDxfId="7397"/>
    <tableColumn id="4" xr3:uid="{EB753F41-57D8-467C-92CE-49B4C47E2D0E}" name="BUIPE_AGO" totalsRowFunction="custom" dataDxfId="7396" totalsRowDxfId="7395">
      <totalsRowFormula>SUM(May05_2021[BUIPE_AGO])</totalsRowFormula>
    </tableColumn>
    <tableColumn id="5" xr3:uid="{AA8F88B6-11C9-4306-9510-08477E8CDCEA}" name="BUIPE_PMS" totalsRowFunction="custom" dataDxfId="7394" totalsRowDxfId="7393" dataCellStyle="Comma">
      <totalsRowFormula>SUM(May05_2021[BUIPE_PMS])</totalsRowFormula>
    </tableColumn>
    <tableColumn id="6" xr3:uid="{FF2BE9CC-8B99-43AD-B5F9-D44636BE814C}" name="AKOSOMBO_AGO" totalsRowFunction="custom" dataDxfId="7392" totalsRowDxfId="7391">
      <totalsRowFormula>SUM(May05_2021[AKOSOMBO_AGO])</totalsRowFormula>
    </tableColumn>
    <tableColumn id="7" xr3:uid="{33304556-6A24-4E1F-8D1A-AED076BB689F}" name="DATE" dataDxfId="7390" totalsRowDxfId="7389">
      <calculatedColumnFormula>$G$3</calculatedColumnFormula>
    </tableColumn>
  </tableColumns>
  <tableStyleInfo showFirstColumn="0" showLastColumn="0" showRowStripes="1" showColumnStripes="0"/>
</table>
</file>

<file path=xl/tables/table3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4" xr:uid="{2035355A-DE81-4CC8-BC32-1B0F9FA45C55}" name="May06_2021" displayName="May06_2021" ref="B5:H21" totalsRowCount="1" headerRowDxfId="7388" headerRowBorderDxfId="7387" tableBorderDxfId="7386" totalsRowBorderDxfId="7385">
  <autoFilter ref="B5:H20" xr:uid="{5D947314-1D09-4D42-99CF-3E7EE2AEB449}"/>
  <sortState xmlns:xlrd2="http://schemas.microsoft.com/office/spreadsheetml/2017/richdata2" ref="B6:H18">
    <sortCondition ref="B6"/>
  </sortState>
  <tableColumns count="7">
    <tableColumn id="1" xr3:uid="{8E2EB110-F63C-46DC-A849-4BB271FA2A84}" name="BDC LIST" totalsRowLabel="Total" dataDxfId="7384" totalsRowDxfId="7383"/>
    <tableColumn id="2" xr3:uid="{E8623848-270B-4F34-A025-1775FE0E14F9}" name="KSI_AGO" totalsRowFunction="custom" dataDxfId="7382" totalsRowDxfId="7381">
      <totalsRowFormula>SUM(May06_2021[KSI_AGO])</totalsRowFormula>
    </tableColumn>
    <tableColumn id="3" xr3:uid="{682E3BA7-0107-4C5B-A8EB-7F691BCEC2A9}" name="KSI_PMS" totalsRowFunction="sum" dataDxfId="7380" totalsRowDxfId="7379"/>
    <tableColumn id="4" xr3:uid="{61571D4A-3817-4030-BEFD-F0CA2D44686A}" name="BUIPE_AGO" totalsRowFunction="custom" dataDxfId="7378" totalsRowDxfId="7377">
      <totalsRowFormula>SUM(May06_2021[BUIPE_AGO])</totalsRowFormula>
    </tableColumn>
    <tableColumn id="5" xr3:uid="{63779E1A-29DB-44D3-BAE7-CE40F4229A63}" name="BUIPE_PMS" totalsRowFunction="custom" dataDxfId="7376" totalsRowDxfId="7375" dataCellStyle="Comma">
      <totalsRowFormula>SUM(May06_2021[BUIPE_PMS])</totalsRowFormula>
    </tableColumn>
    <tableColumn id="6" xr3:uid="{8079CEBE-F353-4250-974E-AEF941CBF4F5}" name="AKOSOMBO_AGO" totalsRowFunction="custom" dataDxfId="7374" totalsRowDxfId="7373">
      <totalsRowFormula>SUM(May06_2021[AKOSOMBO_AGO])</totalsRowFormula>
    </tableColumn>
    <tableColumn id="7" xr3:uid="{E9795104-4006-4C9A-9A4A-53E749FB541E}" name="DATE" dataDxfId="7372" totalsRowDxfId="7371">
      <calculatedColumnFormula>$G$3</calculatedColumnFormula>
    </tableColumn>
  </tableColumns>
  <tableStyleInfo showFirstColumn="0" showLastColumn="0" showRowStripes="1" showColumnStripes="0"/>
</table>
</file>

<file path=xl/tables/table3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6" xr:uid="{637EC818-331E-4987-BB61-9A09B0992182}" name="May07_2021" displayName="May07_2021" ref="B5:H21" totalsRowCount="1" headerRowDxfId="7370" headerRowBorderDxfId="7369" tableBorderDxfId="7368" totalsRowBorderDxfId="7367">
  <autoFilter ref="B5:H20" xr:uid="{B7E60925-E011-469F-92CD-D159D7877719}"/>
  <sortState xmlns:xlrd2="http://schemas.microsoft.com/office/spreadsheetml/2017/richdata2" ref="B6:H18">
    <sortCondition ref="B6"/>
  </sortState>
  <tableColumns count="7">
    <tableColumn id="1" xr3:uid="{D0BE9CF1-81C8-477F-8B95-2611AF8D2562}" name="BDC LIST" totalsRowLabel="Total" dataDxfId="7366" totalsRowDxfId="7365"/>
    <tableColumn id="2" xr3:uid="{133FEE10-0A25-4C8A-B983-686A917224A8}" name="KSI_AGO" totalsRowFunction="custom" dataDxfId="7364" totalsRowDxfId="7363">
      <totalsRowFormula>SUM(May07_2021[KSI_AGO])</totalsRowFormula>
    </tableColumn>
    <tableColumn id="3" xr3:uid="{1D0C404A-C867-4109-90E4-95B590EDA276}" name="KSI_PMS" totalsRowFunction="sum" dataDxfId="7362" totalsRowDxfId="7361"/>
    <tableColumn id="4" xr3:uid="{BAF91CF9-BDA2-4CD6-9B8F-3D6BA2DF9835}" name="BUIPE_AGO" totalsRowFunction="custom" dataDxfId="7360" totalsRowDxfId="7359">
      <totalsRowFormula>SUM(May07_2021[BUIPE_AGO])</totalsRowFormula>
    </tableColumn>
    <tableColumn id="5" xr3:uid="{5C94417B-BC9D-4AF5-B7C4-6843EEE07301}" name="BUIPE_PMS" totalsRowFunction="custom" dataDxfId="7358" totalsRowDxfId="7357" dataCellStyle="Comma">
      <totalsRowFormula>SUM(May07_2021[BUIPE_PMS])</totalsRowFormula>
    </tableColumn>
    <tableColumn id="6" xr3:uid="{5CF8FE20-341C-467A-BD37-DAED4B437FC3}" name="AKOSOMBO_AGO" totalsRowFunction="custom" dataDxfId="7356" totalsRowDxfId="7355">
      <totalsRowFormula>SUM(May07_2021[AKOSOMBO_AGO])</totalsRowFormula>
    </tableColumn>
    <tableColumn id="7" xr3:uid="{E7F92B40-A279-4377-B7F0-0D41F6B8E655}" name="DATE" dataDxfId="7354" totalsRowDxfId="7353">
      <calculatedColumnFormula>$G$3</calculatedColumnFormula>
    </tableColumn>
  </tableColumns>
  <tableStyleInfo showFirstColumn="0" showLastColumn="0" showRowStripes="1" showColumnStripes="0"/>
</table>
</file>

<file path=xl/tables/table3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7" xr:uid="{32CE644D-119A-4FF9-85F5-BA6158D93C6A}" name="May10_2021" displayName="May10_2021" ref="B5:H21" totalsRowCount="1" headerRowDxfId="7352" headerRowBorderDxfId="7351" tableBorderDxfId="7350" totalsRowBorderDxfId="7349">
  <autoFilter ref="B5:H20" xr:uid="{CA2A02E6-9775-4ED4-8143-276CE305E858}"/>
  <sortState xmlns:xlrd2="http://schemas.microsoft.com/office/spreadsheetml/2017/richdata2" ref="B6:H18">
    <sortCondition ref="B6"/>
  </sortState>
  <tableColumns count="7">
    <tableColumn id="1" xr3:uid="{2541EF28-E804-4306-AE04-EF89CD367F60}" name="BDC LIST" totalsRowLabel="Total" dataDxfId="7348" totalsRowDxfId="7347"/>
    <tableColumn id="2" xr3:uid="{B2509BE1-69B8-4F01-B541-5EE900F81FBF}" name="KSI_AGO" totalsRowFunction="custom" dataDxfId="7346" totalsRowDxfId="7345">
      <totalsRowFormula>SUM(May10_2021[KSI_AGO])</totalsRowFormula>
    </tableColumn>
    <tableColumn id="3" xr3:uid="{983C3343-A79E-4370-B459-3A1836E07BA8}" name="KSI_PMS" totalsRowFunction="sum" dataDxfId="7344" totalsRowDxfId="7343"/>
    <tableColumn id="4" xr3:uid="{3D550C20-7112-41F9-826A-F706BBD5DA33}" name="BUIPE_AGO" totalsRowFunction="custom" dataDxfId="7342" totalsRowDxfId="7341">
      <totalsRowFormula>SUM(May10_2021[BUIPE_AGO])</totalsRowFormula>
    </tableColumn>
    <tableColumn id="5" xr3:uid="{C0693718-EA20-49CA-AC7A-28B9E9AFA622}" name="BUIPE_PMS" totalsRowFunction="custom" dataDxfId="7340" totalsRowDxfId="7339" dataCellStyle="Comma">
      <totalsRowFormula>SUM(May10_2021[BUIPE_PMS])</totalsRowFormula>
    </tableColumn>
    <tableColumn id="6" xr3:uid="{9DB57313-F618-4FF0-9273-348ABB52028E}" name="AKOSOMBO_AGO" totalsRowFunction="custom" dataDxfId="7338" totalsRowDxfId="7337">
      <totalsRowFormula>SUM(May10_2021[AKOSOMBO_AGO])</totalsRowFormula>
    </tableColumn>
    <tableColumn id="7" xr3:uid="{BE795862-0347-468F-9C42-0963B983B7DC}" name="DATE" dataDxfId="7336" totalsRowDxfId="7335">
      <calculatedColumnFormula>$G$3</calculatedColumnFormula>
    </tableColumn>
  </tableColumns>
  <tableStyleInfo showFirstColumn="0" showLastColumn="0" showRowStripes="1" showColumnStripes="0"/>
</table>
</file>

<file path=xl/tables/table3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8" xr:uid="{7782D821-06D8-4884-BAE2-D26B5AFBD69D}" name="May11_2021" displayName="May11_2021" ref="B5:H21" totalsRowCount="1" headerRowDxfId="7334" headerRowBorderDxfId="7333" tableBorderDxfId="7332" totalsRowBorderDxfId="7331">
  <autoFilter ref="B5:H20" xr:uid="{0936601F-36BD-4116-A114-3FCF3CE5FBCD}"/>
  <sortState xmlns:xlrd2="http://schemas.microsoft.com/office/spreadsheetml/2017/richdata2" ref="B6:H18">
    <sortCondition ref="B6"/>
  </sortState>
  <tableColumns count="7">
    <tableColumn id="1" xr3:uid="{75BE99B1-AAEB-4070-8C64-E7C551FB9224}" name="BDC LIST" totalsRowLabel="Total" dataDxfId="7330" totalsRowDxfId="7329"/>
    <tableColumn id="2" xr3:uid="{0820AC6B-3B05-4EDD-9E0D-759AB2B19CDE}" name="KSI_AGO" totalsRowFunction="custom" dataDxfId="7328" totalsRowDxfId="7327">
      <totalsRowFormula>SUM(May11_2021[KSI_AGO])</totalsRowFormula>
    </tableColumn>
    <tableColumn id="3" xr3:uid="{15489F80-9FEC-456B-AF17-E9C5418DCC32}" name="KSI_PMS" totalsRowFunction="sum" dataDxfId="7326" totalsRowDxfId="7325"/>
    <tableColumn id="4" xr3:uid="{FA0F4FF4-EA24-44F1-A157-4298C29B41F1}" name="BUIPE_AGO" totalsRowFunction="custom" dataDxfId="7324" totalsRowDxfId="7323">
      <totalsRowFormula>SUM(May11_2021[BUIPE_AGO])</totalsRowFormula>
    </tableColumn>
    <tableColumn id="5" xr3:uid="{CF6A4E37-B6A4-4E15-818F-0847F53FF03B}" name="BUIPE_PMS" totalsRowFunction="custom" dataDxfId="7322" totalsRowDxfId="7321" dataCellStyle="Comma">
      <totalsRowFormula>SUM(May11_2021[BUIPE_PMS])</totalsRowFormula>
    </tableColumn>
    <tableColumn id="6" xr3:uid="{5FFA2F8B-C937-4FB5-8201-BC7B51E25B8C}" name="AKOSOMBO_AGO" totalsRowFunction="custom" dataDxfId="7320" totalsRowDxfId="7319">
      <totalsRowFormula>SUM(May11_2021[AKOSOMBO_AGO])</totalsRowFormula>
    </tableColumn>
    <tableColumn id="7" xr3:uid="{553A2925-ECF7-4C7F-AE89-975168E11473}" name="DATE" dataDxfId="7318" totalsRowDxfId="7317">
      <calculatedColumnFormula>$G$3</calculatedColumnFormula>
    </tableColumn>
  </tableColumns>
  <tableStyleInfo showFirstColumn="0" showLastColumn="0" showRowStripes="1" showColumnStripes="0"/>
</table>
</file>

<file path=xl/tables/table3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0" xr:uid="{648AECE5-5C53-4EB3-AC76-1AF38A445C17}" name="May12_2021" displayName="May12_2021" ref="B5:H22" totalsRowCount="1" headerRowDxfId="7316" headerRowBorderDxfId="7315" tableBorderDxfId="7314" totalsRowBorderDxfId="7313">
  <autoFilter ref="B5:H21" xr:uid="{5B602D9A-AC8D-4D3B-832F-91650AFA82BC}"/>
  <sortState xmlns:xlrd2="http://schemas.microsoft.com/office/spreadsheetml/2017/richdata2" ref="B6:H19">
    <sortCondition ref="B6"/>
  </sortState>
  <tableColumns count="7">
    <tableColumn id="1" xr3:uid="{108C6C9A-F1E5-41AB-9DDE-5DCFBB1FCEB8}" name="BDC LIST" totalsRowLabel="Total" dataDxfId="7312" totalsRowDxfId="7311"/>
    <tableColumn id="2" xr3:uid="{A9964707-A967-4382-9348-6E8668D6CF84}" name="KSI_AGO" totalsRowFunction="custom" dataDxfId="7310" totalsRowDxfId="7309">
      <totalsRowFormula>SUM(May12_2021[KSI_AGO])</totalsRowFormula>
    </tableColumn>
    <tableColumn id="3" xr3:uid="{83F35A86-E981-40D9-BD74-D8AB82493449}" name="KSI_PMS" totalsRowFunction="sum" dataDxfId="7308" totalsRowDxfId="7307"/>
    <tableColumn id="4" xr3:uid="{3F3196B4-0D3F-4632-BCB7-B38854541833}" name="BUIPE_AGO" totalsRowFunction="custom" dataDxfId="7306" totalsRowDxfId="7305">
      <totalsRowFormula>SUM(May12_2021[BUIPE_AGO])</totalsRowFormula>
    </tableColumn>
    <tableColumn id="5" xr3:uid="{124B6F49-F706-4BB8-B755-8008AEA5F32A}" name="BUIPE_PMS" totalsRowFunction="custom" dataDxfId="7304" totalsRowDxfId="7303" dataCellStyle="Comma">
      <totalsRowFormula>SUM(May12_2021[BUIPE_PMS])</totalsRowFormula>
    </tableColumn>
    <tableColumn id="6" xr3:uid="{D137154F-DEBB-4A96-90F3-7DA437E5A7AF}" name="AKOSOMBO_AGO" totalsRowFunction="custom" dataDxfId="7302" totalsRowDxfId="7301">
      <totalsRowFormula>SUM(May12_2021[AKOSOMBO_AGO])</totalsRowFormula>
    </tableColumn>
    <tableColumn id="7" xr3:uid="{CB23336F-0ED4-4EE8-ABAE-54FD07FC4C59}" name="DATE" dataDxfId="7300" totalsRowDxfId="7299">
      <calculatedColumnFormula>$G$3</calculatedColumnFormula>
    </tableColumn>
  </tableColumns>
  <tableStyleInfo showFirstColumn="0" showLastColumn="0" showRowStripes="1" showColumnStripes="0"/>
</table>
</file>

<file path=xl/tables/table3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9" xr:uid="{CA266EE2-50B9-4AD0-B32A-41E42F53D632}" name="May14_2021" displayName="May14_2021" ref="B5:H22" totalsRowCount="1" headerRowDxfId="7298" headerRowBorderDxfId="7297" tableBorderDxfId="7296" totalsRowBorderDxfId="7295">
  <autoFilter ref="B5:H21" xr:uid="{4A663B67-10AC-4194-B701-E539F21E283B}"/>
  <sortState xmlns:xlrd2="http://schemas.microsoft.com/office/spreadsheetml/2017/richdata2" ref="B6:H21">
    <sortCondition ref="B6:B21"/>
  </sortState>
  <tableColumns count="7">
    <tableColumn id="1" xr3:uid="{88E4BADE-8606-4157-B0EF-9EA6518F4C40}" name="BDC LIST" totalsRowLabel="Total" dataDxfId="7294" totalsRowDxfId="7293"/>
    <tableColumn id="2" xr3:uid="{EFE400BF-DE5B-4609-B279-C4CD0A0B6AFE}" name="KSI_AGO" totalsRowFunction="custom" dataDxfId="7292" totalsRowDxfId="7291">
      <totalsRowFormula>SUM(May14_2021[KSI_AGO])</totalsRowFormula>
    </tableColumn>
    <tableColumn id="3" xr3:uid="{44B642B8-9167-4091-ABBE-0E34A679A858}" name="KSI_PMS" totalsRowFunction="sum" dataDxfId="7290" totalsRowDxfId="7289"/>
    <tableColumn id="4" xr3:uid="{04AFEECA-12E4-4DDB-A487-77785D44C9BC}" name="BUIPE_AGO" totalsRowFunction="custom" dataDxfId="7288" totalsRowDxfId="7287">
      <totalsRowFormula>SUM(May14_2021[BUIPE_AGO])</totalsRowFormula>
    </tableColumn>
    <tableColumn id="5" xr3:uid="{9A7CFE31-450C-4B35-A496-5B74E1751865}" name="BUIPE_PMS" totalsRowFunction="custom" dataDxfId="7286" totalsRowDxfId="7285" dataCellStyle="Comma">
      <totalsRowFormula>SUM(May14_2021[BUIPE_PMS])</totalsRowFormula>
    </tableColumn>
    <tableColumn id="6" xr3:uid="{47790D39-A648-40CC-A861-09ABE70AABBF}" name="AKOSOMBO_AGO" totalsRowFunction="custom" dataDxfId="7284" totalsRowDxfId="7283">
      <totalsRowFormula>SUM(May14_2021[AKOSOMBO_AGO])</totalsRowFormula>
    </tableColumn>
    <tableColumn id="7" xr3:uid="{E88C45F2-7F83-44CB-9833-46F0B602443A}" name="DATE" dataDxfId="7282" totalsRowDxfId="7281">
      <calculatedColumnFormula>$G$3</calculatedColumnFormula>
    </tableColumn>
  </tableColumns>
  <tableStyleInfo showFirstColumn="0" showLastColumn="0" showRowStripes="1" showColumnStripes="0"/>
</table>
</file>

<file path=xl/tables/table3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0" xr:uid="{A683F617-CAC1-46FF-9E21-78100FB6C7FA}" name="May17_2021" displayName="May17_2021" ref="B5:H22" totalsRowCount="1" headerRowDxfId="7280" headerRowBorderDxfId="7279" tableBorderDxfId="7278" totalsRowBorderDxfId="7277">
  <autoFilter ref="B5:H21" xr:uid="{2753D9B4-EC32-4FD4-98EB-D75E4EA347F7}"/>
  <sortState xmlns:xlrd2="http://schemas.microsoft.com/office/spreadsheetml/2017/richdata2" ref="B6:H21">
    <sortCondition ref="B6:B21"/>
  </sortState>
  <tableColumns count="7">
    <tableColumn id="1" xr3:uid="{1BA8B6CB-649D-4300-86AE-8EE1292203F3}" name="BDC LIST" totalsRowLabel="Total" dataDxfId="7276" totalsRowDxfId="7275"/>
    <tableColumn id="2" xr3:uid="{E798DE64-0E52-461F-A52A-ADA38BC7B878}" name="KSI_AGO" totalsRowFunction="custom" dataDxfId="7274" totalsRowDxfId="7273">
      <totalsRowFormula>SUM(May17_2021[KSI_AGO])</totalsRowFormula>
    </tableColumn>
    <tableColumn id="3" xr3:uid="{4AD38DA8-C2DA-44A4-8E42-AE02F0C04C8A}" name="KSI_PMS" totalsRowFunction="sum" dataDxfId="7272" totalsRowDxfId="7271"/>
    <tableColumn id="4" xr3:uid="{F1041C89-A3D2-47E2-8130-32493D97A82F}" name="BUIPE_AGO" totalsRowFunction="custom" dataDxfId="7270" totalsRowDxfId="7269">
      <totalsRowFormula>SUM(May17_2021[BUIPE_AGO])</totalsRowFormula>
    </tableColumn>
    <tableColumn id="5" xr3:uid="{2955396F-DA46-4C78-923D-85E14344B045}" name="BUIPE_PMS" totalsRowFunction="custom" dataDxfId="7268" totalsRowDxfId="7267" dataCellStyle="Comma">
      <totalsRowFormula>SUM(May17_2021[BUIPE_PMS])</totalsRowFormula>
    </tableColumn>
    <tableColumn id="6" xr3:uid="{B6BB1009-7BAF-497F-9CFF-DB8BB4F869BB}" name="AKOSOMBO_AGO" totalsRowFunction="custom" dataDxfId="7266" totalsRowDxfId="7265">
      <totalsRowFormula>SUM(May17_2021[AKOSOMBO_AGO])</totalsRowFormula>
    </tableColumn>
    <tableColumn id="7" xr3:uid="{9560C23E-2B69-40B1-ACB8-2DA12F8130EE}" name="DATE" dataDxfId="7264" totalsRowDxfId="7263">
      <calculatedColumnFormula>$G$3</calculatedColumnFormula>
    </tableColumn>
  </tableColumns>
  <tableStyleInfo showFirstColumn="0" showLastColumn="0" showRowStripes="1" showColumnStripes="0"/>
</table>
</file>

<file path=xl/tables/table3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1" xr:uid="{070AB32F-70F0-4F38-A2D7-A8A13F2B8450}" name="May18_2021" displayName="May18_2021" ref="B5:H22" totalsRowCount="1" headerRowDxfId="7262" headerRowBorderDxfId="7261" tableBorderDxfId="7260" totalsRowBorderDxfId="7259">
  <autoFilter ref="B5:H21" xr:uid="{83A46121-7454-4022-8293-D2053A26DFB2}"/>
  <sortState xmlns:xlrd2="http://schemas.microsoft.com/office/spreadsheetml/2017/richdata2" ref="B6:H21">
    <sortCondition ref="B6:B21"/>
  </sortState>
  <tableColumns count="7">
    <tableColumn id="1" xr3:uid="{8DE50D5B-DB66-4C8C-B4B9-34B543B69D53}" name="BDC LIST" totalsRowLabel="Total" dataDxfId="7258" totalsRowDxfId="7257"/>
    <tableColumn id="2" xr3:uid="{1321A159-222E-4EE9-89B9-A4CC191D8DE0}" name="KSI_AGO" totalsRowFunction="custom" dataDxfId="7256" totalsRowDxfId="7255">
      <totalsRowFormula>SUM(May18_2021[KSI_AGO])</totalsRowFormula>
    </tableColumn>
    <tableColumn id="3" xr3:uid="{744F4CE1-9F27-4F90-8021-8A8A0F088E40}" name="KSI_PMS" totalsRowFunction="sum" dataDxfId="7254" totalsRowDxfId="7253"/>
    <tableColumn id="4" xr3:uid="{7508391F-C236-4EE5-94E8-121EB4916C8D}" name="BUIPE_AGO" totalsRowFunction="custom" dataDxfId="7252" totalsRowDxfId="7251">
      <totalsRowFormula>SUM(May18_2021[BUIPE_AGO])</totalsRowFormula>
    </tableColumn>
    <tableColumn id="5" xr3:uid="{677B6813-FAD4-459B-8C26-AE5D97430D68}" name="BUIPE_PMS" totalsRowFunction="custom" dataDxfId="7250" totalsRowDxfId="7249" dataCellStyle="Comma">
      <totalsRowFormula>SUM(May18_2021[BUIPE_PMS])</totalsRowFormula>
    </tableColumn>
    <tableColumn id="6" xr3:uid="{A236CCD8-0844-401C-82E9-CA36B6090D24}" name="AKOSOMBO_AGO" totalsRowFunction="custom" dataDxfId="7248" totalsRowDxfId="7247">
      <totalsRowFormula>SUM(May18_2021[AKOSOMBO_AGO])</totalsRowFormula>
    </tableColumn>
    <tableColumn id="7" xr3:uid="{50AAED69-D973-4607-833B-DF842E8A077A}" name="DATE" dataDxfId="7246" totalsRowDxfId="7245">
      <calculatedColumnFormula>$G$3</calculatedColumnFormula>
    </tableColumn>
  </tableColumns>
  <tableStyleInfo showFirstColumn="0" showLastColumn="0" showRowStripes="1" showColumnStripes="0"/>
</table>
</file>

<file path=xl/tables/table3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2" xr:uid="{CE33A648-63EA-4786-8C79-F3D4844AB3FD}" name="May19_2021" displayName="May19_2021" ref="B5:H22" totalsRowCount="1" headerRowDxfId="7244" headerRowBorderDxfId="7243" tableBorderDxfId="7242" totalsRowBorderDxfId="7241">
  <autoFilter ref="B5:H21" xr:uid="{2BCF3490-3A6B-4DAB-AEE5-A4BC45298FCF}"/>
  <sortState xmlns:xlrd2="http://schemas.microsoft.com/office/spreadsheetml/2017/richdata2" ref="B6:H21">
    <sortCondition ref="B6:B21"/>
  </sortState>
  <tableColumns count="7">
    <tableColumn id="1" xr3:uid="{DEE24920-9012-4E40-BCA3-5FD3680AE8A9}" name="BDC LIST" totalsRowLabel="Total" dataDxfId="7240" totalsRowDxfId="7239"/>
    <tableColumn id="2" xr3:uid="{A47AE19F-86F3-4BB0-9622-621E1C6FEFBB}" name="KSI_AGO" totalsRowFunction="custom" dataDxfId="7238" totalsRowDxfId="7237">
      <totalsRowFormula>SUM(May19_2021[KSI_AGO])</totalsRowFormula>
    </tableColumn>
    <tableColumn id="3" xr3:uid="{B9C7C1D7-128E-48E6-9C1D-E3EA080DFCBC}" name="KSI_PMS" totalsRowFunction="sum" dataDxfId="7236" totalsRowDxfId="7235"/>
    <tableColumn id="4" xr3:uid="{397D4BCC-5F61-4E88-BC49-F4307A1E29FB}" name="BUIPE_AGO" totalsRowFunction="custom" dataDxfId="7234" totalsRowDxfId="7233">
      <totalsRowFormula>SUM(May19_2021[BUIPE_AGO])</totalsRowFormula>
    </tableColumn>
    <tableColumn id="5" xr3:uid="{63C5DA3E-944F-49D5-8F4F-F4BA22A4B404}" name="BUIPE_PMS" totalsRowFunction="custom" dataDxfId="7232" totalsRowDxfId="7231" dataCellStyle="Comma">
      <totalsRowFormula>SUM(May19_2021[BUIPE_PMS])</totalsRowFormula>
    </tableColumn>
    <tableColumn id="6" xr3:uid="{4EEDCDFB-8281-4017-AC10-3D9823927386}" name="AKOSOMBO_AGO" totalsRowFunction="custom" dataDxfId="7230" totalsRowDxfId="7229">
      <totalsRowFormula>SUM(May19_2021[AKOSOMBO_AGO])</totalsRowFormula>
    </tableColumn>
    <tableColumn id="7" xr3:uid="{C6AA9171-20B1-4257-8EDA-990903AFC78A}" name="DATE" dataDxfId="7228" totalsRowDxfId="7227">
      <calculatedColumnFormula>$G$3</calculatedColumnFormula>
    </tableColumn>
  </tableColumns>
  <tableStyleInfo showFirstColumn="0" showLastColumn="0" showRowStripes="1" showColumnStripes="0"/>
</table>
</file>

<file path=xl/tables/table3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5" xr:uid="{36DC0752-12A8-4DE3-A79A-C048CDF2FF78}" name="May20_2021" displayName="May20_2021" ref="B5:H22" totalsRowCount="1" headerRowDxfId="7226" headerRowBorderDxfId="7225" tableBorderDxfId="7224" totalsRowBorderDxfId="7223">
  <autoFilter ref="B5:H21" xr:uid="{BB12C4F4-9D9B-4EC0-90D1-FFA49F1CE0BE}"/>
  <sortState xmlns:xlrd2="http://schemas.microsoft.com/office/spreadsheetml/2017/richdata2" ref="B6:H21">
    <sortCondition ref="B6:B21"/>
  </sortState>
  <tableColumns count="7">
    <tableColumn id="1" xr3:uid="{B783B562-C771-439A-B806-9B3920192CEB}" name="BDC LIST" totalsRowLabel="Total" dataDxfId="7222" totalsRowDxfId="7221"/>
    <tableColumn id="2" xr3:uid="{4CFF73EE-6D69-45AA-ABE8-C2F3790A75B2}" name="KSI_AGO" totalsRowFunction="custom" dataDxfId="7220" totalsRowDxfId="7219">
      <totalsRowFormula>SUM(May20_2021[KSI_AGO])</totalsRowFormula>
    </tableColumn>
    <tableColumn id="3" xr3:uid="{79102588-BCEF-4441-99C6-1F0546BB2ACF}" name="KSI_PMS" totalsRowFunction="sum" dataDxfId="7218" totalsRowDxfId="7217"/>
    <tableColumn id="4" xr3:uid="{8D7409A3-D6CD-4D03-BAA3-93879D72AD08}" name="BUIPE_AGO" totalsRowFunction="custom" dataDxfId="7216" totalsRowDxfId="7215">
      <totalsRowFormula>SUM(May20_2021[BUIPE_AGO])</totalsRowFormula>
    </tableColumn>
    <tableColumn id="5" xr3:uid="{A87E0D76-B215-48F4-A846-DA84446A57D7}" name="BUIPE_PMS" totalsRowFunction="custom" dataDxfId="7214" totalsRowDxfId="7213" dataCellStyle="Comma">
      <totalsRowFormula>SUM(May20_2021[BUIPE_PMS])</totalsRowFormula>
    </tableColumn>
    <tableColumn id="6" xr3:uid="{276966BE-75F8-4B68-B38B-C4773AFD99FA}" name="AKOSOMBO_AGO" totalsRowFunction="custom" dataDxfId="7212" totalsRowDxfId="7211">
      <totalsRowFormula>SUM(May20_2021[AKOSOMBO_AGO])</totalsRowFormula>
    </tableColumn>
    <tableColumn id="7" xr3:uid="{0D8BC05F-957B-4F72-AF4F-FA119CC19583}" name="DATE" dataDxfId="7210" totalsRowDxfId="7209">
      <calculatedColumnFormula>$G$3</calculatedColumnFormula>
    </tableColumn>
  </tableColumns>
  <tableStyleInfo showFirstColumn="0" showLastColumn="0" showRowStripes="1" showColumnStripes="0"/>
</table>
</file>

<file path=xl/tables/table3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8" xr:uid="{9FF3E793-8983-42CB-964E-FAACA10FC5F8}" name="May21_2021" displayName="May21_2021" ref="B5:H22" totalsRowCount="1" headerRowDxfId="7208" headerRowBorderDxfId="7207" tableBorderDxfId="7206" totalsRowBorderDxfId="7205">
  <autoFilter ref="B5:H21" xr:uid="{2ED34728-7D33-426B-AD8C-7D5B9277B052}"/>
  <sortState xmlns:xlrd2="http://schemas.microsoft.com/office/spreadsheetml/2017/richdata2" ref="B6:H21">
    <sortCondition ref="B6:B21"/>
  </sortState>
  <tableColumns count="7">
    <tableColumn id="1" xr3:uid="{DF3B360A-EE28-4F7D-B97C-6D18469EBF7D}" name="BDC LIST" totalsRowLabel="Total" dataDxfId="7204" totalsRowDxfId="7203"/>
    <tableColumn id="2" xr3:uid="{4CC6F2C0-7791-48A3-8586-0EF5BF0FB3EC}" name="KSI_AGO" totalsRowFunction="custom" dataDxfId="7202" totalsRowDxfId="7201">
      <totalsRowFormula>SUM(May21_2021[KSI_AGO])</totalsRowFormula>
    </tableColumn>
    <tableColumn id="3" xr3:uid="{EB3DC628-FAE5-40E5-92DB-3A1311C85447}" name="KSI_PMS" totalsRowFunction="sum" dataDxfId="7200" totalsRowDxfId="7199"/>
    <tableColumn id="4" xr3:uid="{E9211776-7CA9-47E4-82FD-B197E02F7E4C}" name="BUIPE_AGO" totalsRowFunction="custom" dataDxfId="7198" totalsRowDxfId="7197">
      <totalsRowFormula>SUM(May21_2021[BUIPE_AGO])</totalsRowFormula>
    </tableColumn>
    <tableColumn id="5" xr3:uid="{939B8BE0-3771-4C21-A1A3-37E5E7008280}" name="BUIPE_PMS" totalsRowFunction="custom" dataDxfId="7196" totalsRowDxfId="7195" dataCellStyle="Comma">
      <totalsRowFormula>SUM(May21_2021[BUIPE_PMS])</totalsRowFormula>
    </tableColumn>
    <tableColumn id="6" xr3:uid="{7723B63B-61E5-43E8-897D-D70FB9EE064B}" name="AKOSOMBO_AGO" totalsRowFunction="custom" dataDxfId="7194" totalsRowDxfId="7193">
      <totalsRowFormula>SUM(May21_2021[AKOSOMBO_AGO])</totalsRowFormula>
    </tableColumn>
    <tableColumn id="7" xr3:uid="{3B7CA7ED-2E69-4A4C-ACAB-811FD4F82B20}" name="DATE" dataDxfId="7192" totalsRowDxfId="7191">
      <calculatedColumnFormula>$G$3</calculatedColumnFormula>
    </tableColumn>
  </tableColumns>
  <tableStyleInfo showFirstColumn="0" showLastColumn="0" showRowStripes="1" showColumnStripes="0"/>
</table>
</file>

<file path=xl/tables/table3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9" xr:uid="{4D6D8EB7-EC37-4AD5-97D6-9D139EAFF67C}" name="May24_2021" displayName="May24_2021" ref="B5:H22" totalsRowCount="1" headerRowDxfId="7190" headerRowBorderDxfId="7189" tableBorderDxfId="7188" totalsRowBorderDxfId="7187">
  <autoFilter ref="B5:H21" xr:uid="{7E421AFB-1F5F-4CEC-B517-8E40B1B68224}"/>
  <sortState xmlns:xlrd2="http://schemas.microsoft.com/office/spreadsheetml/2017/richdata2" ref="B6:H21">
    <sortCondition ref="B6:B21"/>
  </sortState>
  <tableColumns count="7">
    <tableColumn id="1" xr3:uid="{165EF3CB-A03D-4B70-9ECC-B3EEA42A9DB3}" name="BDC LIST" totalsRowLabel="Total" dataDxfId="7186" totalsRowDxfId="7185"/>
    <tableColumn id="2" xr3:uid="{7E9AE50E-6791-4FF8-A7D2-9970B2E9D426}" name="KSI_AGO" totalsRowFunction="custom" dataDxfId="7184" totalsRowDxfId="7183">
      <totalsRowFormula>SUM(May24_2021[KSI_AGO])</totalsRowFormula>
    </tableColumn>
    <tableColumn id="3" xr3:uid="{8BBBD5B5-F9FF-4D65-8AAE-FC6E6910916E}" name="KSI_PMS" totalsRowFunction="sum" dataDxfId="7182" totalsRowDxfId="7181"/>
    <tableColumn id="4" xr3:uid="{1DB367C2-6596-48F5-9999-2DB3C52FAA08}" name="BUIPE_AGO" totalsRowFunction="custom" dataDxfId="7180" totalsRowDxfId="7179">
      <totalsRowFormula>SUM(May24_2021[BUIPE_AGO])</totalsRowFormula>
    </tableColumn>
    <tableColumn id="5" xr3:uid="{FD3903C4-5D94-44B8-82D0-77C3CF175EB0}" name="BUIPE_PMS" totalsRowFunction="custom" dataDxfId="7178" totalsRowDxfId="7177" dataCellStyle="Comma">
      <totalsRowFormula>SUM(May24_2021[BUIPE_PMS])</totalsRowFormula>
    </tableColumn>
    <tableColumn id="6" xr3:uid="{130192C9-D363-4CEA-8E3C-C318DFC19083}" name="AKOSOMBO_AGO" totalsRowFunction="custom" dataDxfId="7176" totalsRowDxfId="7175">
      <totalsRowFormula>SUM(May24_2021[AKOSOMBO_AGO])</totalsRowFormula>
    </tableColumn>
    <tableColumn id="7" xr3:uid="{930F6329-5C6F-4DDF-A3E5-3402C1E0083A}" name="DATE" dataDxfId="7174" totalsRowDxfId="7173">
      <calculatedColumnFormula>$G$3</calculatedColumnFormula>
    </tableColumn>
  </tableColumns>
  <tableStyleInfo showFirstColumn="0" showLastColumn="0" showRowStripes="1" showColumnStripes="0"/>
</table>
</file>

<file path=xl/tables/table3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1" xr:uid="{C262CC77-3B52-4E2B-8C2B-5B9BC1A000D1}" name="May25_2021" displayName="May25_2021" ref="B5:H22" totalsRowCount="1" headerRowDxfId="7172" headerRowBorderDxfId="7171" tableBorderDxfId="7170" totalsRowBorderDxfId="7169">
  <autoFilter ref="B5:H21" xr:uid="{6C3D5FF2-CCB8-4F17-995F-E90DB6CBAC4A}"/>
  <sortState xmlns:xlrd2="http://schemas.microsoft.com/office/spreadsheetml/2017/richdata2" ref="B6:H21">
    <sortCondition ref="B6:B21"/>
  </sortState>
  <tableColumns count="7">
    <tableColumn id="1" xr3:uid="{B294D1E3-6CA9-4CCF-93C6-764C90A03235}" name="BDC LIST" totalsRowLabel="Total" dataDxfId="7168" totalsRowDxfId="7167"/>
    <tableColumn id="2" xr3:uid="{1FF883E8-BBB8-4107-9E59-BFCA510BA67A}" name="KSI_AGO" totalsRowFunction="custom" dataDxfId="7166" totalsRowDxfId="7165">
      <totalsRowFormula>SUM(May25_2021[KSI_AGO])</totalsRowFormula>
    </tableColumn>
    <tableColumn id="3" xr3:uid="{9E5E6DBD-2FCE-4078-BC5C-C456E96C176C}" name="KSI_PMS" totalsRowFunction="sum" dataDxfId="7164" totalsRowDxfId="7163"/>
    <tableColumn id="4" xr3:uid="{EBDE4CA1-0F37-436A-8065-71A1149AC7F1}" name="BUIPE_AGO" totalsRowFunction="custom" dataDxfId="7162" totalsRowDxfId="7161">
      <totalsRowFormula>SUM(May25_2021[BUIPE_AGO])</totalsRowFormula>
    </tableColumn>
    <tableColumn id="5" xr3:uid="{A2F2AA0E-A640-4833-A5FC-63CF51EA3C9A}" name="BUIPE_PMS" totalsRowFunction="custom" dataDxfId="7160" totalsRowDxfId="7159" dataCellStyle="Comma">
      <totalsRowFormula>SUM(May25_2021[BUIPE_PMS])</totalsRowFormula>
    </tableColumn>
    <tableColumn id="6" xr3:uid="{C4BB6BA8-F674-4950-AD18-372E61DC1F5D}" name="AKOSOMBO_AGO" totalsRowFunction="custom" dataDxfId="7158" totalsRowDxfId="7157">
      <totalsRowFormula>SUM(May25_2021[AKOSOMBO_AGO])</totalsRowFormula>
    </tableColumn>
    <tableColumn id="7" xr3:uid="{386846AE-3E27-4BF0-9B17-E62D4E5B6593}" name="DATE" dataDxfId="7156" totalsRowDxfId="7155">
      <calculatedColumnFormula>$G$3</calculatedColumnFormula>
    </tableColumn>
  </tableColumns>
  <tableStyleInfo showFirstColumn="0" showLastColumn="0" showRowStripes="1" showColumnStripes="0"/>
</table>
</file>

<file path=xl/tables/table3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3" xr:uid="{66BE9B29-6194-4336-BF50-06D59AB8FA33}" name="May26_2021" displayName="May26_2021" ref="B5:H22" totalsRowCount="1" headerRowDxfId="7154" headerRowBorderDxfId="7153" tableBorderDxfId="7152" totalsRowBorderDxfId="7151">
  <autoFilter ref="B5:H21" xr:uid="{FF768F64-6ED1-4837-8211-F9A4F2AD7A4D}"/>
  <sortState xmlns:xlrd2="http://schemas.microsoft.com/office/spreadsheetml/2017/richdata2" ref="B6:H21">
    <sortCondition ref="B6:B21"/>
  </sortState>
  <tableColumns count="7">
    <tableColumn id="1" xr3:uid="{F3B64F5B-60D5-4DD1-844C-A9F12A6352B2}" name="BDC LIST" totalsRowLabel="Total" dataDxfId="7150" totalsRowDxfId="7149"/>
    <tableColumn id="2" xr3:uid="{26F6DD4B-9C70-4D7B-87F9-40B21DA234DD}" name="KSI_AGO" totalsRowFunction="custom" dataDxfId="7148" totalsRowDxfId="7147">
      <totalsRowFormula>SUM(May26_2021[KSI_AGO])</totalsRowFormula>
    </tableColumn>
    <tableColumn id="3" xr3:uid="{6BB8533D-117F-450F-B2F8-7C213A128320}" name="KSI_PMS" totalsRowFunction="sum" dataDxfId="7146" totalsRowDxfId="7145"/>
    <tableColumn id="4" xr3:uid="{1E0652FE-B6CF-46C6-8A45-65F9588935B0}" name="BUIPE_AGO" totalsRowFunction="custom" dataDxfId="7144" totalsRowDxfId="7143">
      <totalsRowFormula>SUM(May26_2021[BUIPE_AGO])</totalsRowFormula>
    </tableColumn>
    <tableColumn id="5" xr3:uid="{D0DBBB8B-AF61-49B6-BC87-2B19C3F2B5C7}" name="BUIPE_PMS" totalsRowFunction="custom" dataDxfId="7142" totalsRowDxfId="7141" dataCellStyle="Comma">
      <totalsRowFormula>SUM(May26_2021[BUIPE_PMS])</totalsRowFormula>
    </tableColumn>
    <tableColumn id="6" xr3:uid="{78515E4E-2F2A-4557-B836-0C99AC16ADC9}" name="AKOSOMBO_AGO" totalsRowFunction="custom" dataDxfId="7140" totalsRowDxfId="7139">
      <totalsRowFormula>SUM(May26_2021[AKOSOMBO_AGO])</totalsRowFormula>
    </tableColumn>
    <tableColumn id="7" xr3:uid="{1EE57F25-875B-4E55-80B8-91342F457FF4}" name="DATE" dataDxfId="7138" totalsRowDxfId="7137">
      <calculatedColumnFormula>$G$3</calculatedColumnFormula>
    </tableColumn>
  </tableColumns>
  <tableStyleInfo showFirstColumn="0" showLastColumn="0" showRowStripes="1" showColumnStripes="0"/>
</table>
</file>

<file path=xl/tables/table3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2" xr:uid="{0A50090D-B3EF-41AC-AB11-A5CE25C4B1F4}" name="May27_2021" displayName="May27_2021" ref="B5:H22" totalsRowCount="1" headerRowDxfId="7136" headerRowBorderDxfId="7135" tableBorderDxfId="7134" totalsRowBorderDxfId="7133">
  <autoFilter ref="B5:H21" xr:uid="{7BD4F3C6-283F-4329-9723-C22229F9F451}"/>
  <sortState xmlns:xlrd2="http://schemas.microsoft.com/office/spreadsheetml/2017/richdata2" ref="B6:H21">
    <sortCondition ref="B6:B21"/>
  </sortState>
  <tableColumns count="7">
    <tableColumn id="1" xr3:uid="{144B19C1-DDEF-4675-89D0-143FE57E1242}" name="BDC LIST" totalsRowLabel="Total" dataDxfId="7132" totalsRowDxfId="7131"/>
    <tableColumn id="2" xr3:uid="{5406A99F-2E0E-4403-8DB8-A6861D4FE716}" name="KSI_AGO" totalsRowFunction="custom" dataDxfId="7130" totalsRowDxfId="7129">
      <totalsRowFormula>SUM(May27_2021[KSI_AGO])</totalsRowFormula>
    </tableColumn>
    <tableColumn id="3" xr3:uid="{FA62781B-C3C9-4698-A16F-1867D77E7C51}" name="KSI_PMS" totalsRowFunction="sum" dataDxfId="7128" totalsRowDxfId="7127"/>
    <tableColumn id="4" xr3:uid="{17357444-4B74-4808-8012-F6BC21278476}" name="BUIPE_AGO" totalsRowFunction="custom" dataDxfId="7126" totalsRowDxfId="7125">
      <totalsRowFormula>SUM(May27_2021[BUIPE_AGO])</totalsRowFormula>
    </tableColumn>
    <tableColumn id="5" xr3:uid="{3845F69C-0588-481C-8994-7EE2B12093DB}" name="BUIPE_PMS" totalsRowFunction="custom" dataDxfId="7124" totalsRowDxfId="7123" dataCellStyle="Comma">
      <totalsRowFormula>SUM(May27_2021[BUIPE_PMS])</totalsRowFormula>
    </tableColumn>
    <tableColumn id="6" xr3:uid="{93DC2C92-C87E-4248-8F62-99CCCDA3B273}" name="AKOSOMBO_AGO" totalsRowFunction="custom" dataDxfId="7122" totalsRowDxfId="7121">
      <totalsRowFormula>SUM(May27_2021[AKOSOMBO_AGO])</totalsRowFormula>
    </tableColumn>
    <tableColumn id="7" xr3:uid="{3C997897-73C2-4F11-9A0A-5504CA903D5E}" name="DATE" dataDxfId="7120" totalsRowDxfId="7119">
      <calculatedColumnFormula>$G$3</calculatedColumnFormula>
    </tableColumn>
  </tableColumns>
  <tableStyleInfo showFirstColumn="0" showLastColumn="0" showRowStripes="1" showColumnStripes="0"/>
</table>
</file>

<file path=xl/tables/table3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4" xr:uid="{4B2A71DF-BF4A-4704-B3E2-E7C667DA984E}" name="May28_2021" displayName="May28_2021" ref="B5:H22" totalsRowCount="1" headerRowDxfId="7118" headerRowBorderDxfId="7117" tableBorderDxfId="7116" totalsRowBorderDxfId="7115">
  <autoFilter ref="B5:H21" xr:uid="{AEDA4871-2BA1-431F-8162-4A09AA77CFAF}"/>
  <sortState xmlns:xlrd2="http://schemas.microsoft.com/office/spreadsheetml/2017/richdata2" ref="B6:H21">
    <sortCondition ref="B6:B21"/>
  </sortState>
  <tableColumns count="7">
    <tableColumn id="1" xr3:uid="{3C6D95B6-E09F-4DEC-AA72-782B7219F74D}" name="BDC LIST" totalsRowLabel="Total" dataDxfId="7114" totalsRowDxfId="7113"/>
    <tableColumn id="2" xr3:uid="{71DF2B79-0CBA-4943-AE39-48E52BA988DF}" name="KSI_AGO" totalsRowFunction="custom" dataDxfId="7112" totalsRowDxfId="7111">
      <totalsRowFormula>SUM(May28_2021[KSI_AGO])</totalsRowFormula>
    </tableColumn>
    <tableColumn id="3" xr3:uid="{E3FE6987-8469-4F5D-A3F1-C5E7C52D784B}" name="KSI_PMS" totalsRowFunction="sum" dataDxfId="7110" totalsRowDxfId="7109"/>
    <tableColumn id="4" xr3:uid="{6BDF5D18-B13C-44F2-BD5A-C8D5291E5A4D}" name="BUIPE_AGO" totalsRowFunction="custom" dataDxfId="7108" totalsRowDxfId="7107">
      <totalsRowFormula>SUM(May28_2021[BUIPE_AGO])</totalsRowFormula>
    </tableColumn>
    <tableColumn id="5" xr3:uid="{DFB1907C-EB9A-4444-BB63-0314E79A1C66}" name="BUIPE_PMS" totalsRowFunction="custom" dataDxfId="7106" totalsRowDxfId="7105" dataCellStyle="Comma">
      <totalsRowFormula>SUM(May28_2021[BUIPE_PMS])</totalsRowFormula>
    </tableColumn>
    <tableColumn id="6" xr3:uid="{44FC6BBB-D494-42CB-AA52-B3F9143F0809}" name="AKOSOMBO_AGO" totalsRowFunction="custom" dataDxfId="7104" totalsRowDxfId="7103">
      <totalsRowFormula>SUM(May28_2021[AKOSOMBO_AGO])</totalsRowFormula>
    </tableColumn>
    <tableColumn id="7" xr3:uid="{08568F38-4E8E-4C6B-B982-D8076AF551A7}" name="DATE" dataDxfId="7102" totalsRowDxfId="7101">
      <calculatedColumnFormula>$G$3</calculatedColumnFormula>
    </tableColumn>
  </tableColumns>
  <tableStyleInfo showFirstColumn="0" showLastColumn="0" showRowStripes="1" showColumnStripes="0"/>
</table>
</file>

<file path=xl/tables/table3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5" xr:uid="{842024AC-4CC4-4071-AF74-BD13C7BCA2A3}" name="May31_2021" displayName="May31_2021" ref="B5:H22" totalsRowCount="1" headerRowDxfId="7100" headerRowBorderDxfId="7099" tableBorderDxfId="7098" totalsRowBorderDxfId="7097">
  <autoFilter ref="B5:H21" xr:uid="{9FC55032-CF49-4C50-B688-B65CBF353922}"/>
  <sortState xmlns:xlrd2="http://schemas.microsoft.com/office/spreadsheetml/2017/richdata2" ref="B6:H21">
    <sortCondition ref="B6:B21"/>
  </sortState>
  <tableColumns count="7">
    <tableColumn id="1" xr3:uid="{6E861842-62F0-45C0-9051-C0E815C5DA83}" name="BDC LIST" totalsRowLabel="Total" dataDxfId="7096" totalsRowDxfId="7095"/>
    <tableColumn id="2" xr3:uid="{8A05A9E6-AF0D-4B4E-9821-2FB09E8615C5}" name="KSI_AGO" totalsRowFunction="custom" dataDxfId="7094" totalsRowDxfId="7093">
      <totalsRowFormula>SUM(May31_2021[KSI_AGO])</totalsRowFormula>
    </tableColumn>
    <tableColumn id="3" xr3:uid="{D6B4B876-DFAE-4B0E-99D5-DEBAB1C6087D}" name="KSI_PMS" totalsRowFunction="sum" dataDxfId="7092" totalsRowDxfId="7091"/>
    <tableColumn id="4" xr3:uid="{B4A99E6D-39A3-43B1-901B-4E82AAF6645C}" name="BUIPE_AGO" totalsRowFunction="custom" dataDxfId="7090" totalsRowDxfId="7089">
      <totalsRowFormula>SUM(May31_2021[BUIPE_AGO])</totalsRowFormula>
    </tableColumn>
    <tableColumn id="5" xr3:uid="{06FC216B-20B9-4241-9F1C-002F2AEE7E6D}" name="BUIPE_PMS" totalsRowFunction="custom" dataDxfId="7088" totalsRowDxfId="7087" dataCellStyle="Comma">
      <totalsRowFormula>SUM(May31_2021[BUIPE_PMS])</totalsRowFormula>
    </tableColumn>
    <tableColumn id="6" xr3:uid="{4AABA7D0-61D8-492E-B62C-251918ACB983}" name="AKOSOMBO_AGO" totalsRowFunction="custom" dataDxfId="7086" totalsRowDxfId="7085">
      <totalsRowFormula>SUM(May31_2021[AKOSOMBO_AGO])</totalsRowFormula>
    </tableColumn>
    <tableColumn id="7" xr3:uid="{26E0BA86-DE69-40D1-9DF0-72DF17222622}" name="DATE" dataDxfId="7084" totalsRowDxfId="7083">
      <calculatedColumnFormula>$G$3</calculatedColumnFormula>
    </tableColumn>
  </tableColumns>
  <tableStyleInfo showFirstColumn="0" showLastColumn="0" showRowStripes="1" showColumnStripes="0"/>
</table>
</file>

<file path=xl/tables/table3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6" xr:uid="{A3F8AA79-DCA8-4DE8-9800-0A24D170F1D8}" name="June01_2021" displayName="June01_2021" ref="B5:H22" totalsRowCount="1" headerRowDxfId="7082" headerRowBorderDxfId="7081" tableBorderDxfId="7080" totalsRowBorderDxfId="7079">
  <autoFilter ref="B5:H21" xr:uid="{A3F8AA79-DCA8-4DE8-9800-0A24D170F1D8}"/>
  <sortState xmlns:xlrd2="http://schemas.microsoft.com/office/spreadsheetml/2017/richdata2" ref="B6:H21">
    <sortCondition ref="B6:B21"/>
  </sortState>
  <tableColumns count="7">
    <tableColumn id="1" xr3:uid="{CB3100AB-2AE5-4FAB-96B8-D5981FD41BDC}" name="BDC LIST" totalsRowLabel="Total" dataDxfId="7078" totalsRowDxfId="7077"/>
    <tableColumn id="2" xr3:uid="{257917B3-7530-4865-B118-85E892A4AD56}" name="KSI_AGO" totalsRowFunction="custom" dataDxfId="7076" totalsRowDxfId="7075">
      <totalsRowFormula>SUM(June01_2021[KSI_AGO])</totalsRowFormula>
    </tableColumn>
    <tableColumn id="3" xr3:uid="{AE486DB7-A97F-4C9B-A3E3-57F607D3E0F3}" name="KSI_PMS" totalsRowFunction="sum" dataDxfId="7074" totalsRowDxfId="7073"/>
    <tableColumn id="4" xr3:uid="{60137AB0-4A3B-40AA-9B41-090369841758}" name="BUIPE_AGO" totalsRowFunction="custom" dataDxfId="7072" totalsRowDxfId="7071">
      <totalsRowFormula>SUM(June01_2021[BUIPE_AGO])</totalsRowFormula>
    </tableColumn>
    <tableColumn id="5" xr3:uid="{A24D2FF8-44C6-46FA-ADCA-E2D20D80A6FC}" name="BUIPE_PMS" totalsRowFunction="custom" dataDxfId="7070" totalsRowDxfId="7069" dataCellStyle="Comma">
      <totalsRowFormula>SUM(June01_2021[BUIPE_PMS])</totalsRowFormula>
    </tableColumn>
    <tableColumn id="6" xr3:uid="{59533BF6-57A4-4FD6-926B-2749912B5599}" name="AKOSOMBO_AGO" totalsRowFunction="custom" dataDxfId="7068" totalsRowDxfId="7067">
      <totalsRowFormula>SUM(June01_2021[AKOSOMBO_AGO])</totalsRowFormula>
    </tableColumn>
    <tableColumn id="7" xr3:uid="{68CC02DF-1AEE-44A9-B6A6-9A061EB88874}" name="DATE" dataDxfId="7066" totalsRowDxfId="7065">
      <calculatedColumnFormula>$G$3</calculatedColumnFormula>
    </tableColumn>
  </tableColumns>
  <tableStyleInfo showFirstColumn="0" showLastColumn="0" showRowStripes="1" showColumnStripes="0"/>
</table>
</file>

<file path=xl/tables/table3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3" xr:uid="{1725876A-9254-494D-8DDF-7B83FDE04DF9}" name="June02_2021" displayName="June02_2021" ref="B5:H22" totalsRowCount="1" headerRowDxfId="7064" headerRowBorderDxfId="7063" tableBorderDxfId="7062" totalsRowBorderDxfId="7061">
  <autoFilter ref="B5:H21" xr:uid="{D9DCAF31-6E09-4943-A4A3-CE280A2498B4}"/>
  <sortState xmlns:xlrd2="http://schemas.microsoft.com/office/spreadsheetml/2017/richdata2" ref="B6:H21">
    <sortCondition ref="B6:B21"/>
  </sortState>
  <tableColumns count="7">
    <tableColumn id="1" xr3:uid="{0A1223F8-A017-4508-9697-7B2DB3E8DF77}" name="BDC LIST" totalsRowLabel="Total" dataDxfId="7060" totalsRowDxfId="7059"/>
    <tableColumn id="2" xr3:uid="{793E3BE9-77D0-45D7-9780-5D9056050CEC}" name="KSI_AGO" totalsRowFunction="custom" dataDxfId="7058" totalsRowDxfId="7057">
      <totalsRowFormula>SUM(June02_2021[KSI_AGO])</totalsRowFormula>
    </tableColumn>
    <tableColumn id="3" xr3:uid="{7C71DEFC-9FBF-4BB6-82B8-B88AAFD09CAC}" name="KSI_PMS" totalsRowFunction="sum" dataDxfId="7056" totalsRowDxfId="7055"/>
    <tableColumn id="4" xr3:uid="{CAA323EF-5046-4EFE-95D2-CE5878D6DE9C}" name="BUIPE_AGO" totalsRowFunction="custom" dataDxfId="7054" totalsRowDxfId="7053">
      <totalsRowFormula>SUM(June02_2021[BUIPE_AGO])</totalsRowFormula>
    </tableColumn>
    <tableColumn id="5" xr3:uid="{C0EA66C2-4EF1-4BB0-AE39-F2AC6E3B31FA}" name="BUIPE_PMS" totalsRowFunction="custom" dataDxfId="7052" totalsRowDxfId="7051" dataCellStyle="Comma">
      <totalsRowFormula>SUM(June02_2021[BUIPE_PMS])</totalsRowFormula>
    </tableColumn>
    <tableColumn id="6" xr3:uid="{F95854BF-C53F-491C-8CE0-4931C0D47292}" name="AKOSOMBO_AGO" totalsRowFunction="custom" dataDxfId="7050" totalsRowDxfId="7049">
      <totalsRowFormula>SUM(June02_2021[AKOSOMBO_AGO])</totalsRowFormula>
    </tableColumn>
    <tableColumn id="7" xr3:uid="{392DB01C-6ADF-461D-8323-B31A0032FC58}" name="DATE" dataDxfId="7048" totalsRowDxfId="7047">
      <calculatedColumnFormula>$G$3</calculatedColumnFormula>
    </tableColumn>
  </tableColumns>
  <tableStyleInfo showFirstColumn="0" showLastColumn="0" showRowStripes="1" showColumnStripes="0"/>
</table>
</file>

<file path=xl/tables/table3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9" xr:uid="{D6AF96D1-5B1B-4410-8B4C-CE446EC8891C}" name="June03_2021" displayName="June03_2021" ref="B5:H22" totalsRowCount="1" headerRowDxfId="7046" headerRowBorderDxfId="7045" tableBorderDxfId="7044" totalsRowBorderDxfId="7043">
  <autoFilter ref="B5:H21" xr:uid="{D6AF96D1-5B1B-4410-8B4C-CE446EC8891C}"/>
  <sortState xmlns:xlrd2="http://schemas.microsoft.com/office/spreadsheetml/2017/richdata2" ref="B6:H21">
    <sortCondition ref="B6:B21"/>
  </sortState>
  <tableColumns count="7">
    <tableColumn id="1" xr3:uid="{06EBCFD0-D1EF-43C2-9F86-E4C80C2D41E6}" name="BDC LIST" totalsRowLabel="Total" dataDxfId="7042" totalsRowDxfId="7041"/>
    <tableColumn id="2" xr3:uid="{5514BED3-CE45-47E0-8722-C174385A4CE9}" name="KSI_AGO" totalsRowFunction="custom" dataDxfId="7040" totalsRowDxfId="7039">
      <totalsRowFormula>SUM(June03_2021[KSI_AGO])</totalsRowFormula>
    </tableColumn>
    <tableColumn id="3" xr3:uid="{3F235B4F-88ED-4869-8655-E905A41E6210}" name="KSI_PMS" totalsRowFunction="sum" dataDxfId="7038" totalsRowDxfId="7037"/>
    <tableColumn id="4" xr3:uid="{C4F3B306-6DAC-417C-AB8A-355E01383F98}" name="BUIPE_AGO" totalsRowFunction="custom" dataDxfId="7036" totalsRowDxfId="7035">
      <totalsRowFormula>SUM(June03_2021[BUIPE_AGO])</totalsRowFormula>
    </tableColumn>
    <tableColumn id="5" xr3:uid="{2A460C6A-60E1-4899-95B3-ED67908E5C47}" name="BUIPE_PMS" totalsRowFunction="custom" dataDxfId="7034" totalsRowDxfId="7033" dataCellStyle="Comma">
      <totalsRowFormula>SUM(June03_2021[BUIPE_PMS])</totalsRowFormula>
    </tableColumn>
    <tableColumn id="6" xr3:uid="{E4C31665-BE8F-4B99-A949-4F157D1F8494}" name="AKOSOMBO_AGO" totalsRowFunction="custom" dataDxfId="7032" totalsRowDxfId="7031">
      <totalsRowFormula>SUM(June03_2021[AKOSOMBO_AGO])</totalsRowFormula>
    </tableColumn>
    <tableColumn id="7" xr3:uid="{C7A86632-596A-4C79-98F7-CE1B3273D3A5}" name="DATE" dataDxfId="7030" totalsRowDxfId="7029">
      <calculatedColumnFormula>$G$3</calculatedColumnFormula>
    </tableColumn>
  </tableColumns>
  <tableStyleInfo showFirstColumn="0" showLastColumn="0" showRowStripes="1" showColumnStripes="0"/>
</table>
</file>

<file path=xl/tables/table3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7" xr:uid="{F0EFFE71-8054-4EF8-A04A-BDA50866882F}" name="June04_2021" displayName="June04_2021" ref="B5:H22" totalsRowCount="1" headerRowDxfId="7028" headerRowBorderDxfId="7027" tableBorderDxfId="7026" totalsRowBorderDxfId="7025">
  <autoFilter ref="B5:H21" xr:uid="{F0EFFE71-8054-4EF8-A04A-BDA50866882F}"/>
  <sortState xmlns:xlrd2="http://schemas.microsoft.com/office/spreadsheetml/2017/richdata2" ref="B6:H21">
    <sortCondition ref="B6:B21"/>
  </sortState>
  <tableColumns count="7">
    <tableColumn id="1" xr3:uid="{B13D8C4F-BB44-4C5C-998A-A8261C06F9CB}" name="BDC LIST" totalsRowLabel="Total" dataDxfId="7024" totalsRowDxfId="7023"/>
    <tableColumn id="2" xr3:uid="{39E28A85-D082-4627-AE54-F6D387ED64CE}" name="KSI_AGO" totalsRowFunction="custom" dataDxfId="7022" totalsRowDxfId="7021">
      <totalsRowFormula>SUM(June04_2021[KSI_AGO])</totalsRowFormula>
    </tableColumn>
    <tableColumn id="3" xr3:uid="{E6EDD19D-4C07-4C63-8F09-BE1B33EB0CE4}" name="KSI_PMS" totalsRowFunction="sum" dataDxfId="7020" totalsRowDxfId="7019" dataCellStyle="Comma"/>
    <tableColumn id="4" xr3:uid="{44195DA7-6A5B-470B-AD6E-A4F8543BE620}" name="BUIPE_AGO" totalsRowFunction="custom" dataDxfId="7018" totalsRowDxfId="7017">
      <totalsRowFormula>SUM(June04_2021[BUIPE_AGO])</totalsRowFormula>
    </tableColumn>
    <tableColumn id="5" xr3:uid="{E7F0982B-99FF-420A-B4CB-E210D4DBEFA5}" name="BUIPE_PMS" totalsRowFunction="custom" dataDxfId="7016" totalsRowDxfId="7015" dataCellStyle="Comma">
      <totalsRowFormula>SUM(June04_2021[BUIPE_PMS])</totalsRowFormula>
    </tableColumn>
    <tableColumn id="6" xr3:uid="{96626291-BE5A-4B45-829F-7D48F2E0F871}" name="AKOSOMBO_AGO" totalsRowFunction="custom" dataDxfId="7014" totalsRowDxfId="7013">
      <totalsRowFormula>SUM(June04_2021[AKOSOMBO_AGO])</totalsRowFormula>
    </tableColumn>
    <tableColumn id="7" xr3:uid="{1444FD0D-249A-47C8-B6CC-4B2090429A7E}" name="DATE" dataDxfId="7012" totalsRowDxfId="7011">
      <calculatedColumnFormula>$G$3</calculatedColumnFormula>
    </tableColumn>
  </tableColumns>
  <tableStyleInfo showFirstColumn="0" showLastColumn="0" showRowStripes="1" showColumnStripes="0"/>
</table>
</file>

<file path=xl/tables/table3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0" xr:uid="{C3440ED7-3C32-466B-AF4F-F60185289B0A}" name="June07_2021" displayName="June07_2021" ref="B5:H22" totalsRowCount="1" headerRowDxfId="7010" headerRowBorderDxfId="7009" tableBorderDxfId="7008" totalsRowBorderDxfId="7007">
  <autoFilter ref="B5:H21" xr:uid="{C3440ED7-3C32-466B-AF4F-F60185289B0A}"/>
  <sortState xmlns:xlrd2="http://schemas.microsoft.com/office/spreadsheetml/2017/richdata2" ref="B6:H21">
    <sortCondition ref="B6:B21"/>
  </sortState>
  <tableColumns count="7">
    <tableColumn id="1" xr3:uid="{A4A94386-BF94-4BB6-9E05-B3D5B8BEEE54}" name="BDC LIST" totalsRowLabel="Total" dataDxfId="7006" totalsRowDxfId="7005"/>
    <tableColumn id="2" xr3:uid="{843E3493-6E54-46A5-BB8E-82D20ECBA53C}" name="KSI_AGO" totalsRowFunction="custom" dataDxfId="7004" totalsRowDxfId="7003">
      <totalsRowFormula>SUM(June07_2021[KSI_AGO])</totalsRowFormula>
    </tableColumn>
    <tableColumn id="3" xr3:uid="{DC3C454B-21E8-429A-8DFF-10257E7229A6}" name="KSI_PMS" totalsRowFunction="sum" dataDxfId="7002" totalsRowDxfId="7001" dataCellStyle="Comma"/>
    <tableColumn id="4" xr3:uid="{FADD3A25-872F-473F-8847-22784F46F691}" name="BUIPE_AGO" totalsRowFunction="custom" dataDxfId="7000" totalsRowDxfId="6999">
      <totalsRowFormula>SUM(June07_2021[BUIPE_AGO])</totalsRowFormula>
    </tableColumn>
    <tableColumn id="5" xr3:uid="{7A172C79-BBF8-4E0D-BFB2-832BC12BF0E4}" name="BUIPE_PMS" totalsRowFunction="custom" dataDxfId="6998" totalsRowDxfId="6997" dataCellStyle="Comma">
      <totalsRowFormula>SUM(June07_2021[BUIPE_PMS])</totalsRowFormula>
    </tableColumn>
    <tableColumn id="6" xr3:uid="{F9519444-B2F1-443C-96E2-9F100A04CECB}" name="AKOSOMBO_AGO" totalsRowFunction="custom" dataDxfId="6996" totalsRowDxfId="6995">
      <totalsRowFormula>SUM(June07_2021[AKOSOMBO_AGO])</totalsRowFormula>
    </tableColumn>
    <tableColumn id="7" xr3:uid="{6C084D07-5FA6-4AD9-A15A-4B1E31BDC89F}" name="DATE" dataDxfId="6994" totalsRowDxfId="6993">
      <calculatedColumnFormula>$G$3</calculatedColumnFormula>
    </tableColumn>
  </tableColumns>
  <tableStyleInfo showFirstColumn="0" showLastColumn="0" showRowStripes="1" showColumnStripes="0"/>
</table>
</file>

<file path=xl/tables/table3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9" xr:uid="{1C316364-5972-43E0-B706-C819D3EDF979}" name="June08_2021" displayName="June08_2021" ref="B5:H22" totalsRowCount="1" headerRowDxfId="6992" headerRowBorderDxfId="6991" tableBorderDxfId="6990" totalsRowBorderDxfId="6989">
  <autoFilter ref="B5:H21" xr:uid="{1C316364-5972-43E0-B706-C819D3EDF979}"/>
  <sortState xmlns:xlrd2="http://schemas.microsoft.com/office/spreadsheetml/2017/richdata2" ref="B6:H21">
    <sortCondition ref="B6:B21"/>
  </sortState>
  <tableColumns count="7">
    <tableColumn id="1" xr3:uid="{A1488F2D-7CB2-4C8B-AB7A-E377AE02CD7E}" name="BDC LIST" totalsRowLabel="Total" dataDxfId="6988" totalsRowDxfId="6987"/>
    <tableColumn id="2" xr3:uid="{13FD7D2D-A90C-458F-BF2A-07667E5F1EF2}" name="KSI_AGO" totalsRowFunction="custom" dataDxfId="6986" totalsRowDxfId="6985">
      <totalsRowFormula>SUM(June08_2021[KSI_AGO])</totalsRowFormula>
    </tableColumn>
    <tableColumn id="3" xr3:uid="{B5448694-97F3-467B-83DD-C34858D30804}" name="KSI_PMS" totalsRowFunction="sum" dataDxfId="6984" totalsRowDxfId="6983" dataCellStyle="Comma"/>
    <tableColumn id="4" xr3:uid="{352C58D1-8411-4FF4-A34E-3438BAC7B941}" name="BUIPE_AGO" totalsRowFunction="custom" dataDxfId="6982" totalsRowDxfId="6981">
      <totalsRowFormula>SUM(June08_2021[BUIPE_AGO])</totalsRowFormula>
    </tableColumn>
    <tableColumn id="5" xr3:uid="{95057456-CC76-40A3-947B-6DF85621A5F3}" name="BUIPE_PMS" totalsRowFunction="custom" dataDxfId="6980" totalsRowDxfId="6979" dataCellStyle="Comma">
      <totalsRowFormula>SUM(June08_2021[BUIPE_PMS])</totalsRowFormula>
    </tableColumn>
    <tableColumn id="6" xr3:uid="{4A63FE18-CC40-4A74-AC14-62901E964ED4}" name="AKOSOMBO_AGO" totalsRowFunction="custom" dataDxfId="6978" totalsRowDxfId="6977">
      <totalsRowFormula>SUM(June08_2021[AKOSOMBO_AGO])</totalsRowFormula>
    </tableColumn>
    <tableColumn id="7" xr3:uid="{A02DD2C4-84BC-4120-931A-2561F3E8D775}" name="DATE" dataDxfId="6976" totalsRowDxfId="6975">
      <calculatedColumnFormula>$G$3</calculatedColumnFormula>
    </tableColumn>
  </tableColumns>
  <tableStyleInfo showFirstColumn="0" showLastColumn="0" showRowStripes="1" showColumnStripes="0"/>
</table>
</file>

<file path=xl/tables/table3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1" xr:uid="{C147FE26-DC77-4D0B-87BE-753F783A795E}" name="June09_2021" displayName="June09_2021" ref="B5:H22" totalsRowCount="1" headerRowDxfId="6974" headerRowBorderDxfId="6973" tableBorderDxfId="6972" totalsRowBorderDxfId="6971">
  <autoFilter ref="B5:H21" xr:uid="{C147FE26-DC77-4D0B-87BE-753F783A795E}"/>
  <sortState xmlns:xlrd2="http://schemas.microsoft.com/office/spreadsheetml/2017/richdata2" ref="B6:H21">
    <sortCondition ref="B6:B21"/>
  </sortState>
  <tableColumns count="7">
    <tableColumn id="1" xr3:uid="{4741FF90-0129-4E77-BB2D-821929FEFBA8}" name="BDC LIST" totalsRowLabel="Total" dataDxfId="6970" totalsRowDxfId="6969"/>
    <tableColumn id="2" xr3:uid="{CEEA1CAF-2B03-4487-870F-1190071DA906}" name="KSI_AGO" totalsRowFunction="custom" dataDxfId="6968" totalsRowDxfId="6967">
      <totalsRowFormula>SUM(June09_2021[KSI_AGO])</totalsRowFormula>
    </tableColumn>
    <tableColumn id="3" xr3:uid="{28B679B7-58CF-41B2-AA65-3F54A1E9FA15}" name="KSI_PMS" totalsRowFunction="sum" dataDxfId="6966" totalsRowDxfId="6965" dataCellStyle="Comma"/>
    <tableColumn id="4" xr3:uid="{3124FEB8-31E0-4342-A458-A27BA935DD70}" name="BUIPE_AGO" totalsRowFunction="custom" dataDxfId="6964" totalsRowDxfId="6963">
      <totalsRowFormula>SUM(June09_2021[BUIPE_AGO])</totalsRowFormula>
    </tableColumn>
    <tableColumn id="5" xr3:uid="{9007B884-4EC5-4E67-BC0A-01D50F1FF4A0}" name="BUIPE_PMS" totalsRowFunction="custom" dataDxfId="6962" totalsRowDxfId="6961" dataCellStyle="Comma">
      <totalsRowFormula>SUM(June09_2021[BUIPE_PMS])</totalsRowFormula>
    </tableColumn>
    <tableColumn id="6" xr3:uid="{3B3677D2-9E53-4875-89B1-72BA88E3A345}" name="AKOSOMBO_AGO" totalsRowFunction="custom" dataDxfId="6960" totalsRowDxfId="6959">
      <totalsRowFormula>SUM(June09_2021[AKOSOMBO_AGO])</totalsRowFormula>
    </tableColumn>
    <tableColumn id="7" xr3:uid="{8A798FFF-A401-4FD4-B441-A9E745661B16}" name="DATE" dataDxfId="6958" totalsRowDxfId="6957">
      <calculatedColumnFormula>$G$3</calculatedColumnFormula>
    </tableColumn>
  </tableColumns>
  <tableStyleInfo showFirstColumn="0" showLastColumn="0" showRowStripes="1" showColumnStripes="0"/>
</table>
</file>

<file path=xl/tables/table3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5" xr:uid="{8182346E-9BB9-4BCA-970C-D029A01AF736}" name="June10_2021" displayName="June10_2021" ref="B5:H22" totalsRowCount="1" headerRowDxfId="6956" headerRowBorderDxfId="6955" tableBorderDxfId="6954" totalsRowBorderDxfId="6953">
  <autoFilter ref="B5:H21" xr:uid="{596D966E-BD8A-4C9C-855C-B1B4F021A6F8}"/>
  <sortState xmlns:xlrd2="http://schemas.microsoft.com/office/spreadsheetml/2017/richdata2" ref="B6:H21">
    <sortCondition ref="B6:B21"/>
  </sortState>
  <tableColumns count="7">
    <tableColumn id="1" xr3:uid="{71C8A751-9ADC-4A0F-954D-1739AE3F3B27}" name="BDC LIST" totalsRowLabel="Total" dataDxfId="6952" totalsRowDxfId="6951"/>
    <tableColumn id="2" xr3:uid="{42FF4C11-D702-4B0B-AF29-7254E81B91CD}" name="KSI_AGO" totalsRowFunction="custom" dataDxfId="6950" totalsRowDxfId="6949">
      <totalsRowFormula>SUM(June10_2021[KSI_AGO])</totalsRowFormula>
    </tableColumn>
    <tableColumn id="3" xr3:uid="{379FE4A2-7704-40FD-A7E3-56680FE809A8}" name="KSI_PMS" totalsRowFunction="sum" dataDxfId="6948" totalsRowDxfId="6947" dataCellStyle="Comma"/>
    <tableColumn id="4" xr3:uid="{1C17A715-E0CD-4043-9983-FE26750BDCBC}" name="BUIPE_AGO" totalsRowFunction="custom" dataDxfId="6946" totalsRowDxfId="6945">
      <totalsRowFormula>SUM(June10_2021[BUIPE_AGO])</totalsRowFormula>
    </tableColumn>
    <tableColumn id="5" xr3:uid="{FDC8B5AB-84FE-43E3-9B2B-CF579D3F4486}" name="BUIPE_PMS" totalsRowFunction="custom" dataDxfId="6944" totalsRowDxfId="6943" dataCellStyle="Comma">
      <totalsRowFormula>SUM(June10_2021[BUIPE_PMS])</totalsRowFormula>
    </tableColumn>
    <tableColumn id="6" xr3:uid="{DB8E9246-6507-4D9E-B60D-D1043731DFD3}" name="AKOSOMBO_AGO" totalsRowFunction="sum" dataDxfId="6942" totalsRowDxfId="6941"/>
    <tableColumn id="7" xr3:uid="{62BC7D21-CC6A-4E80-8059-D0B58FE0E183}" name="DATE" dataDxfId="6940" totalsRowDxfId="6939">
      <calculatedColumnFormula>$G$3</calculatedColumnFormula>
    </tableColumn>
  </tableColumns>
  <tableStyleInfo showFirstColumn="0" showLastColumn="0" showRowStripes="1" showColumnStripes="0"/>
</table>
</file>

<file path=xl/tables/table3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7" xr:uid="{9CE0615B-356D-4F10-AAFB-B2E5B3056541}" name="June11_2021" displayName="June11_2021" ref="B5:H22" totalsRowCount="1" headerRowDxfId="6938" headerRowBorderDxfId="6937" tableBorderDxfId="6936" totalsRowBorderDxfId="6935">
  <autoFilter ref="B5:H21" xr:uid="{9CE0615B-356D-4F10-AAFB-B2E5B3056541}"/>
  <sortState xmlns:xlrd2="http://schemas.microsoft.com/office/spreadsheetml/2017/richdata2" ref="B6:H21">
    <sortCondition ref="B6:B21"/>
  </sortState>
  <tableColumns count="7">
    <tableColumn id="1" xr3:uid="{6C3B6214-54C1-4FBA-8F7D-422E6336C8FA}" name="BDC LIST" totalsRowLabel="Total" dataDxfId="6934" totalsRowDxfId="6933"/>
    <tableColumn id="2" xr3:uid="{3C88177B-8216-45F3-A93C-B6A20DFA4EF7}" name="KSI_AGO" totalsRowFunction="custom" dataDxfId="6932" totalsRowDxfId="6931">
      <totalsRowFormula>SUM(June11_2021[KSI_AGO])</totalsRowFormula>
    </tableColumn>
    <tableColumn id="3" xr3:uid="{BD82C3E2-E3A5-48F4-96AC-25B9E4E3B25B}" name="KSI_PMS" totalsRowFunction="sum" dataDxfId="6930" totalsRowDxfId="6929" dataCellStyle="Comma"/>
    <tableColumn id="4" xr3:uid="{453D216D-F236-4F54-9A7D-5F40A6377844}" name="BUIPE_AGO" totalsRowFunction="custom" dataDxfId="6928" totalsRowDxfId="6927">
      <totalsRowFormula>SUM(June11_2021[BUIPE_AGO])</totalsRowFormula>
    </tableColumn>
    <tableColumn id="5" xr3:uid="{EF14FE95-4BA7-4496-867A-7B5C397700C9}" name="BUIPE_PMS" totalsRowFunction="custom" dataDxfId="6926" totalsRowDxfId="6925" dataCellStyle="Comma">
      <totalsRowFormula>SUM(June11_2021[BUIPE_PMS])</totalsRowFormula>
    </tableColumn>
    <tableColumn id="6" xr3:uid="{712B9F77-D030-4AF9-B688-36EA182FF2DB}" name="AKOSOMBO_AGO" totalsRowFunction="custom" dataDxfId="6924" totalsRowDxfId="6923">
      <totalsRowFormula>SUM(June11_2021[AKOSOMBO_AGO])</totalsRowFormula>
    </tableColumn>
    <tableColumn id="7" xr3:uid="{ED51AE4E-82A8-4054-9905-59D7D857BB1D}" name="DATE" dataDxfId="6922" totalsRowDxfId="6921">
      <calculatedColumnFormula>$G$3</calculatedColumnFormula>
    </tableColumn>
  </tableColumns>
  <tableStyleInfo showFirstColumn="0" showLastColumn="0" showRowStripes="1" showColumnStripes="0"/>
</table>
</file>

<file path=xl/tables/table3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2" xr:uid="{FEF3A745-4A37-4518-9EB1-5E53856CBDCA}" name="June14_2021" displayName="June14_2021" ref="B5:H22" totalsRowCount="1" headerRowDxfId="6920" headerRowBorderDxfId="6919" tableBorderDxfId="6918" totalsRowBorderDxfId="6917">
  <autoFilter ref="B5:H21" xr:uid="{FEF3A745-4A37-4518-9EB1-5E53856CBDCA}"/>
  <sortState xmlns:xlrd2="http://schemas.microsoft.com/office/spreadsheetml/2017/richdata2" ref="B6:H21">
    <sortCondition ref="B6:B21"/>
  </sortState>
  <tableColumns count="7">
    <tableColumn id="1" xr3:uid="{4990F49E-B1A5-4623-A9E4-DB9366BC533E}" name="BDC LIST" totalsRowLabel="Total" dataDxfId="6916" totalsRowDxfId="6915"/>
    <tableColumn id="2" xr3:uid="{1021FC5B-2BE7-4D07-820D-2A57896C7C7A}" name="KSI_AGO" totalsRowFunction="custom" dataDxfId="6914" totalsRowDxfId="6913">
      <totalsRowFormula>SUM(June14_2021[KSI_AGO])</totalsRowFormula>
    </tableColumn>
    <tableColumn id="3" xr3:uid="{E3D29656-3DAF-40D2-8705-C6DC4ADCA94D}" name="KSI_PMS" totalsRowFunction="sum" dataDxfId="6912" totalsRowDxfId="6911" dataCellStyle="Comma"/>
    <tableColumn id="4" xr3:uid="{BD6D9207-1CDA-4E47-BC30-9626FFC194F6}" name="BUIPE_AGO" totalsRowFunction="custom" dataDxfId="6910" totalsRowDxfId="6909">
      <totalsRowFormula>SUM(June14_2021[BUIPE_AGO])</totalsRowFormula>
    </tableColumn>
    <tableColumn id="5" xr3:uid="{95BBF7CF-476D-4B88-B7F7-43A73718C8DD}" name="BUIPE_PMS" totalsRowFunction="custom" dataDxfId="6908" totalsRowDxfId="6907" dataCellStyle="Comma">
      <totalsRowFormula>SUM(June14_2021[BUIPE_PMS])</totalsRowFormula>
    </tableColumn>
    <tableColumn id="6" xr3:uid="{3F79B199-C2E6-4DB4-8268-5BC708A522B0}" name="AKOSOMBO_AGO" totalsRowFunction="custom" dataDxfId="6906" totalsRowDxfId="6905">
      <totalsRowFormula>SUM(June14_2021[AKOSOMBO_AGO])</totalsRowFormula>
    </tableColumn>
    <tableColumn id="7" xr3:uid="{5CA92FF8-C816-4C0D-9609-4A0431E1261F}" name="DATE" dataDxfId="6904" totalsRowDxfId="6903">
      <calculatedColumnFormula>$G$3</calculatedColumnFormula>
    </tableColumn>
  </tableColumns>
  <tableStyleInfo showFirstColumn="0" showLastColumn="0" showRowStripes="1" showColumnStripes="0"/>
</table>
</file>

<file path=xl/tables/table3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8" xr:uid="{F05D7213-8E5E-4F18-B9C0-DD8FDF0ACE68}" name="June15_2021" displayName="June15_2021" ref="B5:H22" totalsRowCount="1" headerRowDxfId="6902" headerRowBorderDxfId="6901" tableBorderDxfId="6900" totalsRowBorderDxfId="6899">
  <autoFilter ref="B5:H21" xr:uid="{F05D7213-8E5E-4F18-B9C0-DD8FDF0ACE68}"/>
  <sortState xmlns:xlrd2="http://schemas.microsoft.com/office/spreadsheetml/2017/richdata2" ref="B6:H21">
    <sortCondition ref="B6:B21"/>
  </sortState>
  <tableColumns count="7">
    <tableColumn id="1" xr3:uid="{D211111C-2D78-474C-8EBB-8587BA69FBEC}" name="BDC LIST" totalsRowLabel="Total" dataDxfId="6898" totalsRowDxfId="6897"/>
    <tableColumn id="2" xr3:uid="{769B6933-E343-44D4-BC78-72BBE79949CC}" name="KSI_AGO" totalsRowFunction="custom" dataDxfId="6896" totalsRowDxfId="6895">
      <totalsRowFormula>SUM(June15_2021[KSI_AGO])</totalsRowFormula>
    </tableColumn>
    <tableColumn id="3" xr3:uid="{EE0BD84E-3DC6-4A32-9646-42B5213E7984}" name="KSI_PMS" totalsRowFunction="sum" dataDxfId="6894" totalsRowDxfId="6893" dataCellStyle="Comma"/>
    <tableColumn id="4" xr3:uid="{D839A4EF-A6CE-4948-AEF8-85A07232A270}" name="BUIPE_AGO" totalsRowFunction="custom" dataDxfId="6892" totalsRowDxfId="6891">
      <totalsRowFormula>SUM(June15_2021[BUIPE_AGO])</totalsRowFormula>
    </tableColumn>
    <tableColumn id="5" xr3:uid="{B5DBD06F-EA48-4B64-907D-17FB89801496}" name="BUIPE_PMS" totalsRowFunction="custom" dataDxfId="6890" totalsRowDxfId="6889" dataCellStyle="Comma">
      <totalsRowFormula>SUM(June15_2021[BUIPE_PMS])</totalsRowFormula>
    </tableColumn>
    <tableColumn id="6" xr3:uid="{06D62805-1329-4B17-A339-CF26F148B422}" name="AKOSOMBO_AGO" totalsRowFunction="custom" dataDxfId="6888" totalsRowDxfId="6887">
      <totalsRowFormula>SUM(June15_2021[AKOSOMBO_AGO])</totalsRowFormula>
    </tableColumn>
    <tableColumn id="7" xr3:uid="{C848EB33-341C-4B9C-A418-E618DA96B386}" name="DATE" dataDxfId="6886" totalsRowDxfId="6885">
      <calculatedColumnFormula>$G$3</calculatedColumnFormula>
    </tableColumn>
  </tableColumns>
  <tableStyleInfo showFirstColumn="0" showLastColumn="0" showRowStripes="1" showColumnStripes="0"/>
</table>
</file>

<file path=xl/tables/table3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9" xr:uid="{5D9EEA5D-B8B5-47A5-A7C3-1F47C7956D50}" name="June16_2021" displayName="June16_2021" ref="B5:H22" totalsRowCount="1" headerRowDxfId="6884" headerRowBorderDxfId="6883" tableBorderDxfId="6882" totalsRowBorderDxfId="6881">
  <autoFilter ref="B5:H21" xr:uid="{5D9EEA5D-B8B5-47A5-A7C3-1F47C7956D50}"/>
  <sortState xmlns:xlrd2="http://schemas.microsoft.com/office/spreadsheetml/2017/richdata2" ref="B6:H21">
    <sortCondition ref="B6:B21"/>
  </sortState>
  <tableColumns count="7">
    <tableColumn id="1" xr3:uid="{F92B0D63-CC7B-40C4-92F6-CEB912BB19DD}" name="BDC LIST" totalsRowLabel="Total" dataDxfId="6880" totalsRowDxfId="6879"/>
    <tableColumn id="2" xr3:uid="{6686B9A1-2F5E-48A9-B355-763921A337F1}" name="KSI_AGO" totalsRowFunction="custom" dataDxfId="6878" totalsRowDxfId="6877">
      <totalsRowFormula>SUM(June16_2021[KSI_AGO])</totalsRowFormula>
    </tableColumn>
    <tableColumn id="3" xr3:uid="{602E5CC0-C0FB-438B-984E-70B2950A8079}" name="KSI_PMS" totalsRowFunction="sum" dataDxfId="6876" totalsRowDxfId="6875" dataCellStyle="Comma"/>
    <tableColumn id="4" xr3:uid="{2F908A4F-9FFB-4427-B628-B8D103EA4A43}" name="BUIPE_AGO" totalsRowFunction="custom" dataDxfId="6874" totalsRowDxfId="6873">
      <totalsRowFormula>SUM(June16_2021[BUIPE_AGO])</totalsRowFormula>
    </tableColumn>
    <tableColumn id="5" xr3:uid="{7BA68EDC-999F-410C-B7A3-4A24464EE939}" name="BUIPE_PMS" totalsRowFunction="custom" dataDxfId="6872" totalsRowDxfId="6871" dataCellStyle="Comma">
      <totalsRowFormula>SUM(June16_2021[BUIPE_PMS])</totalsRowFormula>
    </tableColumn>
    <tableColumn id="6" xr3:uid="{718F4939-7E1D-42D9-B95A-C8D1CB2533A0}" name="AKOSOMBO_AGO" totalsRowFunction="custom" dataDxfId="6870" totalsRowDxfId="6869">
      <totalsRowFormula>SUM(June16_2021[AKOSOMBO_AGO])</totalsRowFormula>
    </tableColumn>
    <tableColumn id="7" xr3:uid="{14FEA0A8-4756-4D65-BF60-36F9D42E8557}" name="DATE" dataDxfId="6868" totalsRowDxfId="6867">
      <calculatedColumnFormula>$G$3</calculatedColumnFormula>
    </tableColumn>
  </tableColumns>
  <tableStyleInfo showFirstColumn="0" showLastColumn="0" showRowStripes="1" showColumnStripes="0"/>
</table>
</file>

<file path=xl/tables/table3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5" xr:uid="{616873C4-5A01-40F1-AB1F-DCD0BE6F2FDB}" name="June17_2021" displayName="June17_2021" ref="B5:H22" totalsRowCount="1" headerRowDxfId="6866" headerRowBorderDxfId="6865" tableBorderDxfId="6864" totalsRowBorderDxfId="6863">
  <autoFilter ref="B5:H21" xr:uid="{616873C4-5A01-40F1-AB1F-DCD0BE6F2FDB}"/>
  <sortState xmlns:xlrd2="http://schemas.microsoft.com/office/spreadsheetml/2017/richdata2" ref="B6:H21">
    <sortCondition ref="B6:B21"/>
  </sortState>
  <tableColumns count="7">
    <tableColumn id="1" xr3:uid="{57845D60-8086-4979-A11D-8ABDE47CFFEC}" name="BDC LIST" totalsRowLabel="Total" dataDxfId="6862" totalsRowDxfId="6861"/>
    <tableColumn id="2" xr3:uid="{CC2D533C-F3BB-474C-9C81-69121921E4B4}" name="KSI_AGO" totalsRowFunction="custom" dataDxfId="6860" totalsRowDxfId="6859">
      <totalsRowFormula>SUM(June17_2021[KSI_AGO])</totalsRowFormula>
    </tableColumn>
    <tableColumn id="3" xr3:uid="{7AA2A994-7205-4098-8806-01EF711EDA18}" name="KSI_PMS" totalsRowFunction="sum" dataDxfId="6858" totalsRowDxfId="6857" dataCellStyle="Comma"/>
    <tableColumn id="4" xr3:uid="{825EF9B8-937E-4FA3-B075-2E344D8DA06A}" name="BUIPE_AGO" totalsRowFunction="custom" dataDxfId="6856" totalsRowDxfId="6855">
      <totalsRowFormula>SUM(June17_2021[BUIPE_AGO])</totalsRowFormula>
    </tableColumn>
    <tableColumn id="5" xr3:uid="{E88AF851-9D18-40DF-B9EA-19586457DD0B}" name="BUIPE_PMS" totalsRowFunction="custom" dataDxfId="6854" totalsRowDxfId="6853" dataCellStyle="Comma">
      <totalsRowFormula>SUM(June17_2021[BUIPE_PMS])</totalsRowFormula>
    </tableColumn>
    <tableColumn id="6" xr3:uid="{901430E1-0526-4B23-B31C-7AC3264D869A}" name="AKOSOMBO_AGO" totalsRowFunction="custom" dataDxfId="6852" totalsRowDxfId="6851">
      <totalsRowFormula>SUM(June17_2021[AKOSOMBO_AGO])</totalsRowFormula>
    </tableColumn>
    <tableColumn id="7" xr3:uid="{069FFAC6-51DC-46F1-A3A4-A79AF6B20B74}" name="DATE" dataDxfId="6850" totalsRowDxfId="6849">
      <calculatedColumnFormula>$G$3</calculatedColumnFormula>
    </tableColumn>
  </tableColumns>
  <tableStyleInfo showFirstColumn="0" showLastColumn="0" showRowStripes="1" showColumnStripes="0"/>
</table>
</file>

<file path=xl/tables/table3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6" xr:uid="{B258D4DF-335F-4F06-AE93-CA84BAF9A678}" name="June18_2021" displayName="June18_2021" ref="B5:H22" totalsRowCount="1" headerRowDxfId="6848" headerRowBorderDxfId="6847" tableBorderDxfId="6846" totalsRowBorderDxfId="6845">
  <autoFilter ref="B5:H21" xr:uid="{B258D4DF-335F-4F06-AE93-CA84BAF9A678}"/>
  <sortState xmlns:xlrd2="http://schemas.microsoft.com/office/spreadsheetml/2017/richdata2" ref="B6:H21">
    <sortCondition ref="B6:B21"/>
  </sortState>
  <tableColumns count="7">
    <tableColumn id="1" xr3:uid="{9297A47E-DAEB-4A9E-83EC-10A053487184}" name="BDC LIST" totalsRowLabel="Total" dataDxfId="6844" totalsRowDxfId="6843"/>
    <tableColumn id="2" xr3:uid="{9E8FE37D-DB57-445E-AB2F-294D5989473E}" name="KSI_AGO" totalsRowFunction="custom" dataDxfId="6842" totalsRowDxfId="6841">
      <totalsRowFormula>SUM(June18_2021[KSI_AGO])</totalsRowFormula>
    </tableColumn>
    <tableColumn id="3" xr3:uid="{DFFE83E9-4ECE-4D53-9AB6-E102F9B36545}" name="KSI_PMS" totalsRowFunction="sum" dataDxfId="6840" totalsRowDxfId="6839" dataCellStyle="Comma"/>
    <tableColumn id="4" xr3:uid="{1A555265-1E55-42B9-BB76-69A6D15EFD42}" name="BUIPE_AGO" totalsRowFunction="custom" dataDxfId="6838" totalsRowDxfId="6837">
      <totalsRowFormula>SUM(June18_2021[BUIPE_AGO])</totalsRowFormula>
    </tableColumn>
    <tableColumn id="5" xr3:uid="{E3235AF8-DC34-4FDE-824F-5CEE17C1A6C3}" name="BUIPE_PMS" totalsRowFunction="custom" dataDxfId="6836" totalsRowDxfId="6835" dataCellStyle="Comma">
      <totalsRowFormula>SUM(June18_2021[BUIPE_PMS])</totalsRowFormula>
    </tableColumn>
    <tableColumn id="6" xr3:uid="{EBC80991-9D44-4D72-8E47-502EBFCC4856}" name="AKOSOMBO_AGO" totalsRowFunction="custom" dataDxfId="6834" totalsRowDxfId="6833">
      <totalsRowFormula>SUM(June18_2021[AKOSOMBO_AGO])</totalsRowFormula>
    </tableColumn>
    <tableColumn id="7" xr3:uid="{A2D972CF-1404-4AEC-9E02-706F53A215BB}" name="DATE" dataDxfId="6832" totalsRowDxfId="6831">
      <calculatedColumnFormula>$G$3</calculatedColumnFormula>
    </tableColumn>
  </tableColumns>
  <tableStyleInfo showFirstColumn="0" showLastColumn="0" showRowStripes="1" showColumnStripes="0"/>
</table>
</file>

<file path=xl/tables/table3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7" xr:uid="{2B8E6094-7DDC-4A5D-A46E-E052D1DC6E12}" name="June21_2021" displayName="June21_2021" ref="B5:H22" totalsRowCount="1" headerRowDxfId="6830" headerRowBorderDxfId="6829" tableBorderDxfId="6828" totalsRowBorderDxfId="6827">
  <autoFilter ref="B5:H21" xr:uid="{2B8E6094-7DDC-4A5D-A46E-E052D1DC6E12}"/>
  <sortState xmlns:xlrd2="http://schemas.microsoft.com/office/spreadsheetml/2017/richdata2" ref="B6:H21">
    <sortCondition ref="B6:B21"/>
  </sortState>
  <tableColumns count="7">
    <tableColumn id="1" xr3:uid="{F6B06E06-A235-4ACA-BF04-E8156AA93E8E}" name="BDC LIST" totalsRowLabel="Total" dataDxfId="6826" totalsRowDxfId="6825"/>
    <tableColumn id="2" xr3:uid="{B2D9AA50-9AF6-4105-B110-A292C50A1362}" name="KSI_AGO" totalsRowFunction="custom" dataDxfId="6824" totalsRowDxfId="6823">
      <totalsRowFormula>SUM(June21_2021[KSI_AGO])</totalsRowFormula>
    </tableColumn>
    <tableColumn id="3" xr3:uid="{AC68F46B-B148-4A13-B2FD-672E9BDEBB19}" name="KSI_PMS" totalsRowFunction="sum" dataDxfId="6822" totalsRowDxfId="6821" dataCellStyle="Comma"/>
    <tableColumn id="4" xr3:uid="{69DA729F-EB07-4760-A662-A11A81491C97}" name="BUIPE_AGO" totalsRowFunction="custom" dataDxfId="6820" totalsRowDxfId="6819">
      <totalsRowFormula>SUM(June21_2021[BUIPE_AGO])</totalsRowFormula>
    </tableColumn>
    <tableColumn id="5" xr3:uid="{1E73317D-D9CA-4BF2-A345-AB1D6E35E075}" name="BUIPE_PMS" totalsRowFunction="custom" dataDxfId="6818" totalsRowDxfId="6817" dataCellStyle="Comma">
      <totalsRowFormula>SUM(June21_2021[BUIPE_PMS])</totalsRowFormula>
    </tableColumn>
    <tableColumn id="6" xr3:uid="{3E36243D-572A-4E54-A952-6194FFB1CEFA}" name="AKOSOMBO_AGO" totalsRowFunction="custom" dataDxfId="6816" totalsRowDxfId="6815">
      <totalsRowFormula>SUM(June21_2021[AKOSOMBO_AGO])</totalsRowFormula>
    </tableColumn>
    <tableColumn id="7" xr3:uid="{D268810A-1CBE-4421-96B7-77C371783F58}" name="DATE" dataDxfId="6814" totalsRowDxfId="6813">
      <calculatedColumnFormula>$G$3</calculatedColumnFormula>
    </tableColumn>
  </tableColumns>
  <tableStyleInfo showFirstColumn="0" showLastColumn="0" showRowStripes="1" showColumnStripes="0"/>
</table>
</file>

<file path=xl/tables/table3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9" xr:uid="{B31C27A1-E0B4-4A60-A5F7-56229A8B5D96}" name="June22_2021" displayName="June22_2021" ref="B5:H22" totalsRowCount="1" headerRowDxfId="6812" headerRowBorderDxfId="6811" tableBorderDxfId="6810" totalsRowBorderDxfId="6809">
  <autoFilter ref="B5:H21" xr:uid="{B31C27A1-E0B4-4A60-A5F7-56229A8B5D96}"/>
  <sortState xmlns:xlrd2="http://schemas.microsoft.com/office/spreadsheetml/2017/richdata2" ref="B6:H21">
    <sortCondition ref="B6:B21"/>
  </sortState>
  <tableColumns count="7">
    <tableColumn id="1" xr3:uid="{1D5D1AC8-3F9D-4716-BE37-72AB8DCC17AB}" name="BDC LIST" totalsRowLabel="Total" dataDxfId="6808" totalsRowDxfId="6807"/>
    <tableColumn id="2" xr3:uid="{61B76E51-6488-4195-935B-D2B365FF152B}" name="KSI_AGO" totalsRowFunction="custom" dataDxfId="6806" totalsRowDxfId="6805">
      <totalsRowFormula>SUM(June22_2021[KSI_AGO])</totalsRowFormula>
    </tableColumn>
    <tableColumn id="3" xr3:uid="{7D74FAA8-AAAA-40BF-BAED-A3715EBB1004}" name="KSI_PMS" totalsRowFunction="sum" dataDxfId="6804" totalsRowDxfId="6803" dataCellStyle="Comma"/>
    <tableColumn id="4" xr3:uid="{15155E08-D426-4AB7-87C5-524C256ED440}" name="BUIPE_AGO" totalsRowFunction="custom" dataDxfId="6802" totalsRowDxfId="6801">
      <totalsRowFormula>SUM(June22_2021[BUIPE_AGO])</totalsRowFormula>
    </tableColumn>
    <tableColumn id="5" xr3:uid="{F3BFCD64-8D28-418B-82AE-5EB102D53F69}" name="BUIPE_PMS" totalsRowFunction="custom" dataDxfId="6800" totalsRowDxfId="6799" dataCellStyle="Comma">
      <totalsRowFormula>SUM(June22_2021[BUIPE_PMS])</totalsRowFormula>
    </tableColumn>
    <tableColumn id="6" xr3:uid="{5C7F30B6-7509-4D31-B66D-430876E0BDFD}" name="AKOSOMBO_AGO" totalsRowFunction="custom" dataDxfId="6798" totalsRowDxfId="6797">
      <totalsRowFormula>SUM(June22_2021[AKOSOMBO_AGO])</totalsRowFormula>
    </tableColumn>
    <tableColumn id="7" xr3:uid="{2DB5F56D-E7EC-4A9F-B0B6-1744D719479F}" name="DATE" dataDxfId="6796" totalsRowDxfId="6795">
      <calculatedColumnFormula>$G$3</calculatedColumnFormula>
    </tableColumn>
  </tableColumns>
  <tableStyleInfo showFirstColumn="0" showLastColumn="0" showRowStripes="1" showColumnStripes="0"/>
</table>
</file>

<file path=xl/tables/table3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8" xr:uid="{B95D2043-E7BD-4F88-94BA-018B5A6C9D6B}" name="June23_2021" displayName="June23_2021" ref="B5:H22" totalsRowCount="1" headerRowDxfId="6794" headerRowBorderDxfId="6793" tableBorderDxfId="6792" totalsRowBorderDxfId="6791">
  <autoFilter ref="B5:H21" xr:uid="{B95D2043-E7BD-4F88-94BA-018B5A6C9D6B}"/>
  <sortState xmlns:xlrd2="http://schemas.microsoft.com/office/spreadsheetml/2017/richdata2" ref="B6:H21">
    <sortCondition ref="B6:B21"/>
  </sortState>
  <tableColumns count="7">
    <tableColumn id="1" xr3:uid="{366EA65D-C9CE-4C27-A729-035D63F8BBE0}" name="BDC LIST" totalsRowLabel="Total" dataDxfId="6790" totalsRowDxfId="6789"/>
    <tableColumn id="2" xr3:uid="{06ECBF39-82FE-45BC-9A24-26F802EB04EF}" name="KSI_AGO" totalsRowFunction="custom" dataDxfId="6788" totalsRowDxfId="6787">
      <totalsRowFormula>SUM(June23_2021[KSI_AGO])</totalsRowFormula>
    </tableColumn>
    <tableColumn id="3" xr3:uid="{2BBFF4B6-CE4E-4415-9EDA-43D61CD57BC5}" name="KSI_PMS" totalsRowFunction="sum" dataDxfId="6786" totalsRowDxfId="6785" dataCellStyle="Comma"/>
    <tableColumn id="4" xr3:uid="{735F3F83-9B84-49BB-8799-8478880469B3}" name="BUIPE_AGO" totalsRowFunction="custom" dataDxfId="6784" totalsRowDxfId="6783">
      <totalsRowFormula>SUM(June23_2021[BUIPE_AGO])</totalsRowFormula>
    </tableColumn>
    <tableColumn id="5" xr3:uid="{45725615-9178-47E7-BF8B-5093FE39A223}" name="BUIPE_PMS" totalsRowFunction="custom" dataDxfId="6782" totalsRowDxfId="6781" dataCellStyle="Comma">
      <totalsRowFormula>SUM(June23_2021[BUIPE_PMS])</totalsRowFormula>
    </tableColumn>
    <tableColumn id="6" xr3:uid="{DBB193E3-65A2-439A-97D5-BC5FA6E789AF}" name="AKOSOMBO_AGO" totalsRowFunction="custom" dataDxfId="6780" totalsRowDxfId="6779">
      <totalsRowFormula>SUM(June23_2021[AKOSOMBO_AGO])</totalsRowFormula>
    </tableColumn>
    <tableColumn id="7" xr3:uid="{32B5F0DB-DB35-4F70-A416-435990FA29A8}" name="DATE" dataDxfId="6778" totalsRowDxfId="6777">
      <calculatedColumnFormula>$G$3</calculatedColumnFormula>
    </tableColumn>
  </tableColumns>
  <tableStyleInfo showFirstColumn="0" showLastColumn="0" showRowStripes="1" showColumnStripes="0"/>
</table>
</file>

<file path=xl/tables/table3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0" xr:uid="{42BF8295-B34B-4D57-9A25-AB4E3BB22DCE}" name="June24_2021" displayName="June24_2021" ref="B5:H22" totalsRowCount="1" headerRowDxfId="6776" headerRowBorderDxfId="6775" tableBorderDxfId="6774" totalsRowBorderDxfId="6773">
  <autoFilter ref="B5:H21" xr:uid="{42BF8295-B34B-4D57-9A25-AB4E3BB22DCE}"/>
  <sortState xmlns:xlrd2="http://schemas.microsoft.com/office/spreadsheetml/2017/richdata2" ref="B6:H21">
    <sortCondition ref="B6:B21"/>
  </sortState>
  <tableColumns count="7">
    <tableColumn id="1" xr3:uid="{EF02368C-A376-4E4E-8B17-8026550D2B56}" name="BDC LIST" totalsRowLabel="Total" dataDxfId="6772" totalsRowDxfId="6771"/>
    <tableColumn id="2" xr3:uid="{614DA5F2-0BF7-47AE-A84C-963BCC05412E}" name="KSI_AGO" totalsRowFunction="custom" dataDxfId="6770" totalsRowDxfId="6769">
      <totalsRowFormula>SUM(June24_2021[KSI_AGO])</totalsRowFormula>
    </tableColumn>
    <tableColumn id="3" xr3:uid="{390CFA27-CB5E-4DCF-8D78-A81C591EFB76}" name="KSI_PMS" totalsRowFunction="sum" dataDxfId="6768" totalsRowDxfId="6767" dataCellStyle="Comma"/>
    <tableColumn id="4" xr3:uid="{536326CF-DC25-4013-B0C4-F34E79DC77CD}" name="BUIPE_AGO" totalsRowFunction="custom" dataDxfId="6766" totalsRowDxfId="6765">
      <totalsRowFormula>SUM(June24_2021[BUIPE_AGO])</totalsRowFormula>
    </tableColumn>
    <tableColumn id="5" xr3:uid="{A23BBE57-6339-4A42-9857-0612C7CA4310}" name="BUIPE_PMS" totalsRowFunction="custom" dataDxfId="6764" totalsRowDxfId="6763" dataCellStyle="Comma">
      <totalsRowFormula>SUM(June24_2021[BUIPE_PMS])</totalsRowFormula>
    </tableColumn>
    <tableColumn id="6" xr3:uid="{E7682818-DD11-4428-9EEF-8B95B48546D6}" name="AKOSOMBO_AGO" totalsRowFunction="custom" dataDxfId="6762" totalsRowDxfId="6761">
      <totalsRowFormula>SUM(June24_2021[AKOSOMBO_AGO])</totalsRowFormula>
    </tableColumn>
    <tableColumn id="7" xr3:uid="{D7981FAA-E528-425F-8722-A2F1009CD2F1}" name="DATE" dataDxfId="6760" totalsRowDxfId="6759">
      <calculatedColumnFormula>$G$3</calculatedColumnFormula>
    </tableColumn>
  </tableColumns>
  <tableStyleInfo showFirstColumn="0" showLastColumn="0" showRowStripes="1" showColumnStripes="0"/>
</table>
</file>

<file path=xl/tables/table3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2" xr:uid="{BC9E3F12-9971-4F89-BB3A-5DBAE1FE3219}" name="June25_2021373" displayName="June25_2021373" ref="B5:H22" totalsRowCount="1" headerRowDxfId="6758" headerRowBorderDxfId="6757" tableBorderDxfId="6756" totalsRowBorderDxfId="6755">
  <autoFilter ref="B5:H21" xr:uid="{BC9E3F12-9971-4F89-BB3A-5DBAE1FE3219}"/>
  <sortState xmlns:xlrd2="http://schemas.microsoft.com/office/spreadsheetml/2017/richdata2" ref="B6:H21">
    <sortCondition ref="B6:B21"/>
  </sortState>
  <tableColumns count="7">
    <tableColumn id="1" xr3:uid="{DCBBEE47-60E7-45F7-A472-81A8A82A5376}" name="BDC LIST" totalsRowLabel="Total" dataDxfId="6754" totalsRowDxfId="6753"/>
    <tableColumn id="2" xr3:uid="{73E48ED9-3E27-4E1C-97F8-9743B164C645}" name="KSI_AGO" totalsRowFunction="custom" dataDxfId="6752" totalsRowDxfId="6751">
      <totalsRowFormula>SUM(June25_2021373[KSI_AGO])</totalsRowFormula>
    </tableColumn>
    <tableColumn id="3" xr3:uid="{D724180E-D003-4F04-83A4-4D5D29FC6A73}" name="KSI_PMS" totalsRowFunction="sum" dataDxfId="6750" totalsRowDxfId="6749" dataCellStyle="Comma"/>
    <tableColumn id="4" xr3:uid="{D255588B-DC4E-44F9-8D69-BC9910EC2231}" name="BUIPE_AGO" totalsRowFunction="custom" dataDxfId="6748" totalsRowDxfId="6747">
      <totalsRowFormula>SUM(June25_2021373[BUIPE_AGO])</totalsRowFormula>
    </tableColumn>
    <tableColumn id="5" xr3:uid="{4EBEAF90-655C-4639-BAC5-ABEFC7AA015B}" name="BUIPE_PMS" totalsRowFunction="custom" dataDxfId="6746" totalsRowDxfId="6745" dataCellStyle="Comma">
      <totalsRowFormula>SUM(June25_2021373[BUIPE_PMS])</totalsRowFormula>
    </tableColumn>
    <tableColumn id="6" xr3:uid="{229B04D9-867B-4816-98C9-C3A7CFB67DFA}" name="AKOSOMBO_AGO" totalsRowFunction="custom" dataDxfId="6744" totalsRowDxfId="6743">
      <totalsRowFormula>SUM(June25_2021373[AKOSOMBO_AGO])</totalsRowFormula>
    </tableColumn>
    <tableColumn id="7" xr3:uid="{F358CBCC-E25F-4054-BE7A-95C062A94E4B}" name="DATE" dataDxfId="6742" totalsRowDxfId="6741">
      <calculatedColumnFormula>$G$3</calculatedColumnFormula>
    </tableColumn>
  </tableColumns>
  <tableStyleInfo showFirstColumn="0" showLastColumn="0" showRowStripes="1" showColumnStripes="0"/>
</table>
</file>

<file path=xl/tables/table3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1" xr:uid="{088EBB4C-1764-4314-862A-33B62BD86C35}" name="June28_2021" displayName="June28_2021" ref="B5:H22" totalsRowCount="1" headerRowDxfId="6740" headerRowBorderDxfId="6739" tableBorderDxfId="6738" totalsRowBorderDxfId="6737">
  <autoFilter ref="B5:H21" xr:uid="{088EBB4C-1764-4314-862A-33B62BD86C35}"/>
  <sortState xmlns:xlrd2="http://schemas.microsoft.com/office/spreadsheetml/2017/richdata2" ref="B6:H21">
    <sortCondition ref="B6:B21"/>
  </sortState>
  <tableColumns count="7">
    <tableColumn id="1" xr3:uid="{1ABC80B0-02C6-40E9-95D1-65BF9DB73E04}" name="BDC LIST" totalsRowLabel="Total" dataDxfId="6736" totalsRowDxfId="6735"/>
    <tableColumn id="2" xr3:uid="{CC7DC487-8704-4533-BFEB-ABDC869EA711}" name="KSI_AGO" totalsRowFunction="custom" dataDxfId="6734" totalsRowDxfId="6733">
      <totalsRowFormula>SUM(June28_2021[KSI_AGO])</totalsRowFormula>
    </tableColumn>
    <tableColumn id="3" xr3:uid="{155A9D51-C80D-4CA1-9400-223796140AAA}" name="KSI_PMS" totalsRowFunction="sum" dataDxfId="6732" totalsRowDxfId="6731" dataCellStyle="Comma"/>
    <tableColumn id="4" xr3:uid="{1B495F56-9638-4EDB-BA47-D887E1C5694A}" name="BUIPE_AGO" totalsRowFunction="custom" dataDxfId="6730" totalsRowDxfId="6729">
      <totalsRowFormula>SUM(June28_2021[BUIPE_AGO])</totalsRowFormula>
    </tableColumn>
    <tableColumn id="5" xr3:uid="{830129BD-48F2-4D2B-BBBF-D1AE78BC8FBE}" name="BUIPE_PMS" totalsRowFunction="custom" dataDxfId="6728" totalsRowDxfId="6727" dataCellStyle="Comma">
      <totalsRowFormula>SUM(June28_2021[BUIPE_PMS])</totalsRowFormula>
    </tableColumn>
    <tableColumn id="6" xr3:uid="{42DF2966-71A6-4C46-9B8E-8E5534BB09A2}" name="AKOSOMBO_AGO" totalsRowFunction="custom" dataDxfId="6726" totalsRowDxfId="6725">
      <totalsRowFormula>SUM(June28_2021[AKOSOMBO_AGO])</totalsRowFormula>
    </tableColumn>
    <tableColumn id="7" xr3:uid="{2859373F-392B-46F5-9A95-8511B30E6D0F}" name="DATE" dataDxfId="6724" totalsRowDxfId="6723">
      <calculatedColumnFormula>$G$3</calculatedColumnFormula>
    </tableColumn>
  </tableColumns>
  <tableStyleInfo showFirstColumn="0" showLastColumn="0" showRowStripes="1" showColumnStripes="0"/>
</table>
</file>

<file path=xl/tables/table3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8" xr:uid="{74D98F6D-F6FE-4959-A2C9-D50AD35F37B2}" name="June29_2021379" displayName="June29_2021379" ref="B5:H22" totalsRowCount="1" headerRowDxfId="6722" headerRowBorderDxfId="6721" tableBorderDxfId="6720" totalsRowBorderDxfId="6719">
  <autoFilter ref="B5:H21" xr:uid="{74D98F6D-F6FE-4959-A2C9-D50AD35F37B2}"/>
  <sortState xmlns:xlrd2="http://schemas.microsoft.com/office/spreadsheetml/2017/richdata2" ref="B6:H21">
    <sortCondition ref="B6:B21"/>
  </sortState>
  <tableColumns count="7">
    <tableColumn id="1" xr3:uid="{215E5182-39CB-4E0B-9432-E72CBB6640C5}" name="BDC LIST" totalsRowLabel="Total" dataDxfId="6718" totalsRowDxfId="6717"/>
    <tableColumn id="2" xr3:uid="{1AD9C91B-DF95-4A9A-ADEE-C79B5838C051}" name="KSI_AGO" totalsRowFunction="custom" dataDxfId="6716" totalsRowDxfId="6715">
      <totalsRowFormula>SUM(June29_2021379[KSI_AGO])</totalsRowFormula>
    </tableColumn>
    <tableColumn id="3" xr3:uid="{C845E8E6-D7C7-4D7C-AA9B-C91E220CF7EF}" name="KSI_PMS" totalsRowFunction="sum" dataDxfId="6714" totalsRowDxfId="6713" dataCellStyle="Comma"/>
    <tableColumn id="4" xr3:uid="{49E2A68B-8BED-49E1-B2C3-850ED19B6F8C}" name="BUIPE_AGO" totalsRowFunction="custom" dataDxfId="6712" totalsRowDxfId="6711">
      <totalsRowFormula>SUM(June29_2021379[BUIPE_AGO])</totalsRowFormula>
    </tableColumn>
    <tableColumn id="5" xr3:uid="{741B14BA-A2E1-4F29-8F4A-334B1DA4424C}" name="BUIPE_PMS" totalsRowFunction="custom" dataDxfId="6710" totalsRowDxfId="6709" dataCellStyle="Comma">
      <totalsRowFormula>SUM(June29_2021379[BUIPE_PMS])</totalsRowFormula>
    </tableColumn>
    <tableColumn id="6" xr3:uid="{12554364-70EF-4E22-B9D6-D06C7E326330}" name="AKOSOMBO_AGO" totalsRowFunction="custom" dataDxfId="6708" totalsRowDxfId="6707">
      <totalsRowFormula>SUM(June29_2021379[AKOSOMBO_AGO])</totalsRowFormula>
    </tableColumn>
    <tableColumn id="7" xr3:uid="{653EA63A-312F-43FA-BC7C-8C0A6FA14AFA}" name="DATE" dataDxfId="6706" totalsRowDxfId="6705">
      <calculatedColumnFormula>$G$3</calculatedColumnFormula>
    </tableColumn>
  </tableColumns>
  <tableStyleInfo showFirstColumn="0" showLastColumn="0" showRowStripes="1" showColumnStripes="0"/>
</table>
</file>

<file path=xl/tables/table3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4" xr:uid="{29FF613C-2306-4E83-B949-83EB0FD388F5}" name="June30_2021385" displayName="June30_2021385" ref="B5:H22" totalsRowCount="1" headerRowDxfId="6704" headerRowBorderDxfId="6703" tableBorderDxfId="6702" totalsRowBorderDxfId="6701">
  <autoFilter ref="B5:H21" xr:uid="{29FF613C-2306-4E83-B949-83EB0FD388F5}"/>
  <sortState xmlns:xlrd2="http://schemas.microsoft.com/office/spreadsheetml/2017/richdata2" ref="B6:H21">
    <sortCondition ref="B6:B21"/>
  </sortState>
  <tableColumns count="7">
    <tableColumn id="1" xr3:uid="{F266B43C-9879-4649-B668-CFA7C4A75405}" name="BDC LIST" totalsRowLabel="Total" dataDxfId="6700" totalsRowDxfId="6699"/>
    <tableColumn id="2" xr3:uid="{745C6DED-FE77-4E34-9B42-533FAB01C3E6}" name="KSI_AGO" totalsRowFunction="custom" dataDxfId="6698" totalsRowDxfId="6697">
      <totalsRowFormula>SUM(June30_2021385[KSI_AGO])</totalsRowFormula>
    </tableColumn>
    <tableColumn id="3" xr3:uid="{D43B1040-0D79-45FD-B55E-A354ACE0E187}" name="KSI_PMS" totalsRowFunction="sum" dataDxfId="6696" totalsRowDxfId="6695" dataCellStyle="Comma"/>
    <tableColumn id="4" xr3:uid="{E717D23B-5B5A-4AD4-A0AB-724FF52FA723}" name="BUIPE_AGO" totalsRowFunction="custom" dataDxfId="6694" totalsRowDxfId="6693">
      <totalsRowFormula>SUM(June30_2021385[BUIPE_AGO])</totalsRowFormula>
    </tableColumn>
    <tableColumn id="5" xr3:uid="{8D6EC7C7-02CC-499D-9DC6-45959DCB56FB}" name="BUIPE_PMS" totalsRowFunction="custom" dataDxfId="6692" totalsRowDxfId="6691" dataCellStyle="Comma">
      <totalsRowFormula>SUM(June30_2021385[BUIPE_PMS])</totalsRowFormula>
    </tableColumn>
    <tableColumn id="6" xr3:uid="{77BBCB67-A69C-4D2B-A47C-FB0B2C199F22}" name="AKOSOMBO_AGO" totalsRowFunction="custom" dataDxfId="6690" totalsRowDxfId="6689">
      <totalsRowFormula>SUM(June30_2021385[AKOSOMBO_AGO])</totalsRowFormula>
    </tableColumn>
    <tableColumn id="7" xr3:uid="{87E2411E-7F5A-4B0E-9685-4C4270ED1F1F}" name="DATE" dataDxfId="6688" totalsRowDxfId="6687">
      <calculatedColumnFormula>$G$3</calculatedColumnFormula>
    </tableColumn>
  </tableColumns>
  <tableStyleInfo showFirstColumn="0" showLastColumn="0" showRowStripes="1" showColumnStripes="0"/>
</table>
</file>

<file path=xl/tables/table3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3" xr:uid="{61BBC68B-785E-4A3F-BAFB-6F85EFF5DD9E}" name="July02_2021404" displayName="July02_2021404" ref="B5:H22" totalsRowCount="1" headerRowDxfId="6686" headerRowBorderDxfId="6685" tableBorderDxfId="6684" totalsRowBorderDxfId="6683">
  <autoFilter ref="B5:H21" xr:uid="{61BBC68B-785E-4A3F-BAFB-6F85EFF5DD9E}"/>
  <sortState xmlns:xlrd2="http://schemas.microsoft.com/office/spreadsheetml/2017/richdata2" ref="B6:H21">
    <sortCondition ref="B6:B21"/>
  </sortState>
  <tableColumns count="7">
    <tableColumn id="1" xr3:uid="{D8F9BD76-45DC-4A8C-9B30-F461620C969B}" name="BDC LIST" totalsRowLabel="Total" dataDxfId="6682" totalsRowDxfId="6681"/>
    <tableColumn id="2" xr3:uid="{B92D6B90-084B-4E01-A643-96CB8EF58534}" name="KSI_AGO" totalsRowFunction="custom" dataDxfId="6680" totalsRowDxfId="6679">
      <totalsRowFormula>SUM(July02_2021404[KSI_AGO])</totalsRowFormula>
    </tableColumn>
    <tableColumn id="3" xr3:uid="{A333CE9C-38B1-456D-97C6-E4D80AD5FB8F}" name="KSI_PMS" totalsRowFunction="sum" dataDxfId="6678" totalsRowDxfId="6677" dataCellStyle="Comma"/>
    <tableColumn id="4" xr3:uid="{5B884F4D-737A-4139-9DA3-6B6E6E4D3E8F}" name="BUIPE_AGO" totalsRowFunction="custom" dataDxfId="6676" totalsRowDxfId="6675">
      <totalsRowFormula>SUM(July02_2021404[BUIPE_AGO])</totalsRowFormula>
    </tableColumn>
    <tableColumn id="5" xr3:uid="{18ACF85E-93AC-40FD-8F15-0D8FDF9D244A}" name="BUIPE_PMS" totalsRowFunction="custom" dataDxfId="6674" totalsRowDxfId="6673" dataCellStyle="Comma">
      <totalsRowFormula>SUM(July02_2021404[BUIPE_PMS])</totalsRowFormula>
    </tableColumn>
    <tableColumn id="6" xr3:uid="{32D8D101-F543-4350-A4E1-C739F4C49652}" name="AKOSOMBO_AGO" totalsRowFunction="custom" dataDxfId="6672" totalsRowDxfId="6671">
      <totalsRowFormula>SUM(July02_2021404[AKOSOMBO_AGO])</totalsRowFormula>
    </tableColumn>
    <tableColumn id="7" xr3:uid="{376E0175-E5AE-4927-A81E-E441120DF3D6}" name="DATE" dataDxfId="6670" totalsRowDxfId="6669">
      <calculatedColumnFormula>$G$3</calculatedColumnFormula>
    </tableColumn>
  </tableColumns>
  <tableStyleInfo showFirstColumn="0" showLastColumn="0" showRowStripes="1" showColumnStripes="0"/>
</table>
</file>

<file path=xl/tables/table3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2" xr:uid="{348A00E5-BEA0-4E59-9088-4DC81F7CFC95}" name="July05_2021413" displayName="July05_2021413" ref="B5:H22" totalsRowCount="1" headerRowDxfId="6668" headerRowBorderDxfId="6667" tableBorderDxfId="6666" totalsRowBorderDxfId="6665">
  <autoFilter ref="B5:H21" xr:uid="{348A00E5-BEA0-4E59-9088-4DC81F7CFC95}"/>
  <sortState xmlns:xlrd2="http://schemas.microsoft.com/office/spreadsheetml/2017/richdata2" ref="B6:H21">
    <sortCondition ref="B6:B21"/>
  </sortState>
  <tableColumns count="7">
    <tableColumn id="1" xr3:uid="{2F3B5BDD-48F6-4A35-BF9B-FFACE1E33A0E}" name="BDC LIST" totalsRowLabel="Total" dataDxfId="6664" totalsRowDxfId="6663"/>
    <tableColumn id="2" xr3:uid="{93E53641-746C-4119-BCEA-A9CA5E900090}" name="KSI_AGO" totalsRowFunction="custom" dataDxfId="6662" totalsRowDxfId="6661">
      <totalsRowFormula>SUM(July05_2021413[KSI_AGO])</totalsRowFormula>
    </tableColumn>
    <tableColumn id="3" xr3:uid="{EAC62660-8F36-4F37-8EFE-6A1FDF73B66B}" name="KSI_PMS" totalsRowFunction="sum" dataDxfId="6660" totalsRowDxfId="6659" dataCellStyle="Comma"/>
    <tableColumn id="4" xr3:uid="{F16DA449-2BEF-4B3D-85BA-60A6F4A4A89C}" name="BUIPE_AGO" totalsRowFunction="custom" dataDxfId="6658" totalsRowDxfId="6657">
      <totalsRowFormula>SUM(July05_2021413[BUIPE_AGO])</totalsRowFormula>
    </tableColumn>
    <tableColumn id="5" xr3:uid="{77D660A3-18AA-47C7-B7FE-C526D7590B4A}" name="BUIPE_PMS" totalsRowFunction="custom" dataDxfId="6656" totalsRowDxfId="6655" dataCellStyle="Comma">
      <totalsRowFormula>SUM(July05_2021413[BUIPE_PMS])</totalsRowFormula>
    </tableColumn>
    <tableColumn id="6" xr3:uid="{3DF9E489-A91C-431F-8218-CD8D4C9347AB}" name="AKOSOMBO_AGO" totalsRowFunction="custom" dataDxfId="6654" totalsRowDxfId="6653">
      <totalsRowFormula>SUM(July05_2021413[AKOSOMBO_AGO])</totalsRowFormula>
    </tableColumn>
    <tableColumn id="7" xr3:uid="{9DA85F52-B826-4FC4-B657-791F985EDC5A}" name="DATE" dataDxfId="6652" totalsRowDxfId="6651">
      <calculatedColumnFormula>$G$3</calculatedColumnFormula>
    </tableColumn>
  </tableColumns>
  <tableStyleInfo showFirstColumn="0" showLastColumn="0" showRowStripes="1" showColumnStripes="0"/>
</table>
</file>

<file path=xl/tables/table3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3" xr:uid="{F45B0C92-9200-42E6-80F1-F49F7BA3C18A}" name="July06_2021414" displayName="July06_2021414" ref="B5:H22" totalsRowCount="1" headerRowDxfId="6650" headerRowBorderDxfId="6649" tableBorderDxfId="6648" totalsRowBorderDxfId="6647">
  <autoFilter ref="B5:H21" xr:uid="{F45B0C92-9200-42E6-80F1-F49F7BA3C18A}"/>
  <sortState xmlns:xlrd2="http://schemas.microsoft.com/office/spreadsheetml/2017/richdata2" ref="B6:H21">
    <sortCondition ref="B6:B21"/>
  </sortState>
  <tableColumns count="7">
    <tableColumn id="1" xr3:uid="{BAA33CFF-C656-4590-BE58-8A56198D8CAA}" name="BDC LIST" totalsRowLabel="Total" dataDxfId="6646" totalsRowDxfId="6645"/>
    <tableColumn id="2" xr3:uid="{B2144157-262B-436C-8EAE-9D0B17627064}" name="KSI_AGO" totalsRowFunction="custom" dataDxfId="6644" totalsRowDxfId="6643">
      <totalsRowFormula>SUM(July06_2021414[KSI_AGO])</totalsRowFormula>
    </tableColumn>
    <tableColumn id="3" xr3:uid="{05C41352-4962-40BE-9808-5376A7002B4E}" name="KSI_PMS" totalsRowFunction="sum" dataDxfId="6642" totalsRowDxfId="6641" dataCellStyle="Comma"/>
    <tableColumn id="4" xr3:uid="{E3FF990F-4AF9-453A-A495-FBCB6BF65D2F}" name="BUIPE_AGO" totalsRowFunction="custom" dataDxfId="6640" totalsRowDxfId="6639">
      <totalsRowFormula>SUM(July06_2021414[BUIPE_AGO])</totalsRowFormula>
    </tableColumn>
    <tableColumn id="5" xr3:uid="{C9926571-AD56-4A27-92D9-3CD5D26A470D}" name="BUIPE_PMS" totalsRowFunction="custom" dataDxfId="6638" totalsRowDxfId="6637" dataCellStyle="Comma">
      <totalsRowFormula>SUM(July06_2021414[BUIPE_PMS])</totalsRowFormula>
    </tableColumn>
    <tableColumn id="6" xr3:uid="{0D572270-777F-47EA-A87C-6279FCA21B35}" name="AKOSOMBO_AGO" totalsRowFunction="custom" dataDxfId="6636" totalsRowDxfId="6635">
      <totalsRowFormula>SUM(July06_2021414[AKOSOMBO_AGO])</totalsRowFormula>
    </tableColumn>
    <tableColumn id="7" xr3:uid="{95780FD2-095F-4FAA-9F42-ABB3CB6854F8}" name="DATE" dataDxfId="6634" totalsRowDxfId="6633">
      <calculatedColumnFormula>$G$3</calculatedColumnFormula>
    </tableColumn>
  </tableColumns>
  <tableStyleInfo showFirstColumn="0" showLastColumn="0" showRowStripes="1" showColumnStripes="0"/>
</table>
</file>

<file path=xl/tables/table3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4" xr:uid="{C471D930-105B-4565-8111-2F0B244A68CD}" name="July07_2021415" displayName="July07_2021415" ref="B5:H22" totalsRowCount="1" headerRowDxfId="6632" headerRowBorderDxfId="6631" tableBorderDxfId="6630" totalsRowBorderDxfId="6629">
  <autoFilter ref="B5:H21" xr:uid="{C471D930-105B-4565-8111-2F0B244A68CD}"/>
  <sortState xmlns:xlrd2="http://schemas.microsoft.com/office/spreadsheetml/2017/richdata2" ref="B6:H21">
    <sortCondition ref="B6:B21"/>
  </sortState>
  <tableColumns count="7">
    <tableColumn id="1" xr3:uid="{B4BDFB76-2801-4C35-B52F-F7B123DC290E}" name="BDC LIST" totalsRowLabel="Total" dataDxfId="6628" totalsRowDxfId="6627"/>
    <tableColumn id="2" xr3:uid="{9BA9C3B5-5F5B-4E1A-964B-922E398F02EF}" name="KSI_AGO" totalsRowFunction="custom" dataDxfId="6626" totalsRowDxfId="6625">
      <totalsRowFormula>SUM(July07_2021415[KSI_AGO])</totalsRowFormula>
    </tableColumn>
    <tableColumn id="3" xr3:uid="{2FAC1696-199B-43E4-9C89-8E907A304300}" name="KSI_PMS" totalsRowFunction="sum" dataDxfId="6624" totalsRowDxfId="6623" dataCellStyle="Comma"/>
    <tableColumn id="4" xr3:uid="{27006EFF-245E-4470-BD6A-45481388AB2F}" name="BUIPE_AGO" totalsRowFunction="custom" dataDxfId="6622" totalsRowDxfId="6621">
      <totalsRowFormula>SUM(July07_2021415[BUIPE_AGO])</totalsRowFormula>
    </tableColumn>
    <tableColumn id="5" xr3:uid="{5A395DC2-0036-4909-8CA5-B03CC387BC13}" name="BUIPE_PMS" totalsRowFunction="custom" dataDxfId="6620" totalsRowDxfId="6619" dataCellStyle="Comma">
      <totalsRowFormula>SUM(July07_2021415[BUIPE_PMS])</totalsRowFormula>
    </tableColumn>
    <tableColumn id="6" xr3:uid="{B028DDFB-3298-41EA-AC6B-351A311275A5}" name="AKOSOMBO_AGO" totalsRowFunction="custom" dataDxfId="6618" totalsRowDxfId="6617">
      <totalsRowFormula>SUM(July07_2021415[AKOSOMBO_AGO])</totalsRowFormula>
    </tableColumn>
    <tableColumn id="7" xr3:uid="{5EEC201E-C9E5-412F-8ACD-B12CD56BEF80}" name="DATE" dataDxfId="6616" totalsRowDxfId="6615">
      <calculatedColumnFormula>$G$3</calculatedColumnFormula>
    </tableColumn>
  </tableColumns>
  <tableStyleInfo showFirstColumn="0" showLastColumn="0" showRowStripes="1" showColumnStripes="0"/>
</table>
</file>

<file path=xl/tables/table3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5" xr:uid="{036FC0EF-285F-4145-87DB-A880250E7927}" name="July07_20218" displayName="July07_20218" ref="B5:H22" totalsRowCount="1" headerRowDxfId="6614" headerRowBorderDxfId="6613" tableBorderDxfId="6612" totalsRowBorderDxfId="6611">
  <autoFilter ref="B5:H21" xr:uid="{036FC0EF-285F-4145-87DB-A880250E7927}"/>
  <sortState xmlns:xlrd2="http://schemas.microsoft.com/office/spreadsheetml/2017/richdata2" ref="B6:H21">
    <sortCondition ref="B6:B21"/>
  </sortState>
  <tableColumns count="7">
    <tableColumn id="1" xr3:uid="{25AC9781-BDB8-4DB6-9D74-9B122101FEA2}" name="BDC LIST" totalsRowLabel="Total" dataDxfId="6610" totalsRowDxfId="6609"/>
    <tableColumn id="2" xr3:uid="{7428B09A-23E1-4454-8BEA-B2E08ECD065E}" name="KSI_AGO" totalsRowFunction="custom" dataDxfId="6608" totalsRowDxfId="6607">
      <totalsRowFormula>SUM(July07_20218[KSI_AGO])</totalsRowFormula>
    </tableColumn>
    <tableColumn id="3" xr3:uid="{94DD24FD-370E-4554-8DC0-11B936782AE0}" name="KSI_PMS" totalsRowFunction="sum" dataDxfId="6606" totalsRowDxfId="6605" dataCellStyle="Comma"/>
    <tableColumn id="4" xr3:uid="{F5CA00A1-8A7A-432C-B7C2-25CBD6E54934}" name="BUIPE_AGO" totalsRowFunction="custom" dataDxfId="6604" totalsRowDxfId="6603">
      <totalsRowFormula>SUM(July07_20218[BUIPE_AGO])</totalsRowFormula>
    </tableColumn>
    <tableColumn id="5" xr3:uid="{349BA113-47D8-494D-9676-3B7E59055EF8}" name="BUIPE_PMS" totalsRowFunction="custom" dataDxfId="6602" totalsRowDxfId="6601" dataCellStyle="Comma">
      <totalsRowFormula>SUM(July07_20218[BUIPE_PMS])</totalsRowFormula>
    </tableColumn>
    <tableColumn id="6" xr3:uid="{A9E76E2A-A65A-4D93-B5A2-4A1E8C92758F}" name="AKOSOMBO_AGO" totalsRowFunction="custom" dataDxfId="6600" totalsRowDxfId="6599">
      <totalsRowFormula>SUM(July07_20218[AKOSOMBO_AGO])</totalsRowFormula>
    </tableColumn>
    <tableColumn id="7" xr3:uid="{95BCA89C-770A-4367-BCF0-80C956F0BA32}" name="DATE" dataDxfId="6598" totalsRowDxfId="6597">
      <calculatedColumnFormula>$G$3</calculatedColumnFormula>
    </tableColumn>
  </tableColumns>
  <tableStyleInfo showFirstColumn="0" showLastColumn="0" showRowStripes="1" showColumnStripes="0"/>
</table>
</file>

<file path=xl/tables/table3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6" xr:uid="{6A2C63DF-B492-4787-B628-0AE0CE4E9436}" name="July09_2021417" displayName="July09_2021417" ref="B5:H22" totalsRowCount="1" headerRowDxfId="6596" headerRowBorderDxfId="6595" tableBorderDxfId="6594" totalsRowBorderDxfId="6593">
  <autoFilter ref="B5:H21" xr:uid="{6A2C63DF-B492-4787-B628-0AE0CE4E9436}"/>
  <sortState xmlns:xlrd2="http://schemas.microsoft.com/office/spreadsheetml/2017/richdata2" ref="B6:H21">
    <sortCondition ref="B6:B21"/>
  </sortState>
  <tableColumns count="7">
    <tableColumn id="1" xr3:uid="{EB759D12-D4B7-4621-9A99-6AEE6366D397}" name="BDC LIST" totalsRowLabel="Total" dataDxfId="6592" totalsRowDxfId="6591"/>
    <tableColumn id="2" xr3:uid="{A5A11A5E-6F64-4754-953B-1389A3EBB35F}" name="KSI_AGO" totalsRowFunction="custom" dataDxfId="6590" totalsRowDxfId="6589">
      <totalsRowFormula>SUM(July09_2021417[KSI_AGO])</totalsRowFormula>
    </tableColumn>
    <tableColumn id="3" xr3:uid="{FC7359B9-AC0C-4145-BFF9-B910ACDDF721}" name="KSI_PMS" totalsRowFunction="sum" dataDxfId="6588" totalsRowDxfId="6587" dataCellStyle="Comma"/>
    <tableColumn id="4" xr3:uid="{04244F82-3AAC-47D2-A700-3253C3DAA8A1}" name="BUIPE_AGO" totalsRowFunction="custom" dataDxfId="6586" totalsRowDxfId="6585">
      <totalsRowFormula>SUM(July09_2021417[BUIPE_AGO])</totalsRowFormula>
    </tableColumn>
    <tableColumn id="5" xr3:uid="{0523733B-60F4-4481-BFA1-FA7286884B2A}" name="BUIPE_PMS" totalsRowFunction="custom" dataDxfId="6584" totalsRowDxfId="6583" dataCellStyle="Comma">
      <totalsRowFormula>SUM(July09_2021417[BUIPE_PMS])</totalsRowFormula>
    </tableColumn>
    <tableColumn id="6" xr3:uid="{9E159533-2CB7-43A8-AAA3-657F187D1113}" name="AKOSOMBO_AGO" totalsRowFunction="custom" dataDxfId="6582" totalsRowDxfId="6581">
      <totalsRowFormula>SUM(July09_2021417[AKOSOMBO_AGO])</totalsRowFormula>
    </tableColumn>
    <tableColumn id="7" xr3:uid="{A50F31BB-A758-4950-83E4-66479BA69AF7}" name="DATE" dataDxfId="6580" totalsRowDxfId="6579">
      <calculatedColumnFormula>$G$3</calculatedColumnFormula>
    </tableColumn>
  </tableColumns>
  <tableStyleInfo showFirstColumn="0" showLastColumn="0" showRowStripes="1" showColumnStripes="0"/>
</table>
</file>

<file path=xl/tables/table3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7" xr:uid="{1DA2EA59-283D-418E-8485-19777AE4E9C1}" name="July12_2021418" displayName="July12_2021418" ref="B5:H22" totalsRowCount="1" headerRowDxfId="6578" headerRowBorderDxfId="6577" tableBorderDxfId="6576" totalsRowBorderDxfId="6575">
  <autoFilter ref="B5:H21" xr:uid="{1DA2EA59-283D-418E-8485-19777AE4E9C1}"/>
  <sortState xmlns:xlrd2="http://schemas.microsoft.com/office/spreadsheetml/2017/richdata2" ref="B6:H21">
    <sortCondition ref="B6:B21"/>
  </sortState>
  <tableColumns count="7">
    <tableColumn id="1" xr3:uid="{C1266029-10FA-4F76-9AF3-13EBC834264A}" name="BDC LIST" totalsRowLabel="Total" dataDxfId="6574" totalsRowDxfId="6573"/>
    <tableColumn id="2" xr3:uid="{FF55E84B-548D-499B-B98F-D7E7CDB2E4E3}" name="KSI_AGO" totalsRowFunction="custom" dataDxfId="6572" totalsRowDxfId="6571">
      <totalsRowFormula>SUM(July12_2021418[KSI_AGO])</totalsRowFormula>
    </tableColumn>
    <tableColumn id="3" xr3:uid="{1899F1E2-3E96-466D-9765-629D0AD69668}" name="KSI_PMS" totalsRowFunction="sum" dataDxfId="6570" totalsRowDxfId="6569" dataCellStyle="Comma"/>
    <tableColumn id="4" xr3:uid="{EEFF54DE-FFFD-4DA3-8B63-59D5E25E3252}" name="BUIPE_AGO" totalsRowFunction="custom" dataDxfId="6568" totalsRowDxfId="6567">
      <totalsRowFormula>SUM(July12_2021418[BUIPE_AGO])</totalsRowFormula>
    </tableColumn>
    <tableColumn id="5" xr3:uid="{F14D634E-2766-4EDD-BC8C-78977EE39C8E}" name="BUIPE_PMS" totalsRowFunction="custom" dataDxfId="6566" totalsRowDxfId="6565" dataCellStyle="Comma">
      <totalsRowFormula>SUM(July12_2021418[BUIPE_PMS])</totalsRowFormula>
    </tableColumn>
    <tableColumn id="6" xr3:uid="{4A621E2D-8D91-4181-84F9-656C540D4575}" name="AKOSOMBO_AGO" totalsRowFunction="custom" dataDxfId="6564" totalsRowDxfId="6563">
      <totalsRowFormula>SUM(July12_2021418[AKOSOMBO_AGO])</totalsRowFormula>
    </tableColumn>
    <tableColumn id="7" xr3:uid="{2201A631-50D9-4CCF-AC53-3EE15F8DCEE2}" name="DATE" dataDxfId="6562" totalsRowDxfId="6561">
      <calculatedColumnFormula>$G$3</calculatedColumnFormula>
    </tableColumn>
  </tableColumns>
  <tableStyleInfo showFirstColumn="0" showLastColumn="0" showRowStripes="1" showColumnStripes="0"/>
</table>
</file>

<file path=xl/tables/table3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8" xr:uid="{56D290BF-99CE-485B-8B0A-1F1B14F31EF1}" name="July13_2021419" displayName="July13_2021419" ref="B5:H22" totalsRowCount="1" headerRowDxfId="6560" headerRowBorderDxfId="6559" tableBorderDxfId="6558" totalsRowBorderDxfId="6557">
  <autoFilter ref="B5:H21" xr:uid="{56D290BF-99CE-485B-8B0A-1F1B14F31EF1}"/>
  <sortState xmlns:xlrd2="http://schemas.microsoft.com/office/spreadsheetml/2017/richdata2" ref="B6:H21">
    <sortCondition ref="B6:B21"/>
  </sortState>
  <tableColumns count="7">
    <tableColumn id="1" xr3:uid="{21BEADDE-6E16-45A4-A8B4-5185BD1B4EAA}" name="BDC LIST" totalsRowLabel="Total" dataDxfId="6556" totalsRowDxfId="6555"/>
    <tableColumn id="2" xr3:uid="{496EFF87-005C-4571-A87D-CCF287A62431}" name="KSI_AGO" totalsRowFunction="custom" dataDxfId="6554" totalsRowDxfId="6553">
      <totalsRowFormula>SUM(July13_2021419[KSI_AGO])</totalsRowFormula>
    </tableColumn>
    <tableColumn id="3" xr3:uid="{45633BBC-19F8-4A5C-9283-E09DA2F34F29}" name="KSI_PMS" totalsRowFunction="sum" dataDxfId="6552" totalsRowDxfId="6551" dataCellStyle="Comma"/>
    <tableColumn id="4" xr3:uid="{BB74F023-6769-4972-8D22-4E02747508EB}" name="BUIPE_AGO" totalsRowFunction="custom" dataDxfId="6550" totalsRowDxfId="6549">
      <totalsRowFormula>SUM(July13_2021419[BUIPE_AGO])</totalsRowFormula>
    </tableColumn>
    <tableColumn id="5" xr3:uid="{E639105D-2290-49EE-AD1B-E2357BF0FC89}" name="BUIPE_PMS" totalsRowFunction="custom" dataDxfId="6548" totalsRowDxfId="6547" dataCellStyle="Comma">
      <totalsRowFormula>SUM(July13_2021419[BUIPE_PMS])</totalsRowFormula>
    </tableColumn>
    <tableColumn id="6" xr3:uid="{E05EB2B5-35CE-4918-B42C-0C72FA2DC8C0}" name="AKOSOMBO_AGO" totalsRowFunction="custom" dataDxfId="6546" totalsRowDxfId="6545">
      <totalsRowFormula>SUM(July13_2021419[AKOSOMBO_AGO])</totalsRowFormula>
    </tableColumn>
    <tableColumn id="7" xr3:uid="{30CC2EC6-AF2E-46F8-AE39-59FFDE5CC79C}" name="DATE" dataDxfId="6544" totalsRowDxfId="6543">
      <calculatedColumnFormula>$G$3</calculatedColumnFormula>
    </tableColumn>
  </tableColumns>
  <tableStyleInfo showFirstColumn="0" showLastColumn="0" showRowStripes="1" showColumnStripes="0"/>
</table>
</file>

<file path=xl/tables/table3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9" xr:uid="{722C81A7-A08E-4D03-A36F-C098F84F2E88}" name="July14_2021420" displayName="July14_2021420" ref="B5:H22" totalsRowCount="1" headerRowDxfId="6542" headerRowBorderDxfId="6541" tableBorderDxfId="6540" totalsRowBorderDxfId="6539">
  <autoFilter ref="B5:H21" xr:uid="{722C81A7-A08E-4D03-A36F-C098F84F2E88}"/>
  <sortState xmlns:xlrd2="http://schemas.microsoft.com/office/spreadsheetml/2017/richdata2" ref="B6:H21">
    <sortCondition ref="B6:B21"/>
  </sortState>
  <tableColumns count="7">
    <tableColumn id="1" xr3:uid="{985F8E7A-E351-4971-96CD-A2EC61F9E7B5}" name="BDC LIST" totalsRowLabel="Total" dataDxfId="6538" totalsRowDxfId="6537"/>
    <tableColumn id="2" xr3:uid="{B27EB389-5FC8-4715-9ABC-0E6B0462492F}" name="KSI_AGO" totalsRowFunction="custom" dataDxfId="6536" totalsRowDxfId="6535">
      <totalsRowFormula>SUM(July14_2021420[KSI_AGO])</totalsRowFormula>
    </tableColumn>
    <tableColumn id="3" xr3:uid="{6C78FD6F-DD2A-415B-BFE6-A35D9ECDD614}" name="KSI_PMS" totalsRowFunction="sum" dataDxfId="6534" totalsRowDxfId="6533" dataCellStyle="Comma"/>
    <tableColumn id="4" xr3:uid="{DBF9B506-8623-4C43-A9B0-C6265E3A9875}" name="BUIPE_AGO" totalsRowFunction="custom" dataDxfId="6532" totalsRowDxfId="6531">
      <totalsRowFormula>SUM(July14_2021420[BUIPE_AGO])</totalsRowFormula>
    </tableColumn>
    <tableColumn id="5" xr3:uid="{A80CAC26-7098-4EE9-9A2F-5DFC7F5EA90F}" name="BUIPE_PMS" totalsRowFunction="custom" dataDxfId="6530" totalsRowDxfId="6529" dataCellStyle="Comma">
      <totalsRowFormula>SUM(July14_2021420[BUIPE_PMS])</totalsRowFormula>
    </tableColumn>
    <tableColumn id="6" xr3:uid="{99C125FD-B314-45AD-8E28-D69241C9EFF4}" name="AKOSOMBO_AGO" totalsRowFunction="custom" dataDxfId="6528" totalsRowDxfId="6527">
      <totalsRowFormula>SUM(July14_2021420[AKOSOMBO_AGO])</totalsRowFormula>
    </tableColumn>
    <tableColumn id="7" xr3:uid="{E09AD663-A553-423D-B43C-42C8510AD287}" name="DATE" dataDxfId="6526" totalsRowDxfId="6525">
      <calculatedColumnFormula>$G$3</calculatedColumnFormula>
    </tableColumn>
  </tableColumns>
  <tableStyleInfo showFirstColumn="0" showLastColumn="0" showRowStripes="1" showColumnStripes="0"/>
</table>
</file>

<file path=xl/tables/table3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0" xr:uid="{09B9A215-218F-4FB6-B88D-A648EB46A0E8}" name="July15_2021421" displayName="July15_2021421" ref="B5:H22" totalsRowCount="1" headerRowDxfId="6524" headerRowBorderDxfId="6523" tableBorderDxfId="6522" totalsRowBorderDxfId="6521">
  <autoFilter ref="B5:H21" xr:uid="{09B9A215-218F-4FB6-B88D-A648EB46A0E8}"/>
  <sortState xmlns:xlrd2="http://schemas.microsoft.com/office/spreadsheetml/2017/richdata2" ref="B6:H21">
    <sortCondition ref="B6:B21"/>
  </sortState>
  <tableColumns count="7">
    <tableColumn id="1" xr3:uid="{0763EA93-8956-4E46-B033-7EA81653FFDB}" name="BDC LIST" totalsRowLabel="Total" dataDxfId="6520" totalsRowDxfId="6519"/>
    <tableColumn id="2" xr3:uid="{E748D4B8-73A9-4504-BD00-040A6CBD1869}" name="KSI_AGO" totalsRowFunction="custom" dataDxfId="6518" totalsRowDxfId="6517">
      <totalsRowFormula>SUM(July15_2021421[KSI_AGO])</totalsRowFormula>
    </tableColumn>
    <tableColumn id="3" xr3:uid="{A32220A1-FFA6-4B06-934D-71E5AC856E49}" name="KSI_PMS" totalsRowFunction="sum" dataDxfId="6516" totalsRowDxfId="6515" dataCellStyle="Comma"/>
    <tableColumn id="4" xr3:uid="{1478FF1D-1C2F-4EE1-8547-C5823D95683E}" name="BUIPE_AGO" totalsRowFunction="custom" dataDxfId="6514" totalsRowDxfId="6513">
      <totalsRowFormula>SUM(July15_2021421[BUIPE_AGO])</totalsRowFormula>
    </tableColumn>
    <tableColumn id="5" xr3:uid="{5582FA92-63DA-494B-8405-497E8CF95E05}" name="BUIPE_PMS" totalsRowFunction="custom" dataDxfId="6512" totalsRowDxfId="6511" dataCellStyle="Comma">
      <totalsRowFormula>SUM(July15_2021421[BUIPE_PMS])</totalsRowFormula>
    </tableColumn>
    <tableColumn id="6" xr3:uid="{17163021-3E79-4C97-8FF9-08247E33D20E}" name="AKOSOMBO_AGO" totalsRowFunction="custom" dataDxfId="6510" totalsRowDxfId="6509">
      <totalsRowFormula>SUM(July15_2021421[AKOSOMBO_AGO])</totalsRowFormula>
    </tableColumn>
    <tableColumn id="7" xr3:uid="{B4DC1988-58EC-4724-9A3B-8678652C5BC2}" name="DATE" dataDxfId="6508" totalsRowDxfId="6507">
      <calculatedColumnFormula>$G$3</calculatedColumnFormula>
    </tableColumn>
  </tableColumns>
  <tableStyleInfo showFirstColumn="0" showLastColumn="0" showRowStripes="1" showColumnStripes="0"/>
</table>
</file>

<file path=xl/tables/table3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1" xr:uid="{347D4225-5F1A-4B1E-8425-009902C28534}" name="July16_2021422" displayName="July16_2021422" ref="B5:H22" totalsRowCount="1" headerRowDxfId="6506" headerRowBorderDxfId="6505" tableBorderDxfId="6504" totalsRowBorderDxfId="6503">
  <autoFilter ref="B5:H21" xr:uid="{347D4225-5F1A-4B1E-8425-009902C28534}"/>
  <sortState xmlns:xlrd2="http://schemas.microsoft.com/office/spreadsheetml/2017/richdata2" ref="B6:H21">
    <sortCondition ref="B6:B21"/>
  </sortState>
  <tableColumns count="7">
    <tableColumn id="1" xr3:uid="{7716E5AB-63A4-477C-91D8-D9AF20D36DAF}" name="BDC LIST" totalsRowLabel="Total" dataDxfId="6502" totalsRowDxfId="6501"/>
    <tableColumn id="2" xr3:uid="{A5B35549-8472-48C2-8640-A5753A1DA71C}" name="KSI_AGO" totalsRowFunction="custom" dataDxfId="6500" totalsRowDxfId="6499">
      <totalsRowFormula>SUM(July16_2021422[KSI_AGO])</totalsRowFormula>
    </tableColumn>
    <tableColumn id="3" xr3:uid="{FA040BCD-AE60-43E8-8CEE-437D0F8F18F0}" name="KSI_PMS" totalsRowFunction="sum" dataDxfId="6498" totalsRowDxfId="6497" dataCellStyle="Comma"/>
    <tableColumn id="4" xr3:uid="{1369DFAC-CBFD-481F-8156-3BFAD4C3D3CB}" name="BUIPE_AGO" totalsRowFunction="custom" dataDxfId="6496" totalsRowDxfId="6495">
      <totalsRowFormula>SUM(July16_2021422[BUIPE_AGO])</totalsRowFormula>
    </tableColumn>
    <tableColumn id="5" xr3:uid="{BAB4A884-643B-46DF-BDB7-15D1F6634A52}" name="BUIPE_PMS" totalsRowFunction="custom" dataDxfId="6494" totalsRowDxfId="6493" dataCellStyle="Comma">
      <totalsRowFormula>SUM(July16_2021422[BUIPE_PMS])</totalsRowFormula>
    </tableColumn>
    <tableColumn id="6" xr3:uid="{9683B7C5-63B2-459F-AEA1-F5987CD2F939}" name="AKOSOMBO_AGO" totalsRowFunction="custom" dataDxfId="6492" totalsRowDxfId="6491">
      <totalsRowFormula>SUM(July16_2021422[AKOSOMBO_AGO])</totalsRowFormula>
    </tableColumn>
    <tableColumn id="7" xr3:uid="{099D9413-4AF5-430C-8EA6-5390A3F8B48A}" name="DATE" dataDxfId="6490" totalsRowDxfId="6489">
      <calculatedColumnFormula>$G$3</calculatedColumnFormula>
    </tableColumn>
  </tableColumns>
  <tableStyleInfo showFirstColumn="0" showLastColumn="0" showRowStripes="1" showColumnStripes="0"/>
</table>
</file>

<file path=xl/tables/table3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2" xr:uid="{18612EEA-DDBF-402C-B4EB-03CB64A5774A}" name="July19_2021423" displayName="July19_2021423" ref="B5:H22" totalsRowCount="1" headerRowDxfId="6488" headerRowBorderDxfId="6487" tableBorderDxfId="6486" totalsRowBorderDxfId="6485">
  <autoFilter ref="B5:H21" xr:uid="{18612EEA-DDBF-402C-B4EB-03CB64A5774A}"/>
  <sortState xmlns:xlrd2="http://schemas.microsoft.com/office/spreadsheetml/2017/richdata2" ref="B6:H21">
    <sortCondition ref="B6:B21"/>
  </sortState>
  <tableColumns count="7">
    <tableColumn id="1" xr3:uid="{A24FBF76-BFD8-4351-9853-3DE471D8AFBA}" name="BDC LIST" totalsRowLabel="Total" dataDxfId="6484" totalsRowDxfId="6483"/>
    <tableColumn id="2" xr3:uid="{F48647D2-4794-4013-9E6A-8DBAB8DA5ECD}" name="KSI_AGO" totalsRowFunction="custom" dataDxfId="6482" totalsRowDxfId="6481">
      <totalsRowFormula>SUM(July19_2021423[KSI_AGO])</totalsRowFormula>
    </tableColumn>
    <tableColumn id="3" xr3:uid="{1EA5D733-ADB8-40D0-A45A-36153D28A235}" name="KSI_PMS" totalsRowFunction="sum" dataDxfId="6480" totalsRowDxfId="6479" dataCellStyle="Comma"/>
    <tableColumn id="4" xr3:uid="{D9FA2B01-1DB4-4427-A6C9-43A361D187B1}" name="BUIPE_AGO" totalsRowFunction="custom" dataDxfId="6478" totalsRowDxfId="6477">
      <totalsRowFormula>SUM(July19_2021423[BUIPE_AGO])</totalsRowFormula>
    </tableColumn>
    <tableColumn id="5" xr3:uid="{3AD09518-9E58-4592-8DA5-D525E69CCE62}" name="BUIPE_PMS" totalsRowFunction="custom" dataDxfId="6476" totalsRowDxfId="6475" dataCellStyle="Comma">
      <totalsRowFormula>SUM(July19_2021423[BUIPE_PMS])</totalsRowFormula>
    </tableColumn>
    <tableColumn id="6" xr3:uid="{B1F7BD1D-0034-4058-98B9-188F5E5CC49B}" name="AKOSOMBO_AGO" totalsRowFunction="custom" dataDxfId="6474" totalsRowDxfId="6473">
      <totalsRowFormula>SUM(July19_2021423[AKOSOMBO_AGO])</totalsRowFormula>
    </tableColumn>
    <tableColumn id="7" xr3:uid="{EE29BB54-6D99-4E39-9608-7F26C30D6E8F}" name="DATE" dataDxfId="6472" totalsRowDxfId="6471">
      <calculatedColumnFormula>$G$3</calculatedColumnFormula>
    </tableColumn>
  </tableColumns>
  <tableStyleInfo showFirstColumn="0" showLastColumn="0" showRowStripes="1" showColumnStripes="0"/>
</table>
</file>

<file path=xl/tables/table3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3" xr:uid="{E9AC6C48-1416-420A-9AE0-0B552C3767DA}" name="July21_2021424" displayName="July21_2021424" ref="B5:H22" totalsRowCount="1" headerRowDxfId="6470" headerRowBorderDxfId="6469" tableBorderDxfId="6468" totalsRowBorderDxfId="6467">
  <autoFilter ref="B5:H21" xr:uid="{E9AC6C48-1416-420A-9AE0-0B552C3767DA}"/>
  <sortState xmlns:xlrd2="http://schemas.microsoft.com/office/spreadsheetml/2017/richdata2" ref="B6:H21">
    <sortCondition ref="B6:B21"/>
  </sortState>
  <tableColumns count="7">
    <tableColumn id="1" xr3:uid="{770633E9-D364-444A-A5D1-9D0ACC204A2E}" name="BDC LIST" totalsRowLabel="Total" dataDxfId="6466" totalsRowDxfId="6465"/>
    <tableColumn id="2" xr3:uid="{7AC86EA2-051A-4E88-AD71-FCFD87153300}" name="KSI_AGO" totalsRowFunction="custom" dataDxfId="6464" totalsRowDxfId="6463">
      <totalsRowFormula>SUM(July21_2021424[KSI_AGO])</totalsRowFormula>
    </tableColumn>
    <tableColumn id="3" xr3:uid="{833952D7-60F3-45BD-93EF-E1CCF7961715}" name="KSI_PMS" totalsRowFunction="sum" dataDxfId="6462" totalsRowDxfId="6461" dataCellStyle="Comma"/>
    <tableColumn id="4" xr3:uid="{9356558D-920F-4FF6-9F0B-5989A3EC062B}" name="BUIPE_AGO" totalsRowFunction="custom" dataDxfId="6460" totalsRowDxfId="6459">
      <totalsRowFormula>SUM(July21_2021424[BUIPE_AGO])</totalsRowFormula>
    </tableColumn>
    <tableColumn id="5" xr3:uid="{DF6307C3-CCBD-4D9C-9A02-B95CC3F08688}" name="BUIPE_PMS" totalsRowFunction="custom" dataDxfId="6458" totalsRowDxfId="6457" dataCellStyle="Comma">
      <totalsRowFormula>SUM(July21_2021424[BUIPE_PMS])</totalsRowFormula>
    </tableColumn>
    <tableColumn id="6" xr3:uid="{FCB13760-C7A3-4864-B992-696EF343100F}" name="AKOSOMBO_AGO" totalsRowFunction="custom" dataDxfId="6456" totalsRowDxfId="6455">
      <totalsRowFormula>SUM(July21_2021424[AKOSOMBO_AGO])</totalsRowFormula>
    </tableColumn>
    <tableColumn id="7" xr3:uid="{CFCD11A8-49CE-4148-9B9E-F01B03C22A82}" name="DATE" dataDxfId="6454" totalsRowDxfId="6453">
      <calculatedColumnFormula>$G$3</calculatedColumnFormula>
    </tableColumn>
  </tableColumns>
  <tableStyleInfo showFirstColumn="0" showLastColumn="0" showRowStripes="1" showColumnStripes="0"/>
</table>
</file>

<file path=xl/tables/table3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4" xr:uid="{74D54754-464F-4D87-B611-530890F4813A}" name="July22_2021425" displayName="July22_2021425" ref="B5:H22" totalsRowCount="1" headerRowDxfId="6452" headerRowBorderDxfId="6451" tableBorderDxfId="6450" totalsRowBorderDxfId="6449">
  <autoFilter ref="B5:H21" xr:uid="{74D54754-464F-4D87-B611-530890F4813A}"/>
  <sortState xmlns:xlrd2="http://schemas.microsoft.com/office/spreadsheetml/2017/richdata2" ref="B6:H21">
    <sortCondition ref="B6:B21"/>
  </sortState>
  <tableColumns count="7">
    <tableColumn id="1" xr3:uid="{479F2A4D-7567-4429-B557-A7C29BBCBD38}" name="BDC LIST" totalsRowLabel="Total" dataDxfId="6448" totalsRowDxfId="6447"/>
    <tableColumn id="2" xr3:uid="{E1155465-5FAF-4B17-83CA-F2381D39609B}" name="KSI_AGO" totalsRowFunction="custom" dataDxfId="6446" totalsRowDxfId="6445">
      <totalsRowFormula>SUM(July22_2021425[KSI_AGO])</totalsRowFormula>
    </tableColumn>
    <tableColumn id="3" xr3:uid="{6E51CE50-5E7D-48DE-92A5-092B244FAAD0}" name="KSI_PMS" totalsRowFunction="sum" dataDxfId="6444" totalsRowDxfId="6443" dataCellStyle="Comma"/>
    <tableColumn id="4" xr3:uid="{9CAFB862-E701-471E-A72A-E518A9F9F81D}" name="BUIPE_AGO" totalsRowFunction="custom" dataDxfId="6442" totalsRowDxfId="6441">
      <totalsRowFormula>SUM(July22_2021425[BUIPE_AGO])</totalsRowFormula>
    </tableColumn>
    <tableColumn id="5" xr3:uid="{1156AA00-F8FE-4113-A65C-99887506473F}" name="BUIPE_PMS" totalsRowFunction="custom" dataDxfId="6440" totalsRowDxfId="6439" dataCellStyle="Comma">
      <totalsRowFormula>SUM(July22_2021425[BUIPE_PMS])</totalsRowFormula>
    </tableColumn>
    <tableColumn id="6" xr3:uid="{C57FED10-8FD5-4E5F-A974-0028847DD101}" name="AKOSOMBO_AGO" totalsRowFunction="custom" dataDxfId="6438" totalsRowDxfId="6437">
      <totalsRowFormula>SUM(July22_2021425[AKOSOMBO_AGO])</totalsRowFormula>
    </tableColumn>
    <tableColumn id="7" xr3:uid="{B6ABD921-B6E9-44E5-B3C1-9561DB08175E}" name="DATE" dataDxfId="6436" totalsRowDxfId="6435">
      <calculatedColumnFormula>$G$3</calculatedColumnFormula>
    </tableColumn>
  </tableColumns>
  <tableStyleInfo showFirstColumn="0" showLastColumn="0" showRowStripes="1" showColumnStripes="0"/>
</table>
</file>

<file path=xl/tables/table3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5" xr:uid="{38DA0594-5D0C-4B3C-83E7-E89A00CC3018}" name="July23_2021426" displayName="July23_2021426" ref="B5:H22" totalsRowCount="1" headerRowDxfId="6434" headerRowBorderDxfId="6433" tableBorderDxfId="6432" totalsRowBorderDxfId="6431">
  <autoFilter ref="B5:H21" xr:uid="{38DA0594-5D0C-4B3C-83E7-E89A00CC3018}"/>
  <sortState xmlns:xlrd2="http://schemas.microsoft.com/office/spreadsheetml/2017/richdata2" ref="B6:H21">
    <sortCondition ref="B6:B21"/>
  </sortState>
  <tableColumns count="7">
    <tableColumn id="1" xr3:uid="{91BDD5EF-AC22-4031-B302-AA797EDDAF61}" name="BDC LIST" totalsRowLabel="Total" dataDxfId="6430" totalsRowDxfId="6429"/>
    <tableColumn id="2" xr3:uid="{18D36F19-CD64-490F-811F-F54DE33B02BD}" name="KSI_AGO" totalsRowFunction="custom" dataDxfId="6428" totalsRowDxfId="6427">
      <totalsRowFormula>SUM(July23_2021426[KSI_AGO])</totalsRowFormula>
    </tableColumn>
    <tableColumn id="3" xr3:uid="{86E22FCA-01BD-4178-B238-71A355D3C3EF}" name="KSI_PMS" totalsRowFunction="sum" dataDxfId="6426" totalsRowDxfId="6425" dataCellStyle="Comma"/>
    <tableColumn id="4" xr3:uid="{C3414693-A67E-459E-B1E1-57DD5BE63161}" name="BUIPE_AGO" totalsRowFunction="custom" dataDxfId="6424" totalsRowDxfId="6423">
      <totalsRowFormula>SUM(July23_2021426[BUIPE_AGO])</totalsRowFormula>
    </tableColumn>
    <tableColumn id="5" xr3:uid="{F338F657-E43D-41A7-8A7C-494A4BA69461}" name="BUIPE_PMS" totalsRowFunction="custom" dataDxfId="6422" totalsRowDxfId="6421" dataCellStyle="Comma">
      <totalsRowFormula>SUM(July23_2021426[BUIPE_PMS])</totalsRowFormula>
    </tableColumn>
    <tableColumn id="6" xr3:uid="{B1B426F4-6A1E-406C-B401-103D4AB5C52C}" name="AKOSOMBO_AGO" totalsRowFunction="custom" dataDxfId="6420" totalsRowDxfId="6419">
      <totalsRowFormula>SUM(July23_2021426[AKOSOMBO_AGO])</totalsRowFormula>
    </tableColumn>
    <tableColumn id="7" xr3:uid="{7A22FDA2-075B-4FA7-9144-3A72C5201E7B}" name="DATE" dataDxfId="6418" totalsRowDxfId="6417">
      <calculatedColumnFormula>$G$3</calculatedColumnFormula>
    </tableColumn>
  </tableColumns>
  <tableStyleInfo showFirstColumn="0" showLastColumn="0" showRowStripes="1" showColumnStripes="0"/>
</table>
</file>

<file path=xl/tables/table3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6" xr:uid="{D5430E02-6120-47FE-841D-E434DBBB26BE}" name="July26_2021427" displayName="July26_2021427" ref="B5:H22" totalsRowCount="1" headerRowDxfId="6416" headerRowBorderDxfId="6415" tableBorderDxfId="6414" totalsRowBorderDxfId="6413">
  <autoFilter ref="B5:H21" xr:uid="{D5430E02-6120-47FE-841D-E434DBBB26BE}"/>
  <sortState xmlns:xlrd2="http://schemas.microsoft.com/office/spreadsheetml/2017/richdata2" ref="B6:H21">
    <sortCondition ref="B6:B21"/>
  </sortState>
  <tableColumns count="7">
    <tableColumn id="1" xr3:uid="{AF880AE8-C156-4EE7-95A9-4C936D36C986}" name="BDC LIST" totalsRowLabel="Total" dataDxfId="6412" totalsRowDxfId="6411"/>
    <tableColumn id="2" xr3:uid="{59EE38A6-EEE8-4833-8594-83B93EFDC949}" name="KSI_AGO" totalsRowFunction="custom" dataDxfId="6410" totalsRowDxfId="6409">
      <totalsRowFormula>SUM(July26_2021427[KSI_AGO])</totalsRowFormula>
    </tableColumn>
    <tableColumn id="3" xr3:uid="{5149544B-88CF-4282-9327-84E422845804}" name="KSI_PMS" totalsRowFunction="sum" dataDxfId="6408" totalsRowDxfId="6407" dataCellStyle="Comma"/>
    <tableColumn id="4" xr3:uid="{C571F1F4-626A-4AAC-AF18-67A37DF5AA90}" name="BUIPE_AGO" totalsRowFunction="custom" dataDxfId="6406" totalsRowDxfId="6405">
      <totalsRowFormula>SUM(July26_2021427[BUIPE_AGO])</totalsRowFormula>
    </tableColumn>
    <tableColumn id="5" xr3:uid="{53436CC5-CBC3-4605-92D8-EBE5987AD7F6}" name="BUIPE_PMS" totalsRowFunction="custom" dataDxfId="6404" totalsRowDxfId="6403" dataCellStyle="Comma">
      <totalsRowFormula>SUM(July26_2021427[BUIPE_PMS])</totalsRowFormula>
    </tableColumn>
    <tableColumn id="6" xr3:uid="{10781495-E174-4D6B-841F-4788238B47F0}" name="AKOSOMBO_AGO" totalsRowFunction="custom" dataDxfId="6402" totalsRowDxfId="6401">
      <totalsRowFormula>SUM(July26_2021427[AKOSOMBO_AGO])</totalsRowFormula>
    </tableColumn>
    <tableColumn id="7" xr3:uid="{870E8833-04BD-442F-9C17-7642D3B60BD5}" name="DATE" dataDxfId="6400" totalsRowDxfId="6399">
      <calculatedColumnFormula>$G$3</calculatedColumnFormula>
    </tableColumn>
  </tableColumns>
  <tableStyleInfo showFirstColumn="0" showLastColumn="0" showRowStripes="1" showColumnStripes="0"/>
</table>
</file>

<file path=xl/tables/table4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7" xr:uid="{842E94AF-C7C2-46AF-BE72-D6A3C5E96073}" name="July27_2021428" displayName="July27_2021428" ref="B5:H22" totalsRowCount="1" headerRowDxfId="6398" headerRowBorderDxfId="6397" tableBorderDxfId="6396" totalsRowBorderDxfId="6395">
  <autoFilter ref="B5:H21" xr:uid="{842E94AF-C7C2-46AF-BE72-D6A3C5E96073}"/>
  <sortState xmlns:xlrd2="http://schemas.microsoft.com/office/spreadsheetml/2017/richdata2" ref="B6:H21">
    <sortCondition ref="B6:B21"/>
  </sortState>
  <tableColumns count="7">
    <tableColumn id="1" xr3:uid="{5E0548D8-964B-4C89-B4D9-5C1BF087B515}" name="BDC LIST" totalsRowLabel="Total" dataDxfId="6394" totalsRowDxfId="6393"/>
    <tableColumn id="2" xr3:uid="{56116A89-DA0C-4F3C-A999-C43EE77BB493}" name="KSI_AGO" totalsRowFunction="custom" dataDxfId="6392" totalsRowDxfId="6391">
      <totalsRowFormula>SUM(July27_2021428[KSI_AGO])</totalsRowFormula>
    </tableColumn>
    <tableColumn id="3" xr3:uid="{81580F83-7A40-4A5D-8834-E648AC912B90}" name="KSI_PMS" totalsRowFunction="sum" dataDxfId="6390" totalsRowDxfId="6389" dataCellStyle="Comma"/>
    <tableColumn id="4" xr3:uid="{78B83D38-93B2-48F8-8C3F-18BA5BC3E23C}" name="BUIPE_AGO" totalsRowFunction="custom" dataDxfId="6388" totalsRowDxfId="6387">
      <totalsRowFormula>SUM(July27_2021428[BUIPE_AGO])</totalsRowFormula>
    </tableColumn>
    <tableColumn id="5" xr3:uid="{3622C0C9-1C52-4D8B-AB36-A12105B313C9}" name="BUIPE_PMS" totalsRowFunction="custom" dataDxfId="6386" totalsRowDxfId="6385" dataCellStyle="Comma">
      <totalsRowFormula>SUM(July27_2021428[BUIPE_PMS])</totalsRowFormula>
    </tableColumn>
    <tableColumn id="6" xr3:uid="{18A32300-F47F-474A-A6FE-467E651CDA57}" name="AKOSOMBO_AGO" totalsRowFunction="custom" dataDxfId="6384" totalsRowDxfId="6383">
      <totalsRowFormula>SUM(July27_2021428[AKOSOMBO_AGO])</totalsRowFormula>
    </tableColumn>
    <tableColumn id="7" xr3:uid="{405547C7-5C6C-46A0-94CE-5B79AED69C47}" name="DATE" dataDxfId="6382" totalsRowDxfId="6381">
      <calculatedColumnFormula>$G$3</calculatedColumnFormula>
    </tableColumn>
  </tableColumns>
  <tableStyleInfo showFirstColumn="0" showLastColumn="0" showRowStripes="1" showColumnStripes="0"/>
</table>
</file>

<file path=xl/tables/table4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8" xr:uid="{1F5F9565-BB86-4D0F-B36E-9BBD4596A313}" name="July28_2021" displayName="July28_2021" ref="B5:H22" totalsRowCount="1" headerRowDxfId="6380" headerRowBorderDxfId="6379" tableBorderDxfId="6378" totalsRowBorderDxfId="6377">
  <autoFilter ref="B5:H21" xr:uid="{1F5F9565-BB86-4D0F-B36E-9BBD4596A313}"/>
  <sortState xmlns:xlrd2="http://schemas.microsoft.com/office/spreadsheetml/2017/richdata2" ref="B6:H21">
    <sortCondition ref="B6:B21"/>
  </sortState>
  <tableColumns count="7">
    <tableColumn id="1" xr3:uid="{D81519EF-CD90-4038-9BE1-DF5411F0BC5B}" name="BDC LIST" totalsRowLabel="Total" dataDxfId="6376" totalsRowDxfId="6375"/>
    <tableColumn id="2" xr3:uid="{4A40A721-D4C6-48BA-A21E-C1F0401A8569}" name="KSI_AGO" totalsRowFunction="custom" dataDxfId="6374" totalsRowDxfId="6373">
      <totalsRowFormula>SUM(July28_2021[KSI_AGO])</totalsRowFormula>
    </tableColumn>
    <tableColumn id="3" xr3:uid="{8BC4BFF8-1EF3-4F41-A62B-5DD03CF8BDD2}" name="KSI_PMS" totalsRowFunction="sum" dataDxfId="6372" totalsRowDxfId="6371" dataCellStyle="Comma"/>
    <tableColumn id="4" xr3:uid="{9AC51A81-041F-4DE0-875B-B0EE12F64B3A}" name="BUIPE_AGO" totalsRowFunction="custom" dataDxfId="6370" totalsRowDxfId="6369">
      <totalsRowFormula>SUM(July28_2021[BUIPE_AGO])</totalsRowFormula>
    </tableColumn>
    <tableColumn id="5" xr3:uid="{8AA0E763-1D4E-4230-97A9-5BDE0E85486E}" name="BUIPE_PMS" totalsRowFunction="custom" dataDxfId="6368" totalsRowDxfId="6367" dataCellStyle="Comma">
      <totalsRowFormula>SUM(July28_2021[BUIPE_PMS])</totalsRowFormula>
    </tableColumn>
    <tableColumn id="6" xr3:uid="{B9E2DC0C-8E55-4288-95DF-A3E49AE1CBDE}" name="AKOSOMBO_AGO" totalsRowFunction="custom" dataDxfId="6366" totalsRowDxfId="6365">
      <totalsRowFormula>SUM(July28_2021[AKOSOMBO_AGO])</totalsRowFormula>
    </tableColumn>
    <tableColumn id="7" xr3:uid="{1763C969-10B0-4405-BF09-E7FE6851FE29}" name="DATE" dataDxfId="6364" totalsRowDxfId="6363">
      <calculatedColumnFormula>$G$3</calculatedColumnFormula>
    </tableColumn>
  </tableColumns>
  <tableStyleInfo showFirstColumn="0" showLastColumn="0" showRowStripes="1" showColumnStripes="0"/>
</table>
</file>

<file path=xl/tables/table4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9" xr:uid="{387EA4AB-5A23-41FC-A7E0-987D57B651BA}" name="July29_2021430" displayName="July29_2021430" ref="B5:H22" totalsRowCount="1" headerRowDxfId="6362" headerRowBorderDxfId="6361" tableBorderDxfId="6360" totalsRowBorderDxfId="6359">
  <autoFilter ref="B5:H21" xr:uid="{387EA4AB-5A23-41FC-A7E0-987D57B651BA}"/>
  <sortState xmlns:xlrd2="http://schemas.microsoft.com/office/spreadsheetml/2017/richdata2" ref="B6:H21">
    <sortCondition ref="B6:B21"/>
  </sortState>
  <tableColumns count="7">
    <tableColumn id="1" xr3:uid="{AB807F4D-814F-41E9-B61D-974FCA2613B1}" name="BDC LIST" totalsRowLabel="Total" dataDxfId="6358" totalsRowDxfId="6357"/>
    <tableColumn id="2" xr3:uid="{30EEBAB3-319A-4AC8-8A35-4498513EC19D}" name="KSI_AGO" totalsRowFunction="custom" dataDxfId="6356" totalsRowDxfId="6355">
      <totalsRowFormula>SUM(July29_2021430[KSI_AGO])</totalsRowFormula>
    </tableColumn>
    <tableColumn id="3" xr3:uid="{99C874F7-4CD8-4DB2-8EA1-2120EAD08208}" name="KSI_PMS" totalsRowFunction="sum" dataDxfId="6354" totalsRowDxfId="6353" dataCellStyle="Comma"/>
    <tableColumn id="4" xr3:uid="{254D2A85-BCC9-44D3-A9B9-C18159082DCC}" name="BUIPE_AGO" totalsRowFunction="custom" dataDxfId="6352" totalsRowDxfId="6351">
      <totalsRowFormula>SUM(July29_2021430[BUIPE_AGO])</totalsRowFormula>
    </tableColumn>
    <tableColumn id="5" xr3:uid="{783CC31C-D95E-4EA4-B315-61D2033D43AC}" name="BUIPE_PMS" totalsRowFunction="custom" dataDxfId="6350" totalsRowDxfId="6349" dataCellStyle="Comma">
      <totalsRowFormula>SUM(July29_2021430[BUIPE_PMS])</totalsRowFormula>
    </tableColumn>
    <tableColumn id="6" xr3:uid="{8DEAC99B-3A8A-47B0-97E3-912DBBADD9E4}" name="AKOSOMBO_AGO" totalsRowFunction="custom" dataDxfId="6348" totalsRowDxfId="6347">
      <totalsRowFormula>SUM(July29_2021430[AKOSOMBO_AGO])</totalsRowFormula>
    </tableColumn>
    <tableColumn id="7" xr3:uid="{6B2BDE03-B1D6-4FA3-80D4-A0CA67CB6187}" name="DATE" dataDxfId="6346" totalsRowDxfId="6345">
      <calculatedColumnFormula>$G$3</calculatedColumnFormula>
    </tableColumn>
  </tableColumns>
  <tableStyleInfo showFirstColumn="0" showLastColumn="0" showRowStripes="1" showColumnStripes="0"/>
</table>
</file>

<file path=xl/tables/table4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0" xr:uid="{96EF52BD-5C41-40DE-ACCC-23CAD362AA02}" name="July30_2021431" displayName="July30_2021431" ref="B5:H22" totalsRowCount="1" headerRowDxfId="6344" headerRowBorderDxfId="6343" tableBorderDxfId="6342" totalsRowBorderDxfId="6341">
  <autoFilter ref="B5:H21" xr:uid="{96EF52BD-5C41-40DE-ACCC-23CAD362AA02}"/>
  <sortState xmlns:xlrd2="http://schemas.microsoft.com/office/spreadsheetml/2017/richdata2" ref="B6:H21">
    <sortCondition ref="B6:B21"/>
  </sortState>
  <tableColumns count="7">
    <tableColumn id="1" xr3:uid="{D10916D8-1821-4FF7-BC7E-C8DFB41CCAE7}" name="BDC LIST" totalsRowLabel="Total" dataDxfId="6340" totalsRowDxfId="6339"/>
    <tableColumn id="2" xr3:uid="{CE3C9266-0662-4370-899A-25ABEAF2B741}" name="KSI_AGO" totalsRowFunction="custom" dataDxfId="6338" totalsRowDxfId="6337">
      <totalsRowFormula>SUM(July30_2021431[KSI_AGO])</totalsRowFormula>
    </tableColumn>
    <tableColumn id="3" xr3:uid="{36D51393-76FD-496B-BDD0-B77FD439CA70}" name="KSI_PMS" totalsRowFunction="sum" dataDxfId="6336" totalsRowDxfId="6335" dataCellStyle="Comma"/>
    <tableColumn id="4" xr3:uid="{09053F6F-CEB2-4AD0-B7E9-AE14A6B22056}" name="BUIPE_AGO" totalsRowFunction="custom" dataDxfId="6334" totalsRowDxfId="6333">
      <totalsRowFormula>SUM(July30_2021431[BUIPE_AGO])</totalsRowFormula>
    </tableColumn>
    <tableColumn id="5" xr3:uid="{A8ABBA2F-95F0-4B96-95F3-192F5CBB78DC}" name="BUIPE_PMS" totalsRowFunction="custom" dataDxfId="6332" totalsRowDxfId="6331" dataCellStyle="Comma">
      <totalsRowFormula>SUM(July30_2021431[BUIPE_PMS])</totalsRowFormula>
    </tableColumn>
    <tableColumn id="6" xr3:uid="{529C8C80-B825-4089-B333-1B933BE03AB3}" name="AKOSOMBO_AGO" totalsRowFunction="custom" dataDxfId="6330" totalsRowDxfId="6329">
      <totalsRowFormula>SUM(July30_2021431[AKOSOMBO_AGO])</totalsRowFormula>
    </tableColumn>
    <tableColumn id="7" xr3:uid="{FED77399-540B-4C50-9776-F64A603C0C40}" name="DATE" dataDxfId="6328" totalsRowDxfId="6327">
      <calculatedColumnFormula>$G$3</calculatedColumnFormula>
    </tableColumn>
  </tableColumns>
  <tableStyleInfo showFirstColumn="0" showLastColumn="0" showRowStripes="1" showColumnStripes="0"/>
</table>
</file>

<file path=xl/tables/table4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7" xr:uid="{E75C00EF-36C1-4060-8DB8-BC151175F0C2}" name="August02_2021" displayName="August02_2021" ref="B5:H22" totalsRowCount="1" headerRowDxfId="6326" headerRowBorderDxfId="6325" tableBorderDxfId="6324" totalsRowBorderDxfId="6323">
  <autoFilter ref="B5:H21" xr:uid="{E75C00EF-36C1-4060-8DB8-BC151175F0C2}"/>
  <sortState xmlns:xlrd2="http://schemas.microsoft.com/office/spreadsheetml/2017/richdata2" ref="B6:H21">
    <sortCondition ref="B6:B21"/>
  </sortState>
  <tableColumns count="7">
    <tableColumn id="1" xr3:uid="{5E55D483-A201-4F07-8280-8BABF24CDB7C}" name="BDC LIST" totalsRowLabel="Total" dataDxfId="6322" totalsRowDxfId="6321"/>
    <tableColumn id="2" xr3:uid="{CA37B6C7-CC7D-4830-ACB2-C70322DB771B}" name="KSI_AGO" totalsRowFunction="custom" dataDxfId="6320" totalsRowDxfId="6319">
      <totalsRowFormula>SUM(August02_2021[KSI_AGO])</totalsRowFormula>
    </tableColumn>
    <tableColumn id="3" xr3:uid="{66ADFD50-4931-4628-8BAD-0E38168D8802}" name="KSI_PMS" totalsRowFunction="sum" dataDxfId="6318" totalsRowDxfId="6317" dataCellStyle="Comma"/>
    <tableColumn id="4" xr3:uid="{483BE5E5-9540-4FFD-8904-481A4BC5CE80}" name="BUIPE_AGO" totalsRowFunction="custom" dataDxfId="6316" totalsRowDxfId="6315">
      <totalsRowFormula>SUM(August02_2021[BUIPE_AGO])</totalsRowFormula>
    </tableColumn>
    <tableColumn id="5" xr3:uid="{9A8A40A9-C9CA-4BBF-B8CE-8B077470098C}" name="BUIPE_PMS" totalsRowFunction="custom" dataDxfId="6314" totalsRowDxfId="6313" dataCellStyle="Comma">
      <totalsRowFormula>SUM(August02_2021[BUIPE_PMS])</totalsRowFormula>
    </tableColumn>
    <tableColumn id="6" xr3:uid="{4D1286D8-AE20-49A7-AF87-D3539194DC41}" name="AKOSOMBO_AGO" totalsRowFunction="custom" dataDxfId="6312" totalsRowDxfId="6311">
      <totalsRowFormula>SUM(August02_2021[AKOSOMBO_AGO])</totalsRowFormula>
    </tableColumn>
    <tableColumn id="7" xr3:uid="{92E5B9DE-2CC7-44DB-95B2-A92005B74B82}" name="DATE" dataDxfId="6310" totalsRowDxfId="6309">
      <calculatedColumnFormula>$G$3</calculatedColumnFormula>
    </tableColumn>
  </tableColumns>
  <tableStyleInfo showFirstColumn="0" showLastColumn="0" showRowStripes="1" showColumnStripes="0"/>
</table>
</file>

<file path=xl/tables/table4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8" xr:uid="{E984E764-8CD5-47D8-BEA4-03CE930280CE}" name="August03_2021" displayName="August03_2021" ref="B5:H22" totalsRowCount="1" headerRowDxfId="6308" headerRowBorderDxfId="6307" tableBorderDxfId="6306" totalsRowBorderDxfId="6305">
  <autoFilter ref="B5:H21" xr:uid="{E984E764-8CD5-47D8-BEA4-03CE930280CE}"/>
  <sortState xmlns:xlrd2="http://schemas.microsoft.com/office/spreadsheetml/2017/richdata2" ref="B6:H21">
    <sortCondition ref="B6:B21"/>
  </sortState>
  <tableColumns count="7">
    <tableColumn id="1" xr3:uid="{DC87423B-DD5E-4301-AFD9-CB30E8AB7E47}" name="BDC LIST" totalsRowLabel="Total" dataDxfId="6304" totalsRowDxfId="6303"/>
    <tableColumn id="2" xr3:uid="{32A03F79-79C3-49B0-961E-CFD2A816B62D}" name="KSI_AGO" totalsRowFunction="custom" dataDxfId="6302" totalsRowDxfId="6301">
      <totalsRowFormula>SUM(August03_2021[KSI_AGO])</totalsRowFormula>
    </tableColumn>
    <tableColumn id="3" xr3:uid="{71E67CF6-8213-4A4A-B58B-C61A669B3B76}" name="KSI_PMS" totalsRowFunction="sum" dataDxfId="6300" totalsRowDxfId="6299" dataCellStyle="Comma"/>
    <tableColumn id="4" xr3:uid="{E7FC9209-1CEF-4ACB-86CC-5A0B5AB28D6E}" name="BUIPE_AGO" totalsRowFunction="custom" dataDxfId="6298" totalsRowDxfId="6297">
      <totalsRowFormula>SUM(August03_2021[BUIPE_AGO])</totalsRowFormula>
    </tableColumn>
    <tableColumn id="5" xr3:uid="{1205DEAF-14AD-4BC5-A712-FC22370840A0}" name="BUIPE_PMS" totalsRowFunction="custom" dataDxfId="6296" totalsRowDxfId="6295" dataCellStyle="Comma">
      <totalsRowFormula>SUM(August03_2021[BUIPE_PMS])</totalsRowFormula>
    </tableColumn>
    <tableColumn id="6" xr3:uid="{DB49784F-ABCA-42DC-BC2E-A02838DBB5D0}" name="AKOSOMBO_AGO" totalsRowFunction="custom" dataDxfId="6294" totalsRowDxfId="6293">
      <totalsRowFormula>SUM(August03_2021[AKOSOMBO_AGO])</totalsRowFormula>
    </tableColumn>
    <tableColumn id="7" xr3:uid="{EE54D955-4F60-4355-B036-7690BCAE5264}" name="DATE" dataDxfId="6292" totalsRowDxfId="6291">
      <calculatedColumnFormula>$G$3</calculatedColumnFormula>
    </tableColumn>
  </tableColumns>
  <tableStyleInfo showFirstColumn="0" showLastColumn="0" showRowStripes="1" showColumnStripes="0"/>
</table>
</file>

<file path=xl/tables/table4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9" xr:uid="{FFF126D4-D0FD-484D-A1A8-1288FCA5FC03}" name="August05_2021" displayName="August05_2021" ref="B5:H22" totalsRowCount="1" headerRowDxfId="6290" headerRowBorderDxfId="6289" tableBorderDxfId="6288" totalsRowBorderDxfId="6287">
  <autoFilter ref="B5:H21" xr:uid="{FFF126D4-D0FD-484D-A1A8-1288FCA5FC03}"/>
  <sortState xmlns:xlrd2="http://schemas.microsoft.com/office/spreadsheetml/2017/richdata2" ref="B6:H21">
    <sortCondition ref="B6:B21"/>
  </sortState>
  <tableColumns count="7">
    <tableColumn id="1" xr3:uid="{99E6F7D5-B462-48BB-9F21-E9B066450AE8}" name="BDC LIST" totalsRowLabel="Total" dataDxfId="6286" totalsRowDxfId="6285"/>
    <tableColumn id="2" xr3:uid="{8C6A0C66-8C5C-4E61-A78B-BA35A0E9AEB1}" name="KSI_AGO" totalsRowFunction="custom" dataDxfId="6284" totalsRowDxfId="6283">
      <totalsRowFormula>SUM(August05_2021[KSI_AGO])</totalsRowFormula>
    </tableColumn>
    <tableColumn id="3" xr3:uid="{CCF8C9D3-F159-4351-B711-844F558F5602}" name="KSI_PMS" totalsRowFunction="sum" dataDxfId="6282" totalsRowDxfId="6281" dataCellStyle="Comma"/>
    <tableColumn id="4" xr3:uid="{71A36373-7745-4844-8A63-372450D2F6A2}" name="BUIPE_AGO" totalsRowFunction="custom" dataDxfId="6280" totalsRowDxfId="6279">
      <totalsRowFormula>SUM(August05_2021[BUIPE_AGO])</totalsRowFormula>
    </tableColumn>
    <tableColumn id="5" xr3:uid="{246ED299-783A-433F-B734-A2E3C0513367}" name="BUIPE_PMS" totalsRowFunction="custom" dataDxfId="6278" totalsRowDxfId="6277" dataCellStyle="Comma">
      <totalsRowFormula>SUM(August05_2021[BUIPE_PMS])</totalsRowFormula>
    </tableColumn>
    <tableColumn id="6" xr3:uid="{8D30389B-992D-4414-8F00-86B1B1AFF482}" name="AKOSOMBO_AGO" totalsRowFunction="custom" dataDxfId="6276" totalsRowDxfId="6275">
      <totalsRowFormula>SUM(August05_2021[AKOSOMBO_AGO])</totalsRowFormula>
    </tableColumn>
    <tableColumn id="7" xr3:uid="{B4EA8748-B02C-4354-8FE6-2E7111799996}" name="DATE" dataDxfId="6274" totalsRowDxfId="6273">
      <calculatedColumnFormula>$G$3</calculatedColumnFormula>
    </tableColumn>
  </tableColumns>
  <tableStyleInfo showFirstColumn="0" showLastColumn="0" showRowStripes="1" showColumnStripes="0"/>
</table>
</file>

<file path=xl/tables/table4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0" xr:uid="{97F9B7C6-3B06-4AB0-97AB-6C6679AE89A3}" name="August05_20217" displayName="August05_20217" ref="B5:H22" totalsRowCount="1" headerRowDxfId="6272" headerRowBorderDxfId="6271" tableBorderDxfId="6270" totalsRowBorderDxfId="6269">
  <autoFilter ref="B5:H21" xr:uid="{97F9B7C6-3B06-4AB0-97AB-6C6679AE89A3}"/>
  <sortState xmlns:xlrd2="http://schemas.microsoft.com/office/spreadsheetml/2017/richdata2" ref="B6:H21">
    <sortCondition ref="B6:B21"/>
  </sortState>
  <tableColumns count="7">
    <tableColumn id="1" xr3:uid="{D8405DEB-78D5-4253-B199-26D16A123E88}" name="BDC LIST" totalsRowLabel="Total" dataDxfId="6268" totalsRowDxfId="6267"/>
    <tableColumn id="2" xr3:uid="{A65309A3-8580-4458-A7A8-D014A6D402C5}" name="KSI_AGO" totalsRowFunction="custom" dataDxfId="6266" totalsRowDxfId="6265">
      <totalsRowFormula>SUM(August05_20217[KSI_AGO])</totalsRowFormula>
    </tableColumn>
    <tableColumn id="3" xr3:uid="{0955A390-316A-4BB2-91A5-ABB4A300B24B}" name="KSI_PMS" totalsRowFunction="sum" dataDxfId="6264" totalsRowDxfId="6263" dataCellStyle="Comma"/>
    <tableColumn id="4" xr3:uid="{D53A93B5-8825-41C1-8007-0CC06D9C627A}" name="BUIPE_AGO" totalsRowFunction="custom" dataDxfId="6262" totalsRowDxfId="6261">
      <totalsRowFormula>SUM(August05_20217[BUIPE_AGO])</totalsRowFormula>
    </tableColumn>
    <tableColumn id="5" xr3:uid="{E725C5AD-A355-4184-B5ED-31A790A9CB5D}" name="BUIPE_PMS" totalsRowFunction="custom" dataDxfId="6260" totalsRowDxfId="6259" dataCellStyle="Comma">
      <totalsRowFormula>SUM(August05_20217[BUIPE_PMS])</totalsRowFormula>
    </tableColumn>
    <tableColumn id="6" xr3:uid="{46953481-51DE-4DA7-AEF5-C3B08A46727D}" name="AKOSOMBO_AGO" totalsRowFunction="custom" dataDxfId="6258" totalsRowDxfId="6257">
      <totalsRowFormula>SUM(August05_20217[AKOSOMBO_AGO])</totalsRowFormula>
    </tableColumn>
    <tableColumn id="7" xr3:uid="{47C07572-52A8-46AC-B805-CC0C8EF1F372}" name="DATE" dataDxfId="6256" totalsRowDxfId="6255">
      <calculatedColumnFormula>$G$3</calculatedColumnFormula>
    </tableColumn>
  </tableColumns>
  <tableStyleInfo showFirstColumn="0" showLastColumn="0" showRowStripes="1" showColumnStripes="0"/>
</table>
</file>

<file path=xl/tables/table4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8" xr:uid="{C4D73479-2C0E-415B-AD02-069D0A94DB73}" name="August09_2021" displayName="August09_2021" ref="B5:H22" totalsRowCount="1" headerRowDxfId="6254" headerRowBorderDxfId="6253" tableBorderDxfId="6252" totalsRowBorderDxfId="6251">
  <autoFilter ref="B5:H21" xr:uid="{5BB999A2-22E3-45D6-9A69-825B5EC1D617}"/>
  <sortState xmlns:xlrd2="http://schemas.microsoft.com/office/spreadsheetml/2017/richdata2" ref="B6:H21">
    <sortCondition ref="B6:B21"/>
  </sortState>
  <tableColumns count="7">
    <tableColumn id="1" xr3:uid="{8FF57B56-8FAB-4459-8051-02C08B7DCFC8}" name="BDC LIST" totalsRowLabel="Total" dataDxfId="6250" totalsRowDxfId="6249"/>
    <tableColumn id="2" xr3:uid="{73539706-5A0D-427E-B4A0-A0379E3F4D33}" name="KSI_AGO" totalsRowFunction="custom" dataDxfId="6248" totalsRowDxfId="6247">
      <totalsRowFormula>SUM(August09_2021[KSI_AGO])</totalsRowFormula>
    </tableColumn>
    <tableColumn id="3" xr3:uid="{D855082B-32A1-4C8D-8EC3-097BDA6DAE2D}" name="KSI_PMS" totalsRowFunction="sum" dataDxfId="6246" totalsRowDxfId="6245" dataCellStyle="Comma"/>
    <tableColumn id="4" xr3:uid="{966F84B9-D897-48D1-8857-12A59AB86167}" name="BUIPE_AGO" totalsRowFunction="custom" dataDxfId="6244" totalsRowDxfId="6243">
      <totalsRowFormula>SUM(August09_2021[BUIPE_AGO])</totalsRowFormula>
    </tableColumn>
    <tableColumn id="5" xr3:uid="{B73B65A5-FC95-46DD-B018-3AE04B20B2A7}" name="BUIPE_PMS" totalsRowFunction="custom" dataDxfId="6242" totalsRowDxfId="6241" dataCellStyle="Comma">
      <totalsRowFormula>SUM(August09_2021[BUIPE_PMS])</totalsRowFormula>
    </tableColumn>
    <tableColumn id="6" xr3:uid="{67F06375-E75C-4D09-A388-2A1501892C9A}" name="AKOSOMBO_AGO" totalsRowFunction="custom" dataDxfId="6240" totalsRowDxfId="6239">
      <totalsRowFormula>SUM(August09_2021[AKOSOMBO_AGO])</totalsRowFormula>
    </tableColumn>
    <tableColumn id="7" xr3:uid="{F73CEB23-765B-40B6-8B99-E6599AA28138}" name="DATE" dataDxfId="6238" totalsRowDxfId="6237">
      <calculatedColumnFormula>$G$3</calculatedColumnFormula>
    </tableColumn>
  </tableColumns>
  <tableStyleInfo showFirstColumn="0" showLastColumn="0" showRowStripes="1" showColumnStripes="0"/>
</table>
</file>

<file path=xl/tables/table4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8" xr:uid="{397B48B8-2895-45A9-B999-0CEE683AB411}" name="August10_2021" displayName="August10_2021" ref="B5:H22" totalsRowCount="1" headerRowDxfId="6236" headerRowBorderDxfId="6235" tableBorderDxfId="6234" totalsRowBorderDxfId="6233">
  <autoFilter ref="B5:H21" xr:uid="{397B48B8-2895-45A9-B999-0CEE683AB411}"/>
  <sortState xmlns:xlrd2="http://schemas.microsoft.com/office/spreadsheetml/2017/richdata2" ref="B6:H21">
    <sortCondition ref="B6:B21"/>
  </sortState>
  <tableColumns count="7">
    <tableColumn id="1" xr3:uid="{414671AC-9256-49E3-B7EE-9308005E3642}" name="BDC LIST" totalsRowLabel="Total" dataDxfId="6232" totalsRowDxfId="6231"/>
    <tableColumn id="2" xr3:uid="{E6F67044-8E5A-4A79-A44D-32538247CAD5}" name="KSI_AGO" totalsRowFunction="custom" dataDxfId="6230" totalsRowDxfId="6229">
      <totalsRowFormula>SUM(August10_2021[KSI_AGO])</totalsRowFormula>
    </tableColumn>
    <tableColumn id="3" xr3:uid="{A636E364-2149-4E01-A4D9-C7AE3F035CA7}" name="KSI_PMS" totalsRowFunction="sum" dataDxfId="6228" totalsRowDxfId="6227" dataCellStyle="Comma"/>
    <tableColumn id="4" xr3:uid="{7415A3A9-396A-4C12-AB99-E6416FDA0B15}" name="BUIPE_AGO" totalsRowFunction="custom" dataDxfId="6226" totalsRowDxfId="6225">
      <totalsRowFormula>SUM(August10_2021[BUIPE_AGO])</totalsRowFormula>
    </tableColumn>
    <tableColumn id="5" xr3:uid="{C13AA121-E85B-4454-A199-B79E268AFA26}" name="BUIPE_PMS" totalsRowFunction="custom" dataDxfId="6224" totalsRowDxfId="6223" dataCellStyle="Comma">
      <totalsRowFormula>SUM(August10_2021[BUIPE_PMS])</totalsRowFormula>
    </tableColumn>
    <tableColumn id="6" xr3:uid="{08D1581A-E924-4CA4-8D3E-918ED603E71E}" name="AKOSOMBO_AGO" totalsRowFunction="custom" dataDxfId="6222" totalsRowDxfId="6221">
      <totalsRowFormula>SUM(August10_2021[AKOSOMBO_AGO])</totalsRowFormula>
    </tableColumn>
    <tableColumn id="7" xr3:uid="{C09CA4E5-EB96-4F2E-9B7E-3D709DF0FD4A}" name="DATE" dataDxfId="6220" totalsRowDxfId="6219">
      <calculatedColumnFormula>$G$3</calculatedColumnFormula>
    </tableColumn>
  </tableColumns>
  <tableStyleInfo showFirstColumn="0" showLastColumn="0" showRowStripes="1" showColumnStripes="0"/>
</table>
</file>

<file path=xl/tables/table4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5" xr:uid="{E872BEA9-C29B-49C9-833F-B3F467E7346A}" name="August11_2021406" displayName="August11_2021406" ref="B5:H22" totalsRowCount="1" headerRowDxfId="6218" headerRowBorderDxfId="6217" tableBorderDxfId="6216" totalsRowBorderDxfId="6215">
  <autoFilter ref="B5:H21" xr:uid="{E872BEA9-C29B-49C9-833F-B3F467E7346A}"/>
  <sortState xmlns:xlrd2="http://schemas.microsoft.com/office/spreadsheetml/2017/richdata2" ref="B6:H21">
    <sortCondition ref="B6:B21"/>
  </sortState>
  <tableColumns count="7">
    <tableColumn id="1" xr3:uid="{A1D1E429-75AE-475E-93C6-031615803C9A}" name="BDC LIST" totalsRowLabel="Total" dataDxfId="6214" totalsRowDxfId="6213"/>
    <tableColumn id="2" xr3:uid="{10905664-A8A9-412F-B75B-8B3F09C4F5ED}" name="KSI_AGO" totalsRowFunction="custom" dataDxfId="6212" totalsRowDxfId="6211">
      <totalsRowFormula>SUM(August11_2021406[KSI_AGO])</totalsRowFormula>
    </tableColumn>
    <tableColumn id="3" xr3:uid="{BBB710B6-0857-476D-8F2A-3A903C55ACD7}" name="KSI_PMS" totalsRowFunction="sum" dataDxfId="6210" totalsRowDxfId="6209" dataCellStyle="Comma"/>
    <tableColumn id="4" xr3:uid="{8C95C551-4AE8-47DD-A184-6D109A983DF7}" name="BUIPE_AGO" totalsRowFunction="custom" dataDxfId="6208" totalsRowDxfId="6207">
      <totalsRowFormula>SUM(August11_2021406[BUIPE_AGO])</totalsRowFormula>
    </tableColumn>
    <tableColumn id="5" xr3:uid="{68F6F21E-52C7-4C88-95FC-365C26BB971F}" name="BUIPE_PMS" totalsRowFunction="custom" dataDxfId="6206" totalsRowDxfId="6205" dataCellStyle="Comma">
      <totalsRowFormula>SUM(August11_2021406[BUIPE_PMS])</totalsRowFormula>
    </tableColumn>
    <tableColumn id="6" xr3:uid="{3B872BAA-7805-44CE-B5A2-EED8858F6670}" name="AKOSOMBO_AGO" totalsRowFunction="custom" dataDxfId="6204" totalsRowDxfId="6203">
      <totalsRowFormula>SUM(August11_2021406[AKOSOMBO_AGO])</totalsRowFormula>
    </tableColumn>
    <tableColumn id="7" xr3:uid="{22924112-63D7-4F34-8649-3997DA1B0758}" name="DATE" dataDxfId="6202" totalsRowDxfId="6201">
      <calculatedColumnFormula>$G$3</calculatedColumnFormula>
    </tableColumn>
  </tableColumns>
  <tableStyleInfo showFirstColumn="0" showLastColumn="0" showRowStripes="1" showColumnStripes="0"/>
</table>
</file>

<file path=xl/tables/table4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9" xr:uid="{FC20DEC6-F229-4989-84A2-93B935F4DF7C}" name="August12_2021" displayName="August12_2021" ref="B5:H22" totalsRowCount="1" headerRowDxfId="6200" headerRowBorderDxfId="6199" tableBorderDxfId="6198" totalsRowBorderDxfId="6197">
  <autoFilter ref="B5:H21" xr:uid="{818F143A-4709-4CF7-B10F-3BF78737E69F}"/>
  <sortState xmlns:xlrd2="http://schemas.microsoft.com/office/spreadsheetml/2017/richdata2" ref="B6:H21">
    <sortCondition ref="B6:B21"/>
  </sortState>
  <tableColumns count="7">
    <tableColumn id="1" xr3:uid="{F04DAA00-98B9-4D5E-A7D4-83192E736DE0}" name="BDC LIST" totalsRowLabel="Total" dataDxfId="6196" totalsRowDxfId="6195"/>
    <tableColumn id="2" xr3:uid="{8A1CFECE-F812-4232-8D2F-906CC2D8F563}" name="KSI_AGO" totalsRowFunction="custom" dataDxfId="6194" totalsRowDxfId="6193">
      <totalsRowFormula>SUM(August12_2021[KSI_AGO])</totalsRowFormula>
    </tableColumn>
    <tableColumn id="3" xr3:uid="{9A770655-70E1-426C-A328-F9C8FAF0809A}" name="KSI_PMS" totalsRowFunction="sum" dataDxfId="6192" totalsRowDxfId="6191" dataCellStyle="Comma"/>
    <tableColumn id="4" xr3:uid="{517FBBD0-A9FC-4B16-9CF6-A6E03FCD1E0C}" name="BUIPE_AGO" totalsRowFunction="custom" dataDxfId="6190" totalsRowDxfId="6189">
      <totalsRowFormula>SUM(August12_2021[BUIPE_AGO])</totalsRowFormula>
    </tableColumn>
    <tableColumn id="5" xr3:uid="{1E6F39DF-0402-4CDD-B5BB-7B6EE2BCBA14}" name="BUIPE_PMS" totalsRowFunction="custom" dataDxfId="6188" totalsRowDxfId="6187" dataCellStyle="Comma">
      <totalsRowFormula>SUM(August12_2021[BUIPE_PMS])</totalsRowFormula>
    </tableColumn>
    <tableColumn id="6" xr3:uid="{3B1551E8-FBC0-48A3-A8D3-A439AB701E66}" name="AKOSOMBO_AGO" totalsRowFunction="custom" dataDxfId="6186" totalsRowDxfId="6185">
      <totalsRowFormula>SUM(August12_2021[AKOSOMBO_AGO])</totalsRowFormula>
    </tableColumn>
    <tableColumn id="7" xr3:uid="{C9F455CB-1693-453B-AE9A-089342BDD0AE}" name="DATE" dataDxfId="6184" totalsRowDxfId="6183">
      <calculatedColumnFormula>$G$3</calculatedColumnFormula>
    </tableColumn>
  </tableColumns>
  <tableStyleInfo showFirstColumn="0" showLastColumn="0" showRowStripes="1" showColumnStripes="0"/>
</table>
</file>

<file path=xl/tables/table4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0" xr:uid="{3A71A944-53D9-48B8-96A5-F36F770037BC}" name="August13_2021" displayName="August13_2021" ref="B5:H22" totalsRowCount="1" headerRowDxfId="6182" headerRowBorderDxfId="6181" tableBorderDxfId="6180" totalsRowBorderDxfId="6179">
  <autoFilter ref="B5:H21" xr:uid="{818F143A-4709-4CF7-B10F-3BF78737E69F}"/>
  <sortState xmlns:xlrd2="http://schemas.microsoft.com/office/spreadsheetml/2017/richdata2" ref="B6:H21">
    <sortCondition ref="B6:B21"/>
  </sortState>
  <tableColumns count="7">
    <tableColumn id="1" xr3:uid="{C11BDEE0-15C2-4E58-A615-AF2296A4D95D}" name="BDC LIST" totalsRowLabel="Total" dataDxfId="6178" totalsRowDxfId="6177"/>
    <tableColumn id="2" xr3:uid="{FC0F208E-E15A-42C2-8C1E-5B97B0C82EBA}" name="KSI_AGO" totalsRowFunction="custom" dataDxfId="6176" totalsRowDxfId="6175">
      <totalsRowFormula>SUM(August13_2021[KSI_AGO])</totalsRowFormula>
    </tableColumn>
    <tableColumn id="3" xr3:uid="{32B9EBDB-486E-49CB-B5C6-0F74A2BED0E9}" name="KSI_PMS" totalsRowFunction="sum" dataDxfId="6174" totalsRowDxfId="6173" dataCellStyle="Comma"/>
    <tableColumn id="4" xr3:uid="{5B1FC66E-72CF-4CA7-8E88-A145B729F0BC}" name="BUIPE_AGO" totalsRowFunction="custom" dataDxfId="6172" totalsRowDxfId="6171">
      <totalsRowFormula>SUM(August13_2021[BUIPE_AGO])</totalsRowFormula>
    </tableColumn>
    <tableColumn id="5" xr3:uid="{DBA1E308-AAAE-4FFD-A94A-9FF55CEE5060}" name="BUIPE_PMS" totalsRowFunction="custom" dataDxfId="6170" totalsRowDxfId="6169" dataCellStyle="Comma">
      <totalsRowFormula>SUM(August13_2021[BUIPE_PMS])</totalsRowFormula>
    </tableColumn>
    <tableColumn id="6" xr3:uid="{3F7B45BE-AC4C-471D-91F8-109156ED24FD}" name="AKOSOMBO_AGO" totalsRowFunction="custom" dataDxfId="6168" totalsRowDxfId="6167">
      <totalsRowFormula>SUM(August13_2021[AKOSOMBO_AGO])</totalsRowFormula>
    </tableColumn>
    <tableColumn id="7" xr3:uid="{8A6412BC-5243-4B99-8EC1-4505A64E254C}" name="DATE" dataDxfId="6166" totalsRowDxfId="6165">
      <calculatedColumnFormula>$G$3</calculatedColumnFormula>
    </tableColumn>
  </tableColumns>
  <tableStyleInfo showFirstColumn="0" showLastColumn="0" showRowStripes="1" showColumnStripes="0"/>
</table>
</file>

<file path=xl/tables/table4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1" xr:uid="{9F56F1B3-9B94-43AE-AE75-35CA2C41386E}" name="August16_2021" displayName="August16_2021" ref="B5:H22" totalsRowCount="1" headerRowDxfId="6164" headerRowBorderDxfId="6163" tableBorderDxfId="6162" totalsRowBorderDxfId="6161">
  <autoFilter ref="B5:H21" xr:uid="{F8EA08EB-A563-4BB4-8D1E-21C3C4D5AF5D}"/>
  <sortState xmlns:xlrd2="http://schemas.microsoft.com/office/spreadsheetml/2017/richdata2" ref="B6:H21">
    <sortCondition ref="B6:B21"/>
  </sortState>
  <tableColumns count="7">
    <tableColumn id="1" xr3:uid="{4DE46EDD-5DE7-48DB-8025-873C83FD6953}" name="BDC LIST" totalsRowLabel="Total" dataDxfId="6160" totalsRowDxfId="6159"/>
    <tableColumn id="2" xr3:uid="{D6C8CA94-FA22-46F1-BB76-146645100AC0}" name="KSI_AGO" totalsRowFunction="custom" dataDxfId="6158" totalsRowDxfId="6157">
      <totalsRowFormula>SUM(August16_2021[KSI_AGO])</totalsRowFormula>
    </tableColumn>
    <tableColumn id="3" xr3:uid="{5A360CB9-6B16-4CF9-A5E3-26DC02B96B22}" name="KSI_PMS" totalsRowFunction="sum" dataDxfId="6156" totalsRowDxfId="6155" dataCellStyle="Comma"/>
    <tableColumn id="4" xr3:uid="{A605B1BE-80F2-4494-9F01-A0A57104AE34}" name="BUIPE_AGO" totalsRowFunction="custom" dataDxfId="6154" totalsRowDxfId="6153">
      <totalsRowFormula>SUM(August16_2021[BUIPE_AGO])</totalsRowFormula>
    </tableColumn>
    <tableColumn id="5" xr3:uid="{889188BA-ECD0-43A5-9806-01D6555AF859}" name="BUIPE_PMS" totalsRowFunction="custom" dataDxfId="6152" totalsRowDxfId="6151" dataCellStyle="Comma">
      <totalsRowFormula>SUM(August16_2021[BUIPE_PMS])</totalsRowFormula>
    </tableColumn>
    <tableColumn id="6" xr3:uid="{0519A0C0-4AF0-4FF3-B8D7-075A3825FBEA}" name="AKOSOMBO_AGO" totalsRowFunction="custom" dataDxfId="6150" totalsRowDxfId="6149">
      <totalsRowFormula>SUM(August16_2021[AKOSOMBO_AGO])</totalsRowFormula>
    </tableColumn>
    <tableColumn id="7" xr3:uid="{1AA175F2-17FA-42FD-AD55-7A27FE9DE740}" name="DATE" dataDxfId="6148" totalsRowDxfId="6147">
      <calculatedColumnFormula>$G$3</calculatedColumnFormula>
    </tableColumn>
  </tableColumns>
  <tableStyleInfo showFirstColumn="0" showLastColumn="0" showRowStripes="1" showColumnStripes="0"/>
</table>
</file>

<file path=xl/tables/table4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4" xr:uid="{C95D64B0-5C7D-4C28-AE5C-FBBBCA38D8EE}" name="August17_2021405" displayName="August17_2021405" ref="B5:H22" totalsRowCount="1" headerRowDxfId="6146" headerRowBorderDxfId="6145" tableBorderDxfId="6144" totalsRowBorderDxfId="6143">
  <autoFilter ref="B5:H21" xr:uid="{C95D64B0-5C7D-4C28-AE5C-FBBBCA38D8EE}"/>
  <sortState xmlns:xlrd2="http://schemas.microsoft.com/office/spreadsheetml/2017/richdata2" ref="B6:H21">
    <sortCondition ref="B6:B21"/>
  </sortState>
  <tableColumns count="7">
    <tableColumn id="1" xr3:uid="{54B4C742-405F-4FA7-B577-B624FF5C5C82}" name="BDC LIST" totalsRowLabel="Total" dataDxfId="6142" totalsRowDxfId="6141"/>
    <tableColumn id="2" xr3:uid="{32536719-5E94-453A-8BB7-5B109AE01528}" name="KSI_AGO" totalsRowFunction="custom" dataDxfId="6140" totalsRowDxfId="6139">
      <totalsRowFormula>SUM(August17_2021405[KSI_AGO])</totalsRowFormula>
    </tableColumn>
    <tableColumn id="3" xr3:uid="{FEFF165D-DA8C-4152-94C7-669D05C52A73}" name="KSI_PMS" totalsRowFunction="sum" dataDxfId="6138" totalsRowDxfId="6137" dataCellStyle="Comma"/>
    <tableColumn id="4" xr3:uid="{BDFDA267-DAAB-447F-A3D5-0BEF17A6C19F}" name="BUIPE_AGO" totalsRowFunction="custom" dataDxfId="6136" totalsRowDxfId="6135">
      <totalsRowFormula>SUM(August17_2021405[BUIPE_AGO])</totalsRowFormula>
    </tableColumn>
    <tableColumn id="5" xr3:uid="{D9E4745F-60CA-41CC-A62B-01E5A6E767A3}" name="BUIPE_PMS" totalsRowFunction="custom" dataDxfId="6134" totalsRowDxfId="6133" dataCellStyle="Comma">
      <totalsRowFormula>SUM(August17_2021405[BUIPE_PMS])</totalsRowFormula>
    </tableColumn>
    <tableColumn id="6" xr3:uid="{DE25C56C-96C7-484E-8F57-20E57CC32B6D}" name="AKOSOMBO_AGO" totalsRowFunction="custom" dataDxfId="6132" totalsRowDxfId="6131">
      <totalsRowFormula>SUM(August17_2021405[AKOSOMBO_AGO])</totalsRowFormula>
    </tableColumn>
    <tableColumn id="7" xr3:uid="{FE537F93-52C4-4B91-B695-65AE0A1E221E}" name="DATE" dataDxfId="6130" totalsRowDxfId="6129">
      <calculatedColumnFormula>$G$3</calculatedColumnFormula>
    </tableColumn>
  </tableColumns>
  <tableStyleInfo showFirstColumn="0" showLastColumn="0" showRowStripes="1" showColumnStripes="0"/>
</table>
</file>

<file path=xl/tables/table4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3" xr:uid="{4FFE9409-91A3-41B1-8DA5-AF22BC3DF4A8}" name="August18_2021" displayName="August18_2021" ref="B5:H22" totalsRowCount="1" headerRowDxfId="6128" headerRowBorderDxfId="6127" tableBorderDxfId="6126" totalsRowBorderDxfId="6125">
  <autoFilter ref="B5:H21" xr:uid="{F8EA08EB-A563-4BB4-8D1E-21C3C4D5AF5D}"/>
  <sortState xmlns:xlrd2="http://schemas.microsoft.com/office/spreadsheetml/2017/richdata2" ref="B6:H21">
    <sortCondition ref="B6:B21"/>
  </sortState>
  <tableColumns count="7">
    <tableColumn id="1" xr3:uid="{EFD11492-D4D5-409E-B529-97D56FB9E877}" name="BDC LIST" totalsRowLabel="Total" dataDxfId="6124" totalsRowDxfId="6123"/>
    <tableColumn id="2" xr3:uid="{9B1A3BEC-A949-41B7-BEC2-64D68EF03C41}" name="KSI_AGO" totalsRowFunction="custom" dataDxfId="6122" totalsRowDxfId="6121">
      <totalsRowFormula>SUM(August18_2021[KSI_AGO])</totalsRowFormula>
    </tableColumn>
    <tableColumn id="3" xr3:uid="{0BDE99D6-53BD-46A2-9F2A-64C0069E2384}" name="KSI_PMS" totalsRowFunction="sum" dataDxfId="6120" totalsRowDxfId="6119" dataCellStyle="Comma"/>
    <tableColumn id="4" xr3:uid="{63B3C75F-ECD2-4231-9CEF-5701C1B9FF0E}" name="BUIPE_AGO" totalsRowFunction="custom" dataDxfId="6118" totalsRowDxfId="6117">
      <totalsRowFormula>SUM(August18_2021[BUIPE_AGO])</totalsRowFormula>
    </tableColumn>
    <tableColumn id="5" xr3:uid="{88747C38-E58F-4209-B2BF-F856F75472E3}" name="BUIPE_PMS" totalsRowFunction="custom" dataDxfId="6116" totalsRowDxfId="6115" dataCellStyle="Comma">
      <totalsRowFormula>SUM(August18_2021[BUIPE_PMS])</totalsRowFormula>
    </tableColumn>
    <tableColumn id="6" xr3:uid="{323B75D4-9E4E-425E-AA41-C01040EDA8B2}" name="AKOSOMBO_AGO" totalsRowFunction="custom" dataDxfId="6114" totalsRowDxfId="6113">
      <totalsRowFormula>SUM(August18_2021[AKOSOMBO_AGO])</totalsRowFormula>
    </tableColumn>
    <tableColumn id="7" xr3:uid="{492A028D-2538-40C0-810A-97937D38788F}" name="DATE" dataDxfId="6112" totalsRowDxfId="6111">
      <calculatedColumnFormula>$G$3</calculatedColumnFormula>
    </tableColumn>
  </tableColumns>
  <tableStyleInfo showFirstColumn="0" showLastColumn="0" showRowStripes="1" showColumnStripes="0"/>
</table>
</file>

<file path=xl/tables/table4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4" xr:uid="{FF8D8BE4-1018-4383-80CB-9263E80BB4B3}" name="August19_2021" displayName="August19_2021" ref="B5:H22" totalsRowCount="1" headerRowDxfId="6110" headerRowBorderDxfId="6109" tableBorderDxfId="6108" totalsRowBorderDxfId="6107">
  <autoFilter ref="B5:H21" xr:uid="{F8EA08EB-A563-4BB4-8D1E-21C3C4D5AF5D}"/>
  <sortState xmlns:xlrd2="http://schemas.microsoft.com/office/spreadsheetml/2017/richdata2" ref="B6:H21">
    <sortCondition ref="B6:B21"/>
  </sortState>
  <tableColumns count="7">
    <tableColumn id="1" xr3:uid="{7F884679-8CD8-47C6-9DCE-D6B48200CA16}" name="BDC LIST" totalsRowLabel="Total" dataDxfId="6106" totalsRowDxfId="6105"/>
    <tableColumn id="2" xr3:uid="{7A5F555E-7B16-43A4-A1D5-083CFB4F1B84}" name="KSI_AGO" totalsRowFunction="custom" dataDxfId="6104" totalsRowDxfId="6103">
      <totalsRowFormula>SUM(August19_2021[KSI_AGO])</totalsRowFormula>
    </tableColumn>
    <tableColumn id="3" xr3:uid="{159FACA1-4D9D-4BFC-AA5D-1C07F95073CA}" name="KSI_PMS" totalsRowFunction="sum" dataDxfId="6102" totalsRowDxfId="6101" dataCellStyle="Comma"/>
    <tableColumn id="4" xr3:uid="{ED581D3C-C757-4D56-AE88-301F9BE39AE0}" name="BUIPE_AGO" totalsRowFunction="custom" dataDxfId="6100" totalsRowDxfId="6099">
      <totalsRowFormula>SUM(August19_2021[BUIPE_AGO])</totalsRowFormula>
    </tableColumn>
    <tableColumn id="5" xr3:uid="{43551A22-670F-41B2-85A2-F9A310466E29}" name="BUIPE_PMS" totalsRowFunction="custom" dataDxfId="6098" totalsRowDxfId="6097" dataCellStyle="Comma">
      <totalsRowFormula>SUM(August19_2021[BUIPE_PMS])</totalsRowFormula>
    </tableColumn>
    <tableColumn id="6" xr3:uid="{D67595D9-0EB9-426D-B678-7B6EE91F1ABA}" name="AKOSOMBO_AGO" totalsRowFunction="custom" dataDxfId="6096" totalsRowDxfId="6095">
      <totalsRowFormula>SUM(August19_2021[AKOSOMBO_AGO])</totalsRowFormula>
    </tableColumn>
    <tableColumn id="7" xr3:uid="{9CEDC857-49D1-492D-A40A-BD1AA220CBF8}" name="DATE" dataDxfId="6094" totalsRowDxfId="6093">
      <calculatedColumnFormula>$G$3</calculatedColumnFormula>
    </tableColumn>
  </tableColumns>
  <tableStyleInfo showFirstColumn="0" showLastColumn="0" showRowStripes="1" showColumnStripes="0"/>
</table>
</file>

<file path=xl/tables/table4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5" xr:uid="{81976331-70E7-439B-9464-14D47E764FDD}" name="August20_2021" displayName="August20_2021" ref="B5:H22" totalsRowCount="1" headerRowDxfId="6092" headerRowBorderDxfId="6091" tableBorderDxfId="6090" totalsRowBorderDxfId="6089">
  <autoFilter ref="B5:H21" xr:uid="{81976331-70E7-439B-9464-14D47E764FDD}"/>
  <sortState xmlns:xlrd2="http://schemas.microsoft.com/office/spreadsheetml/2017/richdata2" ref="B6:H21">
    <sortCondition ref="B6:B21"/>
  </sortState>
  <tableColumns count="7">
    <tableColumn id="1" xr3:uid="{ED0851C7-8F6A-4F79-A776-86F6E9A67FEC}" name="BDC LIST" totalsRowLabel="Total" dataDxfId="6088" totalsRowDxfId="6087"/>
    <tableColumn id="2" xr3:uid="{03C41FDE-9EC2-4E22-AEEB-414CC77DBB37}" name="KSI_AGO" totalsRowFunction="custom" dataDxfId="6086" totalsRowDxfId="6085">
      <totalsRowFormula>SUM(August20_2021[KSI_AGO])</totalsRowFormula>
    </tableColumn>
    <tableColumn id="3" xr3:uid="{63C5383C-90A0-48FA-AFC6-93354849A583}" name="KSI_PMS" totalsRowFunction="sum" dataDxfId="6084" totalsRowDxfId="6083" dataCellStyle="Comma"/>
    <tableColumn id="4" xr3:uid="{6920ED94-4C5F-4D9D-803D-5F533DA6B77A}" name="BUIPE_AGO" totalsRowFunction="custom" dataDxfId="6082" totalsRowDxfId="6081">
      <totalsRowFormula>SUM(August20_2021[BUIPE_AGO])</totalsRowFormula>
    </tableColumn>
    <tableColumn id="5" xr3:uid="{FD22810B-86F7-4FF3-9088-F85078835D38}" name="BUIPE_PMS" totalsRowFunction="custom" dataDxfId="6080" totalsRowDxfId="6079" dataCellStyle="Comma">
      <totalsRowFormula>SUM(August20_2021[BUIPE_PMS])</totalsRowFormula>
    </tableColumn>
    <tableColumn id="6" xr3:uid="{771E8337-E2B1-4A8B-BD1A-EB1097D4332E}" name="AKOSOMBO_AGO" totalsRowFunction="custom" dataDxfId="6078" totalsRowDxfId="6077">
      <totalsRowFormula>SUM(August20_2021[AKOSOMBO_AGO])</totalsRowFormula>
    </tableColumn>
    <tableColumn id="7" xr3:uid="{7F06109E-C476-4ABB-A70B-074C3EFF8009}" name="DATE" dataDxfId="6076" totalsRowDxfId="6075">
      <calculatedColumnFormula>$G$3</calculatedColumnFormula>
    </tableColumn>
  </tableColumns>
  <tableStyleInfo showFirstColumn="0" showLastColumn="0" showRowStripes="1" showColumnStripes="0"/>
</table>
</file>

<file path=xl/tables/table4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6" xr:uid="{AA1929E0-06DC-4E05-A6F5-29A4C508D403}" name="August23_2021" displayName="August23_2021" ref="B5:H22" totalsRowCount="1" headerRowDxfId="6074" headerRowBorderDxfId="6073" tableBorderDxfId="6072" totalsRowBorderDxfId="6071">
  <autoFilter ref="B5:H21" xr:uid="{A323A238-8361-4297-8E2C-406732436766}"/>
  <sortState xmlns:xlrd2="http://schemas.microsoft.com/office/spreadsheetml/2017/richdata2" ref="B6:H21">
    <sortCondition ref="B6:B21"/>
  </sortState>
  <tableColumns count="7">
    <tableColumn id="1" xr3:uid="{6FD62AFA-2774-415A-B018-B1017790E51D}" name="BDC LIST" totalsRowLabel="Total" dataDxfId="6070" totalsRowDxfId="6069"/>
    <tableColumn id="2" xr3:uid="{121BFB31-7A8B-467D-BE53-B86C22925D7A}" name="KSI_AGO" totalsRowFunction="custom" dataDxfId="6068" totalsRowDxfId="6067">
      <totalsRowFormula>SUM(August23_2021[KSI_AGO])</totalsRowFormula>
    </tableColumn>
    <tableColumn id="3" xr3:uid="{B1E341AD-BF89-4366-A53C-250FAFD46E53}" name="KSI_PMS" totalsRowFunction="sum" dataDxfId="6066" totalsRowDxfId="6065" dataCellStyle="Comma"/>
    <tableColumn id="4" xr3:uid="{205BCC8E-D74E-42EB-A611-2C2BFF867969}" name="BUIPE_AGO" totalsRowFunction="custom" dataDxfId="6064" totalsRowDxfId="6063">
      <totalsRowFormula>SUM(August23_2021[BUIPE_AGO])</totalsRowFormula>
    </tableColumn>
    <tableColumn id="5" xr3:uid="{6AE1AAB6-B71F-47A9-A79C-B556549589EF}" name="BUIPE_PMS" totalsRowFunction="custom" dataDxfId="6062" totalsRowDxfId="6061" dataCellStyle="Comma">
      <totalsRowFormula>SUM(August23_2021[BUIPE_PMS])</totalsRowFormula>
    </tableColumn>
    <tableColumn id="6" xr3:uid="{E7092632-762A-49A6-B378-F35AB4D81A38}" name="AKOSOMBO_AGO" totalsRowFunction="custom" dataDxfId="6060" totalsRowDxfId="6059">
      <totalsRowFormula>SUM(August23_2021[AKOSOMBO_AGO])</totalsRowFormula>
    </tableColumn>
    <tableColumn id="7" xr3:uid="{A22408F0-789A-4279-B337-6BE1BAB4C845}" name="DATE" dataDxfId="6058" totalsRowDxfId="6057">
      <calculatedColumnFormula>$G$3</calculatedColumnFormula>
    </tableColumn>
  </tableColumns>
  <tableStyleInfo showFirstColumn="0" showLastColumn="0" showRowStripes="1" showColumnStripes="0"/>
</table>
</file>

<file path=xl/tables/table4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7" xr:uid="{A4846620-0BF9-46D5-A855-CCACAA111FE4}" name="August24_2021" displayName="August24_2021" ref="B5:H22" totalsRowCount="1" headerRowDxfId="6056" headerRowBorderDxfId="6055" tableBorderDxfId="6054" totalsRowBorderDxfId="6053">
  <autoFilter ref="B5:H21" xr:uid="{A4846620-0BF9-46D5-A855-CCACAA111FE4}"/>
  <sortState xmlns:xlrd2="http://schemas.microsoft.com/office/spreadsheetml/2017/richdata2" ref="B6:H21">
    <sortCondition ref="B6:B21"/>
  </sortState>
  <tableColumns count="7">
    <tableColumn id="1" xr3:uid="{DD1AA68D-5184-40F3-9494-2F24B8CC94B5}" name="BDC LIST" totalsRowLabel="Total" dataDxfId="6052" totalsRowDxfId="6051"/>
    <tableColumn id="2" xr3:uid="{4CAFA424-754D-421B-873F-73DFD2C35DDF}" name="KSI_AGO" totalsRowFunction="custom" dataDxfId="6050" totalsRowDxfId="6049">
      <totalsRowFormula>SUM(August24_2021[KSI_AGO])</totalsRowFormula>
    </tableColumn>
    <tableColumn id="3" xr3:uid="{2ECEB8ED-0EDC-4D33-A977-643ABC23F660}" name="KSI_PMS" totalsRowFunction="sum" dataDxfId="6048" totalsRowDxfId="6047" dataCellStyle="Comma"/>
    <tableColumn id="4" xr3:uid="{6BA01299-8EFF-4099-A9A3-99C39D5F845D}" name="BUIPE_AGO" totalsRowFunction="custom" dataDxfId="6046" totalsRowDxfId="6045">
      <totalsRowFormula>SUM(August24_2021[BUIPE_AGO])</totalsRowFormula>
    </tableColumn>
    <tableColumn id="5" xr3:uid="{6057D011-F0A5-46B5-8E1A-FB1F41F571E9}" name="BUIPE_PMS" totalsRowFunction="custom" dataDxfId="6044" totalsRowDxfId="6043" dataCellStyle="Comma">
      <totalsRowFormula>SUM(August24_2021[BUIPE_PMS])</totalsRowFormula>
    </tableColumn>
    <tableColumn id="6" xr3:uid="{5E8176F8-818A-41AD-9421-D29712E9BF98}" name="AKOSOMBO_AGO" totalsRowFunction="custom" dataDxfId="6042" totalsRowDxfId="6041">
      <totalsRowFormula>SUM(August24_2021[AKOSOMBO_AGO])</totalsRowFormula>
    </tableColumn>
    <tableColumn id="7" xr3:uid="{63260A7D-6BE4-4109-BDC2-54EDAE32736C}" name="DATE" dataDxfId="6040" totalsRowDxfId="6039">
      <calculatedColumnFormula>$G$3</calculatedColumnFormula>
    </tableColumn>
  </tableColumns>
  <tableStyleInfo showFirstColumn="0" showLastColumn="0" showRowStripes="1" showColumnStripes="0"/>
</table>
</file>

<file path=xl/tables/table4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8" xr:uid="{20E50333-D567-4FD8-9EC6-7609F8363340}" name="August25_2021" displayName="August25_2021" ref="B5:H22" totalsRowCount="1" headerRowDxfId="6038" headerRowBorderDxfId="6037" tableBorderDxfId="6036" totalsRowBorderDxfId="6035">
  <autoFilter ref="B5:H21" xr:uid="{20E50333-D567-4FD8-9EC6-7609F8363340}"/>
  <sortState xmlns:xlrd2="http://schemas.microsoft.com/office/spreadsheetml/2017/richdata2" ref="B6:H21">
    <sortCondition ref="B6:B21"/>
  </sortState>
  <tableColumns count="7">
    <tableColumn id="1" xr3:uid="{0FD0399B-C733-4A30-92C1-DE9ADE92C7FD}" name="BDC LIST" totalsRowLabel="Total" dataDxfId="6034" totalsRowDxfId="6033"/>
    <tableColumn id="2" xr3:uid="{4EE549C0-487E-466A-BDE9-18F3EA102C51}" name="KSI_AGO" totalsRowFunction="custom" dataDxfId="6032" totalsRowDxfId="6031">
      <totalsRowFormula>SUM(August25_2021[KSI_AGO])</totalsRowFormula>
    </tableColumn>
    <tableColumn id="3" xr3:uid="{CEE12B30-1ED0-4D80-BFBD-BAEAAA12E08F}" name="KSI_PMS" totalsRowFunction="sum" dataDxfId="6030" totalsRowDxfId="6029" dataCellStyle="Comma"/>
    <tableColumn id="4" xr3:uid="{D474463E-CFC1-437F-AB69-BF5ECF48B7E5}" name="BUIPE_AGO" totalsRowFunction="custom" dataDxfId="6028" totalsRowDxfId="6027">
      <totalsRowFormula>SUM(August25_2021[BUIPE_AGO])</totalsRowFormula>
    </tableColumn>
    <tableColumn id="5" xr3:uid="{548A0483-2E54-4B22-97B2-4BA01663F249}" name="BUIPE_PMS" totalsRowFunction="custom" dataDxfId="6026" totalsRowDxfId="6025" dataCellStyle="Comma">
      <totalsRowFormula>SUM(August25_2021[BUIPE_PMS])</totalsRowFormula>
    </tableColumn>
    <tableColumn id="6" xr3:uid="{FC09C34B-E35E-4A42-88F2-F02E0DC4D62D}" name="AKOSOMBO_AGO" totalsRowFunction="custom" dataDxfId="6024" totalsRowDxfId="6023">
      <totalsRowFormula>SUM(August25_2021[AKOSOMBO_AGO])</totalsRowFormula>
    </tableColumn>
    <tableColumn id="7" xr3:uid="{B597C2FD-CD63-44F1-B028-425766625A67}" name="DATE" dataDxfId="6022" totalsRowDxfId="6021">
      <calculatedColumnFormula>$G$3</calculatedColumnFormula>
    </tableColumn>
  </tableColumns>
  <tableStyleInfo showFirstColumn="0" showLastColumn="0" showRowStripes="1" showColumnStripes="0"/>
</table>
</file>

<file path=xl/tables/table4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9" xr:uid="{BF0D5824-126B-4E28-9E4B-0766F5471E14}" name="August26_2021" displayName="August26_2021" ref="B5:H22" totalsRowCount="1" headerRowDxfId="6020" headerRowBorderDxfId="6019" tableBorderDxfId="6018" totalsRowBorderDxfId="6017">
  <autoFilter ref="B5:H21" xr:uid="{BF0D5824-126B-4E28-9E4B-0766F5471E14}"/>
  <sortState xmlns:xlrd2="http://schemas.microsoft.com/office/spreadsheetml/2017/richdata2" ref="B6:H21">
    <sortCondition ref="B6:B21"/>
  </sortState>
  <tableColumns count="7">
    <tableColumn id="1" xr3:uid="{4918A82F-32F6-4152-BB0D-A6697B4FD998}" name="BDC LIST" totalsRowLabel="Total" dataDxfId="6016" totalsRowDxfId="6015"/>
    <tableColumn id="2" xr3:uid="{031F27B7-548D-4564-BC87-780808B71197}" name="KSI_AGO" totalsRowFunction="custom" dataDxfId="6014" totalsRowDxfId="6013">
      <totalsRowFormula>SUM(August26_2021[KSI_AGO])</totalsRowFormula>
    </tableColumn>
    <tableColumn id="3" xr3:uid="{D0461FD9-60B8-4BE0-AEAD-38CD92E6E924}" name="KSI_PMS" totalsRowFunction="sum" dataDxfId="6012" totalsRowDxfId="6011" dataCellStyle="Comma"/>
    <tableColumn id="4" xr3:uid="{D9B06264-1E5A-47B7-91F6-B7C9A5158EF6}" name="BUIPE_AGO" totalsRowFunction="custom" dataDxfId="6010" totalsRowDxfId="6009">
      <totalsRowFormula>SUM(August26_2021[BUIPE_AGO])</totalsRowFormula>
    </tableColumn>
    <tableColumn id="5" xr3:uid="{1E4C58CC-CC88-46F5-A31C-E85B6090DEFC}" name="BUIPE_PMS" totalsRowFunction="custom" dataDxfId="6008" totalsRowDxfId="6007" dataCellStyle="Comma">
      <totalsRowFormula>SUM(August26_2021[BUIPE_PMS])</totalsRowFormula>
    </tableColumn>
    <tableColumn id="6" xr3:uid="{9DA3B883-CA16-4E1F-B6CF-B6FE602CB37F}" name="AKOSOMBO_AGO" totalsRowFunction="custom" dataDxfId="6006" totalsRowDxfId="6005">
      <totalsRowFormula>SUM(August26_2021[AKOSOMBO_AGO])</totalsRowFormula>
    </tableColumn>
    <tableColumn id="7" xr3:uid="{F3E31863-203D-4EA1-B870-8EB70B8D9914}" name="DATE" dataDxfId="6004" totalsRowDxfId="6003">
      <calculatedColumnFormula>$G$3</calculatedColumnFormula>
    </tableColumn>
  </tableColumns>
  <tableStyleInfo showFirstColumn="0" showLastColumn="0" showRowStripes="1" showColumnStripes="0"/>
</table>
</file>

<file path=xl/tables/table4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0" xr:uid="{C087E64A-B22D-40A6-9EB2-59B1842985CD}" name="August27_2021" displayName="August27_2021" ref="B5:H22" totalsRowCount="1" headerRowDxfId="6002" headerRowBorderDxfId="6001" tableBorderDxfId="6000" totalsRowBorderDxfId="5999">
  <autoFilter ref="B5:H21" xr:uid="{C087E64A-B22D-40A6-9EB2-59B1842985CD}"/>
  <sortState xmlns:xlrd2="http://schemas.microsoft.com/office/spreadsheetml/2017/richdata2" ref="B6:H21">
    <sortCondition ref="B6:B21"/>
  </sortState>
  <tableColumns count="7">
    <tableColumn id="1" xr3:uid="{EC1F20DE-8056-4252-92F0-CAABEFCE6F3D}" name="BDC LIST" totalsRowLabel="Total" dataDxfId="5998" totalsRowDxfId="5997"/>
    <tableColumn id="2" xr3:uid="{9BFBF10B-E12F-4552-9B69-17CDEF089769}" name="KSI_AGO" totalsRowFunction="custom" dataDxfId="5996" totalsRowDxfId="5995">
      <totalsRowFormula>SUM(August27_2021[KSI_AGO])</totalsRowFormula>
    </tableColumn>
    <tableColumn id="3" xr3:uid="{CC08192C-0392-4709-8536-3465C7DED51C}" name="KSI_PMS" totalsRowFunction="sum" dataDxfId="5994" totalsRowDxfId="5993" dataCellStyle="Comma"/>
    <tableColumn id="4" xr3:uid="{FE17E11B-AE66-4899-BD47-9E2DB2EB51F9}" name="BUIPE_AGO" totalsRowFunction="custom" dataDxfId="5992" totalsRowDxfId="5991">
      <totalsRowFormula>SUM(August27_2021[BUIPE_AGO])</totalsRowFormula>
    </tableColumn>
    <tableColumn id="5" xr3:uid="{6C50DC80-2A31-4F77-A2BB-DCAD005E60AC}" name="BUIPE_PMS" totalsRowFunction="custom" dataDxfId="5990" totalsRowDxfId="5989" dataCellStyle="Comma">
      <totalsRowFormula>SUM(August27_2021[BUIPE_PMS])</totalsRowFormula>
    </tableColumn>
    <tableColumn id="6" xr3:uid="{3F165B29-DB41-481F-93A9-CA0CE480B84A}" name="AKOSOMBO_AGO" totalsRowFunction="custom" dataDxfId="5988" totalsRowDxfId="5987">
      <totalsRowFormula>SUM(August27_2021[AKOSOMBO_AGO])</totalsRowFormula>
    </tableColumn>
    <tableColumn id="7" xr3:uid="{7F54B5CE-BA1C-4B9B-9847-F553DEC55821}" name="DATE" dataDxfId="5986" totalsRowDxfId="5985">
      <calculatedColumnFormula>$G$3</calculatedColumnFormula>
    </tableColumn>
  </tableColumns>
  <tableStyleInfo showFirstColumn="0" showLastColumn="0" showRowStripes="1" showColumnStripes="0"/>
</table>
</file>

<file path=xl/tables/table4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2" xr:uid="{EBE5BC1B-B151-49D7-AF84-ECC8B69BC1B8}" name="August30_2021" displayName="August30_2021" ref="B5:H22" totalsRowCount="1" headerRowDxfId="5984" headerRowBorderDxfId="5983" tableBorderDxfId="5982" totalsRowBorderDxfId="5981">
  <autoFilter ref="B5:H21" xr:uid="{EBE5BC1B-B151-49D7-AF84-ECC8B69BC1B8}"/>
  <sortState xmlns:xlrd2="http://schemas.microsoft.com/office/spreadsheetml/2017/richdata2" ref="B6:H21">
    <sortCondition ref="B6:B21"/>
  </sortState>
  <tableColumns count="7">
    <tableColumn id="1" xr3:uid="{B5FA959A-52E0-4F59-8718-E7B03FF763EA}" name="BDC LIST" totalsRowLabel="Total" dataDxfId="5980" totalsRowDxfId="5979"/>
    <tableColumn id="2" xr3:uid="{21810CC1-D46C-4B66-8D19-70B2C18449D7}" name="KSI_AGO" totalsRowFunction="custom" dataDxfId="5978" totalsRowDxfId="5977">
      <totalsRowFormula>SUM(August30_2021[KSI_AGO])</totalsRowFormula>
    </tableColumn>
    <tableColumn id="3" xr3:uid="{4F4AC81B-8EF0-4B31-A6B1-330F3AD16B40}" name="KSI_PMS" totalsRowFunction="sum" dataDxfId="5976" totalsRowDxfId="5975" dataCellStyle="Comma"/>
    <tableColumn id="4" xr3:uid="{DCC7DD94-DD3C-4644-B48A-545CE51DB70B}" name="BUIPE_AGO" totalsRowFunction="custom" dataDxfId="5974" totalsRowDxfId="5973">
      <totalsRowFormula>SUM(August30_2021[BUIPE_AGO])</totalsRowFormula>
    </tableColumn>
    <tableColumn id="5" xr3:uid="{BC899A38-FA6E-40E0-A010-4FB5B32FF305}" name="BUIPE_PMS" totalsRowFunction="custom" dataDxfId="5972" totalsRowDxfId="5971" dataCellStyle="Comma">
      <totalsRowFormula>SUM(August30_2021[BUIPE_PMS])</totalsRowFormula>
    </tableColumn>
    <tableColumn id="6" xr3:uid="{97233335-8335-4B27-8BE8-68E37A7CC3CD}" name="AKOSOMBO_AGO" totalsRowFunction="custom" dataDxfId="5970" totalsRowDxfId="5969">
      <totalsRowFormula>SUM(August30_2021[AKOSOMBO_AGO])</totalsRowFormula>
    </tableColumn>
    <tableColumn id="7" xr3:uid="{6546C7C4-6055-40EE-83FC-D98E813FD3F7}" name="DATE" dataDxfId="5968" totalsRowDxfId="5967">
      <calculatedColumnFormula>$G$3</calculatedColumnFormula>
    </tableColumn>
  </tableColumns>
  <tableStyleInfo showFirstColumn="0" showLastColumn="0" showRowStripes="1" showColumnStripes="0"/>
</table>
</file>

<file path=xl/tables/table4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1" xr:uid="{03BD0EA8-728F-47C2-A32A-114C2A4D5A75}" name="August31_2021" displayName="August31_2021" ref="B5:H22" totalsRowCount="1" headerRowDxfId="5966" headerRowBorderDxfId="5965" tableBorderDxfId="5964" totalsRowBorderDxfId="5963">
  <autoFilter ref="B5:H21" xr:uid="{B912BB5A-5D11-44A1-9D4C-D56A5EAB5384}"/>
  <sortState xmlns:xlrd2="http://schemas.microsoft.com/office/spreadsheetml/2017/richdata2" ref="B6:H21">
    <sortCondition ref="B6:B21"/>
  </sortState>
  <tableColumns count="7">
    <tableColumn id="1" xr3:uid="{AC529A4D-BFBD-4732-8CDD-F8940BA082D4}" name="BDC LIST" totalsRowLabel="Total" dataDxfId="5962" totalsRowDxfId="5961"/>
    <tableColumn id="2" xr3:uid="{5308FBC9-4FEB-4967-8DA1-382D9CB4BA84}" name="KSI_AGO" totalsRowFunction="custom" dataDxfId="5960" totalsRowDxfId="5959">
      <totalsRowFormula>SUM(August31_2021[KSI_AGO])</totalsRowFormula>
    </tableColumn>
    <tableColumn id="3" xr3:uid="{607C1A16-5921-4B21-B57F-092743D03A7F}" name="KSI_PMS" totalsRowFunction="sum" dataDxfId="5958" totalsRowDxfId="5957" dataCellStyle="Comma"/>
    <tableColumn id="4" xr3:uid="{1A5AC5F6-7614-44CB-86DE-94FC692227A9}" name="BUIPE_AGO" totalsRowFunction="custom" dataDxfId="5956" totalsRowDxfId="5955">
      <totalsRowFormula>SUM(August31_2021[BUIPE_AGO])</totalsRowFormula>
    </tableColumn>
    <tableColumn id="5" xr3:uid="{21B92AB7-F7B3-4413-8525-38016C436A86}" name="BUIPE_PMS" totalsRowFunction="custom" dataDxfId="5954" totalsRowDxfId="5953" dataCellStyle="Comma">
      <totalsRowFormula>SUM(August31_2021[BUIPE_PMS])</totalsRowFormula>
    </tableColumn>
    <tableColumn id="6" xr3:uid="{778801E0-393C-4D1D-B2E7-E8FB85DB2E65}" name="AKOSOMBO_AGO" totalsRowFunction="custom" dataDxfId="5952" totalsRowDxfId="5951">
      <totalsRowFormula>SUM(August31_2021[AKOSOMBO_AGO])</totalsRowFormula>
    </tableColumn>
    <tableColumn id="7" xr3:uid="{1B2EB9C5-21AB-4E32-A96E-5CF9AB09107E}" name="DATE" dataDxfId="5950" totalsRowDxfId="5949">
      <calculatedColumnFormula>$G$3</calculatedColumnFormula>
    </tableColumn>
  </tableColumns>
  <tableStyleInfo showFirstColumn="0" showLastColumn="0" showRowStripes="1" showColumnStripes="0"/>
</table>
</file>

<file path=xl/tables/table4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6" xr:uid="{B4461500-87B1-4720-9A7C-793F5B4C0B34}" name="August31_2021357" displayName="August31_2021357" ref="B5:H22" totalsRowCount="1" headerRowDxfId="5948" headerRowBorderDxfId="5947" tableBorderDxfId="5946" totalsRowBorderDxfId="5945">
  <autoFilter ref="B5:H21" xr:uid="{B912BB5A-5D11-44A1-9D4C-D56A5EAB5384}"/>
  <sortState xmlns:xlrd2="http://schemas.microsoft.com/office/spreadsheetml/2017/richdata2" ref="B6:H21">
    <sortCondition ref="B6:B21"/>
  </sortState>
  <tableColumns count="7">
    <tableColumn id="1" xr3:uid="{BC30F7E6-0C23-4AD5-AAA0-D951315CC198}" name="BDC LIST" totalsRowLabel="Total" dataDxfId="5944" totalsRowDxfId="5943"/>
    <tableColumn id="2" xr3:uid="{12AEAF86-BABA-4462-BB77-72EA58D1A6FE}" name="KSI_AGO" totalsRowFunction="custom" dataDxfId="5942" totalsRowDxfId="5941">
      <totalsRowFormula>SUM(August31_2021357[KSI_AGO])</totalsRowFormula>
    </tableColumn>
    <tableColumn id="3" xr3:uid="{15769E76-E687-4D00-9F06-2CA1465E99CE}" name="KSI_PMS" totalsRowFunction="sum" dataDxfId="5940" totalsRowDxfId="5939" dataCellStyle="Comma"/>
    <tableColumn id="4" xr3:uid="{21CEF308-CA2C-4F28-97CC-F139378297F2}" name="BUIPE_AGO" totalsRowFunction="custom" dataDxfId="5938" totalsRowDxfId="5937">
      <totalsRowFormula>SUM(August31_2021357[BUIPE_AGO])</totalsRowFormula>
    </tableColumn>
    <tableColumn id="5" xr3:uid="{DB7BC13E-12C1-4000-A442-232D94721016}" name="BUIPE_PMS" totalsRowFunction="custom" dataDxfId="5936" totalsRowDxfId="5935" dataCellStyle="Comma">
      <totalsRowFormula>SUM(August31_2021357[BUIPE_PMS])</totalsRowFormula>
    </tableColumn>
    <tableColumn id="6" xr3:uid="{0F6B875C-A18C-43C7-9CA7-F1CD52814826}" name="AKOSOMBO_AGO" totalsRowFunction="custom" dataDxfId="5934" totalsRowDxfId="5933">
      <totalsRowFormula>SUM(August31_2021357[AKOSOMBO_AGO])</totalsRowFormula>
    </tableColumn>
    <tableColumn id="7" xr3:uid="{EDE7A2D5-961B-4130-8296-9FB5C0120036}" name="DATE" dataDxfId="5932" totalsRowDxfId="5931">
      <calculatedColumnFormula>$G$3</calculatedColumnFormula>
    </tableColumn>
  </tableColumns>
  <tableStyleInfo showFirstColumn="0" showLastColumn="0" showRowStripes="1" showColumnStripes="0"/>
</table>
</file>

<file path=xl/tables/table4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2" xr:uid="{755D2133-D79C-4A5D-9FE9-F2E08EF08343}" name="September3_2021" displayName="September3_2021" ref="B5:H22" totalsRowCount="1" headerRowDxfId="5930" headerRowBorderDxfId="5929" tableBorderDxfId="5928" totalsRowBorderDxfId="5927">
  <autoFilter ref="B5:H21" xr:uid="{B912BB5A-5D11-44A1-9D4C-D56A5EAB5384}"/>
  <sortState xmlns:xlrd2="http://schemas.microsoft.com/office/spreadsheetml/2017/richdata2" ref="B6:H21">
    <sortCondition ref="B6:B21"/>
  </sortState>
  <tableColumns count="7">
    <tableColumn id="1" xr3:uid="{B841630C-7B14-4FBB-B897-2D338DA6B32E}" name="BDC LIST" totalsRowLabel="Total" dataDxfId="5926" totalsRowDxfId="5925"/>
    <tableColumn id="2" xr3:uid="{5E08E666-5C08-46E5-AD8F-79E49A18492D}" name="KSI_AGO" totalsRowFunction="custom" dataDxfId="5924" totalsRowDxfId="5923">
      <totalsRowFormula>SUM(September3_2021[KSI_AGO])</totalsRowFormula>
    </tableColumn>
    <tableColumn id="3" xr3:uid="{EC865BE1-8868-4750-9767-A91F0F3E836F}" name="KSI_PMS" totalsRowFunction="sum" dataDxfId="5922" totalsRowDxfId="5921" dataCellStyle="Comma"/>
    <tableColumn id="4" xr3:uid="{84F67A4D-ADAF-435F-A637-741CE43220FF}" name="BUIPE_AGO" totalsRowFunction="custom" dataDxfId="5920" totalsRowDxfId="5919">
      <totalsRowFormula>SUM(September3_2021[BUIPE_AGO])</totalsRowFormula>
    </tableColumn>
    <tableColumn id="5" xr3:uid="{2FBE8B59-1D94-42F5-8192-98B6B6F5AD40}" name="BUIPE_PMS" totalsRowFunction="custom" dataDxfId="5918" totalsRowDxfId="5917" dataCellStyle="Comma">
      <totalsRowFormula>SUM(September3_2021[BUIPE_PMS])</totalsRowFormula>
    </tableColumn>
    <tableColumn id="6" xr3:uid="{89F2E31C-2A90-4EF8-9CBE-630DF6DBCA69}" name="AKOSOMBO_AGO" totalsRowFunction="custom" dataDxfId="5916" totalsRowDxfId="5915">
      <totalsRowFormula>SUM(September3_2021[AKOSOMBO_AGO])</totalsRowFormula>
    </tableColumn>
    <tableColumn id="7" xr3:uid="{4F603FBE-A15A-4CF0-A93A-0E8515E269A0}" name="DATE" dataDxfId="5914" totalsRowDxfId="5913">
      <calculatedColumnFormula>$G$3</calculatedColumnFormula>
    </tableColumn>
  </tableColumns>
  <tableStyleInfo showFirstColumn="0" showLastColumn="0" showRowStripes="1" showColumnStripes="0"/>
</table>
</file>

<file path=xl/tables/table4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6" xr:uid="{C069D4CB-C6DB-44D4-AECF-0C54A5E545EF}" name="September6_2021" displayName="September6_2021" ref="B5:H22" totalsRowCount="1" headerRowDxfId="5912" headerRowBorderDxfId="5911" tableBorderDxfId="5910" totalsRowBorderDxfId="5909">
  <autoFilter ref="B5:H21" xr:uid="{B912BB5A-5D11-44A1-9D4C-D56A5EAB5384}"/>
  <sortState xmlns:xlrd2="http://schemas.microsoft.com/office/spreadsheetml/2017/richdata2" ref="B6:H21">
    <sortCondition ref="B6:B21"/>
  </sortState>
  <tableColumns count="7">
    <tableColumn id="1" xr3:uid="{85920562-55A3-48D1-B77F-697FE9A3C57B}" name="BDC LIST" totalsRowLabel="Total" dataDxfId="5908" totalsRowDxfId="5907"/>
    <tableColumn id="2" xr3:uid="{4A0A87F8-08B6-43C6-8804-1A39C607054A}" name="KSI_AGO" totalsRowFunction="custom" dataDxfId="5906" totalsRowDxfId="5905">
      <totalsRowFormula>SUM(September6_2021[KSI_AGO])</totalsRowFormula>
    </tableColumn>
    <tableColumn id="3" xr3:uid="{E93212AE-676F-43D3-8ACE-EA8E92FB084E}" name="KSI_PMS" totalsRowFunction="sum" dataDxfId="5904" totalsRowDxfId="5903" dataCellStyle="Comma"/>
    <tableColumn id="4" xr3:uid="{AF0AACDD-4DD7-470A-8458-85668D101CF5}" name="BUIPE_AGO" totalsRowFunction="custom" dataDxfId="5902" totalsRowDxfId="5901">
      <totalsRowFormula>SUM(September6_2021[BUIPE_AGO])</totalsRowFormula>
    </tableColumn>
    <tableColumn id="5" xr3:uid="{8A8149C2-B054-4002-85E9-7567D906DE4A}" name="BUIPE_PMS" totalsRowFunction="custom" dataDxfId="5900" totalsRowDxfId="5899" dataCellStyle="Comma">
      <totalsRowFormula>SUM(September6_2021[BUIPE_PMS])</totalsRowFormula>
    </tableColumn>
    <tableColumn id="6" xr3:uid="{D64CF7CB-CB74-4241-A82B-0666B52108EE}" name="AKOSOMBO_AGO" totalsRowFunction="custom" dataDxfId="5898" totalsRowDxfId="5897">
      <totalsRowFormula>SUM(September6_2021[AKOSOMBO_AGO])</totalsRowFormula>
    </tableColumn>
    <tableColumn id="7" xr3:uid="{3344A9E8-3A96-422A-A9B1-CAB6580CCE15}" name="DATE" dataDxfId="5896" totalsRowDxfId="5895">
      <calculatedColumnFormula>$G$3</calculatedColumnFormula>
    </tableColumn>
  </tableColumns>
  <tableStyleInfo showFirstColumn="0" showLastColumn="0" showRowStripes="1" showColumnStripes="0"/>
</table>
</file>

<file path=xl/tables/table4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1" xr:uid="{65296E4C-9EC5-4208-AA4F-135C866397F7}" name="September7_2021" displayName="September7_2021" ref="B5:H22" totalsRowCount="1" headerRowDxfId="5894" headerRowBorderDxfId="5893" tableBorderDxfId="5892" totalsRowBorderDxfId="5891">
  <autoFilter ref="B5:H21" xr:uid="{B912BB5A-5D11-44A1-9D4C-D56A5EAB5384}"/>
  <sortState xmlns:xlrd2="http://schemas.microsoft.com/office/spreadsheetml/2017/richdata2" ref="B6:H21">
    <sortCondition ref="B6:B21"/>
  </sortState>
  <tableColumns count="7">
    <tableColumn id="1" xr3:uid="{FF173B99-FC62-4658-9400-8A47296E12D2}" name="BDC LIST" totalsRowLabel="Total" dataDxfId="5890" totalsRowDxfId="5889"/>
    <tableColumn id="2" xr3:uid="{FF8397A8-4795-461C-AE61-5B9EAD82CFEA}" name="KSI_AGO" totalsRowFunction="custom" dataDxfId="5888" totalsRowDxfId="5887">
      <totalsRowFormula>SUM(September7_2021[KSI_AGO])</totalsRowFormula>
    </tableColumn>
    <tableColumn id="3" xr3:uid="{73CD66F8-4E12-444C-AB4F-CC5C1FC4608C}" name="KSI_PMS" totalsRowFunction="sum" dataDxfId="5886" totalsRowDxfId="5885" dataCellStyle="Comma"/>
    <tableColumn id="4" xr3:uid="{4F55871E-20E8-4A5C-8464-A6DAE51A4701}" name="BUIPE_AGO" totalsRowFunction="custom" dataDxfId="5884" totalsRowDxfId="5883">
      <totalsRowFormula>SUM(September7_2021[BUIPE_AGO])</totalsRowFormula>
    </tableColumn>
    <tableColumn id="5" xr3:uid="{CDB4F3B1-4EA8-4151-A387-162185E24FBF}" name="BUIPE_PMS" totalsRowFunction="custom" dataDxfId="5882" totalsRowDxfId="5881" dataCellStyle="Comma">
      <totalsRowFormula>SUM(September7_2021[BUIPE_PMS])</totalsRowFormula>
    </tableColumn>
    <tableColumn id="6" xr3:uid="{915D8447-64C4-44E7-9DE5-522C1B60DA13}" name="AKOSOMBO_AGO" totalsRowFunction="custom" dataDxfId="5880" totalsRowDxfId="5879">
      <totalsRowFormula>SUM(September7_2021[AKOSOMBO_AGO])</totalsRowFormula>
    </tableColumn>
    <tableColumn id="7" xr3:uid="{4E94CD0A-4A4C-4942-BFEE-D3B2B9AC7133}" name="DATE" dataDxfId="5878" totalsRowDxfId="5877">
      <calculatedColumnFormula>$G$3</calculatedColumnFormula>
    </tableColumn>
  </tableColumns>
  <tableStyleInfo showFirstColumn="0" showLastColumn="0" showRowStripes="1" showColumnStripes="0"/>
</table>
</file>

<file path=xl/tables/table4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1" xr:uid="{A712B94F-4A62-45C7-B93E-24564F739B15}" name="September8_2021" displayName="September8_2021" ref="B5:H22" totalsRowCount="1" headerRowDxfId="5876" headerRowBorderDxfId="5875" tableBorderDxfId="5874" totalsRowBorderDxfId="5873">
  <autoFilter ref="B5:H21" xr:uid="{B912BB5A-5D11-44A1-9D4C-D56A5EAB5384}"/>
  <sortState xmlns:xlrd2="http://schemas.microsoft.com/office/spreadsheetml/2017/richdata2" ref="B6:H21">
    <sortCondition ref="B6:B21"/>
  </sortState>
  <tableColumns count="7">
    <tableColumn id="1" xr3:uid="{7A3723E7-C912-4018-A271-B8493AC89A15}" name="BDC LIST" totalsRowLabel="Total" dataDxfId="5872" totalsRowDxfId="5871"/>
    <tableColumn id="2" xr3:uid="{27960800-FBBB-4D74-885C-C575A06A75A3}" name="KSI_AGO" totalsRowFunction="custom" dataDxfId="5870" totalsRowDxfId="5869">
      <totalsRowFormula>SUM(September8_2021[KSI_AGO])</totalsRowFormula>
    </tableColumn>
    <tableColumn id="3" xr3:uid="{5175B437-407E-4975-B217-DCC0ECF4F95B}" name="KSI_PMS" totalsRowFunction="sum" dataDxfId="5868" totalsRowDxfId="5867" dataCellStyle="Comma"/>
    <tableColumn id="4" xr3:uid="{57DA624F-6BCD-4289-989A-865CFE647B6F}" name="BUIPE_AGO" totalsRowFunction="custom" dataDxfId="5866" totalsRowDxfId="5865">
      <totalsRowFormula>SUM(September8_2021[BUIPE_AGO])</totalsRowFormula>
    </tableColumn>
    <tableColumn id="5" xr3:uid="{999BF540-E930-4848-AF9D-8339E76E7AFF}" name="BUIPE_PMS" totalsRowFunction="custom" dataDxfId="5864" totalsRowDxfId="5863" dataCellStyle="Comma">
      <totalsRowFormula>SUM(September8_2021[BUIPE_PMS])</totalsRowFormula>
    </tableColumn>
    <tableColumn id="6" xr3:uid="{0E6EF0D6-18FF-4706-B67F-D630BD6E32C9}" name="AKOSOMBO_AGO" totalsRowFunction="custom" dataDxfId="5862" totalsRowDxfId="5861">
      <totalsRowFormula>SUM(September8_2021[AKOSOMBO_AGO])</totalsRowFormula>
    </tableColumn>
    <tableColumn id="7" xr3:uid="{A2F569F9-9B52-4438-872D-73E573A59EA8}" name="DATE" dataDxfId="5860" totalsRowDxfId="5859">
      <calculatedColumnFormula>$G$3</calculatedColumnFormula>
    </tableColumn>
  </tableColumns>
  <tableStyleInfo showFirstColumn="0" showLastColumn="0" showRowStripes="1" showColumnStripes="0"/>
</table>
</file>

<file path=xl/tables/table4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7" xr:uid="{53D2CF10-EE23-46E2-92D7-D25939DFF955}" name="September9_2021448" displayName="September9_2021448" ref="B5:H22" totalsRowCount="1" headerRowDxfId="5858" headerRowBorderDxfId="5857" tableBorderDxfId="5856" totalsRowBorderDxfId="5855">
  <autoFilter ref="B5:H21" xr:uid="{53D2CF10-EE23-46E2-92D7-D25939DFF955}"/>
  <sortState xmlns:xlrd2="http://schemas.microsoft.com/office/spreadsheetml/2017/richdata2" ref="B6:H21">
    <sortCondition ref="B6:B21"/>
  </sortState>
  <tableColumns count="7">
    <tableColumn id="1" xr3:uid="{FAA93D69-C22D-4B5C-9909-69983DE70FD1}" name="BDC LIST" totalsRowLabel="Total" dataDxfId="5854" totalsRowDxfId="5853"/>
    <tableColumn id="2" xr3:uid="{803B0FE2-808C-4C57-9263-526AD5305B31}" name="KSI_AGO" totalsRowFunction="custom" dataDxfId="5852" totalsRowDxfId="5851">
      <totalsRowFormula>SUM(September9_2021448[KSI_AGO])</totalsRowFormula>
    </tableColumn>
    <tableColumn id="3" xr3:uid="{AE8F2A75-F375-45A7-9263-3ACF72CBDAD8}" name="KSI_PMS" totalsRowFunction="sum" dataDxfId="5850" totalsRowDxfId="5849" dataCellStyle="Comma"/>
    <tableColumn id="4" xr3:uid="{8246CFA9-8A07-4EF9-A9F4-AAA1BBE9DCAB}" name="BUIPE_AGO" totalsRowFunction="custom" dataDxfId="5848" totalsRowDxfId="5847">
      <totalsRowFormula>SUM(September9_2021448[BUIPE_AGO])</totalsRowFormula>
    </tableColumn>
    <tableColumn id="5" xr3:uid="{625A6BDA-B059-4F78-B4AD-49D0DF00AA54}" name="BUIPE_PMS" totalsRowFunction="custom" dataDxfId="5846" totalsRowDxfId="5845" dataCellStyle="Comma">
      <totalsRowFormula>SUM(September9_2021448[BUIPE_PMS])</totalsRowFormula>
    </tableColumn>
    <tableColumn id="6" xr3:uid="{47C11710-F686-4CE7-8E23-98C685A0575C}" name="AKOSOMBO_AGO" totalsRowFunction="custom" dataDxfId="5844" totalsRowDxfId="5843">
      <totalsRowFormula>SUM(September9_2021448[AKOSOMBO_AGO])</totalsRowFormula>
    </tableColumn>
    <tableColumn id="7" xr3:uid="{72064DB4-0ABE-4706-A614-E13423E29A07}" name="DATE" dataDxfId="5842" totalsRowDxfId="5841">
      <calculatedColumnFormula>$G$3</calculatedColumnFormula>
    </tableColumn>
  </tableColumns>
  <tableStyleInfo showFirstColumn="0" showLastColumn="0" showRowStripes="1" showColumnStripes="0"/>
</table>
</file>

<file path=xl/tables/table4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3" xr:uid="{2FBF855A-52FE-4CA6-92C4-248ACA1A5E5C}" name="September10_2021" displayName="September10_2021" ref="B5:H22" totalsRowCount="1" headerRowDxfId="5840" headerRowBorderDxfId="5839" tableBorderDxfId="5838" totalsRowBorderDxfId="5837">
  <autoFilter ref="B5:H21" xr:uid="{B912BB5A-5D11-44A1-9D4C-D56A5EAB5384}"/>
  <sortState xmlns:xlrd2="http://schemas.microsoft.com/office/spreadsheetml/2017/richdata2" ref="B6:H21">
    <sortCondition ref="B6:B21"/>
  </sortState>
  <tableColumns count="7">
    <tableColumn id="1" xr3:uid="{E709EB59-FDBB-4A15-B194-69A26358522F}" name="BDC LIST" totalsRowLabel="Total" dataDxfId="5836" totalsRowDxfId="5835"/>
    <tableColumn id="2" xr3:uid="{5DC055F6-CD02-4BDB-B89D-DB509244E125}" name="KSI_AGO" totalsRowFunction="custom" dataDxfId="5834" totalsRowDxfId="5833">
      <totalsRowFormula>SUM(September10_2021[KSI_AGO])</totalsRowFormula>
    </tableColumn>
    <tableColumn id="3" xr3:uid="{01451026-FE83-4AF3-90BB-8247861B412B}" name="KSI_PMS" totalsRowFunction="sum" dataDxfId="5832" totalsRowDxfId="5831" dataCellStyle="Comma"/>
    <tableColumn id="4" xr3:uid="{06DD5E84-2DF1-42AF-A883-7353EBF90A7F}" name="BUIPE_AGO" totalsRowFunction="custom" dataDxfId="5830" totalsRowDxfId="5829">
      <totalsRowFormula>SUM(September10_2021[BUIPE_AGO])</totalsRowFormula>
    </tableColumn>
    <tableColumn id="5" xr3:uid="{B53E653B-E7F6-403A-BEE7-D0428D3B2F8F}" name="BUIPE_PMS" totalsRowFunction="custom" dataDxfId="5828" totalsRowDxfId="5827" dataCellStyle="Comma">
      <totalsRowFormula>SUM(September10_2021[BUIPE_PMS])</totalsRowFormula>
    </tableColumn>
    <tableColumn id="6" xr3:uid="{F136BC18-2BB2-4C3E-B2A0-BA15F20A3182}" name="AKOSOMBO_AGO" totalsRowFunction="custom" dataDxfId="5826" totalsRowDxfId="5825">
      <totalsRowFormula>SUM(September10_2021[AKOSOMBO_AGO])</totalsRowFormula>
    </tableColumn>
    <tableColumn id="7" xr3:uid="{B2AB2A40-A4C3-4F2E-834E-E6DA5010FCE2}" name="DATE" dataDxfId="5824" totalsRowDxfId="5823">
      <calculatedColumnFormula>$G$3</calculatedColumnFormula>
    </tableColumn>
  </tableColumns>
  <tableStyleInfo showFirstColumn="0" showLastColumn="0" showRowStripes="1" showColumnStripes="0"/>
</table>
</file>

<file path=xl/tables/table4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4" xr:uid="{250491D6-6ECF-4667-BB71-0A0FA9D0511B}" name="September13_2021" displayName="September13_2021" ref="B5:H22" totalsRowCount="1" headerRowDxfId="5822" headerRowBorderDxfId="5821" tableBorderDxfId="5820" totalsRowBorderDxfId="5819">
  <autoFilter ref="B5:H21" xr:uid="{B912BB5A-5D11-44A1-9D4C-D56A5EAB5384}"/>
  <sortState xmlns:xlrd2="http://schemas.microsoft.com/office/spreadsheetml/2017/richdata2" ref="B6:H21">
    <sortCondition ref="B6:B21"/>
  </sortState>
  <tableColumns count="7">
    <tableColumn id="1" xr3:uid="{C6EA515F-8A13-4A01-AF10-422AB6BA8582}" name="BDC LIST" totalsRowLabel="Total" dataDxfId="5818" totalsRowDxfId="5817"/>
    <tableColumn id="2" xr3:uid="{DA948BB5-2FFF-478F-8700-F73FA143F734}" name="KSI_AGO" totalsRowFunction="custom" dataDxfId="5816" totalsRowDxfId="5815">
      <totalsRowFormula>SUM(September13_2021[KSI_AGO])</totalsRowFormula>
    </tableColumn>
    <tableColumn id="3" xr3:uid="{A27DCD90-E0C9-4EBD-96EC-DCBE6350A9FB}" name="KSI_PMS" totalsRowFunction="sum" dataDxfId="5814" totalsRowDxfId="5813" dataCellStyle="Comma"/>
    <tableColumn id="4" xr3:uid="{B637B83A-9C22-47D3-9E2E-A5E03D95E9DE}" name="BUIPE_AGO" totalsRowFunction="custom" dataDxfId="5812" totalsRowDxfId="5811">
      <totalsRowFormula>SUM(September13_2021[BUIPE_AGO])</totalsRowFormula>
    </tableColumn>
    <tableColumn id="5" xr3:uid="{F76BBFAF-5A58-4A5F-86B3-B7AFE6CCA2CB}" name="BUIPE_PMS" totalsRowFunction="custom" dataDxfId="5810" totalsRowDxfId="5809" dataCellStyle="Comma">
      <totalsRowFormula>SUM(September13_2021[BUIPE_PMS])</totalsRowFormula>
    </tableColumn>
    <tableColumn id="6" xr3:uid="{83BA1A3B-3D4C-4486-9F1A-918D18EE6724}" name="AKOSOMBO_AGO" totalsRowFunction="custom" dataDxfId="5808" totalsRowDxfId="5807">
      <totalsRowFormula>SUM(September13_2021[AKOSOMBO_AGO])</totalsRowFormula>
    </tableColumn>
    <tableColumn id="7" xr3:uid="{E76FAA7E-ED92-4687-ADA6-426CC0729A14}" name="DATE" dataDxfId="5806" totalsRowDxfId="5805">
      <calculatedColumnFormula>$G$3</calculatedColumnFormula>
    </tableColumn>
  </tableColumns>
  <tableStyleInfo showFirstColumn="0" showLastColumn="0" showRowStripes="1" showColumnStripes="0"/>
</table>
</file>

<file path=xl/tables/table4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5" xr:uid="{85D07BCA-500F-46DF-A327-67C56356DE32}" name="September14_2021" displayName="September14_2021" ref="B5:H22" totalsRowCount="1" headerRowDxfId="5804" headerRowBorderDxfId="5803" tableBorderDxfId="5802" totalsRowBorderDxfId="5801">
  <autoFilter ref="B5:H21" xr:uid="{B912BB5A-5D11-44A1-9D4C-D56A5EAB5384}"/>
  <sortState xmlns:xlrd2="http://schemas.microsoft.com/office/spreadsheetml/2017/richdata2" ref="B6:H21">
    <sortCondition ref="B6:B21"/>
  </sortState>
  <tableColumns count="7">
    <tableColumn id="1" xr3:uid="{E69EFA90-09A2-4752-B11E-CAAA73CE8026}" name="BDC LIST" totalsRowLabel="Total" dataDxfId="5800" totalsRowDxfId="5799"/>
    <tableColumn id="2" xr3:uid="{9CF756B7-A598-45BF-91AF-62A942A900EF}" name="KSI_AGO" totalsRowFunction="custom" dataDxfId="5798" totalsRowDxfId="5797">
      <totalsRowFormula>SUM(September14_2021[KSI_AGO])</totalsRowFormula>
    </tableColumn>
    <tableColumn id="3" xr3:uid="{B72C874D-4F2E-4C47-8D1F-C4F23CB289D2}" name="KSI_PMS" totalsRowFunction="sum" dataDxfId="5796" totalsRowDxfId="5795" dataCellStyle="Comma"/>
    <tableColumn id="4" xr3:uid="{E268A8EA-7BC9-481D-87DF-20CE33FA67FF}" name="BUIPE_AGO" totalsRowFunction="custom" dataDxfId="5794" totalsRowDxfId="5793">
      <totalsRowFormula>SUM(September14_2021[BUIPE_AGO])</totalsRowFormula>
    </tableColumn>
    <tableColumn id="5" xr3:uid="{33F98D1C-E447-45F6-AB3F-FC411365B5BD}" name="BUIPE_PMS" totalsRowFunction="custom" dataDxfId="5792" totalsRowDxfId="5791" dataCellStyle="Comma">
      <totalsRowFormula>SUM(September14_2021[BUIPE_PMS])</totalsRowFormula>
    </tableColumn>
    <tableColumn id="6" xr3:uid="{CF4F78F3-73B3-4AC7-9DC8-7B205230AB51}" name="AKOSOMBO_AGO" totalsRowFunction="custom" dataDxfId="5790" totalsRowDxfId="5789">
      <totalsRowFormula>SUM(September14_2021[AKOSOMBO_AGO])</totalsRowFormula>
    </tableColumn>
    <tableColumn id="7" xr3:uid="{7B41E296-74CA-4BE9-824B-E093EA05A9E4}" name="DATE" dataDxfId="5788" totalsRowDxfId="5787">
      <calculatedColumnFormula>$G$3</calculatedColumnFormula>
    </tableColumn>
  </tableColumns>
  <tableStyleInfo showFirstColumn="0" showLastColumn="0" showRowStripes="1" showColumnStripes="0"/>
</table>
</file>

<file path=xl/tables/table4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6" xr:uid="{4B983C98-DE0C-4B4B-9CBA-C4DF6C8F8244}" name="September15_202112" displayName="September15_202112" ref="B5:H22" totalsRowCount="1" headerRowDxfId="5786" headerRowBorderDxfId="5785" tableBorderDxfId="5784" totalsRowBorderDxfId="5783">
  <autoFilter ref="B5:H21" xr:uid="{B912BB5A-5D11-44A1-9D4C-D56A5EAB5384}"/>
  <sortState xmlns:xlrd2="http://schemas.microsoft.com/office/spreadsheetml/2017/richdata2" ref="B6:H21">
    <sortCondition ref="B6:B21"/>
  </sortState>
  <tableColumns count="7">
    <tableColumn id="1" xr3:uid="{0437BDEE-5526-400D-BF2B-D02F5A1D89EC}" name="BDC LIST" totalsRowLabel="Total" dataDxfId="5782" totalsRowDxfId="5781"/>
    <tableColumn id="2" xr3:uid="{63C67608-6D19-42C5-852E-5087A165035C}" name="KSI_AGO" totalsRowFunction="custom" dataDxfId="5780" totalsRowDxfId="5779">
      <totalsRowFormula>SUM(September15_202112[KSI_AGO])</totalsRowFormula>
    </tableColumn>
    <tableColumn id="3" xr3:uid="{17E09088-0C42-4EB2-BAA4-8B3AAD424C40}" name="KSI_PMS" totalsRowFunction="sum" dataDxfId="5778" totalsRowDxfId="5777" dataCellStyle="Comma"/>
    <tableColumn id="4" xr3:uid="{1F08893D-98A9-4BB0-81E1-DF23778285B5}" name="BUIPE_AGO" totalsRowFunction="custom" dataDxfId="5776" totalsRowDxfId="5775">
      <totalsRowFormula>SUM(September15_202112[BUIPE_AGO])</totalsRowFormula>
    </tableColumn>
    <tableColumn id="5" xr3:uid="{ECA03039-62A5-41B0-9297-FE2BC1690CCB}" name="BUIPE_PMS" totalsRowFunction="custom" dataDxfId="5774" totalsRowDxfId="5773" dataCellStyle="Comma">
      <totalsRowFormula>SUM(September15_202112[BUIPE_PMS])</totalsRowFormula>
    </tableColumn>
    <tableColumn id="6" xr3:uid="{34AD885D-1D47-4CBB-9634-E9EDCF498A59}" name="AKOSOMBO_AGO" totalsRowFunction="custom" dataDxfId="5772" totalsRowDxfId="5771">
      <totalsRowFormula>SUM(September15_202112[AKOSOMBO_AGO])</totalsRowFormula>
    </tableColumn>
    <tableColumn id="7" xr3:uid="{ECDD1EE6-49DC-4AC9-BD27-B4A1D8F2D0F2}" name="DATE" dataDxfId="5770" totalsRowDxfId="5769">
      <calculatedColumnFormula>$G$3</calculatedColumnFormula>
    </tableColumn>
  </tableColumns>
  <tableStyleInfo showFirstColumn="0" showLastColumn="0" showRowStripes="1" showColumnStripes="0"/>
</table>
</file>

<file path=xl/tables/table4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7" xr:uid="{2608EFDE-312E-429A-9F89-B5EEAF082255}" name="September16_2021" displayName="September16_2021" ref="B5:H22" totalsRowCount="1" headerRowDxfId="5768" headerRowBorderDxfId="5767" tableBorderDxfId="5766" totalsRowBorderDxfId="5765">
  <autoFilter ref="B5:H21" xr:uid="{B912BB5A-5D11-44A1-9D4C-D56A5EAB5384}"/>
  <sortState xmlns:xlrd2="http://schemas.microsoft.com/office/spreadsheetml/2017/richdata2" ref="B6:H21">
    <sortCondition ref="B6:B21"/>
  </sortState>
  <tableColumns count="7">
    <tableColumn id="1" xr3:uid="{54DB2DC5-B04E-4BAC-9CB7-A30E20369856}" name="BDC LIST" totalsRowLabel="Total" dataDxfId="5764" totalsRowDxfId="5763"/>
    <tableColumn id="2" xr3:uid="{28878D54-8E47-4655-861B-583245341D6F}" name="KSI_AGO" totalsRowFunction="custom" dataDxfId="5762" totalsRowDxfId="5761">
      <totalsRowFormula>SUM(September16_2021[KSI_AGO])</totalsRowFormula>
    </tableColumn>
    <tableColumn id="3" xr3:uid="{C1C1C18C-929A-42CA-838C-F4E82DD10D73}" name="KSI_PMS" totalsRowFunction="sum" dataDxfId="5760" totalsRowDxfId="5759" dataCellStyle="Comma"/>
    <tableColumn id="4" xr3:uid="{7FB328B5-E39D-4460-BC5C-60B397DC41F0}" name="BUIPE_AGO" totalsRowFunction="custom" dataDxfId="5758" totalsRowDxfId="5757">
      <totalsRowFormula>SUM(September16_2021[BUIPE_AGO])</totalsRowFormula>
    </tableColumn>
    <tableColumn id="5" xr3:uid="{105B5F12-D4DB-4B80-BFBA-F753DF368D52}" name="BUIPE_PMS" totalsRowFunction="custom" dataDxfId="5756" totalsRowDxfId="5755" dataCellStyle="Comma">
      <totalsRowFormula>SUM(September16_2021[BUIPE_PMS])</totalsRowFormula>
    </tableColumn>
    <tableColumn id="6" xr3:uid="{47B12BF3-A9E1-42F9-90FF-CBBFEB7F8E89}" name="AKOSOMBO_AGO" totalsRowFunction="custom" dataDxfId="5754" totalsRowDxfId="5753">
      <totalsRowFormula>SUM(September16_2021[AKOSOMBO_AGO])</totalsRowFormula>
    </tableColumn>
    <tableColumn id="7" xr3:uid="{8E493C48-5DB8-442D-8DE6-2CCD3FE47B40}" name="DATE" dataDxfId="5752" totalsRowDxfId="5751">
      <calculatedColumnFormula>$G$3</calculatedColumnFormula>
    </tableColumn>
  </tableColumns>
  <tableStyleInfo showFirstColumn="0" showLastColumn="0" showRowStripes="1" showColumnStripes="0"/>
</table>
</file>

<file path=xl/tables/table4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9" xr:uid="{890A408C-E941-452D-9BFC-B994C3583ED9}" name="September17_2021" displayName="September17_2021" ref="B5:H22" totalsRowCount="1" headerRowDxfId="5750" headerRowBorderDxfId="5749" tableBorderDxfId="5748" totalsRowBorderDxfId="5747">
  <autoFilter ref="B5:H21" xr:uid="{B912BB5A-5D11-44A1-9D4C-D56A5EAB5384}"/>
  <sortState xmlns:xlrd2="http://schemas.microsoft.com/office/spreadsheetml/2017/richdata2" ref="B6:H21">
    <sortCondition ref="B6:B21"/>
  </sortState>
  <tableColumns count="7">
    <tableColumn id="1" xr3:uid="{E499E6C7-9B6D-43A8-AF83-995B6E791897}" name="BDC LIST" totalsRowLabel="Total" dataDxfId="5746" totalsRowDxfId="5745"/>
    <tableColumn id="2" xr3:uid="{F7BBB7F8-8A79-4AF8-8373-8CD753D20164}" name="KSI_AGO" totalsRowFunction="custom" dataDxfId="5744" totalsRowDxfId="5743">
      <totalsRowFormula>SUM(September17_2021[KSI_AGO])</totalsRowFormula>
    </tableColumn>
    <tableColumn id="3" xr3:uid="{39CF3E4D-4EAA-4D2E-AAF7-418012931D78}" name="KSI_PMS" totalsRowFunction="sum" dataDxfId="5742" totalsRowDxfId="5741" dataCellStyle="Comma"/>
    <tableColumn id="4" xr3:uid="{C590D343-CA86-4C96-BC56-FE448715E0BE}" name="BUIPE_AGO" totalsRowFunction="custom" dataDxfId="5740" totalsRowDxfId="5739">
      <totalsRowFormula>SUM(September17_2021[BUIPE_AGO])</totalsRowFormula>
    </tableColumn>
    <tableColumn id="5" xr3:uid="{D75CC598-0928-4B3E-B5F6-8523B35F692F}" name="BUIPE_PMS" totalsRowFunction="custom" dataDxfId="5738" totalsRowDxfId="5737" dataCellStyle="Comma">
      <totalsRowFormula>SUM(September17_2021[BUIPE_PMS])</totalsRowFormula>
    </tableColumn>
    <tableColumn id="6" xr3:uid="{21A37CC5-3299-4F08-A303-1179D5D7BA53}" name="AKOSOMBO_AGO" totalsRowFunction="custom" dataDxfId="5736" totalsRowDxfId="5735">
      <totalsRowFormula>SUM(September17_2021[AKOSOMBO_AGO])</totalsRowFormula>
    </tableColumn>
    <tableColumn id="7" xr3:uid="{53FE9AA4-E1FF-4A88-8FB8-AF05138C8E9B}" name="DATE" dataDxfId="5734" totalsRowDxfId="5733">
      <calculatedColumnFormula>$G$3</calculatedColumnFormula>
    </tableColumn>
  </tableColumns>
  <tableStyleInfo showFirstColumn="0" showLastColumn="0" showRowStripes="1" showColumnStripes="0"/>
</table>
</file>

<file path=xl/tables/table4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8" xr:uid="{A5E248C4-CB20-4751-A6F4-AC30E6874694}" name="September20_2021" displayName="September20_2021" ref="B5:H22" totalsRowCount="1" headerRowDxfId="5732" headerRowBorderDxfId="5731" tableBorderDxfId="5730" totalsRowBorderDxfId="5729">
  <autoFilter ref="B5:H21" xr:uid="{B912BB5A-5D11-44A1-9D4C-D56A5EAB5384}"/>
  <sortState xmlns:xlrd2="http://schemas.microsoft.com/office/spreadsheetml/2017/richdata2" ref="B6:H21">
    <sortCondition ref="B6:B21"/>
  </sortState>
  <tableColumns count="7">
    <tableColumn id="1" xr3:uid="{AD835B08-0203-4C50-B376-D060F5D4AD21}" name="BDC LIST" totalsRowLabel="Total" dataDxfId="5728" totalsRowDxfId="5727"/>
    <tableColumn id="2" xr3:uid="{8C190D52-7CE2-47F8-B470-E57060112D3B}" name="KSI_AGO" totalsRowFunction="custom" dataDxfId="5726" totalsRowDxfId="5725">
      <totalsRowFormula>SUM(September20_2021[KSI_AGO])</totalsRowFormula>
    </tableColumn>
    <tableColumn id="3" xr3:uid="{D5AB908D-DEB6-4316-AC61-E06CC9E88269}" name="KSI_PMS" totalsRowFunction="sum" dataDxfId="5724" totalsRowDxfId="5723" dataCellStyle="Comma"/>
    <tableColumn id="4" xr3:uid="{F373F47C-EED7-48B1-99CF-B162E8B8CE77}" name="BUIPE_AGO" totalsRowFunction="custom" dataDxfId="5722" totalsRowDxfId="5721">
      <totalsRowFormula>SUM(September20_2021[BUIPE_AGO])</totalsRowFormula>
    </tableColumn>
    <tableColumn id="5" xr3:uid="{198B5877-1708-45BE-BA97-3FDB66904B54}" name="BUIPE_PMS" totalsRowFunction="custom" dataDxfId="5720" totalsRowDxfId="5719" dataCellStyle="Comma">
      <totalsRowFormula>SUM(September20_2021[BUIPE_PMS])</totalsRowFormula>
    </tableColumn>
    <tableColumn id="6" xr3:uid="{B0F07490-5004-439F-BCA9-7004F5321F24}" name="AKOSOMBO_AGO" totalsRowFunction="custom" dataDxfId="5718" totalsRowDxfId="5717">
      <totalsRowFormula>SUM(September20_2021[AKOSOMBO_AGO])</totalsRowFormula>
    </tableColumn>
    <tableColumn id="7" xr3:uid="{D65408A3-E02D-47DE-BEB0-77ED3D7432F3}" name="DATE" dataDxfId="5716" totalsRowDxfId="5715">
      <calculatedColumnFormula>$G$3</calculatedColumnFormula>
    </tableColumn>
  </tableColumns>
  <tableStyleInfo showFirstColumn="0" showLastColumn="0" showRowStripes="1" showColumnStripes="0"/>
</table>
</file>

<file path=xl/tables/table4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0" xr:uid="{DD4A8B67-56AB-4F44-BABB-B752EF222B58}" name="September22_2021451" displayName="September22_2021451" ref="B5:H22" totalsRowCount="1" headerRowDxfId="5714" headerRowBorderDxfId="5713" tableBorderDxfId="5712" totalsRowBorderDxfId="5711">
  <autoFilter ref="B5:H21" xr:uid="{DD4A8B67-56AB-4F44-BABB-B752EF222B58}"/>
  <sortState xmlns:xlrd2="http://schemas.microsoft.com/office/spreadsheetml/2017/richdata2" ref="B6:H21">
    <sortCondition ref="B6:B21"/>
  </sortState>
  <tableColumns count="7">
    <tableColumn id="1" xr3:uid="{DBB867A8-6001-4DBC-9C6B-86527F922A44}" name="BDC LIST" totalsRowLabel="Total" dataDxfId="5710" totalsRowDxfId="5709"/>
    <tableColumn id="2" xr3:uid="{DF7D59D6-732F-41BD-BC57-2F4C42053DC1}" name="KSI_AGO" totalsRowFunction="custom" dataDxfId="5708" totalsRowDxfId="5707">
      <totalsRowFormula>SUM(September22_2021451[KSI_AGO])</totalsRowFormula>
    </tableColumn>
    <tableColumn id="3" xr3:uid="{446910C0-F3C2-45ED-96CA-D9C602F637F5}" name="KSI_PMS" totalsRowFunction="sum" dataDxfId="5706" totalsRowDxfId="5705" dataCellStyle="Comma"/>
    <tableColumn id="4" xr3:uid="{5A42D8A5-2844-40B4-9D41-D845112BFE16}" name="BUIPE_AGO" totalsRowFunction="custom" dataDxfId="5704" totalsRowDxfId="5703">
      <totalsRowFormula>SUM(September22_2021451[BUIPE_AGO])</totalsRowFormula>
    </tableColumn>
    <tableColumn id="5" xr3:uid="{1854F443-30CE-47FD-B3A7-B9070416D0FD}" name="BUIPE_PMS" totalsRowFunction="custom" dataDxfId="5702" totalsRowDxfId="5701" dataCellStyle="Comma">
      <totalsRowFormula>SUM(September22_2021451[BUIPE_PMS])</totalsRowFormula>
    </tableColumn>
    <tableColumn id="6" xr3:uid="{9BB50793-D047-47A4-B2F5-9721FB41CE9A}" name="AKOSOMBO_AGO" totalsRowFunction="custom" dataDxfId="5700" totalsRowDxfId="5699">
      <totalsRowFormula>SUM(September22_2021451[AKOSOMBO_AGO])</totalsRowFormula>
    </tableColumn>
    <tableColumn id="7" xr3:uid="{21D91EB8-3E95-4630-8DEF-E71B1377B226}" name="DATE" dataDxfId="5698" totalsRowDxfId="5697">
      <calculatedColumnFormula>$G$3</calculatedColumnFormula>
    </tableColumn>
  </tableColumns>
  <tableStyleInfo showFirstColumn="0" showLastColumn="0" showRowStripes="1" showColumnStripes="0"/>
</table>
</file>

<file path=xl/tables/table4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1" xr:uid="{36931DD0-06A8-4ECB-BBD1-F365D285E5C8}" name="September23_2021" displayName="September23_2021" ref="B5:H22" totalsRowCount="1" headerRowDxfId="5696" headerRowBorderDxfId="5695" tableBorderDxfId="5694" totalsRowBorderDxfId="5693">
  <autoFilter ref="B5:H21" xr:uid="{B912BB5A-5D11-44A1-9D4C-D56A5EAB5384}"/>
  <sortState xmlns:xlrd2="http://schemas.microsoft.com/office/spreadsheetml/2017/richdata2" ref="B6:H21">
    <sortCondition ref="B6:B21"/>
  </sortState>
  <tableColumns count="7">
    <tableColumn id="1" xr3:uid="{B2E7BA2D-33FA-4899-93D2-A78C251507A7}" name="BDC LIST" totalsRowLabel="Total" dataDxfId="5692" totalsRowDxfId="5691"/>
    <tableColumn id="2" xr3:uid="{4A3AD1AA-550A-4CFF-A36B-47A788979ED7}" name="KSI_AGO" totalsRowFunction="custom" dataDxfId="5690" totalsRowDxfId="5689">
      <totalsRowFormula>SUM(September23_2021[KSI_AGO])</totalsRowFormula>
    </tableColumn>
    <tableColumn id="3" xr3:uid="{307A9348-C6E8-453C-AEF6-18BC168C9DA3}" name="KSI_PMS" totalsRowFunction="sum" dataDxfId="5688" totalsRowDxfId="5687" dataCellStyle="Comma"/>
    <tableColumn id="4" xr3:uid="{63296B07-1CCD-4132-AF74-E0E598937D57}" name="BUIPE_AGO" totalsRowFunction="custom" dataDxfId="5686" totalsRowDxfId="5685">
      <totalsRowFormula>SUM(September23_2021[BUIPE_AGO])</totalsRowFormula>
    </tableColumn>
    <tableColumn id="5" xr3:uid="{408A2CA0-4A49-42C8-BAA1-74D9245B8BD9}" name="BUIPE_PMS" totalsRowFunction="custom" dataDxfId="5684" totalsRowDxfId="5683" dataCellStyle="Comma">
      <totalsRowFormula>SUM(September23_2021[BUIPE_PMS])</totalsRowFormula>
    </tableColumn>
    <tableColumn id="6" xr3:uid="{83CCFCB5-D5D1-4032-AE7A-EC9E4AB74FAB}" name="AKOSOMBO_AGO" totalsRowFunction="custom" dataDxfId="5682" totalsRowDxfId="5681">
      <totalsRowFormula>SUM(September23_2021[AKOSOMBO_AGO])</totalsRowFormula>
    </tableColumn>
    <tableColumn id="7" xr3:uid="{85EB681F-0D72-4825-AA0C-7DEEC85DDF49}" name="DATE" dataDxfId="5680" totalsRowDxfId="5679">
      <calculatedColumnFormula>$G$3</calculatedColumnFormula>
    </tableColumn>
  </tableColumns>
  <tableStyleInfo showFirstColumn="0" showLastColumn="0" showRowStripes="1" showColumnStripes="0"/>
</table>
</file>

<file path=xl/tables/table4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2" xr:uid="{75195D63-AFB1-4F54-B4F4-BB168246C744}" name="September23_202118" displayName="September23_202118" ref="B5:H22" totalsRowCount="1" headerRowDxfId="5678" headerRowBorderDxfId="5677" tableBorderDxfId="5676" totalsRowBorderDxfId="5675">
  <autoFilter ref="B5:H21" xr:uid="{B912BB5A-5D11-44A1-9D4C-D56A5EAB5384}"/>
  <sortState xmlns:xlrd2="http://schemas.microsoft.com/office/spreadsheetml/2017/richdata2" ref="B6:H21">
    <sortCondition ref="B6:B21"/>
  </sortState>
  <tableColumns count="7">
    <tableColumn id="1" xr3:uid="{B5D69A72-C594-4D6F-A686-1B75A23A5C21}" name="BDC LIST" totalsRowLabel="Total" dataDxfId="5674" totalsRowDxfId="5673"/>
    <tableColumn id="2" xr3:uid="{EFE34A54-0FD2-42F1-9EC0-A88E18ECB81A}" name="KSI_AGO" totalsRowFunction="custom" dataDxfId="5672" totalsRowDxfId="5671">
      <totalsRowFormula>SUM(September23_202118[KSI_AGO])</totalsRowFormula>
    </tableColumn>
    <tableColumn id="3" xr3:uid="{F03F9150-7737-4FF6-A3DD-AE9879ACB974}" name="KSI_PMS" totalsRowFunction="sum" dataDxfId="5670" totalsRowDxfId="5669" dataCellStyle="Comma"/>
    <tableColumn id="4" xr3:uid="{A65AA1C1-F112-40AE-A5E2-330F79E8E4ED}" name="BUIPE_AGO" totalsRowFunction="custom" dataDxfId="5668" totalsRowDxfId="5667">
      <totalsRowFormula>SUM(September23_202118[BUIPE_AGO])</totalsRowFormula>
    </tableColumn>
    <tableColumn id="5" xr3:uid="{D5B554C8-7B77-4731-9436-ACE74666A286}" name="BUIPE_PMS" totalsRowFunction="custom" dataDxfId="5666" totalsRowDxfId="5665" dataCellStyle="Comma">
      <totalsRowFormula>SUM(September23_202118[BUIPE_PMS])</totalsRowFormula>
    </tableColumn>
    <tableColumn id="6" xr3:uid="{C7CBB92E-2A58-4C13-BEEA-6E281A52A25E}" name="AKOSOMBO_AGO" totalsRowFunction="custom" dataDxfId="5664" totalsRowDxfId="5663">
      <totalsRowFormula>SUM(September23_202118[AKOSOMBO_AGO])</totalsRowFormula>
    </tableColumn>
    <tableColumn id="7" xr3:uid="{2E4B89D2-B62F-476D-AE60-115A665B5C0C}" name="DATE" dataDxfId="5662" totalsRowDxfId="5661">
      <calculatedColumnFormula>$G$3</calculatedColumnFormula>
    </tableColumn>
  </tableColumns>
  <tableStyleInfo showFirstColumn="0" showLastColumn="0" showRowStripes="1" showColumnStripes="0"/>
</table>
</file>

<file path=xl/tables/table4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8" xr:uid="{8CDFACAD-CE59-4794-BC1D-A20073C6D561}" name="September27_2021449" displayName="September27_2021449" ref="B5:H22" totalsRowCount="1" headerRowDxfId="5660" headerRowBorderDxfId="5659" tableBorderDxfId="5658" totalsRowBorderDxfId="5657">
  <autoFilter ref="B5:H21" xr:uid="{8CDFACAD-CE59-4794-BC1D-A20073C6D561}"/>
  <sortState xmlns:xlrd2="http://schemas.microsoft.com/office/spreadsheetml/2017/richdata2" ref="B6:H21">
    <sortCondition ref="B6:B21"/>
  </sortState>
  <tableColumns count="7">
    <tableColumn id="1" xr3:uid="{DF4393A3-F5BB-45EE-8C19-8414583364BA}" name="BDC LIST" totalsRowLabel="Total" dataDxfId="5656" totalsRowDxfId="5655"/>
    <tableColumn id="2" xr3:uid="{B8E0FAB9-7186-41BD-B55D-9912B6A34B2B}" name="KSI_AGO" totalsRowFunction="custom" dataDxfId="5654" totalsRowDxfId="5653">
      <totalsRowFormula>SUM(September27_2021449[KSI_AGO])</totalsRowFormula>
    </tableColumn>
    <tableColumn id="3" xr3:uid="{6A5B78E6-6A5C-4888-BC13-3BA056494CC0}" name="KSI_PMS" totalsRowFunction="sum" dataDxfId="5652" totalsRowDxfId="5651" dataCellStyle="Comma"/>
    <tableColumn id="4" xr3:uid="{9A1EA009-1FE4-4E37-8A7E-B9F57DD79E26}" name="BUIPE_AGO" totalsRowFunction="custom" dataDxfId="5650" totalsRowDxfId="5649">
      <totalsRowFormula>SUM(September27_2021449[BUIPE_AGO])</totalsRowFormula>
    </tableColumn>
    <tableColumn id="5" xr3:uid="{42565D1C-8B56-489F-BC10-D0753D7BF544}" name="BUIPE_PMS" totalsRowFunction="custom" dataDxfId="5648" totalsRowDxfId="5647" dataCellStyle="Comma">
      <totalsRowFormula>SUM(September27_2021449[BUIPE_PMS])</totalsRowFormula>
    </tableColumn>
    <tableColumn id="6" xr3:uid="{DEA15316-AA33-42C0-B1D0-B8E5696F9315}" name="AKOSOMBO_AGO" totalsRowFunction="custom" dataDxfId="5646" totalsRowDxfId="5645">
      <totalsRowFormula>SUM(September27_2021449[AKOSOMBO_AGO])</totalsRowFormula>
    </tableColumn>
    <tableColumn id="7" xr3:uid="{164BDDD7-2665-4723-803D-C5C2A0A00CF3}" name="DATE" dataDxfId="5644" totalsRowDxfId="5643">
      <calculatedColumnFormula>$G$3</calculatedColumnFormula>
    </tableColumn>
  </tableColumns>
  <tableStyleInfo showFirstColumn="0" showLastColumn="0" showRowStripes="1" showColumnStripes="0"/>
</table>
</file>

<file path=xl/tables/table4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4" xr:uid="{376C5DE1-45BC-49BA-A748-115D0781757F}" name="September28_2021" displayName="September28_2021" ref="B5:H22" totalsRowCount="1" headerRowDxfId="5642" headerRowBorderDxfId="5641" tableBorderDxfId="5640" totalsRowBorderDxfId="5639">
  <autoFilter ref="B5:H21" xr:uid="{B912BB5A-5D11-44A1-9D4C-D56A5EAB5384}"/>
  <sortState xmlns:xlrd2="http://schemas.microsoft.com/office/spreadsheetml/2017/richdata2" ref="B6:H21">
    <sortCondition ref="B6:B21"/>
  </sortState>
  <tableColumns count="7">
    <tableColumn id="1" xr3:uid="{D354F1F5-7202-4084-9B45-7DF0289E368C}" name="BDC LIST" totalsRowLabel="Total" dataDxfId="5638" totalsRowDxfId="5637"/>
    <tableColumn id="2" xr3:uid="{13E19636-DA00-4740-8145-75A32F9B6523}" name="KSI_AGO" totalsRowFunction="custom" dataDxfId="5636" totalsRowDxfId="5635">
      <totalsRowFormula>SUM(September28_2021[KSI_AGO])</totalsRowFormula>
    </tableColumn>
    <tableColumn id="3" xr3:uid="{6A6CC703-44BD-4469-A939-E5E8A8A93A9C}" name="KSI_PMS" totalsRowFunction="sum" dataDxfId="5634" totalsRowDxfId="5633" dataCellStyle="Comma"/>
    <tableColumn id="4" xr3:uid="{F51312CB-7AE6-4793-966D-8E1262122D01}" name="BUIPE_AGO" totalsRowFunction="custom" dataDxfId="5632" totalsRowDxfId="5631">
      <totalsRowFormula>SUM(September28_2021[BUIPE_AGO])</totalsRowFormula>
    </tableColumn>
    <tableColumn id="5" xr3:uid="{297CCDDC-0AC8-4FAE-8466-8361A75C5796}" name="BUIPE_PMS" totalsRowFunction="custom" dataDxfId="5630" totalsRowDxfId="5629" dataCellStyle="Comma">
      <totalsRowFormula>SUM(September28_2021[BUIPE_PMS])</totalsRowFormula>
    </tableColumn>
    <tableColumn id="6" xr3:uid="{DBB05290-E273-4F2F-B0DD-E31D3634852B}" name="AKOSOMBO_AGO" totalsRowFunction="custom" dataDxfId="5628" totalsRowDxfId="5627">
      <totalsRowFormula>SUM(September28_2021[AKOSOMBO_AGO])</totalsRowFormula>
    </tableColumn>
    <tableColumn id="7" xr3:uid="{857F06DB-86A5-406C-90BE-1C74D5B03ED1}" name="DATE" dataDxfId="5626" totalsRowDxfId="5625">
      <calculatedColumnFormula>$G$3</calculatedColumnFormula>
    </tableColumn>
  </tableColumns>
  <tableStyleInfo showFirstColumn="0" showLastColumn="0" showRowStripes="1" showColumnStripes="0"/>
</table>
</file>

<file path=xl/tables/table4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9" xr:uid="{62FFA2A4-BEAF-43D4-AFAE-9D504DFBDFFB}" name="September29_2021450" displayName="September29_2021450" ref="B5:H22" totalsRowCount="1" headerRowDxfId="5624" headerRowBorderDxfId="5623" tableBorderDxfId="5622" totalsRowBorderDxfId="5621">
  <autoFilter ref="B5:H21" xr:uid="{62FFA2A4-BEAF-43D4-AFAE-9D504DFBDFFB}"/>
  <sortState xmlns:xlrd2="http://schemas.microsoft.com/office/spreadsheetml/2017/richdata2" ref="B6:H21">
    <sortCondition ref="B6:B21"/>
  </sortState>
  <tableColumns count="7">
    <tableColumn id="1" xr3:uid="{5B39FCD8-CD54-4331-9F8A-84A4FA5A6153}" name="BDC LIST" totalsRowLabel="Total" dataDxfId="5620" totalsRowDxfId="5619"/>
    <tableColumn id="2" xr3:uid="{F8508133-72E4-4B86-9372-9EED39C679E9}" name="KSI_AGO" totalsRowFunction="custom" dataDxfId="5618" totalsRowDxfId="5617">
      <totalsRowFormula>SUM(September29_2021450[KSI_AGO])</totalsRowFormula>
    </tableColumn>
    <tableColumn id="3" xr3:uid="{B21BAA93-A190-4BB8-B886-D9E60D34BB5C}" name="KSI_PMS" totalsRowFunction="sum" dataDxfId="5616" totalsRowDxfId="5615" dataCellStyle="Comma"/>
    <tableColumn id="4" xr3:uid="{5F413735-CDBD-474D-938F-F4752F6F2BE4}" name="BUIPE_AGO" totalsRowFunction="custom" dataDxfId="5614" totalsRowDxfId="5613">
      <totalsRowFormula>SUM(September29_2021450[BUIPE_AGO])</totalsRowFormula>
    </tableColumn>
    <tableColumn id="5" xr3:uid="{8B484C12-4D59-4A95-84F7-9E868F98033D}" name="BUIPE_PMS" totalsRowFunction="custom" dataDxfId="5612" totalsRowDxfId="5611" dataCellStyle="Comma">
      <totalsRowFormula>SUM(September29_2021450[BUIPE_PMS])</totalsRowFormula>
    </tableColumn>
    <tableColumn id="6" xr3:uid="{D9E30108-594B-4320-99E7-103E0433EC88}" name="AKOSOMBO_AGO" totalsRowFunction="custom" dataDxfId="5610" totalsRowDxfId="5609">
      <totalsRowFormula>SUM(September29_2021450[AKOSOMBO_AGO])</totalsRowFormula>
    </tableColumn>
    <tableColumn id="7" xr3:uid="{FA21F682-2EA6-4E47-8DCC-F083F40FC9DF}" name="DATE" dataDxfId="5608" totalsRowDxfId="5607">
      <calculatedColumnFormula>$G$3</calculatedColumnFormula>
    </tableColumn>
  </tableColumns>
  <tableStyleInfo showFirstColumn="0" showLastColumn="0" showRowStripes="1" showColumnStripes="0"/>
</table>
</file>

<file path=xl/tables/table4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6" xr:uid="{EFA35D82-E478-4674-81CC-FAB93187E3E5}" name="September30_2021" displayName="September30_2021" ref="B5:H22" totalsRowCount="1" headerRowDxfId="5606" headerRowBorderDxfId="5605" tableBorderDxfId="5604" totalsRowBorderDxfId="5603">
  <autoFilter ref="B5:H21" xr:uid="{B912BB5A-5D11-44A1-9D4C-D56A5EAB5384}"/>
  <sortState xmlns:xlrd2="http://schemas.microsoft.com/office/spreadsheetml/2017/richdata2" ref="B6:H21">
    <sortCondition ref="B6:B21"/>
  </sortState>
  <tableColumns count="7">
    <tableColumn id="1" xr3:uid="{A5F4D71B-2E20-4E6E-851B-561CB0C4F409}" name="BDC LIST" totalsRowLabel="Total" dataDxfId="5602" totalsRowDxfId="5601"/>
    <tableColumn id="2" xr3:uid="{7B365F98-A1F4-4B75-A231-E5AF78D8550B}" name="KSI_AGO" totalsRowFunction="custom" dataDxfId="5600" totalsRowDxfId="5599">
      <totalsRowFormula>SUM(September30_2021[KSI_AGO])</totalsRowFormula>
    </tableColumn>
    <tableColumn id="3" xr3:uid="{BF37A18A-AB06-4684-A7A1-88C1543C8EBA}" name="KSI_PMS" totalsRowFunction="sum" dataDxfId="5598" totalsRowDxfId="5597" dataCellStyle="Comma"/>
    <tableColumn id="4" xr3:uid="{801E8E53-EDBB-42B3-BB0E-19D35AE2DEB0}" name="BUIPE_AGO" totalsRowFunction="custom" dataDxfId="5596" totalsRowDxfId="5595">
      <totalsRowFormula>SUM(September30_2021[BUIPE_AGO])</totalsRowFormula>
    </tableColumn>
    <tableColumn id="5" xr3:uid="{6EA6B340-D900-4397-95AF-C8487BC8E034}" name="BUIPE_PMS" totalsRowFunction="custom" dataDxfId="5594" totalsRowDxfId="5593" dataCellStyle="Comma">
      <totalsRowFormula>SUM(September30_2021[BUIPE_PMS])</totalsRowFormula>
    </tableColumn>
    <tableColumn id="6" xr3:uid="{6F793F55-8458-4886-B268-B4202AD63960}" name="AKOSOMBO_AGO" totalsRowFunction="custom" dataDxfId="5592" totalsRowDxfId="5591">
      <totalsRowFormula>SUM(September30_2021[AKOSOMBO_AGO])</totalsRowFormula>
    </tableColumn>
    <tableColumn id="7" xr3:uid="{E98026F8-678E-4250-AE31-419A7E293FEF}" name="DATE" dataDxfId="5590" totalsRowDxfId="5589">
      <calculatedColumnFormula>$G$3</calculatedColumnFormula>
    </tableColumn>
  </tableColumns>
  <tableStyleInfo showFirstColumn="0" showLastColumn="0" showRowStripes="1" showColumnStripes="0"/>
</table>
</file>

<file path=xl/tables/table4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2" xr:uid="{CB49E81B-6A16-4D4F-BA83-FFB806946D31}" name="October04_2021" displayName="October04_2021" ref="B5:H22" totalsRowCount="1" headerRowDxfId="5588" headerRowBorderDxfId="5587" tableBorderDxfId="5586" totalsRowBorderDxfId="5585">
  <autoFilter ref="B5:H21" xr:uid="{B912BB5A-5D11-44A1-9D4C-D56A5EAB5384}"/>
  <sortState xmlns:xlrd2="http://schemas.microsoft.com/office/spreadsheetml/2017/richdata2" ref="B6:H21">
    <sortCondition ref="B6:B21"/>
  </sortState>
  <tableColumns count="7">
    <tableColumn id="1" xr3:uid="{F9C63A95-177D-4544-AC0B-0C22E04D114A}" name="BDC LIST" totalsRowLabel="Total" dataDxfId="5584" totalsRowDxfId="5583"/>
    <tableColumn id="2" xr3:uid="{592B7925-2376-4E9F-B658-F3D299ABD8F0}" name="KSI_AGO" totalsRowFunction="custom" dataDxfId="5582" totalsRowDxfId="5581">
      <totalsRowFormula>SUM(October04_2021[KSI_AGO])</totalsRowFormula>
    </tableColumn>
    <tableColumn id="3" xr3:uid="{A1A9A879-1262-45B3-9A33-4F3484DEE28A}" name="KSI_PMS" totalsRowFunction="sum" dataDxfId="5580" totalsRowDxfId="5579" dataCellStyle="Comma"/>
    <tableColumn id="4" xr3:uid="{EDC1F652-1CEC-4977-A4D1-B7DBDFD436BA}" name="BUIPE_AGO" totalsRowFunction="custom" dataDxfId="5578" totalsRowDxfId="5577">
      <totalsRowFormula>SUM(October04_2021[BUIPE_AGO])</totalsRowFormula>
    </tableColumn>
    <tableColumn id="5" xr3:uid="{018CC097-9BCE-4E57-A828-306D18CCE840}" name="BUIPE_PMS" totalsRowFunction="custom" dataDxfId="5576" totalsRowDxfId="5575" dataCellStyle="Comma">
      <totalsRowFormula>SUM(October04_2021[BUIPE_PMS])</totalsRowFormula>
    </tableColumn>
    <tableColumn id="6" xr3:uid="{864FF8D9-178D-4729-A815-389D6AFE31DA}" name="AKOSOMBO_AGO" totalsRowFunction="custom" dataDxfId="5574" totalsRowDxfId="5573">
      <totalsRowFormula>SUM(October04_2021[AKOSOMBO_AGO])</totalsRowFormula>
    </tableColumn>
    <tableColumn id="7" xr3:uid="{77FA088B-240A-467E-B644-EC225778A0B5}" name="DATE" dataDxfId="5572" totalsRowDxfId="5571">
      <calculatedColumnFormula>$G$3</calculatedColumnFormula>
    </tableColumn>
  </tableColumns>
  <tableStyleInfo showFirstColumn="0" showLastColumn="0" showRowStripes="1" showColumnStripes="0"/>
</table>
</file>

<file path=xl/tables/table4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0" xr:uid="{DF7E1052-DEBC-4588-B0A2-899D8273C8E7}" name="October04_20212" displayName="October04_20212" ref="B5:H22" totalsRowCount="1" headerRowDxfId="5570" headerRowBorderDxfId="5569" tableBorderDxfId="5568" totalsRowBorderDxfId="5567">
  <autoFilter ref="B5:H21" xr:uid="{B912BB5A-5D11-44A1-9D4C-D56A5EAB5384}"/>
  <sortState xmlns:xlrd2="http://schemas.microsoft.com/office/spreadsheetml/2017/richdata2" ref="B6:H21">
    <sortCondition ref="B6:B21"/>
  </sortState>
  <tableColumns count="7">
    <tableColumn id="1" xr3:uid="{B4C15DC7-2F61-4E19-A190-66E88E16A25D}" name="BDC LIST" totalsRowLabel="Total" dataDxfId="5566" totalsRowDxfId="5565"/>
    <tableColumn id="2" xr3:uid="{001D460B-54FD-461E-82E8-68C1E9C5FDFA}" name="KSI_AGO" totalsRowFunction="custom" dataDxfId="5564" totalsRowDxfId="5563">
      <totalsRowFormula>SUM(October04_20212[KSI_AGO])</totalsRowFormula>
    </tableColumn>
    <tableColumn id="3" xr3:uid="{7FA68190-A55E-4300-B015-260CD0D6A2EA}" name="KSI_PMS" totalsRowFunction="sum" dataDxfId="5562" totalsRowDxfId="5561" dataCellStyle="Comma"/>
    <tableColumn id="4" xr3:uid="{B486D913-38A1-443C-BB9F-6FA62D820FC0}" name="BUIPE_AGO" totalsRowFunction="custom" dataDxfId="5560" totalsRowDxfId="5559">
      <totalsRowFormula>SUM(October04_20212[BUIPE_AGO])</totalsRowFormula>
    </tableColumn>
    <tableColumn id="5" xr3:uid="{CC2212C4-4645-4047-A44B-C9B49B34E2BB}" name="BUIPE_PMS" totalsRowFunction="custom" dataDxfId="5558" totalsRowDxfId="5557" dataCellStyle="Comma">
      <totalsRowFormula>SUM(October04_20212[BUIPE_PMS])</totalsRowFormula>
    </tableColumn>
    <tableColumn id="6" xr3:uid="{9E8657E6-4C21-4E66-A0E8-C11F15F37434}" name="AKOSOMBO_AGO" totalsRowFunction="custom" dataDxfId="5556" totalsRowDxfId="5555">
      <totalsRowFormula>SUM(October04_20212[AKOSOMBO_AGO])</totalsRowFormula>
    </tableColumn>
    <tableColumn id="7" xr3:uid="{756B40AE-7A7C-467F-A0F6-8086E99463EA}" name="DATE" dataDxfId="5554" totalsRowDxfId="5553">
      <calculatedColumnFormula>$G$3</calculatedColumnFormula>
    </tableColumn>
  </tableColumns>
  <tableStyleInfo showFirstColumn="0" showLastColumn="0" showRowStripes="1" showColumnStripes="0"/>
</table>
</file>

<file path=xl/tables/table4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3" xr:uid="{C836B7EA-0739-4AD4-B170-DDB8546A4D72}" name="October0_202124" displayName="October0_202124" ref="B5:H22" totalsRowCount="1" headerRowDxfId="5552" headerRowBorderDxfId="5551" tableBorderDxfId="5550" totalsRowBorderDxfId="5549">
  <autoFilter ref="B5:H21" xr:uid="{009A1636-9B61-4630-B3AF-D829E7655757}"/>
  <sortState xmlns:xlrd2="http://schemas.microsoft.com/office/spreadsheetml/2017/richdata2" ref="B6:H21">
    <sortCondition ref="B6:B21"/>
  </sortState>
  <tableColumns count="7">
    <tableColumn id="1" xr3:uid="{64E57E5E-B9E3-4145-B37F-9A04E2286FF5}" name="BDC LIST" totalsRowLabel="Total" dataDxfId="5548" totalsRowDxfId="5547"/>
    <tableColumn id="2" xr3:uid="{6E07D38E-3BCD-4D70-B0E6-96AF8050D51C}" name="KSI_AGO" totalsRowFunction="custom" dataDxfId="5546" totalsRowDxfId="5545">
      <totalsRowFormula>SUM(October0_202124[KSI_AGO])</totalsRowFormula>
    </tableColumn>
    <tableColumn id="3" xr3:uid="{EE516235-32CF-4963-A99B-95D7ECD9D9F4}" name="KSI_PMS" totalsRowFunction="sum" dataDxfId="5544" totalsRowDxfId="5543" dataCellStyle="Comma"/>
    <tableColumn id="4" xr3:uid="{79375BCC-5DF5-4D97-8C79-84EF70FE8091}" name="BUIPE_AGO" totalsRowFunction="custom" dataDxfId="5542" totalsRowDxfId="5541">
      <totalsRowFormula>SUM(October0_202124[BUIPE_AGO])</totalsRowFormula>
    </tableColumn>
    <tableColumn id="5" xr3:uid="{EE8A5DF9-004A-42E0-A02A-66C779D16E30}" name="BUIPE_PMS" totalsRowFunction="custom" dataDxfId="5540" totalsRowDxfId="5539" dataCellStyle="Comma">
      <totalsRowFormula>SUM(October0_202124[BUIPE_PMS])</totalsRowFormula>
    </tableColumn>
    <tableColumn id="6" xr3:uid="{4A779FE8-BAAC-4143-A667-4F232DCE4B12}" name="AKOSOMBO_AGO" totalsRowFunction="custom" dataDxfId="5538" totalsRowDxfId="5537">
      <totalsRowFormula>SUM(October0_202124[AKOSOMBO_AGO])</totalsRowFormula>
    </tableColumn>
    <tableColumn id="7" xr3:uid="{B6FF87A3-5723-4D70-A1EE-30703D6AED59}" name="DATE" dataDxfId="5536" totalsRowDxfId="5535">
      <calculatedColumnFormula>$G$3</calculatedColumnFormula>
    </tableColumn>
  </tableColumns>
  <tableStyleInfo showFirstColumn="0" showLastColumn="0" showRowStripes="1" showColumnStripes="0"/>
</table>
</file>

<file path=xl/tables/table4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5" xr:uid="{AB20555E-8F48-4922-BE59-9103305CF114}" name="October07_2021" displayName="October07_2021" ref="B5:H22" totalsRowCount="1" headerRowDxfId="5534" headerRowBorderDxfId="5533" tableBorderDxfId="5532" totalsRowBorderDxfId="5531">
  <autoFilter ref="B5:H21" xr:uid="{009A1636-9B61-4630-B3AF-D829E7655757}"/>
  <sortState xmlns:xlrd2="http://schemas.microsoft.com/office/spreadsheetml/2017/richdata2" ref="B6:H21">
    <sortCondition ref="B6:B21"/>
  </sortState>
  <tableColumns count="7">
    <tableColumn id="1" xr3:uid="{BAC06DA9-89AE-4AD7-A347-EF78D4C2E000}" name="BDC LIST" totalsRowLabel="Total" dataDxfId="5530" totalsRowDxfId="5529"/>
    <tableColumn id="2" xr3:uid="{CBDD671D-CB94-4256-93D8-04C25BAE70DE}" name="KSI_AGO" totalsRowFunction="custom" dataDxfId="5528" totalsRowDxfId="5527" dataCellStyle="Comma">
      <totalsRowFormula>SUM(October07_2021[KSI_AGO])</totalsRowFormula>
    </tableColumn>
    <tableColumn id="3" xr3:uid="{5F571674-094B-4957-ACCE-5ABF711EC986}" name="KSI_PMS" totalsRowFunction="sum" dataDxfId="5526" totalsRowDxfId="5525" dataCellStyle="Comma"/>
    <tableColumn id="4" xr3:uid="{07407436-F12E-4C4A-965A-5AC8223562B0}" name="BUIPE_AGO" totalsRowFunction="custom" dataDxfId="5524" totalsRowDxfId="5523" dataCellStyle="Comma">
      <totalsRowFormula>SUM(October07_2021[BUIPE_AGO])</totalsRowFormula>
    </tableColumn>
    <tableColumn id="5" xr3:uid="{B6EAE0FD-C0D1-41D7-9CB7-3C90393F02D0}" name="BUIPE_PMS" totalsRowFunction="custom" dataDxfId="5522" totalsRowDxfId="5521" dataCellStyle="Comma">
      <totalsRowFormula>SUM(October07_2021[BUIPE_PMS])</totalsRowFormula>
    </tableColumn>
    <tableColumn id="6" xr3:uid="{4357DFA4-3A90-4A64-A5BB-91F8FC02A255}" name="AKOSOMBO_AGO" totalsRowFunction="custom" dataDxfId="5520" totalsRowDxfId="5519">
      <totalsRowFormula>SUM(October07_2021[AKOSOMBO_AGO])</totalsRowFormula>
    </tableColumn>
    <tableColumn id="7" xr3:uid="{E6D500CB-CC2E-41BF-B691-518B17F26E23}" name="DATE" dataDxfId="5518" totalsRowDxfId="5517">
      <calculatedColumnFormula>$G$3</calculatedColumnFormula>
    </tableColumn>
  </tableColumns>
  <tableStyleInfo showFirstColumn="0" showLastColumn="0" showRowStripes="1" showColumnStripes="0"/>
</table>
</file>

<file path=xl/tables/table4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1" xr:uid="{8DD470CA-62F9-46AF-8E5F-AC0165A72EE7}" name="October07_20217" displayName="October07_20217" ref="B5:H22" totalsRowCount="1" headerRowDxfId="5516" headerRowBorderDxfId="5515" tableBorderDxfId="5514" totalsRowBorderDxfId="5513">
  <autoFilter ref="B5:H21" xr:uid="{009A1636-9B61-4630-B3AF-D829E7655757}"/>
  <sortState xmlns:xlrd2="http://schemas.microsoft.com/office/spreadsheetml/2017/richdata2" ref="B6:H21">
    <sortCondition ref="B6:B21"/>
  </sortState>
  <tableColumns count="7">
    <tableColumn id="1" xr3:uid="{FD8C7A34-C488-42B5-85E1-51D08DDB6245}" name="BDC LIST" totalsRowLabel="Total" dataDxfId="5512" totalsRowDxfId="5511"/>
    <tableColumn id="2" xr3:uid="{927097D8-AC24-4D0E-8DB7-75B78439DF65}" name="KSI_AGO" totalsRowFunction="custom" dataDxfId="5510" totalsRowDxfId="5509" dataCellStyle="Comma">
      <totalsRowFormula>SUM(October07_20217[KSI_AGO])</totalsRowFormula>
    </tableColumn>
    <tableColumn id="3" xr3:uid="{FAE8695B-1CF6-405E-9CAF-7337A75C7BB8}" name="KSI_PMS" totalsRowFunction="sum" dataDxfId="5508" totalsRowDxfId="5507" dataCellStyle="Comma"/>
    <tableColumn id="4" xr3:uid="{3A2B2ECB-233E-4D91-B4CD-0FB9FF2522AD}" name="BUIPE_AGO" totalsRowFunction="custom" dataDxfId="5506" totalsRowDxfId="5505" dataCellStyle="Comma">
      <totalsRowFormula>SUM(October07_20217[BUIPE_AGO])</totalsRowFormula>
    </tableColumn>
    <tableColumn id="5" xr3:uid="{E064A3D4-9EC3-47E3-835E-C8FD6B3E20A3}" name="BUIPE_PMS" totalsRowFunction="custom" dataDxfId="5504" totalsRowDxfId="5503" dataCellStyle="Comma">
      <totalsRowFormula>SUM(October07_20217[BUIPE_PMS])</totalsRowFormula>
    </tableColumn>
    <tableColumn id="6" xr3:uid="{E4F70A49-2819-493F-A769-1F21C1676A5F}" name="AKOSOMBO_AGO" totalsRowFunction="custom" dataDxfId="5502" totalsRowDxfId="5501">
      <totalsRowFormula>SUM(October07_20217[AKOSOMBO_AGO])</totalsRowFormula>
    </tableColumn>
    <tableColumn id="7" xr3:uid="{3D96BD8D-A533-4C72-B966-BE8496D0AA2B}" name="DATE" dataDxfId="5500" totalsRowDxfId="5499">
      <calculatedColumnFormula>$G$3</calculatedColumnFormula>
    </tableColumn>
  </tableColumns>
  <tableStyleInfo showFirstColumn="0" showLastColumn="0" showRowStripes="1" showColumnStripes="0"/>
</table>
</file>

<file path=xl/tables/table4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2" xr:uid="{B6E751E0-8EDE-4C24-B9B9-B4792FF20F24}" name="October11_2021" displayName="October11_2021" ref="B5:H22" totalsRowCount="1" headerRowDxfId="5498" headerRowBorderDxfId="5497" tableBorderDxfId="5496" totalsRowBorderDxfId="5495">
  <autoFilter ref="B5:H21" xr:uid="{009A1636-9B61-4630-B3AF-D829E7655757}"/>
  <sortState xmlns:xlrd2="http://schemas.microsoft.com/office/spreadsheetml/2017/richdata2" ref="B6:H21">
    <sortCondition ref="B6:B21"/>
  </sortState>
  <tableColumns count="7">
    <tableColumn id="1" xr3:uid="{F0466386-FF6C-412E-94ED-4B04CBC227D1}" name="BDC LIST" totalsRowLabel="Total" dataDxfId="5494" totalsRowDxfId="5493"/>
    <tableColumn id="2" xr3:uid="{0515D3E0-B9EC-42C7-9976-39194C999348}" name="KSI_AGO" totalsRowFunction="custom" dataDxfId="5492" totalsRowDxfId="5491" dataCellStyle="Comma">
      <totalsRowFormula>SUM(October11_2021[KSI_AGO])</totalsRowFormula>
    </tableColumn>
    <tableColumn id="3" xr3:uid="{41232263-0255-4CA7-84FB-A34055DC03B1}" name="KSI_PMS" totalsRowFunction="sum" dataDxfId="5490" totalsRowDxfId="5489" dataCellStyle="Comma"/>
    <tableColumn id="4" xr3:uid="{7970F0C4-E10D-4D0E-9280-F5C194212802}" name="BUIPE_AGO" totalsRowFunction="custom" dataDxfId="5488" totalsRowDxfId="5487" dataCellStyle="Comma">
      <totalsRowFormula>SUM(October11_2021[BUIPE_AGO])</totalsRowFormula>
    </tableColumn>
    <tableColumn id="5" xr3:uid="{DE8A000B-53E3-4FB9-8545-5C195207BDC6}" name="BUIPE_PMS" totalsRowFunction="custom" dataDxfId="5486" totalsRowDxfId="5485" dataCellStyle="Comma">
      <totalsRowFormula>SUM(October11_2021[BUIPE_PMS])</totalsRowFormula>
    </tableColumn>
    <tableColumn id="6" xr3:uid="{7F0373E5-47B3-4614-A8DA-9FDA90471B3C}" name="AKOSOMBO_AGO" totalsRowFunction="custom" dataDxfId="5484" totalsRowDxfId="5483">
      <totalsRowFormula>SUM(October11_2021[AKOSOMBO_AGO])</totalsRowFormula>
    </tableColumn>
    <tableColumn id="7" xr3:uid="{7587AF3F-F61A-40A3-ADB3-8F5CBC345742}" name="DATE" dataDxfId="5482" totalsRowDxfId="5481">
      <calculatedColumnFormula>$G$3</calculatedColumnFormula>
    </tableColumn>
  </tableColumns>
  <tableStyleInfo showFirstColumn="0" showLastColumn="0" showRowStripes="1" showColumnStripes="0"/>
</table>
</file>

<file path=xl/tables/table4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3" xr:uid="{08D319AE-ADEC-45F6-9BD5-75030DFB99AF}" name="October12_2021" displayName="October12_2021" ref="B5:H22" totalsRowCount="1" headerRowDxfId="5480" headerRowBorderDxfId="5479" tableBorderDxfId="5478" totalsRowBorderDxfId="5477">
  <autoFilter ref="B5:H21" xr:uid="{009A1636-9B61-4630-B3AF-D829E7655757}"/>
  <sortState xmlns:xlrd2="http://schemas.microsoft.com/office/spreadsheetml/2017/richdata2" ref="B6:H21">
    <sortCondition ref="B6:B21"/>
  </sortState>
  <tableColumns count="7">
    <tableColumn id="1" xr3:uid="{1A555AF6-9D3E-428F-9B7D-0367071CE932}" name="BDC LIST" totalsRowLabel="Total" dataDxfId="5476" totalsRowDxfId="5475"/>
    <tableColumn id="2" xr3:uid="{405E0DAC-B8A0-4DA5-BC99-521E962B08F9}" name="KSI_AGO" totalsRowFunction="custom" dataDxfId="5474" totalsRowDxfId="5473" dataCellStyle="Comma">
      <totalsRowFormula>SUM(October12_2021[KSI_AGO])</totalsRowFormula>
    </tableColumn>
    <tableColumn id="3" xr3:uid="{0EE86929-BDBD-4838-806F-47F596555B3C}" name="KSI_PMS" totalsRowFunction="sum" dataDxfId="5472" totalsRowDxfId="5471" dataCellStyle="Comma"/>
    <tableColumn id="4" xr3:uid="{3D37E82A-A9FB-4787-B5CF-048EB0EAEC42}" name="BUIPE_AGO" totalsRowFunction="custom" dataDxfId="5470" totalsRowDxfId="5469" dataCellStyle="Comma">
      <totalsRowFormula>SUM(October12_2021[BUIPE_AGO])</totalsRowFormula>
    </tableColumn>
    <tableColumn id="5" xr3:uid="{F2775234-1D24-495A-92AF-94C12E9AFBFF}" name="BUIPE_PMS" totalsRowFunction="custom" dataDxfId="5468" totalsRowDxfId="5467" dataCellStyle="Comma">
      <totalsRowFormula>SUM(October12_2021[BUIPE_PMS])</totalsRowFormula>
    </tableColumn>
    <tableColumn id="6" xr3:uid="{A2A925D2-CA77-463B-A497-36838CFAE7B9}" name="AKOSOMBO_AGO" totalsRowFunction="custom" dataDxfId="5466" totalsRowDxfId="5465">
      <totalsRowFormula>SUM(October12_2021[AKOSOMBO_AGO])</totalsRowFormula>
    </tableColumn>
    <tableColumn id="7" xr3:uid="{66196F96-8AF5-4160-86A7-64DDCD42E3B2}" name="DATE" dataDxfId="5464" totalsRowDxfId="5463">
      <calculatedColumnFormula>$G$3</calculatedColumnFormula>
    </tableColumn>
  </tableColumns>
  <tableStyleInfo showFirstColumn="0" showLastColumn="0" showRowStripes="1" showColumnStripes="0"/>
</table>
</file>

<file path=xl/tables/table4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4" xr:uid="{26162A51-E835-4F42-88C2-73BAB9145100}" name="October13_2021" displayName="October13_2021" ref="B5:H22" totalsRowCount="1" headerRowDxfId="5462" headerRowBorderDxfId="5461" tableBorderDxfId="5460" totalsRowBorderDxfId="5459">
  <autoFilter ref="B5:H21" xr:uid="{7AD639CD-1AED-4142-BD7D-86DAD4E57A60}"/>
  <sortState xmlns:xlrd2="http://schemas.microsoft.com/office/spreadsheetml/2017/richdata2" ref="B6:H21">
    <sortCondition ref="B6:B21"/>
  </sortState>
  <tableColumns count="7">
    <tableColumn id="1" xr3:uid="{6C09AC0E-DC64-4F82-A96B-DF7C19BF060A}" name="BDC LIST" totalsRowLabel="Total" dataDxfId="5458" totalsRowDxfId="5457"/>
    <tableColumn id="2" xr3:uid="{DC81D959-A888-40C9-88FE-64973DB34909}" name="KSI_AGO" totalsRowFunction="custom" dataDxfId="5456" totalsRowDxfId="5455" dataCellStyle="Comma">
      <totalsRowFormula>SUM(October13_2021[KSI_AGO])</totalsRowFormula>
    </tableColumn>
    <tableColumn id="3" xr3:uid="{13A959BF-47E4-402C-A6A0-1B6BF181AD01}" name="KSI_PMS" totalsRowFunction="sum" dataDxfId="5454" totalsRowDxfId="5453" dataCellStyle="Comma"/>
    <tableColumn id="4" xr3:uid="{1A4B30CC-B9D7-4074-99EC-9D7EC6C922E3}" name="BUIPE_AGO" totalsRowFunction="custom" dataDxfId="5452" totalsRowDxfId="5451" dataCellStyle="Comma">
      <totalsRowFormula>SUM(October13_2021[BUIPE_AGO])</totalsRowFormula>
    </tableColumn>
    <tableColumn id="5" xr3:uid="{7FCD66F9-2154-429C-AF89-0BD96DB453A4}" name="BUIPE_PMS" totalsRowFunction="custom" dataDxfId="5450" totalsRowDxfId="5449" dataCellStyle="Comma">
      <totalsRowFormula>SUM(October13_2021[BUIPE_PMS])</totalsRowFormula>
    </tableColumn>
    <tableColumn id="6" xr3:uid="{EC02EB4C-CA24-45C7-8C96-1CEBA8B24C57}" name="AKOSOMBO_AGO" totalsRowFunction="custom" dataDxfId="5448" totalsRowDxfId="5447">
      <totalsRowFormula>SUM(October13_2021[AKOSOMBO_AGO])</totalsRowFormula>
    </tableColumn>
    <tableColumn id="7" xr3:uid="{51B1EA97-6CF6-4D16-B95F-8DD05EBAC53F}" name="DATE" dataDxfId="5446" totalsRowDxfId="5445">
      <calculatedColumnFormula>$G$3</calculatedColumnFormula>
    </tableColumn>
  </tableColumns>
  <tableStyleInfo showFirstColumn="0" showLastColumn="0" showRowStripes="1" showColumnStripes="0"/>
</table>
</file>

<file path=xl/tables/table4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5" xr:uid="{7340E2DC-2014-4964-B9F0-3E879427D38B}" name="October14_2021" displayName="October14_2021" ref="B5:H22" totalsRowCount="1" headerRowDxfId="5444" headerRowBorderDxfId="5443" tableBorderDxfId="5442" totalsRowBorderDxfId="5441">
  <autoFilter ref="B5:H21" xr:uid="{7AD639CD-1AED-4142-BD7D-86DAD4E57A60}"/>
  <sortState xmlns:xlrd2="http://schemas.microsoft.com/office/spreadsheetml/2017/richdata2" ref="B6:H21">
    <sortCondition ref="B6:B21"/>
  </sortState>
  <tableColumns count="7">
    <tableColumn id="1" xr3:uid="{2D4D6D3B-470F-48B5-8E72-BBE7E5ED6973}" name="BDC LIST" totalsRowLabel="Total" dataDxfId="5440" totalsRowDxfId="5439"/>
    <tableColumn id="2" xr3:uid="{61A251A3-A498-445D-982E-7BBEC115E1D4}" name="KSI_AGO" totalsRowFunction="custom" dataDxfId="5438" totalsRowDxfId="5437" dataCellStyle="Comma">
      <totalsRowFormula>SUM(October14_2021[KSI_AGO])</totalsRowFormula>
    </tableColumn>
    <tableColumn id="3" xr3:uid="{CEBA0B82-0E4B-40FE-8749-AB030A65D351}" name="KSI_PMS" totalsRowFunction="sum" dataDxfId="5436" totalsRowDxfId="5435" dataCellStyle="Comma"/>
    <tableColumn id="4" xr3:uid="{3F6274F0-F296-4D79-B649-C2FDA50EBA6D}" name="BUIPE_AGO" totalsRowFunction="custom" dataDxfId="5434" totalsRowDxfId="5433" dataCellStyle="Comma">
      <totalsRowFormula>SUM(October14_2021[BUIPE_AGO])</totalsRowFormula>
    </tableColumn>
    <tableColumn id="5" xr3:uid="{17229853-A0B5-4F3C-9787-023691E9931D}" name="BUIPE_PMS" totalsRowFunction="custom" dataDxfId="5432" totalsRowDxfId="5431" dataCellStyle="Comma">
      <totalsRowFormula>SUM(October14_2021[BUIPE_PMS])</totalsRowFormula>
    </tableColumn>
    <tableColumn id="6" xr3:uid="{56897CB1-A72C-49BB-BEAD-F1F7902CABD7}" name="AKOSOMBO_AGO" totalsRowFunction="custom" dataDxfId="5430" totalsRowDxfId="5429">
      <totalsRowFormula>SUM(October14_2021[AKOSOMBO_AGO])</totalsRowFormula>
    </tableColumn>
    <tableColumn id="7" xr3:uid="{9D2FBECD-6414-473F-8048-B33F5F2918A0}" name="DATE" dataDxfId="5428" totalsRowDxfId="5427">
      <calculatedColumnFormula>$G$3</calculatedColumnFormula>
    </tableColumn>
  </tableColumns>
  <tableStyleInfo showFirstColumn="0" showLastColumn="0" showRowStripes="1" showColumnStripes="0"/>
</table>
</file>

<file path=xl/tables/table4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6" xr:uid="{98D30C5F-F916-4119-B6C9-1345C1D5C23D}" name="October15_2021" displayName="October15_2021" ref="B5:H22" totalsRowCount="1" headerRowDxfId="5426" headerRowBorderDxfId="5425" tableBorderDxfId="5424" totalsRowBorderDxfId="5423">
  <autoFilter ref="B5:H21" xr:uid="{7AD639CD-1AED-4142-BD7D-86DAD4E57A60}"/>
  <sortState xmlns:xlrd2="http://schemas.microsoft.com/office/spreadsheetml/2017/richdata2" ref="B6:H21">
    <sortCondition ref="B6:B21"/>
  </sortState>
  <tableColumns count="7">
    <tableColumn id="1" xr3:uid="{5E4DBE9A-F632-4F47-ADB8-4A576AC0C694}" name="BDC LIST" totalsRowLabel="Total" dataDxfId="5422" totalsRowDxfId="5421"/>
    <tableColumn id="2" xr3:uid="{DC3739E1-694A-4D89-A636-84E2A07B4129}" name="KSI_AGO" totalsRowFunction="custom" dataDxfId="5420" totalsRowDxfId="5419" dataCellStyle="Comma">
      <totalsRowFormula>SUM(October15_2021[KSI_AGO])</totalsRowFormula>
    </tableColumn>
    <tableColumn id="3" xr3:uid="{BE83983D-0F7D-4F16-BEBB-FBCACAA06838}" name="KSI_PMS" totalsRowFunction="sum" dataDxfId="5418" totalsRowDxfId="5417" dataCellStyle="Comma"/>
    <tableColumn id="4" xr3:uid="{F9241477-CB81-4730-8E17-83529548CF20}" name="BUIPE_AGO" totalsRowFunction="custom" dataDxfId="5416" totalsRowDxfId="5415" dataCellStyle="Comma">
      <totalsRowFormula>SUM(October15_2021[BUIPE_AGO])</totalsRowFormula>
    </tableColumn>
    <tableColumn id="5" xr3:uid="{346B43B1-AD15-467B-AE95-BC6CDDF8AD78}" name="BUIPE_PMS" totalsRowFunction="custom" dataDxfId="5414" totalsRowDxfId="5413" dataCellStyle="Comma">
      <totalsRowFormula>SUM(October15_2021[BUIPE_PMS])</totalsRowFormula>
    </tableColumn>
    <tableColumn id="6" xr3:uid="{671ADC2F-83E0-4041-8902-80C1DC107796}" name="AKOSOMBO_AGO" totalsRowFunction="custom" dataDxfId="5412" totalsRowDxfId="5411">
      <totalsRowFormula>SUM(October15_2021[AKOSOMBO_AGO])</totalsRowFormula>
    </tableColumn>
    <tableColumn id="7" xr3:uid="{DD430D27-9391-4BC5-B97A-DAFBA2907F12}" name="DATE" dataDxfId="5410" totalsRowDxfId="5409">
      <calculatedColumnFormula>$G$3</calculatedColumnFormula>
    </tableColumn>
  </tableColumns>
  <tableStyleInfo showFirstColumn="0" showLastColumn="0" showRowStripes="1" showColumnStripes="0"/>
</table>
</file>

<file path=xl/tables/table4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7" xr:uid="{BBA2BBBC-C91A-40FC-AA87-E1668AEF8B8D}" name="October20_2021" displayName="October20_2021" ref="B5:H22" totalsRowCount="1" headerRowDxfId="5408" headerRowBorderDxfId="5407" tableBorderDxfId="5406" totalsRowBorderDxfId="5405">
  <autoFilter ref="B5:H21" xr:uid="{7AD639CD-1AED-4142-BD7D-86DAD4E57A60}"/>
  <sortState xmlns:xlrd2="http://schemas.microsoft.com/office/spreadsheetml/2017/richdata2" ref="B6:H21">
    <sortCondition ref="B6:B21"/>
  </sortState>
  <tableColumns count="7">
    <tableColumn id="1" xr3:uid="{E18D4F7D-F5FB-41DC-981C-CD17A7BE5268}" name="BDC LIST" totalsRowLabel="Total" dataDxfId="5404" totalsRowDxfId="5403"/>
    <tableColumn id="2" xr3:uid="{D99C399A-824C-4779-8DBB-2FD77401D0C4}" name="KSI_AGO" totalsRowFunction="custom" dataDxfId="5402" totalsRowDxfId="5401" dataCellStyle="Comma">
      <totalsRowFormula>SUM(October20_2021[KSI_AGO])</totalsRowFormula>
    </tableColumn>
    <tableColumn id="3" xr3:uid="{1A1B1834-277D-4AF6-9788-17E13158EC11}" name="KSI_PMS" totalsRowFunction="sum" dataDxfId="5400" totalsRowDxfId="5399" dataCellStyle="Comma"/>
    <tableColumn id="4" xr3:uid="{57B04020-C943-4814-B993-B4B957FBA6E7}" name="BUIPE_AGO" totalsRowFunction="custom" dataDxfId="5398" totalsRowDxfId="5397" dataCellStyle="Comma">
      <totalsRowFormula>SUM(October20_2021[BUIPE_AGO])</totalsRowFormula>
    </tableColumn>
    <tableColumn id="5" xr3:uid="{BF5E8DEE-DD02-410B-993F-678A31875BE1}" name="BUIPE_PMS" totalsRowFunction="custom" dataDxfId="5396" totalsRowDxfId="5395" dataCellStyle="Comma">
      <totalsRowFormula>SUM(October20_2021[BUIPE_PMS])</totalsRowFormula>
    </tableColumn>
    <tableColumn id="6" xr3:uid="{806BE78B-A7DC-4389-A788-9B1D593586E3}" name="AKOSOMBO_AGO" totalsRowFunction="custom" dataDxfId="5394" totalsRowDxfId="5393">
      <totalsRowFormula>SUM(October20_2021[AKOSOMBO_AGO])</totalsRowFormula>
    </tableColumn>
    <tableColumn id="7" xr3:uid="{0752FDFE-850A-4BC4-B0EB-1CC31933E67A}" name="DATE" dataDxfId="5392" totalsRowDxfId="5391">
      <calculatedColumnFormula>$G$3</calculatedColumnFormula>
    </tableColumn>
  </tableColumns>
  <tableStyleInfo showFirstColumn="0" showLastColumn="0" showRowStripes="1" showColumnStripes="0"/>
</table>
</file>

<file path=xl/tables/table4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8" xr:uid="{FDECD76A-2072-4929-979C-A4E945241CD4}" name="October21_2021" displayName="October21_2021" ref="B5:H22" totalsRowCount="1" headerRowDxfId="5390" headerRowBorderDxfId="5389" tableBorderDxfId="5388" totalsRowBorderDxfId="5387">
  <autoFilter ref="B5:H21" xr:uid="{7AD639CD-1AED-4142-BD7D-86DAD4E57A60}"/>
  <sortState xmlns:xlrd2="http://schemas.microsoft.com/office/spreadsheetml/2017/richdata2" ref="B6:H21">
    <sortCondition ref="B6:B21"/>
  </sortState>
  <tableColumns count="7">
    <tableColumn id="1" xr3:uid="{9DCC37FE-4493-41A1-BDB3-926DB48CED0E}" name="BDC LIST" totalsRowLabel="Total" dataDxfId="5386" totalsRowDxfId="5385"/>
    <tableColumn id="2" xr3:uid="{B768FA10-93BF-44F6-AF86-CFBC36ABFAB1}" name="KSI_AGO" totalsRowFunction="custom" dataDxfId="5384" totalsRowDxfId="5383" dataCellStyle="Comma">
      <totalsRowFormula>SUM(October21_2021[KSI_AGO])</totalsRowFormula>
    </tableColumn>
    <tableColumn id="3" xr3:uid="{1E4A3503-43BA-48C6-86EB-4E18DF20C83C}" name="KSI_PMS" totalsRowFunction="sum" dataDxfId="5382" totalsRowDxfId="5381" dataCellStyle="Comma"/>
    <tableColumn id="4" xr3:uid="{6B85BF64-A373-4A4C-A71C-4294C1B025BF}" name="BUIPE_AGO" totalsRowFunction="custom" dataDxfId="5380" totalsRowDxfId="5379" dataCellStyle="Comma">
      <totalsRowFormula>SUM(October21_2021[BUIPE_AGO])</totalsRowFormula>
    </tableColumn>
    <tableColumn id="5" xr3:uid="{02CB30A8-9DEE-43B4-B2E0-35A6EC752337}" name="BUIPE_PMS" totalsRowFunction="custom" dataDxfId="5378" totalsRowDxfId="5377" dataCellStyle="Comma">
      <totalsRowFormula>SUM(October21_2021[BUIPE_PMS])</totalsRowFormula>
    </tableColumn>
    <tableColumn id="6" xr3:uid="{3CE7C93A-04D3-4F0A-8E09-0AA6DD51B0CD}" name="AKOSOMBO_AGO" totalsRowFunction="custom" dataDxfId="5376" totalsRowDxfId="5375">
      <totalsRowFormula>SUM(October21_2021[AKOSOMBO_AGO])</totalsRowFormula>
    </tableColumn>
    <tableColumn id="7" xr3:uid="{81076976-6C51-4C8A-AC07-7EFEA3E802B4}" name="DATE" dataDxfId="5374" totalsRowDxfId="5373">
      <calculatedColumnFormula>$G$3</calculatedColumnFormula>
    </tableColumn>
  </tableColumns>
  <tableStyleInfo showFirstColumn="0" showLastColumn="0" showRowStripes="1" showColumnStripes="0"/>
</table>
</file>

<file path=xl/tables/table4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9" xr:uid="{0FF09143-4F11-4ACB-9AE0-D55BBB207AF0}" name="October22_2021" displayName="October22_2021" ref="B5:H22" totalsRowCount="1" headerRowDxfId="5372" headerRowBorderDxfId="5371" tableBorderDxfId="5370" totalsRowBorderDxfId="5369">
  <autoFilter ref="B5:H21" xr:uid="{7AD639CD-1AED-4142-BD7D-86DAD4E57A60}"/>
  <sortState xmlns:xlrd2="http://schemas.microsoft.com/office/spreadsheetml/2017/richdata2" ref="B6:H21">
    <sortCondition ref="B6:B21"/>
  </sortState>
  <tableColumns count="7">
    <tableColumn id="1" xr3:uid="{44346495-1F40-4BF3-8FD1-63521C035510}" name="BDC LIST" totalsRowLabel="Total" dataDxfId="5368" totalsRowDxfId="5367"/>
    <tableColumn id="2" xr3:uid="{2789AEA8-E295-4460-BFB2-93D79ECB2838}" name="KSI_AGO" totalsRowFunction="custom" dataDxfId="5366" totalsRowDxfId="5365" dataCellStyle="Comma">
      <totalsRowFormula>SUM(October22_2021[KSI_AGO])</totalsRowFormula>
    </tableColumn>
    <tableColumn id="3" xr3:uid="{431DA85B-2E22-41D7-8208-15AEA6CE9F99}" name="KSI_PMS" totalsRowFunction="sum" dataDxfId="5364" totalsRowDxfId="5363" dataCellStyle="Comma"/>
    <tableColumn id="4" xr3:uid="{3A891AD8-44D5-4AE7-8A71-1F513AB51860}" name="BUIPE_AGO" totalsRowFunction="custom" dataDxfId="5362" totalsRowDxfId="5361" dataCellStyle="Comma">
      <totalsRowFormula>SUM(October22_2021[BUIPE_AGO])</totalsRowFormula>
    </tableColumn>
    <tableColumn id="5" xr3:uid="{57DE1153-2F0A-4E7E-AD78-82CAE56810FA}" name="BUIPE_PMS" totalsRowFunction="custom" dataDxfId="5360" totalsRowDxfId="5359" dataCellStyle="Comma">
      <totalsRowFormula>SUM(October22_2021[BUIPE_PMS])</totalsRowFormula>
    </tableColumn>
    <tableColumn id="6" xr3:uid="{09EE69BC-F03A-40A1-814B-BC09E91C66CA}" name="AKOSOMBO_AGO" totalsRowFunction="custom" dataDxfId="5358" totalsRowDxfId="5357">
      <totalsRowFormula>SUM(October22_2021[AKOSOMBO_AGO])</totalsRowFormula>
    </tableColumn>
    <tableColumn id="7" xr3:uid="{A9DAAB22-21FB-425A-978A-0590E7873A56}" name="DATE" dataDxfId="5356" totalsRowDxfId="5355">
      <calculatedColumnFormula>$G$3</calculatedColumnFormula>
    </tableColumn>
  </tableColumns>
  <tableStyleInfo showFirstColumn="0" showLastColumn="0" showRowStripes="1" showColumnStripes="0"/>
</table>
</file>

<file path=xl/tables/table4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0" xr:uid="{C7E9C61D-1AB7-40BE-9D35-F7E39D8C825A}" name="October25_2021" displayName="October25_2021" ref="B5:H22" totalsRowCount="1" headerRowDxfId="5354" headerRowBorderDxfId="5353" tableBorderDxfId="5352" totalsRowBorderDxfId="5351">
  <autoFilter ref="B5:H21" xr:uid="{7AD639CD-1AED-4142-BD7D-86DAD4E57A60}"/>
  <sortState xmlns:xlrd2="http://schemas.microsoft.com/office/spreadsheetml/2017/richdata2" ref="B6:H21">
    <sortCondition ref="B6:B21"/>
  </sortState>
  <tableColumns count="7">
    <tableColumn id="1" xr3:uid="{CC60BAE9-51B7-414E-8CA9-CABF12B60D96}" name="BDC LIST" totalsRowLabel="Total" dataDxfId="5350" totalsRowDxfId="5349"/>
    <tableColumn id="2" xr3:uid="{D53E56A0-1D6C-4543-AC6E-19CC3659AC5E}" name="KSI_AGO" totalsRowFunction="custom" dataDxfId="5348" totalsRowDxfId="5347" dataCellStyle="Comma">
      <totalsRowFormula>SUM(October25_2021[KSI_AGO])</totalsRowFormula>
    </tableColumn>
    <tableColumn id="3" xr3:uid="{89F11811-4FBB-4BAC-AC70-9B7BE27C870E}" name="KSI_PMS" totalsRowFunction="sum" dataDxfId="5346" totalsRowDxfId="5345" dataCellStyle="Comma"/>
    <tableColumn id="4" xr3:uid="{35170D53-DC6D-47A9-BDFD-38B4DBC4286F}" name="BUIPE_AGO" totalsRowFunction="custom" dataDxfId="5344" totalsRowDxfId="5343" dataCellStyle="Comma">
      <totalsRowFormula>SUM(October25_2021[BUIPE_AGO])</totalsRowFormula>
    </tableColumn>
    <tableColumn id="5" xr3:uid="{3B1E74EF-559B-4744-AB64-9B202B79FC7C}" name="BUIPE_PMS" totalsRowFunction="custom" dataDxfId="5342" totalsRowDxfId="5341" dataCellStyle="Comma">
      <totalsRowFormula>SUM(October25_2021[BUIPE_PMS])</totalsRowFormula>
    </tableColumn>
    <tableColumn id="6" xr3:uid="{81E429CB-E8B7-4AD0-A075-ADC6F3286C1E}" name="AKOSOMBO_AGO" totalsRowFunction="custom" dataDxfId="5340" totalsRowDxfId="5339">
      <totalsRowFormula>SUM(October25_2021[AKOSOMBO_AGO])</totalsRowFormula>
    </tableColumn>
    <tableColumn id="7" xr3:uid="{195A931E-44A3-4DCF-8B83-B3F946DED40C}" name="DATE" dataDxfId="5338" totalsRowDxfId="5337">
      <calculatedColumnFormula>$G$3</calculatedColumnFormula>
    </tableColumn>
  </tableColumns>
  <tableStyleInfo showFirstColumn="0" showLastColumn="0" showRowStripes="1" showColumnStripes="0"/>
</table>
</file>

<file path=xl/tables/table4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1" xr:uid="{392B7A7C-82CE-4C9E-BC67-A7ADD09A5719}" name="October25_202117" displayName="October25_202117" ref="B5:H22" totalsRowCount="1" headerRowDxfId="5336" headerRowBorderDxfId="5335" tableBorderDxfId="5334" totalsRowBorderDxfId="5333">
  <autoFilter ref="B5:H21" xr:uid="{7AD639CD-1AED-4142-BD7D-86DAD4E57A60}"/>
  <sortState xmlns:xlrd2="http://schemas.microsoft.com/office/spreadsheetml/2017/richdata2" ref="B6:H21">
    <sortCondition ref="B6:B21"/>
  </sortState>
  <tableColumns count="7">
    <tableColumn id="1" xr3:uid="{7B0C705F-A4FD-4487-B9B8-C15A373EBC35}" name="BDC LIST" totalsRowLabel="Total" dataDxfId="5332" totalsRowDxfId="5331"/>
    <tableColumn id="2" xr3:uid="{06F3148D-FACC-45C4-843F-32BAD585D485}" name="KSI_AGO" totalsRowFunction="custom" dataDxfId="5330" totalsRowDxfId="5329" dataCellStyle="Comma">
      <totalsRowFormula>SUM(October25_202117[KSI_AGO])</totalsRowFormula>
    </tableColumn>
    <tableColumn id="3" xr3:uid="{569EED2F-1971-42ED-A239-E26BE3B3BE3A}" name="KSI_PMS" totalsRowFunction="sum" dataDxfId="5328" totalsRowDxfId="5327" dataCellStyle="Comma"/>
    <tableColumn id="4" xr3:uid="{DBE52A41-E6A7-4F75-BAD4-02EBCB492548}" name="BUIPE_AGO" totalsRowFunction="custom" dataDxfId="5326" totalsRowDxfId="5325" dataCellStyle="Comma">
      <totalsRowFormula>SUM(October25_202117[BUIPE_AGO])</totalsRowFormula>
    </tableColumn>
    <tableColumn id="5" xr3:uid="{DC278B1F-FB52-4310-824B-5CE442349EB2}" name="BUIPE_PMS" totalsRowFunction="custom" dataDxfId="5324" totalsRowDxfId="5323" dataCellStyle="Comma">
      <totalsRowFormula>SUM(October25_202117[BUIPE_PMS])</totalsRowFormula>
    </tableColumn>
    <tableColumn id="6" xr3:uid="{9938396C-5129-4953-A252-6F6ACE6BA223}" name="AKOSOMBO_AGO" totalsRowFunction="custom" dataDxfId="5322" totalsRowDxfId="5321">
      <totalsRowFormula>SUM(October25_202117[AKOSOMBO_AGO])</totalsRowFormula>
    </tableColumn>
    <tableColumn id="7" xr3:uid="{AD1D6ED9-305C-4B1E-AB2A-F2156B7D4798}" name="DATE" dataDxfId="5320" totalsRowDxfId="5319">
      <calculatedColumnFormula>$G$3</calculatedColumnFormula>
    </tableColumn>
  </tableColumns>
  <tableStyleInfo showFirstColumn="0" showLastColumn="0" showRowStripes="1" showColumnStripes="0"/>
</table>
</file>

<file path=xl/tables/table4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2" xr:uid="{4472161A-AB75-4630-9386-0CD17E1A5F99}" name="October27_2021" displayName="October27_2021" ref="B5:H22" totalsRowCount="1" headerRowDxfId="5318" headerRowBorderDxfId="5317" tableBorderDxfId="5316" totalsRowBorderDxfId="5315">
  <autoFilter ref="B5:H21" xr:uid="{7AD639CD-1AED-4142-BD7D-86DAD4E57A60}"/>
  <sortState xmlns:xlrd2="http://schemas.microsoft.com/office/spreadsheetml/2017/richdata2" ref="B6:H21">
    <sortCondition ref="B6:B21"/>
  </sortState>
  <tableColumns count="7">
    <tableColumn id="1" xr3:uid="{1252ABD0-894D-4A5D-B3F1-49E023A1AAFB}" name="BDC LIST" totalsRowLabel="Total" dataDxfId="5314" totalsRowDxfId="5313"/>
    <tableColumn id="2" xr3:uid="{0A328EB6-04EF-42B2-A2A5-CC28377E1A77}" name="KSI_AGO" totalsRowFunction="custom" dataDxfId="5312" totalsRowDxfId="5311" dataCellStyle="Comma">
      <totalsRowFormula>SUM(October27_2021[KSI_AGO])</totalsRowFormula>
    </tableColumn>
    <tableColumn id="3" xr3:uid="{F0E36C83-5333-411B-A1E9-48C06D978C5F}" name="KSI_PMS" totalsRowFunction="sum" dataDxfId="5310" totalsRowDxfId="5309" dataCellStyle="Comma"/>
    <tableColumn id="4" xr3:uid="{39703601-BAEB-4AAE-B32E-7A3ACFCEE685}" name="BUIPE_AGO" totalsRowFunction="custom" dataDxfId="5308" totalsRowDxfId="5307" dataCellStyle="Comma">
      <totalsRowFormula>SUM(October27_2021[BUIPE_AGO])</totalsRowFormula>
    </tableColumn>
    <tableColumn id="5" xr3:uid="{D81CD8F9-5D98-405E-AB22-3E35D38DFE28}" name="BUIPE_PMS" totalsRowFunction="custom" dataDxfId="5306" totalsRowDxfId="5305" dataCellStyle="Comma">
      <totalsRowFormula>SUM(October27_2021[BUIPE_PMS])</totalsRowFormula>
    </tableColumn>
    <tableColumn id="6" xr3:uid="{09246423-D932-4AF9-960B-A994C44C2D03}" name="AKOSOMBO_AGO" totalsRowFunction="custom" dataDxfId="5304" totalsRowDxfId="5303">
      <totalsRowFormula>SUM(October27_2021[AKOSOMBO_AGO])</totalsRowFormula>
    </tableColumn>
    <tableColumn id="7" xr3:uid="{5FFA2D8B-A736-42B1-B888-7E2C74CA5444}" name="DATE" dataDxfId="5302" totalsRowDxfId="5301">
      <calculatedColumnFormula>$G$3</calculatedColumnFormula>
    </tableColumn>
  </tableColumns>
  <tableStyleInfo showFirstColumn="0" showLastColumn="0" showRowStripes="1" showColumnStripes="0"/>
</table>
</file>

<file path=xl/tables/table4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3" xr:uid="{116F1E32-2CB2-4103-AD7B-6648CC3CFA6E}" name="October28_2021" displayName="October28_2021" ref="B5:H22" totalsRowCount="1" headerRowDxfId="5300" headerRowBorderDxfId="5299" tableBorderDxfId="5298" totalsRowBorderDxfId="5297">
  <autoFilter ref="B5:H21" xr:uid="{7AD639CD-1AED-4142-BD7D-86DAD4E57A60}"/>
  <sortState xmlns:xlrd2="http://schemas.microsoft.com/office/spreadsheetml/2017/richdata2" ref="B6:H21">
    <sortCondition ref="B6:B21"/>
  </sortState>
  <tableColumns count="7">
    <tableColumn id="1" xr3:uid="{375CCC05-4CA6-4573-8422-141230EDE612}" name="BDC LIST" totalsRowLabel="Total" dataDxfId="5296" totalsRowDxfId="5295"/>
    <tableColumn id="2" xr3:uid="{B4C8CEEA-4380-4D98-9884-B2EC59AE986C}" name="KSI_AGO" totalsRowFunction="custom" dataDxfId="5294" totalsRowDxfId="5293" dataCellStyle="Comma">
      <totalsRowFormula>SUM(October28_2021[KSI_AGO])</totalsRowFormula>
    </tableColumn>
    <tableColumn id="3" xr3:uid="{61EC477C-6743-42B6-99B9-949F79B57A28}" name="KSI_PMS" totalsRowFunction="sum" dataDxfId="5292" totalsRowDxfId="5291" dataCellStyle="Comma"/>
    <tableColumn id="4" xr3:uid="{89732D0D-2032-4E46-B7A3-1BA80569D4F1}" name="BUIPE_AGO" totalsRowFunction="custom" dataDxfId="5290" totalsRowDxfId="5289" dataCellStyle="Comma">
      <totalsRowFormula>SUM(October28_2021[BUIPE_AGO])</totalsRowFormula>
    </tableColumn>
    <tableColumn id="5" xr3:uid="{7626E012-5647-4C89-BE1F-2A9E0CA0C92B}" name="BUIPE_PMS" totalsRowFunction="custom" dataDxfId="5288" totalsRowDxfId="5287" dataCellStyle="Comma">
      <totalsRowFormula>SUM(October28_2021[BUIPE_PMS])</totalsRowFormula>
    </tableColumn>
    <tableColumn id="6" xr3:uid="{9C70E737-7F02-4505-A5D5-4449AE8AA387}" name="AKOSOMBO_AGO" totalsRowFunction="custom" dataDxfId="5286" totalsRowDxfId="5285">
      <totalsRowFormula>SUM(October28_2021[AKOSOMBO_AGO])</totalsRowFormula>
    </tableColumn>
    <tableColumn id="7" xr3:uid="{A2EE23AE-E3D0-4F5E-B563-56EFF8582DB9}" name="DATE" dataDxfId="5284" totalsRowDxfId="5283">
      <calculatedColumnFormula>$G$3</calculatedColumnFormula>
    </tableColumn>
  </tableColumns>
  <tableStyleInfo showFirstColumn="0" showLastColumn="0" showRowStripes="1" showColumnStripes="0"/>
</table>
</file>

<file path=xl/tables/table4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4" xr:uid="{12815DA9-A2FD-4142-B9FF-4B6BCB917F49}" name="October29_2021" displayName="October29_2021" ref="B5:H22" totalsRowCount="1" headerRowDxfId="5282" headerRowBorderDxfId="5281" tableBorderDxfId="5280" totalsRowBorderDxfId="5279">
  <autoFilter ref="B5:H21" xr:uid="{7AD639CD-1AED-4142-BD7D-86DAD4E57A60}"/>
  <sortState xmlns:xlrd2="http://schemas.microsoft.com/office/spreadsheetml/2017/richdata2" ref="B6:H21">
    <sortCondition ref="B6:B21"/>
  </sortState>
  <tableColumns count="7">
    <tableColumn id="1" xr3:uid="{C7DD0A92-67DE-4050-A1D3-9063347EAF0E}" name="BDC LIST" totalsRowLabel="Total" dataDxfId="5278" totalsRowDxfId="5277"/>
    <tableColumn id="2" xr3:uid="{D17296DE-D235-4D91-8B54-297ECB44BE3C}" name="KSI_AGO" totalsRowFunction="custom" dataDxfId="5276" totalsRowDxfId="5275" dataCellStyle="Comma">
      <totalsRowFormula>SUM(October29_2021[KSI_AGO])</totalsRowFormula>
    </tableColumn>
    <tableColumn id="3" xr3:uid="{34F6CF5D-A3B0-4BCF-B069-6F9AB2DA8049}" name="KSI_PMS" totalsRowFunction="sum" dataDxfId="5274" totalsRowDxfId="5273" dataCellStyle="Comma"/>
    <tableColumn id="4" xr3:uid="{D3F3B759-A45D-4C1A-B40A-DAD42BD7C333}" name="BUIPE_AGO" totalsRowFunction="custom" dataDxfId="5272" totalsRowDxfId="5271" dataCellStyle="Comma">
      <totalsRowFormula>SUM(October29_2021[BUIPE_AGO])</totalsRowFormula>
    </tableColumn>
    <tableColumn id="5" xr3:uid="{123ED8B3-8C3E-44EB-9662-A006199BDCC6}" name="BUIPE_PMS" totalsRowFunction="custom" dataDxfId="5270" totalsRowDxfId="5269" dataCellStyle="Comma">
      <totalsRowFormula>SUM(October29_2021[BUIPE_PMS])</totalsRowFormula>
    </tableColumn>
    <tableColumn id="6" xr3:uid="{E40178CE-D4E9-4C95-B5F1-4C6F6CF50F6A}" name="AKOSOMBO_AGO" totalsRowFunction="custom" dataDxfId="5268" totalsRowDxfId="5267">
      <totalsRowFormula>SUM(October29_2021[AKOSOMBO_AGO])</totalsRowFormula>
    </tableColumn>
    <tableColumn id="7" xr3:uid="{836432FB-6D81-40E1-AD30-4A83940B836E}" name="DATE" dataDxfId="5266" totalsRowDxfId="5265">
      <calculatedColumnFormula>$G$3</calculatedColumnFormula>
    </tableColumn>
  </tableColumns>
  <tableStyleInfo showFirstColumn="0" showLastColumn="0" showRowStripes="1" showColumnStripes="0"/>
</table>
</file>

<file path=xl/tables/table4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5" xr:uid="{F06B1EF4-A3C9-4866-B5BB-4BD1CC08A24B}" name="November02_2021" displayName="November02_2021" ref="B5:H22" totalsRowCount="1" headerRowDxfId="5264" headerRowBorderDxfId="5263" tableBorderDxfId="5262" totalsRowBorderDxfId="5261">
  <autoFilter ref="B5:H21" xr:uid="{B912BB5A-5D11-44A1-9D4C-D56A5EAB5384}"/>
  <sortState xmlns:xlrd2="http://schemas.microsoft.com/office/spreadsheetml/2017/richdata2" ref="B6:H21">
    <sortCondition ref="B6:B21"/>
  </sortState>
  <tableColumns count="7">
    <tableColumn id="1" xr3:uid="{5686F4E9-C569-4608-8447-E414F4DDB408}" name="BDC LIST" totalsRowLabel="Total" dataDxfId="5260" totalsRowDxfId="5259"/>
    <tableColumn id="2" xr3:uid="{EBB0480F-3213-4232-8144-4F1248DFADB0}" name="KSI_AGO" totalsRowFunction="custom" dataDxfId="5258" totalsRowDxfId="5257">
      <totalsRowFormula>SUM(November02_2021[KSI_AGO])</totalsRowFormula>
    </tableColumn>
    <tableColumn id="3" xr3:uid="{E959FCC3-4148-4B68-81B1-08CF7BD837B6}" name="KSI_PMS" totalsRowFunction="sum" dataDxfId="5256" totalsRowDxfId="5255" dataCellStyle="Comma"/>
    <tableColumn id="4" xr3:uid="{0C276AEE-EB77-467A-B56F-34DE436D29BD}" name="BUIPE_AGO" totalsRowFunction="custom" dataDxfId="5254" totalsRowDxfId="5253">
      <totalsRowFormula>SUM(November02_2021[BUIPE_AGO])</totalsRowFormula>
    </tableColumn>
    <tableColumn id="5" xr3:uid="{E8407870-8CCA-47FF-9D6C-79958AC694DA}" name="BUIPE_PMS" totalsRowFunction="custom" dataDxfId="5252" totalsRowDxfId="5251" dataCellStyle="Comma">
      <totalsRowFormula>SUM(November02_2021[BUIPE_PMS])</totalsRowFormula>
    </tableColumn>
    <tableColumn id="6" xr3:uid="{F636AE7D-DF97-4C29-A03F-E47877400C44}" name="AKOSOMBO_AGO" totalsRowFunction="custom" dataDxfId="5250" totalsRowDxfId="5249">
      <totalsRowFormula>SUM(November02_2021[AKOSOMBO_AGO])</totalsRowFormula>
    </tableColumn>
    <tableColumn id="7" xr3:uid="{4695BC99-4F1C-44FB-A1E0-1418B36F7C75}" name="DATE" dataDxfId="5248" totalsRowDxfId="5247">
      <calculatedColumnFormula>$G$3</calculatedColumnFormula>
    </tableColumn>
  </tableColumns>
  <tableStyleInfo showFirstColumn="0" showLastColumn="0" showRowStripes="1" showColumnStripes="0"/>
</table>
</file>

<file path=xl/tables/table4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6" xr:uid="{3E9AFC18-E2AA-4C81-9685-82EF594FCF8E}" name="November02_20212" displayName="November02_20212" ref="B5:H22" totalsRowCount="1" headerRowDxfId="5246" headerRowBorderDxfId="5245" tableBorderDxfId="5244" totalsRowBorderDxfId="5243">
  <autoFilter ref="B5:H21" xr:uid="{B912BB5A-5D11-44A1-9D4C-D56A5EAB5384}"/>
  <sortState xmlns:xlrd2="http://schemas.microsoft.com/office/spreadsheetml/2017/richdata2" ref="B6:H21">
    <sortCondition ref="B6:B21"/>
  </sortState>
  <tableColumns count="7">
    <tableColumn id="1" xr3:uid="{58FB38B4-4F7E-4A11-9F49-4C7E8B6CD0BA}" name="BDC LIST" totalsRowLabel="Total" dataDxfId="5242" totalsRowDxfId="5241"/>
    <tableColumn id="2" xr3:uid="{F3D849CD-FB86-46DF-A211-0E91ACE809AC}" name="KSI_AGO" totalsRowFunction="custom" dataDxfId="5240" totalsRowDxfId="5239">
      <totalsRowFormula>SUM(November02_20212[KSI_AGO])</totalsRowFormula>
    </tableColumn>
    <tableColumn id="3" xr3:uid="{647D40F7-9F3B-499E-A145-2E7678AA179C}" name="KSI_PMS" totalsRowFunction="sum" dataDxfId="5238" totalsRowDxfId="5237" dataCellStyle="Comma"/>
    <tableColumn id="4" xr3:uid="{D0729F0A-B4C8-4F56-9546-56622D6B959B}" name="BUIPE_AGO" totalsRowFunction="custom" dataDxfId="5236" totalsRowDxfId="5235">
      <totalsRowFormula>SUM(November02_20212[BUIPE_AGO])</totalsRowFormula>
    </tableColumn>
    <tableColumn id="5" xr3:uid="{B970F695-1826-487D-8424-3602789CF958}" name="BUIPE_PMS" totalsRowFunction="custom" dataDxfId="5234" totalsRowDxfId="5233" dataCellStyle="Comma">
      <totalsRowFormula>SUM(November02_20212[BUIPE_PMS])</totalsRowFormula>
    </tableColumn>
    <tableColumn id="6" xr3:uid="{FA46E14D-3B23-422E-BB13-54374F110951}" name="AKOSOMBO_AGO" totalsRowFunction="custom" dataDxfId="5232" totalsRowDxfId="5231">
      <totalsRowFormula>SUM(November02_20212[AKOSOMBO_AGO])</totalsRowFormula>
    </tableColumn>
    <tableColumn id="7" xr3:uid="{A331A5C8-2E8C-4598-9B4A-C778AD586366}" name="DATE" dataDxfId="5230" totalsRowDxfId="5229">
      <calculatedColumnFormula>$G$3</calculatedColumnFormula>
    </tableColumn>
  </tableColumns>
  <tableStyleInfo showFirstColumn="0" showLastColumn="0" showRowStripes="1" showColumnStripes="0"/>
</table>
</file>

<file path=xl/tables/table4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7" xr:uid="{36A91E09-1988-491F-8556-EBF2D2998D21}" name="November04_2021" displayName="November04_2021" ref="B5:H22" totalsRowCount="1" headerRowDxfId="5228" headerRowBorderDxfId="5227" tableBorderDxfId="5226" totalsRowBorderDxfId="5225">
  <autoFilter ref="B5:H21" xr:uid="{B912BB5A-5D11-44A1-9D4C-D56A5EAB5384}"/>
  <sortState xmlns:xlrd2="http://schemas.microsoft.com/office/spreadsheetml/2017/richdata2" ref="B6:H21">
    <sortCondition ref="B6:B21"/>
  </sortState>
  <tableColumns count="7">
    <tableColumn id="1" xr3:uid="{2595B6B2-6B10-4439-9DCF-6A5D79D53CEF}" name="BDC LIST" totalsRowLabel="Total" dataDxfId="5224" totalsRowDxfId="5223"/>
    <tableColumn id="2" xr3:uid="{A8C9EAAF-9991-4910-9FF0-F28C6DFE51A9}" name="KSI_AGO" totalsRowFunction="custom" dataDxfId="5222" totalsRowDxfId="5221">
      <totalsRowFormula>SUM(November04_2021[KSI_AGO])</totalsRowFormula>
    </tableColumn>
    <tableColumn id="3" xr3:uid="{081C50FE-E370-4DE8-A47F-B0D7E95CA9FC}" name="KSI_PMS" totalsRowFunction="sum" dataDxfId="5220" totalsRowDxfId="5219" dataCellStyle="Comma"/>
    <tableColumn id="4" xr3:uid="{58A7F64C-B703-48D6-9EB5-4CEF9EE9A45F}" name="BUIPE_AGO" totalsRowFunction="custom" dataDxfId="5218" totalsRowDxfId="5217">
      <totalsRowFormula>SUM(November04_2021[BUIPE_AGO])</totalsRowFormula>
    </tableColumn>
    <tableColumn id="5" xr3:uid="{D3A06B05-A996-403C-8415-DE9F2CC45873}" name="BUIPE_PMS" totalsRowFunction="custom" dataDxfId="5216" totalsRowDxfId="5215" dataCellStyle="Comma">
      <totalsRowFormula>SUM(November04_2021[BUIPE_PMS])</totalsRowFormula>
    </tableColumn>
    <tableColumn id="6" xr3:uid="{C5EECC43-215B-412C-A632-B2A6739D6ACB}" name="AKOSOMBO_AGO" totalsRowFunction="custom" dataDxfId="5214" totalsRowDxfId="5213">
      <totalsRowFormula>SUM(November04_2021[AKOSOMBO_AGO])</totalsRowFormula>
    </tableColumn>
    <tableColumn id="7" xr3:uid="{D6F5F20C-92EE-4060-BD0A-B535D205483C}" name="DATE" dataDxfId="5212" totalsRowDxfId="5211">
      <calculatedColumnFormula>$G$3</calculatedColumnFormula>
    </tableColumn>
  </tableColumns>
  <tableStyleInfo showFirstColumn="0" showLastColumn="0" showRowStripes="1" showColumnStripes="0"/>
</table>
</file>

<file path=xl/tables/table4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8" xr:uid="{E8FB082B-69C0-446F-AE9B-E4AFCD709016}" name="November05_2021" displayName="November05_2021" ref="B5:H22" totalsRowCount="1" headerRowDxfId="5210" headerRowBorderDxfId="5209" tableBorderDxfId="5208" totalsRowBorderDxfId="5207">
  <autoFilter ref="B5:H21" xr:uid="{B912BB5A-5D11-44A1-9D4C-D56A5EAB5384}"/>
  <sortState xmlns:xlrd2="http://schemas.microsoft.com/office/spreadsheetml/2017/richdata2" ref="B6:H21">
    <sortCondition ref="B6:B21"/>
  </sortState>
  <tableColumns count="7">
    <tableColumn id="1" xr3:uid="{C3EDDD3B-6E1D-4D41-9877-57F73D607613}" name="BDC LIST" totalsRowLabel="Total" dataDxfId="5206" totalsRowDxfId="5205"/>
    <tableColumn id="2" xr3:uid="{366BF45F-93D2-4F68-9F06-7148DED58650}" name="KSI_AGO" totalsRowFunction="custom" dataDxfId="5204" totalsRowDxfId="5203">
      <totalsRowFormula>SUM(November05_2021[KSI_AGO])</totalsRowFormula>
    </tableColumn>
    <tableColumn id="3" xr3:uid="{FED482B2-A27B-46A1-9042-7F5F5908B5DB}" name="KSI_PMS" totalsRowFunction="sum" dataDxfId="5202" totalsRowDxfId="5201" dataCellStyle="Comma"/>
    <tableColumn id="4" xr3:uid="{34F731A6-BB5D-4DEB-8524-D90D68AFC1A7}" name="BUIPE_AGO" totalsRowFunction="custom" dataDxfId="5200" totalsRowDxfId="5199">
      <totalsRowFormula>SUM(November05_2021[BUIPE_AGO])</totalsRowFormula>
    </tableColumn>
    <tableColumn id="5" xr3:uid="{D6BEB3D5-4D9A-4C14-A967-954A031C9705}" name="BUIPE_PMS" totalsRowFunction="custom" dataDxfId="5198" totalsRowDxfId="5197" dataCellStyle="Comma">
      <totalsRowFormula>SUM(November05_2021[BUIPE_PMS])</totalsRowFormula>
    </tableColumn>
    <tableColumn id="6" xr3:uid="{FCE1CD9B-C25B-4F27-9327-BAF6199CB6B6}" name="AKOSOMBO_AGO" totalsRowFunction="custom" dataDxfId="5196" totalsRowDxfId="5195">
      <totalsRowFormula>SUM(November05_2021[AKOSOMBO_AGO])</totalsRowFormula>
    </tableColumn>
    <tableColumn id="7" xr3:uid="{2179CFC9-21D4-4F0D-94DF-44836D9DE3D8}" name="DATE" dataDxfId="5194" totalsRowDxfId="5193">
      <calculatedColumnFormula>$G$3</calculatedColumnFormula>
    </tableColumn>
  </tableColumns>
  <tableStyleInfo showFirstColumn="0" showLastColumn="0" showRowStripes="1" showColumnStripes="0"/>
</table>
</file>

<file path=xl/tables/table4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9" xr:uid="{C49D4DC8-1E86-4E33-AF4E-5346CE4468E1}" name="November08_2021" displayName="November08_2021" ref="B5:H22" totalsRowCount="1" headerRowDxfId="5192" headerRowBorderDxfId="5191" tableBorderDxfId="5190" totalsRowBorderDxfId="5189">
  <autoFilter ref="B5:H21" xr:uid="{B912BB5A-5D11-44A1-9D4C-D56A5EAB5384}"/>
  <sortState xmlns:xlrd2="http://schemas.microsoft.com/office/spreadsheetml/2017/richdata2" ref="B6:H21">
    <sortCondition ref="B6:B21"/>
  </sortState>
  <tableColumns count="7">
    <tableColumn id="1" xr3:uid="{769E6BE6-48D1-48AA-9E3A-2F602F3E388D}" name="BDC LIST" totalsRowLabel="Total" dataDxfId="5188" totalsRowDxfId="5187"/>
    <tableColumn id="2" xr3:uid="{5974CDC2-C5E0-4BEE-94CB-E2DCF013E78A}" name="KSI_AGO" totalsRowFunction="custom" dataDxfId="5186" totalsRowDxfId="5185">
      <totalsRowFormula>SUM(November08_2021[KSI_AGO])</totalsRowFormula>
    </tableColumn>
    <tableColumn id="3" xr3:uid="{6C1D6FC6-59BB-439E-AADA-E3282D4BE727}" name="KSI_PMS" totalsRowFunction="sum" dataDxfId="5184" totalsRowDxfId="5183" dataCellStyle="Comma"/>
    <tableColumn id="4" xr3:uid="{A745E9C3-A731-4AF8-B6D0-F1911C167645}" name="BUIPE_AGO" totalsRowFunction="custom" dataDxfId="5182" totalsRowDxfId="5181">
      <totalsRowFormula>SUM(November08_2021[BUIPE_AGO])</totalsRowFormula>
    </tableColumn>
    <tableColumn id="5" xr3:uid="{81116F15-536C-425F-B929-B5354EBD5C0B}" name="BUIPE_PMS" totalsRowFunction="custom" dataDxfId="5180" totalsRowDxfId="5179" dataCellStyle="Comma">
      <totalsRowFormula>SUM(November08_2021[BUIPE_PMS])</totalsRowFormula>
    </tableColumn>
    <tableColumn id="6" xr3:uid="{66566A24-6F90-4C61-9597-22D7B0ABDA0B}" name="AKOSOMBO_AGO" totalsRowFunction="custom" dataDxfId="5178" totalsRowDxfId="5177">
      <totalsRowFormula>SUM(November08_2021[AKOSOMBO_AGO])</totalsRowFormula>
    </tableColumn>
    <tableColumn id="7" xr3:uid="{D6FE6B74-139E-428E-816A-896FFA77BE19}" name="DATE" dataDxfId="5176" totalsRowDxfId="5175">
      <calculatedColumnFormula>$G$3</calculatedColumnFormula>
    </tableColumn>
  </tableColumns>
  <tableStyleInfo showFirstColumn="0" showLastColumn="0" showRowStripes="1" showColumnStripes="0"/>
</table>
</file>

<file path=xl/tables/table4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0" xr:uid="{1D03BB56-3B8D-436C-94BA-716DFB820F6E}" name="November05_202178" displayName="November05_202178" ref="B5:H22" totalsRowCount="1" headerRowDxfId="5174" headerRowBorderDxfId="5173" tableBorderDxfId="5172" totalsRowBorderDxfId="5171">
  <autoFilter ref="B5:H21" xr:uid="{B912BB5A-5D11-44A1-9D4C-D56A5EAB5384}"/>
  <sortState xmlns:xlrd2="http://schemas.microsoft.com/office/spreadsheetml/2017/richdata2" ref="B6:H21">
    <sortCondition ref="B6:B21"/>
  </sortState>
  <tableColumns count="7">
    <tableColumn id="1" xr3:uid="{E715E6DC-A091-44A7-87FE-3CD0A8E94E5F}" name="BDC LIST" totalsRowLabel="Total" dataDxfId="5170" totalsRowDxfId="5169"/>
    <tableColumn id="2" xr3:uid="{B399595B-F7F3-48DD-9432-D0939DB8DAA2}" name="KSI_AGO" totalsRowFunction="custom" dataDxfId="5168" totalsRowDxfId="5167">
      <totalsRowFormula>SUM(November05_202178[KSI_AGO])</totalsRowFormula>
    </tableColumn>
    <tableColumn id="3" xr3:uid="{330C14B6-2A9F-43E8-B6EA-8367A678D2FD}" name="KSI_PMS" totalsRowFunction="sum" dataDxfId="5166" totalsRowDxfId="5165" dataCellStyle="Comma"/>
    <tableColumn id="4" xr3:uid="{EA723648-4B7B-449D-8A77-2BE3A8BE32FB}" name="BUIPE_AGO" totalsRowFunction="custom" dataDxfId="5164" totalsRowDxfId="5163">
      <totalsRowFormula>SUM(November05_202178[BUIPE_AGO])</totalsRowFormula>
    </tableColumn>
    <tableColumn id="5" xr3:uid="{AF75692C-BB36-400F-A878-866AB9721D6E}" name="BUIPE_PMS" totalsRowFunction="custom" dataDxfId="5162" totalsRowDxfId="5161" dataCellStyle="Comma">
      <totalsRowFormula>SUM(November05_202178[BUIPE_PMS])</totalsRowFormula>
    </tableColumn>
    <tableColumn id="6" xr3:uid="{F3275142-2ED0-47FF-9593-00DD4545E5D2}" name="AKOSOMBO_AGO" totalsRowFunction="custom" dataDxfId="5160" totalsRowDxfId="5159">
      <totalsRowFormula>SUM(November05_202178[AKOSOMBO_AGO])</totalsRowFormula>
    </tableColumn>
    <tableColumn id="7" xr3:uid="{008A4F95-4D0C-45AD-BDBE-B4D01FDD57B1}" name="DATE" dataDxfId="5158" totalsRowDxfId="5157">
      <calculatedColumnFormula>$G$3</calculatedColumnFormula>
    </tableColumn>
  </tableColumns>
  <tableStyleInfo showFirstColumn="0" showLastColumn="0" showRowStripes="1" showColumnStripes="0"/>
</table>
</file>

<file path=xl/tables/table4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1" xr:uid="{6F1DA7B2-4431-4C28-ABEB-9E4901F90F80}" name="November10_2021" displayName="November10_2021" ref="B5:H22" totalsRowCount="1" headerRowDxfId="5156" headerRowBorderDxfId="5155" tableBorderDxfId="5154" totalsRowBorderDxfId="5153">
  <autoFilter ref="B5:H21" xr:uid="{B912BB5A-5D11-44A1-9D4C-D56A5EAB5384}"/>
  <sortState xmlns:xlrd2="http://schemas.microsoft.com/office/spreadsheetml/2017/richdata2" ref="B6:H21">
    <sortCondition ref="B6:B21"/>
  </sortState>
  <tableColumns count="7">
    <tableColumn id="1" xr3:uid="{5E15C142-4685-420A-8D66-3BA3DF6BEF88}" name="BDC LIST" totalsRowLabel="Total" dataDxfId="5152" totalsRowDxfId="5151"/>
    <tableColumn id="2" xr3:uid="{8F5DAC4E-FE2D-4BEE-BD3E-898AC042D4EB}" name="KSI_AGO" totalsRowFunction="custom" dataDxfId="5150" totalsRowDxfId="5149">
      <totalsRowFormula>SUM(November10_2021[KSI_AGO])</totalsRowFormula>
    </tableColumn>
    <tableColumn id="3" xr3:uid="{46D55027-8CA1-4023-9A42-75B15EAE3577}" name="KSI_PMS" totalsRowFunction="sum" dataDxfId="5148" totalsRowDxfId="5147" dataCellStyle="Comma"/>
    <tableColumn id="4" xr3:uid="{E8A91DD1-BE37-453B-8687-CB146365E4E4}" name="BUIPE_AGO" totalsRowFunction="custom" dataDxfId="5146" totalsRowDxfId="5145">
      <totalsRowFormula>SUM(November10_2021[BUIPE_AGO])</totalsRowFormula>
    </tableColumn>
    <tableColumn id="5" xr3:uid="{1883DBF2-937B-4FDB-B812-4DD3684FA4CD}" name="BUIPE_PMS" totalsRowFunction="custom" dataDxfId="5144" totalsRowDxfId="5143" dataCellStyle="Comma">
      <totalsRowFormula>SUM(November10_2021[BUIPE_PMS])</totalsRowFormula>
    </tableColumn>
    <tableColumn id="6" xr3:uid="{44283BEF-42F2-4ABA-BF39-A0AE67A0FA47}" name="AKOSOMBO_AGO" totalsRowFunction="custom" dataDxfId="5142" totalsRowDxfId="5141">
      <totalsRowFormula>SUM(November10_2021[AKOSOMBO_AGO])</totalsRowFormula>
    </tableColumn>
    <tableColumn id="7" xr3:uid="{FDD2F978-FD51-475D-A92B-B6F241E5CB73}" name="DATE" dataDxfId="5140" totalsRowDxfId="5139">
      <calculatedColumnFormula>$G$3</calculatedColumnFormula>
    </tableColumn>
  </tableColumns>
  <tableStyleInfo showFirstColumn="0" showLastColumn="0" showRowStripes="1" showColumnStripes="0"/>
</table>
</file>

<file path=xl/tables/table4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2" xr:uid="{A01BCF41-BB5E-4A34-8AE0-3FE4263065D7}" name="November11_2021" displayName="November11_2021" ref="B5:H22" totalsRowCount="1" headerRowDxfId="5138" headerRowBorderDxfId="5137" tableBorderDxfId="5136" totalsRowBorderDxfId="5135">
  <autoFilter ref="B5:H21" xr:uid="{B912BB5A-5D11-44A1-9D4C-D56A5EAB5384}"/>
  <sortState xmlns:xlrd2="http://schemas.microsoft.com/office/spreadsheetml/2017/richdata2" ref="B6:H21">
    <sortCondition ref="B6:B21"/>
  </sortState>
  <tableColumns count="7">
    <tableColumn id="1" xr3:uid="{D9AC90DD-5499-4208-B226-1DCE58ABB945}" name="BDC LIST" totalsRowLabel="Total" dataDxfId="5134" totalsRowDxfId="5133"/>
    <tableColumn id="2" xr3:uid="{9BA992DA-B1A2-4D54-A932-88ED834CA24F}" name="KSI_AGO" totalsRowFunction="custom" dataDxfId="5132" totalsRowDxfId="5131">
      <totalsRowFormula>SUM(November11_2021[KSI_AGO])</totalsRowFormula>
    </tableColumn>
    <tableColumn id="3" xr3:uid="{1220EAA9-AF9D-4574-A48D-AA9A01B263BE}" name="KSI_PMS" totalsRowFunction="sum" dataDxfId="5130" totalsRowDxfId="5129" dataCellStyle="Comma"/>
    <tableColumn id="4" xr3:uid="{D0D4CABC-F2C0-44EC-B3EF-2D2F3F6B18B5}" name="BUIPE_AGO" totalsRowFunction="custom" dataDxfId="5128" totalsRowDxfId="5127">
      <totalsRowFormula>SUM(November11_2021[BUIPE_AGO])</totalsRowFormula>
    </tableColumn>
    <tableColumn id="5" xr3:uid="{1F1C856B-9E15-4525-8DA1-2CAB50F05A10}" name="BUIPE_PMS" totalsRowFunction="custom" dataDxfId="5126" totalsRowDxfId="5125" dataCellStyle="Comma">
      <totalsRowFormula>SUM(November11_2021[BUIPE_PMS])</totalsRowFormula>
    </tableColumn>
    <tableColumn id="6" xr3:uid="{1361C47D-5674-4B8C-9651-3F2804B49EA2}" name="AKOSOMBO_AGO" totalsRowFunction="custom" dataDxfId="5124" totalsRowDxfId="5123">
      <totalsRowFormula>SUM(November11_2021[AKOSOMBO_AGO])</totalsRowFormula>
    </tableColumn>
    <tableColumn id="7" xr3:uid="{E1520CDB-3D7E-4F1E-AA6F-AFC70A477CA2}" name="DATE" dataDxfId="5122" totalsRowDxfId="5121">
      <calculatedColumnFormula>$G$3</calculatedColumnFormula>
    </tableColumn>
  </tableColumns>
  <tableStyleInfo showFirstColumn="0" showLastColumn="0" showRowStripes="1" showColumnStripes="0"/>
</table>
</file>

<file path=xl/tables/table4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3" xr:uid="{BBA1C567-F4BE-4436-9308-F29F83CE9E78}" name="November12_2021" displayName="November12_2021" ref="B5:H23" totalsRowCount="1" headerRowDxfId="5120" headerRowBorderDxfId="5119" tableBorderDxfId="5118" totalsRowBorderDxfId="5117">
  <autoFilter ref="B5:H22" xr:uid="{B912BB5A-5D11-44A1-9D4C-D56A5EAB5384}"/>
  <sortState xmlns:xlrd2="http://schemas.microsoft.com/office/spreadsheetml/2017/richdata2" ref="B6:H22">
    <sortCondition ref="B6:B22"/>
  </sortState>
  <tableColumns count="7">
    <tableColumn id="1" xr3:uid="{AEB1A333-8F86-4668-914B-28C06371CD0D}" name="BDC LIST" totalsRowLabel="Total" dataDxfId="5116" totalsRowDxfId="5115"/>
    <tableColumn id="2" xr3:uid="{45BEDF09-A552-49C6-A444-3F53B1128579}" name="KSI_AGO" totalsRowFunction="custom" dataDxfId="5114" totalsRowDxfId="5113">
      <totalsRowFormula>SUM(November12_2021[KSI_AGO])</totalsRowFormula>
    </tableColumn>
    <tableColumn id="3" xr3:uid="{680BB0EE-A6E1-4E16-B5C8-45F8C84A92E1}" name="KSI_PMS" totalsRowFunction="sum" dataDxfId="5112" totalsRowDxfId="5111" dataCellStyle="Comma"/>
    <tableColumn id="4" xr3:uid="{17B43A8F-0665-43DB-9D10-77D6C2987FF9}" name="BUIPE_AGO" totalsRowFunction="custom" dataDxfId="5110" totalsRowDxfId="5109">
      <totalsRowFormula>SUM(November12_2021[BUIPE_AGO])</totalsRowFormula>
    </tableColumn>
    <tableColumn id="5" xr3:uid="{30C343DF-66FC-4B4E-BB16-B4731CE719EC}" name="BUIPE_PMS" totalsRowFunction="custom" dataDxfId="5108" totalsRowDxfId="5107" dataCellStyle="Comma">
      <totalsRowFormula>SUM(November12_2021[BUIPE_PMS])</totalsRowFormula>
    </tableColumn>
    <tableColumn id="6" xr3:uid="{D835DE67-7CAF-4DB8-B50C-A280ABF023BC}" name="AKOSOMBO_AGO" totalsRowFunction="custom" dataDxfId="5106" totalsRowDxfId="5105">
      <totalsRowFormula>SUM(November12_2021[AKOSOMBO_AGO])</totalsRowFormula>
    </tableColumn>
    <tableColumn id="7" xr3:uid="{C69B62FA-519E-47AD-B40B-F69DCBCC8A6C}" name="DATE" dataDxfId="5104" totalsRowDxfId="5103">
      <calculatedColumnFormula>$G$3</calculatedColumnFormula>
    </tableColumn>
  </tableColumns>
  <tableStyleInfo showFirstColumn="0" showLastColumn="0" showRowStripes="1" showColumnStripes="0"/>
</table>
</file>

<file path=xl/tables/table4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4" xr:uid="{24C2D16B-566C-48E7-B5AA-83BB6874FDE4}" name="November12_202112" displayName="November12_202112" ref="B5:H23" totalsRowCount="1" headerRowDxfId="5102" headerRowBorderDxfId="5101" tableBorderDxfId="5100" totalsRowBorderDxfId="5099">
  <autoFilter ref="B5:H22" xr:uid="{B912BB5A-5D11-44A1-9D4C-D56A5EAB5384}"/>
  <sortState xmlns:xlrd2="http://schemas.microsoft.com/office/spreadsheetml/2017/richdata2" ref="B6:H22">
    <sortCondition ref="B6:B22"/>
  </sortState>
  <tableColumns count="7">
    <tableColumn id="1" xr3:uid="{FA258353-8114-4774-8907-A2B187415055}" name="BDC LIST" totalsRowLabel="Total" dataDxfId="5098" totalsRowDxfId="5097"/>
    <tableColumn id="2" xr3:uid="{A262FEA3-8492-4A73-97AA-E71139282171}" name="KSI_AGO" totalsRowFunction="custom" dataDxfId="5096" totalsRowDxfId="5095">
      <totalsRowFormula>SUM(November12_202112[KSI_AGO])</totalsRowFormula>
    </tableColumn>
    <tableColumn id="3" xr3:uid="{5E11446A-3528-4828-AFCF-DF55DDB0B854}" name="KSI_PMS" totalsRowFunction="sum" dataDxfId="5094" totalsRowDxfId="5093" dataCellStyle="Comma"/>
    <tableColumn id="4" xr3:uid="{B6FBEE77-71E6-4C87-9E8C-049F79381802}" name="BUIPE_AGO" totalsRowFunction="custom" dataDxfId="5092" totalsRowDxfId="5091">
      <totalsRowFormula>SUM(November12_202112[BUIPE_AGO])</totalsRowFormula>
    </tableColumn>
    <tableColumn id="5" xr3:uid="{CBB3B998-6281-422C-9EC3-68824515EB49}" name="BUIPE_PMS" totalsRowFunction="custom" dataDxfId="5090" totalsRowDxfId="5089" dataCellStyle="Comma">
      <totalsRowFormula>SUM(November12_202112[BUIPE_PMS])</totalsRowFormula>
    </tableColumn>
    <tableColumn id="6" xr3:uid="{924CAD1B-B496-45E3-B625-2C4EF1DE917D}" name="AKOSOMBO_AGO" totalsRowFunction="custom" dataDxfId="5088" totalsRowDxfId="5087">
      <totalsRowFormula>SUM(November12_202112[AKOSOMBO_AGO])</totalsRowFormula>
    </tableColumn>
    <tableColumn id="7" xr3:uid="{4BBCEF78-5F4D-4068-AFD8-601DDB736AE0}" name="DATE" dataDxfId="5086" totalsRowDxfId="5085">
      <calculatedColumnFormula>$G$3</calculatedColumnFormula>
    </tableColumn>
  </tableColumns>
  <tableStyleInfo showFirstColumn="0" showLastColumn="0" showRowStripes="1" showColumnStripes="0"/>
</table>
</file>

<file path=xl/tables/table4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6" xr:uid="{7904916A-D4F8-4BA7-B633-F70F2A35CABF}" name="November16_2021" displayName="November16_2021" ref="B5:H23" totalsRowCount="1" headerRowDxfId="5084" headerRowBorderDxfId="5083" tableBorderDxfId="5082" totalsRowBorderDxfId="5081">
  <autoFilter ref="B5:H22" xr:uid="{B912BB5A-5D11-44A1-9D4C-D56A5EAB5384}"/>
  <sortState xmlns:xlrd2="http://schemas.microsoft.com/office/spreadsheetml/2017/richdata2" ref="B6:H22">
    <sortCondition ref="B6:B22"/>
  </sortState>
  <tableColumns count="7">
    <tableColumn id="1" xr3:uid="{2542E883-BD86-4B8C-AC79-0841C4E34CD2}" name="BDC LIST" totalsRowLabel="Total" dataDxfId="5080" totalsRowDxfId="5079"/>
    <tableColumn id="2" xr3:uid="{7F461A97-435C-45A5-842C-52032867588E}" name="KSI_AGO" totalsRowFunction="custom" dataDxfId="5078" totalsRowDxfId="5077">
      <totalsRowFormula>SUM(November16_2021[KSI_AGO])</totalsRowFormula>
    </tableColumn>
    <tableColumn id="3" xr3:uid="{F0761B61-D7F7-497D-8730-3312D5521628}" name="KSI_PMS" totalsRowFunction="sum" dataDxfId="5076" totalsRowDxfId="5075" dataCellStyle="Comma"/>
    <tableColumn id="4" xr3:uid="{24E3656E-E0B4-4E1D-A307-4D01E24E5DA9}" name="BUIPE_AGO" totalsRowFunction="custom" dataDxfId="5074" totalsRowDxfId="5073">
      <totalsRowFormula>SUM(November16_2021[BUIPE_AGO])</totalsRowFormula>
    </tableColumn>
    <tableColumn id="5" xr3:uid="{84E1EB90-26F9-43CD-A8D7-A2CD32CAFF12}" name="BUIPE_PMS" totalsRowFunction="custom" dataDxfId="5072" totalsRowDxfId="5071" dataCellStyle="Comma">
      <totalsRowFormula>SUM(November16_2021[BUIPE_PMS])</totalsRowFormula>
    </tableColumn>
    <tableColumn id="6" xr3:uid="{71758A7E-0F02-4C8A-AE04-C96D7888F747}" name="AKOSOMBO_AGO" totalsRowFunction="custom" dataDxfId="5070" totalsRowDxfId="5069">
      <totalsRowFormula>SUM(November16_2021[AKOSOMBO_AGO])</totalsRowFormula>
    </tableColumn>
    <tableColumn id="7" xr3:uid="{80F5A3AA-A06F-4328-A7D5-3AD4950FC7CA}" name="DATE" dataDxfId="5068" totalsRowDxfId="5067">
      <calculatedColumnFormula>$G$3</calculatedColumnFormula>
    </tableColumn>
  </tableColumns>
  <tableStyleInfo showFirstColumn="0" showLastColumn="0" showRowStripes="1" showColumnStripes="0"/>
</table>
</file>

<file path=xl/tables/table4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9" xr:uid="{9F3D4132-0EA5-46BA-AE0C-458FC86C40A4}" name="November17_2021" displayName="November17_2021" ref="B5:H23" totalsRowCount="1" headerRowDxfId="5066" headerRowBorderDxfId="5065" tableBorderDxfId="5064" totalsRowBorderDxfId="5063">
  <autoFilter ref="B5:H22" xr:uid="{9F3D4132-0EA5-46BA-AE0C-458FC86C40A4}"/>
  <sortState xmlns:xlrd2="http://schemas.microsoft.com/office/spreadsheetml/2017/richdata2" ref="B6:H22">
    <sortCondition ref="B6:B22"/>
  </sortState>
  <tableColumns count="7">
    <tableColumn id="1" xr3:uid="{9FC10B0C-BD25-4CE9-AAE9-C6E566DF8048}" name="BDC LIST" totalsRowLabel="Total" dataDxfId="5062" totalsRowDxfId="5061"/>
    <tableColumn id="2" xr3:uid="{22A409FE-A439-4427-ABEB-A96FA4CA6678}" name="KSI_AGO" totalsRowFunction="custom" dataDxfId="5060" totalsRowDxfId="5059">
      <totalsRowFormula>SUM(November17_2021[KSI_AGO])</totalsRowFormula>
    </tableColumn>
    <tableColumn id="3" xr3:uid="{E5EB42DF-8A64-4BB6-8765-1E2A97C4244C}" name="KSI_PMS" totalsRowFunction="sum" dataDxfId="5058" totalsRowDxfId="5057" dataCellStyle="Comma"/>
    <tableColumn id="4" xr3:uid="{08FFDFB2-71F1-4614-81BC-566A3399304F}" name="BUIPE_AGO" totalsRowFunction="custom" dataDxfId="5056" totalsRowDxfId="5055">
      <totalsRowFormula>SUM(November17_2021[BUIPE_AGO])</totalsRowFormula>
    </tableColumn>
    <tableColumn id="5" xr3:uid="{E44590AD-A003-4DA4-9EA8-9AA9BD3F1B8E}" name="BUIPE_PMS" totalsRowFunction="custom" dataDxfId="5054" totalsRowDxfId="5053" dataCellStyle="Comma">
      <totalsRowFormula>SUM(November17_2021[BUIPE_PMS])</totalsRowFormula>
    </tableColumn>
    <tableColumn id="6" xr3:uid="{8693C803-86AF-40BF-B544-6601EA22BC70}" name="AKOSOMBO_AGO" totalsRowFunction="custom" dataDxfId="5052" totalsRowDxfId="5051">
      <totalsRowFormula>SUM(November17_2021[AKOSOMBO_AGO])</totalsRowFormula>
    </tableColumn>
    <tableColumn id="7" xr3:uid="{09E17BFB-200C-4A04-89C5-ECB262A5A9F8}" name="DATE" dataDxfId="5050" totalsRowDxfId="5049">
      <calculatedColumnFormula>$G$3</calculatedColumnFormula>
    </tableColumn>
  </tableColumns>
  <tableStyleInfo showFirstColumn="0" showLastColumn="0" showRowStripes="1" showColumnStripes="0"/>
</table>
</file>

<file path=xl/tables/table4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7" xr:uid="{1F9A7EC6-8C57-45A0-A79E-53A2018D2101}" name="November18_2021" displayName="November18_2021" ref="B5:H23" totalsRowCount="1" headerRowDxfId="5048" headerRowBorderDxfId="5047" tableBorderDxfId="5046" totalsRowBorderDxfId="5045">
  <autoFilter ref="B5:H22" xr:uid="{B912BB5A-5D11-44A1-9D4C-D56A5EAB5384}"/>
  <sortState xmlns:xlrd2="http://schemas.microsoft.com/office/spreadsheetml/2017/richdata2" ref="B6:H22">
    <sortCondition ref="B6:B22"/>
  </sortState>
  <tableColumns count="7">
    <tableColumn id="1" xr3:uid="{C2415031-240A-4178-97E8-64F9625616BE}" name="BDC LIST" totalsRowLabel="Total" dataDxfId="5044" totalsRowDxfId="5043"/>
    <tableColumn id="2" xr3:uid="{6741BAE6-33A9-4A2B-A06C-082A83D3A9FB}" name="KSI_AGO" totalsRowFunction="custom" dataDxfId="5042" totalsRowDxfId="5041">
      <totalsRowFormula>SUM(November18_2021[KSI_AGO])</totalsRowFormula>
    </tableColumn>
    <tableColumn id="3" xr3:uid="{BB7D9098-0D2A-4E1F-9FD3-41012F4B4DA1}" name="KSI_PMS" totalsRowFunction="sum" dataDxfId="5040" totalsRowDxfId="5039" dataCellStyle="Comma"/>
    <tableColumn id="4" xr3:uid="{31FB712E-436D-4112-B57D-CDC7DAF0F40E}" name="BUIPE_AGO" totalsRowFunction="custom" dataDxfId="5038" totalsRowDxfId="5037">
      <totalsRowFormula>SUM(November18_2021[BUIPE_AGO])</totalsRowFormula>
    </tableColumn>
    <tableColumn id="5" xr3:uid="{5C29A093-F066-4727-9E48-D09089CE7A46}" name="BUIPE_PMS" totalsRowFunction="custom" dataDxfId="5036" totalsRowDxfId="5035" dataCellStyle="Comma">
      <totalsRowFormula>SUM(November18_2021[BUIPE_PMS])</totalsRowFormula>
    </tableColumn>
    <tableColumn id="6" xr3:uid="{B77AB109-988A-4811-AE90-4E69D7532927}" name="AKOSOMBO_AGO" totalsRowFunction="custom" dataDxfId="5034" totalsRowDxfId="5033">
      <totalsRowFormula>SUM(November18_2021[AKOSOMBO_AGO])</totalsRowFormula>
    </tableColumn>
    <tableColumn id="7" xr3:uid="{44960EE5-57F3-4C2E-9F9B-7E102F4BEC68}" name="DATE" dataDxfId="5032" totalsRowDxfId="5031">
      <calculatedColumnFormula>$G$3</calculatedColumnFormula>
    </tableColumn>
  </tableColumns>
  <tableStyleInfo showFirstColumn="0" showLastColumn="0" showRowStripes="1" showColumnStripes="0"/>
</table>
</file>

<file path=xl/tables/table4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0" xr:uid="{FC506CE8-E803-4427-BE1F-CD812E16D8B5}" name="November19_2021" displayName="November19_2021" ref="B5:H23" totalsRowCount="1" headerRowDxfId="5030" headerRowBorderDxfId="5029" tableBorderDxfId="5028" totalsRowBorderDxfId="5027">
  <autoFilter ref="B5:H22" xr:uid="{FC506CE8-E803-4427-BE1F-CD812E16D8B5}"/>
  <sortState xmlns:xlrd2="http://schemas.microsoft.com/office/spreadsheetml/2017/richdata2" ref="B6:H22">
    <sortCondition ref="B6:B22"/>
  </sortState>
  <tableColumns count="7">
    <tableColumn id="1" xr3:uid="{AA7C6863-F75B-4360-9A85-3F02721B8D39}" name="BDC LIST" totalsRowLabel="Total" dataDxfId="5026" totalsRowDxfId="5025"/>
    <tableColumn id="2" xr3:uid="{08E57AFC-3F0B-4C01-967E-177391A627D0}" name="KSI_AGO" totalsRowFunction="custom" dataDxfId="5024" totalsRowDxfId="5023">
      <totalsRowFormula>SUM(November19_2021[KSI_AGO])</totalsRowFormula>
    </tableColumn>
    <tableColumn id="3" xr3:uid="{256753E2-B347-4568-AAF7-8E4416F2A70A}" name="KSI_PMS" totalsRowFunction="sum" dataDxfId="5022" totalsRowDxfId="5021" dataCellStyle="Comma"/>
    <tableColumn id="4" xr3:uid="{AAEC20D6-9B30-4147-A8DC-2F2426E80F1A}" name="BUIPE_AGO" totalsRowFunction="custom" dataDxfId="5020" totalsRowDxfId="5019">
      <totalsRowFormula>SUM(November19_2021[BUIPE_AGO])</totalsRowFormula>
    </tableColumn>
    <tableColumn id="5" xr3:uid="{AC1808B5-350A-4BA5-B139-14467A4B6700}" name="BUIPE_PMS" totalsRowFunction="custom" dataDxfId="5018" totalsRowDxfId="5017" dataCellStyle="Comma">
      <totalsRowFormula>SUM(November19_2021[BUIPE_PMS])</totalsRowFormula>
    </tableColumn>
    <tableColumn id="6" xr3:uid="{154A024D-ADDE-4D9D-8E67-DF06C99FA80A}" name="AKOSOMBO_AGO" totalsRowFunction="custom" dataDxfId="5016" totalsRowDxfId="5015">
      <totalsRowFormula>SUM(November19_2021[AKOSOMBO_AGO])</totalsRowFormula>
    </tableColumn>
    <tableColumn id="7" xr3:uid="{17183666-9244-4568-AC6B-E7D144D2F475}" name="DATE" dataDxfId="5014" totalsRowDxfId="5013">
      <calculatedColumnFormula>$G$3</calculatedColumnFormula>
    </tableColumn>
  </tableColumns>
  <tableStyleInfo showFirstColumn="0" showLastColumn="0" showRowStripes="1" showColumnStripes="0"/>
</table>
</file>

<file path=xl/tables/table4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0" xr:uid="{476367AF-6BEA-4E26-BE2E-58EB7AC801E3}" name="November22_2021" displayName="November22_2021" ref="B5:H23" totalsRowCount="1" headerRowDxfId="5012" headerRowBorderDxfId="5011" tableBorderDxfId="5010" totalsRowBorderDxfId="5009">
  <autoFilter ref="B5:H22" xr:uid="{B912BB5A-5D11-44A1-9D4C-D56A5EAB5384}"/>
  <sortState xmlns:xlrd2="http://schemas.microsoft.com/office/spreadsheetml/2017/richdata2" ref="B6:H22">
    <sortCondition ref="B6:B22"/>
  </sortState>
  <tableColumns count="7">
    <tableColumn id="1" xr3:uid="{5325CD3D-B47F-4FCB-9664-460B363CCE2B}" name="BDC LIST" totalsRowLabel="Total" dataDxfId="5008" totalsRowDxfId="5007"/>
    <tableColumn id="2" xr3:uid="{E0BCAE76-7089-48D8-BA1A-69A71403D93B}" name="KSI_AGO" totalsRowFunction="custom" dataDxfId="5006" totalsRowDxfId="5005">
      <totalsRowFormula>SUM(November22_2021[KSI_AGO])</totalsRowFormula>
    </tableColumn>
    <tableColumn id="3" xr3:uid="{6EC2CFBA-9265-471F-86AE-289F90AEB0BB}" name="KSI_PMS" totalsRowFunction="sum" dataDxfId="5004" totalsRowDxfId="5003" dataCellStyle="Comma"/>
    <tableColumn id="4" xr3:uid="{981166E8-8F09-4CF5-B309-70FE630FE445}" name="BUIPE_AGO" totalsRowFunction="custom" dataDxfId="5002" totalsRowDxfId="5001">
      <totalsRowFormula>SUM(November22_2021[BUIPE_AGO])</totalsRowFormula>
    </tableColumn>
    <tableColumn id="5" xr3:uid="{27613618-918E-4455-BB47-DEDD0A96FF0F}" name="BUIPE_PMS" totalsRowFunction="custom" dataDxfId="5000" totalsRowDxfId="4999" dataCellStyle="Comma">
      <totalsRowFormula>SUM(November22_2021[BUIPE_PMS])</totalsRowFormula>
    </tableColumn>
    <tableColumn id="6" xr3:uid="{1F4D538A-9AC2-4DA9-BDCD-1C9F9C6B97C8}" name="AKOSOMBO_AGO" totalsRowFunction="custom" dataDxfId="4998" totalsRowDxfId="4997">
      <totalsRowFormula>SUM(November22_2021[AKOSOMBO_AGO])</totalsRowFormula>
    </tableColumn>
    <tableColumn id="7" xr3:uid="{3712A441-736E-4AA2-91EB-5654B76B1FD8}" name="DATE" dataDxfId="4996" totalsRowDxfId="4995">
      <calculatedColumnFormula>$G$3</calculatedColumnFormula>
    </tableColumn>
  </tableColumns>
  <tableStyleInfo showFirstColumn="0" showLastColumn="0" showRowStripes="1" showColumnStripes="0"/>
</table>
</file>

<file path=xl/tables/table4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1" xr:uid="{74CCC5CD-E899-41B0-BBF9-2BC510A35D35}" name="November23_2021" displayName="November23_2021" ref="B5:H23" totalsRowCount="1" headerRowDxfId="4994" headerRowBorderDxfId="4993" tableBorderDxfId="4992" totalsRowBorderDxfId="4991">
  <autoFilter ref="B5:H22" xr:uid="{B912BB5A-5D11-44A1-9D4C-D56A5EAB5384}"/>
  <sortState xmlns:xlrd2="http://schemas.microsoft.com/office/spreadsheetml/2017/richdata2" ref="B6:H22">
    <sortCondition ref="B6:B22"/>
  </sortState>
  <tableColumns count="7">
    <tableColumn id="1" xr3:uid="{91E84EA3-BDF2-453E-9672-E8255710D1FA}" name="BDC LIST" totalsRowLabel="Total" dataDxfId="4990" totalsRowDxfId="4989"/>
    <tableColumn id="2" xr3:uid="{DF6784E8-01C1-442A-AB4B-B687B8B2FE7E}" name="KSI_AGO" totalsRowFunction="custom" dataDxfId="4988" totalsRowDxfId="4987">
      <totalsRowFormula>SUM(November23_2021[KSI_AGO])</totalsRowFormula>
    </tableColumn>
    <tableColumn id="3" xr3:uid="{D386ADCA-620A-4D63-AC57-E2610AC77EC7}" name="KSI_PMS" totalsRowFunction="sum" dataDxfId="4986" totalsRowDxfId="4985" dataCellStyle="Comma"/>
    <tableColumn id="4" xr3:uid="{EC2ED4F9-10CF-4211-8FA6-2D11EEF55AC9}" name="BUIPE_AGO" totalsRowFunction="custom" dataDxfId="4984" totalsRowDxfId="4983">
      <totalsRowFormula>SUM(November23_2021[BUIPE_AGO])</totalsRowFormula>
    </tableColumn>
    <tableColumn id="5" xr3:uid="{C67D369B-5529-4421-93F8-873E4CD5C5CD}" name="BUIPE_PMS" totalsRowFunction="custom" dataDxfId="4982" totalsRowDxfId="4981" dataCellStyle="Comma">
      <totalsRowFormula>SUM(November23_2021[BUIPE_PMS])</totalsRowFormula>
    </tableColumn>
    <tableColumn id="6" xr3:uid="{B0919C20-8E58-4EA9-8B61-9C6FE120315E}" name="AKOSOMBO_AGO" totalsRowFunction="custom" dataDxfId="4980" totalsRowDxfId="4979">
      <totalsRowFormula>SUM(November23_2021[AKOSOMBO_AGO])</totalsRowFormula>
    </tableColumn>
    <tableColumn id="7" xr3:uid="{B19F9E17-FF4C-405D-86B0-B8DC262EAB59}" name="DATE" dataDxfId="4978" totalsRowDxfId="4977">
      <calculatedColumnFormula>$G$3</calculatedColumnFormula>
    </tableColumn>
  </tableColumns>
  <tableStyleInfo showFirstColumn="0" showLastColumn="0" showRowStripes="1" showColumnStripes="0"/>
</table>
</file>

<file path=xl/tables/table4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2" xr:uid="{931422BD-77BD-424F-A88E-DFCED79F28F8}" name="November24_2021" displayName="November24_2021" ref="B5:H23" totalsRowCount="1" headerRowDxfId="4976" headerRowBorderDxfId="4975" tableBorderDxfId="4974" totalsRowBorderDxfId="4973">
  <autoFilter ref="B5:H22" xr:uid="{B912BB5A-5D11-44A1-9D4C-D56A5EAB5384}"/>
  <sortState xmlns:xlrd2="http://schemas.microsoft.com/office/spreadsheetml/2017/richdata2" ref="B6:H22">
    <sortCondition ref="B6:B22"/>
  </sortState>
  <tableColumns count="7">
    <tableColumn id="1" xr3:uid="{990308CD-9C89-4D32-A832-0BB538CF296B}" name="BDC LIST" totalsRowLabel="Total" dataDxfId="4972" totalsRowDxfId="4971"/>
    <tableColumn id="2" xr3:uid="{36044A08-D28E-4D27-93DF-1BB28DA17648}" name="KSI_AGO" totalsRowFunction="custom" dataDxfId="4970" totalsRowDxfId="4969">
      <totalsRowFormula>SUM(November24_2021[KSI_AGO])</totalsRowFormula>
    </tableColumn>
    <tableColumn id="3" xr3:uid="{3AD77804-8378-45C6-9C6C-5A348E6A7B78}" name="KSI_PMS" totalsRowFunction="sum" dataDxfId="4968" totalsRowDxfId="4967" dataCellStyle="Comma"/>
    <tableColumn id="4" xr3:uid="{0055439F-57CE-4F8E-A234-AC6515D68BF1}" name="BUIPE_AGO" totalsRowFunction="custom" dataDxfId="4966" totalsRowDxfId="4965">
      <totalsRowFormula>SUM(November24_2021[BUIPE_AGO])</totalsRowFormula>
    </tableColumn>
    <tableColumn id="5" xr3:uid="{E66E5639-303E-43B5-8869-368F4D9517F9}" name="BUIPE_PMS" totalsRowFunction="custom" dataDxfId="4964" totalsRowDxfId="4963" dataCellStyle="Comma">
      <totalsRowFormula>SUM(November24_2021[BUIPE_PMS])</totalsRowFormula>
    </tableColumn>
    <tableColumn id="6" xr3:uid="{E01F6150-0ABA-4A5C-8810-3B591FBDD843}" name="AKOSOMBO_AGO" totalsRowFunction="custom" dataDxfId="4962" totalsRowDxfId="4961">
      <totalsRowFormula>SUM(November24_2021[AKOSOMBO_AGO])</totalsRowFormula>
    </tableColumn>
    <tableColumn id="7" xr3:uid="{F386F200-CF85-43D8-89E0-CD52B12BB06F}" name="DATE" dataDxfId="4960" totalsRowDxfId="4959">
      <calculatedColumnFormula>$G$3</calculatedColumnFormula>
    </tableColumn>
  </tableColumns>
  <tableStyleInfo showFirstColumn="0" showLastColumn="0" showRowStripes="1" showColumnStripes="0"/>
</table>
</file>

<file path=xl/tables/table4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3" xr:uid="{9D320026-C44E-4BA9-AF50-E3FA083578F0}" name="November25_2021" displayName="November25_2021" ref="B5:H23" totalsRowCount="1" headerRowDxfId="4958" headerRowBorderDxfId="4957" tableBorderDxfId="4956" totalsRowBorderDxfId="4955">
  <autoFilter ref="B5:H22" xr:uid="{B912BB5A-5D11-44A1-9D4C-D56A5EAB5384}"/>
  <sortState xmlns:xlrd2="http://schemas.microsoft.com/office/spreadsheetml/2017/richdata2" ref="B6:H22">
    <sortCondition ref="B6:B22"/>
  </sortState>
  <tableColumns count="7">
    <tableColumn id="1" xr3:uid="{234B92C9-EC9F-4E4E-9B1D-AE8D8CD6F87C}" name="BDC LIST" totalsRowLabel="Total" dataDxfId="4954" totalsRowDxfId="4953"/>
    <tableColumn id="2" xr3:uid="{C778302E-2F35-48D0-9B04-BDFEF92249B0}" name="KSI_AGO" totalsRowFunction="custom" dataDxfId="4952" totalsRowDxfId="4951">
      <totalsRowFormula>SUM(November25_2021[KSI_AGO])</totalsRowFormula>
    </tableColumn>
    <tableColumn id="3" xr3:uid="{7990C62F-40B3-4D50-BAE5-11C2CBD708A0}" name="KSI_PMS" totalsRowFunction="sum" dataDxfId="4950" totalsRowDxfId="4949" dataCellStyle="Comma"/>
    <tableColumn id="4" xr3:uid="{73AC723D-2D7C-49D4-9CC8-B72C8607BE4B}" name="BUIPE_AGO" totalsRowFunction="custom" dataDxfId="4948" totalsRowDxfId="4947">
      <totalsRowFormula>SUM(November25_2021[BUIPE_AGO])</totalsRowFormula>
    </tableColumn>
    <tableColumn id="5" xr3:uid="{DE52EBD2-8FC0-4652-A2FE-3BD0FC1DEA5D}" name="BUIPE_PMS" totalsRowFunction="custom" dataDxfId="4946" totalsRowDxfId="4945" dataCellStyle="Comma">
      <totalsRowFormula>SUM(November25_2021[BUIPE_PMS])</totalsRowFormula>
    </tableColumn>
    <tableColumn id="6" xr3:uid="{3948DE07-4A4D-40C5-9952-D9465844CAC1}" name="AKOSOMBO_AGO" totalsRowFunction="custom" dataDxfId="4944" totalsRowDxfId="4943">
      <totalsRowFormula>SUM(November25_2021[AKOSOMBO_AGO])</totalsRowFormula>
    </tableColumn>
    <tableColumn id="7" xr3:uid="{E9531469-D4BA-44A4-8750-5999CA1AA927}" name="DATE" dataDxfId="4942" totalsRowDxfId="4941">
      <calculatedColumnFormula>$G$3</calculatedColumnFormula>
    </tableColumn>
  </tableColumns>
  <tableStyleInfo showFirstColumn="0" showLastColumn="0" showRowStripes="1" showColumnStripes="0"/>
</table>
</file>

<file path=xl/tables/table4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4" xr:uid="{4CF646E4-74E5-4B67-B4AB-B82D46E4780F}" name="November26_2021" displayName="November26_2021" ref="B5:H23" totalsRowCount="1" headerRowDxfId="4940" headerRowBorderDxfId="4939" tableBorderDxfId="4938" totalsRowBorderDxfId="4937">
  <autoFilter ref="B5:H22" xr:uid="{B912BB5A-5D11-44A1-9D4C-D56A5EAB5384}"/>
  <sortState xmlns:xlrd2="http://schemas.microsoft.com/office/spreadsheetml/2017/richdata2" ref="B6:H22">
    <sortCondition ref="B6:B22"/>
  </sortState>
  <tableColumns count="7">
    <tableColumn id="1" xr3:uid="{A2270659-AC56-4113-9B67-EF5A67410A98}" name="BDC LIST" totalsRowLabel="Total" dataDxfId="4936" totalsRowDxfId="4935"/>
    <tableColumn id="2" xr3:uid="{155E9B21-975F-4EC0-AE34-59821C0BF249}" name="KSI_AGO" totalsRowFunction="custom" dataDxfId="4934" totalsRowDxfId="4933">
      <totalsRowFormula>SUM(November26_2021[KSI_AGO])</totalsRowFormula>
    </tableColumn>
    <tableColumn id="3" xr3:uid="{ADD2E2E3-D3A3-4A3C-B519-1F01D2B8A809}" name="KSI_PMS" totalsRowFunction="sum" dataDxfId="4932" totalsRowDxfId="4931" dataCellStyle="Comma"/>
    <tableColumn id="4" xr3:uid="{948CC9A3-6B80-4B45-9558-91623115B20A}" name="BUIPE_AGO" totalsRowFunction="custom" dataDxfId="4930" totalsRowDxfId="4929">
      <totalsRowFormula>SUM(November26_2021[BUIPE_AGO])</totalsRowFormula>
    </tableColumn>
    <tableColumn id="5" xr3:uid="{D371541A-9ADE-473E-987D-A71DC801BE5A}" name="BUIPE_PMS" totalsRowFunction="custom" dataDxfId="4928" totalsRowDxfId="4927" dataCellStyle="Comma">
      <totalsRowFormula>SUM(November26_2021[BUIPE_PMS])</totalsRowFormula>
    </tableColumn>
    <tableColumn id="6" xr3:uid="{5DC2F884-2F64-4753-8CA7-6955874E1965}" name="AKOSOMBO_AGO" totalsRowFunction="custom" dataDxfId="4926" totalsRowDxfId="4925">
      <totalsRowFormula>SUM(November26_2021[AKOSOMBO_AGO])</totalsRowFormula>
    </tableColumn>
    <tableColumn id="7" xr3:uid="{03263C1A-B654-4830-B217-E5E9E2F581C5}" name="DATE" dataDxfId="4924" totalsRowDxfId="4923">
      <calculatedColumnFormula>$G$3</calculatedColumnFormula>
    </tableColumn>
  </tableColumns>
  <tableStyleInfo showFirstColumn="0" showLastColumn="0" showRowStripes="1" showColumnStripes="0"/>
</table>
</file>

<file path=xl/tables/table4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5" xr:uid="{744C7DDA-69F9-436D-A362-FF95654DEFE8}" name="November26_202123" displayName="November26_202123" ref="B5:H23" totalsRowCount="1" headerRowDxfId="4922" headerRowBorderDxfId="4921" tableBorderDxfId="4920" totalsRowBorderDxfId="4919">
  <autoFilter ref="B5:H22" xr:uid="{B912BB5A-5D11-44A1-9D4C-D56A5EAB5384}"/>
  <sortState xmlns:xlrd2="http://schemas.microsoft.com/office/spreadsheetml/2017/richdata2" ref="B6:H22">
    <sortCondition ref="B6:B22"/>
  </sortState>
  <tableColumns count="7">
    <tableColumn id="1" xr3:uid="{9A69A455-D945-4D3E-A7AA-9E5BA2BD2422}" name="BDC LIST" totalsRowLabel="Total" dataDxfId="4918" totalsRowDxfId="4917"/>
    <tableColumn id="2" xr3:uid="{0D74A0E0-0BE2-43D4-8F5D-59088E04E8AD}" name="KSI_AGO" totalsRowFunction="custom" dataDxfId="4916" totalsRowDxfId="4915">
      <totalsRowFormula>SUM(November26_202123[KSI_AGO])</totalsRowFormula>
    </tableColumn>
    <tableColumn id="3" xr3:uid="{928D967A-2933-4BF6-B534-59912B79014A}" name="KSI_PMS" totalsRowFunction="sum" dataDxfId="4914" totalsRowDxfId="4913" dataCellStyle="Comma"/>
    <tableColumn id="4" xr3:uid="{CD50F96F-6DC4-4F21-B425-3973589F94A1}" name="BUIPE_AGO" totalsRowFunction="custom" dataDxfId="4912" totalsRowDxfId="4911">
      <totalsRowFormula>SUM(November26_202123[BUIPE_AGO])</totalsRowFormula>
    </tableColumn>
    <tableColumn id="5" xr3:uid="{646616A8-E870-4020-BD9D-4563D5216C87}" name="BUIPE_PMS" totalsRowFunction="custom" dataDxfId="4910" totalsRowDxfId="4909" dataCellStyle="Comma">
      <totalsRowFormula>SUM(November26_202123[BUIPE_PMS])</totalsRowFormula>
    </tableColumn>
    <tableColumn id="6" xr3:uid="{CFAAED17-11FE-45C6-9AAA-F0CB74631602}" name="AKOSOMBO_AGO" totalsRowFunction="custom" dataDxfId="4908" totalsRowDxfId="4907">
      <totalsRowFormula>SUM(November26_202123[AKOSOMBO_AGO])</totalsRowFormula>
    </tableColumn>
    <tableColumn id="7" xr3:uid="{696FD434-DA08-4D5D-AC53-1C8044EFC65D}" name="DATE" dataDxfId="4906" totalsRowDxfId="4905">
      <calculatedColumnFormula>$G$3</calculatedColumnFormula>
    </tableColumn>
  </tableColumns>
  <tableStyleInfo showFirstColumn="0" showLastColumn="0" showRowStripes="1" showColumnStripes="0"/>
</table>
</file>

<file path=xl/tables/table4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7" xr:uid="{BED02D39-8300-486A-8E07-E19B6F095EF6}" name="November26_20212324488" displayName="November26_20212324488" ref="B5:H23" totalsRowCount="1" headerRowDxfId="4904" headerRowBorderDxfId="4903" tableBorderDxfId="4902" totalsRowBorderDxfId="4901">
  <autoFilter ref="B5:H22" xr:uid="{BED02D39-8300-486A-8E07-E19B6F095EF6}"/>
  <sortState xmlns:xlrd2="http://schemas.microsoft.com/office/spreadsheetml/2017/richdata2" ref="B6:H22">
    <sortCondition ref="B6:B22"/>
  </sortState>
  <tableColumns count="7">
    <tableColumn id="1" xr3:uid="{EC035E96-F1B1-44AC-88FD-F4832D8D0167}" name="BDC LIST" totalsRowLabel="Total" dataDxfId="4900" totalsRowDxfId="4899"/>
    <tableColumn id="2" xr3:uid="{ECFFE81E-4F78-44B7-9B68-EB074334C4A9}" name="KSI_AGO" totalsRowFunction="custom" dataDxfId="4898" totalsRowDxfId="4897" dataCellStyle="Comma">
      <totalsRowFormula>SUM(November26_20212324488[KSI_AGO])</totalsRowFormula>
    </tableColumn>
    <tableColumn id="3" xr3:uid="{81C01124-A534-4C92-9313-BC342E0DECFE}" name="KSI_PMS" totalsRowFunction="sum" dataDxfId="4896" totalsRowDxfId="4895" dataCellStyle="Comma"/>
    <tableColumn id="4" xr3:uid="{3BAAF125-3705-4261-B1C7-3D109161049D}" name="BUIPE_AGO" totalsRowFunction="custom" dataDxfId="4894" totalsRowDxfId="4893">
      <totalsRowFormula>SUM(November26_20212324488[BUIPE_AGO])</totalsRowFormula>
    </tableColumn>
    <tableColumn id="5" xr3:uid="{76BF97AB-60A0-4079-B21C-155504B10964}" name="BUIPE_PMS" totalsRowFunction="custom" dataDxfId="4892" totalsRowDxfId="4891" dataCellStyle="Comma">
      <totalsRowFormula>SUM(November26_20212324488[BUIPE_PMS])</totalsRowFormula>
    </tableColumn>
    <tableColumn id="6" xr3:uid="{737DD270-BDAD-440C-A435-8DA1E1A9D38B}" name="AKOSOMBO_AGO" totalsRowFunction="custom" dataDxfId="4890" totalsRowDxfId="4889" dataCellStyle="Comma">
      <totalsRowFormula>SUM(November26_20212324488[AKOSOMBO_AGO])</totalsRowFormula>
    </tableColumn>
    <tableColumn id="7" xr3:uid="{F2F4C482-9814-4B95-A018-4F3B49635C8A}" name="DATE" dataDxfId="4888" totalsRowDxfId="4887">
      <calculatedColumnFormula>$G$3</calculatedColumnFormula>
    </tableColumn>
  </tableColumns>
  <tableStyleInfo showFirstColumn="0" showLastColumn="0" showRowStripes="1" showColumnStripes="0"/>
</table>
</file>

<file path=xl/tables/table4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5" xr:uid="{6248B7A4-9639-405D-850C-2D96074801D1}" name="December02_2021" displayName="December02_2021" ref="B5:H23" totalsRowCount="1" headerRowDxfId="4886" headerRowBorderDxfId="4885" tableBorderDxfId="4884" totalsRowBorderDxfId="4883">
  <autoFilter ref="B5:H22" xr:uid="{BED02D39-8300-486A-8E07-E19B6F095EF6}"/>
  <sortState xmlns:xlrd2="http://schemas.microsoft.com/office/spreadsheetml/2017/richdata2" ref="B6:H22">
    <sortCondition ref="B6:B22"/>
  </sortState>
  <tableColumns count="7">
    <tableColumn id="1" xr3:uid="{C59415E6-8928-4B48-A106-E7F8470B2040}" name="BDC LIST" totalsRowLabel="Total" dataDxfId="4882" totalsRowDxfId="4881"/>
    <tableColumn id="2" xr3:uid="{34707EB9-D9CE-4A42-B0EF-D551DB45C80E}" name="KSI_AGO" totalsRowFunction="custom" dataDxfId="4880" totalsRowDxfId="4879" dataCellStyle="Comma">
      <totalsRowFormula>SUM(December02_2021[KSI_AGO])</totalsRowFormula>
    </tableColumn>
    <tableColumn id="3" xr3:uid="{08899BCC-E47F-4DB5-9FF0-BEE27D7C5919}" name="KSI_PMS" totalsRowFunction="sum" dataDxfId="4878" totalsRowDxfId="4877" dataCellStyle="Comma"/>
    <tableColumn id="4" xr3:uid="{BA228E27-958B-418E-AB06-A72A65719A40}" name="BUIPE_AGO" totalsRowFunction="custom" dataDxfId="4876" totalsRowDxfId="4875">
      <totalsRowFormula>SUM(December02_2021[BUIPE_AGO])</totalsRowFormula>
    </tableColumn>
    <tableColumn id="5" xr3:uid="{C44C3466-4853-4579-B2B2-EC30860C3FFA}" name="BUIPE_PMS" totalsRowFunction="custom" dataDxfId="4874" totalsRowDxfId="4873" dataCellStyle="Comma">
      <totalsRowFormula>SUM(December02_2021[BUIPE_PMS])</totalsRowFormula>
    </tableColumn>
    <tableColumn id="6" xr3:uid="{90D850E0-70CB-4FF2-9DD8-D700853B2F95}" name="AKOSOMBO_AGO" totalsRowFunction="custom" dataDxfId="4872" totalsRowDxfId="4871" dataCellStyle="Comma">
      <totalsRowFormula>SUM(December02_2021[AKOSOMBO_AGO])</totalsRowFormula>
    </tableColumn>
    <tableColumn id="7" xr3:uid="{62A9A639-C9D1-45AD-B78C-65425CD4BD36}" name="DATE" dataDxfId="4870" totalsRowDxfId="4869">
      <calculatedColumnFormula>$G$3</calculatedColumnFormula>
    </tableColumn>
  </tableColumns>
  <tableStyleInfo showFirstColumn="0" showLastColumn="0" showRowStripes="1" showColumnStripes="0"/>
</table>
</file>

<file path=xl/tables/table4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8" xr:uid="{39A153E8-4044-484B-AA8B-1730280F3025}" name="December06_2021" displayName="December06_2021" ref="B5:H23" totalsRowCount="1" headerRowDxfId="4868" headerRowBorderDxfId="4867" tableBorderDxfId="4866" totalsRowBorderDxfId="4865">
  <autoFilter ref="B5:H22" xr:uid="{BED02D39-8300-486A-8E07-E19B6F095EF6}"/>
  <sortState xmlns:xlrd2="http://schemas.microsoft.com/office/spreadsheetml/2017/richdata2" ref="B6:H22">
    <sortCondition ref="B6:B22"/>
  </sortState>
  <tableColumns count="7">
    <tableColumn id="1" xr3:uid="{FDDC2794-1CDB-478F-ABF1-C2695AD01BD1}" name="BDC LIST" totalsRowLabel="Total" dataDxfId="4864" totalsRowDxfId="4863"/>
    <tableColumn id="2" xr3:uid="{509ABBE1-DB66-4CD1-8258-D2ABA00068B3}" name="KSI_AGO" totalsRowFunction="custom" dataDxfId="4862" totalsRowDxfId="4861" dataCellStyle="Comma">
      <totalsRowFormula>SUM(December06_2021[KSI_AGO])</totalsRowFormula>
    </tableColumn>
    <tableColumn id="3" xr3:uid="{097F89B1-A1BD-473B-9606-FA924BB6C68A}" name="KSI_PMS" totalsRowFunction="sum" dataDxfId="4860" totalsRowDxfId="4859" dataCellStyle="Comma"/>
    <tableColumn id="4" xr3:uid="{88B24B39-1746-47DA-85A5-1E5FB4F38FDF}" name="BUIPE_AGO" totalsRowFunction="custom" dataDxfId="4858" totalsRowDxfId="4857">
      <totalsRowFormula>SUM(December06_2021[BUIPE_AGO])</totalsRowFormula>
    </tableColumn>
    <tableColumn id="5" xr3:uid="{6D171649-9E38-461E-9669-BCC15B3A41C0}" name="BUIPE_PMS" totalsRowFunction="custom" dataDxfId="4856" totalsRowDxfId="4855" dataCellStyle="Comma">
      <totalsRowFormula>SUM(December06_2021[BUIPE_PMS])</totalsRowFormula>
    </tableColumn>
    <tableColumn id="6" xr3:uid="{DAAFF696-FD43-4770-929C-2C6861100340}" name="AKOSOMBO_AGO" totalsRowFunction="custom" dataDxfId="4854" totalsRowDxfId="4853" dataCellStyle="Comma">
      <totalsRowFormula>SUM(December06_2021[AKOSOMBO_AGO])</totalsRowFormula>
    </tableColumn>
    <tableColumn id="7" xr3:uid="{B7B3119F-0DF9-4DC2-A1D0-1307A9AF31C2}" name="DATE" dataDxfId="4852" totalsRowDxfId="4851">
      <calculatedColumnFormula>$G$3</calculatedColumnFormula>
    </tableColumn>
  </tableColumns>
  <tableStyleInfo showFirstColumn="0" showLastColumn="0" showRowStripes="1" showColumnStripes="0"/>
</table>
</file>

<file path=xl/tables/table4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9" xr:uid="{AFAD8F26-B698-4C50-B4A8-BC7BB5283255}" name="December07_2021" displayName="December07_2021" ref="B5:H23" totalsRowCount="1" headerRowDxfId="4850" headerRowBorderDxfId="4849" tableBorderDxfId="4848" totalsRowBorderDxfId="4847">
  <autoFilter ref="B5:H22" xr:uid="{BED02D39-8300-486A-8E07-E19B6F095EF6}"/>
  <sortState xmlns:xlrd2="http://schemas.microsoft.com/office/spreadsheetml/2017/richdata2" ref="B6:H22">
    <sortCondition ref="B6:B22"/>
  </sortState>
  <tableColumns count="7">
    <tableColumn id="1" xr3:uid="{A4A77CCC-E79C-40C7-85B0-F21E776C6DF8}" name="BDC LIST" totalsRowLabel="Total" dataDxfId="4846" totalsRowDxfId="4845"/>
    <tableColumn id="2" xr3:uid="{EA53B557-F29C-47AD-B111-FB1498479963}" name="KSI_AGO" totalsRowFunction="custom" dataDxfId="4844" totalsRowDxfId="4843" dataCellStyle="Comma">
      <totalsRowFormula>SUM(December07_2021[KSI_AGO])</totalsRowFormula>
    </tableColumn>
    <tableColumn id="3" xr3:uid="{61FEF643-199C-432F-AD67-AB033632B979}" name="KSI_PMS" totalsRowFunction="sum" dataDxfId="4842" totalsRowDxfId="4841" dataCellStyle="Comma"/>
    <tableColumn id="4" xr3:uid="{55A203B2-BC53-4B1E-A6F7-EB874FB8369C}" name="BUIPE_AGO" totalsRowFunction="custom" dataDxfId="4840" totalsRowDxfId="4839">
      <totalsRowFormula>SUM(December07_2021[BUIPE_AGO])</totalsRowFormula>
    </tableColumn>
    <tableColumn id="5" xr3:uid="{32A6BFDD-AE92-4F88-A432-A9828EC5C0C1}" name="BUIPE_PMS" totalsRowFunction="custom" dataDxfId="4838" totalsRowDxfId="4837" dataCellStyle="Comma">
      <totalsRowFormula>SUM(December07_2021[BUIPE_PMS])</totalsRowFormula>
    </tableColumn>
    <tableColumn id="6" xr3:uid="{CB5C2476-BB46-4D5F-BC0B-10A4F08D0A7B}" name="AKOSOMBO_AGO" totalsRowFunction="custom" dataDxfId="4836" totalsRowDxfId="4835" dataCellStyle="Comma">
      <totalsRowFormula>SUM(December07_2021[AKOSOMBO_AGO])</totalsRowFormula>
    </tableColumn>
    <tableColumn id="7" xr3:uid="{C26DCF25-B40B-4516-B65D-61C3DB3B4CE3}" name="DATE" dataDxfId="4834" totalsRowDxfId="4833">
      <calculatedColumnFormula>$G$3</calculatedColumnFormula>
    </tableColumn>
  </tableColumns>
  <tableStyleInfo showFirstColumn="0" showLastColumn="0" showRowStripes="1" showColumnStripes="0"/>
</table>
</file>

<file path=xl/tables/table4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6" xr:uid="{827D4BF9-E828-418E-ACA8-E70F13F64877}" name="December08_2021" displayName="December08_2021" ref="B5:H23" totalsRowCount="1" headerRowDxfId="4832" headerRowBorderDxfId="4831" tableBorderDxfId="4830" totalsRowBorderDxfId="4829">
  <autoFilter ref="B5:H22" xr:uid="{BED02D39-8300-486A-8E07-E19B6F095EF6}"/>
  <sortState xmlns:xlrd2="http://schemas.microsoft.com/office/spreadsheetml/2017/richdata2" ref="B6:H22">
    <sortCondition ref="B6:B22"/>
  </sortState>
  <tableColumns count="7">
    <tableColumn id="1" xr3:uid="{775E8705-B475-4A6F-B8F3-A16C10308D15}" name="BDC LIST" totalsRowLabel="Total" dataDxfId="4828" totalsRowDxfId="4827"/>
    <tableColumn id="2" xr3:uid="{07739299-E137-4AF8-88B7-83FC7F6366B7}" name="KSI_AGO" totalsRowFunction="custom" dataDxfId="4826" totalsRowDxfId="4825" dataCellStyle="Comma">
      <totalsRowFormula>SUM(December08_2021[KSI_AGO])</totalsRowFormula>
    </tableColumn>
    <tableColumn id="3" xr3:uid="{DD25DF13-423F-441B-A53B-598C25FC8C0B}" name="KSI_PMS" totalsRowFunction="sum" dataDxfId="4824" totalsRowDxfId="4823" dataCellStyle="Comma"/>
    <tableColumn id="4" xr3:uid="{11E5CA30-CD76-404A-9998-F5D8D5F4B54F}" name="BUIPE_AGO" totalsRowFunction="custom" dataDxfId="4822" totalsRowDxfId="4821">
      <totalsRowFormula>SUM(December08_2021[BUIPE_AGO])</totalsRowFormula>
    </tableColumn>
    <tableColumn id="5" xr3:uid="{A6F448C7-6A0E-49EC-8C70-2C94CFF92F88}" name="BUIPE_PMS" totalsRowFunction="custom" dataDxfId="4820" totalsRowDxfId="4819" dataCellStyle="Comma">
      <totalsRowFormula>SUM(December08_2021[BUIPE_PMS])</totalsRowFormula>
    </tableColumn>
    <tableColumn id="6" xr3:uid="{5084BD01-A98D-4FC1-A1EE-B46D9D2B6C0D}" name="AKOSOMBO_AGO" totalsRowFunction="custom" dataDxfId="4818" totalsRowDxfId="4817" dataCellStyle="Comma">
      <totalsRowFormula>SUM(December08_2021[AKOSOMBO_AGO])</totalsRowFormula>
    </tableColumn>
    <tableColumn id="7" xr3:uid="{0E5C576F-CC8E-45C0-B6EA-FB35D9AF6C36}" name="DATE" dataDxfId="4816" totalsRowDxfId="4815">
      <calculatedColumnFormula>$G$3</calculatedColumnFormula>
    </tableColumn>
  </tableColumns>
  <tableStyleInfo showFirstColumn="0" showLastColumn="0" showRowStripes="1" showColumnStripes="0"/>
</table>
</file>

<file path=xl/tables/table4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8" xr:uid="{54A587A7-C350-4D41-A15F-C059A5353CC4}" name="December09_2021" displayName="December09_2021" ref="B5:H23" totalsRowCount="1" headerRowDxfId="4814" headerRowBorderDxfId="4813" tableBorderDxfId="4812" totalsRowBorderDxfId="4811">
  <autoFilter ref="B5:H22" xr:uid="{BED02D39-8300-486A-8E07-E19B6F095EF6}"/>
  <sortState xmlns:xlrd2="http://schemas.microsoft.com/office/spreadsheetml/2017/richdata2" ref="B6:H22">
    <sortCondition ref="B6:B22"/>
  </sortState>
  <tableColumns count="7">
    <tableColumn id="1" xr3:uid="{0CDC4C1D-2C56-44E8-8FA3-24C473543683}" name="BDC LIST" totalsRowLabel="Total" dataDxfId="4810" totalsRowDxfId="4809"/>
    <tableColumn id="2" xr3:uid="{576398E4-5D02-4B75-8F5B-2ECE19BB3EB8}" name="KSI_AGO" totalsRowFunction="custom" dataDxfId="4808" totalsRowDxfId="4807" dataCellStyle="Comma">
      <totalsRowFormula>SUM(December09_2021[KSI_AGO])</totalsRowFormula>
    </tableColumn>
    <tableColumn id="3" xr3:uid="{682B5084-042B-457E-BCC8-C6027C064C26}" name="KSI_PMS" totalsRowFunction="sum" dataDxfId="4806" totalsRowDxfId="4805" dataCellStyle="Comma"/>
    <tableColumn id="4" xr3:uid="{A2E1F8A1-949D-45C6-B6D7-E8EAF24BA306}" name="BUIPE_AGO" totalsRowFunction="custom" dataDxfId="4804" totalsRowDxfId="4803">
      <totalsRowFormula>SUM(December09_2021[BUIPE_AGO])</totalsRowFormula>
    </tableColumn>
    <tableColumn id="5" xr3:uid="{D5934524-B266-4C2B-BDCD-8A937FA05581}" name="BUIPE_PMS" totalsRowFunction="custom" dataDxfId="4802" totalsRowDxfId="4801" dataCellStyle="Comma">
      <totalsRowFormula>SUM(December09_2021[BUIPE_PMS])</totalsRowFormula>
    </tableColumn>
    <tableColumn id="6" xr3:uid="{E9F7D88E-57D4-4111-9609-5EED4DEA1FD6}" name="AKOSOMBO_AGO" totalsRowFunction="custom" dataDxfId="4800" totalsRowDxfId="4799" dataCellStyle="Comma">
      <totalsRowFormula>SUM(December09_2021[AKOSOMBO_AGO])</totalsRowFormula>
    </tableColumn>
    <tableColumn id="7" xr3:uid="{ED10E526-3DA9-45E8-A402-D683E8733DA0}" name="DATE" dataDxfId="4798" totalsRowDxfId="4797">
      <calculatedColumnFormula>$G$3</calculatedColumnFormula>
    </tableColumn>
  </tableColumns>
  <tableStyleInfo showFirstColumn="0" showLastColumn="0" showRowStripes="1" showColumnStripes="0"/>
</table>
</file>

<file path=xl/tables/table4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1" xr:uid="{FAA1DFF7-BD4D-419C-A536-68AE83CBF92D}" name="December10_20219" displayName="December10_20219" ref="B5:H23" totalsRowCount="1" headerRowDxfId="4796" headerRowBorderDxfId="4795" tableBorderDxfId="4794" totalsRowBorderDxfId="4793">
  <autoFilter ref="B5:H22" xr:uid="{BED02D39-8300-486A-8E07-E19B6F095EF6}"/>
  <sortState xmlns:xlrd2="http://schemas.microsoft.com/office/spreadsheetml/2017/richdata2" ref="B6:H22">
    <sortCondition ref="B6:B22"/>
  </sortState>
  <tableColumns count="7">
    <tableColumn id="1" xr3:uid="{42809DE7-6250-4E90-A36C-FF8BC99CFCB2}" name="BDC LIST" totalsRowLabel="Total" dataDxfId="4792" totalsRowDxfId="4791"/>
    <tableColumn id="2" xr3:uid="{57C4C80C-1A41-4D90-B7DC-24121D5841E8}" name="KSI_AGO" totalsRowFunction="custom" dataDxfId="4790" totalsRowDxfId="4789" dataCellStyle="Comma">
      <totalsRowFormula>SUM(December10_20219[KSI_AGO])</totalsRowFormula>
    </tableColumn>
    <tableColumn id="3" xr3:uid="{8045FB05-CAEC-45D5-839D-A38E2ACC1A57}" name="KSI_PMS" totalsRowFunction="sum" dataDxfId="4788" totalsRowDxfId="4787" dataCellStyle="Comma"/>
    <tableColumn id="4" xr3:uid="{EFDD0ECA-3916-43A8-B095-75E6B56865AF}" name="BUIPE_AGO" totalsRowFunction="custom" dataDxfId="4786" totalsRowDxfId="4785">
      <totalsRowFormula>SUM(December10_20219[BUIPE_AGO])</totalsRowFormula>
    </tableColumn>
    <tableColumn id="5" xr3:uid="{92133277-F088-4FFE-A068-5B464EC96291}" name="BUIPE_PMS" totalsRowFunction="custom" dataDxfId="4784" totalsRowDxfId="4783" dataCellStyle="Comma">
      <totalsRowFormula>SUM(December10_20219[BUIPE_PMS])</totalsRowFormula>
    </tableColumn>
    <tableColumn id="6" xr3:uid="{8C7FBBF5-BDA1-4BCF-A42B-9319E52535A9}" name="AKOSOMBO_AGO" totalsRowFunction="custom" dataDxfId="4782" totalsRowDxfId="4781" dataCellStyle="Comma">
      <totalsRowFormula>SUM(December10_20219[AKOSOMBO_AGO])</totalsRowFormula>
    </tableColumn>
    <tableColumn id="7" xr3:uid="{188C5907-67C7-494A-8BD0-A23CE73F11E6}" name="DATE" dataDxfId="4780" totalsRowDxfId="4779">
      <calculatedColumnFormula>$G$3</calculatedColumnFormula>
    </tableColumn>
  </tableColumns>
  <tableStyleInfo showFirstColumn="0" showLastColumn="0" showRowStripes="1" showColumnStripes="0"/>
</table>
</file>

<file path=xl/tables/table4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2" xr:uid="{45433CBA-BCFC-4B24-8A54-D54296E55830}" name="December13_2021" displayName="December13_2021" ref="B5:H23" totalsRowCount="1" headerRowDxfId="4778" headerRowBorderDxfId="4777" tableBorderDxfId="4776" totalsRowBorderDxfId="4775">
  <autoFilter ref="B5:H22" xr:uid="{BED02D39-8300-486A-8E07-E19B6F095EF6}"/>
  <sortState xmlns:xlrd2="http://schemas.microsoft.com/office/spreadsheetml/2017/richdata2" ref="B6:H22">
    <sortCondition ref="B6:B22"/>
  </sortState>
  <tableColumns count="7">
    <tableColumn id="1" xr3:uid="{D0704730-0254-4452-9B37-3A9A65DCBD9E}" name="BDC LIST" totalsRowLabel="Total" dataDxfId="4774" totalsRowDxfId="4773"/>
    <tableColumn id="2" xr3:uid="{13625900-B812-4303-9D83-CF95B63239F5}" name="KSI_AGO" totalsRowFunction="custom" dataDxfId="4772" totalsRowDxfId="4771" dataCellStyle="Comma">
      <totalsRowFormula>SUM(December13_2021[KSI_AGO])</totalsRowFormula>
    </tableColumn>
    <tableColumn id="3" xr3:uid="{5E74E8F9-71E9-4438-8D47-95C357B37771}" name="KSI_PMS" totalsRowFunction="sum" dataDxfId="4770" totalsRowDxfId="4769" dataCellStyle="Comma"/>
    <tableColumn id="4" xr3:uid="{54EF1D86-197F-4660-A728-A3944E21D873}" name="BUIPE_AGO" totalsRowFunction="custom" dataDxfId="4768" totalsRowDxfId="4767">
      <totalsRowFormula>SUM(December13_2021[BUIPE_AGO])</totalsRowFormula>
    </tableColumn>
    <tableColumn id="5" xr3:uid="{05C5BAE9-72D1-48A3-81B5-7DB2AE5E6B3E}" name="BUIPE_PMS" totalsRowFunction="custom" dataDxfId="4766" totalsRowDxfId="4765" dataCellStyle="Comma">
      <totalsRowFormula>SUM(December13_2021[BUIPE_PMS])</totalsRowFormula>
    </tableColumn>
    <tableColumn id="6" xr3:uid="{E88AB99B-C3B2-495B-8079-6FC133F15AC2}" name="AKOSOMBO_AGO" totalsRowFunction="custom" dataDxfId="4764" totalsRowDxfId="4763" dataCellStyle="Comma">
      <totalsRowFormula>SUM(December13_2021[AKOSOMBO_AGO])</totalsRowFormula>
    </tableColumn>
    <tableColumn id="7" xr3:uid="{FEB3F7D9-E809-4AED-B8D6-C16C76B4D738}" name="DATE" dataDxfId="4762" totalsRowDxfId="4761">
      <calculatedColumnFormula>$G$3</calculatedColumnFormula>
    </tableColumn>
  </tableColumns>
  <tableStyleInfo showFirstColumn="0" showLastColumn="0" showRowStripes="1" showColumnStripes="0"/>
</table>
</file>

<file path=xl/tables/table4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3" xr:uid="{BE6D6316-C850-4EFA-A2D5-4BAAB1409104}" name="December14_2021" displayName="December14_2021" ref="B5:H23" totalsRowCount="1" headerRowDxfId="4760" headerRowBorderDxfId="4759" tableBorderDxfId="4758" totalsRowBorderDxfId="4757">
  <autoFilter ref="B5:H22" xr:uid="{BED02D39-8300-486A-8E07-E19B6F095EF6}"/>
  <sortState xmlns:xlrd2="http://schemas.microsoft.com/office/spreadsheetml/2017/richdata2" ref="B6:H22">
    <sortCondition ref="B6:B22"/>
  </sortState>
  <tableColumns count="7">
    <tableColumn id="1" xr3:uid="{23B85298-8ED3-421A-8420-A3E7A3B55F66}" name="BDC LIST" totalsRowLabel="Total" dataDxfId="4756" totalsRowDxfId="4755"/>
    <tableColumn id="2" xr3:uid="{71F36D1E-2CF3-4502-9124-ACB65F6C7425}" name="KSI_AGO" totalsRowFunction="custom" dataDxfId="4754" totalsRowDxfId="4753" dataCellStyle="Comma">
      <totalsRowFormula>SUM(December14_2021[KSI_AGO])</totalsRowFormula>
    </tableColumn>
    <tableColumn id="3" xr3:uid="{7CCA1A59-0FE6-430D-B3DC-FDFBB838B394}" name="KSI_PMS" totalsRowFunction="sum" dataDxfId="4752" totalsRowDxfId="4751" dataCellStyle="Comma"/>
    <tableColumn id="4" xr3:uid="{34B35D57-E634-40B9-A5DD-4FC092E96FCE}" name="BUIPE_AGO" totalsRowFunction="custom" dataDxfId="4750" totalsRowDxfId="4749">
      <totalsRowFormula>SUM(December14_2021[BUIPE_AGO])</totalsRowFormula>
    </tableColumn>
    <tableColumn id="5" xr3:uid="{1216F2F3-90E8-46DD-AAA8-93DF93A139CB}" name="BUIPE_PMS" totalsRowFunction="custom" dataDxfId="4748" totalsRowDxfId="4747" dataCellStyle="Comma">
      <totalsRowFormula>SUM(December14_2021[BUIPE_PMS])</totalsRowFormula>
    </tableColumn>
    <tableColumn id="6" xr3:uid="{011C8C24-5B41-4B9D-AB03-8951A049D605}" name="AKOSOMBO_AGO" totalsRowFunction="custom" dataDxfId="4746" totalsRowDxfId="4745" dataCellStyle="Comma">
      <totalsRowFormula>SUM(December14_2021[AKOSOMBO_AGO])</totalsRowFormula>
    </tableColumn>
    <tableColumn id="7" xr3:uid="{73B3C229-930A-4C41-9259-FC26D1221C4B}" name="DATE" dataDxfId="4744" totalsRowDxfId="4743">
      <calculatedColumnFormula>$G$3</calculatedColumnFormula>
    </tableColumn>
  </tableColumns>
  <tableStyleInfo showFirstColumn="0" showLastColumn="0" showRowStripes="1" showColumnStripes="0"/>
</table>
</file>

<file path=xl/tables/table4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4" xr:uid="{2FF82307-19A2-4648-B3C1-FE494843A368}" name="December15_2021" displayName="December15_2021" ref="B5:H23" totalsRowCount="1" headerRowDxfId="4742" headerRowBorderDxfId="4741" tableBorderDxfId="4740" totalsRowBorderDxfId="4739">
  <autoFilter ref="B5:H22" xr:uid="{BED02D39-8300-486A-8E07-E19B6F095EF6}"/>
  <sortState xmlns:xlrd2="http://schemas.microsoft.com/office/spreadsheetml/2017/richdata2" ref="B6:H22">
    <sortCondition ref="B6:B22"/>
  </sortState>
  <tableColumns count="7">
    <tableColumn id="1" xr3:uid="{C186DACB-E38E-4606-8DE7-833193590891}" name="BDC LIST" totalsRowLabel="Total" dataDxfId="4738" totalsRowDxfId="4737"/>
    <tableColumn id="2" xr3:uid="{4676AC18-49CF-415D-AC32-999FDBC2A911}" name="KSI_AGO" totalsRowFunction="custom" dataDxfId="4736" totalsRowDxfId="4735" dataCellStyle="Comma">
      <totalsRowFormula>SUM(December15_2021[KSI_AGO])</totalsRowFormula>
    </tableColumn>
    <tableColumn id="3" xr3:uid="{FCB7AFA1-69C0-4A3C-8FC1-23CA1711E1F2}" name="KSI_PMS" totalsRowFunction="sum" dataDxfId="4734" totalsRowDxfId="4733" dataCellStyle="Comma"/>
    <tableColumn id="4" xr3:uid="{321412C2-D7A6-4208-9747-C5801B28C5F9}" name="BUIPE_AGO" totalsRowFunction="custom" dataDxfId="4732" totalsRowDxfId="4731">
      <totalsRowFormula>SUM(December15_2021[BUIPE_AGO])</totalsRowFormula>
    </tableColumn>
    <tableColumn id="5" xr3:uid="{28F65332-AA32-4FE2-9E8E-BA5384A19744}" name="BUIPE_PMS" totalsRowFunction="custom" dataDxfId="4730" totalsRowDxfId="4729" dataCellStyle="Comma">
      <totalsRowFormula>SUM(December15_2021[BUIPE_PMS])</totalsRowFormula>
    </tableColumn>
    <tableColumn id="6" xr3:uid="{5B770AC3-2C6F-4B3E-8B05-4F446260B297}" name="AKOSOMBO_AGO" totalsRowFunction="custom" dataDxfId="4728" totalsRowDxfId="4727" dataCellStyle="Comma">
      <totalsRowFormula>SUM(December15_2021[AKOSOMBO_AGO])</totalsRowFormula>
    </tableColumn>
    <tableColumn id="7" xr3:uid="{AAE6C199-A12B-4687-8E6D-6931A9F7D9E5}" name="DATE" dataDxfId="4726" totalsRowDxfId="4725">
      <calculatedColumnFormula>$G$3</calculatedColumnFormula>
    </tableColumn>
  </tableColumns>
  <tableStyleInfo showFirstColumn="0" showLastColumn="0" showRowStripes="1" showColumnStripes="0"/>
</table>
</file>

<file path=xl/tables/table4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5" xr:uid="{553449D4-53BE-43C7-8DEF-F7E54BFB3DED}" name="December16_2021" displayName="December16_2021" ref="B5:H23" totalsRowCount="1" headerRowDxfId="4724" headerRowBorderDxfId="4723" tableBorderDxfId="4722" totalsRowBorderDxfId="4721">
  <autoFilter ref="B5:H22" xr:uid="{BED02D39-8300-486A-8E07-E19B6F095EF6}"/>
  <sortState xmlns:xlrd2="http://schemas.microsoft.com/office/spreadsheetml/2017/richdata2" ref="B6:H22">
    <sortCondition ref="B6:B22"/>
  </sortState>
  <tableColumns count="7">
    <tableColumn id="1" xr3:uid="{F9BFA7A9-5994-49F3-A106-577F74BCB3F4}" name="BDC LIST" totalsRowLabel="Total" dataDxfId="4720" totalsRowDxfId="4719"/>
    <tableColumn id="2" xr3:uid="{16E05D3B-BC5D-495F-A59C-B5B9F7B6313B}" name="KSI_AGO" totalsRowFunction="custom" dataDxfId="4718" totalsRowDxfId="4717" dataCellStyle="Comma">
      <totalsRowFormula>SUM(December16_2021[KSI_AGO])</totalsRowFormula>
    </tableColumn>
    <tableColumn id="3" xr3:uid="{32E579B5-12AA-4FCC-B306-5A9364E8F9CE}" name="KSI_PMS" totalsRowFunction="sum" dataDxfId="4716" totalsRowDxfId="4715" dataCellStyle="Comma"/>
    <tableColumn id="4" xr3:uid="{00F03085-0D1C-4806-B15C-3D6A00FE82BB}" name="BUIPE_AGO" totalsRowFunction="custom" dataDxfId="4714" totalsRowDxfId="4713">
      <totalsRowFormula>SUM(December16_2021[BUIPE_AGO])</totalsRowFormula>
    </tableColumn>
    <tableColumn id="5" xr3:uid="{FFFC3C3B-DA23-4849-99B1-D6808512F95C}" name="BUIPE_PMS" totalsRowFunction="custom" dataDxfId="4712" totalsRowDxfId="4711" dataCellStyle="Comma">
      <totalsRowFormula>SUM(December16_2021[BUIPE_PMS])</totalsRowFormula>
    </tableColumn>
    <tableColumn id="6" xr3:uid="{2ED122D1-2507-4124-A855-7B346F0021A0}" name="AKOSOMBO_AGO" totalsRowFunction="custom" dataDxfId="4710" totalsRowDxfId="4709" dataCellStyle="Comma">
      <totalsRowFormula>SUM(December16_2021[AKOSOMBO_AGO])</totalsRowFormula>
    </tableColumn>
    <tableColumn id="7" xr3:uid="{859F7A71-99B6-4185-AE9D-5348C0B62761}" name="DATE" dataDxfId="4708" totalsRowDxfId="4707">
      <calculatedColumnFormula>$G$3</calculatedColumnFormula>
    </tableColumn>
  </tableColumns>
  <tableStyleInfo showFirstColumn="0" showLastColumn="0" showRowStripes="1" showColumnStripes="0"/>
</table>
</file>

<file path=xl/tables/table4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6" xr:uid="{57E83B98-1657-49C6-8F1C-61B199F0CCEF}" name="December17_2021" displayName="December17_2021" ref="B5:H23" totalsRowCount="1" headerRowDxfId="4706" headerRowBorderDxfId="4705" tableBorderDxfId="4704" totalsRowBorderDxfId="4703">
  <autoFilter ref="B5:H22" xr:uid="{BED02D39-8300-486A-8E07-E19B6F095EF6}"/>
  <sortState xmlns:xlrd2="http://schemas.microsoft.com/office/spreadsheetml/2017/richdata2" ref="B6:H22">
    <sortCondition ref="B6:B22"/>
  </sortState>
  <tableColumns count="7">
    <tableColumn id="1" xr3:uid="{B40A96AB-B721-441E-89E3-D03EBBE0566C}" name="BDC LIST" totalsRowLabel="Total" dataDxfId="4702" totalsRowDxfId="4701"/>
    <tableColumn id="2" xr3:uid="{2156B14B-9EC7-4473-9891-6CE362412E41}" name="KSI_AGO" totalsRowFunction="custom" dataDxfId="4700" totalsRowDxfId="4699" dataCellStyle="Comma">
      <totalsRowFormula>SUM(December17_2021[KSI_AGO])</totalsRowFormula>
    </tableColumn>
    <tableColumn id="3" xr3:uid="{75C5FC3C-51FD-4609-898B-611782BCACBB}" name="KSI_PMS" totalsRowFunction="sum" dataDxfId="4698" totalsRowDxfId="4697" dataCellStyle="Comma"/>
    <tableColumn id="4" xr3:uid="{E6225501-2C46-4A51-93FA-07B9A1686226}" name="BUIPE_AGO" totalsRowFunction="custom" dataDxfId="4696" totalsRowDxfId="4695">
      <totalsRowFormula>SUM(December17_2021[BUIPE_AGO])</totalsRowFormula>
    </tableColumn>
    <tableColumn id="5" xr3:uid="{57D5B5B4-F41D-4CDD-BF59-3ABE5E9C5E7C}" name="BUIPE_PMS" totalsRowFunction="custom" dataDxfId="4694" totalsRowDxfId="4693" dataCellStyle="Comma">
      <totalsRowFormula>SUM(December17_2021[BUIPE_PMS])</totalsRowFormula>
    </tableColumn>
    <tableColumn id="6" xr3:uid="{48215697-754E-4197-8FAC-EC05003740A9}" name="AKOSOMBO_AGO" totalsRowFunction="custom" dataDxfId="4692" totalsRowDxfId="4691" dataCellStyle="Comma">
      <totalsRowFormula>SUM(December17_2021[AKOSOMBO_AGO])</totalsRowFormula>
    </tableColumn>
    <tableColumn id="7" xr3:uid="{FB813DDC-0485-4DAF-8E2D-0E53D419FAF0}" name="DATE" dataDxfId="4690" totalsRowDxfId="4689">
      <calculatedColumnFormula>$G$3</calculatedColumnFormula>
    </tableColumn>
  </tableColumns>
  <tableStyleInfo showFirstColumn="0" showLastColumn="0" showRowStripes="1" showColumnStripes="0"/>
</table>
</file>

<file path=xl/tables/table4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7" xr:uid="{C5FE30B1-B804-4F8E-9900-E8E160950AE3}" name="December20_2021" displayName="December20_2021" ref="B5:H23" totalsRowCount="1" headerRowDxfId="4688" headerRowBorderDxfId="4687" tableBorderDxfId="4686" totalsRowBorderDxfId="4685">
  <autoFilter ref="B5:H22" xr:uid="{BED02D39-8300-486A-8E07-E19B6F095EF6}"/>
  <sortState xmlns:xlrd2="http://schemas.microsoft.com/office/spreadsheetml/2017/richdata2" ref="B6:H22">
    <sortCondition ref="B6:B22"/>
  </sortState>
  <tableColumns count="7">
    <tableColumn id="1" xr3:uid="{64497203-8A8A-4050-9480-F7919C603F94}" name="BDC LIST" totalsRowLabel="Total" dataDxfId="4684" totalsRowDxfId="4683"/>
    <tableColumn id="2" xr3:uid="{65605503-B557-42AF-B7A2-0E1460C04441}" name="KSI_AGO" totalsRowFunction="custom" dataDxfId="4682" totalsRowDxfId="4681" dataCellStyle="Comma">
      <totalsRowFormula>SUM(December20_2021[KSI_AGO])</totalsRowFormula>
    </tableColumn>
    <tableColumn id="3" xr3:uid="{4B5362A7-30D4-4085-BA70-96B6E68DD7DB}" name="KSI_PMS" totalsRowFunction="sum" dataDxfId="4680" totalsRowDxfId="4679" dataCellStyle="Comma"/>
    <tableColumn id="4" xr3:uid="{F55901F4-988F-4199-877E-C37FA15828E7}" name="BUIPE_AGO" totalsRowFunction="custom" dataDxfId="4678" totalsRowDxfId="4677">
      <totalsRowFormula>SUM(December20_2021[BUIPE_AGO])</totalsRowFormula>
    </tableColumn>
    <tableColumn id="5" xr3:uid="{18776E78-9069-4C51-9E3A-3F31E26F178C}" name="BUIPE_PMS" totalsRowFunction="custom" dataDxfId="4676" totalsRowDxfId="4675" dataCellStyle="Comma">
      <totalsRowFormula>SUM(December20_2021[BUIPE_PMS])</totalsRowFormula>
    </tableColumn>
    <tableColumn id="6" xr3:uid="{B58A17D5-DC26-48DE-8D56-FC4227E2BA2B}" name="AKOSOMBO_AGO" totalsRowFunction="custom" dataDxfId="4674" totalsRowDxfId="4673" dataCellStyle="Comma">
      <totalsRowFormula>SUM(December20_2021[AKOSOMBO_AGO])</totalsRowFormula>
    </tableColumn>
    <tableColumn id="7" xr3:uid="{2ABB4539-AEA8-4324-83DC-992AC6F8F52B}" name="DATE" dataDxfId="4672" totalsRowDxfId="4671">
      <calculatedColumnFormula>$G$3</calculatedColumnFormula>
    </tableColumn>
  </tableColumns>
  <tableStyleInfo showFirstColumn="0" showLastColumn="0" showRowStripes="1" showColumnStripes="0"/>
</table>
</file>

<file path=xl/tables/table4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8" xr:uid="{B33B98B3-6DC4-47B9-B5DD-61D1DF295DC0}" name="December21_2021" displayName="December21_2021" ref="B5:H23" totalsRowCount="1" headerRowDxfId="4670" headerRowBorderDxfId="4669" tableBorderDxfId="4668" totalsRowBorderDxfId="4667">
  <autoFilter ref="B5:H22" xr:uid="{BED02D39-8300-486A-8E07-E19B6F095EF6}"/>
  <sortState xmlns:xlrd2="http://schemas.microsoft.com/office/spreadsheetml/2017/richdata2" ref="B6:H22">
    <sortCondition ref="B6:B22"/>
  </sortState>
  <tableColumns count="7">
    <tableColumn id="1" xr3:uid="{953FAB49-2C43-4722-870A-4C25597098A9}" name="BDC LIST" totalsRowLabel="Total" dataDxfId="4666" totalsRowDxfId="4665"/>
    <tableColumn id="2" xr3:uid="{6315BCF1-573D-4F95-99AC-CF7D2831B3F9}" name="KSI_AGO" totalsRowFunction="custom" dataDxfId="4664" totalsRowDxfId="4663" dataCellStyle="Comma">
      <totalsRowFormula>SUM(December21_2021[KSI_AGO])</totalsRowFormula>
    </tableColumn>
    <tableColumn id="3" xr3:uid="{DBDBEF2F-AF14-421D-AA86-6A096B90F048}" name="KSI_PMS" totalsRowFunction="sum" dataDxfId="4662" totalsRowDxfId="4661" dataCellStyle="Comma"/>
    <tableColumn id="4" xr3:uid="{F7BCC892-245F-4485-8559-ACA646EF247E}" name="BUIPE_AGO" totalsRowFunction="custom" dataDxfId="4660" totalsRowDxfId="4659" dataCellStyle="Comma">
      <totalsRowFormula>SUM(December21_2021[BUIPE_AGO])</totalsRowFormula>
    </tableColumn>
    <tableColumn id="5" xr3:uid="{E44E256D-CE24-4966-B65A-43EF67F8A53B}" name="BUIPE_PMS" totalsRowFunction="custom" dataDxfId="4658" totalsRowDxfId="4657" dataCellStyle="Comma">
      <totalsRowFormula>SUM(December21_2021[BUIPE_PMS])</totalsRowFormula>
    </tableColumn>
    <tableColumn id="6" xr3:uid="{CBC452E1-BBB4-4660-A780-74C106AD30B9}" name="AKOSOMBO_AGO" totalsRowFunction="custom" dataDxfId="4656" totalsRowDxfId="4655" dataCellStyle="Comma">
      <totalsRowFormula>SUM(December21_2021[AKOSOMBO_AGO])</totalsRowFormula>
    </tableColumn>
    <tableColumn id="7" xr3:uid="{6AD52F3E-E7DF-4818-805C-37B2C70465CB}" name="DATE" dataDxfId="4654" totalsRowDxfId="4653">
      <calculatedColumnFormula>$G$3</calculatedColumnFormula>
    </tableColumn>
  </tableColumns>
  <tableStyleInfo showFirstColumn="0" showLastColumn="0" showRowStripes="1" showColumnStripes="0"/>
</table>
</file>

<file path=xl/tables/table4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9" xr:uid="{98CB6884-D42F-49B7-BE23-608AC6728CF8}" name="December22_2021" displayName="December22_2021" ref="B5:H23" totalsRowCount="1" headerRowDxfId="4652" headerRowBorderDxfId="4651" tableBorderDxfId="4650" totalsRowBorderDxfId="4649">
  <autoFilter ref="B5:H22" xr:uid="{BED02D39-8300-486A-8E07-E19B6F095EF6}"/>
  <sortState xmlns:xlrd2="http://schemas.microsoft.com/office/spreadsheetml/2017/richdata2" ref="B6:H22">
    <sortCondition ref="B6:B22"/>
  </sortState>
  <tableColumns count="7">
    <tableColumn id="1" xr3:uid="{446416FE-50C3-4922-8302-96EC4263A0D8}" name="BDC LIST" totalsRowLabel="Total" dataDxfId="4648" totalsRowDxfId="4647"/>
    <tableColumn id="2" xr3:uid="{690EC6C4-37EF-4053-9D51-61164324AC96}" name="KSI_AGO" totalsRowFunction="custom" dataDxfId="4646" totalsRowDxfId="4645" dataCellStyle="Comma">
      <totalsRowFormula>SUM(December22_2021[KSI_AGO])</totalsRowFormula>
    </tableColumn>
    <tableColumn id="3" xr3:uid="{3F39236F-1B3C-484C-A655-D8E59A13E074}" name="KSI_PMS" totalsRowFunction="sum" dataDxfId="4644" totalsRowDxfId="4643" dataCellStyle="Comma"/>
    <tableColumn id="4" xr3:uid="{DCA397B3-2CC6-407E-B0BE-62DE3A580E27}" name="BUIPE_AGO" totalsRowFunction="custom" dataDxfId="4642" totalsRowDxfId="4641" dataCellStyle="Comma">
      <totalsRowFormula>SUM(December22_2021[BUIPE_AGO])</totalsRowFormula>
    </tableColumn>
    <tableColumn id="5" xr3:uid="{00D8FDB1-656D-457A-9938-90F584D1A551}" name="BUIPE_PMS" totalsRowFunction="custom" dataDxfId="4640" totalsRowDxfId="4639" dataCellStyle="Comma">
      <totalsRowFormula>SUM(December22_2021[BUIPE_PMS])</totalsRowFormula>
    </tableColumn>
    <tableColumn id="6" xr3:uid="{2C636C56-56DF-451F-91DA-A9AF4D12E67E}" name="AKOSOMBO_AGO" totalsRowFunction="custom" dataDxfId="4638" totalsRowDxfId="4637" dataCellStyle="Comma">
      <totalsRowFormula>SUM(December22_2021[AKOSOMBO_AGO])</totalsRowFormula>
    </tableColumn>
    <tableColumn id="7" xr3:uid="{65E9109C-A9D7-4B04-ACAD-B5435C84AB47}" name="DATE" dataDxfId="4636" totalsRowDxfId="4635">
      <calculatedColumnFormula>$G$3</calculatedColumnFormula>
    </tableColumn>
  </tableColumns>
  <tableStyleInfo showFirstColumn="0" showLastColumn="0" showRowStripes="1" showColumnStripes="0"/>
</table>
</file>

<file path=xl/tables/table4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0" xr:uid="{7B208DB8-A338-4B86-9380-E29D7420AB64}" name="December23_2021" displayName="December23_2021" ref="B5:H23" totalsRowCount="1" headerRowDxfId="4634" headerRowBorderDxfId="4633" tableBorderDxfId="4632" totalsRowBorderDxfId="4631">
  <autoFilter ref="B5:H22" xr:uid="{BED02D39-8300-486A-8E07-E19B6F095EF6}"/>
  <sortState xmlns:xlrd2="http://schemas.microsoft.com/office/spreadsheetml/2017/richdata2" ref="B6:H22">
    <sortCondition ref="B6:B22"/>
  </sortState>
  <tableColumns count="7">
    <tableColumn id="1" xr3:uid="{F9B9605B-05F5-4975-83FC-E008E05D42A4}" name="BDC LIST" totalsRowLabel="Total" dataDxfId="4630" totalsRowDxfId="4629"/>
    <tableColumn id="2" xr3:uid="{8E85C49C-BD2B-4D40-A249-F17FDF407F16}" name="KSI_AGO" totalsRowFunction="custom" dataDxfId="4628" totalsRowDxfId="4627" dataCellStyle="Comma">
      <totalsRowFormula>SUM(December23_2021[KSI_AGO])</totalsRowFormula>
    </tableColumn>
    <tableColumn id="3" xr3:uid="{90E64E1E-7643-4285-86BD-F62A99321B21}" name="KSI_PMS" totalsRowFunction="sum" dataDxfId="4626" totalsRowDxfId="4625" dataCellStyle="Comma"/>
    <tableColumn id="4" xr3:uid="{262185F8-6744-45DC-AFF7-31D8781BC53F}" name="BUIPE_AGO" totalsRowFunction="custom" dataDxfId="4624" totalsRowDxfId="4623" dataCellStyle="Comma">
      <totalsRowFormula>SUM(December23_2021[BUIPE_AGO])</totalsRowFormula>
    </tableColumn>
    <tableColumn id="5" xr3:uid="{BAA57976-135A-41C8-8852-6F54D1666168}" name="BUIPE_PMS" totalsRowFunction="custom" dataDxfId="4622" totalsRowDxfId="4621" dataCellStyle="Comma">
      <totalsRowFormula>SUM(December23_2021[BUIPE_PMS])</totalsRowFormula>
    </tableColumn>
    <tableColumn id="6" xr3:uid="{284575D5-1617-483E-AED7-1C6F8824860C}" name="AKOSOMBO_AGO" totalsRowFunction="custom" dataDxfId="4620" totalsRowDxfId="4619" dataCellStyle="Comma">
      <totalsRowFormula>SUM(December23_2021[AKOSOMBO_AGO])</totalsRowFormula>
    </tableColumn>
    <tableColumn id="7" xr3:uid="{52842658-8ECC-4E9D-91A1-5E4EA2B223B2}" name="DATE" dataDxfId="4618" totalsRowDxfId="4617">
      <calculatedColumnFormula>$G$3</calculatedColumnFormula>
    </tableColumn>
  </tableColumns>
  <tableStyleInfo showFirstColumn="0" showLastColumn="0" showRowStripes="1" showColumnStripes="0"/>
</table>
</file>

<file path=xl/tables/table4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1" xr:uid="{24E31296-D472-4AB7-B3EA-FCB29E22B8EC}" name="December24_2021" displayName="December24_2021" ref="B5:H23" totalsRowCount="1" headerRowDxfId="4616" headerRowBorderDxfId="4615" tableBorderDxfId="4614" totalsRowBorderDxfId="4613">
  <autoFilter ref="B5:H22" xr:uid="{BED02D39-8300-486A-8E07-E19B6F095EF6}"/>
  <sortState xmlns:xlrd2="http://schemas.microsoft.com/office/spreadsheetml/2017/richdata2" ref="B6:H22">
    <sortCondition ref="B6:B22"/>
  </sortState>
  <tableColumns count="7">
    <tableColumn id="1" xr3:uid="{F194CE4A-F177-45A6-9283-4B1B2C24B47B}" name="BDC LIST" totalsRowLabel="Total" dataDxfId="4612" totalsRowDxfId="4611"/>
    <tableColumn id="2" xr3:uid="{FF94BD6D-57A7-4CCC-AD38-A916263CD1FF}" name="KSI_AGO" totalsRowFunction="custom" dataDxfId="4610" totalsRowDxfId="4609" dataCellStyle="Comma">
      <totalsRowFormula>SUM(December24_2021[KSI_AGO])</totalsRowFormula>
    </tableColumn>
    <tableColumn id="3" xr3:uid="{3864FCE6-3507-476A-982E-B4E96A2808F6}" name="KSI_PMS" totalsRowFunction="sum" dataDxfId="4608" totalsRowDxfId="4607" dataCellStyle="Comma"/>
    <tableColumn id="4" xr3:uid="{FF9EF09E-FD42-4D11-932C-B79ED0245E59}" name="BUIPE_AGO" totalsRowFunction="custom" dataDxfId="4606" totalsRowDxfId="4605" dataCellStyle="Comma">
      <totalsRowFormula>SUM(December24_2021[BUIPE_AGO])</totalsRowFormula>
    </tableColumn>
    <tableColumn id="5" xr3:uid="{5161848E-7537-4F3B-BDC5-53A4031FC074}" name="BUIPE_PMS" totalsRowFunction="custom" dataDxfId="4604" totalsRowDxfId="4603" dataCellStyle="Comma">
      <totalsRowFormula>SUM(December24_2021[BUIPE_PMS])</totalsRowFormula>
    </tableColumn>
    <tableColumn id="6" xr3:uid="{DD565B0A-FFA6-48FD-A7C6-EA80AE59C30F}" name="AKOSOMBO_AGO" totalsRowFunction="custom" dataDxfId="4602" totalsRowDxfId="4601" dataCellStyle="Comma">
      <totalsRowFormula>SUM(December24_2021[AKOSOMBO_AGO])</totalsRowFormula>
    </tableColumn>
    <tableColumn id="7" xr3:uid="{D0B22470-DFC8-4592-9547-BCCB4165DADF}" name="DATE" dataDxfId="4600" totalsRowDxfId="4599">
      <calculatedColumnFormula>$G$3</calculatedColumnFormula>
    </tableColumn>
  </tableColumns>
  <tableStyleInfo showFirstColumn="0" showLastColumn="0" showRowStripes="1" showColumnStripes="0"/>
</table>
</file>

<file path=xl/tables/table5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2" xr:uid="{F8CF1B04-8DC0-4F1F-A4C6-F6390963DC73}" name="December29_2021" displayName="December29_2021" ref="B5:H23" totalsRowCount="1" headerRowDxfId="4598" headerRowBorderDxfId="4597" tableBorderDxfId="4596" totalsRowBorderDxfId="4595">
  <autoFilter ref="B5:H22" xr:uid="{BED02D39-8300-486A-8E07-E19B6F095EF6}"/>
  <sortState xmlns:xlrd2="http://schemas.microsoft.com/office/spreadsheetml/2017/richdata2" ref="B6:H22">
    <sortCondition ref="B6:B22"/>
  </sortState>
  <tableColumns count="7">
    <tableColumn id="1" xr3:uid="{E335EEA0-0C70-4AF6-9298-3878BC89A9C0}" name="BDC LIST" totalsRowLabel="Total" dataDxfId="4594" totalsRowDxfId="4593"/>
    <tableColumn id="2" xr3:uid="{20871F29-FE7D-4D83-8FE6-232B758900C2}" name="KSI_AGO" totalsRowFunction="custom" dataDxfId="4592" totalsRowDxfId="4591" dataCellStyle="Comma">
      <totalsRowFormula>SUM(December29_2021[KSI_AGO])</totalsRowFormula>
    </tableColumn>
    <tableColumn id="3" xr3:uid="{28C15361-7FA3-45DA-AB9E-AB698C6999EF}" name="KSI_PMS" totalsRowFunction="sum" dataDxfId="4590" totalsRowDxfId="4589" dataCellStyle="Comma"/>
    <tableColumn id="4" xr3:uid="{C811628C-A3F8-48DF-AFB3-28D5B372EE18}" name="BUIPE_AGO" totalsRowFunction="custom" dataDxfId="4588" totalsRowDxfId="4587" dataCellStyle="Comma">
      <totalsRowFormula>SUM(December29_2021[BUIPE_AGO])</totalsRowFormula>
    </tableColumn>
    <tableColumn id="5" xr3:uid="{9F7C686B-56D5-47CD-9EA0-310131DD1389}" name="BUIPE_PMS" totalsRowFunction="custom" dataDxfId="4586" totalsRowDxfId="4585" dataCellStyle="Comma">
      <totalsRowFormula>SUM(December29_2021[BUIPE_PMS])</totalsRowFormula>
    </tableColumn>
    <tableColumn id="6" xr3:uid="{8CA5D3E7-1296-4A11-9C38-C19225F3EC9E}" name="AKOSOMBO_AGO" totalsRowFunction="custom" dataDxfId="4584" totalsRowDxfId="4583" dataCellStyle="Comma">
      <totalsRowFormula>SUM(December29_2021[AKOSOMBO_AGO])</totalsRowFormula>
    </tableColumn>
    <tableColumn id="7" xr3:uid="{DEC051F1-4810-431F-B876-0A62FF58627C}" name="DATE" dataDxfId="4582" totalsRowDxfId="4581">
      <calculatedColumnFormula>$G$3</calculatedColumnFormula>
    </tableColumn>
  </tableColumns>
  <tableStyleInfo showFirstColumn="0" showLastColumn="0" showRowStripes="1" showColumnStripes="0"/>
</table>
</file>

<file path=xl/tables/table5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3" xr:uid="{409D3D44-DCD7-4371-832A-3EBF8D8352DE}" name="December30_2021" displayName="December30_2021" ref="B5:H23" totalsRowCount="1" headerRowDxfId="4580" headerRowBorderDxfId="4579" tableBorderDxfId="4578" totalsRowBorderDxfId="4577">
  <autoFilter ref="B5:H22" xr:uid="{BED02D39-8300-486A-8E07-E19B6F095EF6}"/>
  <sortState xmlns:xlrd2="http://schemas.microsoft.com/office/spreadsheetml/2017/richdata2" ref="B6:H22">
    <sortCondition ref="B6:B22"/>
  </sortState>
  <tableColumns count="7">
    <tableColumn id="1" xr3:uid="{66770B12-9E76-45E1-B6C4-49CDB0970EC7}" name="BDC LIST" totalsRowLabel="Total" dataDxfId="4576" totalsRowDxfId="4575"/>
    <tableColumn id="2" xr3:uid="{AE9DC742-9474-4220-8E55-64596A99F890}" name="KSI_AGO" totalsRowFunction="custom" dataDxfId="4574" totalsRowDxfId="4573" dataCellStyle="Comma">
      <totalsRowFormula>SUM(December30_2021[KSI_AGO])</totalsRowFormula>
    </tableColumn>
    <tableColumn id="3" xr3:uid="{56D33630-272C-400E-87A5-25FC0640A09D}" name="KSI_PMS" totalsRowFunction="sum" dataDxfId="4572" totalsRowDxfId="4571" dataCellStyle="Comma"/>
    <tableColumn id="4" xr3:uid="{ABAD366D-75F5-447B-9AAA-386BC278BA26}" name="BUIPE_AGO" totalsRowFunction="custom" dataDxfId="4570" totalsRowDxfId="4569" dataCellStyle="Comma">
      <totalsRowFormula>SUM(December30_2021[BUIPE_AGO])</totalsRowFormula>
    </tableColumn>
    <tableColumn id="5" xr3:uid="{E42517EF-0481-4AFC-B55A-090A384181F5}" name="BUIPE_PMS" totalsRowFunction="custom" dataDxfId="4568" totalsRowDxfId="4567" dataCellStyle="Comma">
      <totalsRowFormula>SUM(December30_2021[BUIPE_PMS])</totalsRowFormula>
    </tableColumn>
    <tableColumn id="6" xr3:uid="{74FD3B89-E2DF-4216-9083-6C01773CB874}" name="AKOSOMBO_AGO" totalsRowFunction="custom" dataDxfId="4566" totalsRowDxfId="4565" dataCellStyle="Comma">
      <totalsRowFormula>SUM(December30_2021[AKOSOMBO_AGO])</totalsRowFormula>
    </tableColumn>
    <tableColumn id="7" xr3:uid="{BF1924D4-20A1-48AA-9033-542CFA2BB9E9}" name="DATE" dataDxfId="4564" totalsRowDxfId="4563">
      <calculatedColumnFormula>$G$3</calculatedColumnFormula>
    </tableColumn>
  </tableColumns>
  <tableStyleInfo showFirstColumn="0" showLastColumn="0" showRowStripes="1" showColumnStripes="0"/>
</table>
</file>

<file path=xl/tables/table5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4" xr:uid="{2D5F73AB-5C3E-4ED4-8171-EB7304E053A4}" name="December31_2021" displayName="December31_2021" ref="B5:H23" totalsRowCount="1" headerRowDxfId="4562" headerRowBorderDxfId="4561" tableBorderDxfId="4560" totalsRowBorderDxfId="4559">
  <autoFilter ref="B5:H22" xr:uid="{BED02D39-8300-486A-8E07-E19B6F095EF6}"/>
  <sortState xmlns:xlrd2="http://schemas.microsoft.com/office/spreadsheetml/2017/richdata2" ref="B6:H22">
    <sortCondition ref="B6:B22"/>
  </sortState>
  <tableColumns count="7">
    <tableColumn id="1" xr3:uid="{6BBDDB65-C870-4037-B54E-AF43EDF7012B}" name="BDC LIST" totalsRowLabel="Total" dataDxfId="4558" totalsRowDxfId="4557"/>
    <tableColumn id="2" xr3:uid="{41FB3B1D-6F0E-40D2-890F-B08DA2E6C429}" name="KSI_AGO" totalsRowFunction="custom" dataDxfId="4556" totalsRowDxfId="4555" dataCellStyle="Comma">
      <totalsRowFormula>SUM(December31_2021[KSI_AGO])</totalsRowFormula>
    </tableColumn>
    <tableColumn id="3" xr3:uid="{B1DED599-2488-4380-8C48-A44B04BE33A9}" name="KSI_PMS" totalsRowFunction="sum" dataDxfId="4554" totalsRowDxfId="4553" dataCellStyle="Comma"/>
    <tableColumn id="4" xr3:uid="{6F27D1C1-4EFB-4AC6-9AD5-BEB6B2FADCDC}" name="BUIPE_AGO" totalsRowFunction="custom" dataDxfId="4552" totalsRowDxfId="4551" dataCellStyle="Comma">
      <totalsRowFormula>SUM(December31_2021[BUIPE_AGO])</totalsRowFormula>
    </tableColumn>
    <tableColumn id="5" xr3:uid="{448011E0-A39D-42FA-9BB9-B7BBFE6A8F7F}" name="BUIPE_PMS" totalsRowFunction="custom" dataDxfId="4550" totalsRowDxfId="4549" dataCellStyle="Comma">
      <totalsRowFormula>SUM(December31_2021[BUIPE_PMS])</totalsRowFormula>
    </tableColumn>
    <tableColumn id="6" xr3:uid="{789C67D8-82B1-4C04-B0D7-3082E2A584A7}" name="AKOSOMBO_AGO" totalsRowFunction="custom" dataDxfId="4548" totalsRowDxfId="4547" dataCellStyle="Comma">
      <totalsRowFormula>SUM(December31_2021[AKOSOMBO_AGO])</totalsRowFormula>
    </tableColumn>
    <tableColumn id="7" xr3:uid="{F66FABD1-AC5F-4A31-82BA-AF22153FC147}" name="DATE" dataDxfId="4546" totalsRowDxfId="4545">
      <calculatedColumnFormula>$G$3</calculatedColumnFormula>
    </tableColumn>
  </tableColumns>
  <tableStyleInfo showFirstColumn="0" showLastColumn="0" showRowStripes="1" showColumnStripes="0"/>
</table>
</file>

<file path=xl/tables/table5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5" xr:uid="{C731BF24-E31A-45F8-ABB8-A37086D3E7C3}" name="January04_2022" displayName="January04_2022" ref="B5:H23" totalsRowCount="1" headerRowDxfId="4544" headerRowBorderDxfId="4543" tableBorderDxfId="4542" totalsRowBorderDxfId="4541">
  <autoFilter ref="B5:H22" xr:uid="{BED02D39-8300-486A-8E07-E19B6F095EF6}"/>
  <sortState xmlns:xlrd2="http://schemas.microsoft.com/office/spreadsheetml/2017/richdata2" ref="B6:H22">
    <sortCondition ref="B6:B22"/>
  </sortState>
  <tableColumns count="7">
    <tableColumn id="1" xr3:uid="{8189EBDE-D188-4D98-9B9E-D4A9D85E6CD9}" name="BDC LIST" totalsRowLabel="Total" dataDxfId="4540" totalsRowDxfId="4539"/>
    <tableColumn id="2" xr3:uid="{07242CB4-3743-4851-A25D-663704597D9D}" name="KSI_AGO" totalsRowFunction="custom" dataDxfId="4538" totalsRowDxfId="4537" dataCellStyle="Comma">
      <totalsRowFormula>SUM(January04_2022[KSI_AGO])</totalsRowFormula>
    </tableColumn>
    <tableColumn id="3" xr3:uid="{ED168CE4-A3B4-4501-B4C2-210E746820BF}" name="KSI_PMS" totalsRowFunction="sum" dataDxfId="4536" totalsRowDxfId="4535" dataCellStyle="Comma"/>
    <tableColumn id="4" xr3:uid="{797BC83A-DF02-48D3-8D09-13CB889D7077}" name="BUIPE_AGO" totalsRowFunction="custom" dataDxfId="4534" totalsRowDxfId="4533" dataCellStyle="Comma">
      <totalsRowFormula>SUM(January04_2022[BUIPE_AGO])</totalsRowFormula>
    </tableColumn>
    <tableColumn id="5" xr3:uid="{A7F0DA98-76A6-4867-9501-041CC29C5072}" name="BUIPE_PMS" totalsRowFunction="custom" dataDxfId="4532" totalsRowDxfId="4531" dataCellStyle="Comma">
      <totalsRowFormula>SUM(January04_2022[BUIPE_PMS])</totalsRowFormula>
    </tableColumn>
    <tableColumn id="6" xr3:uid="{2DD858D0-8BFD-40A8-A127-7A6E43432BCF}" name="AKOSOMBO_AGO" totalsRowFunction="custom" dataDxfId="4530" totalsRowDxfId="4529" dataCellStyle="Comma">
      <totalsRowFormula>SUM(January04_2022[AKOSOMBO_AGO])</totalsRowFormula>
    </tableColumn>
    <tableColumn id="7" xr3:uid="{94F59DC7-C0AA-4769-AAF3-8A844F4267C9}" name="DATE" dataDxfId="4528" totalsRowDxfId="4527">
      <calculatedColumnFormula>$G$3</calculatedColumnFormula>
    </tableColumn>
  </tableColumns>
  <tableStyleInfo showFirstColumn="0" showLastColumn="0" showRowStripes="1" showColumnStripes="0"/>
</table>
</file>

<file path=xl/tables/table5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6" xr:uid="{EBB40837-83DE-4086-B7E3-2240CDAD54AE}" name="January05_2022" displayName="January05_2022" ref="B5:H23" totalsRowCount="1" headerRowDxfId="4526" headerRowBorderDxfId="4525" tableBorderDxfId="4524" totalsRowBorderDxfId="4523">
  <autoFilter ref="B5:H22" xr:uid="{BED02D39-8300-486A-8E07-E19B6F095EF6}"/>
  <sortState xmlns:xlrd2="http://schemas.microsoft.com/office/spreadsheetml/2017/richdata2" ref="B6:H22">
    <sortCondition ref="B6:B22"/>
  </sortState>
  <tableColumns count="7">
    <tableColumn id="1" xr3:uid="{E522B0E7-81FE-467D-BF81-4D6670E67352}" name="BDC LIST" totalsRowLabel="Total" dataDxfId="4522" totalsRowDxfId="4521"/>
    <tableColumn id="2" xr3:uid="{A87818CD-DE02-41A9-A810-74DA2DADBC0F}" name="KSI_AGO" totalsRowFunction="custom" dataDxfId="4520" totalsRowDxfId="4519" dataCellStyle="Comma">
      <totalsRowFormula>SUM(January05_2022[KSI_AGO])</totalsRowFormula>
    </tableColumn>
    <tableColumn id="3" xr3:uid="{F72EDEA1-240C-4571-8E6F-D6BF5DF32A8F}" name="KSI_PMS" totalsRowFunction="sum" dataDxfId="4518" totalsRowDxfId="4517" dataCellStyle="Comma"/>
    <tableColumn id="4" xr3:uid="{659A0073-F99F-46AE-B9AA-60B7FCEBE045}" name="BUIPE_AGO" totalsRowFunction="custom" dataDxfId="4516" totalsRowDxfId="4515" dataCellStyle="Comma">
      <totalsRowFormula>SUM(January05_2022[BUIPE_AGO])</totalsRowFormula>
    </tableColumn>
    <tableColumn id="5" xr3:uid="{F080B6B8-1F93-4664-A969-9CF2DDD605BD}" name="BUIPE_PMS" totalsRowFunction="custom" dataDxfId="4514" totalsRowDxfId="4513" dataCellStyle="Comma">
      <totalsRowFormula>SUM(January05_2022[BUIPE_PMS])</totalsRowFormula>
    </tableColumn>
    <tableColumn id="6" xr3:uid="{138D0B4B-65C3-492B-BDCD-6A5678E69A24}" name="AKOSOMBO_AGO" totalsRowFunction="custom" dataDxfId="4512" totalsRowDxfId="4511" dataCellStyle="Comma">
      <totalsRowFormula>SUM(January05_2022[AKOSOMBO_AGO])</totalsRowFormula>
    </tableColumn>
    <tableColumn id="7" xr3:uid="{7AB45EDD-CBAA-4E40-90EF-7F5C662D6B09}" name="DATE" dataDxfId="4510" totalsRowDxfId="4509">
      <calculatedColumnFormula>$G$3</calculatedColumnFormula>
    </tableColumn>
  </tableColumns>
  <tableStyleInfo showFirstColumn="0" showLastColumn="0" showRowStripes="1" showColumnStripes="0"/>
</table>
</file>

<file path=xl/tables/table5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7" xr:uid="{CCA9D55C-F05D-4807-B92F-1190D555BD1D}" name="January06_2022" displayName="January06_2022" ref="B5:H23" totalsRowCount="1" headerRowDxfId="4508" headerRowBorderDxfId="4507" tableBorderDxfId="4506" totalsRowBorderDxfId="4505">
  <autoFilter ref="B5:H22" xr:uid="{BED02D39-8300-486A-8E07-E19B6F095EF6}"/>
  <sortState xmlns:xlrd2="http://schemas.microsoft.com/office/spreadsheetml/2017/richdata2" ref="B6:H22">
    <sortCondition ref="B6:B22"/>
  </sortState>
  <tableColumns count="7">
    <tableColumn id="1" xr3:uid="{B3682577-4374-4815-AFC7-74331A2746B3}" name="BDC LIST" totalsRowLabel="Total" dataDxfId="4504" totalsRowDxfId="4503"/>
    <tableColumn id="2" xr3:uid="{DB01749C-D80A-4504-B6F7-13B7E69095CA}" name="KSI_AGO" totalsRowFunction="custom" dataDxfId="4502" totalsRowDxfId="4501" dataCellStyle="Comma">
      <totalsRowFormula>SUM(January06_2022[KSI_AGO])</totalsRowFormula>
    </tableColumn>
    <tableColumn id="3" xr3:uid="{28A9B571-3E7C-4A1E-99F3-C109AE8B5A96}" name="KSI_PMS" totalsRowFunction="sum" dataDxfId="4500" totalsRowDxfId="4499" dataCellStyle="Comma"/>
    <tableColumn id="4" xr3:uid="{0EC70803-86AB-464E-80D9-9FB4EAB45262}" name="BUIPE_AGO" totalsRowFunction="custom" dataDxfId="4498" totalsRowDxfId="4497" dataCellStyle="Comma">
      <totalsRowFormula>SUM(January06_2022[BUIPE_AGO])</totalsRowFormula>
    </tableColumn>
    <tableColumn id="5" xr3:uid="{8B92048C-EA30-401F-9E8D-17D2EBF7269B}" name="BUIPE_PMS" totalsRowFunction="custom" dataDxfId="4496" totalsRowDxfId="4495" dataCellStyle="Comma">
      <totalsRowFormula>SUM(January06_2022[BUIPE_PMS])</totalsRowFormula>
    </tableColumn>
    <tableColumn id="6" xr3:uid="{E765D129-5DA5-4AEB-8A40-E7D7272939C7}" name="AKOSOMBO_AGO" totalsRowFunction="custom" dataDxfId="4494" totalsRowDxfId="4493" dataCellStyle="Comma">
      <totalsRowFormula>SUM(January06_2022[AKOSOMBO_AGO])</totalsRowFormula>
    </tableColumn>
    <tableColumn id="7" xr3:uid="{572F082E-D979-4378-921F-F4C4948EF339}" name="DATE" dataDxfId="4492" totalsRowDxfId="4491">
      <calculatedColumnFormula>$G$3</calculatedColumnFormula>
    </tableColumn>
  </tableColumns>
  <tableStyleInfo showFirstColumn="0" showLastColumn="0" showRowStripes="1" showColumnStripes="0"/>
</table>
</file>

<file path=xl/tables/table5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8" xr:uid="{03F14C9E-AECD-44DF-865A-DF057D9DD430}" name="January10_2022" displayName="January10_2022" ref="B5:H23" totalsRowCount="1" headerRowDxfId="4490" headerRowBorderDxfId="4489" tableBorderDxfId="4488" totalsRowBorderDxfId="4487">
  <autoFilter ref="B5:H22" xr:uid="{BED02D39-8300-486A-8E07-E19B6F095EF6}"/>
  <sortState xmlns:xlrd2="http://schemas.microsoft.com/office/spreadsheetml/2017/richdata2" ref="B6:H22">
    <sortCondition ref="B6:B22"/>
  </sortState>
  <tableColumns count="7">
    <tableColumn id="1" xr3:uid="{C10BA4FF-79C3-44D5-AD9D-8B9222144EBD}" name="BDC LIST" totalsRowLabel="Total" dataDxfId="4486" totalsRowDxfId="4485"/>
    <tableColumn id="2" xr3:uid="{F6EED92D-E87D-426F-B18F-DE49F9327F63}" name="KSI_AGO" totalsRowFunction="custom" dataDxfId="4484" totalsRowDxfId="4483" dataCellStyle="Comma">
      <totalsRowFormula>SUM(January10_2022[KSI_AGO])</totalsRowFormula>
    </tableColumn>
    <tableColumn id="3" xr3:uid="{55B012AE-B03F-4A39-8AD2-05793E5697B0}" name="KSI_PMS" totalsRowFunction="sum" dataDxfId="4482" totalsRowDxfId="4481" dataCellStyle="Comma"/>
    <tableColumn id="4" xr3:uid="{E0FF1F4A-2538-48B2-B072-7D0D4F8BD246}" name="BUIPE_AGO" totalsRowFunction="custom" dataDxfId="4480" totalsRowDxfId="4479" dataCellStyle="Comma">
      <totalsRowFormula>SUM(January10_2022[BUIPE_AGO])</totalsRowFormula>
    </tableColumn>
    <tableColumn id="5" xr3:uid="{AB7E260C-999B-42BA-B7DA-AC30F7BD9BDF}" name="BUIPE_PMS" totalsRowFunction="custom" dataDxfId="4478" totalsRowDxfId="4477" dataCellStyle="Comma">
      <totalsRowFormula>SUM(January10_2022[BUIPE_PMS])</totalsRowFormula>
    </tableColumn>
    <tableColumn id="6" xr3:uid="{248D7FB5-6633-49FB-9974-38DA2EA6A2B9}" name="AKOSOMBO_AGO" totalsRowFunction="custom" dataDxfId="4476" totalsRowDxfId="4475" dataCellStyle="Comma">
      <totalsRowFormula>SUM(January10_2022[AKOSOMBO_AGO])</totalsRowFormula>
    </tableColumn>
    <tableColumn id="7" xr3:uid="{AB3BA850-3B8C-4E32-9E0A-34C72B51CCA3}" name="DATE" dataDxfId="4474" totalsRowDxfId="4473">
      <calculatedColumnFormula>$G$3</calculatedColumnFormula>
    </tableColumn>
  </tableColumns>
  <tableStyleInfo showFirstColumn="0" showLastColumn="0" showRowStripes="1" showColumnStripes="0"/>
</table>
</file>

<file path=xl/tables/table5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9" xr:uid="{FB61DACD-FBED-4560-85C2-DF6CC11BA6FC}" name="January11_2022" displayName="January11_2022" ref="B5:H23" totalsRowCount="1" headerRowDxfId="4472" headerRowBorderDxfId="4471" tableBorderDxfId="4470" totalsRowBorderDxfId="4469">
  <autoFilter ref="B5:H22" xr:uid="{BED02D39-8300-486A-8E07-E19B6F095EF6}"/>
  <sortState xmlns:xlrd2="http://schemas.microsoft.com/office/spreadsheetml/2017/richdata2" ref="B6:H22">
    <sortCondition ref="B6:B22"/>
  </sortState>
  <tableColumns count="7">
    <tableColumn id="1" xr3:uid="{BFA7C4C6-7C55-4272-B873-4A158CD327C8}" name="BDC LIST" totalsRowLabel="Total" dataDxfId="4468" totalsRowDxfId="4467"/>
    <tableColumn id="2" xr3:uid="{01C329E5-1D7B-4801-9CCA-777E5795080E}" name="KSI_AGO" totalsRowFunction="custom" dataDxfId="4466" totalsRowDxfId="4465" dataCellStyle="Comma">
      <totalsRowFormula>SUM(January11_2022[KSI_AGO])</totalsRowFormula>
    </tableColumn>
    <tableColumn id="3" xr3:uid="{87FCF5A8-9B2E-46F8-9E74-A988C3218D8C}" name="KSI_PMS" totalsRowFunction="sum" dataDxfId="4464" totalsRowDxfId="4463" dataCellStyle="Comma"/>
    <tableColumn id="4" xr3:uid="{522EE511-5A64-40E4-A908-ABFBECDDE519}" name="BUIPE_AGO" totalsRowFunction="custom" dataDxfId="4462" totalsRowDxfId="4461" dataCellStyle="Comma">
      <totalsRowFormula>SUM(January11_2022[BUIPE_AGO])</totalsRowFormula>
    </tableColumn>
    <tableColumn id="5" xr3:uid="{E7A6883D-C5C2-4678-9902-CF3AE18D197C}" name="BUIPE_PMS" totalsRowFunction="custom" dataDxfId="4460" totalsRowDxfId="4459" dataCellStyle="Comma">
      <totalsRowFormula>SUM(January11_2022[BUIPE_PMS])</totalsRowFormula>
    </tableColumn>
    <tableColumn id="6" xr3:uid="{FA204170-F86E-47C2-9B42-684B2779F17C}" name="AKOSOMBO_AGO" totalsRowFunction="custom" dataDxfId="4458" totalsRowDxfId="4457" dataCellStyle="Comma">
      <totalsRowFormula>SUM(January11_2022[AKOSOMBO_AGO])</totalsRowFormula>
    </tableColumn>
    <tableColumn id="7" xr3:uid="{8CD21540-8322-4292-9ABD-C1061DB8C94B}" name="DATE" dataDxfId="4456" totalsRowDxfId="4455">
      <calculatedColumnFormula>$G$3</calculatedColumnFormula>
    </tableColumn>
  </tableColumns>
  <tableStyleInfo showFirstColumn="0" showLastColumn="0" showRowStripes="1" showColumnStripes="0"/>
</table>
</file>

<file path=xl/tables/table5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0" xr:uid="{16282410-78EF-4BED-8EF0-DAE09F621DB2}" name="January12_2022" displayName="January12_2022" ref="B5:H23" totalsRowCount="1" headerRowDxfId="4454" headerRowBorderDxfId="4453" tableBorderDxfId="4452" totalsRowBorderDxfId="4451">
  <autoFilter ref="B5:H22" xr:uid="{BED02D39-8300-486A-8E07-E19B6F095EF6}"/>
  <sortState xmlns:xlrd2="http://schemas.microsoft.com/office/spreadsheetml/2017/richdata2" ref="B6:H22">
    <sortCondition ref="B6:B22"/>
  </sortState>
  <tableColumns count="7">
    <tableColumn id="1" xr3:uid="{166D0884-1137-4443-A670-2B9CA68EBE80}" name="BDC LIST" totalsRowLabel="Total" dataDxfId="4450" totalsRowDxfId="4449"/>
    <tableColumn id="2" xr3:uid="{A969BA56-AE18-4333-A2D0-8F6F89175EC3}" name="KSI_AGO" totalsRowFunction="custom" dataDxfId="4448" totalsRowDxfId="4447" dataCellStyle="Comma">
      <totalsRowFormula>SUM(January12_2022[KSI_AGO])</totalsRowFormula>
    </tableColumn>
    <tableColumn id="3" xr3:uid="{85D150C4-5A5D-4995-B759-973A73C78838}" name="KSI_PMS" totalsRowFunction="sum" dataDxfId="4446" totalsRowDxfId="4445" dataCellStyle="Comma"/>
    <tableColumn id="4" xr3:uid="{255A7E0D-D94E-437A-B217-A315F51E0998}" name="BUIPE_AGO" totalsRowFunction="custom" dataDxfId="4444" totalsRowDxfId="4443" dataCellStyle="Comma">
      <totalsRowFormula>SUM(January12_2022[BUIPE_AGO])</totalsRowFormula>
    </tableColumn>
    <tableColumn id="5" xr3:uid="{0BC9414C-277E-4929-BDD6-3176F76A73DC}" name="BUIPE_PMS" totalsRowFunction="custom" dataDxfId="4442" totalsRowDxfId="4441" dataCellStyle="Comma">
      <totalsRowFormula>SUM(January12_2022[BUIPE_PMS])</totalsRowFormula>
    </tableColumn>
    <tableColumn id="6" xr3:uid="{9455EC48-69C1-4579-9B09-4B8210A2EECC}" name="AKOSOMBO_AGO" totalsRowFunction="custom" dataDxfId="4440" totalsRowDxfId="4439" dataCellStyle="Comma">
      <totalsRowFormula>SUM(January12_2022[AKOSOMBO_AGO])</totalsRowFormula>
    </tableColumn>
    <tableColumn id="7" xr3:uid="{30A0A63C-7D44-4818-ACA2-FEEB3531D5C7}" name="DATE" dataDxfId="4438" totalsRowDxfId="4437">
      <calculatedColumnFormula>$G$3</calculatedColumnFormula>
    </tableColumn>
  </tableColumns>
  <tableStyleInfo showFirstColumn="0" showLastColumn="0" showRowStripes="1" showColumnStripes="0"/>
</table>
</file>

<file path=xl/tables/table5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1" xr:uid="{266A9A76-AE8C-4409-B08B-6EAC7916E47F}" name="January13_2022" displayName="January13_2022" ref="B5:H23" totalsRowCount="1" headerRowDxfId="4436" headerRowBorderDxfId="4435" tableBorderDxfId="4434" totalsRowBorderDxfId="4433">
  <autoFilter ref="B5:H22" xr:uid="{BED02D39-8300-486A-8E07-E19B6F095EF6}"/>
  <sortState xmlns:xlrd2="http://schemas.microsoft.com/office/spreadsheetml/2017/richdata2" ref="B6:H22">
    <sortCondition ref="B6:B22"/>
  </sortState>
  <tableColumns count="7">
    <tableColumn id="1" xr3:uid="{4F7E12D9-7197-4D17-9520-0325E4CC5863}" name="BDC LIST" totalsRowLabel="Total" dataDxfId="4432" totalsRowDxfId="4431"/>
    <tableColumn id="2" xr3:uid="{571929FC-3A33-47AA-8C2C-8C43881FF02F}" name="KSI_AGO" totalsRowFunction="custom" dataDxfId="4430" totalsRowDxfId="4429" dataCellStyle="Comma">
      <totalsRowFormula>SUM(January13_2022[KSI_AGO])</totalsRowFormula>
    </tableColumn>
    <tableColumn id="3" xr3:uid="{21C675B0-62CD-49E2-96D0-F1E7FE67D6B9}" name="KSI_PMS" totalsRowFunction="sum" dataDxfId="4428" totalsRowDxfId="4427" dataCellStyle="Comma"/>
    <tableColumn id="4" xr3:uid="{84636443-A803-4DFD-B51B-622FEF053BB0}" name="BUIPE_AGO" totalsRowFunction="custom" dataDxfId="4426" totalsRowDxfId="4425" dataCellStyle="Comma">
      <totalsRowFormula>SUM(January13_2022[BUIPE_AGO])</totalsRowFormula>
    </tableColumn>
    <tableColumn id="5" xr3:uid="{78B66E49-A4E3-454F-820F-752B5AE653B8}" name="BUIPE_PMS" totalsRowFunction="custom" dataDxfId="4424" totalsRowDxfId="4423" dataCellStyle="Comma">
      <totalsRowFormula>SUM(January13_2022[BUIPE_PMS])</totalsRowFormula>
    </tableColumn>
    <tableColumn id="6" xr3:uid="{9F3F7DE9-E262-441E-AE4B-92FC6BDE9689}" name="AKOSOMBO_AGO" totalsRowFunction="custom" dataDxfId="4422" totalsRowDxfId="4421" dataCellStyle="Comma">
      <totalsRowFormula>SUM(January13_2022[AKOSOMBO_AGO])</totalsRowFormula>
    </tableColumn>
    <tableColumn id="7" xr3:uid="{BFC575F4-7456-4BAA-935E-D4D371FA3EA9}" name="DATE" dataDxfId="4420" totalsRowDxfId="4419">
      <calculatedColumnFormula>$G$3</calculatedColumnFormula>
    </tableColumn>
  </tableColumns>
  <tableStyleInfo showFirstColumn="0" showLastColumn="0" showRowStripes="1" showColumnStripes="0"/>
</table>
</file>

<file path=xl/tables/table5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2" xr:uid="{748B9635-9CFD-4CA6-A469-4C982F0A5196}" name="January14_2022" displayName="January14_2022" ref="B5:H23" totalsRowCount="1" headerRowDxfId="4418" headerRowBorderDxfId="4417" tableBorderDxfId="4416" totalsRowBorderDxfId="4415">
  <autoFilter ref="B5:H22" xr:uid="{BED02D39-8300-486A-8E07-E19B6F095EF6}"/>
  <sortState xmlns:xlrd2="http://schemas.microsoft.com/office/spreadsheetml/2017/richdata2" ref="B6:H22">
    <sortCondition ref="B6:B22"/>
  </sortState>
  <tableColumns count="7">
    <tableColumn id="1" xr3:uid="{4051D718-2129-446D-ABEF-2DC9645B8AE4}" name="BDC LIST" totalsRowLabel="Total" dataDxfId="4414" totalsRowDxfId="4413"/>
    <tableColumn id="2" xr3:uid="{F2D5C3E0-DACC-4C86-A580-ADEDCA19F379}" name="KSI_AGO" totalsRowFunction="custom" dataDxfId="4412" totalsRowDxfId="4411" dataCellStyle="Comma">
      <totalsRowFormula>SUM(January14_2022[KSI_AGO])</totalsRowFormula>
    </tableColumn>
    <tableColumn id="3" xr3:uid="{E384622B-2267-48F4-BD90-4335B233D76E}" name="KSI_PMS" totalsRowFunction="sum" dataDxfId="4410" totalsRowDxfId="4409" dataCellStyle="Comma"/>
    <tableColumn id="4" xr3:uid="{50342DB0-B0DD-481A-B84F-9424EE54FEC4}" name="BUIPE_AGO" totalsRowFunction="custom" dataDxfId="4408" totalsRowDxfId="4407" dataCellStyle="Comma">
      <totalsRowFormula>SUM(January14_2022[BUIPE_AGO])</totalsRowFormula>
    </tableColumn>
    <tableColumn id="5" xr3:uid="{87EE19DB-655B-416C-BF5B-C56D63C7BFB9}" name="BUIPE_PMS" totalsRowFunction="custom" dataDxfId="4406" totalsRowDxfId="4405" dataCellStyle="Comma">
      <totalsRowFormula>SUM(January14_2022[BUIPE_PMS])</totalsRowFormula>
    </tableColumn>
    <tableColumn id="6" xr3:uid="{778E4D34-9AC3-4455-8C76-7E7521D2EA66}" name="AKOSOMBO_AGO" totalsRowFunction="custom" dataDxfId="4404" totalsRowDxfId="4403" dataCellStyle="Comma">
      <totalsRowFormula>SUM(January14_2022[AKOSOMBO_AGO])</totalsRowFormula>
    </tableColumn>
    <tableColumn id="7" xr3:uid="{33D93E12-4BFA-4CC6-B0C6-28F47325AE50}" name="DATE" dataDxfId="4402" totalsRowDxfId="4401">
      <calculatedColumnFormula>$G$3</calculatedColumnFormula>
    </tableColumn>
  </tableColumns>
  <tableStyleInfo showFirstColumn="0" showLastColumn="0" showRowStripes="1" showColumnStripes="0"/>
</table>
</file>

<file path=xl/tables/table5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3" xr:uid="{3CD3B46D-2932-454F-B8A5-548F67091F3B}" name="January17_2022" displayName="January17_2022" ref="B5:H23" totalsRowCount="1" headerRowDxfId="4400" headerRowBorderDxfId="4399" tableBorderDxfId="4398" totalsRowBorderDxfId="4397">
  <autoFilter ref="B5:H22" xr:uid="{BED02D39-8300-486A-8E07-E19B6F095EF6}"/>
  <sortState xmlns:xlrd2="http://schemas.microsoft.com/office/spreadsheetml/2017/richdata2" ref="B6:H22">
    <sortCondition ref="B6:B22"/>
  </sortState>
  <tableColumns count="7">
    <tableColumn id="1" xr3:uid="{90C248E1-7A94-4E51-BDCE-51CC241588E0}" name="BDC LIST" totalsRowLabel="Total" dataDxfId="4396" totalsRowDxfId="4395"/>
    <tableColumn id="2" xr3:uid="{91B15D74-5640-4B07-9937-3D62210B7C4B}" name="KSI_AGO" totalsRowFunction="custom" dataDxfId="4394" totalsRowDxfId="4393" dataCellStyle="Comma">
      <totalsRowFormula>SUM(January17_2022[KSI_AGO])</totalsRowFormula>
    </tableColumn>
    <tableColumn id="3" xr3:uid="{5122AA99-FA83-4E7F-8912-6F966CB6D97E}" name="KSI_PMS" totalsRowFunction="sum" dataDxfId="4392" totalsRowDxfId="4391" dataCellStyle="Comma"/>
    <tableColumn id="4" xr3:uid="{F4D8A3AA-0B40-43DA-BFC5-4C634011F18D}" name="BUIPE_AGO" totalsRowFunction="custom" dataDxfId="4390" totalsRowDxfId="4389" dataCellStyle="Comma">
      <totalsRowFormula>SUM(January17_2022[BUIPE_AGO])</totalsRowFormula>
    </tableColumn>
    <tableColumn id="5" xr3:uid="{052BC690-E52B-4F16-A0F7-7DD7FBD75F0B}" name="BUIPE_PMS" totalsRowFunction="custom" dataDxfId="4388" totalsRowDxfId="4387" dataCellStyle="Comma">
      <totalsRowFormula>SUM(January17_2022[BUIPE_PMS])</totalsRowFormula>
    </tableColumn>
    <tableColumn id="6" xr3:uid="{34772F10-E8F8-48E9-914B-9BA247F7181F}" name="AKOSOMBO_AGO" totalsRowFunction="custom" dataDxfId="4386" totalsRowDxfId="4385" dataCellStyle="Comma">
      <totalsRowFormula>SUM(January17_2022[AKOSOMBO_AGO])</totalsRowFormula>
    </tableColumn>
    <tableColumn id="7" xr3:uid="{D1015FF5-BC18-4E9E-99B8-FA00E7261D1B}" name="DATE" dataDxfId="4384" totalsRowDxfId="4383">
      <calculatedColumnFormula>$G$3</calculatedColumnFormula>
    </tableColumn>
  </tableColumns>
  <tableStyleInfo showFirstColumn="0" showLastColumn="0" showRowStripes="1" showColumnStripes="0"/>
</table>
</file>

<file path=xl/tables/table5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5" xr:uid="{6040374F-95B9-4FA2-B439-D4F747B7DB24}" name="January18_2022" displayName="January18_2022" ref="B5:H23" totalsRowCount="1" headerRowDxfId="4382" headerRowBorderDxfId="4381" tableBorderDxfId="4380" totalsRowBorderDxfId="4379">
  <autoFilter ref="B5:H22" xr:uid="{BED02D39-8300-486A-8E07-E19B6F095EF6}"/>
  <sortState xmlns:xlrd2="http://schemas.microsoft.com/office/spreadsheetml/2017/richdata2" ref="B6:H22">
    <sortCondition ref="B6:B22"/>
  </sortState>
  <tableColumns count="7">
    <tableColumn id="1" xr3:uid="{8477F222-6813-49E8-9BE0-09F065ABF8CD}" name="BDC LIST" totalsRowLabel="Total" dataDxfId="4378" totalsRowDxfId="4377"/>
    <tableColumn id="2" xr3:uid="{90389CEB-6A5E-4C40-A84A-FCF9EC417BFF}" name="KSI_AGO" totalsRowFunction="custom" dataDxfId="4376" totalsRowDxfId="4375" dataCellStyle="Comma">
      <totalsRowFormula>SUM(January18_2022[KSI_AGO])</totalsRowFormula>
    </tableColumn>
    <tableColumn id="3" xr3:uid="{7585E1D8-3269-43E4-ABAA-08CF7F5CF372}" name="KSI_PMS" totalsRowFunction="sum" dataDxfId="4374" totalsRowDxfId="4373" dataCellStyle="Comma"/>
    <tableColumn id="4" xr3:uid="{BF50F1A9-7F6F-4011-AB25-99B4CE6317A7}" name="BUIPE_AGO" totalsRowFunction="custom" dataDxfId="4372" totalsRowDxfId="4371" dataCellStyle="Comma">
      <totalsRowFormula>SUM(January18_2022[BUIPE_AGO])</totalsRowFormula>
    </tableColumn>
    <tableColumn id="5" xr3:uid="{4C390AA4-DBB1-4986-A1AE-56ADA95E375C}" name="BUIPE_PMS" totalsRowFunction="custom" dataDxfId="4370" totalsRowDxfId="4369" dataCellStyle="Comma">
      <totalsRowFormula>SUM(January18_2022[BUIPE_PMS])</totalsRowFormula>
    </tableColumn>
    <tableColumn id="6" xr3:uid="{B8164293-9F69-49F4-B7A1-4FAB28283947}" name="AKOSOMBO_AGO" totalsRowFunction="custom" dataDxfId="4368" totalsRowDxfId="4367" dataCellStyle="Comma">
      <totalsRowFormula>SUM(January18_2022[AKOSOMBO_AGO])</totalsRowFormula>
    </tableColumn>
    <tableColumn id="7" xr3:uid="{E31087A7-CF54-4432-B964-BB136DB30F58}" name="DATE" dataDxfId="4366" totalsRowDxfId="4365">
      <calculatedColumnFormula>$G$3</calculatedColumnFormula>
    </tableColumn>
  </tableColumns>
  <tableStyleInfo showFirstColumn="0" showLastColumn="0" showRowStripes="1" showColumnStripes="0"/>
</table>
</file>

<file path=xl/tables/table5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4" xr:uid="{CD59C75C-A21B-4B59-8E75-0CDD503D1C09}" name="January19_2022" displayName="January19_2022" ref="B5:H23" totalsRowCount="1" headerRowDxfId="4364" headerRowBorderDxfId="4363" tableBorderDxfId="4362" totalsRowBorderDxfId="4361">
  <autoFilter ref="B5:H22" xr:uid="{BED02D39-8300-486A-8E07-E19B6F095EF6}"/>
  <sortState xmlns:xlrd2="http://schemas.microsoft.com/office/spreadsheetml/2017/richdata2" ref="B6:H22">
    <sortCondition ref="B6:B22"/>
  </sortState>
  <tableColumns count="7">
    <tableColumn id="1" xr3:uid="{29616F0E-B6ED-49FE-95AC-8E81E3502050}" name="BDC LIST" totalsRowLabel="Total" dataDxfId="4360" totalsRowDxfId="4359"/>
    <tableColumn id="2" xr3:uid="{E39B3682-E27D-4C07-972F-C49F4789E72B}" name="KSI_AGO" totalsRowFunction="custom" dataDxfId="4358" totalsRowDxfId="4357" dataCellStyle="Comma">
      <totalsRowFormula>SUM(January19_2022[KSI_AGO])</totalsRowFormula>
    </tableColumn>
    <tableColumn id="3" xr3:uid="{89EE8165-9720-4A7C-A69F-949AE63139D3}" name="KSI_PMS" totalsRowFunction="sum" dataDxfId="4356" totalsRowDxfId="4355" dataCellStyle="Comma"/>
    <tableColumn id="4" xr3:uid="{C3C64341-F891-4313-9C00-BEAB637003BE}" name="BUIPE_AGO" totalsRowFunction="custom" dataDxfId="4354" totalsRowDxfId="4353" dataCellStyle="Comma">
      <totalsRowFormula>SUM(January19_2022[BUIPE_AGO])</totalsRowFormula>
    </tableColumn>
    <tableColumn id="5" xr3:uid="{FD759259-B3BF-48F7-9E4F-7C88AE69BBF2}" name="BUIPE_PMS" totalsRowFunction="custom" dataDxfId="4352" totalsRowDxfId="4351" dataCellStyle="Comma">
      <totalsRowFormula>SUM(January19_2022[BUIPE_PMS])</totalsRowFormula>
    </tableColumn>
    <tableColumn id="6" xr3:uid="{FC65A375-DABE-4DA5-9F42-B10220C16B6C}" name="AKOSOMBO_AGO" totalsRowFunction="custom" dataDxfId="4350" totalsRowDxfId="4349" dataCellStyle="Comma">
      <totalsRowFormula>SUM(January19_2022[AKOSOMBO_AGO])</totalsRowFormula>
    </tableColumn>
    <tableColumn id="7" xr3:uid="{7183BABF-CDD5-49FF-ADF9-130443343C87}" name="DATE" dataDxfId="4348" totalsRowDxfId="4347">
      <calculatedColumnFormula>$G$3</calculatedColumnFormula>
    </tableColumn>
  </tableColumns>
  <tableStyleInfo showFirstColumn="0" showLastColumn="0" showRowStripes="1" showColumnStripes="0"/>
</table>
</file>

<file path=xl/tables/table5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6" xr:uid="{B7B7B9C2-EA23-4D75-9FF8-5108A33792C2}" name="January20_2022" displayName="January20_2022" ref="B5:H23" totalsRowCount="1" headerRowDxfId="4346" headerRowBorderDxfId="4345" tableBorderDxfId="4344" totalsRowBorderDxfId="4343">
  <autoFilter ref="B5:H22" xr:uid="{BED02D39-8300-486A-8E07-E19B6F095EF6}"/>
  <sortState xmlns:xlrd2="http://schemas.microsoft.com/office/spreadsheetml/2017/richdata2" ref="B6:H22">
    <sortCondition ref="B6:B22"/>
  </sortState>
  <tableColumns count="7">
    <tableColumn id="1" xr3:uid="{179A7FA1-16B2-4E23-AC18-41BAC2126033}" name="BDC LIST" totalsRowLabel="Total" dataDxfId="4342" totalsRowDxfId="4341"/>
    <tableColumn id="2" xr3:uid="{B1780136-A638-488B-8948-F7DBBBCB6A7F}" name="KSI_AGO" totalsRowFunction="custom" dataDxfId="4340" totalsRowDxfId="4339" dataCellStyle="Comma">
      <totalsRowFormula>SUM(January20_2022[KSI_AGO])</totalsRowFormula>
    </tableColumn>
    <tableColumn id="3" xr3:uid="{08FAA197-DF82-42C0-A786-81AA868572F9}" name="KSI_PMS" totalsRowFunction="sum" dataDxfId="4338" totalsRowDxfId="4337" dataCellStyle="Comma"/>
    <tableColumn id="4" xr3:uid="{293A89CB-CEEF-4186-A12C-D54F8870E106}" name="BUIPE_AGO" totalsRowFunction="custom" dataDxfId="4336" totalsRowDxfId="4335" dataCellStyle="Comma">
      <totalsRowFormula>SUM(January20_2022[BUIPE_AGO])</totalsRowFormula>
    </tableColumn>
    <tableColumn id="5" xr3:uid="{4C88FAE2-2C7D-4904-8C33-758A36A0B915}" name="BUIPE_PMS" totalsRowFunction="custom" dataDxfId="4334" totalsRowDxfId="4333" dataCellStyle="Comma">
      <totalsRowFormula>SUM(January20_2022[BUIPE_PMS])</totalsRowFormula>
    </tableColumn>
    <tableColumn id="6" xr3:uid="{F7253A2D-199E-4A96-A803-CB4E97FE84A7}" name="AKOSOMBO_AGO" totalsRowFunction="custom" dataDxfId="4332" totalsRowDxfId="4331" dataCellStyle="Comma">
      <totalsRowFormula>SUM(January20_2022[AKOSOMBO_AGO])</totalsRowFormula>
    </tableColumn>
    <tableColumn id="7" xr3:uid="{EE5009CA-C69D-4A3F-9347-6F1C9A772192}" name="DATE" dataDxfId="4330" totalsRowDxfId="4329">
      <calculatedColumnFormula>$G$3</calculatedColumnFormula>
    </tableColumn>
  </tableColumns>
  <tableStyleInfo showFirstColumn="0" showLastColumn="0" showRowStripes="1" showColumnStripes="0"/>
</table>
</file>

<file path=xl/tables/table5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7" xr:uid="{6062EEA8-5EF2-4764-B24E-3E98F86FDB39}" name="January21_2022" displayName="January21_2022" ref="B5:H23" totalsRowCount="1" headerRowDxfId="4328" headerRowBorderDxfId="4327" tableBorderDxfId="4326" totalsRowBorderDxfId="4325">
  <autoFilter ref="B5:H22" xr:uid="{BED02D39-8300-486A-8E07-E19B6F095EF6}"/>
  <sortState xmlns:xlrd2="http://schemas.microsoft.com/office/spreadsheetml/2017/richdata2" ref="B6:H22">
    <sortCondition ref="B6:B22"/>
  </sortState>
  <tableColumns count="7">
    <tableColumn id="1" xr3:uid="{2EC46A2A-3159-4D46-8CAB-940B6FAC698F}" name="BDC LIST" totalsRowLabel="Total" dataDxfId="4324" totalsRowDxfId="4323"/>
    <tableColumn id="2" xr3:uid="{2B09F7C9-51DD-4AC5-BF4B-1D66E6F7277A}" name="KSI_AGO" totalsRowFunction="custom" dataDxfId="4322" totalsRowDxfId="4321" dataCellStyle="Comma">
      <totalsRowFormula>SUM(January21_2022[KSI_AGO])</totalsRowFormula>
    </tableColumn>
    <tableColumn id="3" xr3:uid="{9E5AB75E-E5FD-469D-831E-AB25F7D5C8DC}" name="KSI_PMS" totalsRowFunction="sum" dataDxfId="4320" totalsRowDxfId="4319" dataCellStyle="Comma"/>
    <tableColumn id="4" xr3:uid="{7ADABCFE-2DB2-49D2-B90C-3CC6A395CA7F}" name="BUIPE_AGO" totalsRowFunction="custom" dataDxfId="4318" totalsRowDxfId="4317" dataCellStyle="Comma">
      <totalsRowFormula>SUM(January21_2022[BUIPE_AGO])</totalsRowFormula>
    </tableColumn>
    <tableColumn id="5" xr3:uid="{A6965215-A191-4E4D-BF69-2240C82E090F}" name="BUIPE_PMS" totalsRowFunction="custom" dataDxfId="4316" totalsRowDxfId="4315" dataCellStyle="Comma">
      <totalsRowFormula>SUM(January21_2022[BUIPE_PMS])</totalsRowFormula>
    </tableColumn>
    <tableColumn id="6" xr3:uid="{4F49B651-1364-47B4-9016-90B090D82187}" name="AKOSOMBO_AGO" totalsRowFunction="custom" dataDxfId="4314" totalsRowDxfId="4313" dataCellStyle="Comma">
      <totalsRowFormula>SUM(January21_2022[AKOSOMBO_AGO])</totalsRowFormula>
    </tableColumn>
    <tableColumn id="7" xr3:uid="{14FACE6F-39F7-4A61-9AB0-63B4C7B6A5D1}" name="DATE" dataDxfId="4312" totalsRowDxfId="4311">
      <calculatedColumnFormula>$G$3</calculatedColumnFormula>
    </tableColumn>
  </tableColumns>
  <tableStyleInfo showFirstColumn="0" showLastColumn="0" showRowStripes="1" showColumnStripes="0"/>
</table>
</file>

<file path=xl/tables/table5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8" xr:uid="{803A75E1-E47E-4965-8D2E-ACFFDC1DDB1A}" name="January24_2022" displayName="January24_2022" ref="B5:H23" totalsRowCount="1" headerRowDxfId="4310" headerRowBorderDxfId="4309" tableBorderDxfId="4308" totalsRowBorderDxfId="4307">
  <autoFilter ref="B5:H22" xr:uid="{BED02D39-8300-486A-8E07-E19B6F095EF6}"/>
  <sortState xmlns:xlrd2="http://schemas.microsoft.com/office/spreadsheetml/2017/richdata2" ref="B6:H22">
    <sortCondition ref="B6:B22"/>
  </sortState>
  <tableColumns count="7">
    <tableColumn id="1" xr3:uid="{CAFABC0D-4EE5-43F5-9D61-7A4593B3948A}" name="BDC LIST" totalsRowLabel="Total" dataDxfId="4306" totalsRowDxfId="4305"/>
    <tableColumn id="2" xr3:uid="{CA105E58-7C4D-4C5A-A20B-B7D26F0B9513}" name="KSI_AGO" totalsRowFunction="custom" dataDxfId="4304" totalsRowDxfId="4303" dataCellStyle="Comma">
      <totalsRowFormula>SUM(January24_2022[KSI_AGO])</totalsRowFormula>
    </tableColumn>
    <tableColumn id="3" xr3:uid="{629B5825-88EB-4AAD-AC67-ED157D3C2467}" name="KSI_PMS" totalsRowFunction="sum" dataDxfId="4302" totalsRowDxfId="4301" dataCellStyle="Comma"/>
    <tableColumn id="4" xr3:uid="{3A97D3F5-007F-43D0-83B8-C16197437369}" name="BUIPE_AGO" totalsRowFunction="custom" dataDxfId="4300" totalsRowDxfId="4299" dataCellStyle="Comma">
      <totalsRowFormula>SUM(January24_2022[BUIPE_AGO])</totalsRowFormula>
    </tableColumn>
    <tableColumn id="5" xr3:uid="{D842A6B5-0732-4E10-820F-36E940D1CA2D}" name="BUIPE_PMS" totalsRowFunction="custom" dataDxfId="4298" totalsRowDxfId="4297" dataCellStyle="Comma">
      <totalsRowFormula>SUM(January24_2022[BUIPE_PMS])</totalsRowFormula>
    </tableColumn>
    <tableColumn id="6" xr3:uid="{30B13465-05EA-4652-BBF9-B47C37DD222A}" name="AKOSOMBO_AGO" totalsRowFunction="custom" dataDxfId="4296" totalsRowDxfId="4295" dataCellStyle="Comma">
      <totalsRowFormula>SUM(January24_2022[AKOSOMBO_AGO])</totalsRowFormula>
    </tableColumn>
    <tableColumn id="7" xr3:uid="{CF418EDC-DAA7-4131-A0D9-BE12D9634FAD}" name="DATE" dataDxfId="4294" totalsRowDxfId="4293">
      <calculatedColumnFormula>$G$3</calculatedColumnFormula>
    </tableColumn>
  </tableColumns>
  <tableStyleInfo showFirstColumn="0" showLastColumn="0" showRowStripes="1" showColumnStripes="0"/>
</table>
</file>

<file path=xl/tables/table5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9" xr:uid="{E1986953-4D0A-43B4-9598-B6F97D0164BE}" name="January25_2022" displayName="January25_2022" ref="B5:H23" totalsRowCount="1" headerRowDxfId="4292" headerRowBorderDxfId="4291" tableBorderDxfId="4290" totalsRowBorderDxfId="4289">
  <autoFilter ref="B5:H22" xr:uid="{BED02D39-8300-486A-8E07-E19B6F095EF6}"/>
  <sortState xmlns:xlrd2="http://schemas.microsoft.com/office/spreadsheetml/2017/richdata2" ref="B6:H22">
    <sortCondition ref="B6:B22"/>
  </sortState>
  <tableColumns count="7">
    <tableColumn id="1" xr3:uid="{38F24827-8FAC-4C62-ABB2-EF923A4440F3}" name="BDC LIST" totalsRowLabel="Total" dataDxfId="4288" totalsRowDxfId="4287"/>
    <tableColumn id="2" xr3:uid="{64B29838-7675-4D3B-BB7B-75C76C5734A6}" name="KSI_AGO" totalsRowFunction="custom" dataDxfId="4286" totalsRowDxfId="4285" dataCellStyle="Comma">
      <totalsRowFormula>SUM(January25_2022[KSI_AGO])</totalsRowFormula>
    </tableColumn>
    <tableColumn id="3" xr3:uid="{0651E4F5-D2F8-4966-91EE-6AB3BF54BC3A}" name="KSI_PMS" totalsRowFunction="sum" dataDxfId="4284" totalsRowDxfId="4283" dataCellStyle="Comma"/>
    <tableColumn id="4" xr3:uid="{1B4760B0-735E-4E1E-8300-1BF8CA75BBF6}" name="BUIPE_AGO" totalsRowFunction="custom" dataDxfId="4282" totalsRowDxfId="4281" dataCellStyle="Comma">
      <totalsRowFormula>SUM(January25_2022[BUIPE_AGO])</totalsRowFormula>
    </tableColumn>
    <tableColumn id="5" xr3:uid="{9F899A27-4CFD-4E71-9DEC-0C500CB973C3}" name="BUIPE_PMS" totalsRowFunction="custom" dataDxfId="4280" totalsRowDxfId="4279" dataCellStyle="Comma">
      <totalsRowFormula>SUM(January25_2022[BUIPE_PMS])</totalsRowFormula>
    </tableColumn>
    <tableColumn id="6" xr3:uid="{82BA055C-4BFF-4887-9697-09EBA32C6F26}" name="AKOSOMBO_AGO" totalsRowFunction="custom" dataDxfId="4278" totalsRowDxfId="4277" dataCellStyle="Comma">
      <totalsRowFormula>SUM(January25_2022[AKOSOMBO_AGO])</totalsRowFormula>
    </tableColumn>
    <tableColumn id="7" xr3:uid="{EF5C3DA9-A12E-47C5-9AEC-49F067D64F39}" name="DATE" dataDxfId="4276" totalsRowDxfId="4275">
      <calculatedColumnFormula>$G$3</calculatedColumnFormula>
    </tableColumn>
  </tableColumns>
  <tableStyleInfo showFirstColumn="0" showLastColumn="0" showRowStripes="1" showColumnStripes="0"/>
</table>
</file>

<file path=xl/tables/table5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0" xr:uid="{A7F99C1B-F02D-4310-BCB6-B85C9F7EF8C8}" name="January26_2022" displayName="January26_2022" ref="B5:H23" totalsRowCount="1" headerRowDxfId="4274" headerRowBorderDxfId="4273" tableBorderDxfId="4272" totalsRowBorderDxfId="4271">
  <autoFilter ref="B5:H22" xr:uid="{BED02D39-8300-486A-8E07-E19B6F095EF6}"/>
  <sortState xmlns:xlrd2="http://schemas.microsoft.com/office/spreadsheetml/2017/richdata2" ref="B6:H22">
    <sortCondition ref="B6:B22"/>
  </sortState>
  <tableColumns count="7">
    <tableColumn id="1" xr3:uid="{BC67B166-FA79-4D28-A91B-850B460EA292}" name="BDC LIST" totalsRowLabel="Total" dataDxfId="4270" totalsRowDxfId="4269"/>
    <tableColumn id="2" xr3:uid="{0A4E4CEF-45A9-4454-AFB5-8A420FD35589}" name="KSI_AGO" totalsRowFunction="custom" dataDxfId="4268" totalsRowDxfId="4267" dataCellStyle="Comma">
      <totalsRowFormula>SUM(January26_2022[KSI_AGO])</totalsRowFormula>
    </tableColumn>
    <tableColumn id="3" xr3:uid="{DBBC929F-34F2-4797-8C4E-FF1604331631}" name="KSI_PMS" totalsRowFunction="sum" dataDxfId="4266" totalsRowDxfId="4265" dataCellStyle="Comma"/>
    <tableColumn id="4" xr3:uid="{A8D9E0A3-D143-4995-BA62-ABD8B2444217}" name="BUIPE_AGO" totalsRowFunction="custom" dataDxfId="4264" totalsRowDxfId="4263" dataCellStyle="Comma">
      <totalsRowFormula>SUM(January26_2022[BUIPE_AGO])</totalsRowFormula>
    </tableColumn>
    <tableColumn id="5" xr3:uid="{24F1C91E-79F2-42EB-A4F3-B37795BEC24B}" name="BUIPE_PMS" totalsRowFunction="custom" dataDxfId="4262" totalsRowDxfId="4261" dataCellStyle="Comma">
      <totalsRowFormula>SUM(January26_2022[BUIPE_PMS])</totalsRowFormula>
    </tableColumn>
    <tableColumn id="6" xr3:uid="{DF5DBF4F-5BE1-4779-AFEA-ED27359632E1}" name="AKOSOMBO_AGO" totalsRowFunction="custom" dataDxfId="4260" totalsRowDxfId="4259" dataCellStyle="Comma">
      <totalsRowFormula>SUM(January26_2022[AKOSOMBO_AGO])</totalsRowFormula>
    </tableColumn>
    <tableColumn id="7" xr3:uid="{0A39AACF-C648-4A35-BFBF-BF3F6B6418A0}" name="DATE" dataDxfId="4258" totalsRowDxfId="4257">
      <calculatedColumnFormula>$G$3</calculatedColumnFormula>
    </tableColumn>
  </tableColumns>
  <tableStyleInfo showFirstColumn="0" showLastColumn="0" showRowStripes="1" showColumnStripes="0"/>
</table>
</file>

<file path=xl/tables/table5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1" xr:uid="{EA271DCB-24EC-44D3-BADE-19D6997D5F79}" name="January27_2022" displayName="January27_2022" ref="B5:H23" totalsRowCount="1" headerRowDxfId="4256" headerRowBorderDxfId="4255" tableBorderDxfId="4254" totalsRowBorderDxfId="4253">
  <autoFilter ref="B5:H22" xr:uid="{BED02D39-8300-486A-8E07-E19B6F095EF6}"/>
  <sortState xmlns:xlrd2="http://schemas.microsoft.com/office/spreadsheetml/2017/richdata2" ref="B6:H22">
    <sortCondition ref="B6:B22"/>
  </sortState>
  <tableColumns count="7">
    <tableColumn id="1" xr3:uid="{201A94E5-6919-4B65-8919-DCF5F7B088F1}" name="BDC LIST" totalsRowLabel="Total" dataDxfId="4252" totalsRowDxfId="4251"/>
    <tableColumn id="2" xr3:uid="{E248D673-D6E3-407A-9500-EB51F51D90E7}" name="KSI_AGO" totalsRowFunction="custom" dataDxfId="4250" totalsRowDxfId="4249" dataCellStyle="Comma">
      <totalsRowFormula>SUM(January27_2022[KSI_AGO])</totalsRowFormula>
    </tableColumn>
    <tableColumn id="3" xr3:uid="{88447193-600C-4079-9749-42B87D728799}" name="KSI_PMS" totalsRowFunction="sum" dataDxfId="4248" totalsRowDxfId="4247" dataCellStyle="Comma"/>
    <tableColumn id="4" xr3:uid="{D7FAE713-7196-46BA-855D-42DA6A372A6D}" name="BUIPE_AGO" totalsRowFunction="custom" dataDxfId="4246" totalsRowDxfId="4245" dataCellStyle="Comma">
      <totalsRowFormula>SUM(January27_2022[BUIPE_AGO])</totalsRowFormula>
    </tableColumn>
    <tableColumn id="5" xr3:uid="{C2F0DEFC-431C-49D8-ACF5-F68C2843F8E3}" name="BUIPE_PMS" totalsRowFunction="custom" dataDxfId="4244" totalsRowDxfId="4243" dataCellStyle="Comma">
      <totalsRowFormula>SUM(January27_2022[BUIPE_PMS])</totalsRowFormula>
    </tableColumn>
    <tableColumn id="6" xr3:uid="{C11C8B4A-CEC9-419B-8A36-3BE51398E505}" name="AKOSOMBO_AGO" totalsRowFunction="custom" dataDxfId="4242" totalsRowDxfId="4241" dataCellStyle="Comma">
      <totalsRowFormula>SUM(January27_2022[AKOSOMBO_AGO])</totalsRowFormula>
    </tableColumn>
    <tableColumn id="7" xr3:uid="{CE86D980-AAF5-45E7-B2F8-EC37DFE15FA2}" name="DATE" dataDxfId="4240" totalsRowDxfId="4239">
      <calculatedColumnFormula>$G$3</calculatedColumnFormula>
    </tableColumn>
  </tableColumns>
  <tableStyleInfo showFirstColumn="0" showLastColumn="0" showRowStripes="1" showColumnStripes="0"/>
</table>
</file>

<file path=xl/tables/table5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2" xr:uid="{27A81087-DC9A-4994-9146-A76DDA5B0CB8}" name="January28_2022" displayName="January28_2022" ref="B5:H23" totalsRowCount="1" headerRowDxfId="4238" headerRowBorderDxfId="4237" tableBorderDxfId="4236" totalsRowBorderDxfId="4235">
  <autoFilter ref="B5:H22" xr:uid="{BED02D39-8300-486A-8E07-E19B6F095EF6}"/>
  <sortState xmlns:xlrd2="http://schemas.microsoft.com/office/spreadsheetml/2017/richdata2" ref="B6:H22">
    <sortCondition ref="B6:B22"/>
  </sortState>
  <tableColumns count="7">
    <tableColumn id="1" xr3:uid="{FBE22276-3063-4E71-A0FE-2D4B79B096C8}" name="BDC LIST" totalsRowLabel="Total" dataDxfId="4234" totalsRowDxfId="4233"/>
    <tableColumn id="2" xr3:uid="{ED90A205-2FD7-4C27-9622-A56C3FCFCCC2}" name="KSI_AGO" totalsRowFunction="custom" dataDxfId="4232" totalsRowDxfId="4231" dataCellStyle="Comma">
      <totalsRowFormula>SUM(January28_2022[KSI_AGO])</totalsRowFormula>
    </tableColumn>
    <tableColumn id="3" xr3:uid="{45EAC9DD-5DF2-4C73-B8F2-C97BBB3D37BB}" name="KSI_PMS" totalsRowFunction="sum" dataDxfId="4230" totalsRowDxfId="4229" dataCellStyle="Comma"/>
    <tableColumn id="4" xr3:uid="{52A0A901-AF9F-4C17-9310-8160E8CE1CE6}" name="BUIPE_AGO" totalsRowFunction="custom" dataDxfId="4228" totalsRowDxfId="4227" dataCellStyle="Comma">
      <totalsRowFormula>SUM(January28_2022[BUIPE_AGO])</totalsRowFormula>
    </tableColumn>
    <tableColumn id="5" xr3:uid="{EE52D026-2606-4320-AE10-6613A9BD4135}" name="BUIPE_PMS" totalsRowFunction="custom" dataDxfId="4226" totalsRowDxfId="4225" dataCellStyle="Comma">
      <totalsRowFormula>SUM(January28_2022[BUIPE_PMS])</totalsRowFormula>
    </tableColumn>
    <tableColumn id="6" xr3:uid="{E8EFC40F-C86B-44B2-8366-6A86CA4E6993}" name="AKOSOMBO_AGO" totalsRowFunction="custom" dataDxfId="4224" totalsRowDxfId="4223" dataCellStyle="Comma">
      <totalsRowFormula>SUM(January28_2022[AKOSOMBO_AGO])</totalsRowFormula>
    </tableColumn>
    <tableColumn id="7" xr3:uid="{0B9BEA60-E12A-407D-9C0A-127D37460536}" name="DATE" dataDxfId="4222" totalsRowDxfId="4221">
      <calculatedColumnFormula>$G$3</calculatedColumnFormula>
    </tableColumn>
  </tableColumns>
  <tableStyleInfo showFirstColumn="0" showLastColumn="0" showRowStripes="1" showColumnStripes="0"/>
</table>
</file>

<file path=xl/tables/table5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3" xr:uid="{AEB3BE65-DE15-4F8C-A268-1C7D9148951B}" name="January31_2022" displayName="January31_2022" ref="B5:H23" totalsRowCount="1" headerRowDxfId="4220" headerRowBorderDxfId="4219" tableBorderDxfId="4218" totalsRowBorderDxfId="4217">
  <autoFilter ref="B5:H22" xr:uid="{BED02D39-8300-486A-8E07-E19B6F095EF6}"/>
  <sortState xmlns:xlrd2="http://schemas.microsoft.com/office/spreadsheetml/2017/richdata2" ref="B6:H22">
    <sortCondition ref="B6:B22"/>
  </sortState>
  <tableColumns count="7">
    <tableColumn id="1" xr3:uid="{EF1CD89D-8DB0-4522-B829-2E6BDF60D809}" name="BDC LIST" totalsRowLabel="Total" dataDxfId="4216" totalsRowDxfId="4215"/>
    <tableColumn id="2" xr3:uid="{03C827F0-005A-438C-BAC0-23852B37D1CA}" name="KSI_AGO" totalsRowFunction="custom" dataDxfId="4214" totalsRowDxfId="4213" dataCellStyle="Comma">
      <totalsRowFormula>SUM(January31_2022[KSI_AGO])</totalsRowFormula>
    </tableColumn>
    <tableColumn id="3" xr3:uid="{1F54DEBF-A6E8-4F6D-940D-238E221FFD4F}" name="KSI_PMS" totalsRowFunction="sum" dataDxfId="4212" totalsRowDxfId="4211" dataCellStyle="Comma"/>
    <tableColumn id="4" xr3:uid="{4E816B0E-F0B1-4004-831E-C0235D9A92B7}" name="BUIPE_AGO" totalsRowFunction="custom" dataDxfId="4210" totalsRowDxfId="4209" dataCellStyle="Comma">
      <totalsRowFormula>SUM(January31_2022[BUIPE_AGO])</totalsRowFormula>
    </tableColumn>
    <tableColumn id="5" xr3:uid="{25C8255D-477E-47A2-BB18-D1868359C424}" name="BUIPE_PMS" totalsRowFunction="custom" dataDxfId="4208" totalsRowDxfId="4207" dataCellStyle="Comma">
      <totalsRowFormula>SUM(January31_2022[BUIPE_PMS])</totalsRowFormula>
    </tableColumn>
    <tableColumn id="6" xr3:uid="{4F2354F1-3C7C-4F49-9C18-5EC4DD2B6AED}" name="AKOSOMBO_AGO" totalsRowFunction="custom" dataDxfId="4206" totalsRowDxfId="4205" dataCellStyle="Comma">
      <totalsRowFormula>SUM(January31_2022[AKOSOMBO_AGO])</totalsRowFormula>
    </tableColumn>
    <tableColumn id="7" xr3:uid="{59674527-7F42-426D-A388-7CF73299B5BC}" name="DATE" dataDxfId="4204" totalsRowDxfId="4203">
      <calculatedColumnFormula>$G$3</calculatedColumnFormula>
    </tableColumn>
  </tableColumns>
  <tableStyleInfo showFirstColumn="0" showLastColumn="0" showRowStripes="1" showColumnStripes="0"/>
</table>
</file>

<file path=xl/tables/table5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4" xr:uid="{5A6AD1CD-18C3-44E3-81D6-0040B0387FDF}" name="February02_2022" displayName="February02_2022" ref="B5:H23" totalsRowCount="1" headerRowDxfId="4202" headerRowBorderDxfId="4201" tableBorderDxfId="4200" totalsRowBorderDxfId="4199">
  <autoFilter ref="B5:H22" xr:uid="{BED02D39-8300-486A-8E07-E19B6F095EF6}"/>
  <sortState xmlns:xlrd2="http://schemas.microsoft.com/office/spreadsheetml/2017/richdata2" ref="B6:H22">
    <sortCondition ref="B6:B22"/>
  </sortState>
  <tableColumns count="7">
    <tableColumn id="1" xr3:uid="{F498D9A1-A272-4A35-A294-F6CCF2D92DE5}" name="BDC LIST" totalsRowLabel="Total" dataDxfId="4198" totalsRowDxfId="4197"/>
    <tableColumn id="2" xr3:uid="{5FA91D68-8A95-4DD6-9A93-BB39F7780457}" name="KSI_AGO" totalsRowFunction="custom" dataDxfId="4196" totalsRowDxfId="4195" dataCellStyle="Comma">
      <totalsRowFormula>SUM(February02_2022[KSI_AGO])</totalsRowFormula>
    </tableColumn>
    <tableColumn id="3" xr3:uid="{6DD1CBB9-C1E4-4D23-B068-95A8119645C3}" name="KSI_PMS" totalsRowFunction="sum" dataDxfId="4194" totalsRowDxfId="4193" dataCellStyle="Comma"/>
    <tableColumn id="4" xr3:uid="{2A797FFB-A5A7-447D-98F3-7150B6A7014C}" name="BUIPE_AGO" totalsRowFunction="custom" dataDxfId="4192" totalsRowDxfId="4191" dataCellStyle="Comma">
      <totalsRowFormula>SUM(February02_2022[BUIPE_AGO])</totalsRowFormula>
    </tableColumn>
    <tableColumn id="5" xr3:uid="{FEC74305-1CA9-4DBA-8545-08188FCECDED}" name="BUIPE_PMS" totalsRowFunction="custom" dataDxfId="4190" totalsRowDxfId="4189" dataCellStyle="Comma">
      <totalsRowFormula>SUM(February02_2022[BUIPE_PMS])</totalsRowFormula>
    </tableColumn>
    <tableColumn id="6" xr3:uid="{E7C1E9FA-170E-42F3-9CCF-55CC64B3A0E7}" name="AKOSOMBO_AGO" totalsRowFunction="custom" dataDxfId="4188" totalsRowDxfId="4187" dataCellStyle="Comma">
      <totalsRowFormula>SUM(February02_2022[AKOSOMBO_AGO])</totalsRowFormula>
    </tableColumn>
    <tableColumn id="7" xr3:uid="{603A36DA-2B76-4D7C-A7C5-FCD6401F2EBA}" name="DATE" dataDxfId="4186" totalsRowDxfId="4185">
      <calculatedColumnFormula>$G$3</calculatedColumnFormula>
    </tableColumn>
  </tableColumns>
  <tableStyleInfo showFirstColumn="0" showLastColumn="0" showRowStripes="1" showColumnStripes="0"/>
</table>
</file>

<file path=xl/tables/table5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5" xr:uid="{A991B3B0-898A-48BF-BCFF-066137CEF547}" name="February02_20222" displayName="February02_20222" ref="B5:H23" totalsRowCount="1" headerRowDxfId="4184" headerRowBorderDxfId="4183" tableBorderDxfId="4182" totalsRowBorderDxfId="4181">
  <autoFilter ref="B5:H22" xr:uid="{BED02D39-8300-486A-8E07-E19B6F095EF6}"/>
  <sortState xmlns:xlrd2="http://schemas.microsoft.com/office/spreadsheetml/2017/richdata2" ref="B6:H22">
    <sortCondition ref="B6:B22"/>
  </sortState>
  <tableColumns count="7">
    <tableColumn id="1" xr3:uid="{1521F9FC-A913-405E-BDAB-0AEEA312E58E}" name="BDC LIST" totalsRowLabel="Total" dataDxfId="4180" totalsRowDxfId="4179"/>
    <tableColumn id="2" xr3:uid="{06AB5C67-2BC9-4CCD-8A35-6339F6DFE949}" name="KSI_AGO" totalsRowFunction="custom" dataDxfId="4178" totalsRowDxfId="4177" dataCellStyle="Comma">
      <totalsRowFormula>SUM(February02_20222[KSI_AGO])</totalsRowFormula>
    </tableColumn>
    <tableColumn id="3" xr3:uid="{119669E0-F7FD-40D7-8F6C-259520301C25}" name="KSI_PMS" totalsRowFunction="sum" dataDxfId="4176" totalsRowDxfId="4175" dataCellStyle="Comma"/>
    <tableColumn id="4" xr3:uid="{3A0194D3-2E42-48CB-B483-8AB112A95C49}" name="BUIPE_AGO" totalsRowFunction="custom" dataDxfId="4174" totalsRowDxfId="4173" dataCellStyle="Comma">
      <totalsRowFormula>SUM(February02_20222[BUIPE_AGO])</totalsRowFormula>
    </tableColumn>
    <tableColumn id="5" xr3:uid="{739FA3A8-C000-427A-937A-BD5BA97D3F50}" name="BUIPE_PMS" totalsRowFunction="custom" dataDxfId="4172" totalsRowDxfId="4171" dataCellStyle="Comma">
      <totalsRowFormula>SUM(February02_20222[BUIPE_PMS])</totalsRowFormula>
    </tableColumn>
    <tableColumn id="6" xr3:uid="{D0E204A7-E708-49BE-97A2-9E302F8A8A61}" name="AKOSOMBO_AGO" totalsRowFunction="custom" dataDxfId="4170" totalsRowDxfId="4169" dataCellStyle="Comma">
      <totalsRowFormula>SUM(February02_20222[AKOSOMBO_AGO])</totalsRowFormula>
    </tableColumn>
    <tableColumn id="7" xr3:uid="{6C385B0C-1F73-4179-B5FE-5B57D93A67EC}" name="DATE" dataDxfId="4168" totalsRowDxfId="4167">
      <calculatedColumnFormula>$G$3</calculatedColumnFormula>
    </tableColumn>
  </tableColumns>
  <tableStyleInfo showFirstColumn="0" showLastColumn="0" showRowStripes="1" showColumnStripes="0"/>
</table>
</file>

<file path=xl/tables/table5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6" xr:uid="{1658CEE1-A1E0-4731-A761-792B76246636}" name="February04_2022" displayName="February04_2022" ref="B5:H23" totalsRowCount="1" headerRowDxfId="4166" headerRowBorderDxfId="4165" tableBorderDxfId="4164" totalsRowBorderDxfId="4163">
  <autoFilter ref="B5:H22" xr:uid="{BED02D39-8300-486A-8E07-E19B6F095EF6}"/>
  <sortState xmlns:xlrd2="http://schemas.microsoft.com/office/spreadsheetml/2017/richdata2" ref="B6:H22">
    <sortCondition ref="B6:B22"/>
  </sortState>
  <tableColumns count="7">
    <tableColumn id="1" xr3:uid="{E2BA6745-11E7-4225-A74E-FB3080E9D1B7}" name="BDC LIST" totalsRowLabel="Total" dataDxfId="4162" totalsRowDxfId="4161"/>
    <tableColumn id="2" xr3:uid="{DEDEE064-F3F5-42AC-829F-146B4155CA27}" name="KSI_AGO" totalsRowFunction="custom" dataDxfId="4160" totalsRowDxfId="4159" dataCellStyle="Comma">
      <totalsRowFormula>SUM(February04_2022[KSI_AGO])</totalsRowFormula>
    </tableColumn>
    <tableColumn id="3" xr3:uid="{117CF568-6ECE-463A-9210-3A998D33E0DE}" name="KSI_PMS" totalsRowFunction="sum" dataDxfId="4158" totalsRowDxfId="4157" dataCellStyle="Comma"/>
    <tableColumn id="4" xr3:uid="{59DD6CA9-4509-41DA-A2B1-DC6E68925F95}" name="BUIPE_AGO" totalsRowFunction="custom" dataDxfId="4156" totalsRowDxfId="4155" dataCellStyle="Comma">
      <totalsRowFormula>SUM(February04_2022[BUIPE_AGO])</totalsRowFormula>
    </tableColumn>
    <tableColumn id="5" xr3:uid="{B5A9CB31-901A-497F-9B45-0AFEA41CA45A}" name="BUIPE_PMS" totalsRowFunction="custom" dataDxfId="4154" totalsRowDxfId="4153" dataCellStyle="Comma">
      <totalsRowFormula>SUM(February04_2022[BUIPE_PMS])</totalsRowFormula>
    </tableColumn>
    <tableColumn id="6" xr3:uid="{35D33CA6-8E72-4772-B8D1-113EA9734E3C}" name="AKOSOMBO_AGO" totalsRowFunction="custom" dataDxfId="4152" totalsRowDxfId="4151" dataCellStyle="Comma">
      <totalsRowFormula>SUM(February04_2022[AKOSOMBO_AGO])</totalsRowFormula>
    </tableColumn>
    <tableColumn id="7" xr3:uid="{363FCAB6-7CD4-4F13-B035-A5B4A0913C62}" name="DATE" dataDxfId="4150" totalsRowDxfId="4149">
      <calculatedColumnFormula>$G$3</calculatedColumnFormula>
    </tableColumn>
  </tableColumns>
  <tableStyleInfo showFirstColumn="0" showLastColumn="0" showRowStripes="1" showColumnStripes="0"/>
</table>
</file>

<file path=xl/tables/table5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7" xr:uid="{577A5AC4-1F1E-48FB-B7F4-EA5EECFEC2DA}" name="February07_2022" displayName="February07_2022" ref="B5:H23" totalsRowCount="1" headerRowDxfId="4148" headerRowBorderDxfId="4147" tableBorderDxfId="4146" totalsRowBorderDxfId="4145">
  <autoFilter ref="B5:H22" xr:uid="{BED02D39-8300-486A-8E07-E19B6F095EF6}"/>
  <sortState xmlns:xlrd2="http://schemas.microsoft.com/office/spreadsheetml/2017/richdata2" ref="B6:H22">
    <sortCondition ref="B6:B22"/>
  </sortState>
  <tableColumns count="7">
    <tableColumn id="1" xr3:uid="{ACDE8D03-5421-49ED-968E-415A096D5C29}" name="BDC LIST" totalsRowLabel="Total" dataDxfId="4144" totalsRowDxfId="4143"/>
    <tableColumn id="2" xr3:uid="{EA1F4DD8-C630-4384-A1B2-1441EDD79EF6}" name="KSI_AGO" totalsRowFunction="custom" dataDxfId="4142" totalsRowDxfId="4141" dataCellStyle="Comma">
      <totalsRowFormula>SUM(February07_2022[KSI_AGO])</totalsRowFormula>
    </tableColumn>
    <tableColumn id="3" xr3:uid="{8D40D93C-D879-428E-8622-34BD94FC0486}" name="KSI_PMS" totalsRowFunction="sum" dataDxfId="4140" totalsRowDxfId="4139" dataCellStyle="Comma"/>
    <tableColumn id="4" xr3:uid="{BE7C2B8E-0F5B-43FB-B5D6-BEC84F8C2CEC}" name="BUIPE_AGO" totalsRowFunction="custom" dataDxfId="4138" totalsRowDxfId="4137" dataCellStyle="Comma">
      <totalsRowFormula>SUM(February07_2022[BUIPE_AGO])</totalsRowFormula>
    </tableColumn>
    <tableColumn id="5" xr3:uid="{73C1DCF3-010B-4F4F-90BF-49476FE91CC4}" name="BUIPE_PMS" totalsRowFunction="custom" dataDxfId="4136" totalsRowDxfId="4135" dataCellStyle="Comma">
      <totalsRowFormula>SUM(February07_2022[BUIPE_PMS])</totalsRowFormula>
    </tableColumn>
    <tableColumn id="6" xr3:uid="{7A060F51-18A8-4E8C-A02C-BFE8F1BFC0C1}" name="AKOSOMBO_AGO" totalsRowFunction="custom" dataDxfId="4134" totalsRowDxfId="4133" dataCellStyle="Comma">
      <totalsRowFormula>SUM(February07_2022[AKOSOMBO_AGO])</totalsRowFormula>
    </tableColumn>
    <tableColumn id="7" xr3:uid="{90C0870D-40B1-471A-A68F-85C4CA70B334}" name="DATE" dataDxfId="4132" totalsRowDxfId="4131">
      <calculatedColumnFormula>$G$3</calculatedColumnFormula>
    </tableColumn>
  </tableColumns>
  <tableStyleInfo showFirstColumn="0" showLastColumn="0" showRowStripes="1" showColumnStripes="0"/>
</table>
</file>

<file path=xl/tables/table5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8" xr:uid="{1F98CB91-DA21-42CC-AB40-A9E75A03768D}" name="February08_2022" displayName="February08_2022" ref="B5:H23" totalsRowCount="1" headerRowDxfId="4130" headerRowBorderDxfId="4129" tableBorderDxfId="4128" totalsRowBorderDxfId="4127">
  <autoFilter ref="B5:H22" xr:uid="{BED02D39-8300-486A-8E07-E19B6F095EF6}"/>
  <sortState xmlns:xlrd2="http://schemas.microsoft.com/office/spreadsheetml/2017/richdata2" ref="B6:H22">
    <sortCondition ref="B6:B22"/>
  </sortState>
  <tableColumns count="7">
    <tableColumn id="1" xr3:uid="{FB75AD0D-52C8-40F2-BE86-A9E543D61E7A}" name="BDC LIST" totalsRowLabel="Total" dataDxfId="4126" totalsRowDxfId="4125"/>
    <tableColumn id="2" xr3:uid="{0B851ED1-DA95-4023-A957-06B6B265433A}" name="KSI_AGO" totalsRowFunction="custom" dataDxfId="4124" totalsRowDxfId="4123" dataCellStyle="Comma">
      <totalsRowFormula>SUM(February08_2022[KSI_AGO])</totalsRowFormula>
    </tableColumn>
    <tableColumn id="3" xr3:uid="{C74B3B8E-F986-4561-AD32-66FBB77ABE3B}" name="KSI_PMS" totalsRowFunction="sum" dataDxfId="4122" totalsRowDxfId="4121" dataCellStyle="Comma"/>
    <tableColumn id="4" xr3:uid="{5A9855C1-5828-4A73-B53A-3A0C22760A82}" name="BUIPE_AGO" totalsRowFunction="custom" dataDxfId="4120" totalsRowDxfId="4119" dataCellStyle="Comma">
      <totalsRowFormula>SUM(February08_2022[BUIPE_AGO])</totalsRowFormula>
    </tableColumn>
    <tableColumn id="5" xr3:uid="{52C6DA52-82ED-41F8-86B0-4051DC9C8C5C}" name="BUIPE_PMS" totalsRowFunction="custom" dataDxfId="4118" totalsRowDxfId="4117" dataCellStyle="Comma">
      <totalsRowFormula>SUM(February08_2022[BUIPE_PMS])</totalsRowFormula>
    </tableColumn>
    <tableColumn id="6" xr3:uid="{BF74C883-8B22-4BF7-9C99-FF139F35A6D2}" name="AKOSOMBO_AGO" totalsRowFunction="custom" dataDxfId="4116" totalsRowDxfId="4115" dataCellStyle="Comma">
      <totalsRowFormula>SUM(February08_2022[AKOSOMBO_AGO])</totalsRowFormula>
    </tableColumn>
    <tableColumn id="7" xr3:uid="{8E077761-1D0F-4F0F-80C6-98F4EEE16E8D}" name="DATE" dataDxfId="4114" totalsRowDxfId="4113">
      <calculatedColumnFormula>$G$3</calculatedColumnFormula>
    </tableColumn>
  </tableColumns>
  <tableStyleInfo showFirstColumn="0" showLastColumn="0" showRowStripes="1" showColumnStripes="0"/>
</table>
</file>

<file path=xl/tables/table5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9" xr:uid="{A95BD858-D1BC-4A9D-919C-BD381EA441CC}" name="February09_2022" displayName="February09_2022" ref="B5:H23" totalsRowCount="1" headerRowDxfId="4112" headerRowBorderDxfId="4111" tableBorderDxfId="4110" totalsRowBorderDxfId="4109">
  <autoFilter ref="B5:H22" xr:uid="{BED02D39-8300-486A-8E07-E19B6F095EF6}"/>
  <sortState xmlns:xlrd2="http://schemas.microsoft.com/office/spreadsheetml/2017/richdata2" ref="B6:H22">
    <sortCondition ref="B6:B22"/>
  </sortState>
  <tableColumns count="7">
    <tableColumn id="1" xr3:uid="{C20063E3-C275-4B2D-A9FD-5E39DD3D84D8}" name="BDC LIST" totalsRowLabel="Total" dataDxfId="4108" totalsRowDxfId="4107"/>
    <tableColumn id="2" xr3:uid="{0CBB6A63-27EC-4413-BB0F-7CE695ACF8FA}" name="KSI_AGO" totalsRowFunction="custom" dataDxfId="4106" totalsRowDxfId="4105" dataCellStyle="Comma">
      <totalsRowFormula>SUM(February09_2022[KSI_AGO])</totalsRowFormula>
    </tableColumn>
    <tableColumn id="3" xr3:uid="{773EA978-D61B-425E-A7BC-B647E52B72C8}" name="KSI_PMS" totalsRowFunction="sum" dataDxfId="4104" totalsRowDxfId="4103" dataCellStyle="Comma"/>
    <tableColumn id="4" xr3:uid="{A9A8E164-DDF0-4029-801C-8736482DB34F}" name="BUIPE_AGO" totalsRowFunction="custom" dataDxfId="4102" totalsRowDxfId="4101" dataCellStyle="Comma">
      <totalsRowFormula>SUM(February09_2022[BUIPE_AGO])</totalsRowFormula>
    </tableColumn>
    <tableColumn id="5" xr3:uid="{109E15AE-F58C-4C10-A031-F3A802B967B9}" name="BUIPE_PMS" totalsRowFunction="custom" dataDxfId="4100" totalsRowDxfId="4099" dataCellStyle="Comma">
      <totalsRowFormula>SUM(February09_2022[BUIPE_PMS])</totalsRowFormula>
    </tableColumn>
    <tableColumn id="6" xr3:uid="{A665B68B-4B07-4BD7-AB06-866A08E650CC}" name="AKOSOMBO_AGO" totalsRowFunction="custom" dataDxfId="4098" totalsRowDxfId="4097" dataCellStyle="Comma">
      <totalsRowFormula>SUM(February09_2022[AKOSOMBO_AGO])</totalsRowFormula>
    </tableColumn>
    <tableColumn id="7" xr3:uid="{A3820F42-25C3-4BF9-A37C-EE6CBB50D8B6}" name="DATE" dataDxfId="4096" totalsRowDxfId="4095">
      <calculatedColumnFormula>$G$3</calculatedColumnFormula>
    </tableColumn>
  </tableColumns>
  <tableStyleInfo showFirstColumn="0" showLastColumn="0" showRowStripes="1" showColumnStripes="0"/>
</table>
</file>

<file path=xl/tables/table5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3" xr:uid="{DB6A95B4-DBE9-4B4C-A1D7-5294A562C03A}" name="February10_2022" displayName="February10_2022" ref="B5:H23" totalsRowCount="1" headerRowDxfId="4094" headerRowBorderDxfId="4093" tableBorderDxfId="4092" totalsRowBorderDxfId="4091">
  <autoFilter ref="B5:H22" xr:uid="{BED02D39-8300-486A-8E07-E19B6F095EF6}"/>
  <sortState xmlns:xlrd2="http://schemas.microsoft.com/office/spreadsheetml/2017/richdata2" ref="B6:H22">
    <sortCondition ref="B6:B22"/>
  </sortState>
  <tableColumns count="7">
    <tableColumn id="1" xr3:uid="{FB958F7E-0460-4CDB-BBD1-5AF25B8FEF65}" name="BDC LIST" totalsRowLabel="Total" dataDxfId="4090" totalsRowDxfId="4089"/>
    <tableColumn id="2" xr3:uid="{C9652EA5-B646-40F1-94AF-DE10E6049E24}" name="KSI_AGO" totalsRowFunction="custom" dataDxfId="4088" totalsRowDxfId="4087" dataCellStyle="Comma">
      <totalsRowFormula>SUM(February10_2022[KSI_AGO])</totalsRowFormula>
    </tableColumn>
    <tableColumn id="3" xr3:uid="{3883B59A-11E0-4EF6-A3C7-6C21340FE299}" name="KSI_PMS" totalsRowFunction="sum" dataDxfId="4086" totalsRowDxfId="4085" dataCellStyle="Comma"/>
    <tableColumn id="4" xr3:uid="{31647989-DB7B-460B-A1ED-07605A85DB40}" name="BUIPE_AGO" totalsRowFunction="custom" dataDxfId="4084" totalsRowDxfId="4083" dataCellStyle="Comma">
      <totalsRowFormula>SUM(February10_2022[BUIPE_AGO])</totalsRowFormula>
    </tableColumn>
    <tableColumn id="5" xr3:uid="{D6E96289-9F13-4FBE-BADE-B330047295E4}" name="BUIPE_PMS" totalsRowFunction="custom" dataDxfId="4082" totalsRowDxfId="4081" dataCellStyle="Comma">
      <totalsRowFormula>SUM(February10_2022[BUIPE_PMS])</totalsRowFormula>
    </tableColumn>
    <tableColumn id="6" xr3:uid="{F6BE3E6B-A907-42A5-86FA-6133B966BACD}" name="AKOSOMBO_AGO" totalsRowFunction="custom" dataDxfId="4080" totalsRowDxfId="4079" dataCellStyle="Comma">
      <totalsRowFormula>SUM(February10_2022[AKOSOMBO_AGO])</totalsRowFormula>
    </tableColumn>
    <tableColumn id="7" xr3:uid="{C1FF4FD0-773E-47CF-BACA-368EC68E57EA}" name="DATE" dataDxfId="4078" totalsRowDxfId="4077">
      <calculatedColumnFormula>$G$3</calculatedColumnFormula>
    </tableColumn>
  </tableColumns>
  <tableStyleInfo showFirstColumn="0" showLastColumn="0" showRowStripes="1" showColumnStripes="0"/>
</table>
</file>

<file path=xl/tables/table5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0" xr:uid="{9779664D-FAB4-4FA8-B0BC-30176183A110}" name="February11_2022" displayName="February11_2022" ref="B5:H23" totalsRowCount="1" headerRowDxfId="4076" headerRowBorderDxfId="4075" tableBorderDxfId="4074" totalsRowBorderDxfId="4073">
  <autoFilter ref="B5:H22" xr:uid="{BED02D39-8300-486A-8E07-E19B6F095EF6}"/>
  <sortState xmlns:xlrd2="http://schemas.microsoft.com/office/spreadsheetml/2017/richdata2" ref="B6:H22">
    <sortCondition ref="B6:B22"/>
  </sortState>
  <tableColumns count="7">
    <tableColumn id="1" xr3:uid="{39CEBD51-37BC-4636-BE88-3A783C4FE0E4}" name="BDC LIST" totalsRowLabel="Total" dataDxfId="4072" totalsRowDxfId="4071"/>
    <tableColumn id="2" xr3:uid="{645316B1-9517-4E10-9551-F9BB178BC56F}" name="KSI_AGO" totalsRowFunction="custom" dataDxfId="4070" totalsRowDxfId="4069" dataCellStyle="Comma">
      <totalsRowFormula>SUM(February11_2022[KSI_AGO])</totalsRowFormula>
    </tableColumn>
    <tableColumn id="3" xr3:uid="{A6666DD4-5B72-4541-AB66-DC499CD40E32}" name="KSI_PMS" totalsRowFunction="sum" dataDxfId="4068" totalsRowDxfId="4067" dataCellStyle="Comma"/>
    <tableColumn id="4" xr3:uid="{5AD38D7E-0F44-4439-BF33-D64825684752}" name="BUIPE_AGO" totalsRowFunction="custom" dataDxfId="4066" totalsRowDxfId="4065" dataCellStyle="Comma">
      <totalsRowFormula>SUM(February11_2022[BUIPE_AGO])</totalsRowFormula>
    </tableColumn>
    <tableColumn id="5" xr3:uid="{C7C3E660-3FA8-4619-9929-A7341DCD7B83}" name="BUIPE_PMS" totalsRowFunction="custom" dataDxfId="4064" totalsRowDxfId="4063" dataCellStyle="Comma">
      <totalsRowFormula>SUM(February11_2022[BUIPE_PMS])</totalsRowFormula>
    </tableColumn>
    <tableColumn id="6" xr3:uid="{DC21CF6E-4B53-4AED-8ED4-541A6FFEB6D4}" name="AKOSOMBO_AGO" totalsRowFunction="custom" dataDxfId="4062" totalsRowDxfId="4061" dataCellStyle="Comma">
      <totalsRowFormula>SUM(February11_2022[AKOSOMBO_AGO])</totalsRowFormula>
    </tableColumn>
    <tableColumn id="7" xr3:uid="{688FC405-5A9E-422F-80D8-5E66028D83D9}" name="DATE" dataDxfId="4060" totalsRowDxfId="4059">
      <calculatedColumnFormula>$G$3</calculatedColumnFormula>
    </tableColumn>
  </tableColumns>
  <tableStyleInfo showFirstColumn="0" showLastColumn="0" showRowStripes="1" showColumnStripes="0"/>
</table>
</file>

<file path=xl/tables/table5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1" xr:uid="{C903EAF1-7FF9-45E3-8ADC-6DB5847223AF}" name="February14_2022" displayName="February14_2022" ref="B5:H23" totalsRowCount="1" headerRowDxfId="4058" headerRowBorderDxfId="4057" tableBorderDxfId="4056" totalsRowBorderDxfId="4055">
  <autoFilter ref="B5:H22" xr:uid="{BED02D39-8300-486A-8E07-E19B6F095EF6}"/>
  <sortState xmlns:xlrd2="http://schemas.microsoft.com/office/spreadsheetml/2017/richdata2" ref="B6:H22">
    <sortCondition ref="B6:B22"/>
  </sortState>
  <tableColumns count="7">
    <tableColumn id="1" xr3:uid="{02521D37-0D04-4A80-830D-E5A0A51F8FDF}" name="BDC LIST" totalsRowLabel="Total" dataDxfId="4054" totalsRowDxfId="4053"/>
    <tableColumn id="2" xr3:uid="{A923386A-3D5A-4274-97B4-D1B98CAE171D}" name="KSI_AGO" totalsRowFunction="custom" dataDxfId="4052" totalsRowDxfId="4051" dataCellStyle="Comma">
      <totalsRowFormula>SUM(February14_2022[KSI_AGO])</totalsRowFormula>
    </tableColumn>
    <tableColumn id="3" xr3:uid="{9855964F-8D50-4964-84FB-BE3C263D7A0D}" name="KSI_PMS" totalsRowFunction="sum" dataDxfId="4050" totalsRowDxfId="4049" dataCellStyle="Comma"/>
    <tableColumn id="4" xr3:uid="{36A578BA-ADDB-4C74-9CBE-E8B269300576}" name="BUIPE_AGO" totalsRowFunction="custom" dataDxfId="4048" totalsRowDxfId="4047" dataCellStyle="Comma">
      <totalsRowFormula>SUM(February14_2022[BUIPE_AGO])</totalsRowFormula>
    </tableColumn>
    <tableColumn id="5" xr3:uid="{FD77470B-DF12-4A81-B411-B98247B58DB1}" name="BUIPE_PMS" totalsRowFunction="custom" dataDxfId="4046" totalsRowDxfId="4045" dataCellStyle="Comma">
      <totalsRowFormula>SUM(February14_2022[BUIPE_PMS])</totalsRowFormula>
    </tableColumn>
    <tableColumn id="6" xr3:uid="{B3AC2A8F-0DA9-4C66-B1C4-F2DE05901DF7}" name="AKOSOMBO_AGO" totalsRowFunction="custom" dataDxfId="4044" totalsRowDxfId="4043" dataCellStyle="Comma">
      <totalsRowFormula>SUM(February14_2022[AKOSOMBO_AGO])</totalsRowFormula>
    </tableColumn>
    <tableColumn id="7" xr3:uid="{4CF4863B-C262-48C5-868A-C1B57E23AB1D}" name="DATE" dataDxfId="4042" totalsRowDxfId="4041">
      <calculatedColumnFormula>$G$3</calculatedColumnFormula>
    </tableColumn>
  </tableColumns>
  <tableStyleInfo showFirstColumn="0" showLastColumn="0" showRowStripes="1" showColumnStripes="0"/>
</table>
</file>

<file path=xl/tables/table5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2" xr:uid="{06A11B33-F386-4315-AB24-E8069539B918}" name="February15_2022" displayName="February15_2022" ref="B5:H23" totalsRowCount="1" headerRowDxfId="4040" headerRowBorderDxfId="4039" tableBorderDxfId="4038" totalsRowBorderDxfId="4037">
  <autoFilter ref="B5:H22" xr:uid="{BED02D39-8300-486A-8E07-E19B6F095EF6}"/>
  <sortState xmlns:xlrd2="http://schemas.microsoft.com/office/spreadsheetml/2017/richdata2" ref="B6:H22">
    <sortCondition ref="B6:B22"/>
  </sortState>
  <tableColumns count="7">
    <tableColumn id="1" xr3:uid="{665FD8C2-F8EB-427D-A9D5-384B1F9EAFAB}" name="BDC LIST" totalsRowLabel="Total" dataDxfId="4036" totalsRowDxfId="4035"/>
    <tableColumn id="2" xr3:uid="{CC05C81B-AEEA-4AB6-B36E-0D07B12CEF56}" name="KSI_AGO" totalsRowFunction="custom" dataDxfId="4034" totalsRowDxfId="4033" dataCellStyle="Comma">
      <totalsRowFormula>SUM(February15_2022[KSI_AGO])</totalsRowFormula>
    </tableColumn>
    <tableColumn id="3" xr3:uid="{378014ED-099B-4F1E-A452-07934978C34C}" name="KSI_PMS" totalsRowFunction="sum" dataDxfId="4032" totalsRowDxfId="4031" dataCellStyle="Comma"/>
    <tableColumn id="4" xr3:uid="{A895B41B-7F33-43B2-89A4-DB78F995785B}" name="BUIPE_AGO" totalsRowFunction="custom" dataDxfId="4030" totalsRowDxfId="4029" dataCellStyle="Comma">
      <totalsRowFormula>SUM(February15_2022[BUIPE_AGO])</totalsRowFormula>
    </tableColumn>
    <tableColumn id="5" xr3:uid="{10525A12-4FF3-42FA-9641-28174A74C261}" name="BUIPE_PMS" totalsRowFunction="custom" dataDxfId="4028" totalsRowDxfId="4027" dataCellStyle="Comma">
      <totalsRowFormula>SUM(February15_2022[BUIPE_PMS])</totalsRowFormula>
    </tableColumn>
    <tableColumn id="6" xr3:uid="{96EC16C4-3EB5-4291-AB12-DA98E5BB7F8B}" name="AKOSOMBO_AGO" totalsRowFunction="custom" dataDxfId="4026" totalsRowDxfId="4025" dataCellStyle="Comma">
      <totalsRowFormula>SUM(February15_2022[AKOSOMBO_AGO])</totalsRowFormula>
    </tableColumn>
    <tableColumn id="7" xr3:uid="{78E72BF8-A83B-43EC-BAB7-4923F7DE1A04}" name="DATE" dataDxfId="4024" totalsRowDxfId="4023">
      <calculatedColumnFormula>$G$3</calculatedColumnFormula>
    </tableColumn>
  </tableColumns>
  <tableStyleInfo showFirstColumn="0" showLastColumn="0" showRowStripes="1" showColumnStripes="0"/>
</table>
</file>

<file path=xl/tables/table5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3" xr:uid="{B647DF71-2B8A-4917-9527-281989753B6D}" name="February16_2022" displayName="February16_2022" ref="B5:H23" totalsRowCount="1" headerRowDxfId="4022" headerRowBorderDxfId="4021" tableBorderDxfId="4020" totalsRowBorderDxfId="4019">
  <autoFilter ref="B5:H22" xr:uid="{BED02D39-8300-486A-8E07-E19B6F095EF6}"/>
  <sortState xmlns:xlrd2="http://schemas.microsoft.com/office/spreadsheetml/2017/richdata2" ref="B6:H22">
    <sortCondition ref="B6:B22"/>
  </sortState>
  <tableColumns count="7">
    <tableColumn id="1" xr3:uid="{283F488A-A17C-4468-8302-97747E1C8CF7}" name="BDC LIST" totalsRowLabel="Total" dataDxfId="4018" totalsRowDxfId="4017"/>
    <tableColumn id="2" xr3:uid="{0DCB9547-C188-4E5A-A002-D37FE146C336}" name="KSI_AGO" totalsRowFunction="custom" dataDxfId="4016" totalsRowDxfId="4015" dataCellStyle="Comma">
      <totalsRowFormula>SUM(February16_2022[KSI_AGO])</totalsRowFormula>
    </tableColumn>
    <tableColumn id="3" xr3:uid="{251322F9-C633-4DAB-8E01-DBA977142631}" name="KSI_PMS" totalsRowFunction="sum" dataDxfId="4014" totalsRowDxfId="4013" dataCellStyle="Comma"/>
    <tableColumn id="4" xr3:uid="{5E43EF52-8AC8-416C-BD09-2FD33AB17D26}" name="BUIPE_AGO" totalsRowFunction="custom" dataDxfId="4012" totalsRowDxfId="4011" dataCellStyle="Comma">
      <totalsRowFormula>SUM(February16_2022[BUIPE_AGO])</totalsRowFormula>
    </tableColumn>
    <tableColumn id="5" xr3:uid="{42387276-6310-4B40-954D-0164E6DB706D}" name="BUIPE_PMS" totalsRowFunction="custom" dataDxfId="4010" totalsRowDxfId="4009" dataCellStyle="Comma">
      <totalsRowFormula>SUM(February16_2022[BUIPE_PMS])</totalsRowFormula>
    </tableColumn>
    <tableColumn id="6" xr3:uid="{92376A5C-F076-41BF-9588-63754B8DAC34}" name="AKOSOMBO_AGO" totalsRowFunction="custom" dataDxfId="4008" totalsRowDxfId="4007" dataCellStyle="Comma">
      <totalsRowFormula>SUM(February16_2022[AKOSOMBO_AGO])</totalsRowFormula>
    </tableColumn>
    <tableColumn id="7" xr3:uid="{5B6D56E8-EE17-4F91-8E63-07F64E8FA3B6}" name="DATE" dataDxfId="4006" totalsRowDxfId="4005">
      <calculatedColumnFormula>$G$3</calculatedColumnFormula>
    </tableColumn>
  </tableColumns>
  <tableStyleInfo showFirstColumn="0" showLastColumn="0" showRowStripes="1" showColumnStripes="0"/>
</table>
</file>

<file path=xl/tables/table5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4" xr:uid="{0F8AC5F1-F86F-4B02-9EE1-187F5F104DFF}" name="February17_2022" displayName="February17_2022" ref="B5:H23" totalsRowCount="1" headerRowDxfId="4004" headerRowBorderDxfId="4003" tableBorderDxfId="4002" totalsRowBorderDxfId="4001">
  <autoFilter ref="B5:H22" xr:uid="{BED02D39-8300-486A-8E07-E19B6F095EF6}"/>
  <sortState xmlns:xlrd2="http://schemas.microsoft.com/office/spreadsheetml/2017/richdata2" ref="B6:H22">
    <sortCondition ref="B6:B22"/>
  </sortState>
  <tableColumns count="7">
    <tableColumn id="1" xr3:uid="{F8611CEF-DF02-4DFE-BC76-F4155F34910E}" name="BDC LIST" totalsRowLabel="Total" dataDxfId="4000" totalsRowDxfId="3999"/>
    <tableColumn id="2" xr3:uid="{20A77DEA-2AE0-43B4-9FA2-DA503875B7E1}" name="KSI_AGO" totalsRowFunction="custom" dataDxfId="3998" totalsRowDxfId="3997" dataCellStyle="Comma">
      <totalsRowFormula>SUM(February17_2022[KSI_AGO])</totalsRowFormula>
    </tableColumn>
    <tableColumn id="3" xr3:uid="{E12EBC88-FFFC-45D6-AE1F-57BDBCA749C0}" name="KSI_PMS" totalsRowFunction="sum" dataDxfId="3996" totalsRowDxfId="3995" dataCellStyle="Comma"/>
    <tableColumn id="4" xr3:uid="{D10DC747-C023-4694-BF54-AC6E49F5F485}" name="BUIPE_AGO" totalsRowFunction="custom" dataDxfId="3994" totalsRowDxfId="3993" dataCellStyle="Comma">
      <totalsRowFormula>SUM(February17_2022[BUIPE_AGO])</totalsRowFormula>
    </tableColumn>
    <tableColumn id="5" xr3:uid="{83C15F43-2AA9-40CC-B51C-4F45A271EA0E}" name="BUIPE_PMS" totalsRowFunction="custom" dataDxfId="3992" totalsRowDxfId="3991" dataCellStyle="Comma">
      <totalsRowFormula>SUM(February17_2022[BUIPE_PMS])</totalsRowFormula>
    </tableColumn>
    <tableColumn id="6" xr3:uid="{EC4A1AD1-CEFC-484F-9D12-16674E16C6ED}" name="AKOSOMBO_AGO" totalsRowFunction="custom" dataDxfId="3990" totalsRowDxfId="3989" dataCellStyle="Comma">
      <totalsRowFormula>SUM(February17_2022[AKOSOMBO_AGO])</totalsRowFormula>
    </tableColumn>
    <tableColumn id="7" xr3:uid="{8277AB58-8A1A-48A5-B44F-8A1DB214D062}" name="DATE" dataDxfId="3988" totalsRowDxfId="3987">
      <calculatedColumnFormula>$G$3</calculatedColumnFormula>
    </tableColumn>
  </tableColumns>
  <tableStyleInfo showFirstColumn="0" showLastColumn="0" showRowStripes="1" showColumnStripes="0"/>
</table>
</file>

<file path=xl/tables/table5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5" xr:uid="{3132844F-7F97-414F-939D-01427278EC88}" name="February18_2022" displayName="February18_2022" ref="B5:H23" totalsRowCount="1" headerRowDxfId="3986" headerRowBorderDxfId="3985" tableBorderDxfId="3984" totalsRowBorderDxfId="3983">
  <autoFilter ref="B5:H22" xr:uid="{BED02D39-8300-486A-8E07-E19B6F095EF6}"/>
  <sortState xmlns:xlrd2="http://schemas.microsoft.com/office/spreadsheetml/2017/richdata2" ref="B6:H22">
    <sortCondition ref="B6:B22"/>
  </sortState>
  <tableColumns count="7">
    <tableColumn id="1" xr3:uid="{27D27EAF-B3C7-452E-A161-895CD67234E5}" name="BDC LIST" totalsRowLabel="Total" dataDxfId="3982" totalsRowDxfId="3981"/>
    <tableColumn id="2" xr3:uid="{9EA677D7-E054-4C2C-8061-71C622E2CA80}" name="KSI_AGO" totalsRowFunction="custom" dataDxfId="3980" totalsRowDxfId="3979" dataCellStyle="Comma">
      <totalsRowFormula>SUM(February18_2022[KSI_AGO])</totalsRowFormula>
    </tableColumn>
    <tableColumn id="3" xr3:uid="{9C4FFF2C-20F2-4032-B477-8FF71A84DA07}" name="KSI_PMS" totalsRowFunction="sum" dataDxfId="3978" totalsRowDxfId="3977" dataCellStyle="Comma"/>
    <tableColumn id="4" xr3:uid="{61858D03-2CC5-4854-A1CF-F96FCBAE10D5}" name="BUIPE_AGO" totalsRowFunction="custom" dataDxfId="3976" totalsRowDxfId="3975" dataCellStyle="Comma">
      <totalsRowFormula>SUM(February18_2022[BUIPE_AGO])</totalsRowFormula>
    </tableColumn>
    <tableColumn id="5" xr3:uid="{478A804C-6E69-42E0-8AA1-766EE615E9BB}" name="BUIPE_PMS" totalsRowFunction="custom" dataDxfId="3974" totalsRowDxfId="3973" dataCellStyle="Comma">
      <totalsRowFormula>SUM(February18_2022[BUIPE_PMS])</totalsRowFormula>
    </tableColumn>
    <tableColumn id="6" xr3:uid="{307AA8C3-7AC5-4F48-B241-C0B97C9B6EF1}" name="AKOSOMBO_AGO" totalsRowFunction="custom" dataDxfId="3972" totalsRowDxfId="3971" dataCellStyle="Comma">
      <totalsRowFormula>SUM(February18_2022[AKOSOMBO_AGO])</totalsRowFormula>
    </tableColumn>
    <tableColumn id="7" xr3:uid="{AD2ADCDF-FE40-46DB-90F0-A3E044558903}" name="DATE" dataDxfId="3970" totalsRowDxfId="3969">
      <calculatedColumnFormula>$G$3</calculatedColumnFormula>
    </tableColumn>
  </tableColumns>
  <tableStyleInfo showFirstColumn="0" showLastColumn="0" showRowStripes="1" showColumnStripes="0"/>
</table>
</file>

<file path=xl/tables/table5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6" xr:uid="{FF32C10B-929B-44E4-BEA4-25428099D5A0}" name="February21_2022" displayName="February21_2022" ref="B5:H23" totalsRowCount="1" headerRowDxfId="3968" headerRowBorderDxfId="3967" tableBorderDxfId="3966" totalsRowBorderDxfId="3965">
  <autoFilter ref="B5:H22" xr:uid="{BED02D39-8300-486A-8E07-E19B6F095EF6}"/>
  <sortState xmlns:xlrd2="http://schemas.microsoft.com/office/spreadsheetml/2017/richdata2" ref="B6:H22">
    <sortCondition ref="B6:B22"/>
  </sortState>
  <tableColumns count="7">
    <tableColumn id="1" xr3:uid="{AE49C117-D3D2-4E83-AE18-2A290A40253C}" name="BDC LIST" totalsRowLabel="Total" dataDxfId="3964" totalsRowDxfId="3963"/>
    <tableColumn id="2" xr3:uid="{118E7D8E-66DC-479B-92B5-80C9BB5BA835}" name="KSI_AGO" totalsRowFunction="custom" dataDxfId="3962" totalsRowDxfId="3961" dataCellStyle="Comma">
      <totalsRowFormula>SUM(February21_2022[KSI_AGO])</totalsRowFormula>
    </tableColumn>
    <tableColumn id="3" xr3:uid="{C21057E5-F5FB-406B-893E-4C5F01E184FD}" name="KSI_PMS" totalsRowFunction="sum" dataDxfId="3960" totalsRowDxfId="3959" dataCellStyle="Comma"/>
    <tableColumn id="4" xr3:uid="{066A16C8-1D8D-43DB-8F55-09BE2D9FA16A}" name="BUIPE_AGO" totalsRowFunction="custom" dataDxfId="3958" totalsRowDxfId="3957" dataCellStyle="Comma">
      <totalsRowFormula>SUM(February21_2022[BUIPE_AGO])</totalsRowFormula>
    </tableColumn>
    <tableColumn id="5" xr3:uid="{3C6E4ABB-204D-4844-911B-AFC0BF2A1F0E}" name="BUIPE_PMS" totalsRowFunction="custom" dataDxfId="3956" totalsRowDxfId="3955" dataCellStyle="Comma">
      <totalsRowFormula>SUM(February21_2022[BUIPE_PMS])</totalsRowFormula>
    </tableColumn>
    <tableColumn id="6" xr3:uid="{69F6CE55-029B-451A-B40B-72D5A5D94750}" name="AKOSOMBO_AGO" totalsRowFunction="custom" dataDxfId="3954" totalsRowDxfId="3953" dataCellStyle="Comma">
      <totalsRowFormula>SUM(February21_2022[AKOSOMBO_AGO])</totalsRowFormula>
    </tableColumn>
    <tableColumn id="7" xr3:uid="{4A847190-E5DC-435C-ABFD-BC95C53D7290}" name="DATE" dataDxfId="3952" totalsRowDxfId="3951">
      <calculatedColumnFormula>$G$3</calculatedColumnFormula>
    </tableColumn>
  </tableColumns>
  <tableStyleInfo showFirstColumn="0" showLastColumn="0" showRowStripes="1" showColumnStripes="0"/>
</table>
</file>

<file path=xl/tables/table5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7" xr:uid="{D7DA8EC6-B4AD-4BD1-9840-42CB235AB789}" name="February22_2022" displayName="February22_2022" ref="B5:H23" totalsRowCount="1" headerRowDxfId="3950" headerRowBorderDxfId="3949" tableBorderDxfId="3948" totalsRowBorderDxfId="3947">
  <autoFilter ref="B5:H22" xr:uid="{BED02D39-8300-486A-8E07-E19B6F095EF6}"/>
  <sortState xmlns:xlrd2="http://schemas.microsoft.com/office/spreadsheetml/2017/richdata2" ref="B6:H22">
    <sortCondition ref="B6:B22"/>
  </sortState>
  <tableColumns count="7">
    <tableColumn id="1" xr3:uid="{86AD1867-2E47-485D-A565-EE3B3BEC369B}" name="BDC LIST" totalsRowLabel="Total" dataDxfId="3946" totalsRowDxfId="3945"/>
    <tableColumn id="2" xr3:uid="{E7DAE53E-EAAD-4B2C-AD10-3B4357BE58D1}" name="KSI_AGO" totalsRowFunction="custom" dataDxfId="3944" totalsRowDxfId="3943" dataCellStyle="Comma">
      <totalsRowFormula>SUM(February22_2022[KSI_AGO])</totalsRowFormula>
    </tableColumn>
    <tableColumn id="3" xr3:uid="{B0EE211A-BF71-41AF-AEC6-35D1288CACA2}" name="KSI_PMS" totalsRowFunction="sum" dataDxfId="3942" totalsRowDxfId="3941" dataCellStyle="Comma"/>
    <tableColumn id="4" xr3:uid="{F74E953C-2BED-428B-831A-D96A6184F3AB}" name="BUIPE_AGO" totalsRowFunction="custom" dataDxfId="3940" totalsRowDxfId="3939" dataCellStyle="Comma">
      <totalsRowFormula>SUM(February22_2022[BUIPE_AGO])</totalsRowFormula>
    </tableColumn>
    <tableColumn id="5" xr3:uid="{FE42C89D-4B09-46D6-9FC4-EFB98E693CED}" name="BUIPE_PMS" totalsRowFunction="custom" dataDxfId="3938" totalsRowDxfId="3937" dataCellStyle="Comma">
      <totalsRowFormula>SUM(February22_2022[BUIPE_PMS])</totalsRowFormula>
    </tableColumn>
    <tableColumn id="6" xr3:uid="{AB72B06C-E7E2-4071-9951-9F0CB1C3A0E3}" name="AKOSOMBO_AGO" totalsRowFunction="custom" dataDxfId="3936" totalsRowDxfId="3935" dataCellStyle="Comma">
      <totalsRowFormula>SUM(February22_2022[AKOSOMBO_AGO])</totalsRowFormula>
    </tableColumn>
    <tableColumn id="7" xr3:uid="{765F9F79-5BAF-4BA0-98DD-DA4EB6AF70E7}" name="DATE" dataDxfId="3934" totalsRowDxfId="3933">
      <calculatedColumnFormula>$G$3</calculatedColumnFormula>
    </tableColumn>
  </tableColumns>
  <tableStyleInfo showFirstColumn="0" showLastColumn="0" showRowStripes="1" showColumnStripes="0"/>
</table>
</file>

<file path=xl/tables/table5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8" xr:uid="{2A5F7984-41F3-4932-9688-13EC275B6A3D}" name="February23_2022" displayName="February23_2022" ref="B5:H23" totalsRowCount="1" headerRowDxfId="3932" headerRowBorderDxfId="3931" tableBorderDxfId="3930" totalsRowBorderDxfId="3929">
  <autoFilter ref="B5:H22" xr:uid="{BED02D39-8300-486A-8E07-E19B6F095EF6}"/>
  <sortState xmlns:xlrd2="http://schemas.microsoft.com/office/spreadsheetml/2017/richdata2" ref="B6:H22">
    <sortCondition ref="B6:B22"/>
  </sortState>
  <tableColumns count="7">
    <tableColumn id="1" xr3:uid="{1319B279-4194-47B9-9A9B-AE71AA96D9F8}" name="BDC LIST" totalsRowLabel="Total" dataDxfId="3928" totalsRowDxfId="3927"/>
    <tableColumn id="2" xr3:uid="{3F70AAA9-C1BF-4CBD-91C0-D8D5D2F4A865}" name="KSI_AGO" totalsRowFunction="custom" dataDxfId="3926" totalsRowDxfId="3925" dataCellStyle="Comma">
      <totalsRowFormula>SUM(February23_2022[KSI_AGO])</totalsRowFormula>
    </tableColumn>
    <tableColumn id="3" xr3:uid="{BD419F68-EB1B-4179-BABB-8507937C7BD0}" name="KSI_PMS" totalsRowFunction="sum" dataDxfId="3924" totalsRowDxfId="3923" dataCellStyle="Comma"/>
    <tableColumn id="4" xr3:uid="{C4CE268D-19B0-4A02-B562-8CA23046F719}" name="BUIPE_AGO" totalsRowFunction="custom" dataDxfId="3922" totalsRowDxfId="3921" dataCellStyle="Comma">
      <totalsRowFormula>SUM(February23_2022[BUIPE_AGO])</totalsRowFormula>
    </tableColumn>
    <tableColumn id="5" xr3:uid="{44735373-FEEE-4096-AD57-C5AC5F8A6FAD}" name="BUIPE_PMS" totalsRowFunction="custom" dataDxfId="3920" totalsRowDxfId="3919" dataCellStyle="Comma">
      <totalsRowFormula>SUM(February23_2022[BUIPE_PMS])</totalsRowFormula>
    </tableColumn>
    <tableColumn id="6" xr3:uid="{1A5F79C1-56C2-4FB9-A1B1-421FDD4CD613}" name="AKOSOMBO_AGO" totalsRowFunction="custom" dataDxfId="3918" totalsRowDxfId="3917" dataCellStyle="Comma">
      <totalsRowFormula>SUM(February23_2022[AKOSOMBO_AGO])</totalsRowFormula>
    </tableColumn>
    <tableColumn id="7" xr3:uid="{58FF1206-FC5E-46D7-8CD8-79BA99FBBE80}" name="DATE" dataDxfId="3916" totalsRowDxfId="3915">
      <calculatedColumnFormula>$G$3</calculatedColumnFormula>
    </tableColumn>
  </tableColumns>
  <tableStyleInfo showFirstColumn="0" showLastColumn="0" showRowStripes="1" showColumnStripes="0"/>
</table>
</file>

<file path=xl/tables/table5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9" xr:uid="{F8911C58-6211-4861-BAA8-7E748C550503}" name="February23_202219" displayName="February23_202219" ref="B5:H23" totalsRowCount="1" headerRowDxfId="3914" headerRowBorderDxfId="3913" tableBorderDxfId="3912" totalsRowBorderDxfId="3911">
  <autoFilter ref="B5:H22" xr:uid="{BED02D39-8300-486A-8E07-E19B6F095EF6}"/>
  <sortState xmlns:xlrd2="http://schemas.microsoft.com/office/spreadsheetml/2017/richdata2" ref="B6:H22">
    <sortCondition ref="B6:B22"/>
  </sortState>
  <tableColumns count="7">
    <tableColumn id="1" xr3:uid="{206722BB-85F6-492D-9C08-41AF55C274F8}" name="BDC LIST" totalsRowLabel="Total" dataDxfId="3910" totalsRowDxfId="3909"/>
    <tableColumn id="2" xr3:uid="{EF114415-287C-4202-B2A2-0BF2936A00CA}" name="KSI_AGO" totalsRowFunction="custom" dataDxfId="3908" totalsRowDxfId="3907" dataCellStyle="Comma">
      <totalsRowFormula>SUM(February23_202219[KSI_AGO])</totalsRowFormula>
    </tableColumn>
    <tableColumn id="3" xr3:uid="{1671D355-2572-4966-BD98-6C7BE7A71FB7}" name="KSI_PMS" totalsRowFunction="sum" dataDxfId="3906" totalsRowDxfId="3905" dataCellStyle="Comma"/>
    <tableColumn id="4" xr3:uid="{25847F43-4000-4B44-9B74-CC3FA4FE73EF}" name="BUIPE_AGO" totalsRowFunction="custom" dataDxfId="3904" totalsRowDxfId="3903" dataCellStyle="Comma">
      <totalsRowFormula>SUM(February23_202219[BUIPE_AGO])</totalsRowFormula>
    </tableColumn>
    <tableColumn id="5" xr3:uid="{AAAFD959-857C-4758-99EB-8D7D34C5D1BA}" name="BUIPE_PMS" totalsRowFunction="custom" dataDxfId="3902" totalsRowDxfId="3901" dataCellStyle="Comma">
      <totalsRowFormula>SUM(February23_202219[BUIPE_PMS])</totalsRowFormula>
    </tableColumn>
    <tableColumn id="6" xr3:uid="{563032FF-7CD4-49BB-9054-278B248DE7D4}" name="AKOSOMBO_AGO" totalsRowFunction="custom" dataDxfId="3900" totalsRowDxfId="3899" dataCellStyle="Comma">
      <totalsRowFormula>SUM(February23_202219[AKOSOMBO_AGO])</totalsRowFormula>
    </tableColumn>
    <tableColumn id="7" xr3:uid="{D658A60A-CE12-4A5E-9F0D-EA8C02C5327B}" name="DATE" dataDxfId="3898" totalsRowDxfId="3897">
      <calculatedColumnFormula>$G$3</calculatedColumnFormula>
    </tableColumn>
  </tableColumns>
  <tableStyleInfo showFirstColumn="0" showLastColumn="0" showRowStripes="1" showColumnStripes="0"/>
</table>
</file>

<file path=xl/tables/table5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0" xr:uid="{38F05DED-FFE8-4A86-A0C1-FB94BE956327}" name="February25_2022" displayName="February25_2022" ref="B5:H23" totalsRowCount="1" headerRowDxfId="3896" headerRowBorderDxfId="3895" tableBorderDxfId="3894" totalsRowBorderDxfId="3893">
  <autoFilter ref="B5:H22" xr:uid="{BED02D39-8300-486A-8E07-E19B6F095EF6}"/>
  <sortState xmlns:xlrd2="http://schemas.microsoft.com/office/spreadsheetml/2017/richdata2" ref="B6:H22">
    <sortCondition ref="B6:B22"/>
  </sortState>
  <tableColumns count="7">
    <tableColumn id="1" xr3:uid="{70AF4A35-EBA2-4F62-9F03-B0DAF46B90F9}" name="BDC LIST" totalsRowLabel="Total" dataDxfId="3892" totalsRowDxfId="3891"/>
    <tableColumn id="2" xr3:uid="{99EA6716-828B-45EA-97BA-FA94D5875387}" name="KSI_AGO" totalsRowFunction="custom" dataDxfId="3890" totalsRowDxfId="3889" dataCellStyle="Comma">
      <totalsRowFormula>SUM(February25_2022[KSI_AGO])</totalsRowFormula>
    </tableColumn>
    <tableColumn id="3" xr3:uid="{456EBB82-8BF2-40B5-B1AD-7F93B5C4DF1E}" name="KSI_PMS" totalsRowFunction="sum" dataDxfId="3888" totalsRowDxfId="3887" dataCellStyle="Comma"/>
    <tableColumn id="4" xr3:uid="{1C869C71-001F-442D-A218-6DC21F056923}" name="BUIPE_AGO" totalsRowFunction="custom" dataDxfId="3886" totalsRowDxfId="3885" dataCellStyle="Comma">
      <totalsRowFormula>SUM(February25_2022[BUIPE_AGO])</totalsRowFormula>
    </tableColumn>
    <tableColumn id="5" xr3:uid="{F497E561-1F66-4784-A4A2-5BA92FFD3B30}" name="BUIPE_PMS" totalsRowFunction="custom" dataDxfId="3884" totalsRowDxfId="3883" dataCellStyle="Comma">
      <totalsRowFormula>SUM(February25_2022[BUIPE_PMS])</totalsRowFormula>
    </tableColumn>
    <tableColumn id="6" xr3:uid="{69E638B9-FBCF-4558-8BD1-9F73DBBB35AA}" name="AKOSOMBO_AGO" totalsRowFunction="custom" dataDxfId="3882" totalsRowDxfId="3881" dataCellStyle="Comma">
      <totalsRowFormula>SUM(February25_2022[AKOSOMBO_AGO])</totalsRowFormula>
    </tableColumn>
    <tableColumn id="7" xr3:uid="{2BA4372F-B06B-4508-AAC9-76263518D294}" name="DATE" dataDxfId="3880" totalsRowDxfId="3879">
      <calculatedColumnFormula>$G$3</calculatedColumnFormula>
    </tableColumn>
  </tableColumns>
  <tableStyleInfo showFirstColumn="0" showLastColumn="0" showRowStripes="1" showColumnStripes="0"/>
</table>
</file>

<file path=xl/tables/table5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1" xr:uid="{1FFC3E1A-A4B5-4106-8AFF-A6AE48FE37EC}" name="February28_2022" displayName="February28_2022" ref="B5:H23" totalsRowCount="1" headerRowDxfId="3878" headerRowBorderDxfId="3877" tableBorderDxfId="3876" totalsRowBorderDxfId="3875">
  <autoFilter ref="B5:H22" xr:uid="{BED02D39-8300-486A-8E07-E19B6F095EF6}"/>
  <sortState xmlns:xlrd2="http://schemas.microsoft.com/office/spreadsheetml/2017/richdata2" ref="B6:H22">
    <sortCondition ref="B6:B22"/>
  </sortState>
  <tableColumns count="7">
    <tableColumn id="1" xr3:uid="{AD9F38B8-C0E4-459B-9C9A-E6B754BEBA9D}" name="BDC LIST" totalsRowLabel="Total" dataDxfId="3874" totalsRowDxfId="3873"/>
    <tableColumn id="2" xr3:uid="{AECCAC66-066F-47EF-845C-9294C9D77623}" name="KSI_AGO" totalsRowFunction="custom" dataDxfId="3872" totalsRowDxfId="3871" dataCellStyle="Comma">
      <totalsRowFormula>SUM(February28_2022[KSI_AGO])</totalsRowFormula>
    </tableColumn>
    <tableColumn id="3" xr3:uid="{E84A48AF-2CF8-4BA8-ABF7-3C2711EAEC71}" name="KSI_PMS" totalsRowFunction="sum" dataDxfId="3870" totalsRowDxfId="3869" dataCellStyle="Comma"/>
    <tableColumn id="4" xr3:uid="{E4F7E973-B921-49BB-A499-12733BBA1050}" name="BUIPE_AGO" totalsRowFunction="custom" dataDxfId="3868" totalsRowDxfId="3867" dataCellStyle="Comma">
      <totalsRowFormula>SUM(February28_2022[BUIPE_AGO])</totalsRowFormula>
    </tableColumn>
    <tableColumn id="5" xr3:uid="{AB6F88B7-2F6D-4482-B9B1-FB6303A06E94}" name="BUIPE_PMS" totalsRowFunction="custom" dataDxfId="3866" totalsRowDxfId="3865" dataCellStyle="Comma">
      <totalsRowFormula>SUM(February28_2022[BUIPE_PMS])</totalsRowFormula>
    </tableColumn>
    <tableColumn id="6" xr3:uid="{6C94AB57-F537-4699-A575-9833EA670EB6}" name="AKOSOMBO_AGO" totalsRowFunction="custom" dataDxfId="3864" totalsRowDxfId="3863" dataCellStyle="Comma">
      <totalsRowFormula>SUM(February28_2022[AKOSOMBO_AGO])</totalsRowFormula>
    </tableColumn>
    <tableColumn id="7" xr3:uid="{F45E0246-5BAB-4571-80B1-75D1E62EE81B}" name="DATE" dataDxfId="3862" totalsRowDxfId="3861">
      <calculatedColumnFormula>$G$3</calculatedColumnFormula>
    </tableColumn>
  </tableColumns>
  <tableStyleInfo showFirstColumn="0" showLastColumn="0" showRowStripes="1" showColumnStripes="0"/>
</table>
</file>

<file path=xl/tables/table5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2" xr:uid="{68D67BE5-34EC-404C-BF35-1024AAD09A60}" name="February28_2022543" displayName="February28_2022543" ref="B5:H23" totalsRowCount="1" headerRowDxfId="3860" headerRowBorderDxfId="3859" tableBorderDxfId="3858" totalsRowBorderDxfId="3857">
  <autoFilter ref="B5:H22" xr:uid="{BED02D39-8300-486A-8E07-E19B6F095EF6}"/>
  <sortState xmlns:xlrd2="http://schemas.microsoft.com/office/spreadsheetml/2017/richdata2" ref="B6:H22">
    <sortCondition ref="B6:B22"/>
  </sortState>
  <tableColumns count="7">
    <tableColumn id="1" xr3:uid="{E456EDF9-AA50-481F-BE8A-8AB24D7CAE47}" name="BDC LIST" totalsRowLabel="Total" dataDxfId="3856" totalsRowDxfId="3855"/>
    <tableColumn id="2" xr3:uid="{8988AB0C-B8EC-4342-A27C-BDEB886A9086}" name="KSI_AGO" totalsRowFunction="custom" dataDxfId="3854" totalsRowDxfId="3853" dataCellStyle="Comma">
      <totalsRowFormula>SUM(February28_2022543[KSI_AGO])</totalsRowFormula>
    </tableColumn>
    <tableColumn id="3" xr3:uid="{CCD9024C-A5D8-4A99-A7EE-65CD18A266EA}" name="KSI_PMS" totalsRowFunction="sum" dataDxfId="3852" totalsRowDxfId="3851" dataCellStyle="Comma"/>
    <tableColumn id="4" xr3:uid="{48725C8D-2D87-4FD7-BE11-3774C97896D3}" name="BUIPE_AGO" totalsRowFunction="custom" dataDxfId="3850" totalsRowDxfId="3849" dataCellStyle="Comma">
      <totalsRowFormula>SUM(February28_2022543[BUIPE_AGO])</totalsRowFormula>
    </tableColumn>
    <tableColumn id="5" xr3:uid="{6CCCC34B-B187-439F-90E9-1968474CEEB7}" name="BUIPE_PMS" totalsRowFunction="custom" dataDxfId="3848" totalsRowDxfId="3847" dataCellStyle="Comma">
      <totalsRowFormula>SUM(February28_2022543[BUIPE_PMS])</totalsRowFormula>
    </tableColumn>
    <tableColumn id="6" xr3:uid="{B14CE835-1A04-4231-901F-2CE3F09BCD7F}" name="AKOSOMBO_AGO" totalsRowFunction="custom" dataDxfId="3846" totalsRowDxfId="3845" dataCellStyle="Comma">
      <totalsRowFormula>SUM(February28_2022543[AKOSOMBO_AGO])</totalsRowFormula>
    </tableColumn>
    <tableColumn id="7" xr3:uid="{99F02C71-5D0B-478F-82A3-03DDFAA108F8}" name="DATE" dataDxfId="3844" totalsRowDxfId="3843">
      <calculatedColumnFormula>$G$3</calculatedColumnFormula>
    </tableColumn>
  </tableColumns>
  <tableStyleInfo showFirstColumn="0" showLastColumn="0" showRowStripes="1" showColumnStripes="0"/>
</table>
</file>

<file path=xl/tables/table5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4" xr:uid="{49EC8C06-57C0-452D-834A-6B0EE90E211D}" name="March02_2022" displayName="March02_2022" ref="B5:H23" totalsRowCount="1" headerRowDxfId="3842" headerRowBorderDxfId="3841" tableBorderDxfId="3840" totalsRowBorderDxfId="3839">
  <autoFilter ref="B5:H22" xr:uid="{BED02D39-8300-486A-8E07-E19B6F095EF6}"/>
  <sortState xmlns:xlrd2="http://schemas.microsoft.com/office/spreadsheetml/2017/richdata2" ref="B6:H22">
    <sortCondition ref="B6:B22"/>
  </sortState>
  <tableColumns count="7">
    <tableColumn id="1" xr3:uid="{6BA94876-E1FA-4691-9CAD-A98A7A27DDA5}" name="BDC LIST" totalsRowLabel="Total" dataDxfId="3838" totalsRowDxfId="3837"/>
    <tableColumn id="2" xr3:uid="{82CE4E73-362D-4D34-9422-0C533FFFB0FA}" name="KSI_AGO" totalsRowFunction="custom" dataDxfId="3836" totalsRowDxfId="3835" dataCellStyle="Comma">
      <totalsRowFormula>SUM(March02_2022[KSI_AGO])</totalsRowFormula>
    </tableColumn>
    <tableColumn id="3" xr3:uid="{40A6FEAB-AFE8-4A6F-BB4E-2BEF4B8B229E}" name="KSI_PMS" totalsRowFunction="sum" dataDxfId="3834" totalsRowDxfId="3833" dataCellStyle="Comma"/>
    <tableColumn id="4" xr3:uid="{985F2A1D-44CF-47B0-8A58-AF84F32D6D42}" name="BUIPE_AGO" totalsRowFunction="custom" dataDxfId="3832" totalsRowDxfId="3831" dataCellStyle="Comma">
      <totalsRowFormula>SUM(March02_2022[BUIPE_AGO])</totalsRowFormula>
    </tableColumn>
    <tableColumn id="5" xr3:uid="{8404EA4D-FB6F-4B79-BF6A-BBE148B851AB}" name="BUIPE_PMS" totalsRowFunction="custom" dataDxfId="3830" totalsRowDxfId="3829" dataCellStyle="Comma">
      <totalsRowFormula>SUM(March02_2022[BUIPE_PMS])</totalsRowFormula>
    </tableColumn>
    <tableColumn id="6" xr3:uid="{C8519994-D04B-4058-BF49-F9CFF0035EA5}" name="AKOSOMBO_AGO" totalsRowFunction="custom" dataDxfId="3828" totalsRowDxfId="3827" dataCellStyle="Comma">
      <totalsRowFormula>SUM(March02_2022[AKOSOMBO_AGO])</totalsRowFormula>
    </tableColumn>
    <tableColumn id="7" xr3:uid="{8AAF7742-16F7-4FD7-A6E4-4B94C4A51349}" name="DATE" dataDxfId="3826" totalsRowDxfId="3825">
      <calculatedColumnFormula>$G$3</calculatedColumnFormula>
    </tableColumn>
  </tableColumns>
  <tableStyleInfo showFirstColumn="0" showLastColumn="0" showRowStripes="1" showColumnStripes="0"/>
</table>
</file>

<file path=xl/tables/table5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5" xr:uid="{74EBB0DF-E866-4B09-B9AE-4A17B4ED513B}" name="March03_2022" displayName="March03_2022" ref="B5:H23" totalsRowCount="1" headerRowDxfId="3824" headerRowBorderDxfId="3823" tableBorderDxfId="3822" totalsRowBorderDxfId="3821">
  <autoFilter ref="B5:H22" xr:uid="{BED02D39-8300-486A-8E07-E19B6F095EF6}"/>
  <sortState xmlns:xlrd2="http://schemas.microsoft.com/office/spreadsheetml/2017/richdata2" ref="B6:H22">
    <sortCondition ref="B6:B22"/>
  </sortState>
  <tableColumns count="7">
    <tableColumn id="1" xr3:uid="{51D3CCAC-E26C-44A0-BFF1-4EC2AE442FFA}" name="BDC LIST" totalsRowLabel="Total" dataDxfId="3820" totalsRowDxfId="3819"/>
    <tableColumn id="2" xr3:uid="{917A8D25-5457-4907-81FD-F245418ACFE7}" name="KSI_AGO" totalsRowFunction="custom" dataDxfId="3818" totalsRowDxfId="3817" dataCellStyle="Comma">
      <totalsRowFormula>SUM(March03_2022[KSI_AGO])</totalsRowFormula>
    </tableColumn>
    <tableColumn id="3" xr3:uid="{8BC5AAB2-4B00-459D-B407-D76A78F99FCA}" name="KSI_PMS" totalsRowFunction="sum" dataDxfId="3816" totalsRowDxfId="3815" dataCellStyle="Comma"/>
    <tableColumn id="4" xr3:uid="{7F800224-A831-49F4-BE7A-88B8C5992497}" name="BUIPE_AGO" totalsRowFunction="custom" dataDxfId="3814" totalsRowDxfId="3813" dataCellStyle="Comma">
      <totalsRowFormula>SUM(March03_2022[BUIPE_AGO])</totalsRowFormula>
    </tableColumn>
    <tableColumn id="5" xr3:uid="{95DA99A1-805D-4EBB-B8DB-8BB7877A915E}" name="BUIPE_PMS" totalsRowFunction="custom" dataDxfId="3812" totalsRowDxfId="3811" dataCellStyle="Comma">
      <totalsRowFormula>SUM(March03_2022[BUIPE_PMS])</totalsRowFormula>
    </tableColumn>
    <tableColumn id="6" xr3:uid="{5AA90D7D-A35D-48A0-94D1-CBFB1BC13CB7}" name="AKOSOMBO_AGO" totalsRowFunction="custom" dataDxfId="3810" totalsRowDxfId="3809" dataCellStyle="Comma">
      <totalsRowFormula>SUM(March03_2022[AKOSOMBO_AGO])</totalsRowFormula>
    </tableColumn>
    <tableColumn id="7" xr3:uid="{B2443E37-B199-486B-8BA7-2EF08248A06C}" name="DATE" dataDxfId="3808" totalsRowDxfId="3807">
      <calculatedColumnFormula>$G$3</calculatedColumnFormula>
    </tableColumn>
  </tableColumns>
  <tableStyleInfo showFirstColumn="0" showLastColumn="0" showRowStripes="1" showColumnStripes="0"/>
</table>
</file>

<file path=xl/tables/table5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6" xr:uid="{267A5C31-F876-4715-B87D-F3DF24463A77}" name="March04_2022" displayName="March04_2022" ref="B5:H23" totalsRowCount="1" headerRowDxfId="3806" headerRowBorderDxfId="3805" tableBorderDxfId="3804" totalsRowBorderDxfId="3803">
  <autoFilter ref="B5:H22" xr:uid="{BED02D39-8300-486A-8E07-E19B6F095EF6}"/>
  <sortState xmlns:xlrd2="http://schemas.microsoft.com/office/spreadsheetml/2017/richdata2" ref="B6:H22">
    <sortCondition ref="B6:B22"/>
  </sortState>
  <tableColumns count="7">
    <tableColumn id="1" xr3:uid="{7F0B4096-5682-4347-8469-4091C18C82D4}" name="BDC LIST" totalsRowLabel="Total" dataDxfId="3802" totalsRowDxfId="3801"/>
    <tableColumn id="2" xr3:uid="{045621A7-21F6-4939-8A30-3C927B01ABA6}" name="KSI_AGO" totalsRowFunction="custom" dataDxfId="3800" totalsRowDxfId="3799" dataCellStyle="Comma">
      <totalsRowFormula>SUM(March04_2022[KSI_AGO])</totalsRowFormula>
    </tableColumn>
    <tableColumn id="3" xr3:uid="{FB7DA435-B02A-4952-B921-EDBDE3FB8827}" name="KSI_PMS" totalsRowFunction="sum" dataDxfId="3798" totalsRowDxfId="3797" dataCellStyle="Comma"/>
    <tableColumn id="4" xr3:uid="{92CAFE6F-B726-485A-9EA5-873D3288FD46}" name="BUIPE_AGO" totalsRowFunction="custom" dataDxfId="3796" totalsRowDxfId="3795" dataCellStyle="Comma">
      <totalsRowFormula>SUM(March04_2022[BUIPE_AGO])</totalsRowFormula>
    </tableColumn>
    <tableColumn id="5" xr3:uid="{3947D392-9F7F-439E-9717-7E4DE0C4C3AC}" name="BUIPE_PMS" totalsRowFunction="custom" dataDxfId="3794" totalsRowDxfId="3793" dataCellStyle="Comma">
      <totalsRowFormula>SUM(March04_2022[BUIPE_PMS])</totalsRowFormula>
    </tableColumn>
    <tableColumn id="6" xr3:uid="{C521822F-3BDD-4182-8094-FCEB2A79D442}" name="AKOSOMBO_AGO" totalsRowFunction="custom" dataDxfId="3792" totalsRowDxfId="3791" dataCellStyle="Comma">
      <totalsRowFormula>SUM(March04_2022[AKOSOMBO_AGO])</totalsRowFormula>
    </tableColumn>
    <tableColumn id="7" xr3:uid="{8BD4B36E-00CF-46F9-AD35-F67EF300D178}" name="DATE" dataDxfId="3790" totalsRowDxfId="3789">
      <calculatedColumnFormula>$G$3</calculatedColumnFormula>
    </tableColumn>
  </tableColumns>
  <tableStyleInfo showFirstColumn="0" showLastColumn="0" showRowStripes="1" showColumnStripes="0"/>
</table>
</file>

<file path=xl/tables/table5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7" xr:uid="{C905F6BF-6118-4D18-A0F6-D8678BEAADC1}" name="March08_2022" displayName="March08_2022" ref="B5:H23" totalsRowCount="1" headerRowDxfId="3788" headerRowBorderDxfId="3787" tableBorderDxfId="3786" totalsRowBorderDxfId="3785">
  <autoFilter ref="B5:H22" xr:uid="{BED02D39-8300-486A-8E07-E19B6F095EF6}"/>
  <sortState xmlns:xlrd2="http://schemas.microsoft.com/office/spreadsheetml/2017/richdata2" ref="B6:H22">
    <sortCondition ref="B6:B22"/>
  </sortState>
  <tableColumns count="7">
    <tableColumn id="1" xr3:uid="{905BF2C3-A4B9-4AB5-ACD9-98AD0EA4BB1A}" name="BDC LIST" totalsRowLabel="Total" dataDxfId="3784" totalsRowDxfId="3783"/>
    <tableColumn id="2" xr3:uid="{4CD46C5A-A722-4E1E-B52B-C78ED6738F6C}" name="KSI_AGO" totalsRowFunction="custom" dataDxfId="3782" totalsRowDxfId="3781" dataCellStyle="Comma">
      <totalsRowFormula>SUM(March08_2022[KSI_AGO])</totalsRowFormula>
    </tableColumn>
    <tableColumn id="3" xr3:uid="{BBB14277-768D-4F4E-913B-DB3363CB905D}" name="KSI_PMS" totalsRowFunction="sum" dataDxfId="3780" totalsRowDxfId="3779" dataCellStyle="Comma"/>
    <tableColumn id="4" xr3:uid="{76438166-197F-4DE5-AF6E-C9A55F55F780}" name="BUIPE_AGO" totalsRowFunction="custom" dataDxfId="3778" totalsRowDxfId="3777" dataCellStyle="Comma">
      <totalsRowFormula>SUM(March08_2022[BUIPE_AGO])</totalsRowFormula>
    </tableColumn>
    <tableColumn id="5" xr3:uid="{394444A0-4D66-4F4F-A56C-3E42AC1393C7}" name="BUIPE_PMS" totalsRowFunction="custom" dataDxfId="3776" totalsRowDxfId="3775" dataCellStyle="Comma">
      <totalsRowFormula>SUM(March08_2022[BUIPE_PMS])</totalsRowFormula>
    </tableColumn>
    <tableColumn id="6" xr3:uid="{8323FE57-1DDE-4A1B-95EF-BE9577AA96BC}" name="AKOSOMBO_AGO" totalsRowFunction="custom" dataDxfId="3774" totalsRowDxfId="3773" dataCellStyle="Comma">
      <totalsRowFormula>SUM(March08_2022[AKOSOMBO_AGO])</totalsRowFormula>
    </tableColumn>
    <tableColumn id="7" xr3:uid="{365811FC-4C12-44A5-B8EE-E0FBB7BF603F}" name="DATE" dataDxfId="3772" totalsRowDxfId="3771">
      <calculatedColumnFormula>$G$3</calculatedColumnFormula>
    </tableColumn>
  </tableColumns>
  <tableStyleInfo showFirstColumn="0" showLastColumn="0" showRowStripes="1" showColumnStripes="0"/>
</table>
</file>

<file path=xl/tables/table5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8" xr:uid="{18E9708E-53C3-405F-AE92-1B59D54EF9AD}" name="March09_2022" displayName="March09_2022" ref="B5:H23" totalsRowCount="1" headerRowDxfId="3770" headerRowBorderDxfId="3769" tableBorderDxfId="3768" totalsRowBorderDxfId="3767">
  <autoFilter ref="B5:H22" xr:uid="{BED02D39-8300-486A-8E07-E19B6F095EF6}"/>
  <sortState xmlns:xlrd2="http://schemas.microsoft.com/office/spreadsheetml/2017/richdata2" ref="B6:H22">
    <sortCondition ref="B6:B22"/>
  </sortState>
  <tableColumns count="7">
    <tableColumn id="1" xr3:uid="{A255D1FB-22D7-4F05-A470-0FA0E71B23B8}" name="BDC LIST" totalsRowLabel="Total" dataDxfId="3766" totalsRowDxfId="3765"/>
    <tableColumn id="2" xr3:uid="{36631895-500E-456F-BDBC-8353D84D2E00}" name="KSI_AGO" totalsRowFunction="custom" dataDxfId="3764" totalsRowDxfId="3763" dataCellStyle="Comma">
      <totalsRowFormula>SUM(March09_2022[KSI_AGO])</totalsRowFormula>
    </tableColumn>
    <tableColumn id="3" xr3:uid="{EB820500-22B7-4118-A4E9-E5FAEEB4B19B}" name="KSI_PMS" totalsRowFunction="sum" dataDxfId="3762" totalsRowDxfId="3761" dataCellStyle="Comma"/>
    <tableColumn id="4" xr3:uid="{4F081405-2B2E-4236-9090-7EC7FCE8D357}" name="BUIPE_AGO" totalsRowFunction="custom" dataDxfId="3760" totalsRowDxfId="3759" dataCellStyle="Comma">
      <totalsRowFormula>SUM(March09_2022[BUIPE_AGO])</totalsRowFormula>
    </tableColumn>
    <tableColumn id="5" xr3:uid="{62CC5568-4EBD-4823-AB7B-65C088E9FCE4}" name="BUIPE_PMS" totalsRowFunction="custom" dataDxfId="3758" totalsRowDxfId="3757" dataCellStyle="Comma">
      <totalsRowFormula>SUM(March09_2022[BUIPE_PMS])</totalsRowFormula>
    </tableColumn>
    <tableColumn id="6" xr3:uid="{CE307F11-C3E5-4147-A5B8-468F1924C857}" name="AKOSOMBO_AGO" totalsRowFunction="custom" dataDxfId="3756" totalsRowDxfId="3755" dataCellStyle="Comma">
      <totalsRowFormula>SUM(March09_2022[AKOSOMBO_AGO])</totalsRowFormula>
    </tableColumn>
    <tableColumn id="7" xr3:uid="{776EB0B8-FAE3-49A5-92E8-9366DBDA179C}" name="DATE" dataDxfId="3754" totalsRowDxfId="3753">
      <calculatedColumnFormula>$G$3</calculatedColumnFormula>
    </tableColumn>
  </tableColumns>
  <tableStyleInfo showFirstColumn="0" showLastColumn="0" showRowStripes="1" showColumnStripes="0"/>
</table>
</file>

<file path=xl/tables/table5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0" xr:uid="{6DD966E6-3DF9-4A8A-956E-1D4EEB300A32}" name="March09_202210" displayName="March09_202210" ref="B5:H23" totalsRowCount="1" headerRowDxfId="3752" headerRowBorderDxfId="3751" tableBorderDxfId="3750" totalsRowBorderDxfId="3749">
  <autoFilter ref="B5:H22" xr:uid="{BED02D39-8300-486A-8E07-E19B6F095EF6}"/>
  <sortState xmlns:xlrd2="http://schemas.microsoft.com/office/spreadsheetml/2017/richdata2" ref="B6:H22">
    <sortCondition ref="B6:B22"/>
  </sortState>
  <tableColumns count="7">
    <tableColumn id="1" xr3:uid="{07DB6E77-EFEB-4615-AE46-C9D61FF0B8A3}" name="BDC LIST" totalsRowLabel="Total" dataDxfId="3748" totalsRowDxfId="3747"/>
    <tableColumn id="2" xr3:uid="{9045DDCD-857C-47CA-95D5-F8C665AA9AD4}" name="KSI_AGO" totalsRowFunction="custom" dataDxfId="3746" totalsRowDxfId="3745" dataCellStyle="Comma">
      <totalsRowFormula>SUM(March09_202210[KSI_AGO])</totalsRowFormula>
    </tableColumn>
    <tableColumn id="3" xr3:uid="{FCAE271C-5A02-4336-BFB4-FE2C8B32B004}" name="KSI_PMS" totalsRowFunction="sum" dataDxfId="3744" totalsRowDxfId="3743" dataCellStyle="Comma"/>
    <tableColumn id="4" xr3:uid="{5F0EC698-B2C3-4A3F-8F47-DC1C9B2AA639}" name="BUIPE_AGO" totalsRowFunction="custom" dataDxfId="3742" totalsRowDxfId="3741" dataCellStyle="Comma">
      <totalsRowFormula>SUM(March09_202210[BUIPE_AGO])</totalsRowFormula>
    </tableColumn>
    <tableColumn id="5" xr3:uid="{D788BB09-0523-4DB0-A7B6-511D2CDF6B0B}" name="BUIPE_PMS" totalsRowFunction="custom" dataDxfId="3740" totalsRowDxfId="3739" dataCellStyle="Comma">
      <totalsRowFormula>SUM(March09_202210[BUIPE_PMS])</totalsRowFormula>
    </tableColumn>
    <tableColumn id="6" xr3:uid="{5FDF099F-22B3-4081-B3AF-AA9B1A75313B}" name="AKOSOMBO_AGO" totalsRowFunction="custom" dataDxfId="3738" totalsRowDxfId="3737" dataCellStyle="Comma">
      <totalsRowFormula>SUM(March09_202210[AKOSOMBO_AGO])</totalsRowFormula>
    </tableColumn>
    <tableColumn id="7" xr3:uid="{56985A62-9ACF-4303-BF76-DB899EA5E247}" name="DATE" dataDxfId="3736" totalsRowDxfId="3735">
      <calculatedColumnFormula>$G$3</calculatedColumnFormula>
    </tableColumn>
  </tableColumns>
  <tableStyleInfo showFirstColumn="0" showLastColumn="0" showRowStripes="1" showColumnStripes="0"/>
</table>
</file>

<file path=xl/tables/table5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1" xr:uid="{C620C28D-8D70-4AE2-9698-3C3B21B89B49}" name="March11_2022" displayName="March11_2022" ref="B5:H23" totalsRowCount="1" headerRowDxfId="3734" headerRowBorderDxfId="3733" tableBorderDxfId="3732" totalsRowBorderDxfId="3731">
  <autoFilter ref="B5:H22" xr:uid="{BED02D39-8300-486A-8E07-E19B6F095EF6}"/>
  <sortState xmlns:xlrd2="http://schemas.microsoft.com/office/spreadsheetml/2017/richdata2" ref="B6:H22">
    <sortCondition ref="B6:B22"/>
  </sortState>
  <tableColumns count="7">
    <tableColumn id="1" xr3:uid="{7F854161-8A8C-4601-B09E-FBA224E41050}" name="BDC LIST" totalsRowLabel="Total" dataDxfId="3730" totalsRowDxfId="3729"/>
    <tableColumn id="2" xr3:uid="{F4DF0A4B-D96D-4067-99FF-0FEEFDDE743C}" name="KSI_AGO" totalsRowFunction="custom" dataDxfId="3728" totalsRowDxfId="3727" dataCellStyle="Comma">
      <totalsRowFormula>SUM(March11_2022[KSI_AGO])</totalsRowFormula>
    </tableColumn>
    <tableColumn id="3" xr3:uid="{A1F7AC2B-2E63-4315-B189-04508F51FF7B}" name="KSI_PMS" totalsRowFunction="sum" dataDxfId="3726" totalsRowDxfId="3725" dataCellStyle="Comma"/>
    <tableColumn id="4" xr3:uid="{7C261F4A-0E53-46A7-9C4B-028141C59CB8}" name="BUIPE_AGO" totalsRowFunction="custom" dataDxfId="3724" totalsRowDxfId="3723" dataCellStyle="Comma">
      <totalsRowFormula>SUM(March11_2022[BUIPE_AGO])</totalsRowFormula>
    </tableColumn>
    <tableColumn id="5" xr3:uid="{BD843F07-9186-490D-B212-834A4CFB92E9}" name="BUIPE_PMS" totalsRowFunction="custom" dataDxfId="3722" totalsRowDxfId="3721" dataCellStyle="Comma">
      <totalsRowFormula>SUM(March11_2022[BUIPE_PMS])</totalsRowFormula>
    </tableColumn>
    <tableColumn id="6" xr3:uid="{CD734ABD-ADCE-41D1-BE2C-BCFABE01DF51}" name="AKOSOMBO_AGO" totalsRowFunction="custom" dataDxfId="3720" totalsRowDxfId="3719" dataCellStyle="Comma">
      <totalsRowFormula>SUM(March11_2022[AKOSOMBO_AGO])</totalsRowFormula>
    </tableColumn>
    <tableColumn id="7" xr3:uid="{B83DEF99-AB0B-4501-B202-5A476EE8F4F8}" name="DATE" dataDxfId="3718" totalsRowDxfId="3717">
      <calculatedColumnFormula>$G$3</calculatedColumnFormula>
    </tableColumn>
  </tableColumns>
  <tableStyleInfo showFirstColumn="0" showLastColumn="0" showRowStripes="1" showColumnStripes="0"/>
</table>
</file>

<file path=xl/tables/table5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9" xr:uid="{8C79FDD9-E655-46E4-8192-FF7F59CA3B72}" name="March14_2022" displayName="March14_2022" ref="B5:H23" totalsRowCount="1" headerRowDxfId="3716" headerRowBorderDxfId="3715" tableBorderDxfId="3714" totalsRowBorderDxfId="3713">
  <autoFilter ref="B5:H22" xr:uid="{BED02D39-8300-486A-8E07-E19B6F095EF6}"/>
  <sortState xmlns:xlrd2="http://schemas.microsoft.com/office/spreadsheetml/2017/richdata2" ref="B6:H22">
    <sortCondition ref="B6:B22"/>
  </sortState>
  <tableColumns count="7">
    <tableColumn id="1" xr3:uid="{D304B7A7-976A-4D02-901C-2CCAC3B24A83}" name="BDC LIST" totalsRowLabel="Total" dataDxfId="3712" totalsRowDxfId="3711"/>
    <tableColumn id="2" xr3:uid="{5E7BC536-A505-4A37-B329-CB8BCD42C09F}" name="KSI_AGO" totalsRowFunction="custom" dataDxfId="3710" totalsRowDxfId="3709" dataCellStyle="Comma">
      <totalsRowFormula>SUM(March14_2022[KSI_AGO])</totalsRowFormula>
    </tableColumn>
    <tableColumn id="3" xr3:uid="{5D6FF021-5D14-4A65-A511-78D851B4B826}" name="KSI_PMS" totalsRowFunction="sum" dataDxfId="3708" totalsRowDxfId="3707" dataCellStyle="Comma"/>
    <tableColumn id="4" xr3:uid="{2B80E0BC-B7D7-46A6-A025-7ADF69D6C0E3}" name="BUIPE_AGO" totalsRowFunction="custom" dataDxfId="3706" totalsRowDxfId="3705" dataCellStyle="Comma">
      <totalsRowFormula>SUM(March14_2022[BUIPE_AGO])</totalsRowFormula>
    </tableColumn>
    <tableColumn id="5" xr3:uid="{3188948D-965F-4449-AD4A-D34D579C266C}" name="BUIPE_PMS" totalsRowFunction="custom" dataDxfId="3704" totalsRowDxfId="3703" dataCellStyle="Comma">
      <totalsRowFormula>SUM(March14_2022[BUIPE_PMS])</totalsRowFormula>
    </tableColumn>
    <tableColumn id="6" xr3:uid="{DF2A24D3-AD21-4962-BE94-978386848D51}" name="AKOSOMBO_AGO" totalsRowFunction="custom" dataDxfId="3702" totalsRowDxfId="3701" dataCellStyle="Comma">
      <totalsRowFormula>SUM(March14_2022[AKOSOMBO_AGO])</totalsRowFormula>
    </tableColumn>
    <tableColumn id="7" xr3:uid="{A2B0B006-22FA-44FC-98DF-E3F73D5C80B5}" name="DATE" dataDxfId="3700" totalsRowDxfId="3699">
      <calculatedColumnFormula>$G$3</calculatedColumnFormula>
    </tableColumn>
  </tableColumns>
  <tableStyleInfo showFirstColumn="0" showLastColumn="0" showRowStripes="1" showColumnStripes="0"/>
</table>
</file>

<file path=xl/tables/table5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2" xr:uid="{ACA159D6-F62E-4FD8-8E58-A85910394439}" name="March15_2022" displayName="March15_2022" ref="B5:H23" totalsRowCount="1" headerRowDxfId="3698" headerRowBorderDxfId="3697" tableBorderDxfId="3696" totalsRowBorderDxfId="3695">
  <autoFilter ref="B5:H22" xr:uid="{BED02D39-8300-486A-8E07-E19B6F095EF6}"/>
  <sortState xmlns:xlrd2="http://schemas.microsoft.com/office/spreadsheetml/2017/richdata2" ref="B6:H22">
    <sortCondition ref="B6:B22"/>
  </sortState>
  <tableColumns count="7">
    <tableColumn id="1" xr3:uid="{ACE2BDDD-3B8D-4F74-833B-09B1D673F1B4}" name="BDC LIST" totalsRowLabel="Total" dataDxfId="3694" totalsRowDxfId="3693"/>
    <tableColumn id="2" xr3:uid="{E30C87CA-93C2-42E7-ABBC-65E03F89088F}" name="KSI_AGO" totalsRowFunction="custom" dataDxfId="3692" totalsRowDxfId="3691" dataCellStyle="Comma">
      <totalsRowFormula>SUM(March15_2022[KSI_AGO])</totalsRowFormula>
    </tableColumn>
    <tableColumn id="3" xr3:uid="{59CB1A3B-0509-4631-97E3-89F16246ACB1}" name="KSI_PMS" totalsRowFunction="sum" dataDxfId="3690" totalsRowDxfId="3689" dataCellStyle="Comma"/>
    <tableColumn id="4" xr3:uid="{9AF5A56B-5E7B-43A2-9B1F-5572518C8A26}" name="BUIPE_AGO" totalsRowFunction="custom" dataDxfId="3688" totalsRowDxfId="3687" dataCellStyle="Comma">
      <totalsRowFormula>SUM(March15_2022[BUIPE_AGO])</totalsRowFormula>
    </tableColumn>
    <tableColumn id="5" xr3:uid="{A6BD1BB4-29FB-4299-B011-1CFF4FF1C31F}" name="BUIPE_PMS" totalsRowFunction="custom" dataDxfId="3686" totalsRowDxfId="3685" dataCellStyle="Comma">
      <totalsRowFormula>SUM(March15_2022[BUIPE_PMS])</totalsRowFormula>
    </tableColumn>
    <tableColumn id="6" xr3:uid="{8D2214C4-92E8-4CC3-9E3F-7FE4B3BC604D}" name="AKOSOMBO_AGO" totalsRowFunction="custom" dataDxfId="3684" totalsRowDxfId="3683" dataCellStyle="Comma">
      <totalsRowFormula>SUM(March15_2022[AKOSOMBO_AGO])</totalsRowFormula>
    </tableColumn>
    <tableColumn id="7" xr3:uid="{1F54DDB7-2CFA-465F-ACD3-1DC136A528AC}" name="DATE" dataDxfId="3682" totalsRowDxfId="3681">
      <calculatedColumnFormula>$G$3</calculatedColumnFormula>
    </tableColumn>
  </tableColumns>
  <tableStyleInfo showFirstColumn="0" showLastColumn="0" showRowStripes="1" showColumnStripes="0"/>
</table>
</file>

<file path=xl/tables/table5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3" xr:uid="{F6615B5E-BFB2-4972-976D-D3BE6529A086}" name="March16_2022" displayName="March16_2022" ref="B5:H23" totalsRowCount="1" headerRowDxfId="3680" headerRowBorderDxfId="3679" tableBorderDxfId="3678" totalsRowBorderDxfId="3677">
  <autoFilter ref="B5:H22" xr:uid="{BED02D39-8300-486A-8E07-E19B6F095EF6}"/>
  <sortState xmlns:xlrd2="http://schemas.microsoft.com/office/spreadsheetml/2017/richdata2" ref="B6:H22">
    <sortCondition ref="B6:B22"/>
  </sortState>
  <tableColumns count="7">
    <tableColumn id="1" xr3:uid="{381F10BE-1D06-4BBB-91DF-32CB0EA252E2}" name="BDC LIST" totalsRowLabel="Total" dataDxfId="3676" totalsRowDxfId="3675"/>
    <tableColumn id="2" xr3:uid="{31823469-AF7B-4223-8A2F-19C39334C8A5}" name="KSI_AGO" totalsRowFunction="custom" dataDxfId="3674" totalsRowDxfId="3673" dataCellStyle="Comma">
      <totalsRowFormula>SUM(March16_2022[KSI_AGO])</totalsRowFormula>
    </tableColumn>
    <tableColumn id="3" xr3:uid="{331E4404-5F8F-47BC-B0D2-AB9F1F071EB5}" name="KSI_PMS" totalsRowFunction="sum" dataDxfId="3672" totalsRowDxfId="3671" dataCellStyle="Comma"/>
    <tableColumn id="4" xr3:uid="{0527F270-3843-43E9-A859-25A9F3CE62AC}" name="BUIPE_AGO" totalsRowFunction="custom" dataDxfId="3670" totalsRowDxfId="3669" dataCellStyle="Comma">
      <totalsRowFormula>SUM(March16_2022[BUIPE_AGO])</totalsRowFormula>
    </tableColumn>
    <tableColumn id="5" xr3:uid="{16E1E931-05CA-4B38-8484-033AD2C0EC67}" name="BUIPE_PMS" totalsRowFunction="custom" dataDxfId="3668" totalsRowDxfId="3667" dataCellStyle="Comma">
      <totalsRowFormula>SUM(March16_2022[BUIPE_PMS])</totalsRowFormula>
    </tableColumn>
    <tableColumn id="6" xr3:uid="{4348DACB-465E-4E7B-A8AD-7A18296D5B5D}" name="AKOSOMBO_AGO" totalsRowFunction="custom" dataDxfId="3666" totalsRowDxfId="3665" dataCellStyle="Comma">
      <totalsRowFormula>SUM(March16_2022[AKOSOMBO_AGO])</totalsRowFormula>
    </tableColumn>
    <tableColumn id="7" xr3:uid="{B8971923-968E-43E4-96F8-F54ED5117403}" name="DATE" dataDxfId="3664" totalsRowDxfId="3663">
      <calculatedColumnFormula>$G$3</calculatedColumnFormula>
    </tableColumn>
  </tableColumns>
  <tableStyleInfo showFirstColumn="0" showLastColumn="0" showRowStripes="1" showColumnStripes="0"/>
</table>
</file>

<file path=xl/tables/table5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4" xr:uid="{3CFD0D5B-C5C5-433E-8D74-7B291D77FA15}" name="March17_2022" displayName="March17_2022" ref="B5:H23" totalsRowCount="1" headerRowDxfId="3662" headerRowBorderDxfId="3661" tableBorderDxfId="3660" totalsRowBorderDxfId="3659">
  <autoFilter ref="B5:H22" xr:uid="{BED02D39-8300-486A-8E07-E19B6F095EF6}"/>
  <sortState xmlns:xlrd2="http://schemas.microsoft.com/office/spreadsheetml/2017/richdata2" ref="B6:H22">
    <sortCondition ref="B6:B22"/>
  </sortState>
  <tableColumns count="7">
    <tableColumn id="1" xr3:uid="{CD94DFC9-5DFF-4E42-A751-8352C800466B}" name="BDC LIST" totalsRowLabel="Total" dataDxfId="3658" totalsRowDxfId="3657"/>
    <tableColumn id="2" xr3:uid="{148619F2-C999-49C0-ACD7-DE27F52DC08A}" name="KSI_AGO" totalsRowFunction="custom" dataDxfId="3656" totalsRowDxfId="3655" dataCellStyle="Comma">
      <totalsRowFormula>SUM(March17_2022[KSI_AGO])</totalsRowFormula>
    </tableColumn>
    <tableColumn id="3" xr3:uid="{8258B6ED-FD91-4481-A0B8-01571DBE7506}" name="KSI_PMS" totalsRowFunction="sum" dataDxfId="3654" totalsRowDxfId="3653" dataCellStyle="Comma"/>
    <tableColumn id="4" xr3:uid="{A10FEA65-7601-4806-85CA-FE409B01C75C}" name="BUIPE_AGO" totalsRowFunction="custom" dataDxfId="3652" totalsRowDxfId="3651" dataCellStyle="Comma">
      <totalsRowFormula>SUM(March17_2022[BUIPE_AGO])</totalsRowFormula>
    </tableColumn>
    <tableColumn id="5" xr3:uid="{B25965AE-6D63-41A0-BEDF-18E0A83030B2}" name="BUIPE_PMS" totalsRowFunction="custom" dataDxfId="3650" totalsRowDxfId="3649" dataCellStyle="Comma">
      <totalsRowFormula>SUM(March17_2022[BUIPE_PMS])</totalsRowFormula>
    </tableColumn>
    <tableColumn id="6" xr3:uid="{D2E01AC7-9D64-4480-BED7-19512B7360C3}" name="AKOSOMBO_AGO" totalsRowFunction="custom" dataDxfId="3648" totalsRowDxfId="3647" dataCellStyle="Comma">
      <totalsRowFormula>SUM(March17_2022[AKOSOMBO_AGO])</totalsRowFormula>
    </tableColumn>
    <tableColumn id="7" xr3:uid="{4DEBE8C3-C1A9-4F1B-A1F8-B1EA93B9A648}" name="DATE" dataDxfId="3646" totalsRowDxfId="3645">
      <calculatedColumnFormula>$G$3</calculatedColumnFormula>
    </tableColumn>
  </tableColumns>
  <tableStyleInfo showFirstColumn="0" showLastColumn="0" showRowStripes="1" showColumnStripes="0"/>
</table>
</file>

<file path=xl/tables/table5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5" xr:uid="{7C012322-840F-4357-A88C-67D4FF7C6140}" name="March18_2022" displayName="March18_2022" ref="B5:H23" totalsRowCount="1" headerRowDxfId="3644" headerRowBorderDxfId="3643" tableBorderDxfId="3642" totalsRowBorderDxfId="3641">
  <autoFilter ref="B5:H22" xr:uid="{BED02D39-8300-486A-8E07-E19B6F095EF6}"/>
  <sortState xmlns:xlrd2="http://schemas.microsoft.com/office/spreadsheetml/2017/richdata2" ref="B6:H22">
    <sortCondition ref="B6:B22"/>
  </sortState>
  <tableColumns count="7">
    <tableColumn id="1" xr3:uid="{2BF7DDBF-7FEF-44F7-BDF5-5834A5F6FDD0}" name="BDC LIST" totalsRowLabel="Total" dataDxfId="3640" totalsRowDxfId="3639"/>
    <tableColumn id="2" xr3:uid="{7A5D6DCE-8A0F-4E8D-8FBA-6E45FAA28485}" name="KSI_AGO" totalsRowFunction="custom" dataDxfId="3638" totalsRowDxfId="3637" dataCellStyle="Comma">
      <totalsRowFormula>SUM(March18_2022[KSI_AGO])</totalsRowFormula>
    </tableColumn>
    <tableColumn id="3" xr3:uid="{96C70695-D70D-4347-91E0-AD3A54182A52}" name="KSI_PMS" totalsRowFunction="sum" dataDxfId="3636" totalsRowDxfId="3635" dataCellStyle="Comma"/>
    <tableColumn id="4" xr3:uid="{7D96DD2D-0C2B-4559-98C7-A5EF35C86C7E}" name="BUIPE_AGO" totalsRowFunction="custom" dataDxfId="3634" totalsRowDxfId="3633" dataCellStyle="Comma">
      <totalsRowFormula>SUM(March18_2022[BUIPE_AGO])</totalsRowFormula>
    </tableColumn>
    <tableColumn id="5" xr3:uid="{8CBE3EA7-960D-471B-A6FE-C74CD5679BB9}" name="BUIPE_PMS" totalsRowFunction="custom" dataDxfId="3632" totalsRowDxfId="3631" dataCellStyle="Comma">
      <totalsRowFormula>SUM(March18_2022[BUIPE_PMS])</totalsRowFormula>
    </tableColumn>
    <tableColumn id="6" xr3:uid="{C7DEEB8B-1B90-4CB3-836C-FC281CEDE644}" name="AKOSOMBO_AGO" totalsRowFunction="custom" dataDxfId="3630" totalsRowDxfId="3629" dataCellStyle="Comma">
      <totalsRowFormula>SUM(March18_2022[AKOSOMBO_AGO])</totalsRowFormula>
    </tableColumn>
    <tableColumn id="7" xr3:uid="{EB030F77-87FB-4068-8833-8C02D34816A3}" name="DATE" dataDxfId="3628" totalsRowDxfId="3627">
      <calculatedColumnFormula>$G$3</calculatedColumnFormula>
    </tableColumn>
  </tableColumns>
  <tableStyleInfo showFirstColumn="0" showLastColumn="0" showRowStripes="1" showColumnStripes="0"/>
</table>
</file>

<file path=xl/tables/table5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6" xr:uid="{DD85D7D3-48B5-40B5-B76C-0E9509A10BF4}" name="March21_2022" displayName="March21_2022" ref="B5:H23" totalsRowCount="1" headerRowDxfId="3626" headerRowBorderDxfId="3625" tableBorderDxfId="3624" totalsRowBorderDxfId="3623">
  <autoFilter ref="B5:H22" xr:uid="{BED02D39-8300-486A-8E07-E19B6F095EF6}"/>
  <sortState xmlns:xlrd2="http://schemas.microsoft.com/office/spreadsheetml/2017/richdata2" ref="B6:H22">
    <sortCondition ref="B6:B22"/>
  </sortState>
  <tableColumns count="7">
    <tableColumn id="1" xr3:uid="{A093742F-9DD1-48B1-9313-C2342A63105C}" name="BDC LIST" totalsRowLabel="Total" dataDxfId="3622" totalsRowDxfId="3621"/>
    <tableColumn id="2" xr3:uid="{11F97A09-B968-4E85-AC57-C6CACC3AA132}" name="KSI_AGO" totalsRowFunction="custom" dataDxfId="3620" totalsRowDxfId="3619" dataCellStyle="Comma">
      <totalsRowFormula>SUM(March21_2022[KSI_AGO])</totalsRowFormula>
    </tableColumn>
    <tableColumn id="3" xr3:uid="{16C3BA83-CCA6-4C66-AE5C-354A9FDCCA8C}" name="KSI_PMS" totalsRowFunction="sum" dataDxfId="3618" totalsRowDxfId="3617" dataCellStyle="Comma"/>
    <tableColumn id="4" xr3:uid="{4AF961DB-4C82-43D4-BB25-4FAB9FDB9B97}" name="BUIPE_AGO" totalsRowFunction="custom" dataDxfId="3616" totalsRowDxfId="3615" dataCellStyle="Comma">
      <totalsRowFormula>SUM(March21_2022[BUIPE_AGO])</totalsRowFormula>
    </tableColumn>
    <tableColumn id="5" xr3:uid="{B694A8A2-6327-43CA-A029-9ED97ED30B91}" name="BUIPE_PMS" totalsRowFunction="custom" dataDxfId="3614" totalsRowDxfId="3613" dataCellStyle="Comma">
      <totalsRowFormula>SUM(March21_2022[BUIPE_PMS])</totalsRowFormula>
    </tableColumn>
    <tableColumn id="6" xr3:uid="{BCE90F81-FF35-4608-B1F8-CEDFED923EC4}" name="AKOSOMBO_AGO" totalsRowFunction="custom" dataDxfId="3612" totalsRowDxfId="3611" dataCellStyle="Comma">
      <totalsRowFormula>SUM(March21_2022[AKOSOMBO_AGO])</totalsRowFormula>
    </tableColumn>
    <tableColumn id="7" xr3:uid="{EBE436D3-47ED-4D88-B386-99516FD82AD3}" name="DATE" dataDxfId="3610" totalsRowDxfId="3609">
      <calculatedColumnFormula>$G$3</calculatedColumnFormula>
    </tableColumn>
  </tableColumns>
  <tableStyleInfo showFirstColumn="0" showLastColumn="0" showRowStripes="1" showColumnStripes="0"/>
</table>
</file>

<file path=xl/tables/table5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7" xr:uid="{7E8AF7E2-7510-4753-8677-C9B129AE27B8}" name="March22_2022" displayName="March22_2022" ref="B5:H23" totalsRowCount="1" headerRowDxfId="3608" headerRowBorderDxfId="3607" tableBorderDxfId="3606" totalsRowBorderDxfId="3605">
  <autoFilter ref="B5:H22" xr:uid="{BED02D39-8300-486A-8E07-E19B6F095EF6}"/>
  <sortState xmlns:xlrd2="http://schemas.microsoft.com/office/spreadsheetml/2017/richdata2" ref="B6:H22">
    <sortCondition ref="B6:B22"/>
  </sortState>
  <tableColumns count="7">
    <tableColumn id="1" xr3:uid="{80E49F6E-FF93-4366-BC5A-D71E7DA22819}" name="BDC LIST" totalsRowLabel="Total" dataDxfId="3604" totalsRowDxfId="3603"/>
    <tableColumn id="2" xr3:uid="{8A23CC2A-1717-4A59-8D3C-447E8D4EC4C3}" name="KSI_AGO" totalsRowFunction="custom" dataDxfId="3602" totalsRowDxfId="3601" dataCellStyle="Comma">
      <totalsRowFormula>SUM(March22_2022[KSI_AGO])</totalsRowFormula>
    </tableColumn>
    <tableColumn id="3" xr3:uid="{C20B90CC-BCD6-4F61-8B4A-A9858638CD8F}" name="KSI_PMS" totalsRowFunction="sum" dataDxfId="3600" totalsRowDxfId="3599" dataCellStyle="Comma"/>
    <tableColumn id="4" xr3:uid="{7C281E53-FC32-497E-A8D8-C756FDD6DA39}" name="BUIPE_AGO" totalsRowFunction="custom" dataDxfId="3598" totalsRowDxfId="3597" dataCellStyle="Comma">
      <totalsRowFormula>SUM(March22_2022[BUIPE_AGO])</totalsRowFormula>
    </tableColumn>
    <tableColumn id="5" xr3:uid="{3C47FB47-86DC-4B5B-A18E-E2055E6837FE}" name="BUIPE_PMS" totalsRowFunction="custom" dataDxfId="3596" totalsRowDxfId="3595" dataCellStyle="Comma">
      <totalsRowFormula>SUM(March22_2022[BUIPE_PMS])</totalsRowFormula>
    </tableColumn>
    <tableColumn id="6" xr3:uid="{B5D6CB71-2D72-456F-940B-9CDC14206935}" name="AKOSOMBO_AGO" totalsRowFunction="custom" dataDxfId="3594" totalsRowDxfId="3593" dataCellStyle="Comma">
      <totalsRowFormula>SUM(March22_2022[AKOSOMBO_AGO])</totalsRowFormula>
    </tableColumn>
    <tableColumn id="7" xr3:uid="{CD8194CC-B594-4F7D-ABCF-981060B5B83A}" name="DATE" dataDxfId="3592" totalsRowDxfId="3591">
      <calculatedColumnFormula>$G$3</calculatedColumnFormula>
    </tableColumn>
  </tableColumns>
  <tableStyleInfo showFirstColumn="0" showLastColumn="0" showRowStripes="1" showColumnStripes="0"/>
</table>
</file>

<file path=xl/tables/table5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8" xr:uid="{6650806C-A983-4AAA-B139-C25575862510}" name="March22_202218" displayName="March22_202218" ref="B5:H23" totalsRowCount="1" headerRowDxfId="3590" headerRowBorderDxfId="3589" tableBorderDxfId="3588" totalsRowBorderDxfId="3587">
  <autoFilter ref="B5:H22" xr:uid="{BED02D39-8300-486A-8E07-E19B6F095EF6}"/>
  <sortState xmlns:xlrd2="http://schemas.microsoft.com/office/spreadsheetml/2017/richdata2" ref="B6:H22">
    <sortCondition ref="B6:B22"/>
  </sortState>
  <tableColumns count="7">
    <tableColumn id="1" xr3:uid="{B9C8DB00-FE95-4E5A-AA05-8610887BD980}" name="BDC LIST" totalsRowLabel="Total" dataDxfId="3586" totalsRowDxfId="3585"/>
    <tableColumn id="2" xr3:uid="{B4D7E312-D0D3-41B9-BDE7-8EEBCA55B954}" name="KSI_AGO" totalsRowFunction="custom" dataDxfId="3584" totalsRowDxfId="3583" dataCellStyle="Comma">
      <totalsRowFormula>SUM(March22_202218[KSI_AGO])</totalsRowFormula>
    </tableColumn>
    <tableColumn id="3" xr3:uid="{559FED07-86D0-4D4E-9B89-5AB6C3655F1E}" name="KSI_PMS" totalsRowFunction="sum" dataDxfId="3582" totalsRowDxfId="3581" dataCellStyle="Comma"/>
    <tableColumn id="4" xr3:uid="{93F50A58-13D2-4D31-B015-3C2F8753EDD7}" name="BUIPE_AGO" totalsRowFunction="custom" dataDxfId="3580" totalsRowDxfId="3579" dataCellStyle="Comma">
      <totalsRowFormula>SUM(March22_202218[BUIPE_AGO])</totalsRowFormula>
    </tableColumn>
    <tableColumn id="5" xr3:uid="{8B135453-57F3-4A48-93E3-9A765D3A96A6}" name="BUIPE_PMS" totalsRowFunction="custom" dataDxfId="3578" totalsRowDxfId="3577" dataCellStyle="Comma">
      <totalsRowFormula>SUM(March22_202218[BUIPE_PMS])</totalsRowFormula>
    </tableColumn>
    <tableColumn id="6" xr3:uid="{E92F63A1-857D-459A-AB6A-C87E90A8796A}" name="AKOSOMBO_AGO" totalsRowFunction="custom" dataDxfId="3576" totalsRowDxfId="3575" dataCellStyle="Comma">
      <totalsRowFormula>SUM(March22_202218[AKOSOMBO_AGO])</totalsRowFormula>
    </tableColumn>
    <tableColumn id="7" xr3:uid="{CAB0BF4A-1994-4BFA-A630-7A8AC61F266D}" name="DATE" dataDxfId="3574" totalsRowDxfId="3573">
      <calculatedColumnFormula>$G$3</calculatedColumnFormula>
    </tableColumn>
  </tableColumns>
  <tableStyleInfo showFirstColumn="0" showLastColumn="0" showRowStripes="1" showColumnStripes="0"/>
</table>
</file>

<file path=xl/tables/table5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9" xr:uid="{557BB76D-7CC6-4099-83B7-FFC6E5292014}" name="March24_2022" displayName="March24_2022" ref="B5:H23" totalsRowCount="1" headerRowDxfId="3572" headerRowBorderDxfId="3571" tableBorderDxfId="3570" totalsRowBorderDxfId="3569">
  <autoFilter ref="B5:H22" xr:uid="{BED02D39-8300-486A-8E07-E19B6F095EF6}"/>
  <sortState xmlns:xlrd2="http://schemas.microsoft.com/office/spreadsheetml/2017/richdata2" ref="B6:H22">
    <sortCondition ref="B6:B22"/>
  </sortState>
  <tableColumns count="7">
    <tableColumn id="1" xr3:uid="{8EC5EE91-3CEF-4B3D-9A30-7CE65FAA80A5}" name="BDC LIST" totalsRowLabel="Total" dataDxfId="3568" totalsRowDxfId="3567"/>
    <tableColumn id="2" xr3:uid="{BD2285ED-8D49-451B-B34C-7A65F973957E}" name="KSI_AGO" totalsRowFunction="custom" dataDxfId="3566" totalsRowDxfId="3565" dataCellStyle="Comma">
      <totalsRowFormula>SUM(March24_2022[KSI_AGO])</totalsRowFormula>
    </tableColumn>
    <tableColumn id="3" xr3:uid="{7A3439B4-1FF5-46C6-8C99-05DAEC9A4611}" name="KSI_PMS" totalsRowFunction="sum" dataDxfId="3564" totalsRowDxfId="3563" dataCellStyle="Comma"/>
    <tableColumn id="4" xr3:uid="{31E1A397-B7EE-4853-B091-412EC444C0DE}" name="BUIPE_AGO" totalsRowFunction="custom" dataDxfId="3562" totalsRowDxfId="3561" dataCellStyle="Comma">
      <totalsRowFormula>SUM(March24_2022[BUIPE_AGO])</totalsRowFormula>
    </tableColumn>
    <tableColumn id="5" xr3:uid="{6E78F00C-430C-4A3D-88ED-550D69C8BD20}" name="BUIPE_PMS" totalsRowFunction="custom" dataDxfId="3560" totalsRowDxfId="3559" dataCellStyle="Comma">
      <totalsRowFormula>SUM(March24_2022[BUIPE_PMS])</totalsRowFormula>
    </tableColumn>
    <tableColumn id="6" xr3:uid="{0CE7EF89-B018-4200-B9F7-27DFCF9BDC5D}" name="AKOSOMBO_AGO" totalsRowFunction="custom" dataDxfId="3558" totalsRowDxfId="3557" dataCellStyle="Comma">
      <totalsRowFormula>SUM(March24_2022[AKOSOMBO_AGO])</totalsRowFormula>
    </tableColumn>
    <tableColumn id="7" xr3:uid="{87BE4BCC-A687-4756-99CF-2BAB090B969D}" name="DATE" dataDxfId="3556" totalsRowDxfId="3555">
      <calculatedColumnFormula>$G$3</calculatedColumnFormula>
    </tableColumn>
  </tableColumns>
  <tableStyleInfo showFirstColumn="0" showLastColumn="0" showRowStripes="1" showColumnStripes="0"/>
</table>
</file>

<file path=xl/tables/table5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0" xr:uid="{4A5C86D6-4953-45CA-AABE-2A0386727FD6}" name="March24_202220" displayName="March24_202220" ref="B5:H23" totalsRowCount="1" headerRowDxfId="3554" headerRowBorderDxfId="3553" tableBorderDxfId="3552" totalsRowBorderDxfId="3551">
  <autoFilter ref="B5:H22" xr:uid="{BED02D39-8300-486A-8E07-E19B6F095EF6}"/>
  <sortState xmlns:xlrd2="http://schemas.microsoft.com/office/spreadsheetml/2017/richdata2" ref="B6:H22">
    <sortCondition ref="B6:B22"/>
  </sortState>
  <tableColumns count="7">
    <tableColumn id="1" xr3:uid="{42D4964F-D718-4A8C-9AD3-C3AB6AB54957}" name="BDC LIST" totalsRowLabel="Total" dataDxfId="3550" totalsRowDxfId="3549"/>
    <tableColumn id="2" xr3:uid="{94BBF9AD-BB9B-4F3C-AB1A-C2A8ABF9B7D3}" name="KSI_AGO" totalsRowFunction="custom" dataDxfId="3548" totalsRowDxfId="3547" dataCellStyle="Comma">
      <totalsRowFormula>SUM(March24_202220[KSI_AGO])</totalsRowFormula>
    </tableColumn>
    <tableColumn id="3" xr3:uid="{B198A760-1101-4937-AB2E-A4AF8267FF38}" name="KSI_PMS" totalsRowFunction="sum" dataDxfId="3546" totalsRowDxfId="3545" dataCellStyle="Comma"/>
    <tableColumn id="4" xr3:uid="{CC8B5458-7F25-47D5-885C-BAF61D8CF6AA}" name="BUIPE_AGO" totalsRowFunction="custom" dataDxfId="3544" totalsRowDxfId="3543" dataCellStyle="Comma">
      <totalsRowFormula>SUM(March24_202220[BUIPE_AGO])</totalsRowFormula>
    </tableColumn>
    <tableColumn id="5" xr3:uid="{4CC3E929-4C01-4310-9071-F54B834BAB33}" name="BUIPE_PMS" totalsRowFunction="custom" dataDxfId="3542" totalsRowDxfId="3541" dataCellStyle="Comma">
      <totalsRowFormula>SUM(March24_202220[BUIPE_PMS])</totalsRowFormula>
    </tableColumn>
    <tableColumn id="6" xr3:uid="{458817D7-5C3D-439C-84DC-1067E1772FF1}" name="AKOSOMBO_AGO" totalsRowFunction="custom" dataDxfId="3540" totalsRowDxfId="3539" dataCellStyle="Comma">
      <totalsRowFormula>SUM(March24_202220[AKOSOMBO_AGO])</totalsRowFormula>
    </tableColumn>
    <tableColumn id="7" xr3:uid="{C228D20C-700E-4A17-A517-77AAB0CC67F1}" name="DATE" dataDxfId="3538" totalsRowDxfId="3537">
      <calculatedColumnFormula>$G$3</calculatedColumnFormula>
    </tableColumn>
  </tableColumns>
  <tableStyleInfo showFirstColumn="0" showLastColumn="0" showRowStripes="1" showColumnStripes="0"/>
</table>
</file>

<file path=xl/tables/table5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1" xr:uid="{DD51FED8-B945-4ED1-96E9-CAF907CF4DF6}" name="March28_2022" displayName="March28_2022" ref="B5:H23" totalsRowCount="1" headerRowDxfId="3536" headerRowBorderDxfId="3535" tableBorderDxfId="3534" totalsRowBorderDxfId="3533">
  <autoFilter ref="B5:H22" xr:uid="{BED02D39-8300-486A-8E07-E19B6F095EF6}"/>
  <sortState xmlns:xlrd2="http://schemas.microsoft.com/office/spreadsheetml/2017/richdata2" ref="B6:H22">
    <sortCondition ref="B6:B22"/>
  </sortState>
  <tableColumns count="7">
    <tableColumn id="1" xr3:uid="{8E9D2435-D8F3-4763-A3C0-FE50CC2E2AE3}" name="BDC LIST" totalsRowLabel="Total" dataDxfId="3532" totalsRowDxfId="3531"/>
    <tableColumn id="2" xr3:uid="{2A30EE88-129F-4508-854A-41A855F08609}" name="KSI_AGO" totalsRowFunction="custom" dataDxfId="3530" totalsRowDxfId="3529" dataCellStyle="Comma">
      <totalsRowFormula>SUM(March28_2022[KSI_AGO])</totalsRowFormula>
    </tableColumn>
    <tableColumn id="3" xr3:uid="{4E430D6D-F634-4626-B616-4AA502246196}" name="KSI_PMS" totalsRowFunction="sum" dataDxfId="3528" totalsRowDxfId="3527" dataCellStyle="Comma"/>
    <tableColumn id="4" xr3:uid="{AABAECFA-DC82-42D9-B804-802AEB4C5A08}" name="BUIPE_AGO" totalsRowFunction="custom" dataDxfId="3526" totalsRowDxfId="3525" dataCellStyle="Comma">
      <totalsRowFormula>SUM(March28_2022[BUIPE_AGO])</totalsRowFormula>
    </tableColumn>
    <tableColumn id="5" xr3:uid="{0562A2FE-98AD-480C-8894-2F8F456396CD}" name="BUIPE_PMS" totalsRowFunction="custom" dataDxfId="3524" totalsRowDxfId="3523" dataCellStyle="Comma">
      <totalsRowFormula>SUM(March28_2022[BUIPE_PMS])</totalsRowFormula>
    </tableColumn>
    <tableColumn id="6" xr3:uid="{A7E5619B-BF63-481C-B1A4-E39D60EF468B}" name="AKOSOMBO_AGO" totalsRowFunction="custom" dataDxfId="3522" totalsRowDxfId="3521" dataCellStyle="Comma">
      <totalsRowFormula>SUM(March28_2022[AKOSOMBO_AGO])</totalsRowFormula>
    </tableColumn>
    <tableColumn id="7" xr3:uid="{B4220CBF-33DA-4E2E-98B2-3A497FA288C7}" name="DATE" dataDxfId="3520" totalsRowDxfId="3519">
      <calculatedColumnFormula>$G$3</calculatedColumnFormula>
    </tableColumn>
  </tableColumns>
  <tableStyleInfo showFirstColumn="0" showLastColumn="0" showRowStripes="1" showColumnStripes="0"/>
</table>
</file>

<file path=xl/tables/table5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2" xr:uid="{E2A87D91-44D5-4635-8816-2EE9E0054F2F}" name="March29_2022" displayName="March29_2022" ref="B5:H23" totalsRowCount="1" headerRowDxfId="3518" headerRowBorderDxfId="3517" tableBorderDxfId="3516" totalsRowBorderDxfId="3515">
  <autoFilter ref="B5:H22" xr:uid="{BED02D39-8300-486A-8E07-E19B6F095EF6}"/>
  <sortState xmlns:xlrd2="http://schemas.microsoft.com/office/spreadsheetml/2017/richdata2" ref="B6:H22">
    <sortCondition ref="B6:B22"/>
  </sortState>
  <tableColumns count="7">
    <tableColumn id="1" xr3:uid="{5712A402-1698-4FFA-B1D2-AA363184B3E0}" name="BDC LIST" totalsRowLabel="Total" dataDxfId="3514" totalsRowDxfId="3513"/>
    <tableColumn id="2" xr3:uid="{134262F9-F911-4677-B40B-3BDD965973A8}" name="KSI_AGO" totalsRowFunction="custom" dataDxfId="3512" totalsRowDxfId="3511" dataCellStyle="Comma">
      <totalsRowFormula>SUM(March29_2022[KSI_AGO])</totalsRowFormula>
    </tableColumn>
    <tableColumn id="3" xr3:uid="{5BD21254-67AD-4143-B4CC-46118BE54738}" name="KSI_PMS" totalsRowFunction="sum" dataDxfId="3510" totalsRowDxfId="3509" dataCellStyle="Comma"/>
    <tableColumn id="4" xr3:uid="{CD9A41E4-1362-414F-8DCF-1FA87BA544BA}" name="BUIPE_AGO" totalsRowFunction="custom" dataDxfId="3508" totalsRowDxfId="3507" dataCellStyle="Comma">
      <totalsRowFormula>SUM(March29_2022[BUIPE_AGO])</totalsRowFormula>
    </tableColumn>
    <tableColumn id="5" xr3:uid="{63F6BD1A-EEAB-435C-9180-1EAA0A29F3D6}" name="BUIPE_PMS" totalsRowFunction="custom" dataDxfId="3506" totalsRowDxfId="3505" dataCellStyle="Comma">
      <totalsRowFormula>SUM(March29_2022[BUIPE_PMS])</totalsRowFormula>
    </tableColumn>
    <tableColumn id="6" xr3:uid="{2FD8220A-077C-41C1-BE29-2E9D538D0421}" name="AKOSOMBO_AGO" totalsRowFunction="custom" dataDxfId="3504" totalsRowDxfId="3503" dataCellStyle="Comma">
      <totalsRowFormula>SUM(March29_2022[AKOSOMBO_AGO])</totalsRowFormula>
    </tableColumn>
    <tableColumn id="7" xr3:uid="{74D901D4-04A6-4E12-982E-AD60F6F52311}" name="DATE" dataDxfId="3502" totalsRowDxfId="3501">
      <calculatedColumnFormula>$G$3</calculatedColumnFormula>
    </tableColumn>
  </tableColumns>
  <tableStyleInfo showFirstColumn="0" showLastColumn="0" showRowStripes="1" showColumnStripes="0"/>
</table>
</file>

<file path=xl/tables/table5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3" xr:uid="{D1CF9DF5-333A-4AD3-91E1-240CA4D7CA79}" name="March30_2022" displayName="March30_2022" ref="B5:H23" totalsRowCount="1" headerRowDxfId="3500" headerRowBorderDxfId="3499" tableBorderDxfId="3498" totalsRowBorderDxfId="3497">
  <autoFilter ref="B5:H22" xr:uid="{BED02D39-8300-486A-8E07-E19B6F095EF6}"/>
  <sortState xmlns:xlrd2="http://schemas.microsoft.com/office/spreadsheetml/2017/richdata2" ref="B6:H22">
    <sortCondition ref="B6:B22"/>
  </sortState>
  <tableColumns count="7">
    <tableColumn id="1" xr3:uid="{44806CFF-0DD9-459D-BF63-029933D5748B}" name="BDC LIST" totalsRowLabel="Total" dataDxfId="3496" totalsRowDxfId="3495"/>
    <tableColumn id="2" xr3:uid="{56E52CC2-3552-4096-A16F-BD6D71D89F75}" name="KSI_AGO" totalsRowFunction="custom" dataDxfId="3494" totalsRowDxfId="3493" dataCellStyle="Comma">
      <totalsRowFormula>SUM(March30_2022[KSI_AGO])</totalsRowFormula>
    </tableColumn>
    <tableColumn id="3" xr3:uid="{C731FF8E-7D18-4AF6-9D13-8976B52F8B42}" name="KSI_PMS" totalsRowFunction="sum" dataDxfId="3492" totalsRowDxfId="3491" dataCellStyle="Comma"/>
    <tableColumn id="4" xr3:uid="{3C65FCC6-7884-4DF1-B7A3-A4982359995F}" name="BUIPE_AGO" totalsRowFunction="custom" dataDxfId="3490" totalsRowDxfId="3489" dataCellStyle="Comma">
      <totalsRowFormula>SUM(March30_2022[BUIPE_AGO])</totalsRowFormula>
    </tableColumn>
    <tableColumn id="5" xr3:uid="{0FA3F9E1-ABFF-42E4-AF65-9CA4B52B52EA}" name="BUIPE_PMS" totalsRowFunction="custom" dataDxfId="3488" totalsRowDxfId="3487" dataCellStyle="Comma">
      <totalsRowFormula>SUM(March30_2022[BUIPE_PMS])</totalsRowFormula>
    </tableColumn>
    <tableColumn id="6" xr3:uid="{390C4573-9202-4BD9-8218-895E2273BD75}" name="AKOSOMBO_AGO" totalsRowFunction="custom" dataDxfId="3486" totalsRowDxfId="3485" dataCellStyle="Comma">
      <totalsRowFormula>SUM(March30_2022[AKOSOMBO_AGO])</totalsRowFormula>
    </tableColumn>
    <tableColumn id="7" xr3:uid="{9081D578-A912-4592-8814-4CF58056797F}" name="DATE" dataDxfId="3484" totalsRowDxfId="3483">
      <calculatedColumnFormula>$G$3</calculatedColumnFormula>
    </tableColumn>
  </tableColumns>
  <tableStyleInfo showFirstColumn="0" showLastColumn="0" showRowStripes="1" showColumnStripes="0"/>
</table>
</file>

<file path=xl/tables/table5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4" xr:uid="{3D50D6B0-FEB8-4057-87E0-C9C9C26D608D}" name="March31_2022" displayName="March31_2022" ref="B5:H23" totalsRowCount="1" headerRowDxfId="3482" headerRowBorderDxfId="3481" tableBorderDxfId="3480" totalsRowBorderDxfId="3479">
  <autoFilter ref="B5:H22" xr:uid="{BED02D39-8300-486A-8E07-E19B6F095EF6}"/>
  <sortState xmlns:xlrd2="http://schemas.microsoft.com/office/spreadsheetml/2017/richdata2" ref="B6:H22">
    <sortCondition ref="B6:B22"/>
  </sortState>
  <tableColumns count="7">
    <tableColumn id="1" xr3:uid="{F81D0821-9EE2-4443-B78A-C38961E0F423}" name="BDC LIST" totalsRowLabel="Total" dataDxfId="3478" totalsRowDxfId="3477"/>
    <tableColumn id="2" xr3:uid="{A568B385-C298-43F5-A5A9-365AE845052A}" name="KSI_AGO" totalsRowFunction="custom" dataDxfId="3476" totalsRowDxfId="3475" dataCellStyle="Comma">
      <totalsRowFormula>SUM(March31_2022[KSI_AGO])</totalsRowFormula>
    </tableColumn>
    <tableColumn id="3" xr3:uid="{E78F535E-46DF-4323-86AD-3321AE74A726}" name="KSI_PMS" totalsRowFunction="sum" dataDxfId="3474" totalsRowDxfId="3473" dataCellStyle="Comma"/>
    <tableColumn id="4" xr3:uid="{06A0FB63-F062-4D19-AAC4-A561E719E3A6}" name="BUIPE_AGO" totalsRowFunction="custom" dataDxfId="3472" totalsRowDxfId="3471" dataCellStyle="Comma">
      <totalsRowFormula>SUM(March31_2022[BUIPE_AGO])</totalsRowFormula>
    </tableColumn>
    <tableColumn id="5" xr3:uid="{78E23C66-C1F6-4676-95D5-0C5AED61DEDD}" name="BUIPE_PMS" totalsRowFunction="custom" dataDxfId="3470" totalsRowDxfId="3469" dataCellStyle="Comma">
      <totalsRowFormula>SUM(March31_2022[BUIPE_PMS])</totalsRowFormula>
    </tableColumn>
    <tableColumn id="6" xr3:uid="{D93212BB-DD56-497D-8824-091C161C7EB5}" name="AKOSOMBO_AGO" totalsRowFunction="custom" dataDxfId="3468" totalsRowDxfId="3467" dataCellStyle="Comma">
      <totalsRowFormula>SUM(March31_2022[AKOSOMBO_AGO])</totalsRowFormula>
    </tableColumn>
    <tableColumn id="7" xr3:uid="{B92026D8-48CC-4571-99E4-41EE4F4FB266}" name="DATE" dataDxfId="3466" totalsRowDxfId="3465">
      <calculatedColumnFormula>$G$3</calculatedColumnFormula>
    </tableColumn>
  </tableColumns>
  <tableStyleInfo showFirstColumn="0" showLastColumn="0" showRowStripes="1" showColumnStripes="0"/>
</table>
</file>

<file path=xl/tables/table5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5" xr:uid="{0C9341D1-DF42-4DA2-B39A-728D0F1BC1D0}" name="April04_2022" displayName="April04_2022" ref="B5:H23" totalsRowCount="1" headerRowDxfId="3464" headerRowBorderDxfId="3463" tableBorderDxfId="3462" totalsRowBorderDxfId="3461">
  <autoFilter ref="B5:H22" xr:uid="{BED02D39-8300-486A-8E07-E19B6F095EF6}"/>
  <sortState xmlns:xlrd2="http://schemas.microsoft.com/office/spreadsheetml/2017/richdata2" ref="B6:H22">
    <sortCondition ref="B6:B22"/>
  </sortState>
  <tableColumns count="7">
    <tableColumn id="1" xr3:uid="{C7B98423-981B-4BE5-90B3-61D5D54B08D0}" name="BDC LIST" totalsRowLabel="Total" dataDxfId="3460" totalsRowDxfId="3459"/>
    <tableColumn id="2" xr3:uid="{82EA9D44-9760-49F0-A553-074105EBE7DE}" name="KSI_AGO" totalsRowFunction="custom" dataDxfId="3458" totalsRowDxfId="3457" dataCellStyle="Comma">
      <totalsRowFormula>SUM(April04_2022[KSI_AGO])</totalsRowFormula>
    </tableColumn>
    <tableColumn id="3" xr3:uid="{932FE3FD-0783-4F93-9979-8097A9C69322}" name="KSI_PMS" totalsRowFunction="sum" dataDxfId="3456" totalsRowDxfId="3455" dataCellStyle="Comma"/>
    <tableColumn id="4" xr3:uid="{30C56B91-025B-47BC-8259-960E3F45E91F}" name="BUIPE_AGO" totalsRowFunction="custom" dataDxfId="3454" totalsRowDxfId="3453" dataCellStyle="Comma">
      <totalsRowFormula>SUM(April04_2022[BUIPE_AGO])</totalsRowFormula>
    </tableColumn>
    <tableColumn id="5" xr3:uid="{379FAE31-169A-4271-A5C5-1958487D3497}" name="BUIPE_PMS" totalsRowFunction="custom" dataDxfId="3452" totalsRowDxfId="3451" dataCellStyle="Comma">
      <totalsRowFormula>SUM(April04_2022[BUIPE_PMS])</totalsRowFormula>
    </tableColumn>
    <tableColumn id="6" xr3:uid="{025CE266-DF38-414E-89D4-660F00516F02}" name="AKOSOMBO_AGO" totalsRowFunction="custom" dataDxfId="3450" totalsRowDxfId="3449" dataCellStyle="Comma">
      <totalsRowFormula>SUM(April04_2022[AKOSOMBO_AGO])</totalsRowFormula>
    </tableColumn>
    <tableColumn id="7" xr3:uid="{20D12D53-59DE-4555-BEC4-8227F74A8534}" name="DATE" dataDxfId="3448" totalsRowDxfId="3447">
      <calculatedColumnFormula>$G$3</calculatedColumnFormula>
    </tableColumn>
  </tableColumns>
  <tableStyleInfo showFirstColumn="0" showLastColumn="0" showRowStripes="1" showColumnStripes="0"/>
</table>
</file>

<file path=xl/tables/table5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6" xr:uid="{88C7BDA0-EAC1-420B-841A-0F030048D899}" name="April05_2022" displayName="April05_2022" ref="B5:H23" totalsRowCount="1" headerRowDxfId="3446" headerRowBorderDxfId="3445" tableBorderDxfId="3444" totalsRowBorderDxfId="3443">
  <autoFilter ref="B5:H22" xr:uid="{BED02D39-8300-486A-8E07-E19B6F095EF6}"/>
  <sortState xmlns:xlrd2="http://schemas.microsoft.com/office/spreadsheetml/2017/richdata2" ref="B6:H22">
    <sortCondition ref="B6:B22"/>
  </sortState>
  <tableColumns count="7">
    <tableColumn id="1" xr3:uid="{06E9A652-3E9F-44F7-997F-A05DF8F022F3}" name="BDC LIST" totalsRowLabel="Total" dataDxfId="3442" totalsRowDxfId="3441"/>
    <tableColumn id="2" xr3:uid="{FF757A29-F3F4-40AC-8BDC-3848D71B8831}" name="KSI_AGO" totalsRowFunction="custom" dataDxfId="3440" totalsRowDxfId="3439" dataCellStyle="Comma">
      <totalsRowFormula>SUM(April05_2022[KSI_AGO])</totalsRowFormula>
    </tableColumn>
    <tableColumn id="3" xr3:uid="{CCCEFC65-070D-4269-B70B-D2193F72D0D9}" name="KSI_PMS" totalsRowFunction="sum" dataDxfId="3438" totalsRowDxfId="3437" dataCellStyle="Comma"/>
    <tableColumn id="4" xr3:uid="{ABD3B6FA-392C-4DB1-ACEA-8C9FF10B3CF1}" name="BUIPE_AGO" totalsRowFunction="custom" dataDxfId="3436" totalsRowDxfId="3435" dataCellStyle="Comma">
      <totalsRowFormula>SUM(April05_2022[BUIPE_AGO])</totalsRowFormula>
    </tableColumn>
    <tableColumn id="5" xr3:uid="{85FF8366-97DA-4ACE-B436-D5FDC83FB6C3}" name="BUIPE_PMS" totalsRowFunction="custom" dataDxfId="3434" totalsRowDxfId="3433" dataCellStyle="Comma">
      <totalsRowFormula>SUM(April05_2022[BUIPE_PMS])</totalsRowFormula>
    </tableColumn>
    <tableColumn id="6" xr3:uid="{AA79D297-3CF2-4045-975E-118CB1AB4F7A}" name="AKOSOMBO_AGO" totalsRowFunction="custom" dataDxfId="3432" totalsRowDxfId="3431" dataCellStyle="Comma">
      <totalsRowFormula>SUM(April05_2022[AKOSOMBO_AGO])</totalsRowFormula>
    </tableColumn>
    <tableColumn id="7" xr3:uid="{00E74186-55FD-47E0-A6B6-DE28E60B62B2}" name="DATE" dataDxfId="3430" totalsRowDxfId="3429">
      <calculatedColumnFormula>$G$3</calculatedColumnFormula>
    </tableColumn>
  </tableColumns>
  <tableStyleInfo showFirstColumn="0" showLastColumn="0" showRowStripes="1" showColumnStripes="0"/>
</table>
</file>

<file path=xl/tables/table5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7" xr:uid="{BF716285-63D8-4824-A376-E60893DB6672}" name="April06_2022" displayName="April06_2022" ref="B5:H23" totalsRowCount="1" headerRowDxfId="3428" headerRowBorderDxfId="3427" tableBorderDxfId="3426" totalsRowBorderDxfId="3425">
  <autoFilter ref="B5:H22" xr:uid="{BED02D39-8300-486A-8E07-E19B6F095EF6}"/>
  <sortState xmlns:xlrd2="http://schemas.microsoft.com/office/spreadsheetml/2017/richdata2" ref="B6:H22">
    <sortCondition ref="B6:B22"/>
  </sortState>
  <tableColumns count="7">
    <tableColumn id="1" xr3:uid="{36AF5886-94AF-449E-8DDF-82A1F9C3D627}" name="BDC LIST" totalsRowLabel="Total" dataDxfId="3424" totalsRowDxfId="3423"/>
    <tableColumn id="2" xr3:uid="{5ADCCEEA-1A77-4BB4-A2BE-C41A56D20655}" name="KSI_AGO" totalsRowFunction="custom" dataDxfId="3422" totalsRowDxfId="3421" dataCellStyle="Comma">
      <totalsRowFormula>SUM(April06_2022[KSI_AGO])</totalsRowFormula>
    </tableColumn>
    <tableColumn id="3" xr3:uid="{370AD84B-0BC2-416E-8A7D-C94149561814}" name="KSI_PMS" totalsRowFunction="sum" dataDxfId="3420" totalsRowDxfId="3419" dataCellStyle="Comma"/>
    <tableColumn id="4" xr3:uid="{BC65C806-21D2-41E0-9A53-7E33EFF509F7}" name="BUIPE_AGO" totalsRowFunction="custom" dataDxfId="3418" totalsRowDxfId="3417" dataCellStyle="Comma">
      <totalsRowFormula>SUM(April06_2022[BUIPE_AGO])</totalsRowFormula>
    </tableColumn>
    <tableColumn id="5" xr3:uid="{CFE66F5D-1C4C-4150-851E-2123E872D9E1}" name="BUIPE_PMS" totalsRowFunction="custom" dataDxfId="3416" totalsRowDxfId="3415" dataCellStyle="Comma">
      <totalsRowFormula>SUM(April06_2022[BUIPE_PMS])</totalsRowFormula>
    </tableColumn>
    <tableColumn id="6" xr3:uid="{CA1A663B-1C6F-4927-8BF6-2F96134E0721}" name="AKOSOMBO_AGO" totalsRowFunction="custom" dataDxfId="3414" totalsRowDxfId="3413" dataCellStyle="Comma">
      <totalsRowFormula>SUM(April06_2022[AKOSOMBO_AGO])</totalsRowFormula>
    </tableColumn>
    <tableColumn id="7" xr3:uid="{ADF52A35-94DB-4464-BC4B-97759C206FD0}" name="DATE" dataDxfId="3412" totalsRowDxfId="3411">
      <calculatedColumnFormula>$G$3</calculatedColumnFormula>
    </tableColumn>
  </tableColumns>
  <tableStyleInfo showFirstColumn="0" showLastColumn="0" showRowStripes="1" showColumnStripes="0"/>
</table>
</file>

<file path=xl/tables/table5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8" xr:uid="{095EF219-4D76-4353-B917-19B69D3906E3}" name="April07_2022" displayName="April07_2022" ref="B5:H23" totalsRowCount="1" headerRowDxfId="3410" headerRowBorderDxfId="3409" tableBorderDxfId="3408" totalsRowBorderDxfId="3407">
  <autoFilter ref="B5:H22" xr:uid="{BED02D39-8300-486A-8E07-E19B6F095EF6}"/>
  <sortState xmlns:xlrd2="http://schemas.microsoft.com/office/spreadsheetml/2017/richdata2" ref="B6:H22">
    <sortCondition ref="B6:B22"/>
  </sortState>
  <tableColumns count="7">
    <tableColumn id="1" xr3:uid="{C9C2BBB8-7782-492A-931D-AAFEBF828CF4}" name="BDC LIST" totalsRowLabel="Total" dataDxfId="3406" totalsRowDxfId="3405"/>
    <tableColumn id="2" xr3:uid="{8DACDB31-7182-4FA4-89F9-19F2E9AA5F41}" name="KSI_AGO" totalsRowFunction="custom" dataDxfId="3404" totalsRowDxfId="3403" dataCellStyle="Comma">
      <totalsRowFormula>SUM(April07_2022[KSI_AGO])</totalsRowFormula>
    </tableColumn>
    <tableColumn id="3" xr3:uid="{F443B158-5D7B-4E14-A430-6759085FD3A7}" name="KSI_PMS" totalsRowFunction="sum" dataDxfId="3402" totalsRowDxfId="3401" dataCellStyle="Comma"/>
    <tableColumn id="4" xr3:uid="{A8BAD3E8-EC35-4326-B5C7-A3D4F26A5D88}" name="BUIPE_AGO" totalsRowFunction="custom" dataDxfId="3400" totalsRowDxfId="3399" dataCellStyle="Comma">
      <totalsRowFormula>SUM(April07_2022[BUIPE_AGO])</totalsRowFormula>
    </tableColumn>
    <tableColumn id="5" xr3:uid="{33A2EF3F-83D5-4968-8CFC-A7A5CB1DC860}" name="BUIPE_PMS" totalsRowFunction="custom" dataDxfId="3398" totalsRowDxfId="3397" dataCellStyle="Comma">
      <totalsRowFormula>SUM(April07_2022[BUIPE_PMS])</totalsRowFormula>
    </tableColumn>
    <tableColumn id="6" xr3:uid="{84A1D02D-E09D-4AE0-8BDD-1857647920D9}" name="AKOSOMBO_AGO" totalsRowFunction="custom" dataDxfId="3396" totalsRowDxfId="3395" dataCellStyle="Comma">
      <totalsRowFormula>SUM(April07_2022[AKOSOMBO_AGO])</totalsRowFormula>
    </tableColumn>
    <tableColumn id="7" xr3:uid="{7C1783DA-55AF-42B1-B4CD-925D1A57656E}" name="DATE" dataDxfId="3394" totalsRowDxfId="3393">
      <calculatedColumnFormula>$G$3</calculatedColumnFormula>
    </tableColumn>
  </tableColumns>
  <tableStyleInfo showFirstColumn="0" showLastColumn="0" showRowStripes="1" showColumnStripes="0"/>
</table>
</file>

<file path=xl/tables/table5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9" xr:uid="{78AB649F-DB30-4B91-B966-DEBA5CA5EB83}" name="April08_2022" displayName="April08_2022" ref="B5:H23" totalsRowCount="1" headerRowDxfId="3392" headerRowBorderDxfId="3391" tableBorderDxfId="3390" totalsRowBorderDxfId="3389">
  <autoFilter ref="B5:H22" xr:uid="{BED02D39-8300-486A-8E07-E19B6F095EF6}"/>
  <sortState xmlns:xlrd2="http://schemas.microsoft.com/office/spreadsheetml/2017/richdata2" ref="B6:H22">
    <sortCondition ref="B6:B22"/>
  </sortState>
  <tableColumns count="7">
    <tableColumn id="1" xr3:uid="{056B9BEB-7714-4126-83CE-2FB5EAD143A1}" name="BDC LIST" totalsRowLabel="Total" dataDxfId="3388" totalsRowDxfId="3387"/>
    <tableColumn id="2" xr3:uid="{B6E8A410-81AE-45D2-9EAE-9F73CC2446E0}" name="KSI_AGO" totalsRowFunction="custom" dataDxfId="3386" totalsRowDxfId="3385" dataCellStyle="Comma">
      <totalsRowFormula>SUM(April08_2022[KSI_AGO])</totalsRowFormula>
    </tableColumn>
    <tableColumn id="3" xr3:uid="{9AB13563-AB7C-4EE2-BEE1-A69BA03E110D}" name="KSI_PMS" totalsRowFunction="sum" dataDxfId="3384" totalsRowDxfId="3383" dataCellStyle="Comma"/>
    <tableColumn id="4" xr3:uid="{24548656-DA2C-4086-99D5-38DAC3D248C7}" name="BUIPE_AGO" totalsRowFunction="custom" dataDxfId="3382" totalsRowDxfId="3381" dataCellStyle="Comma">
      <totalsRowFormula>SUM(April08_2022[BUIPE_AGO])</totalsRowFormula>
    </tableColumn>
    <tableColumn id="5" xr3:uid="{E1CD4CB4-B45E-40DF-8C77-E65A6285A02F}" name="BUIPE_PMS" totalsRowFunction="custom" dataDxfId="3380" totalsRowDxfId="3379" dataCellStyle="Comma">
      <totalsRowFormula>SUM(April08_2022[BUIPE_PMS])</totalsRowFormula>
    </tableColumn>
    <tableColumn id="6" xr3:uid="{BA7A8665-6C6D-4B48-8EF9-FB608D1D37BB}" name="AKOSOMBO_AGO" totalsRowFunction="custom" dataDxfId="3378" totalsRowDxfId="3377" dataCellStyle="Comma">
      <totalsRowFormula>SUM(April08_2022[AKOSOMBO_AGO])</totalsRowFormula>
    </tableColumn>
    <tableColumn id="7" xr3:uid="{DC7BF253-A8D6-41D8-9B5E-73F476C0897A}" name="DATE" dataDxfId="3376" totalsRowDxfId="3375">
      <calculatedColumnFormula>$G$3</calculatedColumnFormula>
    </tableColumn>
  </tableColumns>
  <tableStyleInfo showFirstColumn="0" showLastColumn="0" showRowStripes="1" showColumnStripes="0"/>
</table>
</file>

<file path=xl/tables/table5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0" xr:uid="{51042B6F-A692-4D19-B2DB-EF06AEF6BC70}" name="April11_2022" displayName="April11_2022" ref="B5:H23" totalsRowCount="1" headerRowDxfId="3374" headerRowBorderDxfId="3373" tableBorderDxfId="3372" totalsRowBorderDxfId="3371">
  <autoFilter ref="B5:H22" xr:uid="{BED02D39-8300-486A-8E07-E19B6F095EF6}"/>
  <sortState xmlns:xlrd2="http://schemas.microsoft.com/office/spreadsheetml/2017/richdata2" ref="B6:H22">
    <sortCondition ref="B6:B22"/>
  </sortState>
  <tableColumns count="7">
    <tableColumn id="1" xr3:uid="{FCE6629A-3DA7-4DC7-8706-9E42BB81B251}" name="BDC LIST" totalsRowLabel="Total" dataDxfId="3370" totalsRowDxfId="3369"/>
    <tableColumn id="2" xr3:uid="{8BB4D5C9-1C87-4445-B35F-3A9D7523219B}" name="KSI_AGO" totalsRowFunction="custom" dataDxfId="3368" totalsRowDxfId="3367" dataCellStyle="Comma">
      <totalsRowFormula>SUM(April11_2022[KSI_AGO])</totalsRowFormula>
    </tableColumn>
    <tableColumn id="3" xr3:uid="{B3D8C2EC-5EF5-42B9-9702-F3D93FD7FA5E}" name="KSI_PMS" totalsRowFunction="sum" dataDxfId="3366" totalsRowDxfId="3365" dataCellStyle="Comma"/>
    <tableColumn id="4" xr3:uid="{73C107DD-5D6B-49B9-9490-ED036299343F}" name="BUIPE_AGO" totalsRowFunction="custom" dataDxfId="3364" totalsRowDxfId="3363" dataCellStyle="Comma">
      <totalsRowFormula>SUM(April11_2022[BUIPE_AGO])</totalsRowFormula>
    </tableColumn>
    <tableColumn id="5" xr3:uid="{3BF57A7D-D3B8-4955-BED9-7252BC3D4F67}" name="BUIPE_PMS" totalsRowFunction="custom" dataDxfId="3362" totalsRowDxfId="3361" dataCellStyle="Comma">
      <totalsRowFormula>SUM(April11_2022[BUIPE_PMS])</totalsRowFormula>
    </tableColumn>
    <tableColumn id="6" xr3:uid="{A4A2A02A-E528-4DAD-A91C-4BCC49C50B70}" name="AKOSOMBO_AGO" totalsRowFunction="custom" dataDxfId="3360" totalsRowDxfId="3359" dataCellStyle="Comma">
      <totalsRowFormula>SUM(April11_2022[AKOSOMBO_AGO])</totalsRowFormula>
    </tableColumn>
    <tableColumn id="7" xr3:uid="{1B509A3A-1200-4816-896E-2D4FAD82FA65}" name="DATE" dataDxfId="3358" totalsRowDxfId="3357">
      <calculatedColumnFormula>$G$3</calculatedColumnFormula>
    </tableColumn>
  </tableColumns>
  <tableStyleInfo showFirstColumn="0" showLastColumn="0" showRowStripes="1" showColumnStripes="0"/>
</table>
</file>

<file path=xl/tables/table5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1" xr:uid="{99B2BD98-8C4C-4D35-B928-E376A2A935C1}" name="April12_2022" displayName="April12_2022" ref="B5:H23" totalsRowCount="1" headerRowDxfId="3356" headerRowBorderDxfId="3355" tableBorderDxfId="3354" totalsRowBorderDxfId="3353">
  <autoFilter ref="B5:H22" xr:uid="{9E303E2E-6027-49B6-9101-8DC7C15B029F}"/>
  <sortState xmlns:xlrd2="http://schemas.microsoft.com/office/spreadsheetml/2017/richdata2" ref="B6:H22">
    <sortCondition ref="B6:B22"/>
  </sortState>
  <tableColumns count="7">
    <tableColumn id="1" xr3:uid="{C8E0B537-B3BA-4093-8A56-63C0B36FB9A4}" name="BDC LIST" totalsRowLabel="Total" dataDxfId="3352" totalsRowDxfId="3351"/>
    <tableColumn id="2" xr3:uid="{2278F264-92B9-4F50-9B0A-9FF5C72442BB}" name="KSI_AGO" totalsRowFunction="custom" dataDxfId="3350" totalsRowDxfId="3349" dataCellStyle="Comma">
      <totalsRowFormula>SUM(April12_2022[KSI_AGO])</totalsRowFormula>
    </tableColumn>
    <tableColumn id="3" xr3:uid="{480F4972-22E8-4AC9-AD07-95A1E4F701FA}" name="KSI_PMS" totalsRowFunction="sum" dataDxfId="3348" totalsRowDxfId="3347" dataCellStyle="Comma"/>
    <tableColumn id="4" xr3:uid="{FCBDA42B-FAE7-4F79-8851-CFC79F2A9C57}" name="BUIPE_AGO" totalsRowFunction="custom" dataDxfId="3346" totalsRowDxfId="3345" dataCellStyle="Comma">
      <totalsRowFormula>SUM(April12_2022[BUIPE_AGO])</totalsRowFormula>
    </tableColumn>
    <tableColumn id="5" xr3:uid="{86945500-AFFF-46F2-9A7D-D49000432999}" name="BUIPE_PMS" totalsRowFunction="custom" dataDxfId="3344" totalsRowDxfId="3343" dataCellStyle="Comma">
      <totalsRowFormula>SUM(April12_2022[BUIPE_PMS])</totalsRowFormula>
    </tableColumn>
    <tableColumn id="6" xr3:uid="{24EBC55D-14AE-40FB-8746-986D87AE13AC}" name="AKOSOMBO_AGO" totalsRowFunction="custom" dataDxfId="3342" totalsRowDxfId="3341" dataCellStyle="Comma">
      <totalsRowFormula>SUM(April12_2022[AKOSOMBO_AGO])</totalsRowFormula>
    </tableColumn>
    <tableColumn id="7" xr3:uid="{5F2CA076-908B-4A17-B474-C87250C847ED}" name="DATE" dataDxfId="3340" totalsRowDxfId="3339">
      <calculatedColumnFormula>$G$3</calculatedColumnFormula>
    </tableColumn>
  </tableColumns>
  <tableStyleInfo showFirstColumn="0" showLastColumn="0" showRowStripes="1" showColumnStripes="0"/>
</table>
</file>

<file path=xl/tables/table5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2" xr:uid="{3AB54EF9-C7A1-4AFC-9382-80B54E1B67E4}" name="April13_2022" displayName="April13_2022" ref="B5:H23" totalsRowCount="1" headerRowDxfId="3338" headerRowBorderDxfId="3337" tableBorderDxfId="3336" totalsRowBorderDxfId="3335">
  <autoFilter ref="B5:H22" xr:uid="{9E303E2E-6027-49B6-9101-8DC7C15B029F}"/>
  <sortState xmlns:xlrd2="http://schemas.microsoft.com/office/spreadsheetml/2017/richdata2" ref="B6:H22">
    <sortCondition ref="B6:B22"/>
  </sortState>
  <tableColumns count="7">
    <tableColumn id="1" xr3:uid="{D9009C61-7383-4C2C-89C4-742B985E772C}" name="BDC LIST" totalsRowLabel="Total" dataDxfId="3334" totalsRowDxfId="3333"/>
    <tableColumn id="2" xr3:uid="{4A347201-2587-43CF-8AB4-EBE8E1F71BF0}" name="KSI_AGO" totalsRowFunction="custom" dataDxfId="3332" totalsRowDxfId="3331" dataCellStyle="Comma">
      <totalsRowFormula>SUM(April13_2022[KSI_AGO])</totalsRowFormula>
    </tableColumn>
    <tableColumn id="3" xr3:uid="{AABE1643-7756-473A-BFCF-C2A600D445A4}" name="KSI_PMS" totalsRowFunction="sum" dataDxfId="3330" totalsRowDxfId="3329" dataCellStyle="Comma"/>
    <tableColumn id="4" xr3:uid="{1404222A-B134-4EEE-A2BA-CA1CCA0FE022}" name="BUIPE_AGO" totalsRowFunction="custom" dataDxfId="3328" totalsRowDxfId="3327" dataCellStyle="Comma">
      <totalsRowFormula>SUM(April13_2022[BUIPE_AGO])</totalsRowFormula>
    </tableColumn>
    <tableColumn id="5" xr3:uid="{813D6808-E5FF-4DCB-8397-44FFFA2480C9}" name="BUIPE_PMS" totalsRowFunction="custom" dataDxfId="3326" totalsRowDxfId="3325" dataCellStyle="Comma">
      <totalsRowFormula>SUM(April13_2022[BUIPE_PMS])</totalsRowFormula>
    </tableColumn>
    <tableColumn id="6" xr3:uid="{97BB3CE9-68D7-49ED-AB78-ABFAD9A610E1}" name="AKOSOMBO_AGO" totalsRowFunction="custom" dataDxfId="3324" totalsRowDxfId="3323" dataCellStyle="Comma">
      <totalsRowFormula>SUM(April13_2022[AKOSOMBO_AGO])</totalsRowFormula>
    </tableColumn>
    <tableColumn id="7" xr3:uid="{773A650F-BE98-4946-87F9-87D5C98F6F02}" name="DATE" dataDxfId="3322" totalsRowDxfId="3321">
      <calculatedColumnFormula>$G$3</calculatedColumnFormula>
    </tableColumn>
  </tableColumns>
  <tableStyleInfo showFirstColumn="0" showLastColumn="0" showRowStripes="1" showColumnStripes="0"/>
</table>
</file>

<file path=xl/tables/table5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3" xr:uid="{C494286A-D705-488F-831D-B4AF8B479F33}" name="April14_2022" displayName="April14_2022" ref="B5:H23" totalsRowCount="1" headerRowDxfId="3320" headerRowBorderDxfId="3319" tableBorderDxfId="3318" totalsRowBorderDxfId="3317">
  <autoFilter ref="B5:H22" xr:uid="{9E303E2E-6027-49B6-9101-8DC7C15B029F}"/>
  <sortState xmlns:xlrd2="http://schemas.microsoft.com/office/spreadsheetml/2017/richdata2" ref="B6:H22">
    <sortCondition ref="B6:B22"/>
  </sortState>
  <tableColumns count="7">
    <tableColumn id="1" xr3:uid="{2086AA49-0CE6-4259-9899-891A598F871F}" name="BDC LIST" totalsRowLabel="Total" dataDxfId="3316" totalsRowDxfId="3315"/>
    <tableColumn id="2" xr3:uid="{164BB04C-E2F7-4491-94CD-F5C7F2F6DC5A}" name="KSI_AGO" totalsRowFunction="custom" dataDxfId="3314" totalsRowDxfId="3313" dataCellStyle="Comma">
      <totalsRowFormula>SUM(April14_2022[KSI_AGO])</totalsRowFormula>
    </tableColumn>
    <tableColumn id="3" xr3:uid="{C6FEA33A-841C-457C-8EE8-D14D5A0F7FF8}" name="KSI_PMS" totalsRowFunction="sum" dataDxfId="3312" totalsRowDxfId="3311" dataCellStyle="Comma"/>
    <tableColumn id="4" xr3:uid="{017E7BD4-DA51-426F-881A-E92899B7995D}" name="BUIPE_AGO" totalsRowFunction="custom" dataDxfId="3310" totalsRowDxfId="3309" dataCellStyle="Comma">
      <totalsRowFormula>SUM(April14_2022[BUIPE_AGO])</totalsRowFormula>
    </tableColumn>
    <tableColumn id="5" xr3:uid="{0512B860-3F83-4E6D-A60D-16D134236E9D}" name="BUIPE_PMS" totalsRowFunction="custom" dataDxfId="3308" totalsRowDxfId="3307" dataCellStyle="Comma">
      <totalsRowFormula>SUM(April14_2022[BUIPE_PMS])</totalsRowFormula>
    </tableColumn>
    <tableColumn id="6" xr3:uid="{78486E82-90A5-4824-B613-1F102D4C7403}" name="AKOSOMBO_AGO" totalsRowFunction="custom" dataDxfId="3306" totalsRowDxfId="3305" dataCellStyle="Comma">
      <totalsRowFormula>SUM(April14_2022[AKOSOMBO_AGO])</totalsRowFormula>
    </tableColumn>
    <tableColumn id="7" xr3:uid="{D2E92E33-57F4-4739-A50E-376B52D19FC0}" name="DATE" dataDxfId="3304" totalsRowDxfId="3303">
      <calculatedColumnFormula>$G$3</calculatedColumnFormula>
    </tableColumn>
  </tableColumns>
  <tableStyleInfo showFirstColumn="0" showLastColumn="0" showRowStripes="1" showColumnStripes="0"/>
</table>
</file>

<file path=xl/tables/table5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4" xr:uid="{A7E767D6-2E4B-45B7-97D8-16E4F50A5A42}" name="April19_2022" displayName="April19_2022" ref="B5:H23" totalsRowCount="1" headerRowDxfId="3302" headerRowBorderDxfId="3301" tableBorderDxfId="3300" totalsRowBorderDxfId="3299">
  <autoFilter ref="B5:H22" xr:uid="{9E303E2E-6027-49B6-9101-8DC7C15B029F}"/>
  <sortState xmlns:xlrd2="http://schemas.microsoft.com/office/spreadsheetml/2017/richdata2" ref="B6:H22">
    <sortCondition ref="B6:B22"/>
  </sortState>
  <tableColumns count="7">
    <tableColumn id="1" xr3:uid="{C245B545-B744-4E34-B253-DFA231B9F921}" name="BDC LIST" totalsRowLabel="Total" dataDxfId="3298" totalsRowDxfId="3297"/>
    <tableColumn id="2" xr3:uid="{6F37C8E7-C52C-4A04-9E53-BB199A0A63B7}" name="KSI_AGO" totalsRowFunction="custom" dataDxfId="3296" totalsRowDxfId="3295" dataCellStyle="Comma">
      <totalsRowFormula>SUM(April19_2022[KSI_AGO])</totalsRowFormula>
    </tableColumn>
    <tableColumn id="3" xr3:uid="{C8E567D2-66F2-40A9-8A4C-F9EF33D40384}" name="KSI_PMS" totalsRowFunction="sum" dataDxfId="3294" totalsRowDxfId="3293" dataCellStyle="Comma"/>
    <tableColumn id="4" xr3:uid="{C704E422-3A3A-4649-922F-9C00876539E4}" name="BUIPE_AGO" totalsRowFunction="custom" dataDxfId="3292" totalsRowDxfId="3291" dataCellStyle="Comma">
      <totalsRowFormula>SUM(April19_2022[BUIPE_AGO])</totalsRowFormula>
    </tableColumn>
    <tableColumn id="5" xr3:uid="{FD4DD3E2-31CB-4772-B7A6-6F1A1F0FCEBC}" name="BUIPE_PMS" totalsRowFunction="custom" dataDxfId="3290" totalsRowDxfId="3289" dataCellStyle="Comma">
      <totalsRowFormula>SUM(April19_2022[BUIPE_PMS])</totalsRowFormula>
    </tableColumn>
    <tableColumn id="6" xr3:uid="{9A012235-B31C-4FD0-BAF7-A296C26DC985}" name="AKOSOMBO_AGO" totalsRowFunction="custom" dataDxfId="3288" totalsRowDxfId="3287" dataCellStyle="Comma">
      <totalsRowFormula>SUM(April19_2022[AKOSOMBO_AGO])</totalsRowFormula>
    </tableColumn>
    <tableColumn id="7" xr3:uid="{FC9AC600-D34D-4D97-88F7-BDD8A166C816}" name="DATE" dataDxfId="3286" totalsRowDxfId="3285">
      <calculatedColumnFormula>$G$3</calculatedColumnFormula>
    </tableColumn>
  </tableColumns>
  <tableStyleInfo showFirstColumn="0" showLastColumn="0" showRowStripes="1" showColumnStripes="0"/>
</table>
</file>

<file path=xl/tables/table5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5" xr:uid="{9ED00E5D-E7B5-4925-B574-D7FB664573A6}" name="April20_2022" displayName="April20_2022" ref="B5:H23" totalsRowCount="1" headerRowDxfId="3284" headerRowBorderDxfId="3283" tableBorderDxfId="3282" totalsRowBorderDxfId="3281">
  <autoFilter ref="B5:H22" xr:uid="{9E303E2E-6027-49B6-9101-8DC7C15B029F}"/>
  <sortState xmlns:xlrd2="http://schemas.microsoft.com/office/spreadsheetml/2017/richdata2" ref="B6:H22">
    <sortCondition ref="B6:B22"/>
  </sortState>
  <tableColumns count="7">
    <tableColumn id="1" xr3:uid="{B0D0182C-E866-4522-8486-0D61CE94F3A5}" name="BDC LIST" totalsRowLabel="Total" dataDxfId="3280" totalsRowDxfId="3279"/>
    <tableColumn id="2" xr3:uid="{F5192F97-3CA6-446D-AE0C-F0CEB746B3C5}" name="KSI_AGO" totalsRowFunction="custom" dataDxfId="3278" totalsRowDxfId="3277" dataCellStyle="Comma">
      <totalsRowFormula>SUM(April20_2022[KSI_AGO])</totalsRowFormula>
    </tableColumn>
    <tableColumn id="3" xr3:uid="{18A40256-1639-49C4-A25A-4B30BB7768D8}" name="KSI_PMS" totalsRowFunction="sum" dataDxfId="3276" totalsRowDxfId="3275" dataCellStyle="Comma"/>
    <tableColumn id="4" xr3:uid="{A96DE45E-9534-4643-BC49-81EF463441D4}" name="BUIPE_AGO" totalsRowFunction="custom" dataDxfId="3274" totalsRowDxfId="3273" dataCellStyle="Comma">
      <totalsRowFormula>SUM(April20_2022[BUIPE_AGO])</totalsRowFormula>
    </tableColumn>
    <tableColumn id="5" xr3:uid="{8E5DB76D-50E8-4C90-B2E8-B3595D35C6AB}" name="BUIPE_PMS" totalsRowFunction="custom" dataDxfId="3272" totalsRowDxfId="3271" dataCellStyle="Comma">
      <totalsRowFormula>SUM(April20_2022[BUIPE_PMS])</totalsRowFormula>
    </tableColumn>
    <tableColumn id="6" xr3:uid="{33D5C5EB-2C5D-4FC6-95FC-ADAE9FCB7E26}" name="AKOSOMBO_AGO" totalsRowFunction="custom" dataDxfId="3270" totalsRowDxfId="3269" dataCellStyle="Comma">
      <totalsRowFormula>SUM(April20_2022[AKOSOMBO_AGO])</totalsRowFormula>
    </tableColumn>
    <tableColumn id="7" xr3:uid="{DABD2D89-6000-4DB7-A8BB-60A14B219926}" name="DATE" dataDxfId="3268" totalsRowDxfId="3267">
      <calculatedColumnFormula>$G$3</calculatedColumnFormula>
    </tableColumn>
  </tableColumns>
  <tableStyleInfo showFirstColumn="0" showLastColumn="0" showRowStripes="1" showColumnStripes="0"/>
</table>
</file>

<file path=xl/tables/table5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6" xr:uid="{2873F890-4EB3-401A-9078-081026F8AD4B}" name="April21_2022" displayName="April21_2022" ref="B5:H23" totalsRowCount="1" headerRowDxfId="3266" headerRowBorderDxfId="3265" tableBorderDxfId="3264" totalsRowBorderDxfId="3263">
  <autoFilter ref="B5:H22" xr:uid="{9E303E2E-6027-49B6-9101-8DC7C15B029F}"/>
  <sortState xmlns:xlrd2="http://schemas.microsoft.com/office/spreadsheetml/2017/richdata2" ref="B6:H22">
    <sortCondition ref="B6:B22"/>
  </sortState>
  <tableColumns count="7">
    <tableColumn id="1" xr3:uid="{AA80AA95-FCD9-44DC-B5D9-1676B2A4BAED}" name="BDC LIST" totalsRowLabel="Total" dataDxfId="3262" totalsRowDxfId="3261"/>
    <tableColumn id="2" xr3:uid="{3ED7A364-B0F0-4943-887F-741EED6B6749}" name="KSI_AGO" totalsRowFunction="custom" dataDxfId="3260" totalsRowDxfId="3259" dataCellStyle="Comma">
      <totalsRowFormula>SUM(April21_2022[KSI_AGO])</totalsRowFormula>
    </tableColumn>
    <tableColumn id="3" xr3:uid="{D568615C-7BCE-4858-8FD8-DCDCFABEABF2}" name="KSI_PMS" totalsRowFunction="sum" dataDxfId="3258" totalsRowDxfId="3257" dataCellStyle="Comma"/>
    <tableColumn id="4" xr3:uid="{E5FEB329-D9F7-466C-8262-A037EE23F6A2}" name="BUIPE_AGO" totalsRowFunction="custom" dataDxfId="3256" totalsRowDxfId="3255" dataCellStyle="Comma">
      <totalsRowFormula>SUM(April21_2022[BUIPE_AGO])</totalsRowFormula>
    </tableColumn>
    <tableColumn id="5" xr3:uid="{49638033-BDBF-463B-AF2D-D0019919F2C4}" name="BUIPE_PMS" totalsRowFunction="custom" dataDxfId="3254" totalsRowDxfId="3253" dataCellStyle="Comma">
      <totalsRowFormula>SUM(April21_2022[BUIPE_PMS])</totalsRowFormula>
    </tableColumn>
    <tableColumn id="6" xr3:uid="{6EF68E09-755F-409C-A218-F319F5E2EED9}" name="AKOSOMBO_AGO" totalsRowFunction="custom" dataDxfId="3252" totalsRowDxfId="3251" dataCellStyle="Comma">
      <totalsRowFormula>SUM(April21_2022[AKOSOMBO_AGO])</totalsRowFormula>
    </tableColumn>
    <tableColumn id="7" xr3:uid="{CAFAA731-A754-4F7A-961F-17F3EAE7DB0F}" name="DATE" dataDxfId="3250" totalsRowDxfId="3249">
      <calculatedColumnFormula>$G$3</calculatedColumnFormula>
    </tableColumn>
  </tableColumns>
  <tableStyleInfo showFirstColumn="0" showLastColumn="0" showRowStripes="1" showColumnStripes="0"/>
</table>
</file>

<file path=xl/tables/table5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7" xr:uid="{34523D49-75E4-4CCE-8F54-3A9E1C2C832A}" name="April22_2022" displayName="April22_2022" ref="B5:H23" totalsRowCount="1" headerRowDxfId="3248" headerRowBorderDxfId="3247" tableBorderDxfId="3246" totalsRowBorderDxfId="3245">
  <autoFilter ref="B5:H22" xr:uid="{9E303E2E-6027-49B6-9101-8DC7C15B029F}"/>
  <sortState xmlns:xlrd2="http://schemas.microsoft.com/office/spreadsheetml/2017/richdata2" ref="B6:H22">
    <sortCondition ref="B6:B22"/>
  </sortState>
  <tableColumns count="7">
    <tableColumn id="1" xr3:uid="{FAA608A1-7089-4819-AE7B-5D285142A1C5}" name="BDC LIST" totalsRowLabel="Total" dataDxfId="3244" totalsRowDxfId="3243"/>
    <tableColumn id="2" xr3:uid="{A03E8B02-2ABE-4CE5-8780-158039050E39}" name="KSI_AGO" totalsRowFunction="custom" dataDxfId="3242" totalsRowDxfId="3241" dataCellStyle="Comma">
      <totalsRowFormula>SUM(April22_2022[KSI_AGO])</totalsRowFormula>
    </tableColumn>
    <tableColumn id="3" xr3:uid="{E39E4F01-F50B-442F-B908-04AEED6A52E6}" name="KSI_PMS" totalsRowFunction="sum" dataDxfId="3240" totalsRowDxfId="3239" dataCellStyle="Comma"/>
    <tableColumn id="4" xr3:uid="{2025493C-C1DA-4EB5-9EFA-EA2A1807126E}" name="BUIPE_AGO" totalsRowFunction="custom" dataDxfId="3238" totalsRowDxfId="3237" dataCellStyle="Comma">
      <totalsRowFormula>SUM(April22_2022[BUIPE_AGO])</totalsRowFormula>
    </tableColumn>
    <tableColumn id="5" xr3:uid="{DEDCDE18-B0A0-4F63-B2EF-0114EDA19D8E}" name="BUIPE_PMS" totalsRowFunction="custom" dataDxfId="3236" totalsRowDxfId="3235" dataCellStyle="Comma">
      <totalsRowFormula>SUM(April22_2022[BUIPE_PMS])</totalsRowFormula>
    </tableColumn>
    <tableColumn id="6" xr3:uid="{948DAA61-AFF1-4BF1-8A16-9812304DA2EE}" name="AKOSOMBO_AGO" totalsRowFunction="custom" dataDxfId="3234" totalsRowDxfId="3233" dataCellStyle="Comma">
      <totalsRowFormula>SUM(April22_2022[AKOSOMBO_AGO])</totalsRowFormula>
    </tableColumn>
    <tableColumn id="7" xr3:uid="{4D1A0359-733D-4D1C-BE7D-62E48918EC6E}" name="DATE" dataDxfId="3232" totalsRowDxfId="3231">
      <calculatedColumnFormula>$G$3</calculatedColumnFormula>
    </tableColumn>
  </tableColumns>
  <tableStyleInfo showFirstColumn="0" showLastColumn="0" showRowStripes="1" showColumnStripes="0"/>
</table>
</file>

<file path=xl/tables/table5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8" xr:uid="{EDE8E505-552B-47AC-90F7-DFED74249769}" name="April25_2022" displayName="April25_2022" ref="B5:H23" totalsRowCount="1" headerRowDxfId="3230" headerRowBorderDxfId="3229" tableBorderDxfId="3228" totalsRowBorderDxfId="3227">
  <autoFilter ref="B5:H22" xr:uid="{9E303E2E-6027-49B6-9101-8DC7C15B029F}"/>
  <sortState xmlns:xlrd2="http://schemas.microsoft.com/office/spreadsheetml/2017/richdata2" ref="B6:H22">
    <sortCondition ref="B6:B22"/>
  </sortState>
  <tableColumns count="7">
    <tableColumn id="1" xr3:uid="{B8B62DD4-FB1C-4F19-8B6E-0AFFB6A518F3}" name="BDC LIST" totalsRowLabel="Total" dataDxfId="3226" totalsRowDxfId="3225"/>
    <tableColumn id="2" xr3:uid="{72106967-8723-4A1C-B12A-9276D87A49A0}" name="KSI_AGO" totalsRowFunction="custom" dataDxfId="3224" totalsRowDxfId="3223" dataCellStyle="Comma">
      <totalsRowFormula>SUM(April25_2022[KSI_AGO])</totalsRowFormula>
    </tableColumn>
    <tableColumn id="3" xr3:uid="{E1DF2090-A57B-4DE3-A8E1-11342D04CCEF}" name="KSI_PMS" totalsRowFunction="sum" dataDxfId="3222" totalsRowDxfId="3221" dataCellStyle="Comma"/>
    <tableColumn id="4" xr3:uid="{11511383-ED6A-4BFE-A2DF-98A7E7252261}" name="BUIPE_AGO" totalsRowFunction="custom" dataDxfId="3220" totalsRowDxfId="3219" dataCellStyle="Comma">
      <totalsRowFormula>SUM(April25_2022[BUIPE_AGO])</totalsRowFormula>
    </tableColumn>
    <tableColumn id="5" xr3:uid="{902B40ED-4C33-4742-9DFC-8FA4C572EBB3}" name="BUIPE_PMS" totalsRowFunction="custom" dataDxfId="3218" totalsRowDxfId="3217" dataCellStyle="Comma">
      <totalsRowFormula>SUM(April25_2022[BUIPE_PMS])</totalsRowFormula>
    </tableColumn>
    <tableColumn id="6" xr3:uid="{493BA196-CADF-4E14-B700-236139D60899}" name="AKOSOMBO_AGO" totalsRowFunction="custom" dataDxfId="3216" totalsRowDxfId="3215" dataCellStyle="Comma">
      <totalsRowFormula>SUM(April25_2022[AKOSOMBO_AGO])</totalsRowFormula>
    </tableColumn>
    <tableColumn id="7" xr3:uid="{97E8D3AC-C99C-4B11-B920-55CB42011D58}" name="DATE" dataDxfId="3214" totalsRowDxfId="3213">
      <calculatedColumnFormula>$G$3</calculatedColumnFormula>
    </tableColumn>
  </tableColumns>
  <tableStyleInfo showFirstColumn="0" showLastColumn="0" showRowStripes="1" showColumnStripes="0"/>
</table>
</file>

<file path=xl/tables/table5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9" xr:uid="{D588B11F-DAD2-4C1B-8857-6A1BA9669CDD}" name="April26_2022" displayName="April26_2022" ref="B5:H23" totalsRowCount="1" headerRowDxfId="3212" headerRowBorderDxfId="3211" tableBorderDxfId="3210" totalsRowBorderDxfId="3209">
  <autoFilter ref="B5:H22" xr:uid="{9E303E2E-6027-49B6-9101-8DC7C15B029F}"/>
  <sortState xmlns:xlrd2="http://schemas.microsoft.com/office/spreadsheetml/2017/richdata2" ref="B6:H22">
    <sortCondition ref="B6:B22"/>
  </sortState>
  <tableColumns count="7">
    <tableColumn id="1" xr3:uid="{46B5C95A-57E2-4CA2-8A46-AD3495FBB930}" name="BDC LIST" totalsRowLabel="Total" dataDxfId="3208" totalsRowDxfId="3207"/>
    <tableColumn id="2" xr3:uid="{7F6450AF-566D-441D-9E3C-4337698A640F}" name="KSI_AGO" totalsRowFunction="custom" dataDxfId="3206" totalsRowDxfId="3205" dataCellStyle="Comma">
      <totalsRowFormula>SUM(April26_2022[KSI_AGO])</totalsRowFormula>
    </tableColumn>
    <tableColumn id="3" xr3:uid="{DBE7A39F-76D0-47D5-9896-CA125CBC7BDA}" name="KSI_PMS" totalsRowFunction="sum" dataDxfId="3204" totalsRowDxfId="3203" dataCellStyle="Comma"/>
    <tableColumn id="4" xr3:uid="{0EECE33E-2876-44B4-A49C-E4FF6A8AD38B}" name="BUIPE_AGO" totalsRowFunction="custom" dataDxfId="3202" totalsRowDxfId="3201" dataCellStyle="Comma">
      <totalsRowFormula>SUM(April26_2022[BUIPE_AGO])</totalsRowFormula>
    </tableColumn>
    <tableColumn id="5" xr3:uid="{89F69578-D225-4655-BD51-ADBB0C86CF6E}" name="BUIPE_PMS" totalsRowFunction="custom" dataDxfId="3200" totalsRowDxfId="3199" dataCellStyle="Comma">
      <totalsRowFormula>SUM(April26_2022[BUIPE_PMS])</totalsRowFormula>
    </tableColumn>
    <tableColumn id="6" xr3:uid="{89AC18D4-5B1D-4321-AC9C-9EB42DF42ABE}" name="AKOSOMBO_AGO" totalsRowFunction="custom" dataDxfId="3198" totalsRowDxfId="3197" dataCellStyle="Comma">
      <totalsRowFormula>SUM(April26_2022[AKOSOMBO_AGO])</totalsRowFormula>
    </tableColumn>
    <tableColumn id="7" xr3:uid="{BB7BD46E-9C5C-4896-B8B4-099DB643B47A}" name="DATE" dataDxfId="3196" totalsRowDxfId="3195">
      <calculatedColumnFormula>$G$3</calculatedColumnFormula>
    </tableColumn>
  </tableColumns>
  <tableStyleInfo showFirstColumn="0" showLastColumn="0" showRowStripes="1" showColumnStripes="0"/>
</table>
</file>

<file path=xl/tables/table5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0" xr:uid="{2606BC2E-00A5-4E2C-9AAA-1571F52FE7D0}" name="April27_2022" displayName="April27_2022" ref="B5:H23" totalsRowCount="1" headerRowDxfId="3194" headerRowBorderDxfId="3193" tableBorderDxfId="3192" totalsRowBorderDxfId="3191">
  <autoFilter ref="B5:H22" xr:uid="{9E303E2E-6027-49B6-9101-8DC7C15B029F}"/>
  <sortState xmlns:xlrd2="http://schemas.microsoft.com/office/spreadsheetml/2017/richdata2" ref="B6:H22">
    <sortCondition ref="B6:B22"/>
  </sortState>
  <tableColumns count="7">
    <tableColumn id="1" xr3:uid="{51A0F8C4-3EC8-4EE8-8751-099399C6B136}" name="BDC LIST" totalsRowLabel="Total" dataDxfId="3190" totalsRowDxfId="3189"/>
    <tableColumn id="2" xr3:uid="{7052B6BD-D50F-4FF2-B99B-FAEC9DD29349}" name="KSI_AGO" totalsRowFunction="custom" dataDxfId="3188" totalsRowDxfId="3187" dataCellStyle="Comma">
      <totalsRowFormula>SUM(April27_2022[KSI_AGO])</totalsRowFormula>
    </tableColumn>
    <tableColumn id="3" xr3:uid="{A8B6209A-9122-443E-927B-3615A3A7DDBB}" name="KSI_PMS" totalsRowFunction="sum" dataDxfId="3186" totalsRowDxfId="3185" dataCellStyle="Comma"/>
    <tableColumn id="4" xr3:uid="{B949D89C-AD8E-458F-9FD7-14C749842E24}" name="BUIPE_AGO" totalsRowFunction="custom" dataDxfId="3184" totalsRowDxfId="3183" dataCellStyle="Comma">
      <totalsRowFormula>SUM(April27_2022[BUIPE_AGO])</totalsRowFormula>
    </tableColumn>
    <tableColumn id="5" xr3:uid="{826BA10B-C653-45DE-8C72-D7E21E79DB91}" name="BUIPE_PMS" totalsRowFunction="custom" dataDxfId="3182" totalsRowDxfId="3181" dataCellStyle="Comma">
      <totalsRowFormula>SUM(April27_2022[BUIPE_PMS])</totalsRowFormula>
    </tableColumn>
    <tableColumn id="6" xr3:uid="{175E5F22-867D-4E19-868F-40F3E93C936A}" name="AKOSOMBO_AGO" totalsRowFunction="custom" dataDxfId="3180" totalsRowDxfId="3179" dataCellStyle="Comma">
      <totalsRowFormula>SUM(April27_2022[AKOSOMBO_AGO])</totalsRowFormula>
    </tableColumn>
    <tableColumn id="7" xr3:uid="{041C0578-0C55-439D-9336-CF06B1E35FFA}" name="DATE" dataDxfId="3178" totalsRowDxfId="3177">
      <calculatedColumnFormula>$G$3</calculatedColumnFormula>
    </tableColumn>
  </tableColumns>
  <tableStyleInfo showFirstColumn="0" showLastColumn="0" showRowStripes="1" showColumnStripes="0"/>
</table>
</file>

<file path=xl/tables/table5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1" xr:uid="{3E114A5D-3DC8-405C-8BB0-D579379AD7B9}" name="April28_2022" displayName="April28_2022" ref="B5:H23" totalsRowCount="1" headerRowDxfId="3176" headerRowBorderDxfId="3175" tableBorderDxfId="3174" totalsRowBorderDxfId="3173">
  <autoFilter ref="B5:H22" xr:uid="{9E303E2E-6027-49B6-9101-8DC7C15B029F}"/>
  <sortState xmlns:xlrd2="http://schemas.microsoft.com/office/spreadsheetml/2017/richdata2" ref="B6:H22">
    <sortCondition ref="B6:B22"/>
  </sortState>
  <tableColumns count="7">
    <tableColumn id="1" xr3:uid="{3BB857F7-8BB1-499F-B504-52BD2CF3D07A}" name="BDC LIST" totalsRowLabel="Total" dataDxfId="3172" totalsRowDxfId="3171"/>
    <tableColumn id="2" xr3:uid="{00B2572D-55EE-40FD-B35B-54162F4BD282}" name="KSI_AGO" totalsRowFunction="custom" dataDxfId="3170" totalsRowDxfId="3169" dataCellStyle="Comma">
      <totalsRowFormula>SUM(April28_2022[KSI_AGO])</totalsRowFormula>
    </tableColumn>
    <tableColumn id="3" xr3:uid="{2289940C-0D98-4ACB-8ABB-FF075B08D188}" name="KSI_PMS" totalsRowFunction="sum" dataDxfId="3168" totalsRowDxfId="3167" dataCellStyle="Comma"/>
    <tableColumn id="4" xr3:uid="{2CBCC1D0-1D53-4356-884C-3D0C315B3C90}" name="BUIPE_AGO" totalsRowFunction="custom" dataDxfId="3166" totalsRowDxfId="3165" dataCellStyle="Comma">
      <totalsRowFormula>SUM(April28_2022[BUIPE_AGO])</totalsRowFormula>
    </tableColumn>
    <tableColumn id="5" xr3:uid="{93C29736-89FC-4B19-A6BF-3F04E44B80D8}" name="BUIPE_PMS" totalsRowFunction="custom" dataDxfId="3164" totalsRowDxfId="3163" dataCellStyle="Comma">
      <totalsRowFormula>SUM(April28_2022[BUIPE_PMS])</totalsRowFormula>
    </tableColumn>
    <tableColumn id="6" xr3:uid="{41BE1A76-B414-486C-949D-8871EE5B9BF1}" name="AKOSOMBO_AGO" totalsRowFunction="custom" dataDxfId="3162" totalsRowDxfId="3161" dataCellStyle="Comma">
      <totalsRowFormula>SUM(April28_2022[AKOSOMBO_AGO])</totalsRowFormula>
    </tableColumn>
    <tableColumn id="7" xr3:uid="{00FEABBC-3B90-4FD7-AF8D-7DBFE2689173}" name="DATE" dataDxfId="3160" totalsRowDxfId="3159">
      <calculatedColumnFormula>$G$3</calculatedColumnFormula>
    </tableColumn>
  </tableColumns>
  <tableStyleInfo showFirstColumn="0" showLastColumn="0" showRowStripes="1" showColumnStripes="0"/>
</table>
</file>

<file path=xl/tables/table5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2" xr:uid="{3106EB15-6E23-4443-836A-B03A183A5297}" name="April29_2022" displayName="April29_2022" ref="B5:H23" totalsRowCount="1" headerRowDxfId="3158" headerRowBorderDxfId="3157" tableBorderDxfId="3156" totalsRowBorderDxfId="3155">
  <autoFilter ref="B5:H22" xr:uid="{9E303E2E-6027-49B6-9101-8DC7C15B029F}"/>
  <sortState xmlns:xlrd2="http://schemas.microsoft.com/office/spreadsheetml/2017/richdata2" ref="B6:H22">
    <sortCondition ref="B6:B22"/>
  </sortState>
  <tableColumns count="7">
    <tableColumn id="1" xr3:uid="{1A5195A1-CDFA-45A9-A758-48225957D2C7}" name="BDC LIST" totalsRowLabel="Total" dataDxfId="3154" totalsRowDxfId="3153"/>
    <tableColumn id="2" xr3:uid="{8542055C-8EAF-4C6A-AFB4-B762A0B19275}" name="KSI_AGO" totalsRowFunction="custom" dataDxfId="3152" totalsRowDxfId="3151" dataCellStyle="Comma">
      <totalsRowFormula>SUM(April29_2022[KSI_AGO])</totalsRowFormula>
    </tableColumn>
    <tableColumn id="3" xr3:uid="{31017984-0CA9-4D78-B597-FB8A3B03DE4E}" name="KSI_PMS" totalsRowFunction="sum" dataDxfId="3150" totalsRowDxfId="3149" dataCellStyle="Comma"/>
    <tableColumn id="4" xr3:uid="{60FD0490-1405-4554-A12A-4994A67F7E2C}" name="BUIPE_AGO" totalsRowFunction="custom" dataDxfId="3148" totalsRowDxfId="3147" dataCellStyle="Comma">
      <totalsRowFormula>SUM(April29_2022[BUIPE_AGO])</totalsRowFormula>
    </tableColumn>
    <tableColumn id="5" xr3:uid="{819FCFDD-2D69-4134-A09F-871058342241}" name="BUIPE_PMS" totalsRowFunction="custom" dataDxfId="3146" totalsRowDxfId="3145" dataCellStyle="Comma">
      <totalsRowFormula>SUM(April29_2022[BUIPE_PMS])</totalsRowFormula>
    </tableColumn>
    <tableColumn id="6" xr3:uid="{6289ACEB-4374-4C3F-9431-F1022813D03C}" name="AKOSOMBO_AGO" totalsRowFunction="custom" dataDxfId="3144" totalsRowDxfId="3143" dataCellStyle="Comma">
      <totalsRowFormula>SUM(April29_2022[AKOSOMBO_AGO])</totalsRowFormula>
    </tableColumn>
    <tableColumn id="7" xr3:uid="{1DC1E16B-9635-4617-BEFD-B72348B896BE}" name="DATE" dataDxfId="3142" totalsRowDxfId="3141">
      <calculatedColumnFormula>$G$3</calculatedColumnFormula>
    </tableColumn>
  </tableColumns>
  <tableStyleInfo showFirstColumn="0" showLastColumn="0" showRowStripes="1" showColumnStripes="0"/>
</table>
</file>

<file path=xl/tables/table5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3" xr:uid="{CD887562-AAFB-4448-8FCB-D6F80205F75E}" name="May04_2022" displayName="May04_2022" ref="B5:H23" totalsRowCount="1" headerRowDxfId="3140" headerRowBorderDxfId="3139" tableBorderDxfId="3138" totalsRowBorderDxfId="3137">
  <autoFilter ref="B5:H22" xr:uid="{9E303E2E-6027-49B6-9101-8DC7C15B029F}"/>
  <sortState xmlns:xlrd2="http://schemas.microsoft.com/office/spreadsheetml/2017/richdata2" ref="B6:H22">
    <sortCondition ref="B6:B22"/>
  </sortState>
  <tableColumns count="7">
    <tableColumn id="1" xr3:uid="{0096C4AB-3586-4BB8-8C1B-C27A5E599D7B}" name="BDC LIST" totalsRowLabel="Total" dataDxfId="3136" totalsRowDxfId="3135"/>
    <tableColumn id="2" xr3:uid="{CDC7961F-F5DD-4B7F-BA10-D2C474C42E50}" name="KSI_AGO" totalsRowFunction="custom" dataDxfId="3134" totalsRowDxfId="3133" dataCellStyle="Comma">
      <totalsRowFormula>SUM(May04_2022[KSI_AGO])</totalsRowFormula>
    </tableColumn>
    <tableColumn id="3" xr3:uid="{73623643-AB28-4686-BC0F-E924DA9582BB}" name="KSI_PMS" totalsRowFunction="sum" dataDxfId="3132" totalsRowDxfId="3131" dataCellStyle="Comma"/>
    <tableColumn id="4" xr3:uid="{6596216C-B398-450B-8FFD-42A6496EE9C1}" name="BUIPE_AGO" totalsRowFunction="custom" dataDxfId="3130" totalsRowDxfId="3129" dataCellStyle="Comma">
      <totalsRowFormula>SUM(May04_2022[BUIPE_AGO])</totalsRowFormula>
    </tableColumn>
    <tableColumn id="5" xr3:uid="{1384471D-AFD9-4A69-8DA7-85AAEFEDF065}" name="BUIPE_PMS" totalsRowFunction="custom" dataDxfId="3128" totalsRowDxfId="3127" dataCellStyle="Comma">
      <totalsRowFormula>SUM(May04_2022[BUIPE_PMS])</totalsRowFormula>
    </tableColumn>
    <tableColumn id="6" xr3:uid="{A1CEBDCF-A8B3-41BC-81AB-559F3CE41CD1}" name="AKOSOMBO_AGO" totalsRowFunction="custom" dataDxfId="3126" totalsRowDxfId="3125" dataCellStyle="Comma">
      <totalsRowFormula>SUM(May04_2022[AKOSOMBO_AGO])</totalsRowFormula>
    </tableColumn>
    <tableColumn id="7" xr3:uid="{33AD2466-3727-4B06-84DF-510245622ADF}" name="DATE" dataDxfId="3124" totalsRowDxfId="3123">
      <calculatedColumnFormula>$G$3</calculatedColumnFormula>
    </tableColumn>
  </tableColumns>
  <tableStyleInfo showFirstColumn="0" showLastColumn="0" showRowStripes="1" showColumnStripes="0"/>
</table>
</file>

<file path=xl/tables/table5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4" xr:uid="{AC1646FC-65CC-4480-899C-30202C765E22}" name="May05_2022" displayName="May05_2022" ref="B5:H23" totalsRowCount="1" headerRowDxfId="3122" headerRowBorderDxfId="3121" tableBorderDxfId="3120" totalsRowBorderDxfId="3119">
  <autoFilter ref="B5:H22" xr:uid="{9E303E2E-6027-49B6-9101-8DC7C15B029F}"/>
  <sortState xmlns:xlrd2="http://schemas.microsoft.com/office/spreadsheetml/2017/richdata2" ref="B6:H22">
    <sortCondition ref="B6:B22"/>
  </sortState>
  <tableColumns count="7">
    <tableColumn id="1" xr3:uid="{DC24B94A-A6B0-4446-BC66-C8AC32B39823}" name="BDC LIST" totalsRowLabel="Total" dataDxfId="3118" totalsRowDxfId="3117"/>
    <tableColumn id="2" xr3:uid="{7032DDCF-25B0-4436-9077-46AC61EF1F4D}" name="KSI_AGO" totalsRowFunction="custom" dataDxfId="3116" totalsRowDxfId="3115" dataCellStyle="Comma">
      <totalsRowFormula>SUM(May05_2022[KSI_AGO])</totalsRowFormula>
    </tableColumn>
    <tableColumn id="3" xr3:uid="{4134BE86-9FD7-4CDA-B12B-063243407E24}" name="KSI_PMS" totalsRowFunction="sum" dataDxfId="3114" totalsRowDxfId="3113" dataCellStyle="Comma"/>
    <tableColumn id="4" xr3:uid="{37CE84F5-D350-4FB9-BFE5-4F7C7BF595BD}" name="BUIPE_AGO" totalsRowFunction="custom" dataDxfId="3112" totalsRowDxfId="3111" dataCellStyle="Comma">
      <totalsRowFormula>SUM(May05_2022[BUIPE_AGO])</totalsRowFormula>
    </tableColumn>
    <tableColumn id="5" xr3:uid="{A99B58AA-05A5-4FC3-A2D7-BB76CB491BC8}" name="BUIPE_PMS" totalsRowFunction="custom" dataDxfId="3110" totalsRowDxfId="3109" dataCellStyle="Comma">
      <totalsRowFormula>SUM(May05_2022[BUIPE_PMS])</totalsRowFormula>
    </tableColumn>
    <tableColumn id="6" xr3:uid="{99999D71-B1A6-4671-8F4F-EA97E75DF84B}" name="AKOSOMBO_AGO" totalsRowFunction="custom" dataDxfId="3108" totalsRowDxfId="3107" dataCellStyle="Comma">
      <totalsRowFormula>SUM(May05_2022[AKOSOMBO_AGO])</totalsRowFormula>
    </tableColumn>
    <tableColumn id="7" xr3:uid="{4A066C1E-FA08-47BC-A820-82283C96DC0C}" name="DATE" dataDxfId="3106" totalsRowDxfId="3105">
      <calculatedColumnFormula>$G$3</calculatedColumnFormula>
    </tableColumn>
  </tableColumns>
  <tableStyleInfo showFirstColumn="0" showLastColumn="0" showRowStripes="1" showColumnStripes="0"/>
</table>
</file>

<file path=xl/tables/table5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5" xr:uid="{0F24B1D2-F84E-4C74-8C34-A55ECA554ADF}" name="May06_2022" displayName="May06_2022" ref="B5:H23" totalsRowCount="1" headerRowDxfId="3104" headerRowBorderDxfId="3103" tableBorderDxfId="3102" totalsRowBorderDxfId="3101">
  <autoFilter ref="B5:H22" xr:uid="{9E303E2E-6027-49B6-9101-8DC7C15B029F}"/>
  <sortState xmlns:xlrd2="http://schemas.microsoft.com/office/spreadsheetml/2017/richdata2" ref="B6:H22">
    <sortCondition ref="B6:B22"/>
  </sortState>
  <tableColumns count="7">
    <tableColumn id="1" xr3:uid="{6E717B4B-2FAC-4AA7-8DC4-B0C5A98F440D}" name="BDC LIST" totalsRowLabel="Total" dataDxfId="3100" totalsRowDxfId="3099"/>
    <tableColumn id="2" xr3:uid="{8D72686E-0321-423C-B153-7A03AC62917C}" name="KSI_AGO" totalsRowFunction="custom" dataDxfId="3098" totalsRowDxfId="3097" dataCellStyle="Comma">
      <totalsRowFormula>SUM(May06_2022[KSI_AGO])</totalsRowFormula>
    </tableColumn>
    <tableColumn id="3" xr3:uid="{C9F15577-0ABD-44BB-8C2A-BD70635D6389}" name="KSI_PMS" totalsRowFunction="sum" dataDxfId="3096" totalsRowDxfId="3095" dataCellStyle="Comma"/>
    <tableColumn id="4" xr3:uid="{691B78E7-36D5-4F7B-8600-6169598465B3}" name="BUIPE_AGO" totalsRowFunction="custom" dataDxfId="3094" totalsRowDxfId="3093" dataCellStyle="Comma">
      <totalsRowFormula>SUM(May06_2022[BUIPE_AGO])</totalsRowFormula>
    </tableColumn>
    <tableColumn id="5" xr3:uid="{7CF89370-8517-4DB4-8E9F-7138C411D7B5}" name="BUIPE_PMS" totalsRowFunction="custom" dataDxfId="3092" totalsRowDxfId="3091" dataCellStyle="Comma">
      <totalsRowFormula>SUM(May06_2022[BUIPE_PMS])</totalsRowFormula>
    </tableColumn>
    <tableColumn id="6" xr3:uid="{ABDA978F-2BDA-4010-9A52-6AA15BBA1461}" name="AKOSOMBO_AGO" totalsRowFunction="custom" dataDxfId="3090" totalsRowDxfId="3089" dataCellStyle="Comma">
      <totalsRowFormula>SUM(May06_2022[AKOSOMBO_AGO])</totalsRowFormula>
    </tableColumn>
    <tableColumn id="7" xr3:uid="{B56A89E0-0605-481C-BEFD-C6333EF1F243}" name="DATE" dataDxfId="3088" totalsRowDxfId="3087">
      <calculatedColumnFormula>$G$3</calculatedColumnFormula>
    </tableColumn>
  </tableColumns>
  <tableStyleInfo showFirstColumn="0" showLastColumn="0" showRowStripes="1" showColumnStripes="0"/>
</table>
</file>

<file path=xl/tables/table5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6" xr:uid="{81CAB1D8-58B3-41C5-AD3B-F6E4039947C8}" name="May09_2022" displayName="May09_2022" ref="B5:H23" totalsRowCount="1" headerRowDxfId="3086" headerRowBorderDxfId="3085" tableBorderDxfId="3084" totalsRowBorderDxfId="3083">
  <autoFilter ref="B5:H22" xr:uid="{9E303E2E-6027-49B6-9101-8DC7C15B029F}"/>
  <sortState xmlns:xlrd2="http://schemas.microsoft.com/office/spreadsheetml/2017/richdata2" ref="B6:H22">
    <sortCondition ref="B6:B22"/>
  </sortState>
  <tableColumns count="7">
    <tableColumn id="1" xr3:uid="{5730EA8E-96F0-45EE-949A-F43D671550F2}" name="BDC LIST" totalsRowLabel="Total" dataDxfId="3082" totalsRowDxfId="3081"/>
    <tableColumn id="2" xr3:uid="{A9130E80-1B88-41C0-9922-434EFA4FBF7A}" name="KSI_AGO" totalsRowFunction="custom" dataDxfId="3080" totalsRowDxfId="3079" dataCellStyle="Comma">
      <totalsRowFormula>SUM(May09_2022[KSI_AGO])</totalsRowFormula>
    </tableColumn>
    <tableColumn id="3" xr3:uid="{1E1F467D-D0D1-479C-BA76-71FF73970AC2}" name="KSI_PMS" totalsRowFunction="sum" dataDxfId="3078" totalsRowDxfId="3077" dataCellStyle="Comma"/>
    <tableColumn id="4" xr3:uid="{868087E7-8739-4E2B-B565-19C3CA90EFD5}" name="BUIPE_AGO" totalsRowFunction="custom" dataDxfId="3076" totalsRowDxfId="3075" dataCellStyle="Comma">
      <totalsRowFormula>SUM(May09_2022[BUIPE_AGO])</totalsRowFormula>
    </tableColumn>
    <tableColumn id="5" xr3:uid="{4DF9CEA0-144F-4FA5-BF7B-1D8D04E70470}" name="BUIPE_PMS" totalsRowFunction="custom" dataDxfId="3074" totalsRowDxfId="3073" dataCellStyle="Comma">
      <totalsRowFormula>SUM(May09_2022[BUIPE_PMS])</totalsRowFormula>
    </tableColumn>
    <tableColumn id="6" xr3:uid="{7C628F60-F9CD-4FFC-911C-A12F7AC53812}" name="AKOSOMBO_AGO" totalsRowFunction="custom" dataDxfId="3072" totalsRowDxfId="3071" dataCellStyle="Comma">
      <totalsRowFormula>SUM(May09_2022[AKOSOMBO_AGO])</totalsRowFormula>
    </tableColumn>
    <tableColumn id="7" xr3:uid="{D6C3DC5D-FF8E-4EC2-890A-35C8AA561840}" name="DATE" dataDxfId="3070" totalsRowDxfId="3069">
      <calculatedColumnFormula>$G$3</calculatedColumnFormula>
    </tableColumn>
  </tableColumns>
  <tableStyleInfo showFirstColumn="0" showLastColumn="0" showRowStripes="1" showColumnStripes="0"/>
</table>
</file>

<file path=xl/tables/table5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7" xr:uid="{2C3D0843-6687-45DB-BD65-D66C1A3FD37E}" name="May10_2022" displayName="May10_2022" ref="B5:H23" totalsRowCount="1" headerRowDxfId="3068" headerRowBorderDxfId="3067" tableBorderDxfId="3066" totalsRowBorderDxfId="3065">
  <autoFilter ref="B5:H22" xr:uid="{9E303E2E-6027-49B6-9101-8DC7C15B029F}"/>
  <sortState xmlns:xlrd2="http://schemas.microsoft.com/office/spreadsheetml/2017/richdata2" ref="B6:H22">
    <sortCondition ref="B6:B22"/>
  </sortState>
  <tableColumns count="7">
    <tableColumn id="1" xr3:uid="{11BDB3D6-3454-4B9D-B661-DB221B0B5F8E}" name="BDC LIST" totalsRowLabel="Total" dataDxfId="3064" totalsRowDxfId="3063"/>
    <tableColumn id="2" xr3:uid="{41355D5E-81F0-4276-88C1-A1BD715E9D1B}" name="KSI_AGO" totalsRowFunction="custom" dataDxfId="3062" totalsRowDxfId="3061" dataCellStyle="Comma">
      <totalsRowFormula>SUM(May10_2022[KSI_AGO])</totalsRowFormula>
    </tableColumn>
    <tableColumn id="3" xr3:uid="{34157D2A-DB1D-4918-AFD5-AB37A424B6FC}" name="KSI_PMS" totalsRowFunction="sum" dataDxfId="3060" totalsRowDxfId="3059" dataCellStyle="Comma"/>
    <tableColumn id="4" xr3:uid="{2CF8B48B-6424-4082-ABB5-F865E1803647}" name="BUIPE_AGO" totalsRowFunction="custom" dataDxfId="3058" totalsRowDxfId="3057" dataCellStyle="Comma">
      <totalsRowFormula>SUM(May10_2022[BUIPE_AGO])</totalsRowFormula>
    </tableColumn>
    <tableColumn id="5" xr3:uid="{C7291436-D9C2-4C44-B571-1FCA21B028E5}" name="BUIPE_PMS" totalsRowFunction="custom" dataDxfId="3056" totalsRowDxfId="3055" dataCellStyle="Comma">
      <totalsRowFormula>SUM(May10_2022[BUIPE_PMS])</totalsRowFormula>
    </tableColumn>
    <tableColumn id="6" xr3:uid="{585C5E9B-3398-4595-B845-1EF0EA84D9EB}" name="AKOSOMBO_AGO" totalsRowFunction="custom" dataDxfId="3054" totalsRowDxfId="3053" dataCellStyle="Comma">
      <totalsRowFormula>SUM(May10_2022[AKOSOMBO_AGO])</totalsRowFormula>
    </tableColumn>
    <tableColumn id="7" xr3:uid="{3A0193CE-9804-4D09-BF83-F7F68889967C}" name="DATE" dataDxfId="3052" totalsRowDxfId="3051">
      <calculatedColumnFormula>$G$3</calculatedColumnFormula>
    </tableColumn>
  </tableColumns>
  <tableStyleInfo showFirstColumn="0" showLastColumn="0" showRowStripes="1" showColumnStripes="0"/>
</table>
</file>

<file path=xl/tables/table5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8" xr:uid="{CC3BEEAC-0A27-4DA4-88FD-CAE6F240F9EE}" name="May11_2022" displayName="May11_2022" ref="B5:H23" totalsRowCount="1" headerRowDxfId="3050" headerRowBorderDxfId="3049" tableBorderDxfId="3048" totalsRowBorderDxfId="3047">
  <autoFilter ref="B5:H22" xr:uid="{9E303E2E-6027-49B6-9101-8DC7C15B029F}"/>
  <sortState xmlns:xlrd2="http://schemas.microsoft.com/office/spreadsheetml/2017/richdata2" ref="B6:H22">
    <sortCondition ref="B6:B22"/>
  </sortState>
  <tableColumns count="7">
    <tableColumn id="1" xr3:uid="{DE4C835C-FFF7-4BB3-B6C9-8B06B448FEAE}" name="BDC LIST" totalsRowLabel="Total" dataDxfId="3046" totalsRowDxfId="3045"/>
    <tableColumn id="2" xr3:uid="{C7311137-9CC3-472E-B2A5-861908F7431F}" name="KSI_AGO" totalsRowFunction="custom" dataDxfId="3044" totalsRowDxfId="3043" dataCellStyle="Comma">
      <totalsRowFormula>SUM(May11_2022[KSI_AGO])</totalsRowFormula>
    </tableColumn>
    <tableColumn id="3" xr3:uid="{6C236EEE-0F3D-4561-89B3-965BFCDC0708}" name="KSI_PMS" totalsRowFunction="sum" dataDxfId="3042" totalsRowDxfId="3041" dataCellStyle="Comma"/>
    <tableColumn id="4" xr3:uid="{5CC20418-82FD-4A2C-AEBA-8CC718D82DD5}" name="BUIPE_AGO" totalsRowFunction="custom" dataDxfId="3040" totalsRowDxfId="3039" dataCellStyle="Comma">
      <totalsRowFormula>SUM(May11_2022[BUIPE_AGO])</totalsRowFormula>
    </tableColumn>
    <tableColumn id="5" xr3:uid="{F7CE0A96-4AB4-4C69-876C-99534A2E9281}" name="BUIPE_PMS" totalsRowFunction="custom" dataDxfId="3038" totalsRowDxfId="3037" dataCellStyle="Comma">
      <totalsRowFormula>SUM(May11_2022[BUIPE_PMS])</totalsRowFormula>
    </tableColumn>
    <tableColumn id="6" xr3:uid="{8F1E3610-566B-4284-B6AA-4FCBDFBC4FC6}" name="AKOSOMBO_AGO" totalsRowFunction="custom" dataDxfId="3036" totalsRowDxfId="3035" dataCellStyle="Comma">
      <totalsRowFormula>SUM(May11_2022[AKOSOMBO_AGO])</totalsRowFormula>
    </tableColumn>
    <tableColumn id="7" xr3:uid="{3DBAC48A-E776-4F9E-A31C-9E0B70240AC7}" name="DATE" dataDxfId="3034" totalsRowDxfId="3033">
      <calculatedColumnFormula>$G$3</calculatedColumnFormula>
    </tableColumn>
  </tableColumns>
  <tableStyleInfo showFirstColumn="0" showLastColumn="0" showRowStripes="1" showColumnStripes="0"/>
</table>
</file>

<file path=xl/tables/table5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9" xr:uid="{8D1CDE63-4D4B-4AAB-81E1-AF42CDEEF94F}" name="May12_2022" displayName="May12_2022" ref="B5:H23" totalsRowCount="1" headerRowDxfId="3032" headerRowBorderDxfId="3031" tableBorderDxfId="3030" totalsRowBorderDxfId="3029">
  <autoFilter ref="B5:H22" xr:uid="{9E303E2E-6027-49B6-9101-8DC7C15B029F}"/>
  <sortState xmlns:xlrd2="http://schemas.microsoft.com/office/spreadsheetml/2017/richdata2" ref="B6:H22">
    <sortCondition ref="B6:B22"/>
  </sortState>
  <tableColumns count="7">
    <tableColumn id="1" xr3:uid="{996A6F62-C699-48E3-BCC7-18B86B51B58D}" name="BDC LIST" totalsRowLabel="Total" dataDxfId="3028" totalsRowDxfId="3027"/>
    <tableColumn id="2" xr3:uid="{14A38F1F-EF38-4B6A-96BB-B9048D77741C}" name="KSI_AGO" totalsRowFunction="custom" dataDxfId="3026" totalsRowDxfId="3025" dataCellStyle="Comma">
      <totalsRowFormula>SUM(May12_2022[KSI_AGO])</totalsRowFormula>
    </tableColumn>
    <tableColumn id="3" xr3:uid="{943F6A62-D765-4459-9470-BA1919F6D981}" name="KSI_PMS" totalsRowFunction="sum" dataDxfId="3024" totalsRowDxfId="3023" dataCellStyle="Comma"/>
    <tableColumn id="4" xr3:uid="{4A275036-6B2F-4614-A6F5-20D189A42165}" name="BUIPE_AGO" totalsRowFunction="custom" dataDxfId="3022" totalsRowDxfId="3021" dataCellStyle="Comma">
      <totalsRowFormula>SUM(May12_2022[BUIPE_AGO])</totalsRowFormula>
    </tableColumn>
    <tableColumn id="5" xr3:uid="{B919571D-5B2C-437C-8707-ECD4CDE2398D}" name="BUIPE_PMS" totalsRowFunction="custom" dataDxfId="3020" totalsRowDxfId="3019" dataCellStyle="Comma">
      <totalsRowFormula>SUM(May12_2022[BUIPE_PMS])</totalsRowFormula>
    </tableColumn>
    <tableColumn id="6" xr3:uid="{E22BDD08-6CFE-4C10-9789-285CD1D9D22D}" name="AKOSOMBO_AGO" totalsRowFunction="custom" dataDxfId="3018" totalsRowDxfId="3017" dataCellStyle="Comma">
      <totalsRowFormula>SUM(May12_2022[AKOSOMBO_AGO])</totalsRowFormula>
    </tableColumn>
    <tableColumn id="7" xr3:uid="{322DEB9B-4464-4ACE-8BFF-7AB759AF2B11}" name="DATE" dataDxfId="3016" totalsRowDxfId="3015">
      <calculatedColumnFormula>$G$3</calculatedColumnFormula>
    </tableColumn>
  </tableColumns>
  <tableStyleInfo showFirstColumn="0" showLastColumn="0" showRowStripes="1" showColumnStripes="0"/>
</table>
</file>

<file path=xl/tables/table5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0" xr:uid="{D2D125C7-D011-45E7-88C3-C3BFA198145D}" name="May13_2022" displayName="May13_2022" ref="B5:H23" totalsRowCount="1" headerRowDxfId="3014" headerRowBorderDxfId="3013" tableBorderDxfId="3012" totalsRowBorderDxfId="3011">
  <autoFilter ref="B5:H22" xr:uid="{9E303E2E-6027-49B6-9101-8DC7C15B029F}"/>
  <sortState xmlns:xlrd2="http://schemas.microsoft.com/office/spreadsheetml/2017/richdata2" ref="B6:H22">
    <sortCondition ref="B6:B22"/>
  </sortState>
  <tableColumns count="7">
    <tableColumn id="1" xr3:uid="{82E08F78-1CD8-4ED1-AD7E-3F864C05D10D}" name="BDC LIST" totalsRowLabel="Total" dataDxfId="3010" totalsRowDxfId="3009"/>
    <tableColumn id="2" xr3:uid="{FF382930-25A3-4AD7-9938-13FDD6A62B18}" name="KSI_AGO" totalsRowFunction="custom" dataDxfId="3008" totalsRowDxfId="3007" dataCellStyle="Comma">
      <totalsRowFormula>SUM(May13_2022[KSI_AGO])</totalsRowFormula>
    </tableColumn>
    <tableColumn id="3" xr3:uid="{7ABD4EC9-F577-4066-8E47-E76AE1822791}" name="KSI_PMS" totalsRowFunction="sum" dataDxfId="3006" totalsRowDxfId="3005" dataCellStyle="Comma"/>
    <tableColumn id="4" xr3:uid="{B4FF9821-4A4F-4FE0-BDF0-7DE82E410C7F}" name="BUIPE_AGO" totalsRowFunction="custom" dataDxfId="3004" totalsRowDxfId="3003" dataCellStyle="Comma">
      <totalsRowFormula>SUM(May13_2022[BUIPE_AGO])</totalsRowFormula>
    </tableColumn>
    <tableColumn id="5" xr3:uid="{3FEE5CC6-6535-4845-86DC-F41249A36BA9}" name="BUIPE_PMS" totalsRowFunction="custom" dataDxfId="3002" totalsRowDxfId="3001" dataCellStyle="Comma">
      <totalsRowFormula>SUM(May13_2022[BUIPE_PMS])</totalsRowFormula>
    </tableColumn>
    <tableColumn id="6" xr3:uid="{246B9261-E905-4501-8B4F-C1C03BF2A555}" name="AKOSOMBO_AGO" totalsRowFunction="custom" dataDxfId="3000" totalsRowDxfId="2999" dataCellStyle="Comma">
      <totalsRowFormula>SUM(May13_2022[AKOSOMBO_AGO])</totalsRowFormula>
    </tableColumn>
    <tableColumn id="7" xr3:uid="{53A2FD14-14A7-4123-9FC8-E692EB0FFC63}" name="DATE" dataDxfId="2998" totalsRowDxfId="2997">
      <calculatedColumnFormula>$G$3</calculatedColumnFormula>
    </tableColumn>
  </tableColumns>
  <tableStyleInfo showFirstColumn="0" showLastColumn="0" showRowStripes="1" showColumnStripes="0"/>
</table>
</file>

<file path=xl/tables/table5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1" xr:uid="{D13BA26A-D1C2-43DC-87DF-0E9D21FE7456}" name="May16_2022" displayName="May16_2022" ref="B5:H23" totalsRowCount="1" headerRowDxfId="2996" headerRowBorderDxfId="2995" tableBorderDxfId="2994" totalsRowBorderDxfId="2993">
  <autoFilter ref="B5:H22" xr:uid="{9E303E2E-6027-49B6-9101-8DC7C15B029F}"/>
  <sortState xmlns:xlrd2="http://schemas.microsoft.com/office/spreadsheetml/2017/richdata2" ref="B6:H22">
    <sortCondition ref="B6:B22"/>
  </sortState>
  <tableColumns count="7">
    <tableColumn id="1" xr3:uid="{BF7306A0-B3A9-4082-8224-F8635BC4A1A2}" name="BDC LIST" totalsRowLabel="Total" dataDxfId="2992" totalsRowDxfId="2991"/>
    <tableColumn id="2" xr3:uid="{81F4B8F2-A62D-4F50-9D7E-1DC500349D51}" name="KSI_AGO" totalsRowFunction="custom" dataDxfId="2990" totalsRowDxfId="2989" dataCellStyle="Comma">
      <totalsRowFormula>SUM(May16_2022[KSI_AGO])</totalsRowFormula>
    </tableColumn>
    <tableColumn id="3" xr3:uid="{321E1119-1743-4B9D-A2AA-DF86403BF231}" name="KSI_PMS" totalsRowFunction="sum" dataDxfId="2988" totalsRowDxfId="2987" dataCellStyle="Comma"/>
    <tableColumn id="4" xr3:uid="{08ADAFE8-891F-4CB5-BBD0-0EABCF2C840F}" name="BUIPE_AGO" totalsRowFunction="custom" dataDxfId="2986" totalsRowDxfId="2985" dataCellStyle="Comma">
      <totalsRowFormula>SUM(May16_2022[BUIPE_AGO])</totalsRowFormula>
    </tableColumn>
    <tableColumn id="5" xr3:uid="{F48FB215-6EAD-4A4B-BF5B-5718D7FE520B}" name="BUIPE_PMS" totalsRowFunction="custom" dataDxfId="2984" totalsRowDxfId="2983" dataCellStyle="Comma">
      <totalsRowFormula>SUM(May16_2022[BUIPE_PMS])</totalsRowFormula>
    </tableColumn>
    <tableColumn id="6" xr3:uid="{2BE42859-8999-43D4-B878-CAF0704E6FE7}" name="AKOSOMBO_AGO" totalsRowFunction="custom" dataDxfId="2982" totalsRowDxfId="2981" dataCellStyle="Comma">
      <totalsRowFormula>SUM(May16_2022[AKOSOMBO_AGO])</totalsRowFormula>
    </tableColumn>
    <tableColumn id="7" xr3:uid="{4721D7B2-2447-4487-9973-434C14CA4B2D}" name="DATE" dataDxfId="2980" totalsRowDxfId="2979">
      <calculatedColumnFormula>$G$3</calculatedColumnFormula>
    </tableColumn>
  </tableColumns>
  <tableStyleInfo showFirstColumn="0" showLastColumn="0" showRowStripes="1" showColumnStripes="0"/>
</table>
</file>

<file path=xl/tables/table5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2" xr:uid="{0BE79177-AA27-4F94-8017-ED0A63ED9778}" name="May17_2022" displayName="May17_2022" ref="B5:H23" totalsRowCount="1" headerRowDxfId="2978" headerRowBorderDxfId="2977" tableBorderDxfId="2976" totalsRowBorderDxfId="2975">
  <autoFilter ref="B5:H22" xr:uid="{9E303E2E-6027-49B6-9101-8DC7C15B029F}"/>
  <sortState xmlns:xlrd2="http://schemas.microsoft.com/office/spreadsheetml/2017/richdata2" ref="B6:H22">
    <sortCondition ref="B6:B22"/>
  </sortState>
  <tableColumns count="7">
    <tableColumn id="1" xr3:uid="{D3B214C7-FD56-41DA-A373-28D8901BD60D}" name="BDC LIST" totalsRowLabel="Total" dataDxfId="2974" totalsRowDxfId="2973"/>
    <tableColumn id="2" xr3:uid="{B3CCF9EC-C988-4830-97EF-3DA34600F78D}" name="KSI_AGO" totalsRowFunction="custom" dataDxfId="2972" totalsRowDxfId="2971" dataCellStyle="Comma">
      <totalsRowFormula>SUM(May17_2022[KSI_AGO])</totalsRowFormula>
    </tableColumn>
    <tableColumn id="3" xr3:uid="{71806B70-26E0-43B5-A0BF-E72ED50C0824}" name="KSI_PMS" totalsRowFunction="sum" dataDxfId="2970" totalsRowDxfId="2969" dataCellStyle="Comma"/>
    <tableColumn id="4" xr3:uid="{8E61ED8D-C508-48B9-8B0C-ECC0BBDB09C5}" name="BUIPE_AGO" totalsRowFunction="custom" dataDxfId="2968" totalsRowDxfId="2967" dataCellStyle="Comma">
      <totalsRowFormula>SUM(May17_2022[BUIPE_AGO])</totalsRowFormula>
    </tableColumn>
    <tableColumn id="5" xr3:uid="{47F82D20-7328-4FCD-9258-380A6A0FC5F0}" name="BUIPE_PMS" totalsRowFunction="custom" dataDxfId="2966" totalsRowDxfId="2965" dataCellStyle="Comma">
      <totalsRowFormula>SUM(May17_2022[BUIPE_PMS])</totalsRowFormula>
    </tableColumn>
    <tableColumn id="6" xr3:uid="{ADF1189A-7324-4689-9E8F-7218A2BE3B67}" name="AKOSOMBO_AGO" totalsRowFunction="custom" dataDxfId="2964" totalsRowDxfId="2963" dataCellStyle="Comma">
      <totalsRowFormula>SUM(May17_2022[AKOSOMBO_AGO])</totalsRowFormula>
    </tableColumn>
    <tableColumn id="7" xr3:uid="{C5DEA0BB-A290-4456-AA31-F1A868F79DBB}" name="DATE" dataDxfId="2962" totalsRowDxfId="2961">
      <calculatedColumnFormula>$G$3</calculatedColumnFormula>
    </tableColumn>
  </tableColumns>
  <tableStyleInfo showFirstColumn="0" showLastColumn="0" showRowStripes="1" showColumnStripes="0"/>
</table>
</file>

<file path=xl/tables/table5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3" xr:uid="{4F0EC8C8-1EEA-4CAE-B6F3-3801C0EA0DA5}" name="May18_2022" displayName="May18_2022" ref="B5:H23" totalsRowCount="1" headerRowDxfId="2960" headerRowBorderDxfId="2959" tableBorderDxfId="2958" totalsRowBorderDxfId="2957">
  <autoFilter ref="B5:H22" xr:uid="{9E303E2E-6027-49B6-9101-8DC7C15B029F}"/>
  <sortState xmlns:xlrd2="http://schemas.microsoft.com/office/spreadsheetml/2017/richdata2" ref="B6:H22">
    <sortCondition ref="B6:B22"/>
  </sortState>
  <tableColumns count="7">
    <tableColumn id="1" xr3:uid="{C2846BF5-2A58-4E2E-9778-92B29C9B2AA9}" name="BDC LIST" totalsRowLabel="Total" dataDxfId="2956" totalsRowDxfId="2955"/>
    <tableColumn id="2" xr3:uid="{41C41462-D1E0-4B1A-AFE0-7F647F0E94D2}" name="KSI_AGO" totalsRowFunction="custom" dataDxfId="2954" totalsRowDxfId="2953" dataCellStyle="Comma">
      <totalsRowFormula>SUM(May18_2022[KSI_AGO])</totalsRowFormula>
    </tableColumn>
    <tableColumn id="3" xr3:uid="{AFFEA5C5-F185-4688-A109-CF5CBF6FAA03}" name="KSI_PMS" totalsRowFunction="sum" dataDxfId="2952" totalsRowDxfId="2951" dataCellStyle="Comma"/>
    <tableColumn id="4" xr3:uid="{8CF95BE5-BE9E-423F-9916-854A679E306F}" name="BUIPE_AGO" totalsRowFunction="custom" dataDxfId="2950" totalsRowDxfId="2949" dataCellStyle="Comma">
      <totalsRowFormula>SUM(May18_2022[BUIPE_AGO])</totalsRowFormula>
    </tableColumn>
    <tableColumn id="5" xr3:uid="{22C39924-BB50-4A6B-87F1-19AF3F2CAEB4}" name="BUIPE_PMS" totalsRowFunction="custom" dataDxfId="2948" totalsRowDxfId="2947" dataCellStyle="Comma">
      <totalsRowFormula>SUM(May18_2022[BUIPE_PMS])</totalsRowFormula>
    </tableColumn>
    <tableColumn id="6" xr3:uid="{32316BDE-42B2-4CE0-8287-5F73D0BE65FD}" name="AKOSOMBO_AGO" totalsRowFunction="custom" dataDxfId="2946" totalsRowDxfId="2945" dataCellStyle="Comma">
      <totalsRowFormula>SUM(May18_2022[AKOSOMBO_AGO])</totalsRowFormula>
    </tableColumn>
    <tableColumn id="7" xr3:uid="{9C2425A8-F79B-46E9-996F-C7DBB35D1F3E}" name="DATE" dataDxfId="2944" totalsRowDxfId="2943">
      <calculatedColumnFormula>$G$3</calculatedColumnFormula>
    </tableColumn>
  </tableColumns>
  <tableStyleInfo showFirstColumn="0" showLastColumn="0" showRowStripes="1" showColumnStripes="0"/>
</table>
</file>

<file path=xl/tables/table5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4" xr:uid="{B37ED348-E64C-4543-A0F6-390E89976D12}" name="May19_2022" displayName="May19_2022" ref="B5:H23" totalsRowCount="1" headerRowDxfId="2942" headerRowBorderDxfId="2941" tableBorderDxfId="2940" totalsRowBorderDxfId="2939">
  <autoFilter ref="B5:H22" xr:uid="{9E303E2E-6027-49B6-9101-8DC7C15B029F}"/>
  <sortState xmlns:xlrd2="http://schemas.microsoft.com/office/spreadsheetml/2017/richdata2" ref="B6:H22">
    <sortCondition ref="B6:B22"/>
  </sortState>
  <tableColumns count="7">
    <tableColumn id="1" xr3:uid="{4552560E-495E-47C8-B24C-E9AF87C8C175}" name="BDC LIST" totalsRowLabel="Total" dataDxfId="2938" totalsRowDxfId="2937"/>
    <tableColumn id="2" xr3:uid="{43B166FD-B601-4340-A149-3BACE83CCE13}" name="KSI_AGO" totalsRowFunction="custom" dataDxfId="2936" totalsRowDxfId="2935" dataCellStyle="Comma">
      <totalsRowFormula>SUM(May19_2022[KSI_AGO])</totalsRowFormula>
    </tableColumn>
    <tableColumn id="3" xr3:uid="{9C917CAE-EFD4-43B3-8306-9CF62DA344D2}" name="KSI_PMS" totalsRowFunction="sum" dataDxfId="2934" totalsRowDxfId="2933" dataCellStyle="Comma"/>
    <tableColumn id="4" xr3:uid="{5F908132-B75B-4ACD-BD23-2799AD30AC09}" name="BUIPE_AGO" totalsRowFunction="custom" dataDxfId="2932" totalsRowDxfId="2931" dataCellStyle="Comma">
      <totalsRowFormula>SUM(May19_2022[BUIPE_AGO])</totalsRowFormula>
    </tableColumn>
    <tableColumn id="5" xr3:uid="{40102699-E3D2-4A1D-B001-69BA5F808E89}" name="BUIPE_PMS" totalsRowFunction="custom" dataDxfId="2930" totalsRowDxfId="2929" dataCellStyle="Comma">
      <totalsRowFormula>SUM(May19_2022[BUIPE_PMS])</totalsRowFormula>
    </tableColumn>
    <tableColumn id="6" xr3:uid="{7A31D282-ABC0-4541-93AD-F0F852792989}" name="AKOSOMBO_AGO" totalsRowFunction="custom" dataDxfId="2928" totalsRowDxfId="2927" dataCellStyle="Comma">
      <totalsRowFormula>SUM(May19_2022[AKOSOMBO_AGO])</totalsRowFormula>
    </tableColumn>
    <tableColumn id="7" xr3:uid="{7D8AE6E7-DE03-48A7-A4D1-6537806A9065}" name="DATE" dataDxfId="2926" totalsRowDxfId="2925">
      <calculatedColumnFormula>$G$3</calculatedColumnFormula>
    </tableColumn>
  </tableColumns>
  <tableStyleInfo showFirstColumn="0" showLastColumn="0" showRowStripes="1" showColumnStripes="0"/>
</table>
</file>

<file path=xl/tables/table5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5" xr:uid="{0E83B474-7BDA-43E2-B525-FF7D82A53EC0}" name="May19_202216" displayName="May19_202216" ref="B5:H23" totalsRowCount="1" headerRowDxfId="2924" headerRowBorderDxfId="2923" tableBorderDxfId="2922" totalsRowBorderDxfId="2921">
  <autoFilter ref="B5:H22" xr:uid="{9E303E2E-6027-49B6-9101-8DC7C15B029F}"/>
  <sortState xmlns:xlrd2="http://schemas.microsoft.com/office/spreadsheetml/2017/richdata2" ref="B6:H22">
    <sortCondition ref="B6:B22"/>
  </sortState>
  <tableColumns count="7">
    <tableColumn id="1" xr3:uid="{5C59AC3B-2A79-48F5-B7C8-BD9C4576F06B}" name="BDC LIST" totalsRowLabel="Total" dataDxfId="2920" totalsRowDxfId="2919"/>
    <tableColumn id="2" xr3:uid="{A4AA01FF-3E89-440B-B190-0796CF699136}" name="KSI_AGO" totalsRowFunction="custom" dataDxfId="2918" totalsRowDxfId="2917" dataCellStyle="Comma">
      <totalsRowFormula>SUM(May19_202216[KSI_AGO])</totalsRowFormula>
    </tableColumn>
    <tableColumn id="3" xr3:uid="{8EE2F351-B0DF-4BB0-AD1B-D10452F660A1}" name="KSI_PMS" totalsRowFunction="sum" dataDxfId="2916" totalsRowDxfId="2915" dataCellStyle="Comma"/>
    <tableColumn id="4" xr3:uid="{43F48037-36AE-4269-BCC1-B903DD4CFAE8}" name="BUIPE_AGO" totalsRowFunction="custom" dataDxfId="2914" totalsRowDxfId="2913" dataCellStyle="Comma">
      <totalsRowFormula>SUM(May19_202216[BUIPE_AGO])</totalsRowFormula>
    </tableColumn>
    <tableColumn id="5" xr3:uid="{70BAC96E-7591-4553-B659-0F918DBFF57E}" name="BUIPE_PMS" totalsRowFunction="custom" dataDxfId="2912" totalsRowDxfId="2911" dataCellStyle="Comma">
      <totalsRowFormula>SUM(May19_202216[BUIPE_PMS])</totalsRowFormula>
    </tableColumn>
    <tableColumn id="6" xr3:uid="{EF1B5615-0063-46F2-AB60-F034834904FE}" name="AKOSOMBO_AGO" totalsRowFunction="custom" dataDxfId="2910" totalsRowDxfId="2909" dataCellStyle="Comma">
      <totalsRowFormula>SUM(May19_202216[AKOSOMBO_AGO])</totalsRowFormula>
    </tableColumn>
    <tableColumn id="7" xr3:uid="{2BA34E48-D351-4EC0-B759-63D54D139EEF}" name="DATE" dataDxfId="2908" totalsRowDxfId="2907">
      <calculatedColumnFormula>$G$3</calculatedColumnFormula>
    </tableColumn>
  </tableColumns>
  <tableStyleInfo showFirstColumn="0" showLastColumn="0" showRowStripes="1" showColumnStripes="0"/>
</table>
</file>

<file path=xl/tables/table5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6" xr:uid="{AEAC1CAE-4771-4A18-BAF6-FA23F690345B}" name="May23_2022" displayName="May23_2022" ref="B5:H23" totalsRowCount="1" headerRowDxfId="2906" headerRowBorderDxfId="2905" tableBorderDxfId="2904" totalsRowBorderDxfId="2903">
  <autoFilter ref="B5:H22" xr:uid="{9E303E2E-6027-49B6-9101-8DC7C15B029F}"/>
  <sortState xmlns:xlrd2="http://schemas.microsoft.com/office/spreadsheetml/2017/richdata2" ref="B6:H22">
    <sortCondition ref="B6:B22"/>
  </sortState>
  <tableColumns count="7">
    <tableColumn id="1" xr3:uid="{53174A95-3401-40B3-A8A3-0C9702A8281E}" name="BDC LIST" totalsRowLabel="Total" dataDxfId="2902" totalsRowDxfId="2901"/>
    <tableColumn id="2" xr3:uid="{6BA62A8F-3DEB-4D04-9618-2358C54CEFD5}" name="KSI_AGO" totalsRowFunction="custom" dataDxfId="2900" totalsRowDxfId="2899" dataCellStyle="Comma">
      <totalsRowFormula>SUM(May23_2022[KSI_AGO])</totalsRowFormula>
    </tableColumn>
    <tableColumn id="3" xr3:uid="{1AAF7F86-2935-488F-94E7-610C1B0FD7B3}" name="KSI_PMS" totalsRowFunction="sum" dataDxfId="2898" totalsRowDxfId="2897" dataCellStyle="Comma"/>
    <tableColumn id="4" xr3:uid="{4F3CA0EC-B316-417C-9C01-938BD045005F}" name="BUIPE_AGO" totalsRowFunction="custom" dataDxfId="2896" totalsRowDxfId="2895" dataCellStyle="Comma">
      <totalsRowFormula>SUM(May23_2022[BUIPE_AGO])</totalsRowFormula>
    </tableColumn>
    <tableColumn id="5" xr3:uid="{4C8B7B58-5447-411D-ADDC-2EADF140EF86}" name="BUIPE_PMS" totalsRowFunction="custom" dataDxfId="2894" totalsRowDxfId="2893" dataCellStyle="Comma">
      <totalsRowFormula>SUM(May23_2022[BUIPE_PMS])</totalsRowFormula>
    </tableColumn>
    <tableColumn id="6" xr3:uid="{7895B837-155E-4927-9111-72BF74FBCAE4}" name="AKOSOMBO_AGO" totalsRowFunction="custom" dataDxfId="2892" totalsRowDxfId="2891" dataCellStyle="Comma">
      <totalsRowFormula>SUM(May23_2022[AKOSOMBO_AGO])</totalsRowFormula>
    </tableColumn>
    <tableColumn id="7" xr3:uid="{A31145A5-46A3-4E32-B36C-7876DE388D8F}" name="DATE" dataDxfId="2890" totalsRowDxfId="2889">
      <calculatedColumnFormula>$G$3</calculatedColumnFormula>
    </tableColumn>
  </tableColumns>
  <tableStyleInfo showFirstColumn="0" showLastColumn="0" showRowStripes="1" showColumnStripes="0"/>
</table>
</file>

<file path=xl/tables/table5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7" xr:uid="{D854B681-97F3-4F23-84F5-F694BA988FDD}" name="May24_2022" displayName="May24_2022" ref="B5:H23" totalsRowCount="1" headerRowDxfId="2888" headerRowBorderDxfId="2887" tableBorderDxfId="2886" totalsRowBorderDxfId="2885">
  <autoFilter ref="B5:H22" xr:uid="{9E303E2E-6027-49B6-9101-8DC7C15B029F}"/>
  <sortState xmlns:xlrd2="http://schemas.microsoft.com/office/spreadsheetml/2017/richdata2" ref="B6:H22">
    <sortCondition ref="B6:B22"/>
  </sortState>
  <tableColumns count="7">
    <tableColumn id="1" xr3:uid="{B967FBF8-49F3-4E80-A0FE-90FF95AA081A}" name="BDC LIST" totalsRowLabel="Total" dataDxfId="2884" totalsRowDxfId="2883"/>
    <tableColumn id="2" xr3:uid="{3770B76C-2556-4989-A0CE-7CC601C8F1F3}" name="KSI_AGO" totalsRowFunction="custom" dataDxfId="2882" totalsRowDxfId="2881" dataCellStyle="Comma">
      <totalsRowFormula>SUM(May24_2022[KSI_AGO])</totalsRowFormula>
    </tableColumn>
    <tableColumn id="3" xr3:uid="{78E7D3FB-7C27-410B-8430-FE2BBACA998B}" name="KSI_PMS" totalsRowFunction="sum" dataDxfId="2880" totalsRowDxfId="2879" dataCellStyle="Comma"/>
    <tableColumn id="4" xr3:uid="{2A4E0381-5392-4D64-AA7B-11A2535A72DE}" name="BUIPE_AGO" totalsRowFunction="custom" dataDxfId="2878" totalsRowDxfId="2877" dataCellStyle="Comma">
      <totalsRowFormula>SUM(May24_2022[BUIPE_AGO])</totalsRowFormula>
    </tableColumn>
    <tableColumn id="5" xr3:uid="{B6B3E2A5-FF02-41BF-B991-BAA5E7DD455D}" name="BUIPE_PMS" totalsRowFunction="custom" dataDxfId="2876" totalsRowDxfId="2875" dataCellStyle="Comma">
      <totalsRowFormula>SUM(May24_2022[BUIPE_PMS])</totalsRowFormula>
    </tableColumn>
    <tableColumn id="6" xr3:uid="{5DA09890-89F7-420E-9ADD-8CDE1F999AFF}" name="AKOSOMBO_AGO" totalsRowFunction="custom" dataDxfId="2874" totalsRowDxfId="2873" dataCellStyle="Comma">
      <totalsRowFormula>SUM(May24_2022[AKOSOMBO_AGO])</totalsRowFormula>
    </tableColumn>
    <tableColumn id="7" xr3:uid="{80BC516E-139C-4DFD-A629-FF6CC62F87C9}" name="DATE" dataDxfId="2872" totalsRowDxfId="2871">
      <calculatedColumnFormula>$G$3</calculatedColumnFormula>
    </tableColumn>
  </tableColumns>
  <tableStyleInfo showFirstColumn="0" showLastColumn="0" showRowStripes="1" showColumnStripes="0"/>
</table>
</file>

<file path=xl/tables/table5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8" xr:uid="{36BCBC96-41AC-4BE6-99FE-4FB297E88FEF}" name="May25_2022" displayName="May25_2022" ref="B5:H23" totalsRowCount="1" headerRowDxfId="2870" headerRowBorderDxfId="2869" tableBorderDxfId="2868" totalsRowBorderDxfId="2867">
  <autoFilter ref="B5:H22" xr:uid="{9E303E2E-6027-49B6-9101-8DC7C15B029F}"/>
  <sortState xmlns:xlrd2="http://schemas.microsoft.com/office/spreadsheetml/2017/richdata2" ref="B6:H22">
    <sortCondition ref="B6:B22"/>
  </sortState>
  <tableColumns count="7">
    <tableColumn id="1" xr3:uid="{938C0454-EE53-4F8D-99EA-4DFC526E3E56}" name="BDC LIST" totalsRowLabel="Total" dataDxfId="2866" totalsRowDxfId="2865"/>
    <tableColumn id="2" xr3:uid="{DBAF96DE-A384-4519-9D14-698D958BE0CE}" name="KSI_AGO" totalsRowFunction="custom" dataDxfId="2864" totalsRowDxfId="2863" dataCellStyle="Comma">
      <totalsRowFormula>SUM(May25_2022[KSI_AGO])</totalsRowFormula>
    </tableColumn>
    <tableColumn id="3" xr3:uid="{90C95068-DD53-4AAF-9782-2518770FEA6F}" name="KSI_PMS" totalsRowFunction="sum" dataDxfId="2862" totalsRowDxfId="2861" dataCellStyle="Comma"/>
    <tableColumn id="4" xr3:uid="{05FF316E-F831-4B0D-AD24-4D69DCEDB7D9}" name="BUIPE_AGO" totalsRowFunction="custom" dataDxfId="2860" totalsRowDxfId="2859" dataCellStyle="Comma">
      <totalsRowFormula>SUM(May25_2022[BUIPE_AGO])</totalsRowFormula>
    </tableColumn>
    <tableColumn id="5" xr3:uid="{5FA695AA-38BE-41DC-9EC3-3D0004F311C8}" name="BUIPE_PMS" totalsRowFunction="custom" dataDxfId="2858" totalsRowDxfId="2857" dataCellStyle="Comma">
      <totalsRowFormula>SUM(May25_2022[BUIPE_PMS])</totalsRowFormula>
    </tableColumn>
    <tableColumn id="6" xr3:uid="{E32930DD-2686-4E1C-AA49-3DC240F603D9}" name="AKOSOMBO_AGO" totalsRowFunction="custom" dataDxfId="2856" totalsRowDxfId="2855" dataCellStyle="Comma">
      <totalsRowFormula>SUM(May25_2022[AKOSOMBO_AGO])</totalsRowFormula>
    </tableColumn>
    <tableColumn id="7" xr3:uid="{730C5EA2-1346-4F79-A6BC-193BBDFDA7EE}" name="DATE" dataDxfId="2854" totalsRowDxfId="2853">
      <calculatedColumnFormula>$G$3</calculatedColumnFormula>
    </tableColumn>
  </tableColumns>
  <tableStyleInfo showFirstColumn="0" showLastColumn="0" showRowStripes="1" showColumnStripes="0"/>
</table>
</file>

<file path=xl/tables/table5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9" xr:uid="{8E04EB63-97E7-44E4-B481-705EBEBA70EC}" name="May25_2022263" displayName="May25_2022263" ref="B5:H23" totalsRowCount="1" headerRowDxfId="2852" headerRowBorderDxfId="2851" tableBorderDxfId="2850" totalsRowBorderDxfId="2849">
  <autoFilter ref="B5:H22" xr:uid="{9E303E2E-6027-49B6-9101-8DC7C15B029F}"/>
  <sortState xmlns:xlrd2="http://schemas.microsoft.com/office/spreadsheetml/2017/richdata2" ref="B6:H22">
    <sortCondition ref="B6:B22"/>
  </sortState>
  <tableColumns count="7">
    <tableColumn id="1" xr3:uid="{A4C76954-D93E-4579-8341-479AC76BC315}" name="BDC LIST" totalsRowLabel="Total" dataDxfId="2848" totalsRowDxfId="2847"/>
    <tableColumn id="2" xr3:uid="{293D045D-F24C-43D3-9E5C-E71AFA3EC64A}" name="KSI_AGO" totalsRowFunction="custom" dataDxfId="2846" totalsRowDxfId="2845" dataCellStyle="Comma">
      <totalsRowFormula>SUM(May25_2022263[KSI_AGO])</totalsRowFormula>
    </tableColumn>
    <tableColumn id="3" xr3:uid="{F200B20A-0261-4C74-AA0F-C0466E1DA720}" name="KSI_PMS" totalsRowFunction="sum" dataDxfId="2844" totalsRowDxfId="2843" dataCellStyle="Comma"/>
    <tableColumn id="4" xr3:uid="{D0BED4AD-9CA1-42D0-98D3-3A2E950B94DE}" name="BUIPE_AGO" totalsRowFunction="custom" dataDxfId="2842" totalsRowDxfId="2841" dataCellStyle="Comma">
      <totalsRowFormula>SUM(May25_2022263[BUIPE_AGO])</totalsRowFormula>
    </tableColumn>
    <tableColumn id="5" xr3:uid="{08AC3C52-04F3-41D4-AB4F-2B3C26AD22F4}" name="BUIPE_PMS" totalsRowFunction="custom" dataDxfId="2840" totalsRowDxfId="2839" dataCellStyle="Comma">
      <totalsRowFormula>SUM(May25_2022263[BUIPE_PMS])</totalsRowFormula>
    </tableColumn>
    <tableColumn id="6" xr3:uid="{1D8883CC-5572-487F-B8B9-38AF0BBAAA5F}" name="AKOSOMBO_AGO" totalsRowFunction="custom" dataDxfId="2838" totalsRowDxfId="2837" dataCellStyle="Comma">
      <totalsRowFormula>SUM(May25_2022263[AKOSOMBO_AGO])</totalsRowFormula>
    </tableColumn>
    <tableColumn id="7" xr3:uid="{4FF9422C-4968-4E23-8036-B8AD420A7A4C}" name="DATE" dataDxfId="2836" totalsRowDxfId="2835">
      <calculatedColumnFormula>$G$3</calculatedColumnFormula>
    </tableColumn>
  </tableColumns>
  <tableStyleInfo showFirstColumn="0" showLastColumn="0" showRowStripes="1" showColumnStripes="0"/>
</table>
</file>

<file path=xl/tables/table5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0" xr:uid="{5A1A74F1-07B0-4551-B263-CD36C11F38E6}" name="May27_2022" displayName="May27_2022" ref="B5:H23" totalsRowCount="1" headerRowDxfId="2834" headerRowBorderDxfId="2833" tableBorderDxfId="2832" totalsRowBorderDxfId="2831">
  <autoFilter ref="B5:H22" xr:uid="{44AA011A-2ACC-4886-A69B-550EF3190476}"/>
  <sortState xmlns:xlrd2="http://schemas.microsoft.com/office/spreadsheetml/2017/richdata2" ref="B6:H22">
    <sortCondition ref="B6:B22"/>
  </sortState>
  <tableColumns count="7">
    <tableColumn id="1" xr3:uid="{E461DEC9-3D94-43DA-91B0-6524E2D526A2}" name="BDC LIST" totalsRowLabel="Total" dataDxfId="2830" totalsRowDxfId="2829"/>
    <tableColumn id="2" xr3:uid="{A79104D3-68B5-4FA7-9F37-47847E7B4CC9}" name="KSI_AGO" totalsRowFunction="custom" dataDxfId="2828" totalsRowDxfId="2827" dataCellStyle="Comma">
      <totalsRowFormula>SUM(May27_2022[KSI_AGO])</totalsRowFormula>
    </tableColumn>
    <tableColumn id="3" xr3:uid="{52BD87AE-CA28-42AA-8E77-959B9FEDDEB3}" name="KSI_PMS" totalsRowFunction="sum" dataDxfId="2826" totalsRowDxfId="2825" dataCellStyle="Comma"/>
    <tableColumn id="4" xr3:uid="{6282D31F-EDF7-4486-A0DD-693A0EEF6DAD}" name="BUIPE_AGO" totalsRowFunction="custom" dataDxfId="2824" totalsRowDxfId="2823" dataCellStyle="Comma">
      <totalsRowFormula>SUM(May27_2022[BUIPE_AGO])</totalsRowFormula>
    </tableColumn>
    <tableColumn id="5" xr3:uid="{5E972845-8486-444F-87ED-ACE35CD53CD3}" name="BUIPE_PMS" totalsRowFunction="custom" dataDxfId="2822" totalsRowDxfId="2821" dataCellStyle="Comma">
      <totalsRowFormula>SUM(May27_2022[BUIPE_PMS])</totalsRowFormula>
    </tableColumn>
    <tableColumn id="6" xr3:uid="{4F8A3554-A7C7-4F4F-911A-03F22A0CB17B}" name="AKOSOMBO_AGO" totalsRowFunction="custom" dataDxfId="2820" totalsRowDxfId="2819" dataCellStyle="Comma">
      <totalsRowFormula>SUM(May27_2022[AKOSOMBO_AGO])</totalsRowFormula>
    </tableColumn>
    <tableColumn id="7" xr3:uid="{99CB91E8-67DE-40AA-BF9F-AF9A1A7F6394}" name="DATE" dataDxfId="2818" totalsRowDxfId="2817">
      <calculatedColumnFormula>$G$3</calculatedColumnFormula>
    </tableColumn>
  </tableColumns>
  <tableStyleInfo showFirstColumn="0" showLastColumn="0" showRowStripes="1" showColumnStripes="0"/>
</table>
</file>

<file path=xl/tables/table5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3" xr:uid="{4900092B-9FC8-4A45-84A3-95A7250E00EC}" name="May30_2022" displayName="May30_2022" ref="B5:H23" totalsRowCount="1" headerRowDxfId="2816" headerRowBorderDxfId="2815" tableBorderDxfId="2814" totalsRowBorderDxfId="2813">
  <autoFilter ref="B5:H22" xr:uid="{44AA011A-2ACC-4886-A69B-550EF3190476}"/>
  <sortState xmlns:xlrd2="http://schemas.microsoft.com/office/spreadsheetml/2017/richdata2" ref="B6:H22">
    <sortCondition ref="B6:B22"/>
  </sortState>
  <tableColumns count="7">
    <tableColumn id="1" xr3:uid="{08467A7F-1008-4F99-8C3C-A3F667BC96C1}" name="BDC LIST" totalsRowLabel="Total" dataDxfId="2812" totalsRowDxfId="2811"/>
    <tableColumn id="2" xr3:uid="{C935889E-2D60-4F2D-99F7-7F0E2F332596}" name="KSI_AGO" totalsRowFunction="custom" dataDxfId="2810" totalsRowDxfId="2809" dataCellStyle="Comma">
      <totalsRowFormula>SUM(May30_2022[KSI_AGO])</totalsRowFormula>
    </tableColumn>
    <tableColumn id="3" xr3:uid="{3E84F240-4EF6-4D55-8968-A1FDB3A47C56}" name="KSI_PMS" totalsRowFunction="sum" dataDxfId="2808" totalsRowDxfId="2807" dataCellStyle="Comma"/>
    <tableColumn id="4" xr3:uid="{54121A1E-9C22-4ABD-AB13-AD42AF4537C1}" name="BUIPE_AGO" totalsRowFunction="custom" dataDxfId="2806" totalsRowDxfId="2805" dataCellStyle="Comma">
      <totalsRowFormula>SUM(May30_2022[BUIPE_AGO])</totalsRowFormula>
    </tableColumn>
    <tableColumn id="5" xr3:uid="{EAB05947-E52D-45BC-BBB2-2EC117904F42}" name="BUIPE_PMS" totalsRowFunction="custom" dataDxfId="2804" totalsRowDxfId="2803" dataCellStyle="Comma">
      <totalsRowFormula>SUM(May30_2022[BUIPE_PMS])</totalsRowFormula>
    </tableColumn>
    <tableColumn id="6" xr3:uid="{AC8B2F01-5160-4661-B4F5-60F7FDFF6B4E}" name="AKOSOMBO_AGO" totalsRowFunction="custom" dataDxfId="2802" totalsRowDxfId="2801" dataCellStyle="Comma">
      <totalsRowFormula>SUM(May30_2022[AKOSOMBO_AGO])</totalsRowFormula>
    </tableColumn>
    <tableColumn id="7" xr3:uid="{F8C4F2D4-E406-4BF1-ACF1-F3B4D7274B00}" name="DATE" dataDxfId="2800" totalsRowDxfId="2799">
      <calculatedColumnFormula>$G$3</calculatedColumnFormula>
    </tableColumn>
  </tableColumns>
  <tableStyleInfo showFirstColumn="0" showLastColumn="0" showRowStripes="1" showColumnStripes="0"/>
</table>
</file>

<file path=xl/tables/table6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2" xr:uid="{14EF17E2-35B0-4E1D-8A5F-9B6D0E8D8529}" name="May31_2022" displayName="May31_2022" ref="B5:H23" totalsRowCount="1" headerRowDxfId="2798" headerRowBorderDxfId="2797" tableBorderDxfId="2796" totalsRowBorderDxfId="2795">
  <autoFilter ref="B5:H22" xr:uid="{44AA011A-2ACC-4886-A69B-550EF3190476}"/>
  <sortState xmlns:xlrd2="http://schemas.microsoft.com/office/spreadsheetml/2017/richdata2" ref="B6:H22">
    <sortCondition ref="B6:B22"/>
  </sortState>
  <tableColumns count="7">
    <tableColumn id="1" xr3:uid="{9FCB7E45-809B-4CA7-81D0-3F14E17B48F4}" name="BDC LIST" totalsRowLabel="Total" dataDxfId="2794" totalsRowDxfId="2793"/>
    <tableColumn id="2" xr3:uid="{A9AA0539-1685-46A2-800D-A65AC09872B3}" name="KSI_AGO" totalsRowFunction="custom" dataDxfId="2792" totalsRowDxfId="2791" dataCellStyle="Comma">
      <totalsRowFormula>SUM(May31_2022[KSI_AGO])</totalsRowFormula>
    </tableColumn>
    <tableColumn id="3" xr3:uid="{41C9266D-58E0-46E5-B48A-BEE1FAF2AE8D}" name="KSI_PMS" totalsRowFunction="sum" dataDxfId="2790" totalsRowDxfId="2789" dataCellStyle="Comma"/>
    <tableColumn id="4" xr3:uid="{77581CD4-8957-4037-AF27-AC0240BBDC16}" name="BUIPE_AGO" totalsRowFunction="custom" dataDxfId="2788" totalsRowDxfId="2787" dataCellStyle="Comma">
      <totalsRowFormula>SUM(May31_2022[BUIPE_AGO])</totalsRowFormula>
    </tableColumn>
    <tableColumn id="5" xr3:uid="{D6151DC8-12D3-4EBE-ABF1-ED2B7D869CB2}" name="BUIPE_PMS" totalsRowFunction="custom" dataDxfId="2786" totalsRowDxfId="2785" dataCellStyle="Comma">
      <totalsRowFormula>SUM(May31_2022[BUIPE_PMS])</totalsRowFormula>
    </tableColumn>
    <tableColumn id="6" xr3:uid="{C6C318C5-3456-405A-AD69-F857A9AED6B1}" name="AKOSOMBO_AGO" totalsRowFunction="custom" dataDxfId="2784" totalsRowDxfId="2783" dataCellStyle="Comma">
      <totalsRowFormula>SUM(May31_2022[AKOSOMBO_AGO])</totalsRowFormula>
    </tableColumn>
    <tableColumn id="7" xr3:uid="{DF1DA11B-4C67-4CFC-8DA8-14A2D7564794}" name="DATE" dataDxfId="2782" totalsRowDxfId="2781">
      <calculatedColumnFormula>$G$3</calculatedColumnFormula>
    </tableColumn>
  </tableColumns>
  <tableStyleInfo showFirstColumn="0" showLastColumn="0" showRowStripes="1" showColumnStripes="0"/>
</table>
</file>

<file path=xl/tables/table6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4" xr:uid="{F2533581-4EE3-4585-8424-FEA1D533DEBE}" name="June1_2022" displayName="June1_2022" ref="B5:H23" totalsRowCount="1" headerRowDxfId="2780" headerRowBorderDxfId="2779" tableBorderDxfId="2778" totalsRowBorderDxfId="2777">
  <autoFilter ref="B5:H22" xr:uid="{44AA011A-2ACC-4886-A69B-550EF3190476}"/>
  <sortState xmlns:xlrd2="http://schemas.microsoft.com/office/spreadsheetml/2017/richdata2" ref="B6:H22">
    <sortCondition ref="B6:B22"/>
  </sortState>
  <tableColumns count="7">
    <tableColumn id="1" xr3:uid="{341C17B1-E102-4BE0-8E64-65B87C80BA9D}" name="BDC LIST" totalsRowLabel="Total" dataDxfId="2776" totalsRowDxfId="2775"/>
    <tableColumn id="2" xr3:uid="{DEC17E63-64FD-4F87-B905-5E0F273A6519}" name="KSI_AGO" totalsRowFunction="custom" dataDxfId="2774" totalsRowDxfId="2773" dataCellStyle="Comma">
      <totalsRowFormula>SUM(June1_2022[KSI_AGO])</totalsRowFormula>
    </tableColumn>
    <tableColumn id="3" xr3:uid="{D937B175-3C00-46DC-A6D8-3DF8603A2D79}" name="KSI_PMS" totalsRowFunction="sum" dataDxfId="2772" totalsRowDxfId="2771" dataCellStyle="Comma"/>
    <tableColumn id="4" xr3:uid="{29FC0E9E-3315-4AEF-8E2C-936D423DF59F}" name="BUIPE_AGO" totalsRowFunction="custom" dataDxfId="2770" totalsRowDxfId="2769" dataCellStyle="Comma">
      <totalsRowFormula>SUM(June1_2022[BUIPE_AGO])</totalsRowFormula>
    </tableColumn>
    <tableColumn id="5" xr3:uid="{9A37A35D-6E09-4F43-94FF-10175E188972}" name="BUIPE_PMS" totalsRowFunction="custom" dataDxfId="2768" totalsRowDxfId="2767" dataCellStyle="Comma">
      <totalsRowFormula>SUM(June1_2022[BUIPE_PMS])</totalsRowFormula>
    </tableColumn>
    <tableColumn id="6" xr3:uid="{9A0DFC62-2FEF-4A8D-AF05-ABCE99456014}" name="AKOSOMBO_AGO" totalsRowFunction="custom" dataDxfId="2766" totalsRowDxfId="2765" dataCellStyle="Comma">
      <totalsRowFormula>SUM(June1_2022[AKOSOMBO_AGO])</totalsRowFormula>
    </tableColumn>
    <tableColumn id="7" xr3:uid="{90CB2A51-76DB-4D5F-B3F1-614CE2FC7BD7}" name="DATE" dataDxfId="2764" totalsRowDxfId="2763">
      <calculatedColumnFormula>$G$3</calculatedColumnFormula>
    </tableColumn>
  </tableColumns>
  <tableStyleInfo showFirstColumn="0" showLastColumn="0" showRowStripes="1" showColumnStripes="0"/>
</table>
</file>

<file path=xl/tables/table6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5" xr:uid="{ABFF7EDE-3C80-498D-876C-C905F16204D5}" name="June2_2022" displayName="June2_2022" ref="B5:H23" totalsRowCount="1" headerRowDxfId="2762" headerRowBorderDxfId="2761" tableBorderDxfId="2760" totalsRowBorderDxfId="2759">
  <autoFilter ref="B5:H22" xr:uid="{44AA011A-2ACC-4886-A69B-550EF3190476}"/>
  <sortState xmlns:xlrd2="http://schemas.microsoft.com/office/spreadsheetml/2017/richdata2" ref="B6:H22">
    <sortCondition ref="B6:B22"/>
  </sortState>
  <tableColumns count="7">
    <tableColumn id="1" xr3:uid="{97D10351-929E-4A8F-980B-C879A681818D}" name="BDC LIST" totalsRowLabel="Total" dataDxfId="2758" totalsRowDxfId="2757"/>
    <tableColumn id="2" xr3:uid="{6A4E6315-32C5-43D2-B606-9D5AC0A30D2B}" name="KSI_AGO" totalsRowFunction="custom" dataDxfId="2756" totalsRowDxfId="2755" dataCellStyle="Comma">
      <totalsRowFormula>SUM(June2_2022[KSI_AGO])</totalsRowFormula>
    </tableColumn>
    <tableColumn id="3" xr3:uid="{5EF0C9B4-7D9A-4A11-A34A-43466E44C957}" name="KSI_PMS" totalsRowFunction="sum" dataDxfId="2754" totalsRowDxfId="2753" dataCellStyle="Comma"/>
    <tableColumn id="4" xr3:uid="{50DC7CCC-B0A4-4D44-8018-FF60DBD71260}" name="BUIPE_AGO" totalsRowFunction="custom" dataDxfId="2752" totalsRowDxfId="2751" dataCellStyle="Comma">
      <totalsRowFormula>SUM(June2_2022[BUIPE_AGO])</totalsRowFormula>
    </tableColumn>
    <tableColumn id="5" xr3:uid="{9CCC4A4C-4CE5-4E69-942A-C0718F154382}" name="BUIPE_PMS" totalsRowFunction="custom" dataDxfId="2750" totalsRowDxfId="2749" dataCellStyle="Comma">
      <totalsRowFormula>SUM(June2_2022[BUIPE_PMS])</totalsRowFormula>
    </tableColumn>
    <tableColumn id="6" xr3:uid="{A63080D2-9115-4471-A2DD-2C401474E12B}" name="AKOSOMBO_AGO" totalsRowFunction="custom" dataDxfId="2748" totalsRowDxfId="2747" dataCellStyle="Comma">
      <totalsRowFormula>SUM(June2_2022[AKOSOMBO_AGO])</totalsRowFormula>
    </tableColumn>
    <tableColumn id="7" xr3:uid="{165AB0BE-EFC2-4081-8446-E28F678CF711}" name="DATE" dataDxfId="2746" totalsRowDxfId="2745">
      <calculatedColumnFormula>$G$3</calculatedColumnFormula>
    </tableColumn>
  </tableColumns>
  <tableStyleInfo showFirstColumn="0" showLastColumn="0" showRowStripes="1" showColumnStripes="0"/>
</table>
</file>

<file path=xl/tables/table6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6" xr:uid="{7B3BFD78-52A8-49F1-9280-4BC1B61632D3}" name="June3_2022" displayName="June3_2022" ref="B5:H23" totalsRowCount="1" headerRowDxfId="2744" headerRowBorderDxfId="2743" tableBorderDxfId="2742" totalsRowBorderDxfId="2741">
  <autoFilter ref="B5:H22" xr:uid="{44AA011A-2ACC-4886-A69B-550EF3190476}"/>
  <sortState xmlns:xlrd2="http://schemas.microsoft.com/office/spreadsheetml/2017/richdata2" ref="B6:H22">
    <sortCondition ref="B6:B22"/>
  </sortState>
  <tableColumns count="7">
    <tableColumn id="1" xr3:uid="{43E942FA-19B4-4F6F-953A-4DFCA74D8354}" name="BDC LIST" totalsRowLabel="Total" dataDxfId="2740" totalsRowDxfId="2739"/>
    <tableColumn id="2" xr3:uid="{1E13ACBC-5497-415A-9CE3-510E53B5FF22}" name="KSI_AGO" totalsRowFunction="custom" dataDxfId="2738" totalsRowDxfId="2737" dataCellStyle="Comma">
      <totalsRowFormula>SUM(June3_2022[KSI_AGO])</totalsRowFormula>
    </tableColumn>
    <tableColumn id="3" xr3:uid="{103E4AD5-1A61-4AC6-AF83-45B7E5D1DC3C}" name="KSI_PMS" totalsRowFunction="sum" dataDxfId="2736" totalsRowDxfId="2735" dataCellStyle="Comma"/>
    <tableColumn id="4" xr3:uid="{06173383-9FBF-4C95-A1E3-7E00E1F841BA}" name="BUIPE_AGO" totalsRowFunction="custom" dataDxfId="2734" totalsRowDxfId="2733" dataCellStyle="Comma">
      <totalsRowFormula>SUM(June3_2022[BUIPE_AGO])</totalsRowFormula>
    </tableColumn>
    <tableColumn id="5" xr3:uid="{A51970C5-EBDB-4E15-A1B7-D3E66C52DB94}" name="BUIPE_PMS" totalsRowFunction="custom" dataDxfId="2732" totalsRowDxfId="2731" dataCellStyle="Comma">
      <totalsRowFormula>SUM(June3_2022[BUIPE_PMS])</totalsRowFormula>
    </tableColumn>
    <tableColumn id="6" xr3:uid="{0D7B1095-F940-4FD2-BD3D-08B42283C15B}" name="AKOSOMBO_AGO" totalsRowFunction="custom" dataDxfId="2730" totalsRowDxfId="2729" dataCellStyle="Comma">
      <totalsRowFormula>SUM(June3_2022[AKOSOMBO_AGO])</totalsRowFormula>
    </tableColumn>
    <tableColumn id="7" xr3:uid="{1CAB7DE2-351E-4E98-B14A-0579BEB658A1}" name="DATE" dataDxfId="2728" totalsRowDxfId="2727">
      <calculatedColumnFormula>$G$3</calculatedColumnFormula>
    </tableColumn>
  </tableColumns>
  <tableStyleInfo showFirstColumn="0" showLastColumn="0" showRowStripes="1" showColumnStripes="0"/>
</table>
</file>

<file path=xl/tables/table6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7" xr:uid="{33C90E70-CCC3-4D67-87D2-EC7C251C0728}" name="June3_20226" displayName="June3_20226" ref="B5:H23" totalsRowCount="1" headerRowDxfId="2726" headerRowBorderDxfId="2725" tableBorderDxfId="2724" totalsRowBorderDxfId="2723">
  <autoFilter ref="B5:H22" xr:uid="{44AA011A-2ACC-4886-A69B-550EF3190476}"/>
  <sortState xmlns:xlrd2="http://schemas.microsoft.com/office/spreadsheetml/2017/richdata2" ref="B6:H22">
    <sortCondition ref="B6:B22"/>
  </sortState>
  <tableColumns count="7">
    <tableColumn id="1" xr3:uid="{DAD06A8D-5C13-4DD8-8BF1-D80DAB39875D}" name="BDC LIST" totalsRowLabel="Total" dataDxfId="2722" totalsRowDxfId="2721"/>
    <tableColumn id="2" xr3:uid="{5DBB6F63-4F29-480F-AC47-57EA0E3FFEC3}" name="KSI_AGO" totalsRowFunction="custom" dataDxfId="2720" totalsRowDxfId="2719" dataCellStyle="Comma">
      <totalsRowFormula>SUM(June3_20226[KSI_AGO])</totalsRowFormula>
    </tableColumn>
    <tableColumn id="3" xr3:uid="{F358A54E-6A23-4B70-A117-8FC98FDE1552}" name="KSI_PMS" totalsRowFunction="sum" dataDxfId="2718" totalsRowDxfId="2717" dataCellStyle="Comma"/>
    <tableColumn id="4" xr3:uid="{F55B0722-E7DD-4EBD-8513-7C40AC1EC0EB}" name="BUIPE_AGO" totalsRowFunction="custom" dataDxfId="2716" totalsRowDxfId="2715" dataCellStyle="Comma">
      <totalsRowFormula>SUM(June3_20226[BUIPE_AGO])</totalsRowFormula>
    </tableColumn>
    <tableColumn id="5" xr3:uid="{4511CDD4-4335-4599-B1A2-CE60C399481C}" name="BUIPE_PMS" totalsRowFunction="custom" dataDxfId="2714" totalsRowDxfId="2713" dataCellStyle="Comma">
      <totalsRowFormula>SUM(June3_20226[BUIPE_PMS])</totalsRowFormula>
    </tableColumn>
    <tableColumn id="6" xr3:uid="{0E3C1C14-5F6E-4BF1-B772-79A7972E1876}" name="AKOSOMBO_AGO" totalsRowFunction="custom" dataDxfId="2712" totalsRowDxfId="2711" dataCellStyle="Comma">
      <totalsRowFormula>SUM(June3_20226[AKOSOMBO_AGO])</totalsRowFormula>
    </tableColumn>
    <tableColumn id="7" xr3:uid="{33ADBF7C-6045-409B-9FB1-05D960D50268}" name="DATE" dataDxfId="2710" totalsRowDxfId="2709">
      <calculatedColumnFormula>$G$3</calculatedColumnFormula>
    </tableColumn>
  </tableColumns>
  <tableStyleInfo showFirstColumn="0" showLastColumn="0" showRowStripes="1" showColumnStripes="0"/>
</table>
</file>

<file path=xl/tables/table6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1" xr:uid="{D9B3727C-D175-4E78-BC40-0B8CD0671288}" name="June6_2022" displayName="June6_2022" ref="B5:H23" totalsRowCount="1" headerRowDxfId="2708" headerRowBorderDxfId="2707" tableBorderDxfId="2706" totalsRowBorderDxfId="2705">
  <autoFilter ref="B5:H22" xr:uid="{44AA011A-2ACC-4886-A69B-550EF3190476}"/>
  <sortState xmlns:xlrd2="http://schemas.microsoft.com/office/spreadsheetml/2017/richdata2" ref="B6:H22">
    <sortCondition ref="B6:B22"/>
  </sortState>
  <tableColumns count="7">
    <tableColumn id="1" xr3:uid="{D262A873-93C2-4967-B9AA-AB025E78C24E}" name="BDC LIST" totalsRowLabel="Total" dataDxfId="2704" totalsRowDxfId="2703"/>
    <tableColumn id="2" xr3:uid="{8506B4A9-8378-4B24-B459-EF284D7FFC4B}" name="KSI_AGO" totalsRowFunction="custom" dataDxfId="2702" totalsRowDxfId="2701" dataCellStyle="Comma">
      <totalsRowFormula>SUM(June6_2022[KSI_AGO])</totalsRowFormula>
    </tableColumn>
    <tableColumn id="3" xr3:uid="{E301AA1C-00A5-45F2-B76B-C1D4B1656760}" name="KSI_PMS" totalsRowFunction="sum" dataDxfId="2700" totalsRowDxfId="2699" dataCellStyle="Comma"/>
    <tableColumn id="4" xr3:uid="{DB858453-3755-42B9-A00E-40C9C09E0BCE}" name="BUIPE_AGO" totalsRowFunction="custom" dataDxfId="2698" totalsRowDxfId="2697" dataCellStyle="Comma">
      <totalsRowFormula>SUM(June6_2022[BUIPE_AGO])</totalsRowFormula>
    </tableColumn>
    <tableColumn id="5" xr3:uid="{5D66931F-277A-4113-9362-6F0E2D8293FF}" name="BUIPE_PMS" totalsRowFunction="custom" dataDxfId="2696" totalsRowDxfId="2695" dataCellStyle="Comma">
      <totalsRowFormula>SUM(June6_2022[BUIPE_PMS])</totalsRowFormula>
    </tableColumn>
    <tableColumn id="6" xr3:uid="{089A9F9A-7B69-4CA7-AE7A-39190A68770A}" name="AKOSOMBO_AGO" totalsRowFunction="custom" dataDxfId="2694" totalsRowDxfId="2693" dataCellStyle="Comma">
      <totalsRowFormula>SUM(June6_2022[AKOSOMBO_AGO])</totalsRowFormula>
    </tableColumn>
    <tableColumn id="7" xr3:uid="{58C0D352-8A7A-47B0-8A44-86A398CE13E3}" name="DATE" dataDxfId="2692" totalsRowDxfId="2691">
      <calculatedColumnFormula>$G$3</calculatedColumnFormula>
    </tableColumn>
  </tableColumns>
  <tableStyleInfo showFirstColumn="0" showLastColumn="0" showRowStripes="1" showColumnStripes="0"/>
</table>
</file>

<file path=xl/tables/table6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8" xr:uid="{A4CD29EB-5B81-42B3-A29D-A86D37067B82}" name="June7_2022" displayName="June7_2022" ref="B5:H23" totalsRowCount="1" headerRowDxfId="2690" headerRowBorderDxfId="2689" tableBorderDxfId="2688" totalsRowBorderDxfId="2687">
  <autoFilter ref="B5:H22" xr:uid="{44AA011A-2ACC-4886-A69B-550EF3190476}"/>
  <sortState xmlns:xlrd2="http://schemas.microsoft.com/office/spreadsheetml/2017/richdata2" ref="B6:H22">
    <sortCondition ref="B6:B22"/>
  </sortState>
  <tableColumns count="7">
    <tableColumn id="1" xr3:uid="{29EBC9F5-5349-4A89-910F-B34F2234ADF5}" name="BDC LIST" totalsRowLabel="Total" dataDxfId="2686" totalsRowDxfId="2685"/>
    <tableColumn id="2" xr3:uid="{51B73D3F-3640-4C41-8281-0700A9EEB3EE}" name="KSI_AGO" totalsRowFunction="custom" dataDxfId="2684" totalsRowDxfId="2683" dataCellStyle="Comma">
      <totalsRowFormula>SUM(June7_2022[KSI_AGO])</totalsRowFormula>
    </tableColumn>
    <tableColumn id="3" xr3:uid="{AA6201BF-A110-4641-AF80-70366091A2EF}" name="KSI_PMS" totalsRowFunction="sum" dataDxfId="2682" totalsRowDxfId="2681" dataCellStyle="Comma"/>
    <tableColumn id="4" xr3:uid="{F40D9971-9D77-4AC5-8847-ED94F403A6E9}" name="BUIPE_AGO" totalsRowFunction="custom" dataDxfId="2680" totalsRowDxfId="2679" dataCellStyle="Comma">
      <totalsRowFormula>SUM(June7_2022[BUIPE_AGO])</totalsRowFormula>
    </tableColumn>
    <tableColumn id="5" xr3:uid="{9C7692DF-6DF5-4F75-A2F7-792B69CEDDB5}" name="BUIPE_PMS" totalsRowFunction="custom" dataDxfId="2678" totalsRowDxfId="2677" dataCellStyle="Comma">
      <totalsRowFormula>SUM(June7_2022[BUIPE_PMS])</totalsRowFormula>
    </tableColumn>
    <tableColumn id="6" xr3:uid="{695E9E84-D91E-4272-9B41-8DA15CD31E72}" name="AKOSOMBO_AGO" totalsRowFunction="custom" dataDxfId="2676" totalsRowDxfId="2675" dataCellStyle="Comma">
      <totalsRowFormula>SUM(June7_2022[AKOSOMBO_AGO])</totalsRowFormula>
    </tableColumn>
    <tableColumn id="7" xr3:uid="{6A4AA54C-E230-4F87-B242-F41774087714}" name="DATE" dataDxfId="2674" totalsRowDxfId="2673">
      <calculatedColumnFormula>$G$3</calculatedColumnFormula>
    </tableColumn>
  </tableColumns>
  <tableStyleInfo showFirstColumn="0" showLastColumn="0" showRowStripes="1" showColumnStripes="0"/>
</table>
</file>

<file path=xl/tables/table6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9" xr:uid="{59DEAC34-45F7-4428-BD54-B1037F856323}" name="June8_2022" displayName="June8_2022" ref="B5:H23" totalsRowCount="1" headerRowDxfId="2672" headerRowBorderDxfId="2671" tableBorderDxfId="2670" totalsRowBorderDxfId="2669">
  <autoFilter ref="B5:H22" xr:uid="{44AA011A-2ACC-4886-A69B-550EF3190476}"/>
  <sortState xmlns:xlrd2="http://schemas.microsoft.com/office/spreadsheetml/2017/richdata2" ref="B6:H22">
    <sortCondition ref="B6:B22"/>
  </sortState>
  <tableColumns count="7">
    <tableColumn id="1" xr3:uid="{01274348-C084-43EF-91E8-2032C253390E}" name="BDC LIST" totalsRowLabel="Total" dataDxfId="2668" totalsRowDxfId="2667"/>
    <tableColumn id="2" xr3:uid="{700C3501-E7F7-4908-A6E8-70D9BF40F2DC}" name="KSI_AGO" totalsRowFunction="custom" dataDxfId="2666" totalsRowDxfId="2665" dataCellStyle="Comma">
      <totalsRowFormula>SUM(June8_2022[KSI_AGO])</totalsRowFormula>
    </tableColumn>
    <tableColumn id="3" xr3:uid="{88811D50-2C51-469A-B96D-7EB0AA4B3466}" name="KSI_PMS" totalsRowFunction="sum" dataDxfId="2664" totalsRowDxfId="2663" dataCellStyle="Comma"/>
    <tableColumn id="4" xr3:uid="{0CA95DDC-75D1-448B-B0EF-82AA6E6F9A01}" name="BUIPE_AGO" totalsRowFunction="custom" dataDxfId="2662" totalsRowDxfId="2661" dataCellStyle="Comma">
      <totalsRowFormula>SUM(June8_2022[BUIPE_AGO])</totalsRowFormula>
    </tableColumn>
    <tableColumn id="5" xr3:uid="{0751BB28-9A18-4F6E-BCEE-7FE454DA960C}" name="BUIPE_PMS" totalsRowFunction="custom" dataDxfId="2660" totalsRowDxfId="2659" dataCellStyle="Comma">
      <totalsRowFormula>SUM(June8_2022[BUIPE_PMS])</totalsRowFormula>
    </tableColumn>
    <tableColumn id="6" xr3:uid="{C233E169-AA52-4942-88F3-C1D33863D193}" name="AKOSOMBO_AGO" totalsRowFunction="custom" dataDxfId="2658" totalsRowDxfId="2657" dataCellStyle="Comma">
      <totalsRowFormula>SUM(June8_2022[AKOSOMBO_AGO])</totalsRowFormula>
    </tableColumn>
    <tableColumn id="7" xr3:uid="{F27D6502-AB1B-47D8-842B-A2F414E41AE5}" name="DATE" dataDxfId="2656" totalsRowDxfId="2655">
      <calculatedColumnFormula>$G$3</calculatedColumnFormula>
    </tableColumn>
  </tableColumns>
  <tableStyleInfo showFirstColumn="0" showLastColumn="0" showRowStripes="1" showColumnStripes="0"/>
</table>
</file>

<file path=xl/tables/table6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0" xr:uid="{D7078E5A-4A21-4B1F-BA45-C6D7AEE50049}" name="June8_202210" displayName="June8_202210" ref="B5:H23" totalsRowCount="1" headerRowDxfId="2654" headerRowBorderDxfId="2653" tableBorderDxfId="2652" totalsRowBorderDxfId="2651">
  <autoFilter ref="B5:H22" xr:uid="{44AA011A-2ACC-4886-A69B-550EF3190476}"/>
  <sortState xmlns:xlrd2="http://schemas.microsoft.com/office/spreadsheetml/2017/richdata2" ref="B6:H22">
    <sortCondition ref="B6:B22"/>
  </sortState>
  <tableColumns count="7">
    <tableColumn id="1" xr3:uid="{5832A0BB-FA00-46FC-96ED-6F44E2C99DA6}" name="BDC LIST" totalsRowLabel="Total" dataDxfId="2650" totalsRowDxfId="2649"/>
    <tableColumn id="2" xr3:uid="{8E55EBE2-7785-4384-931A-6E0484416020}" name="KSI_AGO" totalsRowFunction="custom" dataDxfId="2648" totalsRowDxfId="2647" dataCellStyle="Comma">
      <totalsRowFormula>SUM(June8_202210[KSI_AGO])</totalsRowFormula>
    </tableColumn>
    <tableColumn id="3" xr3:uid="{8D599766-FF22-4621-8E64-6B12590663C1}" name="KSI_PMS" totalsRowFunction="sum" dataDxfId="2646" totalsRowDxfId="2645" dataCellStyle="Comma"/>
    <tableColumn id="4" xr3:uid="{2D3F6E35-32EC-4C11-9F2B-9CB7177CDD67}" name="BUIPE_AGO" totalsRowFunction="custom" dataDxfId="2644" totalsRowDxfId="2643" dataCellStyle="Comma">
      <totalsRowFormula>SUM(June8_202210[BUIPE_AGO])</totalsRowFormula>
    </tableColumn>
    <tableColumn id="5" xr3:uid="{9241DEAB-8CBB-4AF6-98BC-05146F886584}" name="BUIPE_PMS" totalsRowFunction="custom" dataDxfId="2642" totalsRowDxfId="2641" dataCellStyle="Comma">
      <totalsRowFormula>SUM(June8_202210[BUIPE_PMS])</totalsRowFormula>
    </tableColumn>
    <tableColumn id="6" xr3:uid="{0CD5DF50-E947-4696-9E8A-1747A9D2E374}" name="AKOSOMBO_AGO" totalsRowFunction="custom" dataDxfId="2640" totalsRowDxfId="2639" dataCellStyle="Comma">
      <totalsRowFormula>SUM(June8_202210[AKOSOMBO_AGO])</totalsRowFormula>
    </tableColumn>
    <tableColumn id="7" xr3:uid="{8AAD45FD-E257-43C0-8375-18481742408E}" name="DATE" dataDxfId="2638" totalsRowDxfId="2637">
      <calculatedColumnFormula>$G$3</calculatedColumnFormula>
    </tableColumn>
  </tableColumns>
  <tableStyleInfo showFirstColumn="0" showLastColumn="0" showRowStripes="1" showColumnStripes="0"/>
</table>
</file>

<file path=xl/tables/table6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1" xr:uid="{C239054A-89C9-433B-B17C-88BA1C485E47}" name="June10_2022" displayName="June10_2022" ref="B5:H23" totalsRowCount="1" headerRowDxfId="2636" headerRowBorderDxfId="2635" tableBorderDxfId="2634" totalsRowBorderDxfId="2633">
  <autoFilter ref="B5:H22" xr:uid="{44AA011A-2ACC-4886-A69B-550EF3190476}"/>
  <sortState xmlns:xlrd2="http://schemas.microsoft.com/office/spreadsheetml/2017/richdata2" ref="B6:H22">
    <sortCondition ref="B6:B22"/>
  </sortState>
  <tableColumns count="7">
    <tableColumn id="1" xr3:uid="{34ED2621-CEC4-485F-841B-AB1071E40435}" name="BDC LIST" totalsRowLabel="Total" dataDxfId="2632" totalsRowDxfId="2631"/>
    <tableColumn id="2" xr3:uid="{A7A7C713-A995-47AB-82BC-187AAC653D82}" name="KSI_AGO" totalsRowFunction="custom" dataDxfId="2630" totalsRowDxfId="2629" dataCellStyle="Comma">
      <totalsRowFormula>SUM(June10_2022[KSI_AGO])</totalsRowFormula>
    </tableColumn>
    <tableColumn id="3" xr3:uid="{9A181593-6BE8-4531-9F7F-CA669FEE650D}" name="KSI_PMS" totalsRowFunction="sum" dataDxfId="2628" totalsRowDxfId="2627" dataCellStyle="Comma"/>
    <tableColumn id="4" xr3:uid="{B729EEC4-AC81-4825-BD6C-E8ADB7451556}" name="BUIPE_AGO" totalsRowFunction="custom" dataDxfId="2626" totalsRowDxfId="2625" dataCellStyle="Comma">
      <totalsRowFormula>SUM(June10_2022[BUIPE_AGO])</totalsRowFormula>
    </tableColumn>
    <tableColumn id="5" xr3:uid="{2340A6BF-B303-4897-A4B2-7B54977A25B3}" name="BUIPE_PMS" totalsRowFunction="custom" dataDxfId="2624" totalsRowDxfId="2623" dataCellStyle="Comma">
      <totalsRowFormula>SUM(June10_2022[BUIPE_PMS])</totalsRowFormula>
    </tableColumn>
    <tableColumn id="6" xr3:uid="{8943CA05-6D38-4A73-B8A1-D9911B4B3E11}" name="AKOSOMBO_AGO" totalsRowFunction="custom" dataDxfId="2622" totalsRowDxfId="2621" dataCellStyle="Comma">
      <totalsRowFormula>SUM(June10_2022[AKOSOMBO_AGO])</totalsRowFormula>
    </tableColumn>
    <tableColumn id="7" xr3:uid="{3BA66058-D9D7-4998-9C02-10C2F5BF0C57}" name="DATE" dataDxfId="2620" totalsRowDxfId="2619">
      <calculatedColumnFormula>$G$3</calculatedColumnFormula>
    </tableColumn>
  </tableColumns>
  <tableStyleInfo showFirstColumn="0" showLastColumn="0" showRowStripes="1" showColumnStripes="0"/>
</table>
</file>

<file path=xl/tables/table6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2" xr:uid="{ED711BE8-8CF5-43B4-BAE0-F7D9BD24456B}" name="June13_2022" displayName="June13_2022" ref="B5:H23" totalsRowCount="1" headerRowDxfId="2618" headerRowBorderDxfId="2617" tableBorderDxfId="2616" totalsRowBorderDxfId="2615">
  <autoFilter ref="B5:H22" xr:uid="{44AA011A-2ACC-4886-A69B-550EF3190476}"/>
  <sortState xmlns:xlrd2="http://schemas.microsoft.com/office/spreadsheetml/2017/richdata2" ref="B6:H22">
    <sortCondition ref="B6:B22"/>
  </sortState>
  <tableColumns count="7">
    <tableColumn id="1" xr3:uid="{694A2BA5-FA29-4213-BF96-9B6CD9F5B94E}" name="BDC LIST" totalsRowLabel="Total" dataDxfId="2614" totalsRowDxfId="2613"/>
    <tableColumn id="2" xr3:uid="{578A2958-33CC-4F37-9777-A5FB6E096770}" name="KSI_AGO" totalsRowFunction="custom" dataDxfId="2612" totalsRowDxfId="2611" dataCellStyle="Comma">
      <totalsRowFormula>SUM(June13_2022[KSI_AGO])</totalsRowFormula>
    </tableColumn>
    <tableColumn id="3" xr3:uid="{FBA1D1E9-9593-421F-A765-E1DD8DDEB551}" name="KSI_PMS" totalsRowFunction="sum" dataDxfId="2610" totalsRowDxfId="2609" dataCellStyle="Comma"/>
    <tableColumn id="4" xr3:uid="{A7171F0E-0D4A-497A-8492-56A736D570DE}" name="BUIPE_AGO" totalsRowFunction="custom" dataDxfId="2608" totalsRowDxfId="2607" dataCellStyle="Comma">
      <totalsRowFormula>SUM(June13_2022[BUIPE_AGO])</totalsRowFormula>
    </tableColumn>
    <tableColumn id="5" xr3:uid="{24B93A19-DBE1-426A-B213-A42E40AD7CDE}" name="BUIPE_PMS" totalsRowFunction="custom" dataDxfId="2606" totalsRowDxfId="2605" dataCellStyle="Comma">
      <totalsRowFormula>SUM(June13_2022[BUIPE_PMS])</totalsRowFormula>
    </tableColumn>
    <tableColumn id="6" xr3:uid="{28AC967B-6730-4A40-AA2C-B913905949FE}" name="AKOSOMBO_AGO" totalsRowFunction="custom" dataDxfId="2604" totalsRowDxfId="2603" dataCellStyle="Comma">
      <totalsRowFormula>SUM(June13_2022[AKOSOMBO_AGO])</totalsRowFormula>
    </tableColumn>
    <tableColumn id="7" xr3:uid="{ACA6C99E-2B13-4B2E-992B-6D12FDC87E74}" name="DATE" dataDxfId="2602" totalsRowDxfId="2601">
      <calculatedColumnFormula>$G$3</calculatedColumnFormula>
    </tableColumn>
  </tableColumns>
  <tableStyleInfo showFirstColumn="0" showLastColumn="0" showRowStripes="1" showColumnStripes="0"/>
</table>
</file>

<file path=xl/tables/table6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3" xr:uid="{DD416BCB-1659-4046-95E1-D88AF65C5F2D}" name="June14_2022" displayName="June14_2022" ref="B5:H23" totalsRowCount="1" headerRowDxfId="2600" headerRowBorderDxfId="2599" tableBorderDxfId="2598" totalsRowBorderDxfId="2597">
  <autoFilter ref="B5:H22" xr:uid="{44AA011A-2ACC-4886-A69B-550EF3190476}"/>
  <sortState xmlns:xlrd2="http://schemas.microsoft.com/office/spreadsheetml/2017/richdata2" ref="B6:H22">
    <sortCondition ref="B6:B22"/>
  </sortState>
  <tableColumns count="7">
    <tableColumn id="1" xr3:uid="{9711AF18-9F36-4AFC-BE49-73A80BB35616}" name="BDC LIST" totalsRowLabel="Total" dataDxfId="2596" totalsRowDxfId="2595"/>
    <tableColumn id="2" xr3:uid="{A6E9C7BA-8039-4AD8-A492-6116C8FFB3F0}" name="KSI_AGO" totalsRowFunction="custom" dataDxfId="2594" totalsRowDxfId="2593" dataCellStyle="Comma">
      <totalsRowFormula>SUM(June14_2022[KSI_AGO])</totalsRowFormula>
    </tableColumn>
    <tableColumn id="3" xr3:uid="{90163084-3210-4E5A-96FE-EECEEB6321AC}" name="KSI_PMS" totalsRowFunction="sum" dataDxfId="2592" totalsRowDxfId="2591" dataCellStyle="Comma"/>
    <tableColumn id="4" xr3:uid="{95CA1BB7-EB9A-4657-BE1E-7D1602638207}" name="BUIPE_AGO" totalsRowFunction="custom" dataDxfId="2590" totalsRowDxfId="2589" dataCellStyle="Comma">
      <totalsRowFormula>SUM(June14_2022[BUIPE_AGO])</totalsRowFormula>
    </tableColumn>
    <tableColumn id="5" xr3:uid="{8531FD82-EF78-40CD-9E7C-FB5833B45E8D}" name="BUIPE_PMS" totalsRowFunction="custom" dataDxfId="2588" totalsRowDxfId="2587" dataCellStyle="Comma">
      <totalsRowFormula>SUM(June14_2022[BUIPE_PMS])</totalsRowFormula>
    </tableColumn>
    <tableColumn id="6" xr3:uid="{35CF3ADC-BEA9-4FA6-B24A-9DFB7D6B3000}" name="AKOSOMBO_AGO" totalsRowFunction="custom" dataDxfId="2586" totalsRowDxfId="2585" dataCellStyle="Comma">
      <totalsRowFormula>SUM(June14_2022[AKOSOMBO_AGO])</totalsRowFormula>
    </tableColumn>
    <tableColumn id="7" xr3:uid="{2546AA49-704D-4996-8B14-D8B748F4FBEF}" name="DATE" dataDxfId="2584" totalsRowDxfId="2583">
      <calculatedColumnFormula>$G$3</calculatedColumnFormula>
    </tableColumn>
  </tableColumns>
  <tableStyleInfo showFirstColumn="0" showLastColumn="0" showRowStripes="1" showColumnStripes="0"/>
</table>
</file>

<file path=xl/tables/table6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4" xr:uid="{4F6AE90F-0AF0-4ADC-8CBB-A00FCBD8733F}" name="June15_2022" displayName="June15_2022" ref="B5:H23" totalsRowCount="1" headerRowDxfId="2582" headerRowBorderDxfId="2581" tableBorderDxfId="2580" totalsRowBorderDxfId="2579">
  <autoFilter ref="B5:H22" xr:uid="{44AA011A-2ACC-4886-A69B-550EF3190476}"/>
  <sortState xmlns:xlrd2="http://schemas.microsoft.com/office/spreadsheetml/2017/richdata2" ref="B6:H22">
    <sortCondition ref="B6:B22"/>
  </sortState>
  <tableColumns count="7">
    <tableColumn id="1" xr3:uid="{30D1D2D3-CA6F-4531-97C2-54A115110956}" name="BDC LIST" totalsRowLabel="Total" dataDxfId="2578" totalsRowDxfId="2577"/>
    <tableColumn id="2" xr3:uid="{16537C2D-9090-45FF-8D48-6853F5658CFD}" name="KSI_AGO" totalsRowFunction="custom" dataDxfId="2576" totalsRowDxfId="2575" dataCellStyle="Comma">
      <totalsRowFormula>SUM(June15_2022[KSI_AGO])</totalsRowFormula>
    </tableColumn>
    <tableColumn id="3" xr3:uid="{FB4A594A-C122-481F-9864-F68CA257DA4C}" name="KSI_PMS" totalsRowFunction="sum" dataDxfId="2574" totalsRowDxfId="2573" dataCellStyle="Comma"/>
    <tableColumn id="4" xr3:uid="{9B5AAFAC-33D2-47DE-8CC6-886C6C5725C9}" name="BUIPE_AGO" totalsRowFunction="custom" dataDxfId="2572" totalsRowDxfId="2571" dataCellStyle="Comma">
      <totalsRowFormula>SUM(June15_2022[BUIPE_AGO])</totalsRowFormula>
    </tableColumn>
    <tableColumn id="5" xr3:uid="{E6830B39-4488-4741-AD20-3BCBB53B2B92}" name="BUIPE_PMS" totalsRowFunction="custom" dataDxfId="2570" totalsRowDxfId="2569" dataCellStyle="Comma">
      <totalsRowFormula>SUM(June15_2022[BUIPE_PMS])</totalsRowFormula>
    </tableColumn>
    <tableColumn id="6" xr3:uid="{607D77F6-9740-4206-BE6D-45BE9AA68C2F}" name="AKOSOMBO_AGO" totalsRowFunction="custom" dataDxfId="2568" totalsRowDxfId="2567" dataCellStyle="Comma">
      <totalsRowFormula>SUM(June15_2022[AKOSOMBO_AGO])</totalsRowFormula>
    </tableColumn>
    <tableColumn id="7" xr3:uid="{DD05D338-DDDB-4A07-8897-77CB08AA6DB8}" name="DATE" dataDxfId="2566" totalsRowDxfId="2565">
      <calculatedColumnFormula>$G$3</calculatedColumnFormula>
    </tableColumn>
  </tableColumns>
  <tableStyleInfo showFirstColumn="0" showLastColumn="0" showRowStripes="1" showColumnStripes="0"/>
</table>
</file>

<file path=xl/tables/table6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5" xr:uid="{1ADA8EC4-A5C5-47BC-B071-E56DFFE5891F}" name="June16_2022" displayName="June16_2022" ref="B5:H23" totalsRowCount="1" headerRowDxfId="2564" headerRowBorderDxfId="2563" tableBorderDxfId="2562" totalsRowBorderDxfId="2561">
  <autoFilter ref="B5:H22" xr:uid="{44AA011A-2ACC-4886-A69B-550EF3190476}"/>
  <sortState xmlns:xlrd2="http://schemas.microsoft.com/office/spreadsheetml/2017/richdata2" ref="B6:H22">
    <sortCondition ref="B6:B22"/>
  </sortState>
  <tableColumns count="7">
    <tableColumn id="1" xr3:uid="{E3566EB2-5012-4240-A76D-01F333C5AF31}" name="BDC LIST" totalsRowLabel="Total" dataDxfId="2560" totalsRowDxfId="2559"/>
    <tableColumn id="2" xr3:uid="{81E75D3F-176C-44DE-8B07-D4C2CC25EB98}" name="KSI_AGO" totalsRowFunction="custom" dataDxfId="2558" totalsRowDxfId="2557" dataCellStyle="Comma">
      <totalsRowFormula>SUM(June16_2022[KSI_AGO])</totalsRowFormula>
    </tableColumn>
    <tableColumn id="3" xr3:uid="{491EDBEA-3443-4CD1-802D-112B7AB57FEE}" name="KSI_PMS" totalsRowFunction="sum" dataDxfId="2556" totalsRowDxfId="2555" dataCellStyle="Comma"/>
    <tableColumn id="4" xr3:uid="{055256A9-1B4D-405D-927E-3F692EB7CD12}" name="BUIPE_AGO" totalsRowFunction="custom" dataDxfId="2554" totalsRowDxfId="2553" dataCellStyle="Comma">
      <totalsRowFormula>SUM(June16_2022[BUIPE_AGO])</totalsRowFormula>
    </tableColumn>
    <tableColumn id="5" xr3:uid="{5958B515-09FB-4405-967E-BEE976C54FAA}" name="BUIPE_PMS" totalsRowFunction="custom" dataDxfId="2552" totalsRowDxfId="2551" dataCellStyle="Comma">
      <totalsRowFormula>SUM(June16_2022[BUIPE_PMS])</totalsRowFormula>
    </tableColumn>
    <tableColumn id="6" xr3:uid="{1358F903-A8AF-46B4-9033-7E88D7F8A4F8}" name="AKOSOMBO_AGO" totalsRowFunction="custom" dataDxfId="2550" totalsRowDxfId="2549" dataCellStyle="Comma">
      <totalsRowFormula>SUM(June16_2022[AKOSOMBO_AGO])</totalsRowFormula>
    </tableColumn>
    <tableColumn id="7" xr3:uid="{E1611FEB-F5EA-4288-8AB3-8053938BAAA6}" name="DATE" dataDxfId="2548" totalsRowDxfId="2547">
      <calculatedColumnFormula>$G$3</calculatedColumnFormula>
    </tableColumn>
  </tableColumns>
  <tableStyleInfo showFirstColumn="0" showLastColumn="0" showRowStripes="1" showColumnStripes="0"/>
</table>
</file>

<file path=xl/tables/table6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6" xr:uid="{521F89BB-3D44-4C21-8B08-6E646A804945}" name="June17_2022" displayName="June17_2022" ref="B5:H23" totalsRowCount="1" headerRowDxfId="2546" headerRowBorderDxfId="2545" tableBorderDxfId="2544" totalsRowBorderDxfId="2543">
  <autoFilter ref="B5:H22" xr:uid="{44AA011A-2ACC-4886-A69B-550EF3190476}"/>
  <sortState xmlns:xlrd2="http://schemas.microsoft.com/office/spreadsheetml/2017/richdata2" ref="B6:H22">
    <sortCondition ref="B6:B22"/>
  </sortState>
  <tableColumns count="7">
    <tableColumn id="1" xr3:uid="{F51CD0E8-3AA2-4ADF-B9AA-21713F58180D}" name="BDC LIST" totalsRowLabel="Total" dataDxfId="2542" totalsRowDxfId="2541"/>
    <tableColumn id="2" xr3:uid="{4465D057-CC0B-4F41-9CD8-243E4CDE323B}" name="KSI_AGO" totalsRowFunction="custom" dataDxfId="2540" totalsRowDxfId="2539" dataCellStyle="Comma">
      <totalsRowFormula>SUM(June17_2022[KSI_AGO])</totalsRowFormula>
    </tableColumn>
    <tableColumn id="3" xr3:uid="{DEF30977-DA6D-4516-B016-717638922063}" name="KSI_PMS" totalsRowFunction="sum" dataDxfId="2538" totalsRowDxfId="2537" dataCellStyle="Comma"/>
    <tableColumn id="4" xr3:uid="{8D25F901-0FFC-4481-8CE9-A961533056C4}" name="BUIPE_AGO" totalsRowFunction="custom" dataDxfId="2536" totalsRowDxfId="2535" dataCellStyle="Comma">
      <totalsRowFormula>SUM(June17_2022[BUIPE_AGO])</totalsRowFormula>
    </tableColumn>
    <tableColumn id="5" xr3:uid="{7180F1E2-A4CF-4B63-805A-6AAA436AA6B0}" name="BUIPE_PMS" totalsRowFunction="custom" dataDxfId="2534" totalsRowDxfId="2533" dataCellStyle="Comma">
      <totalsRowFormula>SUM(June17_2022[BUIPE_PMS])</totalsRowFormula>
    </tableColumn>
    <tableColumn id="6" xr3:uid="{E521A3D3-608B-41B5-A5DD-7149CAE783D1}" name="AKOSOMBO_AGO" totalsRowFunction="custom" dataDxfId="2532" totalsRowDxfId="2531" dataCellStyle="Comma">
      <totalsRowFormula>SUM(June17_2022[AKOSOMBO_AGO])</totalsRowFormula>
    </tableColumn>
    <tableColumn id="7" xr3:uid="{B224DC86-E7A9-4711-BE1D-860B39F5247E}" name="DATE" dataDxfId="2530" totalsRowDxfId="2529">
      <calculatedColumnFormula>$G$3</calculatedColumnFormula>
    </tableColumn>
  </tableColumns>
  <tableStyleInfo showFirstColumn="0" showLastColumn="0" showRowStripes="1" showColumnStripes="0"/>
</table>
</file>

<file path=xl/tables/table6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7" xr:uid="{04313AFA-4E80-45C2-A8C1-08990D54CD66}" name="June20_2022" displayName="June20_2022" ref="B5:H23" totalsRowCount="1" headerRowDxfId="2528" headerRowBorderDxfId="2527" tableBorderDxfId="2526" totalsRowBorderDxfId="2525">
  <autoFilter ref="B5:H22" xr:uid="{44AA011A-2ACC-4886-A69B-550EF3190476}"/>
  <sortState xmlns:xlrd2="http://schemas.microsoft.com/office/spreadsheetml/2017/richdata2" ref="B6:H22">
    <sortCondition ref="B6:B22"/>
  </sortState>
  <tableColumns count="7">
    <tableColumn id="1" xr3:uid="{CF95105E-A07F-42A6-9B38-71EB67D18C4D}" name="BDC LIST" totalsRowLabel="Total" dataDxfId="2524" totalsRowDxfId="2523"/>
    <tableColumn id="2" xr3:uid="{510E832C-D537-450E-AD38-93F6B999C0CE}" name="KSI_AGO" totalsRowFunction="custom" dataDxfId="2522" totalsRowDxfId="2521" dataCellStyle="Comma">
      <totalsRowFormula>SUM(June20_2022[KSI_AGO])</totalsRowFormula>
    </tableColumn>
    <tableColumn id="3" xr3:uid="{E5AFA0B7-649E-497E-98F3-16BB7B82B72E}" name="KSI_PMS" totalsRowFunction="sum" dataDxfId="2520" totalsRowDxfId="2519" dataCellStyle="Comma"/>
    <tableColumn id="4" xr3:uid="{32D0D655-89DB-4ACC-B660-58A6721B4831}" name="BUIPE_AGO" totalsRowFunction="custom" dataDxfId="2518" totalsRowDxfId="2517" dataCellStyle="Comma">
      <totalsRowFormula>SUM(June20_2022[BUIPE_AGO])</totalsRowFormula>
    </tableColumn>
    <tableColumn id="5" xr3:uid="{507B6F4D-8B1B-49DF-AE7F-2D9943E551FC}" name="BUIPE_PMS" totalsRowFunction="custom" dataDxfId="2516" totalsRowDxfId="2515" dataCellStyle="Comma">
      <totalsRowFormula>SUM(June20_2022[BUIPE_PMS])</totalsRowFormula>
    </tableColumn>
    <tableColumn id="6" xr3:uid="{743863CE-AF2E-49AC-B91B-AB6E122047BA}" name="AKOSOMBO_AGO" totalsRowFunction="custom" dataDxfId="2514" totalsRowDxfId="2513" dataCellStyle="Comma">
      <totalsRowFormula>SUM(June20_2022[AKOSOMBO_AGO])</totalsRowFormula>
    </tableColumn>
    <tableColumn id="7" xr3:uid="{36BD1E85-1BA6-4BDC-B4E7-CB29BAE2D144}" name="DATE" dataDxfId="2512" totalsRowDxfId="2511">
      <calculatedColumnFormula>$G$3</calculatedColumnFormula>
    </tableColumn>
  </tableColumns>
  <tableStyleInfo showFirstColumn="0" showLastColumn="0" showRowStripes="1" showColumnStripes="0"/>
</table>
</file>

<file path=xl/tables/table6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8" xr:uid="{BE09435A-5072-4BE4-924F-06D20B4D3EF9}" name="June21_2022" displayName="June21_2022" ref="B5:H23" totalsRowCount="1" headerRowDxfId="2510" headerRowBorderDxfId="2509" tableBorderDxfId="2508" totalsRowBorderDxfId="2507">
  <autoFilter ref="B5:H22" xr:uid="{44AA011A-2ACC-4886-A69B-550EF3190476}"/>
  <sortState xmlns:xlrd2="http://schemas.microsoft.com/office/spreadsheetml/2017/richdata2" ref="B6:H22">
    <sortCondition ref="B6:B22"/>
  </sortState>
  <tableColumns count="7">
    <tableColumn id="1" xr3:uid="{9B6C0958-B1BE-48D1-86E5-191D5395F6D1}" name="BDC LIST" totalsRowLabel="Total" dataDxfId="2506" totalsRowDxfId="2505"/>
    <tableColumn id="2" xr3:uid="{EA02A02D-7B19-4B31-B778-0C136B1967E8}" name="KSI_AGO" totalsRowFunction="custom" dataDxfId="2504" totalsRowDxfId="2503" dataCellStyle="Comma">
      <totalsRowFormula>SUM(June21_2022[KSI_AGO])</totalsRowFormula>
    </tableColumn>
    <tableColumn id="3" xr3:uid="{635F5D06-ED49-4D55-86C5-6D6A6F6092DA}" name="KSI_PMS" totalsRowFunction="sum" dataDxfId="2502" totalsRowDxfId="2501" dataCellStyle="Comma"/>
    <tableColumn id="4" xr3:uid="{F241E270-6E79-4C83-9516-433D58C06846}" name="BUIPE_AGO" totalsRowFunction="custom" dataDxfId="2500" totalsRowDxfId="2499" dataCellStyle="Comma">
      <totalsRowFormula>SUM(June21_2022[BUIPE_AGO])</totalsRowFormula>
    </tableColumn>
    <tableColumn id="5" xr3:uid="{4AC552CD-E500-492A-8CFE-D64B8EDB1839}" name="BUIPE_PMS" totalsRowFunction="custom" dataDxfId="2498" totalsRowDxfId="2497" dataCellStyle="Comma">
      <totalsRowFormula>SUM(June21_2022[BUIPE_PMS])</totalsRowFormula>
    </tableColumn>
    <tableColumn id="6" xr3:uid="{7718EE95-4AE8-4BEA-9D7D-BE0D5D57462D}" name="AKOSOMBO_AGO" totalsRowFunction="custom" dataDxfId="2496" totalsRowDxfId="2495" dataCellStyle="Comma">
      <totalsRowFormula>SUM(June21_2022[AKOSOMBO_AGO])</totalsRowFormula>
    </tableColumn>
    <tableColumn id="7" xr3:uid="{51928638-0A59-4BBD-BE80-040E36887D18}" name="DATE" dataDxfId="2494" totalsRowDxfId="2493">
      <calculatedColumnFormula>$G$3</calculatedColumnFormula>
    </tableColumn>
  </tableColumns>
  <tableStyleInfo showFirstColumn="0" showLastColumn="0" showRowStripes="1" showColumnStripes="0"/>
</table>
</file>

<file path=xl/tables/table6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9" xr:uid="{0D9DA736-DCDD-484A-80DC-558D6A595970}" name="June21_202219" displayName="June21_202219" ref="B5:H23" totalsRowCount="1" headerRowDxfId="2492" headerRowBorderDxfId="2491" tableBorderDxfId="2490" totalsRowBorderDxfId="2489">
  <autoFilter ref="B5:H22" xr:uid="{44AA011A-2ACC-4886-A69B-550EF3190476}"/>
  <sortState xmlns:xlrd2="http://schemas.microsoft.com/office/spreadsheetml/2017/richdata2" ref="B6:H22">
    <sortCondition ref="B6:B22"/>
  </sortState>
  <tableColumns count="7">
    <tableColumn id="1" xr3:uid="{14A5F348-7E56-45EE-8F87-F8F34C7629A6}" name="BDC LIST" totalsRowLabel="Total" dataDxfId="2488" totalsRowDxfId="2487"/>
    <tableColumn id="2" xr3:uid="{3290D45E-6D7F-4E1D-AA9B-21DB7FE11C18}" name="KSI_AGO" totalsRowFunction="custom" dataDxfId="2486" totalsRowDxfId="2485" dataCellStyle="Comma">
      <totalsRowFormula>SUM(June21_202219[KSI_AGO])</totalsRowFormula>
    </tableColumn>
    <tableColumn id="3" xr3:uid="{560BF264-B207-44EF-92B0-688E7F691414}" name="KSI_PMS" totalsRowFunction="sum" dataDxfId="2484" totalsRowDxfId="2483" dataCellStyle="Comma"/>
    <tableColumn id="4" xr3:uid="{CA0A9AE2-B75A-4BEC-84DD-C47B8CDB294F}" name="BUIPE_AGO" totalsRowFunction="custom" dataDxfId="2482" totalsRowDxfId="2481" dataCellStyle="Comma">
      <totalsRowFormula>SUM(June21_202219[BUIPE_AGO])</totalsRowFormula>
    </tableColumn>
    <tableColumn id="5" xr3:uid="{F624529E-719D-4664-8862-9B7094731386}" name="BUIPE_PMS" totalsRowFunction="custom" dataDxfId="2480" totalsRowDxfId="2479" dataCellStyle="Comma">
      <totalsRowFormula>SUM(June21_202219[BUIPE_PMS])</totalsRowFormula>
    </tableColumn>
    <tableColumn id="6" xr3:uid="{B83BDA14-A16F-41D6-AFEF-56B50408723F}" name="AKOSOMBO_AGO" totalsRowFunction="custom" dataDxfId="2478" totalsRowDxfId="2477" dataCellStyle="Comma">
      <totalsRowFormula>SUM(June21_202219[AKOSOMBO_AGO])</totalsRowFormula>
    </tableColumn>
    <tableColumn id="7" xr3:uid="{3839FD89-8CFC-48E3-A775-CB5438EAF3E6}" name="DATE" dataDxfId="2476" totalsRowDxfId="2475">
      <calculatedColumnFormula>$G$3</calculatedColumnFormula>
    </tableColumn>
  </tableColumns>
  <tableStyleInfo showFirstColumn="0" showLastColumn="0" showRowStripes="1" showColumnStripes="0"/>
</table>
</file>

<file path=xl/tables/table6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0" xr:uid="{D78A637A-B4C1-4B29-AB12-84CD822AF5CC}" name="June23­_2022" displayName="June23­_2022" ref="B5:H23" totalsRowCount="1" headerRowDxfId="2474" headerRowBorderDxfId="2473" tableBorderDxfId="2472" totalsRowBorderDxfId="2471">
  <autoFilter ref="B5:H22" xr:uid="{44AA011A-2ACC-4886-A69B-550EF3190476}"/>
  <sortState xmlns:xlrd2="http://schemas.microsoft.com/office/spreadsheetml/2017/richdata2" ref="B6:H22">
    <sortCondition ref="B6:B22"/>
  </sortState>
  <tableColumns count="7">
    <tableColumn id="1" xr3:uid="{B5F0C514-E621-448C-B4ED-8D162F6CD4AB}" name="BDC LIST" totalsRowLabel="Total" dataDxfId="2470" totalsRowDxfId="2469"/>
    <tableColumn id="2" xr3:uid="{DB5246A3-55FD-458F-A634-D19738FB5419}" name="KSI_AGO" totalsRowFunction="custom" dataDxfId="2468" totalsRowDxfId="2467" dataCellStyle="Comma">
      <totalsRowFormula>SUM(June23­_2022[KSI_AGO])</totalsRowFormula>
    </tableColumn>
    <tableColumn id="3" xr3:uid="{8C77AF84-046A-47A9-86C6-A772A23176AA}" name="KSI_PMS" totalsRowFunction="sum" dataDxfId="2466" totalsRowDxfId="2465" dataCellStyle="Comma"/>
    <tableColumn id="4" xr3:uid="{36821B10-96BE-4921-9748-5F083CA6D7C0}" name="BUIPE_AGO" totalsRowFunction="custom" dataDxfId="2464" totalsRowDxfId="2463" dataCellStyle="Comma">
      <totalsRowFormula>SUM(June23­_2022[BUIPE_AGO])</totalsRowFormula>
    </tableColumn>
    <tableColumn id="5" xr3:uid="{6D66B9FF-C39D-479E-A347-8440C21B813D}" name="BUIPE_PMS" totalsRowFunction="custom" dataDxfId="2462" totalsRowDxfId="2461" dataCellStyle="Comma">
      <totalsRowFormula>SUM(June23­_2022[BUIPE_PMS])</totalsRowFormula>
    </tableColumn>
    <tableColumn id="6" xr3:uid="{C77D81DB-CFB5-4A10-A340-24FEAB665358}" name="AKOSOMBO_AGO" totalsRowFunction="custom" dataDxfId="2460" totalsRowDxfId="2459" dataCellStyle="Comma">
      <totalsRowFormula>SUM(June23­_2022[AKOSOMBO_AGO])</totalsRowFormula>
    </tableColumn>
    <tableColumn id="7" xr3:uid="{09E070B1-641F-4E50-A9A0-362384D78B71}" name="DATE" dataDxfId="2458" totalsRowDxfId="2457">
      <calculatedColumnFormula>$G$3</calculatedColumnFormula>
    </tableColumn>
  </tableColumns>
  <tableStyleInfo showFirstColumn="0" showLastColumn="0" showRowStripes="1" showColumnStripes="0"/>
</table>
</file>

<file path=xl/tables/table6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1" xr:uid="{EC7AA779-4DAF-4556-8136-4E09EB285628}" name="June24__2022" displayName="June24__2022" ref="B5:H23" totalsRowCount="1" headerRowDxfId="2456" headerRowBorderDxfId="2455" tableBorderDxfId="2454" totalsRowBorderDxfId="2453">
  <autoFilter ref="B5:H22" xr:uid="{44AA011A-2ACC-4886-A69B-550EF3190476}"/>
  <sortState xmlns:xlrd2="http://schemas.microsoft.com/office/spreadsheetml/2017/richdata2" ref="B6:H22">
    <sortCondition ref="B6:B22"/>
  </sortState>
  <tableColumns count="7">
    <tableColumn id="1" xr3:uid="{C2B785CD-DEE5-4DEC-94FE-79D0D9307572}" name="BDC LIST" totalsRowLabel="Total" dataDxfId="2452" totalsRowDxfId="2451"/>
    <tableColumn id="2" xr3:uid="{4216B9D0-8889-4CAC-9748-090D1B72BCBD}" name="KSI_AGO" totalsRowFunction="custom" dataDxfId="2450" totalsRowDxfId="2449" dataCellStyle="Comma">
      <totalsRowFormula>SUM(June24__2022[KSI_AGO])</totalsRowFormula>
    </tableColumn>
    <tableColumn id="3" xr3:uid="{6D069474-4A2C-4C54-8F8A-A6BCB13E4896}" name="KSI_PMS" totalsRowFunction="sum" dataDxfId="2448" totalsRowDxfId="2447" dataCellStyle="Comma"/>
    <tableColumn id="4" xr3:uid="{C51EE130-3A2D-4D28-B2C4-A9001F228178}" name="BUIPE_AGO" totalsRowFunction="custom" dataDxfId="2446" totalsRowDxfId="2445" dataCellStyle="Comma">
      <totalsRowFormula>SUM(June24__2022[BUIPE_AGO])</totalsRowFormula>
    </tableColumn>
    <tableColumn id="5" xr3:uid="{5393AA90-FBD6-412C-A5F7-31D9D7306C87}" name="BUIPE_PMS" totalsRowFunction="custom" dataDxfId="2444" totalsRowDxfId="2443" dataCellStyle="Comma">
      <totalsRowFormula>SUM(June24__2022[BUIPE_PMS])</totalsRowFormula>
    </tableColumn>
    <tableColumn id="6" xr3:uid="{9CF7AC2B-7CE8-4941-A580-72BAE0CBC347}" name="AKOSOMBO_AGO" totalsRowFunction="custom" dataDxfId="2442" totalsRowDxfId="2441" dataCellStyle="Comma">
      <totalsRowFormula>SUM(June24__2022[AKOSOMBO_AGO])</totalsRowFormula>
    </tableColumn>
    <tableColumn id="7" xr3:uid="{F8F03AEF-44B0-4E8D-903F-03581CC660E0}" name="DATE" dataDxfId="2440" totalsRowDxfId="2439">
      <calculatedColumnFormula>$G$3</calculatedColumnFormula>
    </tableColumn>
  </tableColumns>
  <tableStyleInfo showFirstColumn="0" showLastColumn="0" showRowStripes="1" showColumnStripes="0"/>
</table>
</file>

<file path=xl/tables/table6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2" xr:uid="{CB3E7FC3-061E-4CEE-ACA6-338B9AEE332A}" name="June24__202222" displayName="June24__202222" ref="B5:H23" totalsRowCount="1" headerRowDxfId="2438" headerRowBorderDxfId="2437" tableBorderDxfId="2436" totalsRowBorderDxfId="2435">
  <autoFilter ref="B5:H22" xr:uid="{44AA011A-2ACC-4886-A69B-550EF3190476}"/>
  <sortState xmlns:xlrd2="http://schemas.microsoft.com/office/spreadsheetml/2017/richdata2" ref="B6:H22">
    <sortCondition ref="B6:B22"/>
  </sortState>
  <tableColumns count="7">
    <tableColumn id="1" xr3:uid="{0E47FC76-69C5-482E-92CF-07354AB2425A}" name="BDC LIST" totalsRowLabel="Total" dataDxfId="2434" totalsRowDxfId="2433"/>
    <tableColumn id="2" xr3:uid="{D1C0EAE9-B624-4744-8396-0029B88B52A4}" name="KSI_AGO" totalsRowFunction="custom" dataDxfId="2432" totalsRowDxfId="2431" dataCellStyle="Comma">
      <totalsRowFormula>SUM(June24__202222[KSI_AGO])</totalsRowFormula>
    </tableColumn>
    <tableColumn id="3" xr3:uid="{725D6199-30C1-4BE6-A0A9-429237287073}" name="KSI_PMS" totalsRowFunction="sum" dataDxfId="2430" totalsRowDxfId="2429" dataCellStyle="Comma"/>
    <tableColumn id="4" xr3:uid="{F8BB6D79-099A-493B-81E1-4222001B3AFF}" name="BUIPE_AGO" totalsRowFunction="custom" dataDxfId="2428" totalsRowDxfId="2427" dataCellStyle="Comma">
      <totalsRowFormula>SUM(June24__202222[BUIPE_AGO])</totalsRowFormula>
    </tableColumn>
    <tableColumn id="5" xr3:uid="{3B7060B7-1C85-4BE8-9CE5-1D6823738E57}" name="BUIPE_PMS" totalsRowFunction="custom" dataDxfId="2426" totalsRowDxfId="2425" dataCellStyle="Comma">
      <totalsRowFormula>SUM(June24__202222[BUIPE_PMS])</totalsRowFormula>
    </tableColumn>
    <tableColumn id="6" xr3:uid="{FBF34B4F-006A-4545-9A89-0CAB36138A55}" name="AKOSOMBO_AGO" totalsRowFunction="custom" dataDxfId="2424" totalsRowDxfId="2423" dataCellStyle="Comma">
      <totalsRowFormula>SUM(June24__202222[AKOSOMBO_AGO])</totalsRowFormula>
    </tableColumn>
    <tableColumn id="7" xr3:uid="{0CA538D1-28C4-4E9E-8F4C-87406C1FCB4A}" name="DATE" dataDxfId="2422" totalsRowDxfId="2421">
      <calculatedColumnFormula>$G$3</calculatedColumnFormula>
    </tableColumn>
  </tableColumns>
  <tableStyleInfo showFirstColumn="0" showLastColumn="0" showRowStripes="1" showColumnStripes="0"/>
</table>
</file>

<file path=xl/tables/table6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3" xr:uid="{5C9E5B72-9B26-47CE-95A7-572916C6616F}" name="June28__2022" displayName="June28__2022" ref="B5:H23" totalsRowCount="1" headerRowDxfId="2420" headerRowBorderDxfId="2419" tableBorderDxfId="2418" totalsRowBorderDxfId="2417">
  <autoFilter ref="B5:H22" xr:uid="{44AA011A-2ACC-4886-A69B-550EF3190476}"/>
  <sortState xmlns:xlrd2="http://schemas.microsoft.com/office/spreadsheetml/2017/richdata2" ref="B6:H22">
    <sortCondition ref="B6:B22"/>
  </sortState>
  <tableColumns count="7">
    <tableColumn id="1" xr3:uid="{0998CA62-A0CA-4EC8-8438-23C532FB4EA2}" name="BDC LIST" totalsRowLabel="Total" dataDxfId="2416" totalsRowDxfId="2415"/>
    <tableColumn id="2" xr3:uid="{F0650252-2D6A-4F3A-9E26-7DEF16239F9B}" name="KSI_AGO" totalsRowFunction="custom" dataDxfId="2414" totalsRowDxfId="2413" dataCellStyle="Comma">
      <totalsRowFormula>SUM(June28__2022[KSI_AGO])</totalsRowFormula>
    </tableColumn>
    <tableColumn id="3" xr3:uid="{D7C5A0C2-A975-432A-8090-3E9DC6910213}" name="KSI_PMS" totalsRowFunction="sum" dataDxfId="2412" totalsRowDxfId="2411" dataCellStyle="Comma"/>
    <tableColumn id="4" xr3:uid="{B4F562A2-F817-4B57-9AE6-30BCA379D7CE}" name="BUIPE_AGO" totalsRowFunction="custom" dataDxfId="2410" totalsRowDxfId="2409" dataCellStyle="Comma">
      <totalsRowFormula>SUM(June28__2022[BUIPE_AGO])</totalsRowFormula>
    </tableColumn>
    <tableColumn id="5" xr3:uid="{ADEE501F-9306-49EC-9720-9F6F19529AF5}" name="BUIPE_PMS" totalsRowFunction="custom" dataDxfId="2408" totalsRowDxfId="2407" dataCellStyle="Comma">
      <totalsRowFormula>SUM(June28__2022[BUIPE_PMS])</totalsRowFormula>
    </tableColumn>
    <tableColumn id="6" xr3:uid="{92BBB42A-9A2D-497E-9737-54CA6B3241BB}" name="AKOSOMBO_AGO" totalsRowFunction="custom" dataDxfId="2406" totalsRowDxfId="2405" dataCellStyle="Comma">
      <totalsRowFormula>SUM(June28__2022[AKOSOMBO_AGO])</totalsRowFormula>
    </tableColumn>
    <tableColumn id="7" xr3:uid="{4C86ACDF-535C-4935-8B1D-CA7D26565F1A}" name="DATE" dataDxfId="2404" totalsRowDxfId="2403">
      <calculatedColumnFormula>$G$3</calculatedColumnFormula>
    </tableColumn>
  </tableColumns>
  <tableStyleInfo showFirstColumn="0" showLastColumn="0" showRowStripes="1" showColumnStripes="0"/>
</table>
</file>

<file path=xl/tables/table6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4" xr:uid="{E69064BB-763B-4015-9350-F6E61FADC4D4}" name="June29__2022" displayName="June29__2022" ref="B5:H23" totalsRowCount="1" headerRowDxfId="2402" headerRowBorderDxfId="2401" tableBorderDxfId="2400" totalsRowBorderDxfId="2399">
  <autoFilter ref="B5:H22" xr:uid="{44AA011A-2ACC-4886-A69B-550EF3190476}"/>
  <sortState xmlns:xlrd2="http://schemas.microsoft.com/office/spreadsheetml/2017/richdata2" ref="B6:H22">
    <sortCondition ref="B6:B22"/>
  </sortState>
  <tableColumns count="7">
    <tableColumn id="1" xr3:uid="{0BEFA784-7CCE-49A1-AAD1-DD271B0ED9D9}" name="BDC LIST" totalsRowLabel="Total" dataDxfId="2398" totalsRowDxfId="2397"/>
    <tableColumn id="2" xr3:uid="{D1DA15BC-72D7-44EC-94EC-8F807C02D98F}" name="KSI_AGO" totalsRowFunction="custom" dataDxfId="2396" totalsRowDxfId="2395" dataCellStyle="Comma">
      <totalsRowFormula>SUM(June29__2022[KSI_AGO])</totalsRowFormula>
    </tableColumn>
    <tableColumn id="3" xr3:uid="{89386086-7665-4D80-8360-EDF99BBAB64F}" name="KSI_PMS" totalsRowFunction="sum" dataDxfId="2394" totalsRowDxfId="2393" dataCellStyle="Comma"/>
    <tableColumn id="4" xr3:uid="{8840A64A-97E0-47DC-BE45-F13C2D5289C2}" name="BUIPE_AGO" totalsRowFunction="custom" dataDxfId="2392" totalsRowDxfId="2391" dataCellStyle="Comma">
      <totalsRowFormula>SUM(June29__2022[BUIPE_AGO])</totalsRowFormula>
    </tableColumn>
    <tableColumn id="5" xr3:uid="{E1A68634-BDDA-4781-956B-F70DAC8B117B}" name="BUIPE_PMS" totalsRowFunction="custom" dataDxfId="2390" totalsRowDxfId="2389" dataCellStyle="Comma">
      <totalsRowFormula>SUM(June29__2022[BUIPE_PMS])</totalsRowFormula>
    </tableColumn>
    <tableColumn id="6" xr3:uid="{A77B9CA3-D0A1-4E7C-BA95-219CDE5BFEAC}" name="AKOSOMBO_AGO" totalsRowFunction="custom" dataDxfId="2388" totalsRowDxfId="2387" dataCellStyle="Comma">
      <totalsRowFormula>SUM(June29__2022[AKOSOMBO_AGO])</totalsRowFormula>
    </tableColumn>
    <tableColumn id="7" xr3:uid="{4AD450FA-AD25-4F6B-BD67-10DA46300408}" name="DATE" dataDxfId="2386" totalsRowDxfId="2385">
      <calculatedColumnFormula>$G$3</calculatedColumnFormula>
    </tableColumn>
  </tableColumns>
  <tableStyleInfo showFirstColumn="0" showLastColumn="0" showRowStripes="1" showColumnStripes="0"/>
</table>
</file>

<file path=xl/tables/table6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5" xr:uid="{2743B66B-8531-460A-8675-FE3AFE14873C}" name="June30__2022" displayName="June30__2022" ref="B5:H23" totalsRowCount="1" headerRowDxfId="2384" headerRowBorderDxfId="2383" tableBorderDxfId="2382" totalsRowBorderDxfId="2381">
  <autoFilter ref="B5:H22" xr:uid="{44AA011A-2ACC-4886-A69B-550EF3190476}"/>
  <sortState xmlns:xlrd2="http://schemas.microsoft.com/office/spreadsheetml/2017/richdata2" ref="B6:H22">
    <sortCondition ref="B6:B22"/>
  </sortState>
  <tableColumns count="7">
    <tableColumn id="1" xr3:uid="{FA78EBBE-D45A-4E74-AD1D-2DDCDA93326B}" name="BDC LIST" totalsRowLabel="Total" dataDxfId="2380" totalsRowDxfId="2379"/>
    <tableColumn id="2" xr3:uid="{77CDC657-B2A0-48A7-BB7E-9610F528D7E7}" name="KSI_AGO" totalsRowFunction="custom" dataDxfId="2378" totalsRowDxfId="2377" dataCellStyle="Comma">
      <totalsRowFormula>SUM(June30__2022[KSI_AGO])</totalsRowFormula>
    </tableColumn>
    <tableColumn id="3" xr3:uid="{8ED6CECC-70AC-4F55-A7EB-7EB51335D5E8}" name="KSI_PMS" totalsRowFunction="sum" dataDxfId="2376" totalsRowDxfId="2375" dataCellStyle="Comma"/>
    <tableColumn id="4" xr3:uid="{FA2D12BB-83D7-40F5-B710-B827F2546E4B}" name="BUIPE_AGO" totalsRowFunction="custom" dataDxfId="2374" totalsRowDxfId="2373" dataCellStyle="Comma">
      <totalsRowFormula>SUM(June30__2022[BUIPE_AGO])</totalsRowFormula>
    </tableColumn>
    <tableColumn id="5" xr3:uid="{0ED94583-CC66-4A76-945B-B2D88B4CF870}" name="BUIPE_PMS" totalsRowFunction="custom" dataDxfId="2372" totalsRowDxfId="2371" dataCellStyle="Comma">
      <totalsRowFormula>SUM(June30__2022[BUIPE_PMS])</totalsRowFormula>
    </tableColumn>
    <tableColumn id="6" xr3:uid="{1AAA31AC-817B-4E2B-A6D5-5912563EB26B}" name="AKOSOMBO_AGO" totalsRowFunction="custom" dataDxfId="2370" totalsRowDxfId="2369" dataCellStyle="Comma">
      <totalsRowFormula>SUM(June30__2022[AKOSOMBO_AGO])</totalsRowFormula>
    </tableColumn>
    <tableColumn id="7" xr3:uid="{4E413828-657C-4C60-B835-607E94F3FD10}" name="DATE" dataDxfId="2368" totalsRowDxfId="2367">
      <calculatedColumnFormula>$G$3</calculatedColumnFormula>
    </tableColumn>
  </tableColumns>
  <tableStyleInfo showFirstColumn="0" showLastColumn="0" showRowStripes="1" showColumnStripes="0"/>
</table>
</file>

<file path=xl/tables/table6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6" xr:uid="{5E927621-2616-4842-93BE-9CDB0C499D3A}" name="July04__2022" displayName="July04__2022" ref="B5:H23" totalsRowCount="1" headerRowDxfId="2366" headerRowBorderDxfId="2365" tableBorderDxfId="2364" totalsRowBorderDxfId="2363">
  <autoFilter ref="B5:H22" xr:uid="{44AA011A-2ACC-4886-A69B-550EF3190476}"/>
  <sortState xmlns:xlrd2="http://schemas.microsoft.com/office/spreadsheetml/2017/richdata2" ref="B6:H22">
    <sortCondition ref="B6:B22"/>
  </sortState>
  <tableColumns count="7">
    <tableColumn id="1" xr3:uid="{05A613CC-3EDD-4BAE-ABC8-BA97D6471F98}" name="BDC LIST" totalsRowLabel="Total" dataDxfId="2362" totalsRowDxfId="2361"/>
    <tableColumn id="2" xr3:uid="{9D501880-ECB2-4C4B-A72F-D90A58E4FE62}" name="KSI_AGO" totalsRowFunction="custom" dataDxfId="2360" totalsRowDxfId="2359" dataCellStyle="Comma">
      <totalsRowFormula>SUM(July04__2022[KSI_AGO])</totalsRowFormula>
    </tableColumn>
    <tableColumn id="3" xr3:uid="{D3DA3702-8D3C-424F-9CB1-3D09897424A9}" name="KSI_PMS" totalsRowFunction="sum" dataDxfId="2358" totalsRowDxfId="2357" dataCellStyle="Comma"/>
    <tableColumn id="4" xr3:uid="{61A3522C-A064-4FE8-B86E-765033626B9B}" name="BUIPE_AGO" totalsRowFunction="custom" dataDxfId="2356" totalsRowDxfId="2355" dataCellStyle="Comma">
      <totalsRowFormula>SUM(July04__2022[BUIPE_AGO])</totalsRowFormula>
    </tableColumn>
    <tableColumn id="5" xr3:uid="{051D05B9-DAA3-404A-BDE4-7D713345035D}" name="BUIPE_PMS" totalsRowFunction="custom" dataDxfId="2354" totalsRowDxfId="2353" dataCellStyle="Comma">
      <totalsRowFormula>SUM(July04__2022[BUIPE_PMS])</totalsRowFormula>
    </tableColumn>
    <tableColumn id="6" xr3:uid="{634DBACE-69E3-4632-B22C-E1F816A4421A}" name="AKOSOMBO_AGO" totalsRowFunction="custom" dataDxfId="2352" totalsRowDxfId="2351" dataCellStyle="Comma">
      <totalsRowFormula>SUM(July04__2022[AKOSOMBO_AGO])</totalsRowFormula>
    </tableColumn>
    <tableColumn id="7" xr3:uid="{39D4279E-4FC4-4480-B226-7C1E9830AAE1}" name="DATE" dataDxfId="2350" totalsRowDxfId="2349">
      <calculatedColumnFormula>$G$3</calculatedColumnFormula>
    </tableColumn>
  </tableColumns>
  <tableStyleInfo showFirstColumn="0" showLastColumn="0" showRowStripes="1" showColumnStripes="0"/>
</table>
</file>

<file path=xl/tables/table6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7" xr:uid="{2779A83E-A494-4190-AF59-A8C28F9688DC}" name="July05__2022" displayName="July05__2022" ref="B5:H23" totalsRowCount="1" headerRowDxfId="2348" headerRowBorderDxfId="2347" tableBorderDxfId="2346" totalsRowBorderDxfId="2345">
  <autoFilter ref="B5:H22" xr:uid="{44AA011A-2ACC-4886-A69B-550EF3190476}"/>
  <sortState xmlns:xlrd2="http://schemas.microsoft.com/office/spreadsheetml/2017/richdata2" ref="B6:H22">
    <sortCondition ref="B6:B22"/>
  </sortState>
  <tableColumns count="7">
    <tableColumn id="1" xr3:uid="{6F60DC54-2054-4647-95F2-BC8CB3467FE1}" name="BDC LIST" totalsRowLabel="Total" dataDxfId="2344" totalsRowDxfId="2343"/>
    <tableColumn id="2" xr3:uid="{F4AD1522-8F12-4357-B64F-0931833DD2B6}" name="KSI_AGO" totalsRowFunction="custom" dataDxfId="2342" totalsRowDxfId="2341" dataCellStyle="Comma">
      <totalsRowFormula>SUM(July05__2022[KSI_AGO])</totalsRowFormula>
    </tableColumn>
    <tableColumn id="3" xr3:uid="{31D8B750-8C6F-4C44-A03D-EB8B0A5D4705}" name="KSI_PMS" totalsRowFunction="sum" dataDxfId="2340" totalsRowDxfId="2339" dataCellStyle="Comma"/>
    <tableColumn id="4" xr3:uid="{5EEF5420-BC49-4DA6-A20C-26D357137FD2}" name="BUIPE_AGO" totalsRowFunction="custom" dataDxfId="2338" totalsRowDxfId="2337" dataCellStyle="Comma">
      <totalsRowFormula>SUM(July05__2022[BUIPE_AGO])</totalsRowFormula>
    </tableColumn>
    <tableColumn id="5" xr3:uid="{F7F50D83-F5D0-4B3C-8A20-D569A902FDD2}" name="BUIPE_PMS" totalsRowFunction="custom" dataDxfId="2336" totalsRowDxfId="2335" dataCellStyle="Comma">
      <totalsRowFormula>SUM(July05__2022[BUIPE_PMS])</totalsRowFormula>
    </tableColumn>
    <tableColumn id="6" xr3:uid="{C9603C1B-B51D-4CA3-8187-6B255F1CA2A8}" name="AKOSOMBO_AGO" totalsRowFunction="custom" dataDxfId="2334" totalsRowDxfId="2333" dataCellStyle="Comma">
      <totalsRowFormula>SUM(July05__2022[AKOSOMBO_AGO])</totalsRowFormula>
    </tableColumn>
    <tableColumn id="7" xr3:uid="{3C02A9C9-9C5F-4A5A-AA43-F48E4BC8A661}" name="DATE" dataDxfId="2332" totalsRowDxfId="2331">
      <calculatedColumnFormula>$G$3</calculatedColumnFormula>
    </tableColumn>
  </tableColumns>
  <tableStyleInfo showFirstColumn="0" showLastColumn="0" showRowStripes="1" showColumnStripes="0"/>
</table>
</file>

<file path=xl/tables/table6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8" xr:uid="{5542E495-4AA6-4BD9-AE0A-52B153187981}" name="July06__2022" displayName="July06__2022" ref="B5:H23" totalsRowCount="1" headerRowDxfId="2330" headerRowBorderDxfId="2329" tableBorderDxfId="2328" totalsRowBorderDxfId="2327">
  <autoFilter ref="B5:H22" xr:uid="{44AA011A-2ACC-4886-A69B-550EF3190476}"/>
  <sortState xmlns:xlrd2="http://schemas.microsoft.com/office/spreadsheetml/2017/richdata2" ref="B6:H22">
    <sortCondition ref="B6:B22"/>
  </sortState>
  <tableColumns count="7">
    <tableColumn id="1" xr3:uid="{47A53BD5-F9D6-454C-8BDE-BF49CD9E52FE}" name="BDC LIST" totalsRowLabel="Total" dataDxfId="2326" totalsRowDxfId="2325"/>
    <tableColumn id="2" xr3:uid="{595FAC61-AC25-4202-88D8-BEBD3E3D7EC9}" name="KSI_AGO" totalsRowFunction="custom" dataDxfId="2324" totalsRowDxfId="2323" dataCellStyle="Comma">
      <totalsRowFormula>SUM(July06__2022[KSI_AGO])</totalsRowFormula>
    </tableColumn>
    <tableColumn id="3" xr3:uid="{E559D87C-426E-449C-8C96-CA6D1AAEFA46}" name="KSI_PMS" totalsRowFunction="sum" dataDxfId="2322" totalsRowDxfId="2321" dataCellStyle="Comma"/>
    <tableColumn id="4" xr3:uid="{BA8AE940-D9DD-4B82-8580-076A9B0B77D9}" name="BUIPE_AGO" totalsRowFunction="custom" dataDxfId="2320" totalsRowDxfId="2319" dataCellStyle="Comma">
      <totalsRowFormula>SUM(July06__2022[BUIPE_AGO])</totalsRowFormula>
    </tableColumn>
    <tableColumn id="5" xr3:uid="{1B67A27B-3982-452C-B160-6AE6787B6C6F}" name="BUIPE_PMS" totalsRowFunction="custom" dataDxfId="2318" totalsRowDxfId="2317" dataCellStyle="Comma">
      <totalsRowFormula>SUM(July06__2022[BUIPE_PMS])</totalsRowFormula>
    </tableColumn>
    <tableColumn id="6" xr3:uid="{90A48237-EB55-40BC-9B94-904DCC47FEA9}" name="AKOSOMBO_AGO" totalsRowFunction="custom" dataDxfId="2316" totalsRowDxfId="2315" dataCellStyle="Comma">
      <totalsRowFormula>SUM(July06__2022[AKOSOMBO_AGO])</totalsRowFormula>
    </tableColumn>
    <tableColumn id="7" xr3:uid="{F56708C3-4143-492F-9858-EEDE9DDE7FA4}" name="DATE" dataDxfId="2314" totalsRowDxfId="2313">
      <calculatedColumnFormula>$G$3</calculatedColumnFormula>
    </tableColumn>
  </tableColumns>
  <tableStyleInfo showFirstColumn="0" showLastColumn="0" showRowStripes="1" showColumnStripes="0"/>
</table>
</file>

<file path=xl/tables/table6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9" xr:uid="{E4D2BC5E-AD5D-4038-A0F6-E2940F1197BB}" name="July06__20226" displayName="July06__20226" ref="B5:H23" totalsRowCount="1" headerRowDxfId="2312" headerRowBorderDxfId="2311" tableBorderDxfId="2310" totalsRowBorderDxfId="2309">
  <autoFilter ref="B5:H22" xr:uid="{44AA011A-2ACC-4886-A69B-550EF3190476}"/>
  <sortState xmlns:xlrd2="http://schemas.microsoft.com/office/spreadsheetml/2017/richdata2" ref="B6:H22">
    <sortCondition ref="B6:B22"/>
  </sortState>
  <tableColumns count="7">
    <tableColumn id="1" xr3:uid="{233F96C1-B4AD-4FE3-B4F2-ABD9B86996CD}" name="BDC LIST" totalsRowLabel="Total" dataDxfId="2308" totalsRowDxfId="2307"/>
    <tableColumn id="2" xr3:uid="{949CC09C-26E4-4237-B0CA-C11A16B982C3}" name="KSI_AGO" totalsRowFunction="custom" dataDxfId="2306" totalsRowDxfId="2305" dataCellStyle="Comma">
      <totalsRowFormula>SUM(July06__20226[KSI_AGO])</totalsRowFormula>
    </tableColumn>
    <tableColumn id="3" xr3:uid="{5FC3804F-6483-4FD3-9ABF-05E95778395B}" name="KSI_PMS" totalsRowFunction="sum" dataDxfId="2304" totalsRowDxfId="2303" dataCellStyle="Comma"/>
    <tableColumn id="4" xr3:uid="{490B08C8-9611-47FD-8A0A-B65DBF8A2E9C}" name="BUIPE_AGO" totalsRowFunction="custom" dataDxfId="2302" totalsRowDxfId="2301" dataCellStyle="Comma">
      <totalsRowFormula>SUM(July06__20226[BUIPE_AGO])</totalsRowFormula>
    </tableColumn>
    <tableColumn id="5" xr3:uid="{6AFCC940-0DA2-48A6-899D-E5DE28EB586C}" name="BUIPE_PMS" totalsRowFunction="custom" dataDxfId="2300" totalsRowDxfId="2299" dataCellStyle="Comma">
      <totalsRowFormula>SUM(July06__20226[BUIPE_PMS])</totalsRowFormula>
    </tableColumn>
    <tableColumn id="6" xr3:uid="{81143E99-8DF8-4301-AA72-50BFA697D194}" name="AKOSOMBO_AGO" totalsRowFunction="custom" dataDxfId="2298" totalsRowDxfId="2297" dataCellStyle="Comma">
      <totalsRowFormula>SUM(July06__20226[AKOSOMBO_AGO])</totalsRowFormula>
    </tableColumn>
    <tableColumn id="7" xr3:uid="{07F3B1B4-C424-4EA0-9BF5-ABD0DF8F87BD}" name="DATE" dataDxfId="2296" totalsRowDxfId="2295">
      <calculatedColumnFormula>$G$3</calculatedColumnFormula>
    </tableColumn>
  </tableColumns>
  <tableStyleInfo showFirstColumn="0" showLastColumn="0" showRowStripes="1" showColumnStripes="0"/>
</table>
</file>

<file path=xl/tables/table6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0" xr:uid="{2ED81CC6-3154-405A-ADB2-0F8763E58762}" name="July08_2022" displayName="July08_2022" ref="B5:H23" totalsRowCount="1" headerRowDxfId="2294" headerRowBorderDxfId="2293" tableBorderDxfId="2292" totalsRowBorderDxfId="2291">
  <autoFilter ref="B5:H22" xr:uid="{44AA011A-2ACC-4886-A69B-550EF3190476}"/>
  <sortState xmlns:xlrd2="http://schemas.microsoft.com/office/spreadsheetml/2017/richdata2" ref="B6:H22">
    <sortCondition ref="B6:B22"/>
  </sortState>
  <tableColumns count="7">
    <tableColumn id="1" xr3:uid="{3E0DFEA3-7B30-4EBA-BEF7-639D17172FE0}" name="BDC LIST" totalsRowLabel="Total" dataDxfId="2290" totalsRowDxfId="2289"/>
    <tableColumn id="2" xr3:uid="{EA59F3DD-50FD-4CC8-9A06-2C28D3F63AD1}" name="KSI_AGO" totalsRowFunction="custom" dataDxfId="2288" totalsRowDxfId="2287" dataCellStyle="Comma">
      <totalsRowFormula>SUM(July08_2022[KSI_AGO])</totalsRowFormula>
    </tableColumn>
    <tableColumn id="3" xr3:uid="{D103A5D8-F2B0-48F8-9A82-DC70635CB587}" name="KSI_PMS" totalsRowFunction="sum" dataDxfId="2286" totalsRowDxfId="2285" dataCellStyle="Comma"/>
    <tableColumn id="4" xr3:uid="{4275AF3D-89C7-4938-B869-7248F9F4F2A7}" name="BUIPE_AGO" totalsRowFunction="custom" dataDxfId="2284" totalsRowDxfId="2283" dataCellStyle="Comma">
      <totalsRowFormula>SUM(July08_2022[BUIPE_AGO])</totalsRowFormula>
    </tableColumn>
    <tableColumn id="5" xr3:uid="{A267CED8-F324-4A93-9995-1A1D38709CCF}" name="BUIPE_PMS" totalsRowFunction="custom" dataDxfId="2282" totalsRowDxfId="2281" dataCellStyle="Comma">
      <totalsRowFormula>SUM(July08_2022[BUIPE_PMS])</totalsRowFormula>
    </tableColumn>
    <tableColumn id="6" xr3:uid="{9C8F1309-9298-4508-886D-38D1849F32EF}" name="AKOSOMBO_AGO" totalsRowFunction="custom" dataDxfId="2280" totalsRowDxfId="2279" dataCellStyle="Comma">
      <totalsRowFormula>SUM(July08_2022[AKOSOMBO_AGO])</totalsRowFormula>
    </tableColumn>
    <tableColumn id="7" xr3:uid="{DEC3FCE3-7C80-4275-A051-E93D8977BD92}" name="DATE" dataDxfId="2278" totalsRowDxfId="2277">
      <calculatedColumnFormula>$G$3</calculatedColumnFormula>
    </tableColumn>
  </tableColumns>
  <tableStyleInfo showFirstColumn="0" showLastColumn="0" showRowStripes="1" showColumnStripes="0"/>
</table>
</file>

<file path=xl/tables/table6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1" xr:uid="{FAD9D20F-8B29-43B3-B4B5-346D1CDD2EF3}" name="July08_20228" displayName="July08_20228" ref="B5:H23" totalsRowCount="1" headerRowDxfId="2276" headerRowBorderDxfId="2275" tableBorderDxfId="2274" totalsRowBorderDxfId="2273">
  <autoFilter ref="B5:H22" xr:uid="{44AA011A-2ACC-4886-A69B-550EF3190476}"/>
  <sortState xmlns:xlrd2="http://schemas.microsoft.com/office/spreadsheetml/2017/richdata2" ref="B6:H22">
    <sortCondition ref="B6:B22"/>
  </sortState>
  <tableColumns count="7">
    <tableColumn id="1" xr3:uid="{EE520ADF-9741-4067-BD50-0848EB9D794C}" name="BDC LIST" totalsRowLabel="Total" dataDxfId="2272" totalsRowDxfId="2271"/>
    <tableColumn id="2" xr3:uid="{81116994-B5B5-4CF4-957F-2DB4F28794F5}" name="KSI_AGO" totalsRowFunction="custom" dataDxfId="2270" totalsRowDxfId="2269" dataCellStyle="Comma">
      <totalsRowFormula>SUM(July08_20228[KSI_AGO])</totalsRowFormula>
    </tableColumn>
    <tableColumn id="3" xr3:uid="{73F84D1D-B4C6-4F4B-A95E-8084DD668A76}" name="KSI_PMS" totalsRowFunction="sum" dataDxfId="2268" totalsRowDxfId="2267" dataCellStyle="Comma"/>
    <tableColumn id="4" xr3:uid="{51B3C8E7-5B22-4FC6-8DAA-49B8DF7B434F}" name="BUIPE_AGO" totalsRowFunction="custom" dataDxfId="2266" totalsRowDxfId="2265" dataCellStyle="Comma">
      <totalsRowFormula>SUM(July08_20228[BUIPE_AGO])</totalsRowFormula>
    </tableColumn>
    <tableColumn id="5" xr3:uid="{A8DA14F1-2BDB-432F-A5C2-09F1767B511C}" name="BUIPE_PMS" totalsRowFunction="custom" dataDxfId="2264" totalsRowDxfId="2263" dataCellStyle="Comma">
      <totalsRowFormula>SUM(July08_20228[BUIPE_PMS])</totalsRowFormula>
    </tableColumn>
    <tableColumn id="6" xr3:uid="{79C60E21-D8C4-41F0-AE0B-0ADB585630E0}" name="AKOSOMBO_AGO" totalsRowFunction="custom" dataDxfId="2262" totalsRowDxfId="2261" dataCellStyle="Comma">
      <totalsRowFormula>SUM(July08_20228[AKOSOMBO_AGO])</totalsRowFormula>
    </tableColumn>
    <tableColumn id="7" xr3:uid="{96AF287D-BFFC-42AE-B1E6-0343A7065724}" name="DATE" dataDxfId="2260" totalsRowDxfId="2259">
      <calculatedColumnFormula>$G$3</calculatedColumnFormula>
    </tableColumn>
  </tableColumns>
  <tableStyleInfo showFirstColumn="0" showLastColumn="0" showRowStripes="1" showColumnStripes="0"/>
</table>
</file>

<file path=xl/tables/table6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2" xr:uid="{CFEC1E07-6D42-461B-A558-F8781FF14012}" name="July13_2022" displayName="July13_2022" ref="B5:H23" totalsRowCount="1" headerRowDxfId="2258" headerRowBorderDxfId="2257" tableBorderDxfId="2256" totalsRowBorderDxfId="2255">
  <autoFilter ref="B5:H22" xr:uid="{44AA011A-2ACC-4886-A69B-550EF3190476}"/>
  <sortState xmlns:xlrd2="http://schemas.microsoft.com/office/spreadsheetml/2017/richdata2" ref="B6:H22">
    <sortCondition ref="B6:B22"/>
  </sortState>
  <tableColumns count="7">
    <tableColumn id="1" xr3:uid="{AFE80C9E-AF80-4832-B70C-D32101933A83}" name="BDC LIST" totalsRowLabel="Total" dataDxfId="2254" totalsRowDxfId="2253"/>
    <tableColumn id="2" xr3:uid="{CB29FA63-C89E-4FF5-A4E7-8408770B2F73}" name="KSI_AGO" totalsRowFunction="custom" dataDxfId="2252" totalsRowDxfId="2251" dataCellStyle="Comma">
      <totalsRowFormula>SUM(July13_2022[KSI_AGO])</totalsRowFormula>
    </tableColumn>
    <tableColumn id="3" xr3:uid="{E1829461-B35B-41EA-B5A2-709477345B0B}" name="KSI_PMS" totalsRowFunction="sum" dataDxfId="2250" totalsRowDxfId="2249" dataCellStyle="Comma"/>
    <tableColumn id="4" xr3:uid="{02A8529A-A5CE-4488-874D-5EF02A5E3F52}" name="BUIPE_AGO" totalsRowFunction="custom" dataDxfId="2248" totalsRowDxfId="2247" dataCellStyle="Comma">
      <totalsRowFormula>SUM(July13_2022[BUIPE_AGO])</totalsRowFormula>
    </tableColumn>
    <tableColumn id="5" xr3:uid="{F066A486-EE44-43DD-BF95-4FFD2354516A}" name="BUIPE_PMS" totalsRowFunction="custom" dataDxfId="2246" totalsRowDxfId="2245" dataCellStyle="Comma">
      <totalsRowFormula>SUM(July13_2022[BUIPE_PMS])</totalsRowFormula>
    </tableColumn>
    <tableColumn id="6" xr3:uid="{FEDF2AD0-C50B-429C-B088-3B9F1032CE13}" name="AKOSOMBO_AGO" totalsRowFunction="custom" dataDxfId="2244" totalsRowDxfId="2243" dataCellStyle="Comma">
      <totalsRowFormula>SUM(July13_2022[AKOSOMBO_AGO])</totalsRowFormula>
    </tableColumn>
    <tableColumn id="7" xr3:uid="{8D30F996-7B73-4E05-9A2F-3283DDF48720}" name="DATE" dataDxfId="2242" totalsRowDxfId="2241">
      <calculatedColumnFormula>$G$3</calculatedColumnFormula>
    </tableColumn>
  </tableColumns>
  <tableStyleInfo showFirstColumn="0" showLastColumn="0" showRowStripes="1" showColumnStripes="0"/>
</table>
</file>

<file path=xl/tables/table6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3" xr:uid="{5920C491-6E0E-4FDD-AEEA-54B7F224C858}" name="July14_2022" displayName="July14_2022" ref="B5:H23" totalsRowCount="1" headerRowDxfId="2240" headerRowBorderDxfId="2239" tableBorderDxfId="2238" totalsRowBorderDxfId="2237">
  <autoFilter ref="B5:H22" xr:uid="{44AA011A-2ACC-4886-A69B-550EF3190476}"/>
  <sortState xmlns:xlrd2="http://schemas.microsoft.com/office/spreadsheetml/2017/richdata2" ref="B6:H22">
    <sortCondition ref="B6:B22"/>
  </sortState>
  <tableColumns count="7">
    <tableColumn id="1" xr3:uid="{9C180378-EC4F-447C-A925-CF629D55507E}" name="BDC LIST" totalsRowLabel="Total" dataDxfId="2236" totalsRowDxfId="2235"/>
    <tableColumn id="2" xr3:uid="{96FB8188-ADB4-4849-BC00-0211DE988C6D}" name="KSI_AGO" totalsRowFunction="custom" dataDxfId="2234" totalsRowDxfId="2233" dataCellStyle="Comma">
      <totalsRowFormula>SUM(July14_2022[KSI_AGO])</totalsRowFormula>
    </tableColumn>
    <tableColumn id="3" xr3:uid="{5B69B6B4-A4B7-4A54-8B22-2C373B636353}" name="KSI_PMS" totalsRowFunction="sum" dataDxfId="2232" totalsRowDxfId="2231" dataCellStyle="Comma"/>
    <tableColumn id="4" xr3:uid="{BB21FFBA-821B-498C-A3D1-D35EFE243840}" name="BUIPE_AGO" totalsRowFunction="custom" dataDxfId="2230" totalsRowDxfId="2229" dataCellStyle="Comma">
      <totalsRowFormula>SUM(July14_2022[BUIPE_AGO])</totalsRowFormula>
    </tableColumn>
    <tableColumn id="5" xr3:uid="{9FE828D6-1867-4479-B6F1-6FFAA2B1320B}" name="BUIPE_PMS" totalsRowFunction="custom" dataDxfId="2228" totalsRowDxfId="2227" dataCellStyle="Comma">
      <totalsRowFormula>SUM(July14_2022[BUIPE_PMS])</totalsRowFormula>
    </tableColumn>
    <tableColumn id="6" xr3:uid="{F6E60559-C87B-415F-840F-C7C0ECCF2CFD}" name="AKOSOMBO_AGO" totalsRowFunction="custom" dataDxfId="2226" totalsRowDxfId="2225" dataCellStyle="Comma">
      <totalsRowFormula>SUM(July14_2022[AKOSOMBO_AGO])</totalsRowFormula>
    </tableColumn>
    <tableColumn id="7" xr3:uid="{8C18FD98-4CF8-45B0-93F4-BBD787A40C64}" name="DATE" dataDxfId="2224" totalsRowDxfId="2223">
      <calculatedColumnFormula>$G$3</calculatedColumnFormula>
    </tableColumn>
  </tableColumns>
  <tableStyleInfo showFirstColumn="0" showLastColumn="0" showRowStripes="1" showColumnStripes="0"/>
</table>
</file>

<file path=xl/tables/table6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4" xr:uid="{67244863-38EC-45F0-9952-C0E5C57BFE24}" name="July15_2022" displayName="July15_2022" ref="B5:H23" totalsRowCount="1" headerRowDxfId="2222" headerRowBorderDxfId="2221" tableBorderDxfId="2220" totalsRowBorderDxfId="2219">
  <autoFilter ref="B5:H22" xr:uid="{44AA011A-2ACC-4886-A69B-550EF3190476}"/>
  <sortState xmlns:xlrd2="http://schemas.microsoft.com/office/spreadsheetml/2017/richdata2" ref="B6:H22">
    <sortCondition ref="B6:B22"/>
  </sortState>
  <tableColumns count="7">
    <tableColumn id="1" xr3:uid="{E9D281C3-EDA1-45E1-9A89-CE4A916AF0AB}" name="BDC LIST" totalsRowLabel="Total" dataDxfId="2218" totalsRowDxfId="2217"/>
    <tableColumn id="2" xr3:uid="{BEFC0033-CC1D-4BB7-99BA-BBDD45DB1B6C}" name="KSI_AGO" totalsRowFunction="custom" dataDxfId="2216" totalsRowDxfId="2215" dataCellStyle="Comma">
      <totalsRowFormula>SUM(July15_2022[KSI_AGO])</totalsRowFormula>
    </tableColumn>
    <tableColumn id="3" xr3:uid="{0C5020B9-5923-486F-95C2-1FDDC56509CB}" name="KSI_PMS" totalsRowFunction="sum" dataDxfId="2214" totalsRowDxfId="2213" dataCellStyle="Comma"/>
    <tableColumn id="4" xr3:uid="{317AD477-40E5-49D2-A538-EE59D367B8CF}" name="BUIPE_AGO" totalsRowFunction="custom" dataDxfId="2212" totalsRowDxfId="2211" dataCellStyle="Comma">
      <totalsRowFormula>SUM(July15_2022[BUIPE_AGO])</totalsRowFormula>
    </tableColumn>
    <tableColumn id="5" xr3:uid="{E24616AB-C5A8-45E4-9364-ECF7882FD0C6}" name="BUIPE_PMS" totalsRowFunction="custom" dataDxfId="2210" totalsRowDxfId="2209" dataCellStyle="Comma">
      <totalsRowFormula>SUM(July15_2022[BUIPE_PMS])</totalsRowFormula>
    </tableColumn>
    <tableColumn id="6" xr3:uid="{AB24AF2A-D99D-45FA-9A85-9C9DA460C1F1}" name="AKOSOMBO_AGO" totalsRowFunction="custom" dataDxfId="2208" totalsRowDxfId="2207" dataCellStyle="Comma">
      <totalsRowFormula>SUM(July15_2022[AKOSOMBO_AGO])</totalsRowFormula>
    </tableColumn>
    <tableColumn id="7" xr3:uid="{27C0CFEB-1147-499A-A423-83E131F72537}" name="DATE" dataDxfId="2206" totalsRowDxfId="2205">
      <calculatedColumnFormula>$G$3</calculatedColumnFormula>
    </tableColumn>
  </tableColumns>
  <tableStyleInfo showFirstColumn="0" showLastColumn="0" showRowStripes="1" showColumnStripes="0"/>
</table>
</file>

<file path=xl/tables/table6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5" xr:uid="{417606CA-868F-45AF-8B0E-B9B22545100E}" name="July18_2022" displayName="July18_2022" ref="B5:H23" totalsRowCount="1" headerRowDxfId="2204" headerRowBorderDxfId="2203" tableBorderDxfId="2202" totalsRowBorderDxfId="2201">
  <autoFilter ref="B5:H22" xr:uid="{44AA011A-2ACC-4886-A69B-550EF3190476}"/>
  <sortState xmlns:xlrd2="http://schemas.microsoft.com/office/spreadsheetml/2017/richdata2" ref="B6:H22">
    <sortCondition ref="B6:B22"/>
  </sortState>
  <tableColumns count="7">
    <tableColumn id="1" xr3:uid="{02F96AEE-8DC2-48FC-9BE8-7BC2CAEF6823}" name="BDC LIST" totalsRowLabel="Total" dataDxfId="2200" totalsRowDxfId="2199"/>
    <tableColumn id="2" xr3:uid="{BD96A34D-D525-4486-BCBB-FC67A8DF0691}" name="KSI_AGO" totalsRowFunction="custom" dataDxfId="2198" totalsRowDxfId="2197" dataCellStyle="Comma">
      <totalsRowFormula>SUM(July18_2022[KSI_AGO])</totalsRowFormula>
    </tableColumn>
    <tableColumn id="3" xr3:uid="{B61CFB4C-D4FA-4448-B009-761CE6F10DB9}" name="KSI_PMS" totalsRowFunction="sum" dataDxfId="2196" totalsRowDxfId="2195" dataCellStyle="Comma"/>
    <tableColumn id="4" xr3:uid="{4A4F2EAD-2086-4EDB-B8EA-29F7F3FB63B2}" name="BUIPE_AGO" totalsRowFunction="custom" dataDxfId="2194" totalsRowDxfId="2193" dataCellStyle="Comma">
      <totalsRowFormula>SUM(July18_2022[BUIPE_AGO])</totalsRowFormula>
    </tableColumn>
    <tableColumn id="5" xr3:uid="{24C15ABA-CD87-4EFB-8A71-A8AA2DF12A46}" name="BUIPE_PMS" totalsRowFunction="custom" dataDxfId="2192" totalsRowDxfId="2191" dataCellStyle="Comma">
      <totalsRowFormula>SUM(July18_2022[BUIPE_PMS])</totalsRowFormula>
    </tableColumn>
    <tableColumn id="6" xr3:uid="{AFF8DD44-8987-4C00-B2DC-D77738DA7A60}" name="AKOSOMBO_AGO" totalsRowFunction="custom" dataDxfId="2190" totalsRowDxfId="2189" dataCellStyle="Comma">
      <totalsRowFormula>SUM(July18_2022[AKOSOMBO_AGO])</totalsRowFormula>
    </tableColumn>
    <tableColumn id="7" xr3:uid="{77D7C07F-DCED-41D4-B124-10A3C6A6F479}" name="DATE" dataDxfId="2188" totalsRowDxfId="2187">
      <calculatedColumnFormula>$G$3</calculatedColumnFormula>
    </tableColumn>
  </tableColumns>
  <tableStyleInfo showFirstColumn="0" showLastColumn="0" showRowStripes="1" showColumnStripes="0"/>
</table>
</file>

<file path=xl/tables/table6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6" xr:uid="{EA4642BB-1129-4D2A-A91C-05C3C2FD11CA}" name="July19_2022" displayName="July19_2022" ref="B5:H23" totalsRowCount="1" headerRowDxfId="2186" headerRowBorderDxfId="2185" tableBorderDxfId="2184" totalsRowBorderDxfId="2183">
  <autoFilter ref="B5:H22" xr:uid="{44AA011A-2ACC-4886-A69B-550EF3190476}"/>
  <sortState xmlns:xlrd2="http://schemas.microsoft.com/office/spreadsheetml/2017/richdata2" ref="B6:H22">
    <sortCondition ref="B6:B22"/>
  </sortState>
  <tableColumns count="7">
    <tableColumn id="1" xr3:uid="{B58783CA-3B59-42AE-8982-F64B7726C262}" name="BDC LIST" totalsRowLabel="Total" dataDxfId="2182" totalsRowDxfId="2181"/>
    <tableColumn id="2" xr3:uid="{B5BE71E6-ACD1-40C9-806B-689366CBC0EC}" name="KSI_AGO" totalsRowFunction="custom" dataDxfId="2180" totalsRowDxfId="2179" dataCellStyle="Comma">
      <totalsRowFormula>SUM(July19_2022[KSI_AGO])</totalsRowFormula>
    </tableColumn>
    <tableColumn id="3" xr3:uid="{4B6E56D2-F7C2-4515-977C-594809E32D6E}" name="KSI_PMS" totalsRowFunction="sum" dataDxfId="2178" totalsRowDxfId="2177" dataCellStyle="Comma"/>
    <tableColumn id="4" xr3:uid="{722DD0CD-7442-48E5-8CC9-1EA9547AA8C6}" name="BUIPE_AGO" totalsRowFunction="custom" dataDxfId="2176" totalsRowDxfId="2175" dataCellStyle="Comma">
      <totalsRowFormula>SUM(July19_2022[BUIPE_AGO])</totalsRowFormula>
    </tableColumn>
    <tableColumn id="5" xr3:uid="{97A2E538-FA6D-43F2-8A17-51CCA696C93A}" name="BUIPE_PMS" totalsRowFunction="custom" dataDxfId="2174" totalsRowDxfId="2173" dataCellStyle="Comma">
      <totalsRowFormula>SUM(July19_2022[BUIPE_PMS])</totalsRowFormula>
    </tableColumn>
    <tableColumn id="6" xr3:uid="{95573DB5-B278-4337-A249-FCEDE3611380}" name="AKOSOMBO_AGO" totalsRowFunction="custom" dataDxfId="2172" totalsRowDxfId="2171" dataCellStyle="Comma">
      <totalsRowFormula>SUM(July19_2022[AKOSOMBO_AGO])</totalsRowFormula>
    </tableColumn>
    <tableColumn id="7" xr3:uid="{D01FAEDA-AD85-4E35-B30A-7C8625C94383}" name="DATE" dataDxfId="2170" totalsRowDxfId="2169">
      <calculatedColumnFormula>$G$3</calculatedColumnFormula>
    </tableColumn>
  </tableColumns>
  <tableStyleInfo showFirstColumn="0" showLastColumn="0" showRowStripes="1" showColumnStripes="0"/>
</table>
</file>

<file path=xl/tables/table6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7" xr:uid="{3E5F4AD6-18BE-4C6E-8C62-E135E3389909}" name="July20_2022" displayName="July20_2022" ref="B5:H23" totalsRowCount="1" headerRowDxfId="2168" headerRowBorderDxfId="2167" tableBorderDxfId="2166" totalsRowBorderDxfId="2165">
  <autoFilter ref="B5:H22" xr:uid="{44AA011A-2ACC-4886-A69B-550EF3190476}"/>
  <sortState xmlns:xlrd2="http://schemas.microsoft.com/office/spreadsheetml/2017/richdata2" ref="B6:H22">
    <sortCondition ref="B6:B22"/>
  </sortState>
  <tableColumns count="7">
    <tableColumn id="1" xr3:uid="{5BF60A45-66C0-44C3-97A6-5D7235B3662B}" name="BDC LIST" totalsRowLabel="Total" dataDxfId="2164" totalsRowDxfId="2163"/>
    <tableColumn id="2" xr3:uid="{3C8301BF-9CBF-4DA0-95C0-D46BC4D7CFD4}" name="KSI_AGO" totalsRowFunction="custom" dataDxfId="2162" totalsRowDxfId="2161" dataCellStyle="Comma">
      <totalsRowFormula>SUM(July20_2022[KSI_AGO])</totalsRowFormula>
    </tableColumn>
    <tableColumn id="3" xr3:uid="{45980A38-F581-48CC-AD35-A61C1BCC444E}" name="KSI_PMS" totalsRowFunction="sum" dataDxfId="2160" totalsRowDxfId="2159" dataCellStyle="Comma"/>
    <tableColumn id="4" xr3:uid="{CC3BF48C-11D1-4889-8576-7F892E7C605E}" name="BUIPE_AGO" totalsRowFunction="custom" dataDxfId="2158" totalsRowDxfId="2157" dataCellStyle="Comma">
      <totalsRowFormula>SUM(July20_2022[BUIPE_AGO])</totalsRowFormula>
    </tableColumn>
    <tableColumn id="5" xr3:uid="{FD295FFF-0ED4-4240-AC6A-CD4B4FA024BC}" name="BUIPE_PMS" totalsRowFunction="custom" dataDxfId="2156" totalsRowDxfId="2155" dataCellStyle="Comma">
      <totalsRowFormula>SUM(July20_2022[BUIPE_PMS])</totalsRowFormula>
    </tableColumn>
    <tableColumn id="6" xr3:uid="{0F89C1DE-C865-45A2-9922-C651F73EF102}" name="AKOSOMBO_AGO" totalsRowFunction="custom" dataDxfId="2154" totalsRowDxfId="2153" dataCellStyle="Comma">
      <totalsRowFormula>SUM(July20_2022[AKOSOMBO_AGO])</totalsRowFormula>
    </tableColumn>
    <tableColumn id="7" xr3:uid="{D32AF470-DFB7-4B2B-BF57-A96DBE59D96B}" name="DATE" dataDxfId="2152" totalsRowDxfId="2151">
      <calculatedColumnFormula>$G$3</calculatedColumnFormula>
    </tableColumn>
  </tableColumns>
  <tableStyleInfo showFirstColumn="0" showLastColumn="0" showRowStripes="1" showColumnStripes="0"/>
</table>
</file>

<file path=xl/tables/table6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8" xr:uid="{48E1C15F-EEFD-4539-91BD-B2A08C4B389E}" name="July20_202215" displayName="July20_202215" ref="B5:H23" totalsRowCount="1" headerRowDxfId="2150" headerRowBorderDxfId="2149" tableBorderDxfId="2148" totalsRowBorderDxfId="2147">
  <autoFilter ref="B5:H22" xr:uid="{44AA011A-2ACC-4886-A69B-550EF3190476}"/>
  <sortState xmlns:xlrd2="http://schemas.microsoft.com/office/spreadsheetml/2017/richdata2" ref="B6:H22">
    <sortCondition ref="B6:B22"/>
  </sortState>
  <tableColumns count="7">
    <tableColumn id="1" xr3:uid="{FC7B777B-3532-4ED6-935B-AF450135304A}" name="BDC LIST" totalsRowLabel="Total" dataDxfId="2146" totalsRowDxfId="2145"/>
    <tableColumn id="2" xr3:uid="{15FFF15E-3C80-4EC3-81FB-E36E6220E73C}" name="KSI_AGO" totalsRowFunction="custom" dataDxfId="2144" totalsRowDxfId="2143" dataCellStyle="Comma">
      <totalsRowFormula>SUM(July20_202215[KSI_AGO])</totalsRowFormula>
    </tableColumn>
    <tableColumn id="3" xr3:uid="{C0422050-E91D-4FB0-96BE-53982BCB8F4D}" name="KSI_PMS" totalsRowFunction="sum" dataDxfId="2142" totalsRowDxfId="2141" dataCellStyle="Comma"/>
    <tableColumn id="4" xr3:uid="{16D69E5D-C4C3-4F7A-98B9-3441E5389644}" name="BUIPE_AGO" totalsRowFunction="custom" dataDxfId="2140" totalsRowDxfId="2139" dataCellStyle="Comma">
      <totalsRowFormula>SUM(July20_202215[BUIPE_AGO])</totalsRowFormula>
    </tableColumn>
    <tableColumn id="5" xr3:uid="{5F8F38FB-5325-4B46-84C1-E0E8736398FD}" name="BUIPE_PMS" totalsRowFunction="custom" dataDxfId="2138" totalsRowDxfId="2137" dataCellStyle="Comma">
      <totalsRowFormula>SUM(July20_202215[BUIPE_PMS])</totalsRowFormula>
    </tableColumn>
    <tableColumn id="6" xr3:uid="{98F95F05-7C64-4285-AAB6-29B7108B1721}" name="AKOSOMBO_AGO" totalsRowFunction="custom" dataDxfId="2136" totalsRowDxfId="2135" dataCellStyle="Comma">
      <totalsRowFormula>SUM(July20_202215[AKOSOMBO_AGO])</totalsRowFormula>
    </tableColumn>
    <tableColumn id="7" xr3:uid="{96611C88-D7A5-48AF-B8B6-DF43BC3084C2}" name="DATE" dataDxfId="2134" totalsRowDxfId="2133">
      <calculatedColumnFormula>$G$3</calculatedColumnFormula>
    </tableColumn>
  </tableColumns>
  <tableStyleInfo showFirstColumn="0" showLastColumn="0" showRowStripes="1" showColumnStripes="0"/>
</table>
</file>

<file path=xl/tables/table6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9" xr:uid="{F3649A2B-4DA6-49E8-8E72-553F73D00236}" name="July20_20221516" displayName="July20_20221516" ref="B5:H23" totalsRowCount="1" headerRowDxfId="2132" headerRowBorderDxfId="2131" tableBorderDxfId="2130" totalsRowBorderDxfId="2129">
  <autoFilter ref="B5:H22" xr:uid="{44AA011A-2ACC-4886-A69B-550EF3190476}"/>
  <sortState xmlns:xlrd2="http://schemas.microsoft.com/office/spreadsheetml/2017/richdata2" ref="B6:H22">
    <sortCondition ref="B6:B22"/>
  </sortState>
  <tableColumns count="7">
    <tableColumn id="1" xr3:uid="{96054E4C-ED21-4AA5-A3C5-298BC0FC82E9}" name="BDC LIST" totalsRowLabel="Total" dataDxfId="2128" totalsRowDxfId="2127"/>
    <tableColumn id="2" xr3:uid="{F69971A6-1D8E-47FB-A6EF-887FF5C308AA}" name="KSI_AGO" totalsRowFunction="custom" dataDxfId="2126" totalsRowDxfId="2125" dataCellStyle="Comma">
      <totalsRowFormula>SUM(July20_20221516[KSI_AGO])</totalsRowFormula>
    </tableColumn>
    <tableColumn id="3" xr3:uid="{7F84232E-58EF-43AB-ACEF-AADEADAD40C9}" name="KSI_PMS" totalsRowFunction="sum" dataDxfId="2124" totalsRowDxfId="2123" dataCellStyle="Comma"/>
    <tableColumn id="4" xr3:uid="{989DFB1B-ED75-40EC-89FC-E2E44C3BB89C}" name="BUIPE_AGO" totalsRowFunction="custom" dataDxfId="2122" totalsRowDxfId="2121" dataCellStyle="Comma">
      <totalsRowFormula>SUM(July20_20221516[BUIPE_AGO])</totalsRowFormula>
    </tableColumn>
    <tableColumn id="5" xr3:uid="{F98E1A99-215E-4406-B668-E23AB98A4FA0}" name="BUIPE_PMS" totalsRowFunction="custom" dataDxfId="2120" totalsRowDxfId="2119" dataCellStyle="Comma">
      <totalsRowFormula>SUM(July20_20221516[BUIPE_PMS])</totalsRowFormula>
    </tableColumn>
    <tableColumn id="6" xr3:uid="{9A94A5BF-3B90-4A18-A8B2-E9BABB6EA7D6}" name="AKOSOMBO_AGO" totalsRowFunction="custom" dataDxfId="2118" totalsRowDxfId="2117" dataCellStyle="Comma">
      <totalsRowFormula>SUM(July20_20221516[AKOSOMBO_AGO])</totalsRowFormula>
    </tableColumn>
    <tableColumn id="7" xr3:uid="{37F6DBD8-02DE-434F-A12B-C168010AB605}" name="DATE" dataDxfId="2116" totalsRowDxfId="2115">
      <calculatedColumnFormula>$G$3</calculatedColumnFormula>
    </tableColumn>
  </tableColumns>
  <tableStyleInfo showFirstColumn="0" showLastColumn="0" showRowStripes="1" showColumnStripes="0"/>
</table>
</file>

<file path=xl/tables/table6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0" xr:uid="{E1B82B5A-C346-4D88-936F-E7FFEACA3F29}" name="July20_2022151617" displayName="July20_2022151617" ref="B5:H23" totalsRowCount="1" headerRowDxfId="2114" headerRowBorderDxfId="2113" tableBorderDxfId="2112" totalsRowBorderDxfId="2111">
  <autoFilter ref="B5:H22" xr:uid="{44AA011A-2ACC-4886-A69B-550EF3190476}"/>
  <sortState xmlns:xlrd2="http://schemas.microsoft.com/office/spreadsheetml/2017/richdata2" ref="B6:H22">
    <sortCondition ref="B6:B22"/>
  </sortState>
  <tableColumns count="7">
    <tableColumn id="1" xr3:uid="{0D617BC1-57C4-4BBF-95AF-3D23E811D39E}" name="BDC LIST" totalsRowLabel="Total" dataDxfId="2110" totalsRowDxfId="2109"/>
    <tableColumn id="2" xr3:uid="{6034DBD2-AF99-46D2-B079-C95986F2C66A}" name="KSI_AGO" totalsRowFunction="custom" dataDxfId="2108" totalsRowDxfId="2107" dataCellStyle="Comma">
      <totalsRowFormula>SUM(July20_2022151617[KSI_AGO])</totalsRowFormula>
    </tableColumn>
    <tableColumn id="3" xr3:uid="{D88A40DE-DCB4-4326-8471-042A6685C346}" name="KSI_PMS" totalsRowFunction="sum" dataDxfId="2106" totalsRowDxfId="2105" dataCellStyle="Comma"/>
    <tableColumn id="4" xr3:uid="{2C3C5609-5340-4947-B6CD-182DE11F49EB}" name="BUIPE_AGO" totalsRowFunction="custom" dataDxfId="2104" totalsRowDxfId="2103" dataCellStyle="Comma">
      <totalsRowFormula>SUM(July20_2022151617[BUIPE_AGO])</totalsRowFormula>
    </tableColumn>
    <tableColumn id="5" xr3:uid="{837DEB65-A9BA-4D92-97FE-ACFE15F735D7}" name="BUIPE_PMS" totalsRowFunction="custom" dataDxfId="2102" totalsRowDxfId="2101" dataCellStyle="Comma">
      <totalsRowFormula>SUM(July20_2022151617[BUIPE_PMS])</totalsRowFormula>
    </tableColumn>
    <tableColumn id="6" xr3:uid="{3B5FC9E7-6ED5-4D61-AE7B-346F7B0EF2F5}" name="AKOSOMBO_AGO" totalsRowFunction="custom" dataDxfId="2100" totalsRowDxfId="2099" dataCellStyle="Comma">
      <totalsRowFormula>SUM(July20_2022151617[AKOSOMBO_AGO])</totalsRowFormula>
    </tableColumn>
    <tableColumn id="7" xr3:uid="{213D49E3-9B38-437C-AFFB-A3195B7E360D}" name="DATE" dataDxfId="2098" totalsRowDxfId="2097">
      <calculatedColumnFormula>$G$3</calculatedColumnFormula>
    </tableColumn>
  </tableColumns>
  <tableStyleInfo showFirstColumn="0" showLastColumn="0" showRowStripes="1" showColumnStripes="0"/>
</table>
</file>

<file path=xl/tables/table6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1" xr:uid="{29E8D2B6-6EE7-4A61-B738-A3C1B08EBC79}" name="July26_2022" displayName="July26_2022" ref="B5:H23" totalsRowCount="1" headerRowDxfId="2096" headerRowBorderDxfId="2095" tableBorderDxfId="2094" totalsRowBorderDxfId="2093">
  <autoFilter ref="B5:H22" xr:uid="{44AA011A-2ACC-4886-A69B-550EF3190476}"/>
  <sortState xmlns:xlrd2="http://schemas.microsoft.com/office/spreadsheetml/2017/richdata2" ref="B6:H22">
    <sortCondition ref="B6:B22"/>
  </sortState>
  <tableColumns count="7">
    <tableColumn id="1" xr3:uid="{85E3FAAE-0F32-4925-B446-25A72B9FC9F8}" name="BDC LIST" totalsRowLabel="Total" dataDxfId="2092" totalsRowDxfId="2091"/>
    <tableColumn id="2" xr3:uid="{00656AFC-399C-4230-A66A-C8E45126D538}" name="KSI_AGO" totalsRowFunction="custom" dataDxfId="2090" totalsRowDxfId="2089" dataCellStyle="Comma">
      <totalsRowFormula>SUM(July26_2022[KSI_AGO])</totalsRowFormula>
    </tableColumn>
    <tableColumn id="3" xr3:uid="{499C710E-F81D-4841-80BC-861FB1C9CFFD}" name="KSI_PMS" totalsRowFunction="sum" dataDxfId="2088" totalsRowDxfId="2087" dataCellStyle="Comma"/>
    <tableColumn id="4" xr3:uid="{AE71826D-F8E1-4996-9774-9641A1ECA4DD}" name="BUIPE_AGO" totalsRowFunction="custom" dataDxfId="2086" totalsRowDxfId="2085" dataCellStyle="Comma">
      <totalsRowFormula>SUM(July26_2022[BUIPE_AGO])</totalsRowFormula>
    </tableColumn>
    <tableColumn id="5" xr3:uid="{5169DB2B-F105-4075-9A3A-973E56379295}" name="BUIPE_PMS" totalsRowFunction="custom" dataDxfId="2084" totalsRowDxfId="2083" dataCellStyle="Comma">
      <totalsRowFormula>SUM(July26_2022[BUIPE_PMS])</totalsRowFormula>
    </tableColumn>
    <tableColumn id="6" xr3:uid="{9B1BDD72-B58C-48CA-A444-74D1008798AC}" name="AKOSOMBO_AGO" totalsRowFunction="custom" dataDxfId="2082" totalsRowDxfId="2081" dataCellStyle="Comma">
      <totalsRowFormula>SUM(July26_2022[AKOSOMBO_AGO])</totalsRowFormula>
    </tableColumn>
    <tableColumn id="7" xr3:uid="{37D43D55-369C-427A-99A4-CA5C5F93BE0F}" name="DATE" dataDxfId="2080" totalsRowDxfId="2079">
      <calculatedColumnFormula>$G$3</calculatedColumnFormula>
    </tableColumn>
  </tableColumns>
  <tableStyleInfo showFirstColumn="0" showLastColumn="0" showRowStripes="1" showColumnStripes="0"/>
</table>
</file>

<file path=xl/tables/table6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2" xr:uid="{7C982CCC-A33D-4AA7-85E6-5D94785D5FD6}" name="July27_2022" displayName="July27_2022" ref="B5:H23" totalsRowCount="1" headerRowDxfId="2078" headerRowBorderDxfId="2077" tableBorderDxfId="2076" totalsRowBorderDxfId="2075">
  <autoFilter ref="B5:H22" xr:uid="{44AA011A-2ACC-4886-A69B-550EF3190476}"/>
  <sortState xmlns:xlrd2="http://schemas.microsoft.com/office/spreadsheetml/2017/richdata2" ref="B6:H22">
    <sortCondition ref="B6:B22"/>
  </sortState>
  <tableColumns count="7">
    <tableColumn id="1" xr3:uid="{92C238C6-C222-4B1A-A88B-823B19B5D487}" name="BDC LIST" totalsRowLabel="Total" dataDxfId="2074" totalsRowDxfId="2073"/>
    <tableColumn id="2" xr3:uid="{B209AD8F-0D8A-4E23-9EE6-53EDC880A06A}" name="KSI_AGO" totalsRowFunction="custom" dataDxfId="2072" totalsRowDxfId="2071" dataCellStyle="Comma">
      <totalsRowFormula>SUM(July27_2022[KSI_AGO])</totalsRowFormula>
    </tableColumn>
    <tableColumn id="3" xr3:uid="{2F4FD749-7156-4372-93CA-A0C925A9A489}" name="KSI_PMS" totalsRowFunction="sum" dataDxfId="2070" totalsRowDxfId="2069" dataCellStyle="Comma"/>
    <tableColumn id="4" xr3:uid="{2BE3C53A-4543-48BD-A724-4C5AB6866A42}" name="BUIPE_AGO" totalsRowFunction="custom" dataDxfId="2068" totalsRowDxfId="2067" dataCellStyle="Comma">
      <totalsRowFormula>SUM(July27_2022[BUIPE_AGO])</totalsRowFormula>
    </tableColumn>
    <tableColumn id="5" xr3:uid="{3627369C-B413-4BF5-9F38-045CAFA35975}" name="BUIPE_PMS" totalsRowFunction="custom" dataDxfId="2066" totalsRowDxfId="2065" dataCellStyle="Comma">
      <totalsRowFormula>SUM(July27_2022[BUIPE_PMS])</totalsRowFormula>
    </tableColumn>
    <tableColumn id="6" xr3:uid="{8003954A-6971-4623-9B13-3C4A6CC73E8A}" name="AKOSOMBO_AGO" totalsRowFunction="custom" dataDxfId="2064" totalsRowDxfId="2063" dataCellStyle="Comma">
      <totalsRowFormula>SUM(July27_2022[AKOSOMBO_AGO])</totalsRowFormula>
    </tableColumn>
    <tableColumn id="7" xr3:uid="{4C2AAACD-3594-44CB-AC55-AB01D3F9D455}" name="DATE" dataDxfId="2062" totalsRowDxfId="2061">
      <calculatedColumnFormula>$G$3</calculatedColumnFormula>
    </tableColumn>
  </tableColumns>
  <tableStyleInfo showFirstColumn="0" showLastColumn="0" showRowStripes="1" showColumnStripes="0"/>
</table>
</file>

<file path=xl/tables/table6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3" xr:uid="{0D926A7A-42F0-4B4B-B41F-E8001CF8D401}" name="July28_2022" displayName="July28_2022" ref="B5:H23" totalsRowCount="1" headerRowDxfId="2060" headerRowBorderDxfId="2059" tableBorderDxfId="2058" totalsRowBorderDxfId="2057">
  <autoFilter ref="B5:H22" xr:uid="{44AA011A-2ACC-4886-A69B-550EF3190476}"/>
  <sortState xmlns:xlrd2="http://schemas.microsoft.com/office/spreadsheetml/2017/richdata2" ref="B6:H22">
    <sortCondition ref="B6:B22"/>
  </sortState>
  <tableColumns count="7">
    <tableColumn id="1" xr3:uid="{666BAE00-AD6B-47E7-948C-BD9A6863B506}" name="BDC LIST" totalsRowLabel="Total" dataDxfId="2056" totalsRowDxfId="2055"/>
    <tableColumn id="2" xr3:uid="{F73A62D1-753B-4DD9-93C4-8057DF9C09EA}" name="KSI_AGO" totalsRowFunction="custom" dataDxfId="2054" totalsRowDxfId="2053" dataCellStyle="Comma">
      <totalsRowFormula>SUM(July28_2022[KSI_AGO])</totalsRowFormula>
    </tableColumn>
    <tableColumn id="3" xr3:uid="{AA4069E8-16E0-433B-8628-1C385A219C10}" name="KSI_PMS" totalsRowFunction="sum" dataDxfId="2052" totalsRowDxfId="2051" dataCellStyle="Comma"/>
    <tableColumn id="4" xr3:uid="{A031C0AD-5733-4A48-B289-C17E424E91DC}" name="BUIPE_AGO" totalsRowFunction="custom" dataDxfId="2050" totalsRowDxfId="2049" dataCellStyle="Comma">
      <totalsRowFormula>SUM(July28_2022[BUIPE_AGO])</totalsRowFormula>
    </tableColumn>
    <tableColumn id="5" xr3:uid="{3BE1A33A-D013-4528-958C-EBF715209E51}" name="BUIPE_PMS" totalsRowFunction="custom" dataDxfId="2048" totalsRowDxfId="2047" dataCellStyle="Comma">
      <totalsRowFormula>SUM(July28_2022[BUIPE_PMS])</totalsRowFormula>
    </tableColumn>
    <tableColumn id="6" xr3:uid="{0D6CCFBC-0E77-482D-91A3-1C2DD53E6CFC}" name="AKOSOMBO_AGO" totalsRowFunction="custom" dataDxfId="2046" totalsRowDxfId="2045" dataCellStyle="Comma">
      <totalsRowFormula>SUM(July28_2022[AKOSOMBO_AGO])</totalsRowFormula>
    </tableColumn>
    <tableColumn id="7" xr3:uid="{EBFA0051-40A2-404C-AF6C-D161CEB12990}" name="DATE" dataDxfId="2044" totalsRowDxfId="2043">
      <calculatedColumnFormula>$G$3</calculatedColumnFormula>
    </tableColumn>
  </tableColumns>
  <tableStyleInfo showFirstColumn="0" showLastColumn="0" showRowStripes="1" showColumnStripes="0"/>
</table>
</file>

<file path=xl/tables/table6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4" xr:uid="{92A3AB5C-EFD9-4A1B-93FA-B5228CB899CC}" name="July29_2022" displayName="July29_2022" ref="B5:H23" totalsRowCount="1" headerRowDxfId="2042" headerRowBorderDxfId="2041" tableBorderDxfId="2040" totalsRowBorderDxfId="2039">
  <autoFilter ref="B5:H22" xr:uid="{44AA011A-2ACC-4886-A69B-550EF3190476}"/>
  <sortState xmlns:xlrd2="http://schemas.microsoft.com/office/spreadsheetml/2017/richdata2" ref="B6:H22">
    <sortCondition ref="B6:B22"/>
  </sortState>
  <tableColumns count="7">
    <tableColumn id="1" xr3:uid="{0C3893C4-C9ED-42D7-8D70-6224E791FC3B}" name="BDC LIST" totalsRowLabel="Total" dataDxfId="2038" totalsRowDxfId="2037"/>
    <tableColumn id="2" xr3:uid="{B0D61E73-C205-48B7-B613-D5FA370D89A8}" name="KSI_AGO" totalsRowFunction="custom" dataDxfId="2036" totalsRowDxfId="2035" dataCellStyle="Comma">
      <totalsRowFormula>SUM(July29_2022[KSI_AGO])</totalsRowFormula>
    </tableColumn>
    <tableColumn id="3" xr3:uid="{A465274D-5738-4295-9B35-A0DA36A3A00E}" name="KSI_PMS" totalsRowFunction="sum" dataDxfId="2034" totalsRowDxfId="2033" dataCellStyle="Comma"/>
    <tableColumn id="4" xr3:uid="{19362DC8-3B84-4E47-80B1-F9B761F31645}" name="BUIPE_AGO" totalsRowFunction="custom" dataDxfId="2032" totalsRowDxfId="2031" dataCellStyle="Comma">
      <totalsRowFormula>SUM(July29_2022[BUIPE_AGO])</totalsRowFormula>
    </tableColumn>
    <tableColumn id="5" xr3:uid="{ED3B358A-4D20-4D8B-8B73-8D22B233837E}" name="BUIPE_PMS" totalsRowFunction="custom" dataDxfId="2030" totalsRowDxfId="2029" dataCellStyle="Comma">
      <totalsRowFormula>SUM(July29_2022[BUIPE_PMS])</totalsRowFormula>
    </tableColumn>
    <tableColumn id="6" xr3:uid="{4B42AA38-723F-4C54-BCC0-89FF8971255E}" name="AKOSOMBO_AGO" totalsRowFunction="custom" dataDxfId="2028" totalsRowDxfId="2027" dataCellStyle="Comma">
      <totalsRowFormula>SUM(July29_2022[AKOSOMBO_AGO])</totalsRowFormula>
    </tableColumn>
    <tableColumn id="7" xr3:uid="{ED607937-3B19-4973-865D-72C5156232DB}" name="DATE" dataDxfId="2026" totalsRowDxfId="2025">
      <calculatedColumnFormula>$G$3</calculatedColumnFormula>
    </tableColumn>
  </tableColumns>
  <tableStyleInfo showFirstColumn="0" showLastColumn="0" showRowStripes="1" showColumnStripes="0"/>
</table>
</file>

<file path=xl/tables/table6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5" xr:uid="{B27B1098-9036-47A3-B8F8-80DE0EDDA82C}" name="August05_2022" displayName="August05_2022" ref="B5:H23" totalsRowCount="1" headerRowDxfId="2024" headerRowBorderDxfId="2023" tableBorderDxfId="2022" totalsRowBorderDxfId="2021">
  <autoFilter ref="B5:H22" xr:uid="{44AA011A-2ACC-4886-A69B-550EF3190476}"/>
  <sortState xmlns:xlrd2="http://schemas.microsoft.com/office/spreadsheetml/2017/richdata2" ref="B6:H22">
    <sortCondition ref="B6:B22"/>
  </sortState>
  <tableColumns count="7">
    <tableColumn id="1" xr3:uid="{7D4743E8-A07D-4F2B-833B-899D713AE316}" name="BDC LIST" totalsRowLabel="Total" dataDxfId="2020" totalsRowDxfId="2019"/>
    <tableColumn id="2" xr3:uid="{848311F5-06AF-4B66-B718-0FB129D64359}" name="KSI_AGO" totalsRowFunction="custom" dataDxfId="2018" totalsRowDxfId="2017" dataCellStyle="Comma">
      <totalsRowFormula>SUM(August05_2022[KSI_AGO])</totalsRowFormula>
    </tableColumn>
    <tableColumn id="3" xr3:uid="{7989E4DD-974C-480F-83FA-86D45558DBCD}" name="KSI_PMS" totalsRowFunction="sum" dataDxfId="2016" totalsRowDxfId="2015" dataCellStyle="Comma"/>
    <tableColumn id="4" xr3:uid="{7174588A-FA4C-4B86-9964-9120C1606106}" name="BUIPE_AGO" totalsRowFunction="custom" dataDxfId="2014" totalsRowDxfId="2013" dataCellStyle="Comma">
      <totalsRowFormula>SUM(August05_2022[BUIPE_AGO])</totalsRowFormula>
    </tableColumn>
    <tableColumn id="5" xr3:uid="{45D75FFB-D7DD-4B02-B11B-D90A283683EE}" name="BUIPE_PMS" totalsRowFunction="custom" dataDxfId="2012" totalsRowDxfId="2011" dataCellStyle="Comma">
      <totalsRowFormula>SUM(August05_2022[BUIPE_PMS])</totalsRowFormula>
    </tableColumn>
    <tableColumn id="6" xr3:uid="{A9ACB356-2223-4D31-ADEA-94141D52D234}" name="AKOSOMBO_AGO" totalsRowFunction="custom" dataDxfId="2010" totalsRowDxfId="2009" dataCellStyle="Comma">
      <totalsRowFormula>SUM(August05_2022[AKOSOMBO_AGO])</totalsRowFormula>
    </tableColumn>
    <tableColumn id="7" xr3:uid="{96306804-AAA4-4D59-B0E5-467BE43AD79C}" name="DATE" dataDxfId="2008" totalsRowDxfId="2007">
      <calculatedColumnFormula>$G$3</calculatedColumnFormula>
    </tableColumn>
  </tableColumns>
  <tableStyleInfo showFirstColumn="0" showLastColumn="0" showRowStripes="1" showColumnStripes="0"/>
</table>
</file>

<file path=xl/tables/table6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6" xr:uid="{09A6B32E-B028-481F-A924-B744BBBF4D9E}" name="August08_2022" displayName="August08_2022" ref="B5:H23" totalsRowCount="1" headerRowDxfId="2006" headerRowBorderDxfId="2005" tableBorderDxfId="2004" totalsRowBorderDxfId="2003">
  <autoFilter ref="B5:H22" xr:uid="{44AA011A-2ACC-4886-A69B-550EF3190476}"/>
  <sortState xmlns:xlrd2="http://schemas.microsoft.com/office/spreadsheetml/2017/richdata2" ref="B6:H22">
    <sortCondition ref="B6:B22"/>
  </sortState>
  <tableColumns count="7">
    <tableColumn id="1" xr3:uid="{79E31894-057D-4851-BDD9-104982CE28B7}" name="BDC LIST" totalsRowLabel="Total" dataDxfId="2002" totalsRowDxfId="2001"/>
    <tableColumn id="2" xr3:uid="{8C15F8FF-CC6B-4A25-88F9-5F135940E98F}" name="KSI_AGO" totalsRowFunction="custom" dataDxfId="2000" totalsRowDxfId="1999" dataCellStyle="Comma">
      <totalsRowFormula>SUM(August08_2022[KSI_AGO])</totalsRowFormula>
    </tableColumn>
    <tableColumn id="3" xr3:uid="{B89BA1BB-9BCD-4904-AFAF-400F1710B7C0}" name="KSI_PMS" totalsRowFunction="sum" dataDxfId="1998" totalsRowDxfId="1997" dataCellStyle="Comma"/>
    <tableColumn id="4" xr3:uid="{C9CFFA07-0660-4A43-813E-8B2C2EC78722}" name="BUIPE_AGO" totalsRowFunction="custom" dataDxfId="1996" totalsRowDxfId="1995" dataCellStyle="Comma">
      <totalsRowFormula>SUM(August08_2022[BUIPE_AGO])</totalsRowFormula>
    </tableColumn>
    <tableColumn id="5" xr3:uid="{91F33BA1-459B-4A18-81AD-713FD4895108}" name="BUIPE_PMS" totalsRowFunction="custom" dataDxfId="1994" totalsRowDxfId="1993" dataCellStyle="Comma">
      <totalsRowFormula>SUM(August08_2022[BUIPE_PMS])</totalsRowFormula>
    </tableColumn>
    <tableColumn id="6" xr3:uid="{8410D437-E552-43AC-B25B-1B303373BFEA}" name="AKOSOMBO_AGO" totalsRowFunction="custom" dataDxfId="1992" totalsRowDxfId="1991" dataCellStyle="Comma">
      <totalsRowFormula>SUM(August08_2022[AKOSOMBO_AGO])</totalsRowFormula>
    </tableColumn>
    <tableColumn id="7" xr3:uid="{A2B5CD3B-42E8-44C8-824F-CA8CBAF97270}" name="DATE" dataDxfId="1990" totalsRowDxfId="1989">
      <calculatedColumnFormula>$G$3</calculatedColumnFormula>
    </tableColumn>
  </tableColumns>
  <tableStyleInfo showFirstColumn="0" showLastColumn="0" showRowStripes="1" showColumnStripes="0"/>
</table>
</file>

<file path=xl/tables/table6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7" xr:uid="{C7EA9980-98DA-45A5-9B13-49325FD5424E}" name="August09_2022" displayName="August09_2022" ref="B5:H23" totalsRowCount="1" headerRowDxfId="1988" headerRowBorderDxfId="1987" tableBorderDxfId="1986" totalsRowBorderDxfId="1985">
  <autoFilter ref="B5:H22" xr:uid="{44AA011A-2ACC-4886-A69B-550EF3190476}"/>
  <sortState xmlns:xlrd2="http://schemas.microsoft.com/office/spreadsheetml/2017/richdata2" ref="B6:H22">
    <sortCondition ref="B6:B22"/>
  </sortState>
  <tableColumns count="7">
    <tableColumn id="1" xr3:uid="{CABA6ABD-277D-4BB1-AD77-2AD63DB8AFE3}" name="BDC LIST" totalsRowLabel="Total" dataDxfId="1984" totalsRowDxfId="1983"/>
    <tableColumn id="2" xr3:uid="{D30AA91E-53DA-4329-BB08-F198D5033096}" name="KSI_AGO" totalsRowFunction="custom" dataDxfId="1982" totalsRowDxfId="1981" dataCellStyle="Comma">
      <totalsRowFormula>SUM(August09_2022[KSI_AGO])</totalsRowFormula>
    </tableColumn>
    <tableColumn id="3" xr3:uid="{138F3BE6-5F6A-45F0-B5E4-8E0A3A74BF7A}" name="KSI_PMS" totalsRowFunction="sum" dataDxfId="1980" totalsRowDxfId="1979" dataCellStyle="Comma"/>
    <tableColumn id="4" xr3:uid="{46CFC6AA-E38A-4100-85D3-640EA65D756D}" name="BUIPE_AGO" totalsRowFunction="custom" dataDxfId="1978" totalsRowDxfId="1977" dataCellStyle="Comma">
      <totalsRowFormula>SUM(August09_2022[BUIPE_AGO])</totalsRowFormula>
    </tableColumn>
    <tableColumn id="5" xr3:uid="{B4A50EC0-3C08-4D5A-9261-7E37330DC8DC}" name="BUIPE_PMS" totalsRowFunction="custom" dataDxfId="1976" totalsRowDxfId="1975" dataCellStyle="Comma">
      <totalsRowFormula>SUM(August09_2022[BUIPE_PMS])</totalsRowFormula>
    </tableColumn>
    <tableColumn id="6" xr3:uid="{151AFAC6-6A81-4B44-89F5-0CEDA12F540D}" name="AKOSOMBO_AGO" totalsRowFunction="custom" dataDxfId="1974" totalsRowDxfId="1973" dataCellStyle="Comma">
      <totalsRowFormula>SUM(August09_2022[AKOSOMBO_AGO])</totalsRowFormula>
    </tableColumn>
    <tableColumn id="7" xr3:uid="{62FBA899-01E9-4279-9184-43618C187C30}" name="DATE" dataDxfId="1972" totalsRowDxfId="1971">
      <calculatedColumnFormula>$G$3</calculatedColumnFormula>
    </tableColumn>
  </tableColumns>
  <tableStyleInfo showFirstColumn="0" showLastColumn="0" showRowStripes="1" showColumnStripes="0"/>
</table>
</file>

<file path=xl/tables/table6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8" xr:uid="{E18B64CB-7FEA-4868-977B-5A37658D555B}" name="August10_2022" displayName="August10_2022" ref="B5:H23" totalsRowCount="1" headerRowDxfId="1970" headerRowBorderDxfId="1969" tableBorderDxfId="1968" totalsRowBorderDxfId="1967">
  <autoFilter ref="B5:H22" xr:uid="{44AA011A-2ACC-4886-A69B-550EF3190476}"/>
  <sortState xmlns:xlrd2="http://schemas.microsoft.com/office/spreadsheetml/2017/richdata2" ref="B6:H22">
    <sortCondition ref="B6:B22"/>
  </sortState>
  <tableColumns count="7">
    <tableColumn id="1" xr3:uid="{8FA79BC4-C467-4477-8E63-B5F7DDA44F87}" name="BDC LIST" totalsRowLabel="Total" dataDxfId="1966" totalsRowDxfId="1965"/>
    <tableColumn id="2" xr3:uid="{99A9C8D1-2379-4E3C-8330-B7C2F0FD2BDB}" name="KSI_AGO" totalsRowFunction="custom" dataDxfId="1964" totalsRowDxfId="1963" dataCellStyle="Comma">
      <totalsRowFormula>SUM(August10_2022[KSI_AGO])</totalsRowFormula>
    </tableColumn>
    <tableColumn id="3" xr3:uid="{CDACD167-8FF2-49BC-BFF7-90FCFDB7103F}" name="KSI_PMS" totalsRowFunction="sum" dataDxfId="1962" totalsRowDxfId="1961" dataCellStyle="Comma"/>
    <tableColumn id="4" xr3:uid="{7553AEF9-03C5-40A7-B16C-5C73E9202591}" name="BUIPE_AGO" totalsRowFunction="custom" dataDxfId="1960" totalsRowDxfId="1959" dataCellStyle="Comma">
      <totalsRowFormula>SUM(August10_2022[BUIPE_AGO])</totalsRowFormula>
    </tableColumn>
    <tableColumn id="5" xr3:uid="{2D5A28B1-1081-490F-A5CA-4D432A9203FA}" name="BUIPE_PMS" totalsRowFunction="custom" dataDxfId="1958" totalsRowDxfId="1957" dataCellStyle="Comma">
      <totalsRowFormula>SUM(August10_2022[BUIPE_PMS])</totalsRowFormula>
    </tableColumn>
    <tableColumn id="6" xr3:uid="{43199071-7641-41D4-B9B5-E265E63102DA}" name="AKOSOMBO_AGO" totalsRowFunction="custom" dataDxfId="1956" totalsRowDxfId="1955" dataCellStyle="Comma">
      <totalsRowFormula>SUM(August10_2022[AKOSOMBO_AGO])</totalsRowFormula>
    </tableColumn>
    <tableColumn id="7" xr3:uid="{94055B13-1A05-4028-801F-62F819FA9E2E}" name="DATE" dataDxfId="1954" totalsRowDxfId="1953">
      <calculatedColumnFormula>$G$3</calculatedColumnFormula>
    </tableColumn>
  </tableColumns>
  <tableStyleInfo showFirstColumn="0" showLastColumn="0" showRowStripes="1" showColumnStripes="0"/>
</table>
</file>

<file path=xl/tables/table6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0" xr:uid="{5ABEB3C9-6724-4D36-8EFA-9123CC8C5D26}" name="August11_2022" displayName="August11_2022" ref="B5:H23" totalsRowCount="1" headerRowDxfId="1952" headerRowBorderDxfId="1951" tableBorderDxfId="1950" totalsRowBorderDxfId="1949">
  <autoFilter ref="B5:H22" xr:uid="{44AA011A-2ACC-4886-A69B-550EF3190476}"/>
  <sortState xmlns:xlrd2="http://schemas.microsoft.com/office/spreadsheetml/2017/richdata2" ref="B6:H22">
    <sortCondition ref="B6:B22"/>
  </sortState>
  <tableColumns count="7">
    <tableColumn id="1" xr3:uid="{675D260E-096B-41CB-8ACA-6815F8CA27F5}" name="BDC LIST" totalsRowLabel="Total" dataDxfId="1948" totalsRowDxfId="1947"/>
    <tableColumn id="2" xr3:uid="{52FC583B-5B75-460D-9ED4-9E79D5CB7248}" name="KSI_AGO" totalsRowFunction="custom" dataDxfId="1946" totalsRowDxfId="1945" dataCellStyle="Comma">
      <totalsRowFormula>SUM(August11_2022[KSI_AGO])</totalsRowFormula>
    </tableColumn>
    <tableColumn id="3" xr3:uid="{DB6DC927-6F9B-4020-8728-81D454BA5A7E}" name="KSI_PMS" totalsRowFunction="sum" dataDxfId="1944" totalsRowDxfId="1943" dataCellStyle="Comma"/>
    <tableColumn id="4" xr3:uid="{E30738A9-0D46-480B-8970-D9B4A46D6B49}" name="BUIPE_AGO" totalsRowFunction="custom" dataDxfId="1942" totalsRowDxfId="1941" dataCellStyle="Comma">
      <totalsRowFormula>SUM(August11_2022[BUIPE_AGO])</totalsRowFormula>
    </tableColumn>
    <tableColumn id="5" xr3:uid="{375D20B4-7F3B-4E6B-86A4-303CB9202844}" name="BUIPE_PMS" totalsRowFunction="custom" dataDxfId="1940" totalsRowDxfId="1939" dataCellStyle="Comma">
      <totalsRowFormula>SUM(August11_2022[BUIPE_PMS])</totalsRowFormula>
    </tableColumn>
    <tableColumn id="6" xr3:uid="{721BDCF4-3FF7-4EF4-A3E1-252F8E721687}" name="AKOSOMBO_AGO" totalsRowFunction="custom" dataDxfId="1938" totalsRowDxfId="1937" dataCellStyle="Comma">
      <totalsRowFormula>SUM(August11_2022[AKOSOMBO_AGO])</totalsRowFormula>
    </tableColumn>
    <tableColumn id="7" xr3:uid="{B55088C2-A94F-4DB6-85E0-3B034B92BD61}" name="DATE" dataDxfId="1936" totalsRowDxfId="1935">
      <calculatedColumnFormula>$G$3</calculatedColumnFormula>
    </tableColumn>
  </tableColumns>
  <tableStyleInfo showFirstColumn="0" showLastColumn="0" showRowStripes="1" showColumnStripes="0"/>
</table>
</file>

<file path=xl/tables/table6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9" xr:uid="{B121A0F0-9768-422B-9014-C2BF2FFEBEA5}" name="August12_2022" displayName="August12_2022" ref="B5:H23" totalsRowCount="1" headerRowDxfId="1934" headerRowBorderDxfId="1933" tableBorderDxfId="1932" totalsRowBorderDxfId="1931">
  <autoFilter ref="B5:H22" xr:uid="{44AA011A-2ACC-4886-A69B-550EF3190476}"/>
  <sortState xmlns:xlrd2="http://schemas.microsoft.com/office/spreadsheetml/2017/richdata2" ref="B6:H22">
    <sortCondition ref="B6:B22"/>
  </sortState>
  <tableColumns count="7">
    <tableColumn id="1" xr3:uid="{237E1ECD-89B7-4944-9D04-1DF5D2946A68}" name="BDC LIST" totalsRowLabel="Total" dataDxfId="1930" totalsRowDxfId="1929"/>
    <tableColumn id="2" xr3:uid="{0DC9542F-4400-4E42-BF34-BC611844BDEA}" name="KSI_AGO" totalsRowFunction="custom" dataDxfId="1928" totalsRowDxfId="1927" dataCellStyle="Comma">
      <totalsRowFormula>SUM(August12_2022[KSI_AGO])</totalsRowFormula>
    </tableColumn>
    <tableColumn id="3" xr3:uid="{FE2FF633-0F4C-412B-82C7-CC42735642A6}" name="KSI_PMS" totalsRowFunction="sum" dataDxfId="1926" totalsRowDxfId="1925" dataCellStyle="Comma"/>
    <tableColumn id="4" xr3:uid="{F2FADFE5-4BE6-4F16-9227-8CA36016AB9D}" name="BUIPE_AGO" totalsRowFunction="custom" dataDxfId="1924" totalsRowDxfId="1923" dataCellStyle="Comma">
      <totalsRowFormula>SUM(August12_2022[BUIPE_AGO])</totalsRowFormula>
    </tableColumn>
    <tableColumn id="5" xr3:uid="{A2AE98FA-C725-451A-907B-21F65D745389}" name="BUIPE_PMS" totalsRowFunction="custom" dataDxfId="1922" totalsRowDxfId="1921" dataCellStyle="Comma">
      <totalsRowFormula>SUM(August12_2022[BUIPE_PMS])</totalsRowFormula>
    </tableColumn>
    <tableColumn id="6" xr3:uid="{6C086CC2-F761-4A17-A401-4750520B8AB0}" name="AKOSOMBO_AGO" totalsRowFunction="custom" dataDxfId="1920" totalsRowDxfId="1919" dataCellStyle="Comma">
      <totalsRowFormula>SUM(August12_2022[AKOSOMBO_AGO])</totalsRowFormula>
    </tableColumn>
    <tableColumn id="7" xr3:uid="{D425B091-D5B1-45AA-89E2-FC0F758E49CE}" name="DATE" dataDxfId="1918" totalsRowDxfId="1917">
      <calculatedColumnFormula>$G$3</calculatedColumnFormula>
    </tableColumn>
  </tableColumns>
  <tableStyleInfo showFirstColumn="0" showLastColumn="0" showRowStripes="1" showColumnStripes="0"/>
</table>
</file>

<file path=xl/tables/table6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1" xr:uid="{E7F5A858-6818-4561-8031-A80580E9D21B}" name="August15_2022" displayName="August15_2022" ref="B5:H23" totalsRowCount="1" headerRowDxfId="1916" headerRowBorderDxfId="1915" tableBorderDxfId="1914" totalsRowBorderDxfId="1913">
  <autoFilter ref="B5:H22" xr:uid="{44AA011A-2ACC-4886-A69B-550EF3190476}"/>
  <sortState xmlns:xlrd2="http://schemas.microsoft.com/office/spreadsheetml/2017/richdata2" ref="B6:H22">
    <sortCondition ref="B6:B22"/>
  </sortState>
  <tableColumns count="7">
    <tableColumn id="1" xr3:uid="{BA5A94A8-124E-4E53-AA09-E0849056B660}" name="BDC LIST" totalsRowLabel="Total" dataDxfId="1912" totalsRowDxfId="1911"/>
    <tableColumn id="2" xr3:uid="{CED5964C-AAA5-4310-A0D4-C2FCE89BC672}" name="KSI_AGO" totalsRowFunction="custom" dataDxfId="1910" totalsRowDxfId="1909" dataCellStyle="Comma">
      <totalsRowFormula>SUM(August15_2022[KSI_AGO])</totalsRowFormula>
    </tableColumn>
    <tableColumn id="3" xr3:uid="{73B0FBE0-147D-4FA0-BF8C-524D78DED561}" name="KSI_PMS" totalsRowFunction="sum" dataDxfId="1908" totalsRowDxfId="1907" dataCellStyle="Comma"/>
    <tableColumn id="4" xr3:uid="{2721A681-6DFB-4ED4-BA49-306E56A7020C}" name="BUIPE_AGO" totalsRowFunction="custom" dataDxfId="1906" totalsRowDxfId="1905" dataCellStyle="Comma">
      <totalsRowFormula>SUM(August15_2022[BUIPE_AGO])</totalsRowFormula>
    </tableColumn>
    <tableColumn id="5" xr3:uid="{E3773264-7EF3-4A65-9EC9-2C41E48635F3}" name="BUIPE_PMS" totalsRowFunction="custom" dataDxfId="1904" totalsRowDxfId="1903" dataCellStyle="Comma">
      <totalsRowFormula>SUM(August15_2022[BUIPE_PMS])</totalsRowFormula>
    </tableColumn>
    <tableColumn id="6" xr3:uid="{A56BE1C8-7B22-42A7-89F5-B98C34BCA42A}" name="AKOSOMBO_AGO" totalsRowFunction="custom" dataDxfId="1902" totalsRowDxfId="1901" dataCellStyle="Comma">
      <totalsRowFormula>SUM(August15_2022[AKOSOMBO_AGO])</totalsRowFormula>
    </tableColumn>
    <tableColumn id="7" xr3:uid="{E7B70060-9900-40F8-B24B-2FAD595EF4D5}" name="DATE" dataDxfId="1900" totalsRowDxfId="1899">
      <calculatedColumnFormula>$G$3</calculatedColumnFormula>
    </tableColumn>
  </tableColumns>
  <tableStyleInfo showFirstColumn="0" showLastColumn="0" showRowStripes="1" showColumnStripes="0"/>
</table>
</file>

<file path=xl/tables/table6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2" xr:uid="{33631096-CF3E-4B14-8F4B-AC0DD9C8CCCA}" name="August16_2022" displayName="August16_2022" ref="B5:H23" totalsRowCount="1" headerRowDxfId="1898" headerRowBorderDxfId="1897" tableBorderDxfId="1896" totalsRowBorderDxfId="1895">
  <autoFilter ref="B5:H22" xr:uid="{44AA011A-2ACC-4886-A69B-550EF3190476}"/>
  <sortState xmlns:xlrd2="http://schemas.microsoft.com/office/spreadsheetml/2017/richdata2" ref="B6:H22">
    <sortCondition ref="B6:B22"/>
  </sortState>
  <tableColumns count="7">
    <tableColumn id="1" xr3:uid="{E9F84437-1B97-419F-B843-6C0E620C6F4A}" name="BDC LIST" totalsRowLabel="Total" dataDxfId="1894" totalsRowDxfId="1893"/>
    <tableColumn id="2" xr3:uid="{2F05381A-9AB2-4277-9F61-D1DCBFEE0576}" name="KSI_AGO" totalsRowFunction="custom" dataDxfId="1892" totalsRowDxfId="1891" dataCellStyle="Comma">
      <totalsRowFormula>SUM(August16_2022[KSI_AGO])</totalsRowFormula>
    </tableColumn>
    <tableColumn id="3" xr3:uid="{FD30956D-9D49-4624-BB6E-287CD505EC2F}" name="KSI_PMS" totalsRowFunction="sum" dataDxfId="1890" totalsRowDxfId="1889" dataCellStyle="Comma"/>
    <tableColumn id="4" xr3:uid="{2249FBCF-DF0B-46FE-98A7-B9E39E040FB6}" name="BUIPE_AGO" totalsRowFunction="custom" dataDxfId="1888" totalsRowDxfId="1887" dataCellStyle="Comma">
      <totalsRowFormula>SUM(August16_2022[BUIPE_AGO])</totalsRowFormula>
    </tableColumn>
    <tableColumn id="5" xr3:uid="{2C3EEAFB-9D31-4D60-A431-0FA7F133059C}" name="BUIPE_PMS" totalsRowFunction="custom" dataDxfId="1886" totalsRowDxfId="1885" dataCellStyle="Comma">
      <totalsRowFormula>SUM(August16_2022[BUIPE_PMS])</totalsRowFormula>
    </tableColumn>
    <tableColumn id="6" xr3:uid="{AA3004C1-7118-4318-A16B-D40DDFA62E5C}" name="AKOSOMBO_AGO" totalsRowFunction="custom" dataDxfId="1884" totalsRowDxfId="1883" dataCellStyle="Comma">
      <totalsRowFormula>SUM(August16_2022[AKOSOMBO_AGO])</totalsRowFormula>
    </tableColumn>
    <tableColumn id="7" xr3:uid="{94F529CD-DD19-42A2-A4CB-ABD16939E7F9}" name="DATE" dataDxfId="1882" totalsRowDxfId="1881">
      <calculatedColumnFormula>$G$3</calculatedColumnFormula>
    </tableColumn>
  </tableColumns>
  <tableStyleInfo showFirstColumn="0" showLastColumn="0" showRowStripes="1" showColumnStripes="0"/>
</table>
</file>

<file path=xl/tables/table6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3" xr:uid="{75C1AE7E-DFBA-44F0-A8F9-EDB3A8AA7879}" name="August17_2022" displayName="August17_2022" ref="B5:H23" totalsRowCount="1" headerRowDxfId="1880" headerRowBorderDxfId="1879" tableBorderDxfId="1878" totalsRowBorderDxfId="1877">
  <autoFilter ref="B5:H22" xr:uid="{44AA011A-2ACC-4886-A69B-550EF3190476}"/>
  <sortState xmlns:xlrd2="http://schemas.microsoft.com/office/spreadsheetml/2017/richdata2" ref="B6:H22">
    <sortCondition ref="B6:B22"/>
  </sortState>
  <tableColumns count="7">
    <tableColumn id="1" xr3:uid="{BCC180FF-AF51-44C5-9A91-49D0D6EA35CA}" name="BDC LIST" totalsRowLabel="Total" dataDxfId="1876" totalsRowDxfId="1875"/>
    <tableColumn id="2" xr3:uid="{DD706538-E2AB-4BAB-BA3B-DB119577B6E8}" name="KSI_AGO" totalsRowFunction="custom" dataDxfId="1874" totalsRowDxfId="1873" dataCellStyle="Comma">
      <totalsRowFormula>SUM(August17_2022[KSI_AGO])</totalsRowFormula>
    </tableColumn>
    <tableColumn id="3" xr3:uid="{B6F176B3-FFF8-48F5-AF40-C45CC923450A}" name="KSI_PMS" totalsRowFunction="sum" dataDxfId="1872" totalsRowDxfId="1871" dataCellStyle="Comma"/>
    <tableColumn id="4" xr3:uid="{C5B1A208-731A-463C-8016-76238C7ABF2B}" name="BUIPE_AGO" totalsRowFunction="custom" dataDxfId="1870" totalsRowDxfId="1869" dataCellStyle="Comma">
      <totalsRowFormula>SUM(August17_2022[BUIPE_AGO])</totalsRowFormula>
    </tableColumn>
    <tableColumn id="5" xr3:uid="{AFABE96D-3D87-40CB-82A8-6BD466D351AF}" name="BUIPE_PMS" totalsRowFunction="custom" dataDxfId="1868" totalsRowDxfId="1867" dataCellStyle="Comma">
      <totalsRowFormula>SUM(August17_2022[BUIPE_PMS])</totalsRowFormula>
    </tableColumn>
    <tableColumn id="6" xr3:uid="{61DBD184-E633-4CA6-8056-345A5C47EF86}" name="AKOSOMBO_AGO" totalsRowFunction="custom" dataDxfId="1866" totalsRowDxfId="1865" dataCellStyle="Comma">
      <totalsRowFormula>SUM(August17_2022[AKOSOMBO_AGO])</totalsRowFormula>
    </tableColumn>
    <tableColumn id="7" xr3:uid="{6A4D4A6F-FADF-4BFC-9A7F-56CEFA99704E}" name="DATE" dataDxfId="1864" totalsRowDxfId="1863">
      <calculatedColumnFormula>$G$3</calculatedColumnFormula>
    </tableColumn>
  </tableColumns>
  <tableStyleInfo showFirstColumn="0" showLastColumn="0" showRowStripes="1" showColumnStripes="0"/>
</table>
</file>

<file path=xl/tables/table6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4" xr:uid="{BEF4A090-5EBA-4105-A062-A67052F30C00}" name="August18_2022" displayName="August18_2022" ref="B5:H23" totalsRowCount="1" headerRowDxfId="1862" headerRowBorderDxfId="1861" tableBorderDxfId="1860" totalsRowBorderDxfId="1859">
  <autoFilter ref="B5:H22" xr:uid="{44AA011A-2ACC-4886-A69B-550EF3190476}"/>
  <sortState xmlns:xlrd2="http://schemas.microsoft.com/office/spreadsheetml/2017/richdata2" ref="B6:H22">
    <sortCondition ref="B6:B22"/>
  </sortState>
  <tableColumns count="7">
    <tableColumn id="1" xr3:uid="{F9375F87-D73D-4A08-AD51-5D2EAA689DF0}" name="BDC LIST" totalsRowLabel="Total" dataDxfId="1858" totalsRowDxfId="1857"/>
    <tableColumn id="2" xr3:uid="{71D40F5E-27FB-4F93-A8EB-7885A889658D}" name="KSI_AGO" totalsRowFunction="custom" dataDxfId="1856" totalsRowDxfId="1855" dataCellStyle="Comma">
      <totalsRowFormula>SUM(August18_2022[KSI_AGO])</totalsRowFormula>
    </tableColumn>
    <tableColumn id="3" xr3:uid="{64417567-F833-4DE5-9241-EB903CB09ADC}" name="KSI_PMS" totalsRowFunction="sum" dataDxfId="1854" totalsRowDxfId="1853" dataCellStyle="Comma"/>
    <tableColumn id="4" xr3:uid="{91B57DF6-ECFE-4489-998E-FFA59B12ECAC}" name="BUIPE_AGO" totalsRowFunction="custom" dataDxfId="1852" totalsRowDxfId="1851" dataCellStyle="Comma">
      <totalsRowFormula>SUM(August18_2022[BUIPE_AGO])</totalsRowFormula>
    </tableColumn>
    <tableColumn id="5" xr3:uid="{560596B6-D361-493C-8F9E-8098F3930405}" name="BUIPE_PMS" totalsRowFunction="custom" dataDxfId="1850" totalsRowDxfId="1849" dataCellStyle="Comma">
      <totalsRowFormula>SUM(August18_2022[BUIPE_PMS])</totalsRowFormula>
    </tableColumn>
    <tableColumn id="6" xr3:uid="{219679C9-15CB-47F6-843E-DC760B33020A}" name="AKOSOMBO_AGO" totalsRowFunction="custom" dataDxfId="1848" totalsRowDxfId="1847" dataCellStyle="Comma">
      <totalsRowFormula>SUM(August18_2022[AKOSOMBO_AGO])</totalsRowFormula>
    </tableColumn>
    <tableColumn id="7" xr3:uid="{0DF42B98-454E-4FD7-8ACF-C792D4B7BCB8}" name="DATE" dataDxfId="1846" totalsRowDxfId="1845">
      <calculatedColumnFormula>$G$3</calculatedColumnFormula>
    </tableColumn>
  </tableColumns>
  <tableStyleInfo showFirstColumn="0" showLastColumn="0" showRowStripes="1" showColumnStripes="0"/>
</table>
</file>

<file path=xl/tables/table6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5" xr:uid="{57923204-FA8B-45DD-8C18-6B6D2E1952C4}" name="August19_2022" displayName="August19_2022" ref="B5:H23" totalsRowCount="1" headerRowDxfId="1844" headerRowBorderDxfId="1843" tableBorderDxfId="1842" totalsRowBorderDxfId="1841">
  <autoFilter ref="B5:H22" xr:uid="{44AA011A-2ACC-4886-A69B-550EF3190476}"/>
  <sortState xmlns:xlrd2="http://schemas.microsoft.com/office/spreadsheetml/2017/richdata2" ref="B6:H22">
    <sortCondition ref="B6:B22"/>
  </sortState>
  <tableColumns count="7">
    <tableColumn id="1" xr3:uid="{B7C44E59-A306-4EC8-B372-2B411BDB4F14}" name="BDC LIST" totalsRowLabel="Total" dataDxfId="1840" totalsRowDxfId="1839"/>
    <tableColumn id="2" xr3:uid="{068E172E-3392-4F7A-AA0A-D5BBD9D2BFF6}" name="KSI_AGO" totalsRowFunction="custom" dataDxfId="1838" totalsRowDxfId="1837" dataCellStyle="Comma">
      <totalsRowFormula>SUM(August19_2022[KSI_AGO])</totalsRowFormula>
    </tableColumn>
    <tableColumn id="3" xr3:uid="{43B32F3E-9083-4F48-AA4E-49BBD62736BC}" name="KSI_PMS" totalsRowFunction="sum" dataDxfId="1836" totalsRowDxfId="1835" dataCellStyle="Comma"/>
    <tableColumn id="4" xr3:uid="{635481E5-572D-475F-98C2-BA7BB49F3887}" name="BUIPE_AGO" totalsRowFunction="custom" dataDxfId="1834" totalsRowDxfId="1833" dataCellStyle="Comma">
      <totalsRowFormula>SUM(August19_2022[BUIPE_AGO])</totalsRowFormula>
    </tableColumn>
    <tableColumn id="5" xr3:uid="{801152A3-866E-4E09-8EAB-C823FE7BD835}" name="BUIPE_PMS" totalsRowFunction="custom" dataDxfId="1832" totalsRowDxfId="1831" dataCellStyle="Comma">
      <totalsRowFormula>SUM(August19_2022[BUIPE_PMS])</totalsRowFormula>
    </tableColumn>
    <tableColumn id="6" xr3:uid="{1BCAB312-5EE9-4F9D-B81A-17F1A7E17E5B}" name="AKOSOMBO_AGO" totalsRowFunction="custom" dataDxfId="1830" totalsRowDxfId="1829" dataCellStyle="Comma">
      <totalsRowFormula>SUM(August19_2022[AKOSOMBO_AGO])</totalsRowFormula>
    </tableColumn>
    <tableColumn id="7" xr3:uid="{8E9262F4-C7EB-4F9C-9F64-446A2CA363E6}" name="DATE" dataDxfId="1828" totalsRowDxfId="1827">
      <calculatedColumnFormula>$G$3</calculatedColumnFormula>
    </tableColumn>
  </tableColumns>
  <tableStyleInfo showFirstColumn="0" showLastColumn="0" showRowStripes="1" showColumnStripes="0"/>
</table>
</file>

<file path=xl/tables/table6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8" xr:uid="{6DB2BA35-FBF9-4A37-934E-D815B59A63B8}" name="August19_20221" displayName="August19_20221" ref="B5:H23" totalsRowCount="1" headerRowDxfId="1826" headerRowBorderDxfId="1825" tableBorderDxfId="1824" totalsRowBorderDxfId="1823">
  <autoFilter ref="B5:H22" xr:uid="{44AA011A-2ACC-4886-A69B-550EF3190476}"/>
  <sortState xmlns:xlrd2="http://schemas.microsoft.com/office/spreadsheetml/2017/richdata2" ref="B6:H22">
    <sortCondition ref="B6:B22"/>
  </sortState>
  <tableColumns count="7">
    <tableColumn id="1" xr3:uid="{94F83402-032F-45EF-B569-9624E5703CF3}" name="BDC LIST" totalsRowLabel="Total" dataDxfId="1822" totalsRowDxfId="1821"/>
    <tableColumn id="2" xr3:uid="{46FE76F7-FAEB-4A93-A0D4-DF07E607C936}" name="KSI_AGO" totalsRowFunction="custom" dataDxfId="1820" totalsRowDxfId="1819" dataCellStyle="Comma">
      <totalsRowFormula>SUM(August19_20221[KSI_AGO])</totalsRowFormula>
    </tableColumn>
    <tableColumn id="3" xr3:uid="{80060687-1A13-415B-8BF0-F9BC31F45561}" name="KSI_PMS" totalsRowFunction="sum" dataDxfId="1818" totalsRowDxfId="1817" dataCellStyle="Comma"/>
    <tableColumn id="4" xr3:uid="{2A2C5077-CD9C-437C-B0A0-0AFE0D98B4C2}" name="BUIPE_AGO" totalsRowFunction="custom" dataDxfId="1816" totalsRowDxfId="1815" dataCellStyle="Comma">
      <totalsRowFormula>SUM(August19_20221[BUIPE_AGO])</totalsRowFormula>
    </tableColumn>
    <tableColumn id="5" xr3:uid="{75B0CD9B-00D2-45D4-9400-76B0F4AB4FD7}" name="BUIPE_PMS" totalsRowFunction="custom" dataDxfId="1814" totalsRowDxfId="1813" dataCellStyle="Comma">
      <totalsRowFormula>SUM(August19_20221[BUIPE_PMS])</totalsRowFormula>
    </tableColumn>
    <tableColumn id="6" xr3:uid="{3F4D00B6-BA9C-40F8-B6C1-7C7A4FA8BED0}" name="AKOSOMBO_AGO" totalsRowFunction="custom" dataDxfId="1812" totalsRowDxfId="1811" dataCellStyle="Comma">
      <totalsRowFormula>SUM(August19_20221[AKOSOMBO_AGO])</totalsRowFormula>
    </tableColumn>
    <tableColumn id="7" xr3:uid="{D3CA8EF7-A110-481C-892C-1F66D52CB38A}" name="DATE" dataDxfId="1810" totalsRowDxfId="1809">
      <calculatedColumnFormula>$G$3</calculatedColumnFormula>
    </tableColumn>
  </tableColumns>
  <tableStyleInfo showFirstColumn="0" showLastColumn="0" showRowStripes="1" showColumnStripes="0"/>
</table>
</file>

<file path=xl/tables/table6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6" xr:uid="{83A2DAAC-D9A6-4076-A720-4D013F9C2B85}" name="August22_2022" displayName="August22_2022" ref="B5:H23" totalsRowCount="1" headerRowDxfId="1808" headerRowBorderDxfId="1807" tableBorderDxfId="1806" totalsRowBorderDxfId="1805">
  <autoFilter ref="B5:H22" xr:uid="{44AA011A-2ACC-4886-A69B-550EF3190476}"/>
  <sortState xmlns:xlrd2="http://schemas.microsoft.com/office/spreadsheetml/2017/richdata2" ref="B6:H22">
    <sortCondition ref="B6:B22"/>
  </sortState>
  <tableColumns count="7">
    <tableColumn id="1" xr3:uid="{374A9DDF-416B-42C2-9FB4-A92957A42EAA}" name="BDC LIST" totalsRowLabel="Total" dataDxfId="1804" totalsRowDxfId="1803"/>
    <tableColumn id="2" xr3:uid="{D4882418-39F1-4FF4-9200-1A885270F553}" name="KSI_AGO" totalsRowFunction="custom" dataDxfId="1802" totalsRowDxfId="1801" dataCellStyle="Comma">
      <totalsRowFormula>SUM(August22_2022[KSI_AGO])</totalsRowFormula>
    </tableColumn>
    <tableColumn id="3" xr3:uid="{A7272539-D0D1-460E-9A09-85FC64BB9531}" name="KSI_PMS" totalsRowFunction="sum" dataDxfId="1800" totalsRowDxfId="1799" dataCellStyle="Comma"/>
    <tableColumn id="4" xr3:uid="{E228CC52-7006-4047-A547-B1385AF600EE}" name="BUIPE_AGO" totalsRowFunction="custom" dataDxfId="1798" totalsRowDxfId="1797" dataCellStyle="Comma">
      <totalsRowFormula>SUM(August22_2022[BUIPE_AGO])</totalsRowFormula>
    </tableColumn>
    <tableColumn id="5" xr3:uid="{17885395-6705-4B31-AAA2-7EA34E55C15D}" name="BUIPE_PMS" totalsRowFunction="custom" dataDxfId="1796" totalsRowDxfId="1795" dataCellStyle="Comma">
      <totalsRowFormula>SUM(August22_2022[BUIPE_PMS])</totalsRowFormula>
    </tableColumn>
    <tableColumn id="6" xr3:uid="{3463A966-979D-4D2B-BA2B-6A3A033786DC}" name="AKOSOMBO_AGO" totalsRowFunction="custom" dataDxfId="1794" totalsRowDxfId="1793" dataCellStyle="Comma">
      <totalsRowFormula>SUM(August22_2022[AKOSOMBO_AGO])</totalsRowFormula>
    </tableColumn>
    <tableColumn id="7" xr3:uid="{52654B9C-31C6-47E3-B9B9-4AFD6E37A4FC}" name="DATE" dataDxfId="1792" totalsRowDxfId="1791">
      <calculatedColumnFormula>$G$3</calculatedColumnFormula>
    </tableColumn>
  </tableColumns>
  <tableStyleInfo showFirstColumn="0" showLastColumn="0" showRowStripes="1" showColumnStripes="0"/>
</table>
</file>

<file path=xl/tables/table6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7" xr:uid="{E3D1AFC9-DE3B-4595-B786-B1A884BE2BE5}" name="August22_202215" displayName="August22_202215" ref="B5:H23" totalsRowCount="1" headerRowDxfId="1790" headerRowBorderDxfId="1789" tableBorderDxfId="1788" totalsRowBorderDxfId="1787">
  <autoFilter ref="B5:H22" xr:uid="{44AA011A-2ACC-4886-A69B-550EF3190476}"/>
  <sortState xmlns:xlrd2="http://schemas.microsoft.com/office/spreadsheetml/2017/richdata2" ref="B6:H22">
    <sortCondition ref="B6:B22"/>
  </sortState>
  <tableColumns count="7">
    <tableColumn id="1" xr3:uid="{22C303BC-2EE7-45C0-8DFA-83A05C2E4A51}" name="BDC LIST" totalsRowLabel="Total" dataDxfId="1786" totalsRowDxfId="1785"/>
    <tableColumn id="2" xr3:uid="{846EB2AD-2D9B-413C-BC03-D6BDCC2D6A15}" name="KSI_AGO" totalsRowFunction="custom" dataDxfId="1784" totalsRowDxfId="1783" dataCellStyle="Comma">
      <totalsRowFormula>SUM(August22_202215[KSI_AGO])</totalsRowFormula>
    </tableColumn>
    <tableColumn id="3" xr3:uid="{77AFAD3E-5601-4637-887E-514AC5D2287F}" name="KSI_PMS" totalsRowFunction="sum" dataDxfId="1782" totalsRowDxfId="1781" dataCellStyle="Comma"/>
    <tableColumn id="4" xr3:uid="{11E6F3F8-B442-498E-880E-A856B609D7F1}" name="BUIPE_AGO" totalsRowFunction="custom" dataDxfId="1780" totalsRowDxfId="1779" dataCellStyle="Comma">
      <totalsRowFormula>SUM(August22_202215[BUIPE_AGO])</totalsRowFormula>
    </tableColumn>
    <tableColumn id="5" xr3:uid="{08673C46-B803-4DD5-ACC6-2402A1DC1AA9}" name="BUIPE_PMS" totalsRowFunction="custom" dataDxfId="1778" totalsRowDxfId="1777" dataCellStyle="Comma">
      <totalsRowFormula>SUM(August22_202215[BUIPE_PMS])</totalsRowFormula>
    </tableColumn>
    <tableColumn id="6" xr3:uid="{7547D0F5-2A60-40B7-AE5D-4566B2BF8B6C}" name="AKOSOMBO_AGO" totalsRowFunction="custom" dataDxfId="1776" totalsRowDxfId="1775" dataCellStyle="Comma">
      <totalsRowFormula>SUM(August22_202215[AKOSOMBO_AGO])</totalsRowFormula>
    </tableColumn>
    <tableColumn id="7" xr3:uid="{D145C516-7296-4722-94FD-FB940DC9DBFA}" name="DATE" dataDxfId="1774" totalsRowDxfId="1773">
      <calculatedColumnFormula>$G$3</calculatedColumnFormula>
    </tableColumn>
  </tableColumns>
  <tableStyleInfo showFirstColumn="0" showLastColumn="0" showRowStripes="1" showColumnStripes="0"/>
</table>
</file>

<file path=xl/tables/table6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9" xr:uid="{5340E018-C278-4E6D-B934-3A1E25C2A944}" name="August24_2022" displayName="August24_2022" ref="B5:H23" totalsRowCount="1" headerRowDxfId="1772" headerRowBorderDxfId="1771" tableBorderDxfId="1770" totalsRowBorderDxfId="1769">
  <autoFilter ref="B5:H22" xr:uid="{44AA011A-2ACC-4886-A69B-550EF3190476}"/>
  <sortState xmlns:xlrd2="http://schemas.microsoft.com/office/spreadsheetml/2017/richdata2" ref="B6:H22">
    <sortCondition ref="B6:B22"/>
  </sortState>
  <tableColumns count="7">
    <tableColumn id="1" xr3:uid="{56CD3629-E77D-4034-AE34-761BE10C2B50}" name="BDC LIST" totalsRowLabel="Total" dataDxfId="1768" totalsRowDxfId="1767"/>
    <tableColumn id="2" xr3:uid="{E3EB4776-A16C-4A33-84CA-26C069A98EDE}" name="KSI_AGO" totalsRowFunction="custom" dataDxfId="1766" totalsRowDxfId="1765" dataCellStyle="Comma">
      <totalsRowFormula>SUM(August24_2022[KSI_AGO])</totalsRowFormula>
    </tableColumn>
    <tableColumn id="3" xr3:uid="{519EDFA8-235B-4985-9E0D-24390EAA8299}" name="KSI_PMS" totalsRowFunction="sum" dataDxfId="1764" totalsRowDxfId="1763" dataCellStyle="Comma"/>
    <tableColumn id="4" xr3:uid="{E8AD2B04-F56F-42D9-A8C9-9F118F014C4F}" name="BUIPE_AGO" totalsRowFunction="custom" dataDxfId="1762" totalsRowDxfId="1761" dataCellStyle="Comma">
      <totalsRowFormula>SUM(August24_2022[BUIPE_AGO])</totalsRowFormula>
    </tableColumn>
    <tableColumn id="5" xr3:uid="{BB88D1E7-4AAD-4803-9931-C8689FDD7605}" name="BUIPE_PMS" totalsRowFunction="custom" dataDxfId="1760" totalsRowDxfId="1759" dataCellStyle="Comma">
      <totalsRowFormula>SUM(August24_2022[BUIPE_PMS])</totalsRowFormula>
    </tableColumn>
    <tableColumn id="6" xr3:uid="{182E22D0-A914-4C4E-8AB6-3A87F7C4ABEB}" name="AKOSOMBO_AGO" totalsRowFunction="custom" dataDxfId="1758" totalsRowDxfId="1757" dataCellStyle="Comma">
      <totalsRowFormula>SUM(August24_2022[AKOSOMBO_AGO])</totalsRowFormula>
    </tableColumn>
    <tableColumn id="7" xr3:uid="{7BFE94CD-934E-4AEB-AF7B-EE7C16BAEB80}" name="DATE" dataDxfId="1756" totalsRowDxfId="1755">
      <calculatedColumnFormula>$G$3</calculatedColumnFormula>
    </tableColumn>
  </tableColumns>
  <tableStyleInfo showFirstColumn="0" showLastColumn="0" showRowStripes="1" showColumnStripes="0"/>
</table>
</file>

<file path=xl/tables/table6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0" xr:uid="{EA7F6DC8-F85B-4F10-96C8-C196A029AA51}" name="August25_2022" displayName="August25_2022" ref="B5:H23" totalsRowCount="1" headerRowDxfId="1754" headerRowBorderDxfId="1753" tableBorderDxfId="1752" totalsRowBorderDxfId="1751">
  <autoFilter ref="B5:H22" xr:uid="{44AA011A-2ACC-4886-A69B-550EF3190476}"/>
  <sortState xmlns:xlrd2="http://schemas.microsoft.com/office/spreadsheetml/2017/richdata2" ref="B6:H22">
    <sortCondition ref="B6:B22"/>
  </sortState>
  <tableColumns count="7">
    <tableColumn id="1" xr3:uid="{C4F27FAE-D8E5-4FC5-8A4C-9FD575275F69}" name="BDC LIST" totalsRowLabel="Total" dataDxfId="1750" totalsRowDxfId="1749"/>
    <tableColumn id="2" xr3:uid="{7AEFA536-8A69-4DC8-A36C-7AA8987D8260}" name="KSI_AGO" totalsRowFunction="custom" dataDxfId="1748" totalsRowDxfId="1747" dataCellStyle="Comma">
      <totalsRowFormula>SUM(August25_2022[KSI_AGO])</totalsRowFormula>
    </tableColumn>
    <tableColumn id="3" xr3:uid="{3C21B8F7-FA37-4298-8719-3D403BA69970}" name="KSI_PMS" totalsRowFunction="sum" dataDxfId="1746" totalsRowDxfId="1745" dataCellStyle="Comma"/>
    <tableColumn id="4" xr3:uid="{2009670B-676D-47B3-AAB0-16579E3F1F33}" name="BUIPE_AGO" totalsRowFunction="custom" dataDxfId="1744" totalsRowDxfId="1743" dataCellStyle="Comma">
      <totalsRowFormula>SUM(August25_2022[BUIPE_AGO])</totalsRowFormula>
    </tableColumn>
    <tableColumn id="5" xr3:uid="{6E6D74E5-FB04-4D07-BB19-051DCCE7D9AB}" name="BUIPE_PMS" totalsRowFunction="custom" dataDxfId="1742" totalsRowDxfId="1741" dataCellStyle="Comma">
      <totalsRowFormula>SUM(August25_2022[BUIPE_PMS])</totalsRowFormula>
    </tableColumn>
    <tableColumn id="6" xr3:uid="{1CA00072-24BB-4B03-9BBE-6F5C8A833470}" name="AKOSOMBO_AGO" totalsRowFunction="custom" dataDxfId="1740" totalsRowDxfId="1739" dataCellStyle="Comma">
      <totalsRowFormula>SUM(August25_2022[AKOSOMBO_AGO])</totalsRowFormula>
    </tableColumn>
    <tableColumn id="7" xr3:uid="{AAD074A1-631D-494B-8823-C1D8B4A271FE}" name="DATE" dataDxfId="1738" totalsRowDxfId="1737">
      <calculatedColumnFormula>$G$3</calculatedColumnFormula>
    </tableColumn>
  </tableColumns>
  <tableStyleInfo showFirstColumn="0" showLastColumn="0" showRowStripes="1" showColumnStripes="0"/>
</table>
</file>

<file path=xl/tables/table6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1" xr:uid="{8D6976BD-0E72-4775-B875-1A8B104BCADE}" name="August26_2022" displayName="August26_2022" ref="B5:H23" totalsRowCount="1" headerRowDxfId="1736" headerRowBorderDxfId="1735" tableBorderDxfId="1734" totalsRowBorderDxfId="1733">
  <autoFilter ref="B5:H22" xr:uid="{44AA011A-2ACC-4886-A69B-550EF3190476}"/>
  <sortState xmlns:xlrd2="http://schemas.microsoft.com/office/spreadsheetml/2017/richdata2" ref="B6:H22">
    <sortCondition ref="B6:B22"/>
  </sortState>
  <tableColumns count="7">
    <tableColumn id="1" xr3:uid="{2FD2CADB-56FD-4847-8384-A611E775EB15}" name="BDC LIST" totalsRowLabel="Total" dataDxfId="1732" totalsRowDxfId="1731"/>
    <tableColumn id="2" xr3:uid="{FEE9272F-FCFF-4CC3-8BD3-1C0C9993BC11}" name="KSI_AGO" totalsRowFunction="custom" dataDxfId="1730" totalsRowDxfId="1729" dataCellStyle="Comma">
      <totalsRowFormula>SUM(August26_2022[KSI_AGO])</totalsRowFormula>
    </tableColumn>
    <tableColumn id="3" xr3:uid="{DCCB92A9-687D-4037-89C6-7EA0CDA5A76D}" name="KSI_PMS" totalsRowFunction="sum" dataDxfId="1728" totalsRowDxfId="1727" dataCellStyle="Comma"/>
    <tableColumn id="4" xr3:uid="{9A413167-3016-4063-83E7-3B1363D65F16}" name="BUIPE_AGO" totalsRowFunction="custom" dataDxfId="1726" totalsRowDxfId="1725" dataCellStyle="Comma">
      <totalsRowFormula>SUM(August26_2022[BUIPE_AGO])</totalsRowFormula>
    </tableColumn>
    <tableColumn id="5" xr3:uid="{A8AD53DE-AF87-46EC-84B4-ED29C5FB7F59}" name="BUIPE_PMS" totalsRowFunction="custom" dataDxfId="1724" totalsRowDxfId="1723" dataCellStyle="Comma">
      <totalsRowFormula>SUM(August26_2022[BUIPE_PMS])</totalsRowFormula>
    </tableColumn>
    <tableColumn id="6" xr3:uid="{900A404E-050E-4D7C-A62F-7207CBD8CE8C}" name="AKOSOMBO_AGO" totalsRowFunction="custom" dataDxfId="1722" totalsRowDxfId="1721" dataCellStyle="Comma">
      <totalsRowFormula>SUM(August26_2022[AKOSOMBO_AGO])</totalsRowFormula>
    </tableColumn>
    <tableColumn id="7" xr3:uid="{99554326-D46E-427F-A96C-A63B628D9AA9}" name="DATE" dataDxfId="1720" totalsRowDxfId="1719">
      <calculatedColumnFormula>$G$3</calculatedColumnFormula>
    </tableColumn>
  </tableColumns>
  <tableStyleInfo showFirstColumn="0" showLastColumn="0" showRowStripes="1" showColumnStripes="0"/>
</table>
</file>

<file path=xl/tables/table6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2" xr:uid="{A366DAC8-873B-4618-AEA2-105B3F008E92}" name="August29_2022" displayName="August29_2022" ref="B5:H23" totalsRowCount="1" headerRowDxfId="1718" headerRowBorderDxfId="1717" tableBorderDxfId="1716" totalsRowBorderDxfId="1715">
  <autoFilter ref="B5:H22" xr:uid="{44AA011A-2ACC-4886-A69B-550EF3190476}"/>
  <sortState xmlns:xlrd2="http://schemas.microsoft.com/office/spreadsheetml/2017/richdata2" ref="B6:H22">
    <sortCondition ref="B6:B22"/>
  </sortState>
  <tableColumns count="7">
    <tableColumn id="1" xr3:uid="{C31FF0F6-6B3B-44F4-B3EF-6554C6D1C3CF}" name="BDC LIST" totalsRowLabel="Total" dataDxfId="1714" totalsRowDxfId="1713"/>
    <tableColumn id="2" xr3:uid="{A5FF93C1-74CE-4FC5-94E4-BD7CDAACBCE9}" name="KSI_AGO" totalsRowFunction="custom" dataDxfId="1712" totalsRowDxfId="1711" dataCellStyle="Comma">
      <totalsRowFormula>SUM(August29_2022[KSI_AGO])</totalsRowFormula>
    </tableColumn>
    <tableColumn id="3" xr3:uid="{7EEBF56F-D9E5-4D80-B98F-10DDDAC5D471}" name="KSI_PMS" totalsRowFunction="sum" dataDxfId="1710" totalsRowDxfId="1709" dataCellStyle="Comma"/>
    <tableColumn id="4" xr3:uid="{587711E2-9584-40B1-889C-641AFAD414C7}" name="BUIPE_AGO" totalsRowFunction="custom" dataDxfId="1708" totalsRowDxfId="1707" dataCellStyle="Comma">
      <totalsRowFormula>SUM(August29_2022[BUIPE_AGO])</totalsRowFormula>
    </tableColumn>
    <tableColumn id="5" xr3:uid="{94440DCA-2504-4EE8-A657-907A82F215DD}" name="BUIPE_PMS" totalsRowFunction="custom" dataDxfId="1706" totalsRowDxfId="1705" dataCellStyle="Comma">
      <totalsRowFormula>SUM(August29_2022[BUIPE_PMS])</totalsRowFormula>
    </tableColumn>
    <tableColumn id="6" xr3:uid="{FD940686-DBDF-4FF6-8811-A8A6D14A6B8D}" name="AKOSOMBO_AGO" totalsRowFunction="custom" dataDxfId="1704" totalsRowDxfId="1703" dataCellStyle="Comma">
      <totalsRowFormula>SUM(August29_2022[AKOSOMBO_AGO])</totalsRowFormula>
    </tableColumn>
    <tableColumn id="7" xr3:uid="{72E6A047-BAD0-4D8E-87C1-8F0DAE16B536}" name="DATE" dataDxfId="1702" totalsRowDxfId="1701">
      <calculatedColumnFormula>$G$3</calculatedColumnFormula>
    </tableColumn>
  </tableColumns>
  <tableStyleInfo showFirstColumn="0" showLastColumn="0" showRowStripes="1" showColumnStripes="0"/>
</table>
</file>

<file path=xl/tables/table6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3" xr:uid="{91B6C7C9-4270-41B2-B812-BA8648278F4F}" name="August30_2022" displayName="August30_2022" ref="B5:H23" totalsRowCount="1" headerRowDxfId="1700" headerRowBorderDxfId="1699" tableBorderDxfId="1698" totalsRowBorderDxfId="1697">
  <autoFilter ref="B5:H22" xr:uid="{44AA011A-2ACC-4886-A69B-550EF3190476}"/>
  <sortState xmlns:xlrd2="http://schemas.microsoft.com/office/spreadsheetml/2017/richdata2" ref="B6:H22">
    <sortCondition ref="B6:B22"/>
  </sortState>
  <tableColumns count="7">
    <tableColumn id="1" xr3:uid="{B2930311-3189-49B4-9A5E-9848A5E0F4F2}" name="BDC LIST" totalsRowLabel="Total" dataDxfId="1696" totalsRowDxfId="1695"/>
    <tableColumn id="2" xr3:uid="{1AB20697-8D3B-4B3A-810D-AB0637000576}" name="KSI_AGO" totalsRowFunction="custom" dataDxfId="1694" totalsRowDxfId="1693" dataCellStyle="Comma">
      <totalsRowFormula>SUM(August30_2022[KSI_AGO])</totalsRowFormula>
    </tableColumn>
    <tableColumn id="3" xr3:uid="{2A5AF269-6D66-4686-8579-3FE4BB807B05}" name="KSI_PMS" totalsRowFunction="sum" dataDxfId="1692" totalsRowDxfId="1691" dataCellStyle="Comma"/>
    <tableColumn id="4" xr3:uid="{A41B07E0-EF80-4A46-9DF8-680FFD462C48}" name="BUIPE_AGO" totalsRowFunction="custom" dataDxfId="1690" totalsRowDxfId="1689" dataCellStyle="Comma">
      <totalsRowFormula>SUM(August30_2022[BUIPE_AGO])</totalsRowFormula>
    </tableColumn>
    <tableColumn id="5" xr3:uid="{697BB892-D27F-42D5-A92A-18241A44C1C9}" name="BUIPE_PMS" totalsRowFunction="custom" dataDxfId="1688" totalsRowDxfId="1687" dataCellStyle="Comma">
      <totalsRowFormula>SUM(August30_2022[BUIPE_PMS])</totalsRowFormula>
    </tableColumn>
    <tableColumn id="6" xr3:uid="{C4B59634-AD6F-49F9-88D4-B9D2FBFBC2A4}" name="AKOSOMBO_AGO" totalsRowFunction="custom" dataDxfId="1686" totalsRowDxfId="1685" dataCellStyle="Comma">
      <totalsRowFormula>SUM(August30_2022[AKOSOMBO_AGO])</totalsRowFormula>
    </tableColumn>
    <tableColumn id="7" xr3:uid="{1B72FD58-A15D-4D7C-B2A0-E4BA54E3C46A}" name="DATE" dataDxfId="1684" totalsRowDxfId="1683">
      <calculatedColumnFormula>$G$3</calculatedColumnFormula>
    </tableColumn>
  </tableColumns>
  <tableStyleInfo showFirstColumn="0" showLastColumn="0" showRowStripes="1" showColumnStripes="0"/>
</table>
</file>

<file path=xl/tables/table6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4" xr:uid="{31D4F01E-D4F0-41A6-9A9A-90864A159F39}" name="August31_2022" displayName="August31_2022" ref="B5:H23" totalsRowCount="1" headerRowDxfId="1682" headerRowBorderDxfId="1681" tableBorderDxfId="1680" totalsRowBorderDxfId="1679">
  <autoFilter ref="B5:H22" xr:uid="{44AA011A-2ACC-4886-A69B-550EF3190476}"/>
  <sortState xmlns:xlrd2="http://schemas.microsoft.com/office/spreadsheetml/2017/richdata2" ref="B6:H22">
    <sortCondition ref="B6:B22"/>
  </sortState>
  <tableColumns count="7">
    <tableColumn id="1" xr3:uid="{CF24A155-80A4-4C76-B411-7B9BE4897DA9}" name="BDC LIST" totalsRowLabel="Total" dataDxfId="1678" totalsRowDxfId="1677"/>
    <tableColumn id="2" xr3:uid="{BB0AE90F-1EE4-4E99-B63B-30B6CFB9F47B}" name="KSI_AGO" totalsRowFunction="custom" dataDxfId="1676" totalsRowDxfId="1675" dataCellStyle="Comma">
      <totalsRowFormula>SUM(August31_2022[KSI_AGO])</totalsRowFormula>
    </tableColumn>
    <tableColumn id="3" xr3:uid="{B5C62A3D-70BA-4044-BB68-28CFCE059D67}" name="KSI_PMS" totalsRowFunction="sum" dataDxfId="1674" totalsRowDxfId="1673" dataCellStyle="Comma"/>
    <tableColumn id="4" xr3:uid="{49AEFF91-1734-453A-B7F1-6103B2B488B9}" name="BUIPE_AGO" totalsRowFunction="custom" dataDxfId="1672" totalsRowDxfId="1671" dataCellStyle="Comma">
      <totalsRowFormula>SUM(August31_2022[BUIPE_AGO])</totalsRowFormula>
    </tableColumn>
    <tableColumn id="5" xr3:uid="{DA50FF9E-19DF-4BA7-8740-72B1D33A38F0}" name="BUIPE_PMS" totalsRowFunction="custom" dataDxfId="1670" totalsRowDxfId="1669" dataCellStyle="Comma">
      <totalsRowFormula>SUM(August31_2022[BUIPE_PMS])</totalsRowFormula>
    </tableColumn>
    <tableColumn id="6" xr3:uid="{0DABB837-FD17-49D6-9052-1DFB1858541A}" name="AKOSOMBO_AGO" totalsRowFunction="custom" dataDxfId="1668" totalsRowDxfId="1667" dataCellStyle="Comma">
      <totalsRowFormula>SUM(August31_2022[AKOSOMBO_AGO])</totalsRowFormula>
    </tableColumn>
    <tableColumn id="7" xr3:uid="{AF47619F-7A2B-4EB0-B6D9-6F8AA96233BA}" name="DATE" dataDxfId="1666" totalsRowDxfId="1665">
      <calculatedColumnFormula>$G$3</calculatedColumnFormula>
    </tableColumn>
  </tableColumns>
  <tableStyleInfo showFirstColumn="0" showLastColumn="0" showRowStripes="1" showColumnStripes="0"/>
</table>
</file>

<file path=xl/tables/table6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5" xr:uid="{DFC4EFD2-A2F1-40D4-8816-6D01560642AA}" name="Sept02_2022" displayName="Sept02_2022" ref="B5:H23" totalsRowCount="1" headerRowDxfId="1664" headerRowBorderDxfId="1663" tableBorderDxfId="1662" totalsRowBorderDxfId="1661">
  <autoFilter ref="B5:H22" xr:uid="{44AA011A-2ACC-4886-A69B-550EF3190476}"/>
  <sortState xmlns:xlrd2="http://schemas.microsoft.com/office/spreadsheetml/2017/richdata2" ref="B6:H22">
    <sortCondition ref="B6:B22"/>
  </sortState>
  <tableColumns count="7">
    <tableColumn id="1" xr3:uid="{5886AF60-D72C-41C0-A465-6B071FBDBB83}" name="BDC LIST" totalsRowLabel="Total" dataDxfId="1660" totalsRowDxfId="1659"/>
    <tableColumn id="2" xr3:uid="{03699D1A-AD7A-4A15-9AB8-C248ED9B4F51}" name="KSI_AGO" totalsRowFunction="custom" dataDxfId="1658" totalsRowDxfId="1657" dataCellStyle="Comma">
      <totalsRowFormula>SUM(Sept02_2022[KSI_AGO])</totalsRowFormula>
    </tableColumn>
    <tableColumn id="3" xr3:uid="{77EDA7BB-B4F6-4F01-BF99-C4D958376E0F}" name="KSI_PMS" totalsRowFunction="sum" dataDxfId="1656" totalsRowDxfId="1655" dataCellStyle="Comma"/>
    <tableColumn id="4" xr3:uid="{5835E43C-3FE0-4306-ADA3-F28A8F31D890}" name="BUIPE_AGO" totalsRowFunction="custom" dataDxfId="1654" totalsRowDxfId="1653" dataCellStyle="Comma">
      <totalsRowFormula>SUM(Sept02_2022[BUIPE_AGO])</totalsRowFormula>
    </tableColumn>
    <tableColumn id="5" xr3:uid="{0675AEAA-4A10-48E1-B6D0-236E8FB17423}" name="BUIPE_PMS" totalsRowFunction="custom" dataDxfId="1652" totalsRowDxfId="1651" dataCellStyle="Comma">
      <totalsRowFormula>SUM(Sept02_2022[BUIPE_PMS])</totalsRowFormula>
    </tableColumn>
    <tableColumn id="6" xr3:uid="{E8481C4A-348F-4CFC-9FA7-7E05D9158082}" name="AKOSOMBO_AGO" totalsRowFunction="custom" dataDxfId="1650" totalsRowDxfId="1649" dataCellStyle="Comma">
      <totalsRowFormula>SUM(Sept02_2022[AKOSOMBO_AGO])</totalsRowFormula>
    </tableColumn>
    <tableColumn id="7" xr3:uid="{53A85C74-5808-43A3-9F51-E5D779C70418}" name="DATE" dataDxfId="1648" totalsRowDxfId="1647">
      <calculatedColumnFormula>$G$3</calculatedColumnFormula>
    </tableColumn>
  </tableColumns>
  <tableStyleInfo showFirstColumn="0" showLastColumn="0" showRowStripes="1" showColumnStripes="0"/>
</table>
</file>

<file path=xl/tables/table6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6" xr:uid="{2532C30E-1E49-4BE1-96F5-D37738DA9550}" name="Sept05_2022" displayName="Sept05_2022" ref="B5:H23" totalsRowCount="1" headerRowDxfId="1646" headerRowBorderDxfId="1645" tableBorderDxfId="1644" totalsRowBorderDxfId="1643">
  <autoFilter ref="B5:H22" xr:uid="{44AA011A-2ACC-4886-A69B-550EF3190476}"/>
  <sortState xmlns:xlrd2="http://schemas.microsoft.com/office/spreadsheetml/2017/richdata2" ref="B6:H22">
    <sortCondition ref="B6:B22"/>
  </sortState>
  <tableColumns count="7">
    <tableColumn id="1" xr3:uid="{E1B9F0F5-E5FF-4757-A575-50F9269B002C}" name="BDC LIST" totalsRowLabel="Total" dataDxfId="1642" totalsRowDxfId="1641"/>
    <tableColumn id="2" xr3:uid="{F07AFE5C-BE6F-4553-85C1-846A443CDF81}" name="KSI_AGO" totalsRowFunction="custom" dataDxfId="1640" totalsRowDxfId="1639" dataCellStyle="Comma">
      <totalsRowFormula>SUM(Sept05_2022[KSI_AGO])</totalsRowFormula>
    </tableColumn>
    <tableColumn id="3" xr3:uid="{C83C834C-E4E8-4B86-9CC7-370E227BE461}" name="KSI_PMS" totalsRowFunction="sum" dataDxfId="1638" totalsRowDxfId="1637" dataCellStyle="Comma"/>
    <tableColumn id="4" xr3:uid="{9E978A5C-8539-4A47-AFB3-FBC56931A23B}" name="BUIPE_AGO" totalsRowFunction="custom" dataDxfId="1636" totalsRowDxfId="1635" dataCellStyle="Comma">
      <totalsRowFormula>SUM(Sept05_2022[BUIPE_AGO])</totalsRowFormula>
    </tableColumn>
    <tableColumn id="5" xr3:uid="{4CDB62C0-BDEC-4271-8728-A5C1998C453D}" name="BUIPE_PMS" totalsRowFunction="custom" dataDxfId="1634" totalsRowDxfId="1633" dataCellStyle="Comma">
      <totalsRowFormula>SUM(Sept05_2022[BUIPE_PMS])</totalsRowFormula>
    </tableColumn>
    <tableColumn id="6" xr3:uid="{0963643D-7A41-4E18-B445-B8FF6111B4A9}" name="AKOSOMBO_AGO" totalsRowFunction="custom" dataDxfId="1632" totalsRowDxfId="1631" dataCellStyle="Comma">
      <totalsRowFormula>SUM(Sept05_2022[AKOSOMBO_AGO])</totalsRowFormula>
    </tableColumn>
    <tableColumn id="7" xr3:uid="{3217F64D-179B-487E-84DE-A4EBA5EFD78A}" name="DATE" dataDxfId="1630" totalsRowDxfId="1629">
      <calculatedColumnFormula>$G$3</calculatedColumnFormula>
    </tableColumn>
  </tableColumns>
  <tableStyleInfo showFirstColumn="0" showLastColumn="0" showRowStripes="1" showColumnStripes="0"/>
</table>
</file>

<file path=xl/tables/table6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7" xr:uid="{D2D1F14E-11C3-4399-9D36-14D6365D2565}" name="Sept06_2022" displayName="Sept06_2022" ref="B5:H23" totalsRowCount="1" headerRowDxfId="1628" headerRowBorderDxfId="1627" tableBorderDxfId="1626" totalsRowBorderDxfId="1625">
  <autoFilter ref="B5:H22" xr:uid="{44AA011A-2ACC-4886-A69B-550EF3190476}"/>
  <sortState xmlns:xlrd2="http://schemas.microsoft.com/office/spreadsheetml/2017/richdata2" ref="B6:H22">
    <sortCondition ref="B6:B22"/>
  </sortState>
  <tableColumns count="7">
    <tableColumn id="1" xr3:uid="{E8FC0110-CA26-4FB8-8A89-FDAACE11E01E}" name="BDC LIST" totalsRowLabel="Total" dataDxfId="1624" totalsRowDxfId="1623"/>
    <tableColumn id="2" xr3:uid="{2DC87DE6-3505-4AF0-B0C8-CBB1F7B06C9B}" name="KSI_AGO" totalsRowFunction="custom" dataDxfId="1622" totalsRowDxfId="1621" dataCellStyle="Comma">
      <totalsRowFormula>SUM(Sept06_2022[KSI_AGO])</totalsRowFormula>
    </tableColumn>
    <tableColumn id="3" xr3:uid="{336E4F54-6637-4ED8-86B3-4FFFF150C2A3}" name="KSI_PMS" totalsRowFunction="sum" dataDxfId="1620" totalsRowDxfId="1619" dataCellStyle="Comma"/>
    <tableColumn id="4" xr3:uid="{CED59AFE-50B5-4C78-A8A3-602BDCD7EDD8}" name="BUIPE_AGO" totalsRowFunction="custom" dataDxfId="1618" totalsRowDxfId="1617" dataCellStyle="Comma">
      <totalsRowFormula>SUM(Sept06_2022[BUIPE_AGO])</totalsRowFormula>
    </tableColumn>
    <tableColumn id="5" xr3:uid="{CD166D3C-B0F9-4E4E-B486-C1F1B7E7504D}" name="BUIPE_PMS" totalsRowFunction="custom" dataDxfId="1616" totalsRowDxfId="1615" dataCellStyle="Comma">
      <totalsRowFormula>SUM(Sept06_2022[BUIPE_PMS])</totalsRowFormula>
    </tableColumn>
    <tableColumn id="6" xr3:uid="{98654FAD-E374-478F-8D97-25F11CCDA965}" name="AKOSOMBO_AGO" totalsRowFunction="custom" dataDxfId="1614" totalsRowDxfId="1613" dataCellStyle="Comma">
      <totalsRowFormula>SUM(Sept06_2022[AKOSOMBO_AGO])</totalsRowFormula>
    </tableColumn>
    <tableColumn id="7" xr3:uid="{B300AB21-3C55-4ABB-9E8D-6D9333B81098}" name="DATE" dataDxfId="1612" totalsRowDxfId="1611">
      <calculatedColumnFormula>$G$3</calculatedColumnFormula>
    </tableColumn>
  </tableColumns>
  <tableStyleInfo showFirstColumn="0" showLastColumn="0" showRowStripes="1" showColumnStripes="0"/>
</table>
</file>

<file path=xl/tables/table6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8" xr:uid="{E81F09CD-C269-4783-9565-5799718816E0}" name="Sept07_2022" displayName="Sept07_2022" ref="B5:H23" totalsRowCount="1" headerRowDxfId="1610" headerRowBorderDxfId="1609" tableBorderDxfId="1608" totalsRowBorderDxfId="1607">
  <autoFilter ref="B5:H22" xr:uid="{44AA011A-2ACC-4886-A69B-550EF3190476}"/>
  <sortState xmlns:xlrd2="http://schemas.microsoft.com/office/spreadsheetml/2017/richdata2" ref="B6:H22">
    <sortCondition ref="B6:B22"/>
  </sortState>
  <tableColumns count="7">
    <tableColumn id="1" xr3:uid="{55F39EC0-43DC-4A85-9432-7BF6D128246F}" name="BDC LIST" totalsRowLabel="Total" dataDxfId="1606" totalsRowDxfId="1605"/>
    <tableColumn id="2" xr3:uid="{B9CDAE70-FC5B-4139-A0A4-EE4465D88D71}" name="KSI_AGO" totalsRowFunction="custom" dataDxfId="1604" totalsRowDxfId="1603" dataCellStyle="Comma">
      <totalsRowFormula>SUM(Sept07_2022[KSI_AGO])</totalsRowFormula>
    </tableColumn>
    <tableColumn id="3" xr3:uid="{53B49A92-D4B8-49C0-8737-B52428C1D792}" name="KSI_PMS" totalsRowFunction="sum" dataDxfId="1602" totalsRowDxfId="1601" dataCellStyle="Comma"/>
    <tableColumn id="4" xr3:uid="{B6BF9113-6419-49E6-9280-56E697D9432A}" name="BUIPE_AGO" totalsRowFunction="custom" dataDxfId="1600" totalsRowDxfId="1599" dataCellStyle="Comma">
      <totalsRowFormula>SUM(Sept07_2022[BUIPE_AGO])</totalsRowFormula>
    </tableColumn>
    <tableColumn id="5" xr3:uid="{52242C0F-B04E-442D-8C5B-4B321ECBE2A4}" name="BUIPE_PMS" totalsRowFunction="custom" dataDxfId="1598" totalsRowDxfId="1597" dataCellStyle="Comma">
      <totalsRowFormula>SUM(Sept07_2022[BUIPE_PMS])</totalsRowFormula>
    </tableColumn>
    <tableColumn id="6" xr3:uid="{2F8EFEED-7783-4C27-BCCC-CEE203BA32A9}" name="AKOSOMBO_AGO" totalsRowFunction="custom" dataDxfId="1596" totalsRowDxfId="1595" dataCellStyle="Comma">
      <totalsRowFormula>SUM(Sept07_2022[AKOSOMBO_AGO])</totalsRowFormula>
    </tableColumn>
    <tableColumn id="7" xr3:uid="{FA0C1617-60FB-476D-BEE7-6EFD1E2540E6}" name="DATE" dataDxfId="1594" totalsRowDxfId="1593">
      <calculatedColumnFormula>$G$3</calculatedColumnFormula>
    </tableColumn>
  </tableColumns>
  <tableStyleInfo showFirstColumn="0" showLastColumn="0" showRowStripes="1" showColumnStripes="0"/>
</table>
</file>

<file path=xl/tables/table6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9" xr:uid="{58C2E82A-C626-420B-8E90-1C36C3B3F7BF}" name="Sept08_2022" displayName="Sept08_2022" ref="B5:H23" totalsRowCount="1" headerRowDxfId="1592" headerRowBorderDxfId="1591" tableBorderDxfId="1590" totalsRowBorderDxfId="1589">
  <autoFilter ref="B5:H22" xr:uid="{44AA011A-2ACC-4886-A69B-550EF3190476}"/>
  <sortState xmlns:xlrd2="http://schemas.microsoft.com/office/spreadsheetml/2017/richdata2" ref="B6:H22">
    <sortCondition ref="B6:B22"/>
  </sortState>
  <tableColumns count="7">
    <tableColumn id="1" xr3:uid="{B7CA2813-23A4-45C7-A2AB-CE19A4151B7D}" name="BDC LIST" totalsRowLabel="Total" dataDxfId="1588" totalsRowDxfId="1587"/>
    <tableColumn id="2" xr3:uid="{1D9E248E-34CC-46DF-8E80-B0630903D0C8}" name="KSI_AGO" totalsRowFunction="custom" dataDxfId="1586" totalsRowDxfId="1585" dataCellStyle="Comma">
      <totalsRowFormula>SUM(Sept08_2022[KSI_AGO])</totalsRowFormula>
    </tableColumn>
    <tableColumn id="3" xr3:uid="{688F99BF-2C4D-44D5-88FF-4AC7D465B00C}" name="KSI_PMS" totalsRowFunction="sum" dataDxfId="1584" totalsRowDxfId="1583" dataCellStyle="Comma"/>
    <tableColumn id="4" xr3:uid="{4E3573DF-9CBA-487F-BEE2-D5328EC8490B}" name="BUIPE_AGO" totalsRowFunction="custom" dataDxfId="1582" totalsRowDxfId="1581" dataCellStyle="Comma">
      <totalsRowFormula>SUM(Sept08_2022[BUIPE_AGO])</totalsRowFormula>
    </tableColumn>
    <tableColumn id="5" xr3:uid="{6A58F526-4525-4336-B137-0DB816A6B1D1}" name="BUIPE_PMS" totalsRowFunction="custom" dataDxfId="1580" totalsRowDxfId="1579" dataCellStyle="Comma">
      <totalsRowFormula>SUM(Sept08_2022[BUIPE_PMS])</totalsRowFormula>
    </tableColumn>
    <tableColumn id="6" xr3:uid="{1DEF8629-CD02-4CF4-8B71-2CE9F6E72B7F}" name="AKOSOMBO_AGO" totalsRowFunction="custom" dataDxfId="1578" totalsRowDxfId="1577" dataCellStyle="Comma">
      <totalsRowFormula>SUM(Sept08_2022[AKOSOMBO_AGO])</totalsRowFormula>
    </tableColumn>
    <tableColumn id="7" xr3:uid="{6E25E79D-6FB4-478A-AF24-D0EAF4A3360E}" name="DATE" dataDxfId="1576" totalsRowDxfId="1575">
      <calculatedColumnFormula>$G$3</calculatedColumnFormula>
    </tableColumn>
  </tableColumns>
  <tableStyleInfo showFirstColumn="0" showLastColumn="0" showRowStripes="1" showColumnStripes="0"/>
</table>
</file>

<file path=xl/tables/table6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0" xr:uid="{6585CABB-A20B-4465-A713-6B7D7250EBC5}" name="Sept08_20228" displayName="Sept08_20228" ref="B5:H23" totalsRowCount="1" headerRowDxfId="1574" headerRowBorderDxfId="1573" tableBorderDxfId="1572" totalsRowBorderDxfId="1571">
  <autoFilter ref="B5:H22" xr:uid="{44AA011A-2ACC-4886-A69B-550EF3190476}"/>
  <sortState xmlns:xlrd2="http://schemas.microsoft.com/office/spreadsheetml/2017/richdata2" ref="B6:H22">
    <sortCondition ref="B6:B22"/>
  </sortState>
  <tableColumns count="7">
    <tableColumn id="1" xr3:uid="{C1464CAD-B949-4254-AEE1-897C2F0912AD}" name="BDC LIST" totalsRowLabel="Total" dataDxfId="1570" totalsRowDxfId="1569"/>
    <tableColumn id="2" xr3:uid="{1C40D202-7280-4590-AE23-7CE6ED941438}" name="KSI_AGO" totalsRowFunction="custom" dataDxfId="1568" totalsRowDxfId="1567" dataCellStyle="Comma">
      <totalsRowFormula>SUM(Sept08_20228[KSI_AGO])</totalsRowFormula>
    </tableColumn>
    <tableColumn id="3" xr3:uid="{AEF20555-42A0-400C-93C7-47EDAF7EB453}" name="KSI_PMS" totalsRowFunction="sum" dataDxfId="1566" totalsRowDxfId="1565" dataCellStyle="Comma"/>
    <tableColumn id="4" xr3:uid="{ADF4BF66-F1E4-42F2-9850-95DC73D09E66}" name="BUIPE_AGO" totalsRowFunction="custom" dataDxfId="1564" totalsRowDxfId="1563" dataCellStyle="Comma">
      <totalsRowFormula>SUM(Sept08_20228[BUIPE_AGO])</totalsRowFormula>
    </tableColumn>
    <tableColumn id="5" xr3:uid="{FFA45B42-8E7F-4587-9373-78C8DB9A6872}" name="BUIPE_PMS" totalsRowFunction="custom" dataDxfId="1562" totalsRowDxfId="1561" dataCellStyle="Comma">
      <totalsRowFormula>SUM(Sept08_20228[BUIPE_PMS])</totalsRowFormula>
    </tableColumn>
    <tableColumn id="6" xr3:uid="{557521D3-0EB2-4DE9-B715-4A0D831F00DE}" name="AKOSOMBO_AGO" totalsRowFunction="custom" dataDxfId="1560" totalsRowDxfId="1559" dataCellStyle="Comma">
      <totalsRowFormula>SUM(Sept08_20228[AKOSOMBO_AGO])</totalsRowFormula>
    </tableColumn>
    <tableColumn id="7" xr3:uid="{3C8B969E-6852-4811-B409-8070701E2375}" name="DATE" dataDxfId="1558" totalsRowDxfId="1557">
      <calculatedColumnFormula>$G$3</calculatedColumnFormula>
    </tableColumn>
  </tableColumns>
  <tableStyleInfo showFirstColumn="0" showLastColumn="0" showRowStripes="1" showColumnStripes="0"/>
</table>
</file>

<file path=xl/tables/table6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1" xr:uid="{F59D26ED-23A7-43A3-97E0-0755E0058CBC}" name="Sept12_2022" displayName="Sept12_2022" ref="B5:H24" totalsRowCount="1" headerRowDxfId="1556" headerRowBorderDxfId="1555" tableBorderDxfId="1554" totalsRowBorderDxfId="1553">
  <autoFilter ref="B5:H23" xr:uid="{44AA011A-2ACC-4886-A69B-550EF3190476}"/>
  <sortState xmlns:xlrd2="http://schemas.microsoft.com/office/spreadsheetml/2017/richdata2" ref="B6:H23">
    <sortCondition ref="B6:B23"/>
  </sortState>
  <tableColumns count="7">
    <tableColumn id="1" xr3:uid="{88A1E12A-2DED-445B-A48F-20BAA5FBCD59}" name="BDC LIST" totalsRowLabel="Total" dataDxfId="1552" totalsRowDxfId="1551"/>
    <tableColumn id="2" xr3:uid="{B85505AE-3F73-4089-BED6-9713521CD735}" name="KSI_AGO" totalsRowFunction="custom" dataDxfId="1550" totalsRowDxfId="1549" dataCellStyle="Comma">
      <totalsRowFormula>SUM(Sept12_2022[KSI_AGO])</totalsRowFormula>
    </tableColumn>
    <tableColumn id="3" xr3:uid="{CD4FDA98-3651-41E8-AC56-A81E19AB87DB}" name="KSI_PMS" totalsRowFunction="sum" dataDxfId="1548" totalsRowDxfId="1547" dataCellStyle="Comma"/>
    <tableColumn id="4" xr3:uid="{F0EC2E80-23DD-4AA9-B394-E5EC026034F7}" name="BUIPE_AGO" totalsRowFunction="custom" dataDxfId="1546" totalsRowDxfId="1545" dataCellStyle="Comma">
      <totalsRowFormula>SUM(Sept12_2022[BUIPE_AGO])</totalsRowFormula>
    </tableColumn>
    <tableColumn id="5" xr3:uid="{7A66CE4F-DF30-4492-8052-A4F9241BCBB2}" name="BUIPE_PMS" totalsRowFunction="custom" dataDxfId="1544" totalsRowDxfId="1543" dataCellStyle="Comma">
      <totalsRowFormula>SUM(Sept12_2022[BUIPE_PMS])</totalsRowFormula>
    </tableColumn>
    <tableColumn id="6" xr3:uid="{DDE2449F-268C-4D98-BB91-07583D0A679C}" name="AKOSOMBO_AGO" totalsRowFunction="custom" dataDxfId="1542" totalsRowDxfId="1541" dataCellStyle="Comma">
      <totalsRowFormula>SUM(Sept12_2022[AKOSOMBO_AGO])</totalsRowFormula>
    </tableColumn>
    <tableColumn id="7" xr3:uid="{5FF098CD-CEF8-4157-8745-B7876A863F4A}" name="DATE" dataDxfId="1540" totalsRowDxfId="1539">
      <calculatedColumnFormula>$G$3</calculatedColumnFormula>
    </tableColumn>
  </tableColumns>
  <tableStyleInfo showFirstColumn="0" showLastColumn="0" showRowStripes="1" showColumnStripes="0"/>
</table>
</file>

<file path=xl/tables/table6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2" xr:uid="{9964DA65-D88E-4B6F-9D56-4CAEE61A6781}" name="Sept12_202210" displayName="Sept12_202210" ref="B5:H24" totalsRowCount="1" headerRowDxfId="1538" headerRowBorderDxfId="1537" tableBorderDxfId="1536" totalsRowBorderDxfId="1535">
  <autoFilter ref="B5:H23" xr:uid="{44AA011A-2ACC-4886-A69B-550EF3190476}"/>
  <sortState xmlns:xlrd2="http://schemas.microsoft.com/office/spreadsheetml/2017/richdata2" ref="B6:H23">
    <sortCondition ref="B6:B23"/>
  </sortState>
  <tableColumns count="7">
    <tableColumn id="1" xr3:uid="{0D7C4B0F-A565-4406-8B38-3FC702C51530}" name="BDC LIST" totalsRowLabel="Total" dataDxfId="1534" totalsRowDxfId="1533"/>
    <tableColumn id="2" xr3:uid="{4FBB4A8F-FC01-4484-8DFF-4FF104B8A118}" name="KSI_AGO" totalsRowFunction="custom" dataDxfId="1532" totalsRowDxfId="1531" dataCellStyle="Comma">
      <totalsRowFormula>SUM(Sept12_202210[KSI_AGO])</totalsRowFormula>
    </tableColumn>
    <tableColumn id="3" xr3:uid="{91BBFC5D-9517-4CEB-8B36-338DD91BBEC5}" name="KSI_PMS" totalsRowFunction="sum" dataDxfId="1530" totalsRowDxfId="1529" dataCellStyle="Comma"/>
    <tableColumn id="4" xr3:uid="{C3C3B270-66F9-4682-8F66-D35CBC318773}" name="BUIPE_AGO" totalsRowFunction="custom" dataDxfId="1528" totalsRowDxfId="1527" dataCellStyle="Comma">
      <totalsRowFormula>SUM(Sept12_202210[BUIPE_AGO])</totalsRowFormula>
    </tableColumn>
    <tableColumn id="5" xr3:uid="{1CBCDC5E-6D7D-440A-A126-826B575067B9}" name="BUIPE_PMS" totalsRowFunction="custom" dataDxfId="1526" totalsRowDxfId="1525" dataCellStyle="Comma">
      <totalsRowFormula>SUM(Sept12_202210[BUIPE_PMS])</totalsRowFormula>
    </tableColumn>
    <tableColumn id="6" xr3:uid="{4FD0CF55-A88E-4302-BEED-B46C13215B21}" name="AKOSOMBO_AGO" totalsRowFunction="custom" dataDxfId="1524" totalsRowDxfId="1523" dataCellStyle="Comma">
      <totalsRowFormula>SUM(Sept12_202210[AKOSOMBO_AGO])</totalsRowFormula>
    </tableColumn>
    <tableColumn id="7" xr3:uid="{CA634466-091E-4159-B5B7-4CACDB3DBA53}" name="DATE" dataDxfId="1522" totalsRowDxfId="1521">
      <calculatedColumnFormula>$G$3</calculatedColumnFormula>
    </tableColumn>
  </tableColumns>
  <tableStyleInfo showFirstColumn="0" showLastColumn="0" showRowStripes="1" showColumnStripes="0"/>
</table>
</file>

<file path=xl/tables/table6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3" xr:uid="{5CCDD4F6-0E32-4AFB-A6BE-66575BE9512C}" name="Sept14_2022" displayName="Sept14_2022" ref="B5:H24" totalsRowCount="1" headerRowDxfId="1520" headerRowBorderDxfId="1519" tableBorderDxfId="1518" totalsRowBorderDxfId="1517">
  <autoFilter ref="B5:H23" xr:uid="{44AA011A-2ACC-4886-A69B-550EF3190476}"/>
  <sortState xmlns:xlrd2="http://schemas.microsoft.com/office/spreadsheetml/2017/richdata2" ref="B6:H23">
    <sortCondition ref="B6:B23"/>
  </sortState>
  <tableColumns count="7">
    <tableColumn id="1" xr3:uid="{436B13BC-1298-4A30-B452-9A7516E71D12}" name="BDC LIST" totalsRowLabel="Total" dataDxfId="1516" totalsRowDxfId="1515"/>
    <tableColumn id="2" xr3:uid="{8BF1767D-2337-4BEA-87C1-BB42EBA9B38E}" name="KSI_AGO" totalsRowFunction="custom" dataDxfId="1514" totalsRowDxfId="1513" dataCellStyle="Comma">
      <totalsRowFormula>SUM(Sept14_2022[KSI_AGO])</totalsRowFormula>
    </tableColumn>
    <tableColumn id="3" xr3:uid="{C16AB537-18E1-46B3-812B-EA895B2C7E60}" name="KSI_PMS" totalsRowFunction="sum" dataDxfId="1512" totalsRowDxfId="1511" dataCellStyle="Comma"/>
    <tableColumn id="4" xr3:uid="{D0938035-C951-4AA1-9EAA-62835FB8EBBD}" name="BUIPE_AGO" totalsRowFunction="custom" dataDxfId="1510" totalsRowDxfId="1509" dataCellStyle="Comma">
      <totalsRowFormula>SUM(Sept14_2022[BUIPE_AGO])</totalsRowFormula>
    </tableColumn>
    <tableColumn id="5" xr3:uid="{4B07E7CE-1AC7-4CD5-B9D2-8BBCABE4D818}" name="BUIPE_PMS" totalsRowFunction="custom" dataDxfId="1508" totalsRowDxfId="1507" dataCellStyle="Comma">
      <totalsRowFormula>SUM(Sept14_2022[BUIPE_PMS])</totalsRowFormula>
    </tableColumn>
    <tableColumn id="6" xr3:uid="{98A92594-80D2-4CE1-AA7E-F2ACE63D8A07}" name="AKOSOMBO_AGO" totalsRowFunction="custom" dataDxfId="1506" totalsRowDxfId="1505" dataCellStyle="Comma">
      <totalsRowFormula>SUM(Sept14_2022[AKOSOMBO_AGO])</totalsRowFormula>
    </tableColumn>
    <tableColumn id="7" xr3:uid="{24016433-2B5B-428B-AF25-5E508FD65C35}" name="DATE" dataDxfId="1504" totalsRowDxfId="1503">
      <calculatedColumnFormula>$G$3</calculatedColumnFormula>
    </tableColumn>
  </tableColumns>
  <tableStyleInfo showFirstColumn="0" showLastColumn="0" showRowStripes="1" showColumnStripes="0"/>
</table>
</file>

<file path=xl/tables/table6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4" xr:uid="{7C630DA2-A618-49CF-AF8E-388689CE4919}" name="Sept15_2022" displayName="Sept15_2022" ref="B5:H24" totalsRowCount="1" headerRowDxfId="1502" headerRowBorderDxfId="1501" tableBorderDxfId="1500" totalsRowBorderDxfId="1499">
  <autoFilter ref="B5:H23" xr:uid="{44AA011A-2ACC-4886-A69B-550EF3190476}"/>
  <sortState xmlns:xlrd2="http://schemas.microsoft.com/office/spreadsheetml/2017/richdata2" ref="B6:H23">
    <sortCondition ref="B6:B23"/>
  </sortState>
  <tableColumns count="7">
    <tableColumn id="1" xr3:uid="{9E228166-8BAA-412C-A828-AE4EE472CB47}" name="BDC LIST" totalsRowLabel="Total" dataDxfId="1498" totalsRowDxfId="1497"/>
    <tableColumn id="2" xr3:uid="{27CA3935-2BE1-4BB0-ADC2-B455D3107D92}" name="KSI_AGO" totalsRowFunction="custom" dataDxfId="1496" totalsRowDxfId="1495" dataCellStyle="Comma">
      <totalsRowFormula>SUM(Sept15_2022[KSI_AGO])</totalsRowFormula>
    </tableColumn>
    <tableColumn id="3" xr3:uid="{3C5239F2-78EE-4BF2-8D46-856E9BE9B216}" name="KSI_PMS" totalsRowFunction="sum" dataDxfId="1494" totalsRowDxfId="1493" dataCellStyle="Comma"/>
    <tableColumn id="4" xr3:uid="{B314BFA6-D277-406F-ABAC-59BD32405031}" name="BUIPE_AGO" totalsRowFunction="custom" dataDxfId="1492" totalsRowDxfId="1491" dataCellStyle="Comma">
      <totalsRowFormula>SUM(Sept15_2022[BUIPE_AGO])</totalsRowFormula>
    </tableColumn>
    <tableColumn id="5" xr3:uid="{29409F86-8A1F-4243-A6E2-D74AC7661ED4}" name="BUIPE_PMS" totalsRowFunction="custom" dataDxfId="1490" totalsRowDxfId="1489" dataCellStyle="Comma">
      <totalsRowFormula>SUM(Sept15_2022[BUIPE_PMS])</totalsRowFormula>
    </tableColumn>
    <tableColumn id="6" xr3:uid="{24BC6335-5A1F-4C4B-9BA8-C1663F02818F}" name="AKOSOMBO_AGO" totalsRowFunction="custom" dataDxfId="1488" totalsRowDxfId="1487" dataCellStyle="Comma">
      <totalsRowFormula>SUM(Sept15_2022[AKOSOMBO_AGO])</totalsRowFormula>
    </tableColumn>
    <tableColumn id="7" xr3:uid="{E6DFC054-403D-497D-9E0F-3377BA02B3D8}" name="DATE" dataDxfId="1486" totalsRowDxfId="1485">
      <calculatedColumnFormula>$G$3</calculatedColumnFormula>
    </tableColumn>
  </tableColumns>
  <tableStyleInfo showFirstColumn="0" showLastColumn="0" showRowStripes="1" showColumnStripes="0"/>
</table>
</file>

<file path=xl/tables/table6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5" xr:uid="{69E99DE8-28AA-4034-A3B5-8BD38BC87126}" name="Sept16_2022" displayName="Sept16_2022" ref="B5:H24" totalsRowCount="1" headerRowDxfId="1484" headerRowBorderDxfId="1483" tableBorderDxfId="1482" totalsRowBorderDxfId="1481">
  <autoFilter ref="B5:H23" xr:uid="{44AA011A-2ACC-4886-A69B-550EF3190476}"/>
  <sortState xmlns:xlrd2="http://schemas.microsoft.com/office/spreadsheetml/2017/richdata2" ref="B6:H23">
    <sortCondition ref="B6:B23"/>
  </sortState>
  <tableColumns count="7">
    <tableColumn id="1" xr3:uid="{5D4A2270-EE9A-4B38-8074-27F3C97CB124}" name="BDC LIST" totalsRowLabel="Total" dataDxfId="1480" totalsRowDxfId="1479"/>
    <tableColumn id="2" xr3:uid="{EE3B29CB-936C-4D3D-9E9F-41B1ACAB68A8}" name="KSI_AGO" totalsRowFunction="custom" dataDxfId="1478" totalsRowDxfId="1477" dataCellStyle="Comma">
      <totalsRowFormula>SUM(Sept16_2022[KSI_AGO])</totalsRowFormula>
    </tableColumn>
    <tableColumn id="3" xr3:uid="{A4762395-115A-4414-A5A4-03F0E1A413FA}" name="KSI_PMS" totalsRowFunction="sum" dataDxfId="1476" totalsRowDxfId="1475" dataCellStyle="Comma"/>
    <tableColumn id="4" xr3:uid="{AD8E7725-B17D-46CD-A064-36370159C91F}" name="BUIPE_AGO" totalsRowFunction="custom" dataDxfId="1474" totalsRowDxfId="1473" dataCellStyle="Comma">
      <totalsRowFormula>SUM(Sept16_2022[BUIPE_AGO])</totalsRowFormula>
    </tableColumn>
    <tableColumn id="5" xr3:uid="{4ADDF630-7350-42E8-9547-CC56E8959027}" name="BUIPE_PMS" totalsRowFunction="custom" dataDxfId="1472" totalsRowDxfId="1471" dataCellStyle="Comma">
      <totalsRowFormula>SUM(Sept16_2022[BUIPE_PMS])</totalsRowFormula>
    </tableColumn>
    <tableColumn id="6" xr3:uid="{088E1C05-C171-46E5-8824-89B39CAC1A69}" name="AKOSOMBO_AGO" totalsRowFunction="custom" dataDxfId="1470" totalsRowDxfId="1469" dataCellStyle="Comma">
      <totalsRowFormula>SUM(Sept16_2022[AKOSOMBO_AGO])</totalsRowFormula>
    </tableColumn>
    <tableColumn id="7" xr3:uid="{8514BA8B-6B52-4136-BFBD-D5F72614DAB9}" name="DATE" dataDxfId="1468" totalsRowDxfId="1467">
      <calculatedColumnFormula>$G$3</calculatedColumnFormula>
    </tableColumn>
  </tableColumns>
  <tableStyleInfo showFirstColumn="0" showLastColumn="0" showRowStripes="1" showColumnStripes="0"/>
</table>
</file>

<file path=xl/tables/table6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6" xr:uid="{62731108-53F4-476F-967B-17A0F91325B5}" name="Sept19_2022" displayName="Sept19_2022" ref="B5:H24" totalsRowCount="1" headerRowDxfId="1466" headerRowBorderDxfId="1465" tableBorderDxfId="1464" totalsRowBorderDxfId="1463">
  <autoFilter ref="B5:H23" xr:uid="{44AA011A-2ACC-4886-A69B-550EF3190476}"/>
  <sortState xmlns:xlrd2="http://schemas.microsoft.com/office/spreadsheetml/2017/richdata2" ref="B6:H23">
    <sortCondition ref="B6:B23"/>
  </sortState>
  <tableColumns count="7">
    <tableColumn id="1" xr3:uid="{A6458FE2-54C8-443D-9972-1D216BEE4B61}" name="BDC LIST" totalsRowLabel="Total" dataDxfId="1462" totalsRowDxfId="1461"/>
    <tableColumn id="2" xr3:uid="{8B53D9A8-AE7E-47D6-ADCF-8A3B8779AFDD}" name="KSI_AGO" totalsRowFunction="custom" dataDxfId="1460" totalsRowDxfId="1459" dataCellStyle="Comma">
      <totalsRowFormula>SUM(Sept19_2022[KSI_AGO])</totalsRowFormula>
    </tableColumn>
    <tableColumn id="3" xr3:uid="{DF5BB613-F920-476F-820F-DC9225B380C7}" name="KSI_PMS" totalsRowFunction="sum" dataDxfId="1458" totalsRowDxfId="1457" dataCellStyle="Comma"/>
    <tableColumn id="4" xr3:uid="{BC31CEC7-4C77-4E7B-BECB-2266DD183F4D}" name="BUIPE_AGO" totalsRowFunction="custom" dataDxfId="1456" totalsRowDxfId="1455" dataCellStyle="Comma">
      <totalsRowFormula>SUM(Sept19_2022[BUIPE_AGO])</totalsRowFormula>
    </tableColumn>
    <tableColumn id="5" xr3:uid="{BE5DAA4A-C29D-4353-B79D-3B992C623118}" name="BUIPE_PMS" totalsRowFunction="custom" dataDxfId="1454" totalsRowDxfId="1453" dataCellStyle="Comma">
      <totalsRowFormula>SUM(Sept19_2022[BUIPE_PMS])</totalsRowFormula>
    </tableColumn>
    <tableColumn id="6" xr3:uid="{4984986A-F2F4-477D-B0AD-55D22F4616C1}" name="AKOSOMBO_AGO" totalsRowFunction="custom" dataDxfId="1452" totalsRowDxfId="1451" dataCellStyle="Comma">
      <totalsRowFormula>SUM(Sept19_2022[AKOSOMBO_AGO])</totalsRowFormula>
    </tableColumn>
    <tableColumn id="7" xr3:uid="{1457402A-04DA-4E75-8E7B-44BC5C5D4F00}" name="DATE" dataDxfId="1450" totalsRowDxfId="1449">
      <calculatedColumnFormula>$G$3</calculatedColumnFormula>
    </tableColumn>
  </tableColumns>
  <tableStyleInfo showFirstColumn="0" showLastColumn="0" showRowStripes="1" showColumnStripes="0"/>
</table>
</file>

<file path=xl/tables/table6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7" xr:uid="{A0F86BE2-7199-4559-9540-63C01BCFD522}" name="Sept20_2022" displayName="Sept20_2022" ref="B5:H24" totalsRowCount="1" headerRowDxfId="1448" headerRowBorderDxfId="1447" tableBorderDxfId="1446" totalsRowBorderDxfId="1445">
  <autoFilter ref="B5:H23" xr:uid="{44AA011A-2ACC-4886-A69B-550EF3190476}"/>
  <sortState xmlns:xlrd2="http://schemas.microsoft.com/office/spreadsheetml/2017/richdata2" ref="B6:H23">
    <sortCondition ref="B6:B23"/>
  </sortState>
  <tableColumns count="7">
    <tableColumn id="1" xr3:uid="{B21AABA9-7A5A-4D95-B1D4-6DEDBB80B439}" name="BDC LIST" totalsRowLabel="Total" dataDxfId="1444" totalsRowDxfId="1443"/>
    <tableColumn id="2" xr3:uid="{8FF9A2B1-5915-4A50-87B1-8AABDAC9D7FE}" name="KSI_AGO" totalsRowFunction="custom" dataDxfId="1442" totalsRowDxfId="1441" dataCellStyle="Comma">
      <totalsRowFormula>SUM(Sept20_2022[KSI_AGO])</totalsRowFormula>
    </tableColumn>
    <tableColumn id="3" xr3:uid="{64AAE351-D53D-48CD-BB01-230824D57C9D}" name="KSI_PMS" totalsRowFunction="sum" dataDxfId="1440" totalsRowDxfId="1439" dataCellStyle="Comma"/>
    <tableColumn id="4" xr3:uid="{65138488-CEF1-44D8-8E0F-7AD333C077E2}" name="BUIPE_AGO" totalsRowFunction="custom" dataDxfId="1438" totalsRowDxfId="1437" dataCellStyle="Comma">
      <totalsRowFormula>SUM(Sept20_2022[BUIPE_AGO])</totalsRowFormula>
    </tableColumn>
    <tableColumn id="5" xr3:uid="{0BB1D2E6-1B55-4EC3-90C0-AEC1C05D0B0F}" name="BUIPE_PMS" totalsRowFunction="custom" dataDxfId="1436" totalsRowDxfId="1435" dataCellStyle="Comma">
      <totalsRowFormula>SUM(Sept20_2022[BUIPE_PMS])</totalsRowFormula>
    </tableColumn>
    <tableColumn id="6" xr3:uid="{8939A1ED-9DCA-4510-B2DC-973E0BF8F2F7}" name="AKOSOMBO_AGO" totalsRowFunction="custom" dataDxfId="1434" totalsRowDxfId="1433" dataCellStyle="Comma">
      <totalsRowFormula>SUM(Sept20_2022[AKOSOMBO_AGO])</totalsRowFormula>
    </tableColumn>
    <tableColumn id="7" xr3:uid="{46869C6E-645F-41DA-A1C3-72E4451512AD}" name="DATE" dataDxfId="1432" totalsRowDxfId="1431">
      <calculatedColumnFormula>$G$3</calculatedColumnFormula>
    </tableColumn>
  </tableColumns>
  <tableStyleInfo showFirstColumn="0" showLastColumn="0" showRowStripes="1" showColumnStripes="0"/>
</table>
</file>

<file path=xl/tables/table6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8" xr:uid="{721294FE-6EB8-4FA8-B2CE-F5690267931E}" name="Sept22_2022" displayName="Sept22_2022" ref="B5:H24" totalsRowCount="1" headerRowDxfId="1430" headerRowBorderDxfId="1429" tableBorderDxfId="1428" totalsRowBorderDxfId="1427">
  <autoFilter ref="B5:H23" xr:uid="{44AA011A-2ACC-4886-A69B-550EF3190476}"/>
  <sortState xmlns:xlrd2="http://schemas.microsoft.com/office/spreadsheetml/2017/richdata2" ref="B6:H23">
    <sortCondition ref="B6:B23"/>
  </sortState>
  <tableColumns count="7">
    <tableColumn id="1" xr3:uid="{980400F8-024A-4053-A2CE-E5FFD4DFDA2A}" name="BDC LIST" totalsRowLabel="Total" dataDxfId="1426" totalsRowDxfId="1425"/>
    <tableColumn id="2" xr3:uid="{361F942C-4CC2-48AB-AFF3-3D5D10C3053A}" name="KSI_AGO" totalsRowFunction="custom" dataDxfId="1424" totalsRowDxfId="1423" dataCellStyle="Comma">
      <totalsRowFormula>SUM(Sept22_2022[KSI_AGO])</totalsRowFormula>
    </tableColumn>
    <tableColumn id="3" xr3:uid="{1E89DD23-14A8-4B27-B5E4-22059BCEFB62}" name="KSI_PMS" totalsRowFunction="sum" dataDxfId="1422" totalsRowDxfId="1421" dataCellStyle="Comma"/>
    <tableColumn id="4" xr3:uid="{219C9B27-9D4C-4C22-92C2-59478A76A0F3}" name="BUIPE_AGO" totalsRowFunction="custom" dataDxfId="1420" totalsRowDxfId="1419" dataCellStyle="Comma">
      <totalsRowFormula>SUM(Sept22_2022[BUIPE_AGO])</totalsRowFormula>
    </tableColumn>
    <tableColumn id="5" xr3:uid="{E3B815FE-C355-412C-A79E-43894230FCF1}" name="BUIPE_PMS" totalsRowFunction="custom" dataDxfId="1418" totalsRowDxfId="1417" dataCellStyle="Comma">
      <totalsRowFormula>SUM(Sept22_2022[BUIPE_PMS])</totalsRowFormula>
    </tableColumn>
    <tableColumn id="6" xr3:uid="{9D09C01C-5870-480B-848B-9F4FB95F0F0E}" name="AKOSOMBO_AGO" totalsRowFunction="custom" dataDxfId="1416" totalsRowDxfId="1415" dataCellStyle="Comma">
      <totalsRowFormula>SUM(Sept22_2022[AKOSOMBO_AGO])</totalsRowFormula>
    </tableColumn>
    <tableColumn id="7" xr3:uid="{60559EEB-9162-4300-A73D-DE55736E1384}" name="DATE" dataDxfId="1414" totalsRowDxfId="1413">
      <calculatedColumnFormula>$G$3</calculatedColumnFormula>
    </tableColumn>
  </tableColumns>
  <tableStyleInfo showFirstColumn="0" showLastColumn="0" showRowStripes="1" showColumnStripes="0"/>
</table>
</file>

<file path=xl/tables/table6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9" xr:uid="{831C4612-A876-46DC-8E93-6F7B0A64CAF5}" name="Sept23_2022" displayName="Sept23_2022" ref="B5:H24" totalsRowCount="1" headerRowDxfId="1412" headerRowBorderDxfId="1411" tableBorderDxfId="1410" totalsRowBorderDxfId="1409">
  <autoFilter ref="B5:H23" xr:uid="{44AA011A-2ACC-4886-A69B-550EF3190476}"/>
  <sortState xmlns:xlrd2="http://schemas.microsoft.com/office/spreadsheetml/2017/richdata2" ref="B6:H23">
    <sortCondition ref="B6:B23"/>
  </sortState>
  <tableColumns count="7">
    <tableColumn id="1" xr3:uid="{6B815FF6-2A12-4901-BAB4-EFEFC0E11138}" name="BDC LIST" totalsRowLabel="Total" dataDxfId="1408" totalsRowDxfId="1407"/>
    <tableColumn id="2" xr3:uid="{B6D8DE51-63E6-4F0E-8723-8976DEC52399}" name="KSI_AGO" totalsRowFunction="custom" dataDxfId="1406" totalsRowDxfId="1405" dataCellStyle="Comma">
      <totalsRowFormula>SUM(Sept23_2022[KSI_AGO])</totalsRowFormula>
    </tableColumn>
    <tableColumn id="3" xr3:uid="{671C343A-ACAF-4737-A13D-C3496E2437AE}" name="KSI_PMS" totalsRowFunction="sum" dataDxfId="1404" totalsRowDxfId="1403" dataCellStyle="Comma"/>
    <tableColumn id="4" xr3:uid="{7FFED6A9-DA79-46C5-8F7B-04D870165533}" name="BUIPE_AGO" totalsRowFunction="custom" dataDxfId="1402" totalsRowDxfId="1401" dataCellStyle="Comma">
      <totalsRowFormula>SUM(Sept23_2022[BUIPE_AGO])</totalsRowFormula>
    </tableColumn>
    <tableColumn id="5" xr3:uid="{0FB18458-9B09-46BF-A192-0968BA1257DA}" name="BUIPE_PMS" totalsRowFunction="custom" dataDxfId="1400" totalsRowDxfId="1399" dataCellStyle="Comma">
      <totalsRowFormula>SUM(Sept23_2022[BUIPE_PMS])</totalsRowFormula>
    </tableColumn>
    <tableColumn id="6" xr3:uid="{52500674-2BA1-46D6-804D-1724865C4A07}" name="AKOSOMBO_AGO" totalsRowFunction="custom" dataDxfId="1398" totalsRowDxfId="1397" dataCellStyle="Comma">
      <totalsRowFormula>SUM(Sept23_2022[AKOSOMBO_AGO])</totalsRowFormula>
    </tableColumn>
    <tableColumn id="7" xr3:uid="{BCC39979-2471-48FE-9E16-5047313C2566}" name="DATE" dataDxfId="1396" totalsRowDxfId="1395">
      <calculatedColumnFormula>$G$3</calculatedColumnFormula>
    </tableColumn>
  </tableColumns>
  <tableStyleInfo showFirstColumn="0" showLastColumn="0" showRowStripes="1" showColumnStripes="0"/>
</table>
</file>

<file path=xl/tables/table6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0" xr:uid="{712E3C81-56BA-47FC-8F43-C09570B554C3}" name="Sept26_2022" displayName="Sept26_2022" ref="B5:H24" totalsRowCount="1" headerRowDxfId="1394" headerRowBorderDxfId="1393" tableBorderDxfId="1392" totalsRowBorderDxfId="1391">
  <autoFilter ref="B5:H23" xr:uid="{44AA011A-2ACC-4886-A69B-550EF3190476}"/>
  <sortState xmlns:xlrd2="http://schemas.microsoft.com/office/spreadsheetml/2017/richdata2" ref="B6:H23">
    <sortCondition ref="B6:B23"/>
  </sortState>
  <tableColumns count="7">
    <tableColumn id="1" xr3:uid="{40B5CA77-52F1-40B1-B387-7B06A75A77D0}" name="BDC LIST" totalsRowLabel="Total" dataDxfId="1390" totalsRowDxfId="1389"/>
    <tableColumn id="2" xr3:uid="{115D9AE0-0F3A-4783-AAE1-0E7BDA67A40F}" name="KSI_AGO" totalsRowFunction="custom" dataDxfId="1388" totalsRowDxfId="1387" dataCellStyle="Comma">
      <totalsRowFormula>SUM(Sept26_2022[KSI_AGO])</totalsRowFormula>
    </tableColumn>
    <tableColumn id="3" xr3:uid="{5B783646-BE76-488A-98C4-AEC1145FFF05}" name="KSI_PMS" totalsRowFunction="sum" dataDxfId="1386" totalsRowDxfId="1385" dataCellStyle="Comma"/>
    <tableColumn id="4" xr3:uid="{0C09F7E2-DC9A-4730-8B89-53DA8993B333}" name="BUIPE_AGO" totalsRowFunction="custom" dataDxfId="1384" totalsRowDxfId="1383" dataCellStyle="Comma">
      <totalsRowFormula>SUM(Sept26_2022[BUIPE_AGO])</totalsRowFormula>
    </tableColumn>
    <tableColumn id="5" xr3:uid="{C55167F6-6A2F-4465-B35C-3BEDCB52B4B8}" name="BUIPE_PMS" totalsRowFunction="custom" dataDxfId="1382" totalsRowDxfId="1381" dataCellStyle="Comma">
      <totalsRowFormula>SUM(Sept26_2022[BUIPE_PMS])</totalsRowFormula>
    </tableColumn>
    <tableColumn id="6" xr3:uid="{6566F2A7-26CC-4777-B514-88F290FA7B0C}" name="AKOSOMBO_AGO" totalsRowFunction="custom" dataDxfId="1380" totalsRowDxfId="1379" dataCellStyle="Comma">
      <totalsRowFormula>SUM(Sept26_2022[AKOSOMBO_AGO])</totalsRowFormula>
    </tableColumn>
    <tableColumn id="7" xr3:uid="{E04D0932-E8E4-4919-923D-7E86AD17463D}" name="DATE" dataDxfId="1378" totalsRowDxfId="1377">
      <calculatedColumnFormula>$G$3</calculatedColumnFormula>
    </tableColumn>
  </tableColumns>
  <tableStyleInfo showFirstColumn="0" showLastColumn="0" showRowStripes="1" showColumnStripes="0"/>
</table>
</file>

<file path=xl/tables/table6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1" xr:uid="{AB2D1346-77D5-4EE3-8285-220CD052A354}" name="Sept27_2022" displayName="Sept27_2022" ref="B5:H24" totalsRowCount="1" headerRowDxfId="1376" headerRowBorderDxfId="1375" tableBorderDxfId="1374" totalsRowBorderDxfId="1373">
  <autoFilter ref="B5:H23" xr:uid="{44AA011A-2ACC-4886-A69B-550EF3190476}"/>
  <sortState xmlns:xlrd2="http://schemas.microsoft.com/office/spreadsheetml/2017/richdata2" ref="B6:H23">
    <sortCondition ref="B6:B23"/>
  </sortState>
  <tableColumns count="7">
    <tableColumn id="1" xr3:uid="{999E1267-F56B-4FCD-B257-8DF5F27818A4}" name="BDC LIST" totalsRowLabel="Total" dataDxfId="1372" totalsRowDxfId="1371"/>
    <tableColumn id="2" xr3:uid="{893B87E9-0F5C-45E7-A7AF-01B940F78180}" name="KSI_AGO" totalsRowFunction="custom" dataDxfId="1370" totalsRowDxfId="1369" dataCellStyle="Comma">
      <totalsRowFormula>SUM(Sept27_2022[KSI_AGO])</totalsRowFormula>
    </tableColumn>
    <tableColumn id="3" xr3:uid="{C13BFA8D-E731-44F7-B7F1-AE397823F012}" name="KSI_PMS" totalsRowFunction="sum" dataDxfId="1368" totalsRowDxfId="1367" dataCellStyle="Comma"/>
    <tableColumn id="4" xr3:uid="{BFCCD619-E21F-48E2-BDBC-A74F1D15C44F}" name="BUIPE_AGO" totalsRowFunction="custom" dataDxfId="1366" totalsRowDxfId="1365" dataCellStyle="Comma">
      <totalsRowFormula>SUM(Sept27_2022[BUIPE_AGO])</totalsRowFormula>
    </tableColumn>
    <tableColumn id="5" xr3:uid="{080A1575-69E7-4B9C-9319-1C7262288428}" name="BUIPE_PMS" totalsRowFunction="custom" dataDxfId="1364" totalsRowDxfId="1363" dataCellStyle="Comma">
      <totalsRowFormula>SUM(Sept27_2022[BUIPE_PMS])</totalsRowFormula>
    </tableColumn>
    <tableColumn id="6" xr3:uid="{1DB1AD2B-7B36-445A-8211-CCBE6F3ECB6A}" name="AKOSOMBO_AGO" totalsRowFunction="custom" dataDxfId="1362" totalsRowDxfId="1361" dataCellStyle="Comma">
      <totalsRowFormula>SUM(Sept27_2022[AKOSOMBO_AGO])</totalsRowFormula>
    </tableColumn>
    <tableColumn id="7" xr3:uid="{D889743F-70BC-4D90-83D2-043B6D9C3631}" name="DATE" dataDxfId="1360" totalsRowDxfId="1359">
      <calculatedColumnFormula>$G$3</calculatedColumnFormula>
    </tableColumn>
  </tableColumns>
  <tableStyleInfo showFirstColumn="0" showLastColumn="0" showRowStripes="1" showColumnStripes="0"/>
</table>
</file>

<file path=xl/tables/table6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2" xr:uid="{C709DBE8-0686-4D03-A110-39075A12E79A}" name="Sept28_2022" displayName="Sept28_2022" ref="B5:H24" totalsRowCount="1" headerRowDxfId="1358" headerRowBorderDxfId="1357" tableBorderDxfId="1356" totalsRowBorderDxfId="1355">
  <autoFilter ref="B5:H23" xr:uid="{44AA011A-2ACC-4886-A69B-550EF3190476}"/>
  <sortState xmlns:xlrd2="http://schemas.microsoft.com/office/spreadsheetml/2017/richdata2" ref="B6:H23">
    <sortCondition ref="B6:B23"/>
  </sortState>
  <tableColumns count="7">
    <tableColumn id="1" xr3:uid="{76B2D7C7-94E5-4B8D-A18A-91D806DB77E9}" name="BDC LIST" totalsRowLabel="Total" dataDxfId="1354" totalsRowDxfId="1353"/>
    <tableColumn id="2" xr3:uid="{B9A542F1-4CD0-436A-B9A3-5EFEBAC0581E}" name="KSI_AGO" totalsRowFunction="custom" dataDxfId="1352" totalsRowDxfId="1351" dataCellStyle="Comma">
      <totalsRowFormula>SUM(Sept28_2022[KSI_AGO])</totalsRowFormula>
    </tableColumn>
    <tableColumn id="3" xr3:uid="{E009A39A-6146-4EB5-BC27-89D6079F182E}" name="KSI_PMS" totalsRowFunction="sum" dataDxfId="1350" totalsRowDxfId="1349" dataCellStyle="Comma"/>
    <tableColumn id="4" xr3:uid="{A841131E-570D-454B-A378-99FF7DC13D92}" name="BUIPE_AGO" totalsRowFunction="custom" dataDxfId="1348" totalsRowDxfId="1347" dataCellStyle="Comma">
      <totalsRowFormula>SUM(Sept28_2022[BUIPE_AGO])</totalsRowFormula>
    </tableColumn>
    <tableColumn id="5" xr3:uid="{82688DC5-FD40-4719-8C40-E8B89AD9C5B6}" name="BUIPE_PMS" totalsRowFunction="custom" dataDxfId="1346" totalsRowDxfId="1345" dataCellStyle="Comma">
      <totalsRowFormula>SUM(Sept28_2022[BUIPE_PMS])</totalsRowFormula>
    </tableColumn>
    <tableColumn id="6" xr3:uid="{77CC9D77-FCD9-480C-ACDC-DC5C3CF010D0}" name="AKOSOMBO_AGO" totalsRowFunction="custom" dataDxfId="1344" totalsRowDxfId="1343" dataCellStyle="Comma">
      <totalsRowFormula>SUM(Sept28_2022[AKOSOMBO_AGO])</totalsRowFormula>
    </tableColumn>
    <tableColumn id="7" xr3:uid="{535266A1-66B8-4AA5-A118-6C363A38ED29}" name="DATE" dataDxfId="1342" totalsRowDxfId="1341">
      <calculatedColumnFormula>$G$3</calculatedColumnFormula>
    </tableColumn>
  </tableColumns>
  <tableStyleInfo showFirstColumn="0" showLastColumn="0" showRowStripes="1" showColumnStripes="0"/>
</table>
</file>

<file path=xl/tables/table6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3" xr:uid="{8D951D41-A6AD-4EAA-A9C1-270DDE286C5D}" name="Sept28_202221" displayName="Sept28_202221" ref="B5:H24" totalsRowCount="1" headerRowDxfId="1340" headerRowBorderDxfId="1339" tableBorderDxfId="1338" totalsRowBorderDxfId="1337">
  <autoFilter ref="B5:H23" xr:uid="{44AA011A-2ACC-4886-A69B-550EF3190476}"/>
  <sortState xmlns:xlrd2="http://schemas.microsoft.com/office/spreadsheetml/2017/richdata2" ref="B6:H23">
    <sortCondition ref="B6:B23"/>
  </sortState>
  <tableColumns count="7">
    <tableColumn id="1" xr3:uid="{BA1CC79F-86D4-4B97-B216-77EDE8B82281}" name="BDC LIST" totalsRowLabel="Total" dataDxfId="1336" totalsRowDxfId="1335"/>
    <tableColumn id="2" xr3:uid="{AE6B8939-B5E7-4932-A934-2F815B07735B}" name="KSI_AGO" totalsRowFunction="custom" dataDxfId="1334" totalsRowDxfId="1333" dataCellStyle="Comma">
      <totalsRowFormula>SUM(Sept28_202221[KSI_AGO])</totalsRowFormula>
    </tableColumn>
    <tableColumn id="3" xr3:uid="{09A3D2BB-E308-4BA4-9ACE-43A606E39A97}" name="KSI_PMS" totalsRowFunction="sum" dataDxfId="1332" totalsRowDxfId="1331" dataCellStyle="Comma"/>
    <tableColumn id="4" xr3:uid="{941E9244-E629-4857-80B4-71223FBC8B59}" name="BUIPE_AGO" totalsRowFunction="custom" dataDxfId="1330" totalsRowDxfId="1329" dataCellStyle="Comma">
      <totalsRowFormula>SUM(Sept28_202221[BUIPE_AGO])</totalsRowFormula>
    </tableColumn>
    <tableColumn id="5" xr3:uid="{38C892F6-31D7-47F4-BA4E-A4D0A305D35C}" name="BUIPE_PMS" totalsRowFunction="custom" dataDxfId="1328" totalsRowDxfId="1327" dataCellStyle="Comma">
      <totalsRowFormula>SUM(Sept28_202221[BUIPE_PMS])</totalsRowFormula>
    </tableColumn>
    <tableColumn id="6" xr3:uid="{B234A2F2-4C01-4B16-9F0B-457C754BF4DD}" name="AKOSOMBO_AGO" totalsRowFunction="custom" dataDxfId="1326" totalsRowDxfId="1325" dataCellStyle="Comma">
      <totalsRowFormula>SUM(Sept28_202221[AKOSOMBO_AGO])</totalsRowFormula>
    </tableColumn>
    <tableColumn id="7" xr3:uid="{8D287E93-40AE-41A6-9BCB-D943CA027D7C}" name="DATE" dataDxfId="1324" totalsRowDxfId="1323">
      <calculatedColumnFormula>$G$3</calculatedColumnFormula>
    </tableColumn>
  </tableColumns>
  <tableStyleInfo showFirstColumn="0" showLastColumn="0" showRowStripes="1" showColumnStripes="0"/>
</table>
</file>

<file path=xl/tables/table6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4" xr:uid="{C26BEAA3-E0CB-434A-9DCC-1622E2556A40}" name="Sept30_2022" displayName="Sept30_2022" ref="B5:H24" totalsRowCount="1" headerRowDxfId="1322" headerRowBorderDxfId="1321" tableBorderDxfId="1320" totalsRowBorderDxfId="1319">
  <autoFilter ref="B5:H23" xr:uid="{44AA011A-2ACC-4886-A69B-550EF3190476}"/>
  <sortState xmlns:xlrd2="http://schemas.microsoft.com/office/spreadsheetml/2017/richdata2" ref="B6:H23">
    <sortCondition ref="B6:B23"/>
  </sortState>
  <tableColumns count="7">
    <tableColumn id="1" xr3:uid="{536A4D5A-36D6-4047-83BA-52D7DC4F9501}" name="BDC LIST" totalsRowLabel="Total" dataDxfId="1318" totalsRowDxfId="1317"/>
    <tableColumn id="2" xr3:uid="{3A014363-23DE-48B1-A6D4-D5B328A8A10A}" name="KSI_AGO" totalsRowFunction="custom" dataDxfId="1316" totalsRowDxfId="1315" dataCellStyle="Comma">
      <totalsRowFormula>SUM(Sept30_2022[KSI_AGO])</totalsRowFormula>
    </tableColumn>
    <tableColumn id="3" xr3:uid="{9BF8A4D6-E7FE-493B-B1B4-FD5C6076A403}" name="KSI_PMS" totalsRowFunction="sum" dataDxfId="1314" totalsRowDxfId="1313" dataCellStyle="Comma"/>
    <tableColumn id="4" xr3:uid="{D76E2BAE-19BA-4005-A0D3-C90032142459}" name="BUIPE_AGO" totalsRowFunction="custom" dataDxfId="1312" totalsRowDxfId="1311" dataCellStyle="Comma">
      <totalsRowFormula>SUM(Sept30_2022[BUIPE_AGO])</totalsRowFormula>
    </tableColumn>
    <tableColumn id="5" xr3:uid="{8A1234F2-E91C-40EE-92EE-1385F67D0971}" name="BUIPE_PMS" totalsRowFunction="custom" dataDxfId="1310" totalsRowDxfId="1309" dataCellStyle="Comma">
      <totalsRowFormula>SUM(Sept30_2022[BUIPE_PMS])</totalsRowFormula>
    </tableColumn>
    <tableColumn id="6" xr3:uid="{C658849E-D1AE-4D67-B5B9-3CDCE8AA78D8}" name="AKOSOMBO_AGO" totalsRowFunction="custom" dataDxfId="1308" totalsRowDxfId="1307" dataCellStyle="Comma">
      <totalsRowFormula>SUM(Sept30_2022[AKOSOMBO_AGO])</totalsRowFormula>
    </tableColumn>
    <tableColumn id="7" xr3:uid="{7DE6A0EC-4298-4661-9A9D-9D657C387226}" name="DATE" dataDxfId="1306" totalsRowDxfId="1305">
      <calculatedColumnFormula>$G$3</calculatedColumnFormula>
    </tableColumn>
  </tableColumns>
  <tableStyleInfo showFirstColumn="0" showLastColumn="0" showRowStripes="1" showColumnStripes="0"/>
</table>
</file>

<file path=xl/tables/table6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5" xr:uid="{34FCF98A-EDE0-4788-9107-BF3C8D403224}" name="Oct03_2022" displayName="Oct03_2022" ref="B5:H24" totalsRowCount="1" headerRowDxfId="1304" headerRowBorderDxfId="1303" tableBorderDxfId="1302" totalsRowBorderDxfId="1301">
  <autoFilter ref="B5:H23" xr:uid="{44AA011A-2ACC-4886-A69B-550EF3190476}"/>
  <sortState xmlns:xlrd2="http://schemas.microsoft.com/office/spreadsheetml/2017/richdata2" ref="B6:H23">
    <sortCondition ref="B6:B23"/>
  </sortState>
  <tableColumns count="7">
    <tableColumn id="1" xr3:uid="{36E06972-08BB-4CC3-AD42-2F3589E2E59E}" name="BDC LIST" totalsRowLabel="Total" dataDxfId="1300" totalsRowDxfId="1299"/>
    <tableColumn id="2" xr3:uid="{9CCB69F2-EF00-4567-AF2D-1EA9E291D3C7}" name="KSI_AGO" totalsRowFunction="custom" dataDxfId="1298" totalsRowDxfId="1297" dataCellStyle="Comma">
      <totalsRowFormula>SUM(Oct03_2022[KSI_AGO])</totalsRowFormula>
    </tableColumn>
    <tableColumn id="3" xr3:uid="{DB67A20D-D193-4E92-96ED-E3557C833102}" name="KSI_PMS" totalsRowFunction="sum" dataDxfId="1296" totalsRowDxfId="1295" dataCellStyle="Comma"/>
    <tableColumn id="4" xr3:uid="{0578CAC6-B28E-4C95-95DB-4F19FBA14456}" name="BUIPE_AGO" totalsRowFunction="custom" dataDxfId="1294" totalsRowDxfId="1293" dataCellStyle="Comma">
      <totalsRowFormula>SUM(Oct03_2022[BUIPE_AGO])</totalsRowFormula>
    </tableColumn>
    <tableColumn id="5" xr3:uid="{6EBEE78A-103E-4C5C-8205-CE46AE2C18DF}" name="BUIPE_PMS" totalsRowFunction="custom" dataDxfId="1292" totalsRowDxfId="1291" dataCellStyle="Comma">
      <totalsRowFormula>SUM(Oct03_2022[BUIPE_PMS])</totalsRowFormula>
    </tableColumn>
    <tableColumn id="6" xr3:uid="{EC68516C-58C2-4BB4-9C34-D91C34F81EFD}" name="AKOSOMBO_AGO" totalsRowFunction="custom" dataDxfId="1290" totalsRowDxfId="1289" dataCellStyle="Comma">
      <totalsRowFormula>SUM(Oct03_2022[AKOSOMBO_AGO])</totalsRowFormula>
    </tableColumn>
    <tableColumn id="7" xr3:uid="{699A9F99-3E7E-4C3D-8560-CDCB5A76B75B}" name="DATE" dataDxfId="1288" totalsRowDxfId="1287">
      <calculatedColumnFormula>$G$3</calculatedColumnFormula>
    </tableColumn>
  </tableColumns>
  <tableStyleInfo showFirstColumn="0" showLastColumn="0" showRowStripes="1" showColumnStripes="0"/>
</table>
</file>

<file path=xl/tables/table6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6" xr:uid="{7853B120-B2A9-44F4-9F82-F4AB2B2C4E2D}" name="Oct04_20222" displayName="Oct04_20222" ref="B5:H24" totalsRowCount="1" headerRowDxfId="1286" headerRowBorderDxfId="1285" tableBorderDxfId="1284" totalsRowBorderDxfId="1283">
  <autoFilter ref="B5:H23" xr:uid="{44AA011A-2ACC-4886-A69B-550EF3190476}"/>
  <sortState xmlns:xlrd2="http://schemas.microsoft.com/office/spreadsheetml/2017/richdata2" ref="B6:H23">
    <sortCondition ref="B6:B23"/>
  </sortState>
  <tableColumns count="7">
    <tableColumn id="1" xr3:uid="{5EF0ADB1-5711-4CBE-A7C2-B9D6AD683052}" name="BDC LIST" totalsRowLabel="Total" dataDxfId="1282" totalsRowDxfId="1281"/>
    <tableColumn id="2" xr3:uid="{077B5374-5AB5-4739-A92C-94FC5460E703}" name="KSI_AGO" totalsRowFunction="custom" dataDxfId="1280" totalsRowDxfId="1279" dataCellStyle="Comma">
      <totalsRowFormula>SUM(Oct04_20222[KSI_AGO])</totalsRowFormula>
    </tableColumn>
    <tableColumn id="3" xr3:uid="{7EC7DEA2-7E75-45C0-9BDE-39C13F944B5D}" name="KSI_PMS" totalsRowFunction="sum" dataDxfId="1278" totalsRowDxfId="1277" dataCellStyle="Comma"/>
    <tableColumn id="4" xr3:uid="{CBFC3B69-C0F2-4F88-8AE5-B3D6CD366F78}" name="BUIPE_AGO" totalsRowFunction="custom" dataDxfId="1276" totalsRowDxfId="1275" dataCellStyle="Comma">
      <totalsRowFormula>SUM(Oct04_20222[BUIPE_AGO])</totalsRowFormula>
    </tableColumn>
    <tableColumn id="5" xr3:uid="{91B6A6CF-96BB-4CFC-9616-7528732CAB87}" name="BUIPE_PMS" totalsRowFunction="custom" dataDxfId="1274" totalsRowDxfId="1273" dataCellStyle="Comma">
      <totalsRowFormula>SUM(Oct04_20222[BUIPE_PMS])</totalsRowFormula>
    </tableColumn>
    <tableColumn id="6" xr3:uid="{A417B96C-2549-4956-8185-5E5D366965DD}" name="AKOSOMBO_AGO" totalsRowFunction="custom" dataDxfId="1272" totalsRowDxfId="1271" dataCellStyle="Comma">
      <totalsRowFormula>SUM(Oct04_20222[AKOSOMBO_AGO])</totalsRowFormula>
    </tableColumn>
    <tableColumn id="7" xr3:uid="{B838B2A8-3445-4852-9B68-28F2CD9279F5}" name="DATE" dataDxfId="1270" totalsRowDxfId="1269">
      <calculatedColumnFormula>$G$3</calculatedColumnFormula>
    </tableColumn>
  </tableColumns>
  <tableStyleInfo showFirstColumn="0" showLastColumn="0" showRowStripes="1" showColumnStripes="0"/>
</table>
</file>

<file path=xl/tables/table6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7" xr:uid="{0225B87E-9186-4E90-B297-71BB20F70273}" name="Oct05_2022" displayName="Oct05_2022" ref="B5:H24" totalsRowCount="1" headerRowDxfId="1268" headerRowBorderDxfId="1267" tableBorderDxfId="1266" totalsRowBorderDxfId="1265">
  <autoFilter ref="B5:H23" xr:uid="{44AA011A-2ACC-4886-A69B-550EF3190476}"/>
  <sortState xmlns:xlrd2="http://schemas.microsoft.com/office/spreadsheetml/2017/richdata2" ref="B6:H23">
    <sortCondition ref="B6:B23"/>
  </sortState>
  <tableColumns count="7">
    <tableColumn id="1" xr3:uid="{61926454-C92B-425C-A742-BBA4AA2C81B7}" name="BDC LIST" totalsRowLabel="Total" dataDxfId="1264" totalsRowDxfId="1263"/>
    <tableColumn id="2" xr3:uid="{CA41F273-1AAC-418C-9A59-9ED9F7013919}" name="KSI_AGO" totalsRowFunction="custom" dataDxfId="1262" totalsRowDxfId="1261" dataCellStyle="Comma">
      <totalsRowFormula>SUM(Oct05_2022[KSI_AGO])</totalsRowFormula>
    </tableColumn>
    <tableColumn id="3" xr3:uid="{1F6B2FE4-BBB2-4B73-BC50-31D9C071CC0C}" name="KSI_PMS" totalsRowFunction="sum" dataDxfId="1260" totalsRowDxfId="1259" dataCellStyle="Comma"/>
    <tableColumn id="4" xr3:uid="{122F9AEC-51CD-4410-83B4-7EB24013E8AA}" name="BUIPE_AGO" totalsRowFunction="custom" dataDxfId="1258" totalsRowDxfId="1257" dataCellStyle="Comma">
      <totalsRowFormula>SUM(Oct05_2022[BUIPE_AGO])</totalsRowFormula>
    </tableColumn>
    <tableColumn id="5" xr3:uid="{D925B86E-9416-4744-99F4-8EF3D252B5FD}" name="BUIPE_PMS" totalsRowFunction="custom" dataDxfId="1256" totalsRowDxfId="1255" dataCellStyle="Comma">
      <totalsRowFormula>SUM(Oct05_2022[BUIPE_PMS])</totalsRowFormula>
    </tableColumn>
    <tableColumn id="6" xr3:uid="{9CF61728-677D-4209-A3EA-D2B6A268BAD2}" name="AKOSOMBO_AGO" totalsRowFunction="custom" dataDxfId="1254" totalsRowDxfId="1253" dataCellStyle="Comma">
      <totalsRowFormula>SUM(Oct05_2022[AKOSOMBO_AGO])</totalsRowFormula>
    </tableColumn>
    <tableColumn id="7" xr3:uid="{A5382382-A14C-4A38-92E8-98CB1DB4E503}" name="DATE" dataDxfId="1252" totalsRowDxfId="1251">
      <calculatedColumnFormula>$G$3</calculatedColumnFormula>
    </tableColumn>
  </tableColumns>
  <tableStyleInfo showFirstColumn="0" showLastColumn="0" showRowStripes="1" showColumnStripes="0"/>
</table>
</file>

<file path=xl/tables/table6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8" xr:uid="{7FF4AF7A-1949-4D12-BD4C-DC5FD8BB9A71}" name="Oct06_2022" displayName="Oct06_2022" ref="B5:H24" totalsRowCount="1" headerRowDxfId="1250" headerRowBorderDxfId="1249" tableBorderDxfId="1248" totalsRowBorderDxfId="1247">
  <autoFilter ref="B5:H23" xr:uid="{44AA011A-2ACC-4886-A69B-550EF3190476}"/>
  <sortState xmlns:xlrd2="http://schemas.microsoft.com/office/spreadsheetml/2017/richdata2" ref="B6:H23">
    <sortCondition ref="B6:B23"/>
  </sortState>
  <tableColumns count="7">
    <tableColumn id="1" xr3:uid="{2D7ADCB9-2380-4008-A1C2-3AAEA32E8646}" name="BDC LIST" totalsRowLabel="Total" dataDxfId="1246" totalsRowDxfId="1245"/>
    <tableColumn id="2" xr3:uid="{FA26C937-D4C6-4512-81A1-61ACF5EF6229}" name="KSI_AGO" totalsRowFunction="custom" dataDxfId="1244" totalsRowDxfId="1243" dataCellStyle="Comma">
      <totalsRowFormula>SUM(Oct06_2022[KSI_AGO])</totalsRowFormula>
    </tableColumn>
    <tableColumn id="3" xr3:uid="{38E8C3B9-362F-4CD4-BA48-5096DCD8BE48}" name="KSI_PMS" totalsRowFunction="sum" dataDxfId="1242" totalsRowDxfId="1241" dataCellStyle="Comma"/>
    <tableColumn id="4" xr3:uid="{D2E3C00B-D35F-45E3-8F8C-88051B0FCC2E}" name="BUIPE_AGO" totalsRowFunction="custom" dataDxfId="1240" totalsRowDxfId="1239" dataCellStyle="Comma">
      <totalsRowFormula>SUM(Oct06_2022[BUIPE_AGO])</totalsRowFormula>
    </tableColumn>
    <tableColumn id="5" xr3:uid="{44CF18B9-A14C-4AD1-972C-12B9828C6C8D}" name="BUIPE_PMS" totalsRowFunction="custom" dataDxfId="1238" totalsRowDxfId="1237" dataCellStyle="Comma">
      <totalsRowFormula>SUM(Oct06_2022[BUIPE_PMS])</totalsRowFormula>
    </tableColumn>
    <tableColumn id="6" xr3:uid="{58BB3A75-930C-46B3-B2B4-AE3DB41D785B}" name="AKOSOMBO_AGO" totalsRowFunction="custom" dataDxfId="1236" totalsRowDxfId="1235" dataCellStyle="Comma">
      <totalsRowFormula>SUM(Oct06_2022[AKOSOMBO_AGO])</totalsRowFormula>
    </tableColumn>
    <tableColumn id="7" xr3:uid="{5E37C5C7-D023-4B5B-B105-ED7495730C4E}" name="DATE" dataDxfId="1234" totalsRowDxfId="1233">
      <calculatedColumnFormula>$G$3</calculatedColumnFormula>
    </tableColumn>
  </tableColumns>
  <tableStyleInfo showFirstColumn="0" showLastColumn="0" showRowStripes="1" showColumnStripes="0"/>
</table>
</file>

<file path=xl/tables/table6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9" xr:uid="{00DF2CF8-A448-4510-BD6E-68C90477677B}" name="Oct07_2022" displayName="Oct07_2022" ref="B5:H24" totalsRowCount="1" headerRowDxfId="1232" headerRowBorderDxfId="1231" tableBorderDxfId="1230" totalsRowBorderDxfId="1229">
  <autoFilter ref="B5:H23" xr:uid="{44AA011A-2ACC-4886-A69B-550EF3190476}"/>
  <sortState xmlns:xlrd2="http://schemas.microsoft.com/office/spreadsheetml/2017/richdata2" ref="B6:H23">
    <sortCondition ref="B6:B23"/>
  </sortState>
  <tableColumns count="7">
    <tableColumn id="1" xr3:uid="{B89BAFBC-A80B-4E12-B54B-1AB2EA35BF7B}" name="BDC LIST" totalsRowLabel="Total" dataDxfId="1228" totalsRowDxfId="1227"/>
    <tableColumn id="2" xr3:uid="{BCF400B0-315B-4B86-94A7-FD513C0BA9C4}" name="KSI_AGO" totalsRowFunction="custom" dataDxfId="1226" totalsRowDxfId="1225" dataCellStyle="Comma">
      <totalsRowFormula>SUM(Oct07_2022[KSI_AGO])</totalsRowFormula>
    </tableColumn>
    <tableColumn id="3" xr3:uid="{4D3BC338-15D5-4133-B3FC-5EF7304F8221}" name="KSI_PMS" totalsRowFunction="sum" dataDxfId="1224" totalsRowDxfId="1223" dataCellStyle="Comma"/>
    <tableColumn id="4" xr3:uid="{556F1925-0CCB-46AE-9917-C4244CDF05FB}" name="BUIPE_AGO" totalsRowFunction="custom" dataDxfId="1222" totalsRowDxfId="1221" dataCellStyle="Comma">
      <totalsRowFormula>SUM(Oct07_2022[BUIPE_AGO])</totalsRowFormula>
    </tableColumn>
    <tableColumn id="5" xr3:uid="{558322A8-186D-428C-B2C2-6E544C2C3E49}" name="BUIPE_PMS" totalsRowFunction="custom" dataDxfId="1220" totalsRowDxfId="1219" dataCellStyle="Comma">
      <totalsRowFormula>SUM(Oct07_2022[BUIPE_PMS])</totalsRowFormula>
    </tableColumn>
    <tableColumn id="6" xr3:uid="{9CEF8BC3-4907-44E9-A608-1159713C704A}" name="AKOSOMBO_AGO" totalsRowFunction="custom" dataDxfId="1218" totalsRowDxfId="1217" dataCellStyle="Comma">
      <totalsRowFormula>SUM(Oct07_2022[AKOSOMBO_AGO])</totalsRowFormula>
    </tableColumn>
    <tableColumn id="7" xr3:uid="{9334E471-0954-4AA1-BD13-989779769F03}" name="DATE" dataDxfId="1216" totalsRowDxfId="1215">
      <calculatedColumnFormula>$G$3</calculatedColumnFormula>
    </tableColumn>
  </tableColumns>
  <tableStyleInfo showFirstColumn="0" showLastColumn="0" showRowStripes="1" showColumnStripes="0"/>
</table>
</file>

<file path=xl/tables/table6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0" xr:uid="{D3AB960D-4EB6-4C2E-B3F9-52E3F3CC6093}" name="Oct10_2022" displayName="Oct10_2022" ref="B5:H24" totalsRowCount="1" headerRowDxfId="1214" headerRowBorderDxfId="1213" tableBorderDxfId="1212" totalsRowBorderDxfId="1211">
  <autoFilter ref="B5:H23" xr:uid="{44AA011A-2ACC-4886-A69B-550EF3190476}"/>
  <sortState xmlns:xlrd2="http://schemas.microsoft.com/office/spreadsheetml/2017/richdata2" ref="B6:H23">
    <sortCondition ref="B6:B23"/>
  </sortState>
  <tableColumns count="7">
    <tableColumn id="1" xr3:uid="{BB3ABB3F-55E0-4A93-A1A9-5F9AE39FECA2}" name="BDC LIST" totalsRowLabel="Total" dataDxfId="1210" totalsRowDxfId="1209"/>
    <tableColumn id="2" xr3:uid="{5B866AB1-DDA5-4C40-BC28-C49F86C2593C}" name="KSI_AGO" totalsRowFunction="custom" dataDxfId="1208" totalsRowDxfId="1207" dataCellStyle="Comma">
      <totalsRowFormula>SUM(Oct10_2022[KSI_AGO])</totalsRowFormula>
    </tableColumn>
    <tableColumn id="3" xr3:uid="{7BCDBE73-A142-4693-A999-1AC4E7B9CC8A}" name="KSI_PMS" totalsRowFunction="sum" dataDxfId="1206" totalsRowDxfId="1205" dataCellStyle="Comma"/>
    <tableColumn id="4" xr3:uid="{EE46C890-DA9C-4683-A122-ABE03711CB2E}" name="BUIPE_AGO" totalsRowFunction="custom" dataDxfId="1204" totalsRowDxfId="1203" dataCellStyle="Comma">
      <totalsRowFormula>SUM(Oct10_2022[BUIPE_AGO])</totalsRowFormula>
    </tableColumn>
    <tableColumn id="5" xr3:uid="{566DB7EA-E5A9-461D-88DB-FBBD950E5FD3}" name="BUIPE_PMS" totalsRowFunction="custom" dataDxfId="1202" totalsRowDxfId="1201" dataCellStyle="Comma">
      <totalsRowFormula>SUM(Oct10_2022[BUIPE_PMS])</totalsRowFormula>
    </tableColumn>
    <tableColumn id="6" xr3:uid="{78ED0647-8F95-427B-9E53-DE86CA6EC0CB}" name="AKOSOMBO_AGO" totalsRowFunction="custom" dataDxfId="1200" totalsRowDxfId="1199" dataCellStyle="Comma">
      <totalsRowFormula>SUM(Oct10_2022[AKOSOMBO_AGO])</totalsRowFormula>
    </tableColumn>
    <tableColumn id="7" xr3:uid="{C0C08C0F-343F-4568-9CC4-15F19EC7D581}" name="DATE" dataDxfId="1198" totalsRowDxfId="1197">
      <calculatedColumnFormula>$G$3</calculatedColumnFormula>
    </tableColumn>
  </tableColumns>
  <tableStyleInfo showFirstColumn="0" showLastColumn="0" showRowStripes="1" showColumnStripes="0"/>
</table>
</file>

<file path=xl/tables/table6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1" xr:uid="{CFC68D0B-60E6-4243-868E-DA2346E30FE0}" name="Oct11_2022" displayName="Oct11_2022" ref="B5:H24" totalsRowCount="1" headerRowDxfId="1196" headerRowBorderDxfId="1195" tableBorderDxfId="1194" totalsRowBorderDxfId="1193">
  <autoFilter ref="B5:H23" xr:uid="{44AA011A-2ACC-4886-A69B-550EF3190476}"/>
  <sortState xmlns:xlrd2="http://schemas.microsoft.com/office/spreadsheetml/2017/richdata2" ref="B6:H23">
    <sortCondition ref="B6:B23"/>
  </sortState>
  <tableColumns count="7">
    <tableColumn id="1" xr3:uid="{B17574A2-8B9C-407D-8C91-04F608381CC5}" name="BDC LIST" totalsRowLabel="Total" dataDxfId="1192" totalsRowDxfId="1191"/>
    <tableColumn id="2" xr3:uid="{0DC667EA-9E7A-45D1-A6A4-7AFB30E4559D}" name="KSI_AGO" totalsRowFunction="custom" dataDxfId="1190" totalsRowDxfId="1189" dataCellStyle="Comma">
      <totalsRowFormula>SUM(Oct11_2022[KSI_AGO])</totalsRowFormula>
    </tableColumn>
    <tableColumn id="3" xr3:uid="{A2C52F19-3252-4B1F-B085-8834F0031AA9}" name="KSI_PMS" totalsRowFunction="sum" dataDxfId="1188" totalsRowDxfId="1187" dataCellStyle="Comma"/>
    <tableColumn id="4" xr3:uid="{E342F821-5504-41D9-B4DC-5CC15C140AEE}" name="BUIPE_AGO" totalsRowFunction="custom" dataDxfId="1186" totalsRowDxfId="1185" dataCellStyle="Comma">
      <totalsRowFormula>SUM(Oct11_2022[BUIPE_AGO])</totalsRowFormula>
    </tableColumn>
    <tableColumn id="5" xr3:uid="{84CB512F-7DC6-4B7E-B6E2-BF06DDC635AF}" name="BUIPE_PMS" totalsRowFunction="custom" dataDxfId="1184" totalsRowDxfId="1183" dataCellStyle="Comma">
      <totalsRowFormula>SUM(Oct11_2022[BUIPE_PMS])</totalsRowFormula>
    </tableColumn>
    <tableColumn id="6" xr3:uid="{FFA5229C-4C2B-4EE1-AEC1-4E9D1BC960E9}" name="AKOSOMBO_AGO" totalsRowFunction="custom" dataDxfId="1182" totalsRowDxfId="1181" dataCellStyle="Comma">
      <totalsRowFormula>SUM(Oct11_2022[AKOSOMBO_AGO])</totalsRowFormula>
    </tableColumn>
    <tableColumn id="7" xr3:uid="{BE1D14CB-89CC-4408-AB1E-DE730B95D58B}" name="DATE" dataDxfId="1180" totalsRowDxfId="1179">
      <calculatedColumnFormula>$G$3</calculatedColumnFormula>
    </tableColumn>
  </tableColumns>
  <tableStyleInfo showFirstColumn="0" showLastColumn="0" showRowStripes="1" showColumnStripes="0"/>
</table>
</file>

<file path=xl/tables/table6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2" xr:uid="{9F41A126-7E9E-4445-B98F-239804060333}" name="Oct12_2022" displayName="Oct12_2022" ref="B5:H24" totalsRowCount="1" headerRowDxfId="1178" headerRowBorderDxfId="1177" tableBorderDxfId="1176" totalsRowBorderDxfId="1175">
  <autoFilter ref="B5:H23" xr:uid="{44AA011A-2ACC-4886-A69B-550EF3190476}"/>
  <sortState xmlns:xlrd2="http://schemas.microsoft.com/office/spreadsheetml/2017/richdata2" ref="B6:H23">
    <sortCondition ref="B6:B23"/>
  </sortState>
  <tableColumns count="7">
    <tableColumn id="1" xr3:uid="{4ECAA90E-7808-4432-9C92-591119B707F5}" name="BDC LIST" totalsRowLabel="Total" dataDxfId="1174" totalsRowDxfId="1173"/>
    <tableColumn id="2" xr3:uid="{4F669574-4F50-4D04-9F36-EC3E23995FDE}" name="KSI_AGO" totalsRowFunction="custom" dataDxfId="1172" totalsRowDxfId="1171" dataCellStyle="Comma">
      <totalsRowFormula>SUM(Oct12_2022[KSI_AGO])</totalsRowFormula>
    </tableColumn>
    <tableColumn id="3" xr3:uid="{2165EF13-AA27-4958-A5EC-75FEBB3F002B}" name="KSI_PMS" totalsRowFunction="sum" dataDxfId="1170" totalsRowDxfId="1169" dataCellStyle="Comma"/>
    <tableColumn id="4" xr3:uid="{EE1E594D-541C-4306-BEB1-17EF04A2AD8E}" name="BUIPE_AGO" totalsRowFunction="custom" dataDxfId="1168" totalsRowDxfId="1167" dataCellStyle="Comma">
      <totalsRowFormula>SUM(Oct12_2022[BUIPE_AGO])</totalsRowFormula>
    </tableColumn>
    <tableColumn id="5" xr3:uid="{61E81DB7-E67D-4B3E-93CA-472819369169}" name="BUIPE_PMS" totalsRowFunction="custom" dataDxfId="1166" totalsRowDxfId="1165" dataCellStyle="Comma">
      <totalsRowFormula>SUM(Oct12_2022[BUIPE_PMS])</totalsRowFormula>
    </tableColumn>
    <tableColumn id="6" xr3:uid="{EF6E899C-AC27-4FC6-80F5-B8AF50CDED1E}" name="AKOSOMBO_AGO" totalsRowFunction="custom" dataDxfId="1164" totalsRowDxfId="1163" dataCellStyle="Comma">
      <totalsRowFormula>SUM(Oct12_2022[AKOSOMBO_AGO])</totalsRowFormula>
    </tableColumn>
    <tableColumn id="7" xr3:uid="{CDDB8F5B-AFF9-43FE-B6E4-60BCA9D41976}" name="DATE" dataDxfId="1162" totalsRowDxfId="1161">
      <calculatedColumnFormula>$G$3</calculatedColumnFormula>
    </tableColumn>
  </tableColumns>
  <tableStyleInfo showFirstColumn="0" showLastColumn="0" showRowStripes="1" showColumnStripes="0"/>
</table>
</file>

<file path=xl/tables/table6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3" xr:uid="{C217922F-CBF6-43BE-BCD1-EFCEC341E746}" name="Oct13_2022" displayName="Oct13_2022" ref="B5:H24" totalsRowCount="1" headerRowDxfId="1160" headerRowBorderDxfId="1159" tableBorderDxfId="1158" totalsRowBorderDxfId="1157">
  <autoFilter ref="B5:H23" xr:uid="{44AA011A-2ACC-4886-A69B-550EF3190476}"/>
  <sortState xmlns:xlrd2="http://schemas.microsoft.com/office/spreadsheetml/2017/richdata2" ref="B6:H23">
    <sortCondition ref="B6:B23"/>
  </sortState>
  <tableColumns count="7">
    <tableColumn id="1" xr3:uid="{2044AEDD-661B-4D9F-A6E0-94AE17277E41}" name="BDC LIST" totalsRowLabel="Total" dataDxfId="1156" totalsRowDxfId="1155"/>
    <tableColumn id="2" xr3:uid="{5D3E943E-FD97-4EA9-821A-CB5C6CC9131F}" name="KSI_AGO" totalsRowFunction="custom" dataDxfId="1154" totalsRowDxfId="1153" dataCellStyle="Comma">
      <totalsRowFormula>SUM(Oct13_2022[KSI_AGO])</totalsRowFormula>
    </tableColumn>
    <tableColumn id="3" xr3:uid="{BEE87257-0671-4070-9EEC-5A466FB7FF76}" name="KSI_PMS" totalsRowFunction="sum" dataDxfId="1152" totalsRowDxfId="1151" dataCellStyle="Comma"/>
    <tableColumn id="4" xr3:uid="{58CE686D-1D8D-4616-BFD1-9DDD3D0C0BEE}" name="BUIPE_AGO" totalsRowFunction="custom" dataDxfId="1150" totalsRowDxfId="1149" dataCellStyle="Comma">
      <totalsRowFormula>SUM(Oct13_2022[BUIPE_AGO])</totalsRowFormula>
    </tableColumn>
    <tableColumn id="5" xr3:uid="{F72FF01C-7039-462E-AE68-82B6B348D71C}" name="BUIPE_PMS" totalsRowFunction="custom" dataDxfId="1148" totalsRowDxfId="1147" dataCellStyle="Comma">
      <totalsRowFormula>SUM(Oct13_2022[BUIPE_PMS])</totalsRowFormula>
    </tableColumn>
    <tableColumn id="6" xr3:uid="{96F49498-A1D1-4532-9821-59DF03D1F3AE}" name="AKOSOMBO_AGO" totalsRowFunction="custom" dataDxfId="1146" totalsRowDxfId="1145" dataCellStyle="Comma">
      <totalsRowFormula>SUM(Oct13_2022[AKOSOMBO_AGO])</totalsRowFormula>
    </tableColumn>
    <tableColumn id="7" xr3:uid="{06A1E62C-FA2D-40F8-A5B3-C6CB6E6D0540}" name="DATE" dataDxfId="1144" totalsRowDxfId="1143">
      <calculatedColumnFormula>$G$3</calculatedColumnFormula>
    </tableColumn>
  </tableColumns>
  <tableStyleInfo showFirstColumn="0" showLastColumn="0" showRowStripes="1" showColumnStripes="0"/>
</table>
</file>

<file path=xl/tables/table6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4" xr:uid="{BDD65755-18D0-49C1-8491-951C9736E0E9}" name="Oct14_2022" displayName="Oct14_2022" ref="B5:H24" totalsRowCount="1" headerRowDxfId="1142" headerRowBorderDxfId="1141" tableBorderDxfId="1140" totalsRowBorderDxfId="1139">
  <autoFilter ref="B5:H23" xr:uid="{44AA011A-2ACC-4886-A69B-550EF3190476}"/>
  <sortState xmlns:xlrd2="http://schemas.microsoft.com/office/spreadsheetml/2017/richdata2" ref="B6:H23">
    <sortCondition ref="B6:B23"/>
  </sortState>
  <tableColumns count="7">
    <tableColumn id="1" xr3:uid="{2902BA19-81CC-4832-A418-32702E19BFEB}" name="BDC LIST" totalsRowLabel="Total" dataDxfId="1138" totalsRowDxfId="1137"/>
    <tableColumn id="2" xr3:uid="{A14BB5C3-3B65-4BF4-BCE5-433F99BD0868}" name="KSI_AGO" totalsRowFunction="custom" dataDxfId="1136" totalsRowDxfId="1135" dataCellStyle="Comma">
      <totalsRowFormula>SUM(Oct14_2022[KSI_AGO])</totalsRowFormula>
    </tableColumn>
    <tableColumn id="3" xr3:uid="{89D89AA6-E05C-4BFD-85D1-8C5D80BC642D}" name="KSI_PMS" totalsRowFunction="sum" dataDxfId="1134" totalsRowDxfId="1133" dataCellStyle="Comma"/>
    <tableColumn id="4" xr3:uid="{2AA414A1-D0D2-46C5-AA1D-CC927ADD3838}" name="BUIPE_AGO" totalsRowFunction="custom" dataDxfId="1132" totalsRowDxfId="1131" dataCellStyle="Comma">
      <totalsRowFormula>SUM(Oct14_2022[BUIPE_AGO])</totalsRowFormula>
    </tableColumn>
    <tableColumn id="5" xr3:uid="{472EA499-D9B1-4110-9F98-C10ABFEE56D0}" name="BUIPE_PMS" totalsRowFunction="custom" dataDxfId="1130" totalsRowDxfId="1129" dataCellStyle="Comma">
      <totalsRowFormula>SUM(Oct14_2022[BUIPE_PMS])</totalsRowFormula>
    </tableColumn>
    <tableColumn id="6" xr3:uid="{D4032227-1D70-462C-A030-47D08E38C50D}" name="AKOSOMBO_AGO" totalsRowFunction="custom" dataDxfId="1128" totalsRowDxfId="1127" dataCellStyle="Comma">
      <totalsRowFormula>SUM(Oct14_2022[AKOSOMBO_AGO])</totalsRowFormula>
    </tableColumn>
    <tableColumn id="7" xr3:uid="{6303774C-E5FE-4A98-BCE7-FC482EA8CE6E}" name="DATE" dataDxfId="1126" totalsRowDxfId="1125">
      <calculatedColumnFormula>$G$3</calculatedColumnFormula>
    </tableColumn>
  </tableColumns>
  <tableStyleInfo showFirstColumn="0" showLastColumn="0" showRowStripes="1" showColumnStripes="0"/>
</table>
</file>

<file path=xl/tables/table6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5" xr:uid="{CCE7E136-2B12-4A71-9856-82E44B36613C}" name="Oct17_2022" displayName="Oct17_2022" ref="B5:H24" totalsRowCount="1" headerRowDxfId="1124" headerRowBorderDxfId="1123" tableBorderDxfId="1122" totalsRowBorderDxfId="1121">
  <autoFilter ref="B5:H23" xr:uid="{44AA011A-2ACC-4886-A69B-550EF3190476}"/>
  <sortState xmlns:xlrd2="http://schemas.microsoft.com/office/spreadsheetml/2017/richdata2" ref="B6:H23">
    <sortCondition ref="B6:B23"/>
  </sortState>
  <tableColumns count="7">
    <tableColumn id="1" xr3:uid="{C3C6C660-76F6-42BD-A389-89822EFAA1E1}" name="BDC LIST" totalsRowLabel="Total" dataDxfId="1120" totalsRowDxfId="1119"/>
    <tableColumn id="2" xr3:uid="{70A36C7C-7707-443B-8708-72651438B274}" name="KSI_AGO" totalsRowFunction="custom" dataDxfId="1118" totalsRowDxfId="1117" dataCellStyle="Comma">
      <totalsRowFormula>SUM(Oct17_2022[KSI_AGO])</totalsRowFormula>
    </tableColumn>
    <tableColumn id="3" xr3:uid="{F7EA7A85-3133-4615-9BA5-88052B23DC83}" name="KSI_PMS" totalsRowFunction="sum" dataDxfId="1116" totalsRowDxfId="1115" dataCellStyle="Comma"/>
    <tableColumn id="4" xr3:uid="{C23B0FB4-77B8-465D-BB89-F0378C557BAA}" name="BUIPE_AGO" totalsRowFunction="custom" dataDxfId="1114" totalsRowDxfId="1113" dataCellStyle="Comma">
      <totalsRowFormula>SUM(Oct17_2022[BUIPE_AGO])</totalsRowFormula>
    </tableColumn>
    <tableColumn id="5" xr3:uid="{EE978005-793D-4386-BD4B-D11CFF2CC1CB}" name="BUIPE_PMS" totalsRowFunction="custom" dataDxfId="1112" totalsRowDxfId="1111" dataCellStyle="Comma">
      <totalsRowFormula>SUM(Oct17_2022[BUIPE_PMS])</totalsRowFormula>
    </tableColumn>
    <tableColumn id="6" xr3:uid="{DA2CDC31-C21A-47D7-8C57-A620D26D3E77}" name="AKOSOMBO_AGO" totalsRowFunction="custom" dataDxfId="1110" totalsRowDxfId="1109" dataCellStyle="Comma">
      <totalsRowFormula>SUM(Oct17_2022[AKOSOMBO_AGO])</totalsRowFormula>
    </tableColumn>
    <tableColumn id="7" xr3:uid="{196F2492-5F59-40B8-B225-DF6467D4E13E}" name="DATE" dataDxfId="1108" totalsRowDxfId="1107">
      <calculatedColumnFormula>$G$3</calculatedColumnFormula>
    </tableColumn>
  </tableColumns>
  <tableStyleInfo showFirstColumn="0" showLastColumn="0" showRowStripes="1" showColumnStripes="0"/>
</table>
</file>

<file path=xl/tables/table6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6" xr:uid="{285F0600-BB84-4E25-BDE1-2908CD14078D}" name="Oct18_2022" displayName="Oct18_2022" ref="B5:H24" totalsRowCount="1" headerRowDxfId="1106" headerRowBorderDxfId="1105" tableBorderDxfId="1104" totalsRowBorderDxfId="1103">
  <autoFilter ref="B5:H23" xr:uid="{44AA011A-2ACC-4886-A69B-550EF3190476}"/>
  <sortState xmlns:xlrd2="http://schemas.microsoft.com/office/spreadsheetml/2017/richdata2" ref="B6:H23">
    <sortCondition ref="B6:B23"/>
  </sortState>
  <tableColumns count="7">
    <tableColumn id="1" xr3:uid="{FBB2DABC-A424-4FF9-AC57-75AC0C41DDC7}" name="BDC LIST" totalsRowLabel="Total" dataDxfId="1102" totalsRowDxfId="1101"/>
    <tableColumn id="2" xr3:uid="{233ADEB8-DFBA-4F54-9A3B-E287CEA387C1}" name="KSI_AGO" totalsRowFunction="custom" dataDxfId="1100" totalsRowDxfId="1099" dataCellStyle="Comma">
      <totalsRowFormula>SUM(Oct18_2022[KSI_AGO])</totalsRowFormula>
    </tableColumn>
    <tableColumn id="3" xr3:uid="{CA40F955-94E0-4B76-BA21-D7C1034F478F}" name="KSI_PMS" totalsRowFunction="sum" dataDxfId="1098" totalsRowDxfId="1097" dataCellStyle="Comma"/>
    <tableColumn id="4" xr3:uid="{3AC1EAA3-B394-4C72-B518-47F1212F272D}" name="BUIPE_AGO" totalsRowFunction="custom" dataDxfId="1096" totalsRowDxfId="1095" dataCellStyle="Comma">
      <totalsRowFormula>SUM(Oct18_2022[BUIPE_AGO])</totalsRowFormula>
    </tableColumn>
    <tableColumn id="5" xr3:uid="{BDA69E93-679D-4D8E-9DCD-65CE34FD1C97}" name="BUIPE_PMS" totalsRowFunction="custom" dataDxfId="1094" totalsRowDxfId="1093" dataCellStyle="Comma">
      <totalsRowFormula>SUM(Oct18_2022[BUIPE_PMS])</totalsRowFormula>
    </tableColumn>
    <tableColumn id="6" xr3:uid="{EE49ECF8-F0B6-476E-A676-8D95E6ABFC84}" name="AKOSOMBO_AGO" totalsRowFunction="custom" dataDxfId="1092" totalsRowDxfId="1091" dataCellStyle="Comma">
      <totalsRowFormula>SUM(Oct18_2022[AKOSOMBO_AGO])</totalsRowFormula>
    </tableColumn>
    <tableColumn id="7" xr3:uid="{8B761310-9C95-4F72-9AB0-198AE57E222E}" name="DATE" dataDxfId="1090" totalsRowDxfId="1089">
      <calculatedColumnFormula>$G$3</calculatedColumnFormula>
    </tableColumn>
  </tableColumns>
  <tableStyleInfo showFirstColumn="0" showLastColumn="0" showRowStripes="1" showColumnStripes="0"/>
</table>
</file>

<file path=xl/tables/table6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7" xr:uid="{1C6BE1C3-A33F-4DFD-951C-9066E5B3B3EB}" name="Oct19_2022" displayName="Oct19_2022" ref="B5:H24" totalsRowCount="1" headerRowDxfId="1088" headerRowBorderDxfId="1087" tableBorderDxfId="1086" totalsRowBorderDxfId="1085">
  <autoFilter ref="B5:H23" xr:uid="{44AA011A-2ACC-4886-A69B-550EF3190476}"/>
  <sortState xmlns:xlrd2="http://schemas.microsoft.com/office/spreadsheetml/2017/richdata2" ref="B6:H23">
    <sortCondition ref="B6:B23"/>
  </sortState>
  <tableColumns count="7">
    <tableColumn id="1" xr3:uid="{59CAB3FA-67DB-4A81-B959-D1AB91E07987}" name="BDC LIST" totalsRowLabel="Total" dataDxfId="1084" totalsRowDxfId="1083"/>
    <tableColumn id="2" xr3:uid="{E5B82C4E-6C0B-444E-913B-F8BB4CB6AB44}" name="KSI_AGO" totalsRowFunction="custom" dataDxfId="1082" totalsRowDxfId="1081" dataCellStyle="Comma">
      <totalsRowFormula>SUM(Oct19_2022[KSI_AGO])</totalsRowFormula>
    </tableColumn>
    <tableColumn id="3" xr3:uid="{AE731623-340D-44E2-B0A5-5EF352089E1F}" name="KSI_PMS" totalsRowFunction="sum" dataDxfId="1080" totalsRowDxfId="1079" dataCellStyle="Comma"/>
    <tableColumn id="4" xr3:uid="{A14E69A3-2435-4E91-909F-02CDA0137880}" name="BUIPE_AGO" totalsRowFunction="custom" dataDxfId="1078" totalsRowDxfId="1077" dataCellStyle="Comma">
      <totalsRowFormula>SUM(Oct19_2022[BUIPE_AGO])</totalsRowFormula>
    </tableColumn>
    <tableColumn id="5" xr3:uid="{15FC2681-E903-48D4-A7B2-A03ECC75A1E2}" name="BUIPE_PMS" totalsRowFunction="custom" dataDxfId="1076" totalsRowDxfId="1075" dataCellStyle="Comma">
      <totalsRowFormula>SUM(Oct19_2022[BUIPE_PMS])</totalsRowFormula>
    </tableColumn>
    <tableColumn id="6" xr3:uid="{A628FC5F-5E6E-4213-ABFD-E2F83CB44D3E}" name="AKOSOMBO_AGO" totalsRowFunction="custom" dataDxfId="1074" totalsRowDxfId="1073" dataCellStyle="Comma">
      <totalsRowFormula>SUM(Oct19_2022[AKOSOMBO_AGO])</totalsRowFormula>
    </tableColumn>
    <tableColumn id="7" xr3:uid="{FF39BF1A-CAE8-4807-AE60-ECC11F17AAC3}" name="DATE" dataDxfId="1072" totalsRowDxfId="1071">
      <calculatedColumnFormula>$G$3</calculatedColumnFormula>
    </tableColumn>
  </tableColumns>
  <tableStyleInfo showFirstColumn="0" showLastColumn="0" showRowStripes="1" showColumnStripes="0"/>
</table>
</file>

<file path=xl/tables/table6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8" xr:uid="{F5D6ECD3-6159-4CD0-948C-6866297B4E8D}" name="Oct20_2022" displayName="Oct20_2022" ref="B5:H24" totalsRowCount="1" headerRowDxfId="1070" headerRowBorderDxfId="1069" tableBorderDxfId="1068" totalsRowBorderDxfId="1067">
  <autoFilter ref="B5:H23" xr:uid="{44AA011A-2ACC-4886-A69B-550EF3190476}"/>
  <sortState xmlns:xlrd2="http://schemas.microsoft.com/office/spreadsheetml/2017/richdata2" ref="B6:H23">
    <sortCondition ref="B6:B23"/>
  </sortState>
  <tableColumns count="7">
    <tableColumn id="1" xr3:uid="{B6A89A68-4612-4134-A605-BD8DB3C52236}" name="BDC LIST" totalsRowLabel="Total" dataDxfId="1066" totalsRowDxfId="1065"/>
    <tableColumn id="2" xr3:uid="{3EDEC6FA-F1DC-4D17-8F40-6DC55D9450AD}" name="KSI_AGO" totalsRowFunction="custom" dataDxfId="1064" totalsRowDxfId="1063" dataCellStyle="Comma">
      <totalsRowFormula>SUM(Oct20_2022[KSI_AGO])</totalsRowFormula>
    </tableColumn>
    <tableColumn id="3" xr3:uid="{A1925215-9764-42FC-8959-008775F0BE67}" name="KSI_PMS" totalsRowFunction="sum" dataDxfId="1062" totalsRowDxfId="1061" dataCellStyle="Comma"/>
    <tableColumn id="4" xr3:uid="{E701D6F8-529F-49C2-8A38-D1E456DB1258}" name="BUIPE_AGO" totalsRowFunction="custom" dataDxfId="1060" totalsRowDxfId="1059" dataCellStyle="Comma">
      <totalsRowFormula>SUM(Oct20_2022[BUIPE_AGO])</totalsRowFormula>
    </tableColumn>
    <tableColumn id="5" xr3:uid="{13CBECF3-0134-4211-A368-365E2058BDC0}" name="BUIPE_PMS" totalsRowFunction="custom" dataDxfId="1058" totalsRowDxfId="1057" dataCellStyle="Comma">
      <totalsRowFormula>SUM(Oct20_2022[BUIPE_PMS])</totalsRowFormula>
    </tableColumn>
    <tableColumn id="6" xr3:uid="{0458D600-4AA6-4E43-A7F6-AA268E969279}" name="AKOSOMBO_AGO" totalsRowFunction="custom" dataDxfId="1056" totalsRowDxfId="1055" dataCellStyle="Comma">
      <totalsRowFormula>SUM(Oct20_2022[AKOSOMBO_AGO])</totalsRowFormula>
    </tableColumn>
    <tableColumn id="7" xr3:uid="{30405861-BD5F-4D60-8C50-2445166DFF20}" name="DATE" dataDxfId="1054" totalsRowDxfId="1053">
      <calculatedColumnFormula>$G$3</calculatedColumnFormula>
    </tableColumn>
  </tableColumns>
  <tableStyleInfo showFirstColumn="0" showLastColumn="0" showRowStripes="1" showColumnStripes="0"/>
</table>
</file>

<file path=xl/tables/table6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9" xr:uid="{F2A2668F-15DC-49B3-99CB-A9A37DFEF0AD}" name="Oct21_2022" displayName="Oct21_2022" ref="B5:H24" totalsRowCount="1" headerRowDxfId="1052" headerRowBorderDxfId="1051" tableBorderDxfId="1050" totalsRowBorderDxfId="1049">
  <autoFilter ref="B5:H23" xr:uid="{44AA011A-2ACC-4886-A69B-550EF3190476}"/>
  <sortState xmlns:xlrd2="http://schemas.microsoft.com/office/spreadsheetml/2017/richdata2" ref="B6:H23">
    <sortCondition ref="B6:B23"/>
  </sortState>
  <tableColumns count="7">
    <tableColumn id="1" xr3:uid="{0536CB51-7F15-4349-BB21-A2608E0F32B7}" name="BDC LIST" totalsRowLabel="Total" dataDxfId="1048" totalsRowDxfId="1047"/>
    <tableColumn id="2" xr3:uid="{9460CAB1-3955-4868-B83B-838B2868674C}" name="KSI_AGO" totalsRowFunction="custom" dataDxfId="1046" totalsRowDxfId="1045" dataCellStyle="Comma">
      <totalsRowFormula>SUM(Oct21_2022[KSI_AGO])</totalsRowFormula>
    </tableColumn>
    <tableColumn id="3" xr3:uid="{E506B2C1-0AFF-4209-A706-CA741A641521}" name="KSI_PMS" totalsRowFunction="sum" dataDxfId="1044" totalsRowDxfId="1043" dataCellStyle="Comma"/>
    <tableColumn id="4" xr3:uid="{A52829A2-55B5-49AC-81C8-9234F84F8F68}" name="BUIPE_AGO" totalsRowFunction="custom" dataDxfId="1042" totalsRowDxfId="1041" dataCellStyle="Comma">
      <totalsRowFormula>SUM(Oct21_2022[BUIPE_AGO])</totalsRowFormula>
    </tableColumn>
    <tableColumn id="5" xr3:uid="{5863141E-B868-4371-80EE-EBB67F75B235}" name="BUIPE_PMS" totalsRowFunction="custom" dataDxfId="1040" totalsRowDxfId="1039" dataCellStyle="Comma">
      <totalsRowFormula>SUM(Oct21_2022[BUIPE_PMS])</totalsRowFormula>
    </tableColumn>
    <tableColumn id="6" xr3:uid="{A99B9729-08D3-4D90-BCA5-FA3A7398DBFE}" name="AKOSOMBO_AGO" totalsRowFunction="custom" dataDxfId="1038" totalsRowDxfId="1037" dataCellStyle="Comma">
      <totalsRowFormula>SUM(Oct21_2022[AKOSOMBO_AGO])</totalsRowFormula>
    </tableColumn>
    <tableColumn id="7" xr3:uid="{08F5BE3C-BF55-434B-95E4-FB2B7950BA5A}" name="DATE" dataDxfId="1036" totalsRowDxfId="1035">
      <calculatedColumnFormula>$G$3</calculatedColumnFormula>
    </tableColumn>
  </tableColumns>
  <tableStyleInfo showFirstColumn="0" showLastColumn="0" showRowStripes="1" showColumnStripes="0"/>
</table>
</file>

<file path=xl/tables/table6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0" xr:uid="{498ABF65-EFB8-43FC-A035-E4DF50A04F29}" name="Oct24_2022" displayName="Oct24_2022" ref="B5:H24" totalsRowCount="1" headerRowDxfId="1034" headerRowBorderDxfId="1033" tableBorderDxfId="1032" totalsRowBorderDxfId="1031">
  <autoFilter ref="B5:H23" xr:uid="{44AA011A-2ACC-4886-A69B-550EF3190476}"/>
  <sortState xmlns:xlrd2="http://schemas.microsoft.com/office/spreadsheetml/2017/richdata2" ref="B6:H23">
    <sortCondition ref="B6:B23"/>
  </sortState>
  <tableColumns count="7">
    <tableColumn id="1" xr3:uid="{CA5635A3-598B-4C8E-A7EB-60EC80517DFA}" name="BDC LIST" totalsRowLabel="Total" dataDxfId="1030" totalsRowDxfId="1029"/>
    <tableColumn id="2" xr3:uid="{29BAFAF4-009A-4872-ABDC-DC57AE8D97A0}" name="KSI_AGO" totalsRowFunction="custom" dataDxfId="1028" totalsRowDxfId="1027" dataCellStyle="Comma">
      <totalsRowFormula>SUM(Oct24_2022[KSI_AGO])</totalsRowFormula>
    </tableColumn>
    <tableColumn id="3" xr3:uid="{8B912E34-71FA-4FFF-A384-0C429E9148A4}" name="KSI_PMS" totalsRowFunction="sum" dataDxfId="1026" totalsRowDxfId="1025" dataCellStyle="Comma"/>
    <tableColumn id="4" xr3:uid="{07AE5FD3-775A-4EE0-AE39-C9E763B56A0F}" name="BUIPE_AGO" totalsRowFunction="custom" dataDxfId="1024" totalsRowDxfId="1023" dataCellStyle="Comma">
      <totalsRowFormula>SUM(Oct24_2022[BUIPE_AGO])</totalsRowFormula>
    </tableColumn>
    <tableColumn id="5" xr3:uid="{A5E3C38E-9F1E-40A8-8034-333D3D80B473}" name="BUIPE_PMS" totalsRowFunction="custom" dataDxfId="1022" totalsRowDxfId="1021" dataCellStyle="Comma">
      <totalsRowFormula>SUM(Oct24_2022[BUIPE_PMS])</totalsRowFormula>
    </tableColumn>
    <tableColumn id="6" xr3:uid="{255B3C69-DE20-4E27-A0F2-9B2AAFD1E2D3}" name="AKOSOMBO_AGO" totalsRowFunction="custom" dataDxfId="1020" totalsRowDxfId="1019" dataCellStyle="Comma">
      <totalsRowFormula>SUM(Oct24_2022[AKOSOMBO_AGO])</totalsRowFormula>
    </tableColumn>
    <tableColumn id="7" xr3:uid="{3DA8F329-6A67-4B78-9297-F9364856FAF3}" name="DATE" dataDxfId="1018" totalsRowDxfId="1017">
      <calculatedColumnFormula>$G$3</calculatedColumnFormula>
    </tableColumn>
  </tableColumns>
  <tableStyleInfo showFirstColumn="0" showLastColumn="0" showRowStripes="1" showColumnStripes="0"/>
</table>
</file>

<file path=xl/tables/table6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1" xr:uid="{6D193F72-DA4C-4AED-8803-4FA0F56A8A42}" name="Oct25_2022" displayName="Oct25_2022" ref="B5:H24" totalsRowCount="1" headerRowDxfId="1016" headerRowBorderDxfId="1015" tableBorderDxfId="1014" totalsRowBorderDxfId="1013">
  <autoFilter ref="B5:H23" xr:uid="{44AA011A-2ACC-4886-A69B-550EF3190476}"/>
  <sortState xmlns:xlrd2="http://schemas.microsoft.com/office/spreadsheetml/2017/richdata2" ref="B6:H23">
    <sortCondition ref="B6:B23"/>
  </sortState>
  <tableColumns count="7">
    <tableColumn id="1" xr3:uid="{46301127-307A-447E-97D6-F0EAAB246BF4}" name="BDC LIST" totalsRowLabel="Total" dataDxfId="1012" totalsRowDxfId="1011"/>
    <tableColumn id="2" xr3:uid="{2A8F34D0-6F09-4C63-91D4-EBCFC783821C}" name="KSI_AGO" totalsRowFunction="custom" dataDxfId="1010" totalsRowDxfId="1009" dataCellStyle="Comma">
      <totalsRowFormula>SUM(Oct25_2022[KSI_AGO])</totalsRowFormula>
    </tableColumn>
    <tableColumn id="3" xr3:uid="{F8FB8D2B-7CAD-4653-BF15-121BF601B974}" name="KSI_PMS" totalsRowFunction="sum" dataDxfId="1008" totalsRowDxfId="1007" dataCellStyle="Comma"/>
    <tableColumn id="4" xr3:uid="{88A8702C-7C4C-482C-8F07-9233D6987C7D}" name="BUIPE_AGO" totalsRowFunction="custom" dataDxfId="1006" totalsRowDxfId="1005" dataCellStyle="Comma">
      <totalsRowFormula>SUM(Oct25_2022[BUIPE_AGO])</totalsRowFormula>
    </tableColumn>
    <tableColumn id="5" xr3:uid="{CF146019-FC4C-45BA-8F2E-7E68E67BD211}" name="BUIPE_PMS" totalsRowFunction="custom" dataDxfId="1004" totalsRowDxfId="1003" dataCellStyle="Comma">
      <totalsRowFormula>SUM(Oct25_2022[BUIPE_PMS])</totalsRowFormula>
    </tableColumn>
    <tableColumn id="6" xr3:uid="{99ABBBF3-944D-468B-B481-6F68E4607FF8}" name="AKOSOMBO_AGO" totalsRowFunction="custom" dataDxfId="1002" totalsRowDxfId="1001" dataCellStyle="Comma">
      <totalsRowFormula>SUM(Oct25_2022[AKOSOMBO_AGO])</totalsRowFormula>
    </tableColumn>
    <tableColumn id="7" xr3:uid="{D5574651-8EAD-48D5-9F0A-F22117C344FE}" name="DATE" dataDxfId="1000" totalsRowDxfId="999">
      <calculatedColumnFormula>$G$3</calculatedColumnFormula>
    </tableColumn>
  </tableColumns>
  <tableStyleInfo showFirstColumn="0" showLastColumn="0" showRowStripes="1" showColumnStripes="0"/>
</table>
</file>

<file path=xl/tables/table7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2" xr:uid="{346C4288-1F6B-46BE-81A2-3174F8C16317}" name="Oct26_2022" displayName="Oct26_2022" ref="B5:H24" totalsRowCount="1" headerRowDxfId="998" headerRowBorderDxfId="997" tableBorderDxfId="996" totalsRowBorderDxfId="995">
  <autoFilter ref="B5:H23" xr:uid="{44AA011A-2ACC-4886-A69B-550EF3190476}"/>
  <sortState xmlns:xlrd2="http://schemas.microsoft.com/office/spreadsheetml/2017/richdata2" ref="B6:H23">
    <sortCondition ref="B6:B23"/>
  </sortState>
  <tableColumns count="7">
    <tableColumn id="1" xr3:uid="{270F415B-0A36-4532-B837-75AF480AA4F8}" name="BDC LIST" totalsRowLabel="Total" dataDxfId="994" totalsRowDxfId="993"/>
    <tableColumn id="2" xr3:uid="{F2BCC0E2-48C3-446C-8E66-D3B6605BB62E}" name="KSI_AGO" totalsRowFunction="custom" dataDxfId="992" totalsRowDxfId="991" dataCellStyle="Comma">
      <totalsRowFormula>SUM(Oct26_2022[KSI_AGO])</totalsRowFormula>
    </tableColumn>
    <tableColumn id="3" xr3:uid="{A9A0FDDC-F9F0-4799-B418-E45BB03EA9DE}" name="KSI_PMS" totalsRowFunction="sum" dataDxfId="990" totalsRowDxfId="989" dataCellStyle="Comma"/>
    <tableColumn id="4" xr3:uid="{3A712531-F14B-44EC-AC82-24893D496D91}" name="BUIPE_AGO" totalsRowFunction="custom" dataDxfId="988" totalsRowDxfId="987" dataCellStyle="Comma">
      <totalsRowFormula>SUM(Oct26_2022[BUIPE_AGO])</totalsRowFormula>
    </tableColumn>
    <tableColumn id="5" xr3:uid="{7098424E-D867-4869-9F18-6EAF86AADEEF}" name="BUIPE_PMS" totalsRowFunction="custom" dataDxfId="986" totalsRowDxfId="985" dataCellStyle="Comma">
      <totalsRowFormula>SUM(Oct26_2022[BUIPE_PMS])</totalsRowFormula>
    </tableColumn>
    <tableColumn id="6" xr3:uid="{A217EC2D-9B8B-4E0F-8D12-C4EAF8299374}" name="AKOSOMBO_AGO" totalsRowFunction="custom" dataDxfId="984" totalsRowDxfId="983" dataCellStyle="Comma">
      <totalsRowFormula>SUM(Oct26_2022[AKOSOMBO_AGO])</totalsRowFormula>
    </tableColumn>
    <tableColumn id="7" xr3:uid="{22A1A2D4-AB0D-4AA7-A929-AAECB7A507E5}" name="DATE" dataDxfId="982" totalsRowDxfId="981">
      <calculatedColumnFormula>$G$3</calculatedColumnFormula>
    </tableColumn>
  </tableColumns>
  <tableStyleInfo showFirstColumn="0" showLastColumn="0" showRowStripes="1" showColumnStripes="0"/>
</table>
</file>

<file path=xl/tables/table7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3" xr:uid="{875672A1-9708-4845-8DC3-F5CCB95083E6}" name="Oct28_2022" displayName="Oct28_2022" ref="B5:H24" totalsRowCount="1" headerRowDxfId="980" headerRowBorderDxfId="979" tableBorderDxfId="978" totalsRowBorderDxfId="977">
  <autoFilter ref="B5:H23" xr:uid="{44AA011A-2ACC-4886-A69B-550EF3190476}"/>
  <sortState xmlns:xlrd2="http://schemas.microsoft.com/office/spreadsheetml/2017/richdata2" ref="B6:H23">
    <sortCondition ref="B6:B23"/>
  </sortState>
  <tableColumns count="7">
    <tableColumn id="1" xr3:uid="{414C5CAB-5F45-4BBC-9B37-CFD2D624A475}" name="BDC LIST" totalsRowLabel="Total" dataDxfId="976" totalsRowDxfId="975"/>
    <tableColumn id="2" xr3:uid="{37216BDD-B589-4F59-BF4A-9376FB9897E6}" name="KSI_AGO" totalsRowFunction="custom" dataDxfId="974" totalsRowDxfId="973" dataCellStyle="Comma">
      <totalsRowFormula>SUM(Oct28_2022[KSI_AGO])</totalsRowFormula>
    </tableColumn>
    <tableColumn id="3" xr3:uid="{D7A56FFF-4384-498F-B7DA-F321D086E3DB}" name="KSI_PMS" totalsRowFunction="sum" dataDxfId="972" totalsRowDxfId="971" dataCellStyle="Comma"/>
    <tableColumn id="4" xr3:uid="{2CD37CE2-5DB6-44FA-B642-022665DB4D65}" name="BUIPE_AGO" totalsRowFunction="custom" dataDxfId="970" totalsRowDxfId="969" dataCellStyle="Comma">
      <totalsRowFormula>SUM(Oct28_2022[BUIPE_AGO])</totalsRowFormula>
    </tableColumn>
    <tableColumn id="5" xr3:uid="{32ED8E04-7988-4133-B255-A5EB9C4AC51B}" name="BUIPE_PMS" totalsRowFunction="custom" dataDxfId="968" totalsRowDxfId="967" dataCellStyle="Comma">
      <totalsRowFormula>SUM(Oct28_2022[BUIPE_PMS])</totalsRowFormula>
    </tableColumn>
    <tableColumn id="6" xr3:uid="{8A36D68F-9160-4997-82DD-D9CFDB5FFFB3}" name="AKOSOMBO_AGO" totalsRowFunction="custom" dataDxfId="966" totalsRowDxfId="965" dataCellStyle="Comma">
      <totalsRowFormula>SUM(Oct28_2022[AKOSOMBO_AGO])</totalsRowFormula>
    </tableColumn>
    <tableColumn id="7" xr3:uid="{ADBB9509-B709-4585-8196-8323A8659233}" name="DATE" dataDxfId="964" totalsRowDxfId="963">
      <calculatedColumnFormula>$G$3</calculatedColumnFormula>
    </tableColumn>
  </tableColumns>
  <tableStyleInfo showFirstColumn="0" showLastColumn="0" showRowStripes="1" showColumnStripes="0"/>
</table>
</file>

<file path=xl/tables/table7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4" xr:uid="{62026845-C79A-4908-9DD5-0EC4488E3343}" name="Oct31_2022" displayName="Oct31_2022" ref="B5:H24" totalsRowCount="1" headerRowDxfId="962" headerRowBorderDxfId="961" tableBorderDxfId="960" totalsRowBorderDxfId="959">
  <autoFilter ref="B5:H23" xr:uid="{44AA011A-2ACC-4886-A69B-550EF3190476}"/>
  <sortState xmlns:xlrd2="http://schemas.microsoft.com/office/spreadsheetml/2017/richdata2" ref="B6:H23">
    <sortCondition ref="B6:B23"/>
  </sortState>
  <tableColumns count="7">
    <tableColumn id="1" xr3:uid="{E48E47F4-F9A9-44D0-B05D-F415FAC4B375}" name="BDC LIST" totalsRowLabel="Total" dataDxfId="958" totalsRowDxfId="957"/>
    <tableColumn id="2" xr3:uid="{EEC88BD0-D231-4D33-A9F0-8BA6DB5E6A14}" name="KSI_AGO" totalsRowFunction="custom" dataDxfId="956" totalsRowDxfId="955" dataCellStyle="Comma">
      <totalsRowFormula>SUM(Oct31_2022[KSI_AGO])</totalsRowFormula>
    </tableColumn>
    <tableColumn id="3" xr3:uid="{61DB19DA-3BDE-4344-B67C-518DFF63C97B}" name="KSI_PMS" totalsRowFunction="sum" dataDxfId="954" totalsRowDxfId="953" dataCellStyle="Comma"/>
    <tableColumn id="4" xr3:uid="{A6DD1263-D5BA-49B3-8765-286A2B18E65A}" name="BUIPE_AGO" totalsRowFunction="custom" dataDxfId="952" totalsRowDxfId="951" dataCellStyle="Comma">
      <totalsRowFormula>SUM(Oct31_2022[BUIPE_AGO])</totalsRowFormula>
    </tableColumn>
    <tableColumn id="5" xr3:uid="{287C0D8D-7479-437B-ABC6-B154EBB83136}" name="BUIPE_PMS" totalsRowFunction="custom" dataDxfId="950" totalsRowDxfId="949" dataCellStyle="Comma">
      <totalsRowFormula>SUM(Oct31_2022[BUIPE_PMS])</totalsRowFormula>
    </tableColumn>
    <tableColumn id="6" xr3:uid="{18549C21-4F12-43EE-A052-721FE2502F8D}" name="AKOSOMBO_AGO" totalsRowFunction="custom" dataDxfId="948" totalsRowDxfId="947" dataCellStyle="Comma">
      <totalsRowFormula>SUM(Oct31_2022[AKOSOMBO_AGO])</totalsRowFormula>
    </tableColumn>
    <tableColumn id="7" xr3:uid="{DD1705FC-A8C9-4DEC-826C-FB8A55FBC1E4}" name="DATE" dataDxfId="946" totalsRowDxfId="945">
      <calculatedColumnFormula>$G$3</calculatedColumnFormula>
    </tableColumn>
  </tableColumns>
  <tableStyleInfo showFirstColumn="0" showLastColumn="0" showRowStripes="1" showColumnStripes="0"/>
</table>
</file>

<file path=xl/tables/table7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5" xr:uid="{5F77DE99-089E-4955-B912-9B6080EC8AEB}" name="Nov02_2022" displayName="Nov02_2022" ref="B5:H24" totalsRowCount="1" headerRowDxfId="944" headerRowBorderDxfId="943" tableBorderDxfId="942" totalsRowBorderDxfId="941">
  <autoFilter ref="B5:H23" xr:uid="{44AA011A-2ACC-4886-A69B-550EF3190476}"/>
  <sortState xmlns:xlrd2="http://schemas.microsoft.com/office/spreadsheetml/2017/richdata2" ref="B6:H23">
    <sortCondition ref="B6:B23"/>
  </sortState>
  <tableColumns count="7">
    <tableColumn id="1" xr3:uid="{CCE5EA51-4145-4EE6-B27E-0B568CDADFE8}" name="BDC LIST" totalsRowLabel="Total" dataDxfId="940" totalsRowDxfId="939"/>
    <tableColumn id="2" xr3:uid="{4AB591C4-9500-4966-AD0C-5597B4213CFC}" name="KSI_AGO" totalsRowFunction="custom" dataDxfId="938" totalsRowDxfId="937" dataCellStyle="Comma">
      <totalsRowFormula>SUM(Nov02_2022[KSI_AGO])</totalsRowFormula>
    </tableColumn>
    <tableColumn id="3" xr3:uid="{91B46043-9571-444D-8F47-D58E14136F2E}" name="KSI_PMS" totalsRowFunction="sum" dataDxfId="936" totalsRowDxfId="935" dataCellStyle="Comma"/>
    <tableColumn id="4" xr3:uid="{84330B02-0CEB-47C3-A612-85807324C43E}" name="BUIPE_AGO" totalsRowFunction="custom" dataDxfId="934" totalsRowDxfId="933" dataCellStyle="Comma">
      <totalsRowFormula>SUM(Nov02_2022[BUIPE_AGO])</totalsRowFormula>
    </tableColumn>
    <tableColumn id="5" xr3:uid="{DD157AD4-2641-4DE2-9C53-65518ACE581E}" name="BUIPE_PMS" totalsRowFunction="custom" dataDxfId="932" totalsRowDxfId="931" dataCellStyle="Comma">
      <totalsRowFormula>SUM(Nov02_2022[BUIPE_PMS])</totalsRowFormula>
    </tableColumn>
    <tableColumn id="6" xr3:uid="{3A9B4A29-D345-4F25-8D1A-260CF31E157B}" name="AKOSOMBO_AGO" totalsRowFunction="custom" dataDxfId="930" totalsRowDxfId="929" dataCellStyle="Comma">
      <totalsRowFormula>SUM(Nov02_2022[AKOSOMBO_AGO])</totalsRowFormula>
    </tableColumn>
    <tableColumn id="7" xr3:uid="{6D42DFB1-F503-4476-B72F-8E4FFF6931B1}" name="DATE" dataDxfId="928" totalsRowDxfId="927">
      <calculatedColumnFormula>$G$3</calculatedColumnFormula>
    </tableColumn>
  </tableColumns>
  <tableStyleInfo showFirstColumn="0" showLastColumn="0" showRowStripes="1" showColumnStripes="0"/>
</table>
</file>

<file path=xl/tables/table7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6" xr:uid="{90D0048F-53D6-4232-B62F-0ED8D230DBAA}" name="Nov03_2022" displayName="Nov03_2022" ref="B5:H24" totalsRowCount="1" headerRowDxfId="926" headerRowBorderDxfId="925" tableBorderDxfId="924" totalsRowBorderDxfId="923">
  <autoFilter ref="B5:H23" xr:uid="{44AA011A-2ACC-4886-A69B-550EF3190476}"/>
  <sortState xmlns:xlrd2="http://schemas.microsoft.com/office/spreadsheetml/2017/richdata2" ref="B6:H23">
    <sortCondition ref="B6:B23"/>
  </sortState>
  <tableColumns count="7">
    <tableColumn id="1" xr3:uid="{302B66F8-0B6C-430C-88E5-33D119D4D68D}" name="BDC LIST" totalsRowLabel="Total" dataDxfId="922" totalsRowDxfId="921"/>
    <tableColumn id="2" xr3:uid="{693B10E0-AD49-4893-BC9B-23EABDB9641A}" name="KSI_AGO" totalsRowFunction="custom" dataDxfId="920" totalsRowDxfId="919" dataCellStyle="Comma">
      <totalsRowFormula>SUM(Nov03_2022[KSI_AGO])</totalsRowFormula>
    </tableColumn>
    <tableColumn id="3" xr3:uid="{32D13B0C-4674-44B9-99D7-B1E0E6B901DC}" name="KSI_PMS" totalsRowFunction="sum" dataDxfId="918" totalsRowDxfId="917" dataCellStyle="Comma"/>
    <tableColumn id="4" xr3:uid="{E9495A84-D01F-4335-A309-BCE8A278D434}" name="BUIPE_AGO" totalsRowFunction="custom" dataDxfId="916" totalsRowDxfId="915" dataCellStyle="Comma">
      <totalsRowFormula>SUM(Nov03_2022[BUIPE_AGO])</totalsRowFormula>
    </tableColumn>
    <tableColumn id="5" xr3:uid="{1A7657EF-F62F-4BF1-82FD-B4A50DC4CC66}" name="BUIPE_PMS" totalsRowFunction="custom" dataDxfId="914" totalsRowDxfId="913" dataCellStyle="Comma">
      <totalsRowFormula>SUM(Nov03_2022[BUIPE_PMS])</totalsRowFormula>
    </tableColumn>
    <tableColumn id="6" xr3:uid="{AB71DFF0-EF75-4E2B-90AC-25FF3EC91F9B}" name="AKOSOMBO_AGO" totalsRowFunction="custom" dataDxfId="912" totalsRowDxfId="911" dataCellStyle="Comma">
      <totalsRowFormula>SUM(Nov03_2022[AKOSOMBO_AGO])</totalsRowFormula>
    </tableColumn>
    <tableColumn id="7" xr3:uid="{38E0EC64-D6FA-4A35-84DC-3052F4E3E6D9}" name="DATE" dataDxfId="910" totalsRowDxfId="909">
      <calculatedColumnFormula>$G$3</calculatedColumnFormula>
    </tableColumn>
  </tableColumns>
  <tableStyleInfo showFirstColumn="0" showLastColumn="0" showRowStripes="1" showColumnStripes="0"/>
</table>
</file>

<file path=xl/tables/table7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7" xr:uid="{2750422F-466F-4ADE-9988-0D9C768370B3}" name="Nov04_2022" displayName="Nov04_2022" ref="B5:H24" totalsRowCount="1" headerRowDxfId="908" headerRowBorderDxfId="907" tableBorderDxfId="906" totalsRowBorderDxfId="905">
  <autoFilter ref="B5:H23" xr:uid="{44AA011A-2ACC-4886-A69B-550EF3190476}"/>
  <sortState xmlns:xlrd2="http://schemas.microsoft.com/office/spreadsheetml/2017/richdata2" ref="B6:H23">
    <sortCondition ref="B6:B23"/>
  </sortState>
  <tableColumns count="7">
    <tableColumn id="1" xr3:uid="{647D737F-4FC9-42EC-B63C-F7AB055B3C9D}" name="BDC LIST" totalsRowLabel="Total" dataDxfId="904" totalsRowDxfId="903"/>
    <tableColumn id="2" xr3:uid="{02AB91A5-C021-44C1-A2AE-122C34A65673}" name="KSI_AGO" totalsRowFunction="custom" dataDxfId="902" totalsRowDxfId="901" dataCellStyle="Comma">
      <totalsRowFormula>SUM(Nov04_2022[KSI_AGO])</totalsRowFormula>
    </tableColumn>
    <tableColumn id="3" xr3:uid="{169D6F0E-DEF1-454B-B988-71DF145CFC9C}" name="KSI_PMS" totalsRowFunction="sum" dataDxfId="900" totalsRowDxfId="899" dataCellStyle="Comma"/>
    <tableColumn id="4" xr3:uid="{0BE1F1ED-F35F-4364-B42F-C461100F7EA5}" name="BUIPE_AGO" totalsRowFunction="custom" dataDxfId="898" totalsRowDxfId="897" dataCellStyle="Comma">
      <totalsRowFormula>SUM(Nov04_2022[BUIPE_AGO])</totalsRowFormula>
    </tableColumn>
    <tableColumn id="5" xr3:uid="{8A1AEF5D-E613-4418-B995-30E8B2D1DBEE}" name="BUIPE_PMS" totalsRowFunction="custom" dataDxfId="896" totalsRowDxfId="895" dataCellStyle="Comma">
      <totalsRowFormula>SUM(Nov04_2022[BUIPE_PMS])</totalsRowFormula>
    </tableColumn>
    <tableColumn id="6" xr3:uid="{2A2BA661-875E-490E-9EE4-048EE4F0ECB4}" name="AKOSOMBO_AGO" totalsRowFunction="custom" dataDxfId="894" totalsRowDxfId="893" dataCellStyle="Comma">
      <totalsRowFormula>SUM(Nov04_2022[AKOSOMBO_AGO])</totalsRowFormula>
    </tableColumn>
    <tableColumn id="7" xr3:uid="{A8C31C7C-68DB-465F-9AF6-F152A6DC3ABB}" name="DATE" dataDxfId="892" totalsRowDxfId="891">
      <calculatedColumnFormula>$G$3</calculatedColumnFormula>
    </tableColumn>
  </tableColumns>
  <tableStyleInfo showFirstColumn="0" showLastColumn="0" showRowStripes="1" showColumnStripes="0"/>
</table>
</file>

<file path=xl/tables/table7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8" xr:uid="{1855D9AD-3751-45EA-9A49-C3285AB044B4}" name="Nov07_2022" displayName="Nov07_2022" ref="B5:H24" totalsRowCount="1" headerRowDxfId="890" headerRowBorderDxfId="889" tableBorderDxfId="888" totalsRowBorderDxfId="887">
  <autoFilter ref="B5:H23" xr:uid="{44AA011A-2ACC-4886-A69B-550EF3190476}"/>
  <sortState xmlns:xlrd2="http://schemas.microsoft.com/office/spreadsheetml/2017/richdata2" ref="B6:H23">
    <sortCondition ref="B6:B23"/>
  </sortState>
  <tableColumns count="7">
    <tableColumn id="1" xr3:uid="{210F3A8F-155A-4E59-9A49-AEFF72464673}" name="BDC LIST" totalsRowLabel="Total" dataDxfId="886" totalsRowDxfId="885"/>
    <tableColumn id="2" xr3:uid="{15234E6F-A796-4B9A-B4EE-60255744DCAE}" name="KSI_AGO" totalsRowFunction="custom" dataDxfId="884" totalsRowDxfId="883" dataCellStyle="Comma">
      <totalsRowFormula>SUM(Nov07_2022[KSI_AGO])</totalsRowFormula>
    </tableColumn>
    <tableColumn id="3" xr3:uid="{122D88F3-DBF4-481B-8EFE-7F1526B7AB4D}" name="KSI_PMS" totalsRowFunction="sum" dataDxfId="882" totalsRowDxfId="881" dataCellStyle="Comma"/>
    <tableColumn id="4" xr3:uid="{3E83F526-C929-46C1-BF73-192E5652BA0C}" name="BUIPE_AGO" totalsRowFunction="custom" dataDxfId="880" totalsRowDxfId="879" dataCellStyle="Comma">
      <totalsRowFormula>SUM(Nov07_2022[BUIPE_AGO])</totalsRowFormula>
    </tableColumn>
    <tableColumn id="5" xr3:uid="{E07B801D-88CB-4576-9DC9-F1335C0E9A66}" name="BUIPE_PMS" totalsRowFunction="custom" dataDxfId="878" totalsRowDxfId="877" dataCellStyle="Comma">
      <totalsRowFormula>SUM(Nov07_2022[BUIPE_PMS])</totalsRowFormula>
    </tableColumn>
    <tableColumn id="6" xr3:uid="{39B6D9F4-C04A-493E-9AB3-5BAF3F7C825D}" name="AKOSOMBO_AGO" totalsRowFunction="custom" dataDxfId="876" totalsRowDxfId="875" dataCellStyle="Comma">
      <totalsRowFormula>SUM(Nov07_2022[AKOSOMBO_AGO])</totalsRowFormula>
    </tableColumn>
    <tableColumn id="7" xr3:uid="{CF2EAC68-09EA-4A4F-BBAC-1E22AC55883B}" name="DATE" dataDxfId="874" totalsRowDxfId="873">
      <calculatedColumnFormula>$G$3</calculatedColumnFormula>
    </tableColumn>
  </tableColumns>
  <tableStyleInfo showFirstColumn="0" showLastColumn="0" showRowStripes="1" showColumnStripes="0"/>
</table>
</file>

<file path=xl/tables/table7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9" xr:uid="{F79E0561-352A-4C46-BFD1-31812DF8100B}" name="Nov08_2022" displayName="Nov08_2022" ref="B5:H24" totalsRowCount="1" headerRowDxfId="872" headerRowBorderDxfId="871" tableBorderDxfId="870" totalsRowBorderDxfId="869">
  <autoFilter ref="B5:H23" xr:uid="{44AA011A-2ACC-4886-A69B-550EF3190476}"/>
  <sortState xmlns:xlrd2="http://schemas.microsoft.com/office/spreadsheetml/2017/richdata2" ref="B6:H23">
    <sortCondition ref="B6:B23"/>
  </sortState>
  <tableColumns count="7">
    <tableColumn id="1" xr3:uid="{A567C8C9-A931-4F07-AF48-FBB520346C06}" name="BDC LIST" totalsRowLabel="Total" dataDxfId="868" totalsRowDxfId="867"/>
    <tableColumn id="2" xr3:uid="{F8BB2E85-C2CD-452B-ADEF-D8C30077A2A3}" name="KSI_AGO" totalsRowFunction="custom" dataDxfId="866" totalsRowDxfId="865" dataCellStyle="Comma">
      <totalsRowFormula>SUM(Nov08_2022[KSI_AGO])</totalsRowFormula>
    </tableColumn>
    <tableColumn id="3" xr3:uid="{EC2D2349-5DED-41B0-A9B1-B846464067EB}" name="KSI_PMS" totalsRowFunction="sum" dataDxfId="864" totalsRowDxfId="863" dataCellStyle="Comma"/>
    <tableColumn id="4" xr3:uid="{0FB9B639-FAFB-4160-B17E-8C2986FEF27F}" name="BUIPE_AGO" totalsRowFunction="custom" dataDxfId="862" totalsRowDxfId="861" dataCellStyle="Comma">
      <totalsRowFormula>SUM(Nov08_2022[BUIPE_AGO])</totalsRowFormula>
    </tableColumn>
    <tableColumn id="5" xr3:uid="{D2A792BE-8F5B-4FC4-AABD-52314BFC8031}" name="BUIPE_PMS" totalsRowFunction="custom" dataDxfId="860" totalsRowDxfId="859" dataCellStyle="Comma">
      <totalsRowFormula>SUM(Nov08_2022[BUIPE_PMS])</totalsRowFormula>
    </tableColumn>
    <tableColumn id="6" xr3:uid="{7775D12B-980E-4D85-A618-692D5437A15C}" name="AKOSOMBO_AGO" totalsRowFunction="custom" dataDxfId="858" totalsRowDxfId="857" dataCellStyle="Comma">
      <totalsRowFormula>SUM(Nov08_2022[AKOSOMBO_AGO])</totalsRowFormula>
    </tableColumn>
    <tableColumn id="7" xr3:uid="{57F30A47-5C53-451E-BFBF-ED2EECB04444}" name="DATE" dataDxfId="856" totalsRowDxfId="855">
      <calculatedColumnFormula>$G$3</calculatedColumnFormula>
    </tableColumn>
  </tableColumns>
  <tableStyleInfo showFirstColumn="0" showLastColumn="0" showRowStripes="1" showColumnStripes="0"/>
</table>
</file>

<file path=xl/tables/table7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0" xr:uid="{CE6C9B46-348B-4DB9-8EC0-2C1BE3F7AABD}" name="Nov09_2022" displayName="Nov09_2022" ref="B5:H24" totalsRowCount="1" headerRowDxfId="854" headerRowBorderDxfId="853" tableBorderDxfId="852" totalsRowBorderDxfId="851">
  <autoFilter ref="B5:H23" xr:uid="{44AA011A-2ACC-4886-A69B-550EF3190476}"/>
  <sortState xmlns:xlrd2="http://schemas.microsoft.com/office/spreadsheetml/2017/richdata2" ref="B6:H23">
    <sortCondition ref="B6:B23"/>
  </sortState>
  <tableColumns count="7">
    <tableColumn id="1" xr3:uid="{74DEBCFC-7E99-4BCD-AA94-45917B95DBEC}" name="BDC LIST" totalsRowLabel="Total" dataDxfId="850" totalsRowDxfId="849"/>
    <tableColumn id="2" xr3:uid="{241F2EA6-543A-446C-9D4C-95C9B40D62F5}" name="KSI_AGO" totalsRowFunction="custom" dataDxfId="848" totalsRowDxfId="847" dataCellStyle="Comma">
      <totalsRowFormula>SUM(Nov09_2022[KSI_AGO])</totalsRowFormula>
    </tableColumn>
    <tableColumn id="3" xr3:uid="{CAF7DE56-027D-46F0-A00B-3E43D04EB985}" name="KSI_PMS" totalsRowFunction="sum" dataDxfId="846" totalsRowDxfId="845" dataCellStyle="Comma"/>
    <tableColumn id="4" xr3:uid="{5A3BCF27-6E12-422A-A2E8-87D15B1AB3B1}" name="BUIPE_AGO" totalsRowFunction="custom" dataDxfId="844" totalsRowDxfId="843" dataCellStyle="Comma">
      <totalsRowFormula>SUM(Nov09_2022[BUIPE_AGO])</totalsRowFormula>
    </tableColumn>
    <tableColumn id="5" xr3:uid="{B21F2C7C-B60A-4B4D-A3FD-932826949B0C}" name="BUIPE_PMS" totalsRowFunction="custom" dataDxfId="842" totalsRowDxfId="841" dataCellStyle="Comma">
      <totalsRowFormula>SUM(Nov09_2022[BUIPE_PMS])</totalsRowFormula>
    </tableColumn>
    <tableColumn id="6" xr3:uid="{351DD144-189D-42B2-89D5-CDC26FF5D033}" name="AKOSOMBO_AGO" totalsRowFunction="custom" dataDxfId="840" totalsRowDxfId="839" dataCellStyle="Comma">
      <totalsRowFormula>SUM(Nov09_2022[AKOSOMBO_AGO])</totalsRowFormula>
    </tableColumn>
    <tableColumn id="7" xr3:uid="{0611591C-F6DD-41BD-8C67-8ED818AE09F7}" name="DATE" dataDxfId="838" totalsRowDxfId="837">
      <calculatedColumnFormula>$G$3</calculatedColumnFormula>
    </tableColumn>
  </tableColumns>
  <tableStyleInfo showFirstColumn="0" showLastColumn="0" showRowStripes="1" showColumnStripes="0"/>
</table>
</file>

<file path=xl/tables/table7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1" xr:uid="{DB8B3AC7-8080-485D-B8D5-98F63414A31A}" name="Nov10_2022" displayName="Nov10_2022" ref="B5:H24" totalsRowCount="1" headerRowDxfId="836" headerRowBorderDxfId="835" tableBorderDxfId="834" totalsRowBorderDxfId="833">
  <autoFilter ref="B5:H23" xr:uid="{44AA011A-2ACC-4886-A69B-550EF3190476}"/>
  <sortState xmlns:xlrd2="http://schemas.microsoft.com/office/spreadsheetml/2017/richdata2" ref="B6:H23">
    <sortCondition ref="B6:B23"/>
  </sortState>
  <tableColumns count="7">
    <tableColumn id="1" xr3:uid="{111350C2-2AA4-4BF9-84A4-1868D0BBC547}" name="BDC LIST" totalsRowLabel="Total" dataDxfId="832" totalsRowDxfId="831"/>
    <tableColumn id="2" xr3:uid="{DFFE28AA-6BF4-4384-84E7-1389BDF05226}" name="KSI_AGO" totalsRowFunction="custom" dataDxfId="830" totalsRowDxfId="829" dataCellStyle="Comma">
      <totalsRowFormula>SUM(Nov10_2022[KSI_AGO])</totalsRowFormula>
    </tableColumn>
    <tableColumn id="3" xr3:uid="{6B2467FF-26DE-4135-A757-D0E25E7336B4}" name="KSI_PMS" totalsRowFunction="sum" dataDxfId="828" totalsRowDxfId="827" dataCellStyle="Comma"/>
    <tableColumn id="4" xr3:uid="{F19AE2AD-23A1-46F2-BD79-0BA0FE0C186E}" name="BUIPE_AGO" totalsRowFunction="custom" dataDxfId="826" totalsRowDxfId="825" dataCellStyle="Comma">
      <totalsRowFormula>SUM(Nov10_2022[BUIPE_AGO])</totalsRowFormula>
    </tableColumn>
    <tableColumn id="5" xr3:uid="{E92AFAC0-DA63-400C-BAA0-7E980D11C63A}" name="BUIPE_PMS" totalsRowFunction="custom" dataDxfId="824" totalsRowDxfId="823" dataCellStyle="Comma">
      <totalsRowFormula>SUM(Nov10_2022[BUIPE_PMS])</totalsRowFormula>
    </tableColumn>
    <tableColumn id="6" xr3:uid="{35054837-12E2-421B-B6BD-3AFD1E1C02BB}" name="AKOSOMBO_AGO" totalsRowFunction="custom" dataDxfId="822" totalsRowDxfId="821" dataCellStyle="Comma">
      <totalsRowFormula>SUM(Nov10_2022[AKOSOMBO_AGO])</totalsRowFormula>
    </tableColumn>
    <tableColumn id="7" xr3:uid="{FF475805-F573-494D-8182-0E67F495FDCC}" name="DATE" dataDxfId="820" totalsRowDxfId="819">
      <calculatedColumnFormula>$G$3</calculatedColumnFormula>
    </tableColumn>
  </tableColumns>
  <tableStyleInfo showFirstColumn="0" showLastColumn="0" showRowStripes="1" showColumnStripes="0"/>
</table>
</file>

<file path=xl/tables/table7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2" xr:uid="{C8672D39-ABCB-4C81-A921-8B07A39B8038}" name="Nov11_2022" displayName="Nov11_2022" ref="B5:H24" totalsRowCount="1" headerRowDxfId="818" headerRowBorderDxfId="817" tableBorderDxfId="816" totalsRowBorderDxfId="815">
  <autoFilter ref="B5:H23" xr:uid="{44AA011A-2ACC-4886-A69B-550EF3190476}"/>
  <sortState xmlns:xlrd2="http://schemas.microsoft.com/office/spreadsheetml/2017/richdata2" ref="B6:H23">
    <sortCondition ref="B6:B23"/>
  </sortState>
  <tableColumns count="7">
    <tableColumn id="1" xr3:uid="{3E0EDEEB-1EBB-4005-8A74-5B1860FA8ED8}" name="BDC LIST" totalsRowLabel="Total" dataDxfId="814" totalsRowDxfId="813"/>
    <tableColumn id="2" xr3:uid="{885CBDB6-E7DA-42FC-A41D-C8C29976243E}" name="KSI_AGO" totalsRowFunction="custom" dataDxfId="812" totalsRowDxfId="811" dataCellStyle="Comma">
      <totalsRowFormula>SUM(Nov11_2022[KSI_AGO])</totalsRowFormula>
    </tableColumn>
    <tableColumn id="3" xr3:uid="{78AF7C2F-87BA-43DB-A69B-FFC2AA36789C}" name="KSI_PMS" totalsRowFunction="sum" dataDxfId="810" totalsRowDxfId="809" dataCellStyle="Comma"/>
    <tableColumn id="4" xr3:uid="{47290825-487D-458C-AA8C-495F053E325B}" name="BUIPE_AGO" totalsRowFunction="custom" dataDxfId="808" totalsRowDxfId="807" dataCellStyle="Comma">
      <totalsRowFormula>SUM(Nov11_2022[BUIPE_AGO])</totalsRowFormula>
    </tableColumn>
    <tableColumn id="5" xr3:uid="{465F9AE3-8533-40BA-9812-B2CE4854C981}" name="BUIPE_PMS" totalsRowFunction="custom" dataDxfId="806" totalsRowDxfId="805" dataCellStyle="Comma">
      <totalsRowFormula>SUM(Nov11_2022[BUIPE_PMS])</totalsRowFormula>
    </tableColumn>
    <tableColumn id="6" xr3:uid="{D0542720-8E84-4E89-BA42-45D7A749F0D1}" name="AKOSOMBO_AGO" totalsRowFunction="custom" dataDxfId="804" totalsRowDxfId="803" dataCellStyle="Comma">
      <totalsRowFormula>SUM(Nov11_2022[AKOSOMBO_AGO])</totalsRowFormula>
    </tableColumn>
    <tableColumn id="7" xr3:uid="{47EBC339-0B22-4194-A6E2-A6E09BCDEC97}" name="DATE" dataDxfId="802" totalsRowDxfId="801">
      <calculatedColumnFormula>$G$3</calculatedColumnFormula>
    </tableColumn>
  </tableColumns>
  <tableStyleInfo showFirstColumn="0" showLastColumn="0" showRowStripes="1" showColumnStripes="0"/>
</table>
</file>

<file path=xl/tables/table7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3" xr:uid="{F6B5E712-310A-4A08-88D0-F004EDA6FFC0}" name="Nov14_2022" displayName="Nov14_2022" ref="B5:H24" totalsRowCount="1" headerRowDxfId="800" headerRowBorderDxfId="799" tableBorderDxfId="798" totalsRowBorderDxfId="797">
  <autoFilter ref="B5:H23" xr:uid="{44AA011A-2ACC-4886-A69B-550EF3190476}"/>
  <sortState xmlns:xlrd2="http://schemas.microsoft.com/office/spreadsheetml/2017/richdata2" ref="B6:H23">
    <sortCondition ref="B6:B23"/>
  </sortState>
  <tableColumns count="7">
    <tableColumn id="1" xr3:uid="{BB7CA4E1-325F-48DF-B944-B99279559C88}" name="BDC LIST" totalsRowLabel="Total" dataDxfId="796" totalsRowDxfId="795"/>
    <tableColumn id="2" xr3:uid="{C2D7A5D1-F665-4199-94AA-A2C8CC79E55C}" name="KSI_AGO" totalsRowFunction="custom" dataDxfId="794" totalsRowDxfId="793" dataCellStyle="Comma">
      <totalsRowFormula>SUM(Nov14_2022[KSI_AGO])</totalsRowFormula>
    </tableColumn>
    <tableColumn id="3" xr3:uid="{8ADB54B7-A1A4-4936-8640-3A64FADF6BB4}" name="KSI_PMS" totalsRowFunction="sum" dataDxfId="792" totalsRowDxfId="791" dataCellStyle="Comma"/>
    <tableColumn id="4" xr3:uid="{D0FE7BBB-DE2F-497B-B654-E52C1A7EF804}" name="BUIPE_AGO" totalsRowFunction="custom" dataDxfId="790" totalsRowDxfId="789" dataCellStyle="Comma">
      <totalsRowFormula>SUM(Nov14_2022[BUIPE_AGO])</totalsRowFormula>
    </tableColumn>
    <tableColumn id="5" xr3:uid="{CDC4FDDA-0D9D-4967-8CFA-67D8DF51D540}" name="BUIPE_PMS" totalsRowFunction="custom" dataDxfId="788" totalsRowDxfId="787" dataCellStyle="Comma">
      <totalsRowFormula>SUM(Nov14_2022[BUIPE_PMS])</totalsRowFormula>
    </tableColumn>
    <tableColumn id="6" xr3:uid="{9F3AE84B-9A40-4E74-A453-E9FCF3AD52BE}" name="AKOSOMBO_AGO" totalsRowFunction="custom" dataDxfId="786" totalsRowDxfId="785" dataCellStyle="Comma">
      <totalsRowFormula>SUM(Nov14_2022[AKOSOMBO_AGO])</totalsRowFormula>
    </tableColumn>
    <tableColumn id="7" xr3:uid="{B7654C8F-6647-4734-9B1B-6FA45F4662DD}" name="DATE" dataDxfId="784" totalsRowDxfId="783">
      <calculatedColumnFormula>$G$3</calculatedColumnFormula>
    </tableColumn>
  </tableColumns>
  <tableStyleInfo showFirstColumn="0" showLastColumn="0" showRowStripes="1" showColumnStripes="0"/>
</table>
</file>

<file path=xl/tables/table7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4" xr:uid="{49A24B3A-2728-4B78-B8CB-35129814C153}" name="Nov15_2022" displayName="Nov15_2022" ref="B5:H24" totalsRowCount="1" headerRowDxfId="782" headerRowBorderDxfId="781" tableBorderDxfId="780" totalsRowBorderDxfId="779">
  <autoFilter ref="B5:H23" xr:uid="{44AA011A-2ACC-4886-A69B-550EF3190476}"/>
  <sortState xmlns:xlrd2="http://schemas.microsoft.com/office/spreadsheetml/2017/richdata2" ref="B6:H23">
    <sortCondition ref="B6:B23"/>
  </sortState>
  <tableColumns count="7">
    <tableColumn id="1" xr3:uid="{A3096408-CC00-415C-A431-877453469CE8}" name="BDC LIST" totalsRowLabel="Total" dataDxfId="778" totalsRowDxfId="777"/>
    <tableColumn id="2" xr3:uid="{DBF24812-6DF6-47EE-ADC0-EA84BB895195}" name="KSI_AGO" totalsRowFunction="custom" dataDxfId="776" totalsRowDxfId="775" dataCellStyle="Comma">
      <totalsRowFormula>SUM(Nov15_2022[KSI_AGO])</totalsRowFormula>
    </tableColumn>
    <tableColumn id="3" xr3:uid="{BEF67FDA-8467-43DD-8DD9-88093E4E31CD}" name="KSI_PMS" totalsRowFunction="sum" dataDxfId="774" totalsRowDxfId="773" dataCellStyle="Comma"/>
    <tableColumn id="4" xr3:uid="{96CB4CA2-FD63-4560-8A5E-CD8DBA1CF50D}" name="BUIPE_AGO" totalsRowFunction="custom" dataDxfId="772" totalsRowDxfId="771" dataCellStyle="Comma">
      <totalsRowFormula>SUM(Nov15_2022[BUIPE_AGO])</totalsRowFormula>
    </tableColumn>
    <tableColumn id="5" xr3:uid="{7F8D43AE-BB40-452E-AF0A-5085D89047D4}" name="BUIPE_PMS" totalsRowFunction="custom" dataDxfId="770" totalsRowDxfId="769" dataCellStyle="Comma">
      <totalsRowFormula>SUM(Nov15_2022[BUIPE_PMS])</totalsRowFormula>
    </tableColumn>
    <tableColumn id="6" xr3:uid="{0C39732A-4AB8-4832-A08D-04A66C30AB43}" name="AKOSOMBO_AGO" totalsRowFunction="custom" dataDxfId="768" totalsRowDxfId="767" dataCellStyle="Comma">
      <totalsRowFormula>SUM(Nov15_2022[AKOSOMBO_AGO])</totalsRowFormula>
    </tableColumn>
    <tableColumn id="7" xr3:uid="{FD547E5C-A9A6-4359-9D67-7DDF1C0F8503}" name="DATE" dataDxfId="766" totalsRowDxfId="765">
      <calculatedColumnFormula>$G$3</calculatedColumnFormula>
    </tableColumn>
  </tableColumns>
  <tableStyleInfo showFirstColumn="0" showLastColumn="0" showRowStripes="1" showColumnStripes="0"/>
</table>
</file>

<file path=xl/tables/table7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5" xr:uid="{ABC20E4B-1CDA-45BA-A998-1433CA021A21}" name="Nov16_2022" displayName="Nov16_2022" ref="B5:H24" totalsRowCount="1" headerRowDxfId="764" headerRowBorderDxfId="763" tableBorderDxfId="762" totalsRowBorderDxfId="761">
  <autoFilter ref="B5:H23" xr:uid="{44AA011A-2ACC-4886-A69B-550EF3190476}"/>
  <sortState xmlns:xlrd2="http://schemas.microsoft.com/office/spreadsheetml/2017/richdata2" ref="B6:H23">
    <sortCondition ref="B6:B23"/>
  </sortState>
  <tableColumns count="7">
    <tableColumn id="1" xr3:uid="{A5FF29DE-47C8-4DF5-82CF-60BADA10E5EE}" name="BDC LIST" totalsRowLabel="Total" dataDxfId="760" totalsRowDxfId="759"/>
    <tableColumn id="2" xr3:uid="{D2FA483C-C0FC-44B1-940A-E74C28E6F846}" name="KSI_AGO" totalsRowFunction="custom" dataDxfId="758" totalsRowDxfId="757" dataCellStyle="Comma">
      <totalsRowFormula>SUM(Nov16_2022[KSI_AGO])</totalsRowFormula>
    </tableColumn>
    <tableColumn id="3" xr3:uid="{92C223E3-436A-4F0D-9493-271CDA1E8EF5}" name="KSI_PMS" totalsRowFunction="sum" dataDxfId="756" totalsRowDxfId="755" dataCellStyle="Comma"/>
    <tableColumn id="4" xr3:uid="{C4D9D281-049F-43BD-9BAA-9EFDF62E4534}" name="BUIPE_AGO" totalsRowFunction="custom" dataDxfId="754" totalsRowDxfId="753" dataCellStyle="Comma">
      <totalsRowFormula>SUM(Nov16_2022[BUIPE_AGO])</totalsRowFormula>
    </tableColumn>
    <tableColumn id="5" xr3:uid="{0AAB3C82-1286-41AF-AFD1-EFD8174F0A49}" name="BUIPE_PMS" totalsRowFunction="custom" dataDxfId="752" totalsRowDxfId="751" dataCellStyle="Comma">
      <totalsRowFormula>SUM(Nov16_2022[BUIPE_PMS])</totalsRowFormula>
    </tableColumn>
    <tableColumn id="6" xr3:uid="{2DBC940A-2E2F-40EC-A83D-6B724FF95865}" name="AKOSOMBO_AGO" totalsRowFunction="custom" dataDxfId="750" totalsRowDxfId="749" dataCellStyle="Comma">
      <totalsRowFormula>SUM(Nov16_2022[AKOSOMBO_AGO])</totalsRowFormula>
    </tableColumn>
    <tableColumn id="7" xr3:uid="{9D338590-3361-4157-8927-F9B8FB97DB19}" name="DATE" dataDxfId="748" totalsRowDxfId="747">
      <calculatedColumnFormula>$G$3</calculatedColumnFormula>
    </tableColumn>
  </tableColumns>
  <tableStyleInfo showFirstColumn="0" showLastColumn="0" showRowStripes="1" showColumnStripes="0"/>
</table>
</file>

<file path=xl/tables/table7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6" xr:uid="{531CD493-2BD7-4194-92DE-848C23EC5F93}" name="Nov17_2022" displayName="Nov17_2022" ref="B5:H24" totalsRowCount="1" headerRowDxfId="746" headerRowBorderDxfId="745" tableBorderDxfId="744" totalsRowBorderDxfId="743">
  <autoFilter ref="B5:H23" xr:uid="{44AA011A-2ACC-4886-A69B-550EF3190476}"/>
  <sortState xmlns:xlrd2="http://schemas.microsoft.com/office/spreadsheetml/2017/richdata2" ref="B6:H23">
    <sortCondition ref="B6:B23"/>
  </sortState>
  <tableColumns count="7">
    <tableColumn id="1" xr3:uid="{CAB2F0C6-EBEC-4902-A037-7752922DB02F}" name="BDC LIST" totalsRowLabel="Total" dataDxfId="742" totalsRowDxfId="741"/>
    <tableColumn id="2" xr3:uid="{555C36F9-2E02-4C9A-A38C-4DB00B1AF50A}" name="KSI_AGO" totalsRowFunction="custom" dataDxfId="740" totalsRowDxfId="739" dataCellStyle="Comma">
      <totalsRowFormula>SUM(Nov17_2022[KSI_AGO])</totalsRowFormula>
    </tableColumn>
    <tableColumn id="3" xr3:uid="{8C6CE6D2-EEDE-4725-BC8F-1F82FDA2F028}" name="KSI_PMS" totalsRowFunction="sum" dataDxfId="738" totalsRowDxfId="737" dataCellStyle="Comma"/>
    <tableColumn id="4" xr3:uid="{153E3841-7C86-4C2E-BFFD-D00A29608DEF}" name="BUIPE_AGO" totalsRowFunction="custom" dataDxfId="736" totalsRowDxfId="735" dataCellStyle="Comma">
      <totalsRowFormula>SUM(Nov17_2022[BUIPE_AGO])</totalsRowFormula>
    </tableColumn>
    <tableColumn id="5" xr3:uid="{5385E934-2609-4E90-87C1-D269419ACC5A}" name="BUIPE_PMS" totalsRowFunction="custom" dataDxfId="734" totalsRowDxfId="733" dataCellStyle="Comma">
      <totalsRowFormula>SUM(Nov17_2022[BUIPE_PMS])</totalsRowFormula>
    </tableColumn>
    <tableColumn id="6" xr3:uid="{D826D985-8210-490B-B289-FEFACAD73BBC}" name="AKOSOMBO_AGO" totalsRowFunction="custom" dataDxfId="732" totalsRowDxfId="731" dataCellStyle="Comma">
      <totalsRowFormula>SUM(Nov17_2022[AKOSOMBO_AGO])</totalsRowFormula>
    </tableColumn>
    <tableColumn id="7" xr3:uid="{F137C3D0-5011-4B58-9EA4-4A0D6D7A2BC3}" name="DATE" dataDxfId="730" totalsRowDxfId="729">
      <calculatedColumnFormula>$G$3</calculatedColumnFormula>
    </tableColumn>
  </tableColumns>
  <tableStyleInfo showFirstColumn="0" showLastColumn="0" showRowStripes="1" showColumnStripes="0"/>
</table>
</file>

<file path=xl/tables/table7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7" xr:uid="{DAB92D34-4AAB-4E7C-92FF-B0937EEFC5DC}" name="Nov18_2022" displayName="Nov18_2022" ref="B5:H24" totalsRowCount="1" headerRowDxfId="728" headerRowBorderDxfId="727" tableBorderDxfId="726" totalsRowBorderDxfId="725">
  <autoFilter ref="B5:H23" xr:uid="{44AA011A-2ACC-4886-A69B-550EF3190476}"/>
  <sortState xmlns:xlrd2="http://schemas.microsoft.com/office/spreadsheetml/2017/richdata2" ref="B6:H23">
    <sortCondition ref="B6:B23"/>
  </sortState>
  <tableColumns count="7">
    <tableColumn id="1" xr3:uid="{57199290-9EEE-4EF7-807D-20178B23597C}" name="BDC LIST" totalsRowLabel="Total" dataDxfId="724" totalsRowDxfId="723"/>
    <tableColumn id="2" xr3:uid="{ADC6935A-F02F-472D-A819-23CB82A49A34}" name="KSI_AGO" totalsRowFunction="custom" dataDxfId="722" totalsRowDxfId="721" dataCellStyle="Comma">
      <totalsRowFormula>SUM(Nov18_2022[KSI_AGO])</totalsRowFormula>
    </tableColumn>
    <tableColumn id="3" xr3:uid="{7A18BB58-5044-4183-8322-BA7D60490CCB}" name="KSI_PMS" totalsRowFunction="sum" dataDxfId="720" totalsRowDxfId="719" dataCellStyle="Comma"/>
    <tableColumn id="4" xr3:uid="{9F7AC393-D9D0-4D21-9202-E79C0C6C9738}" name="BUIPE_AGO" totalsRowFunction="custom" dataDxfId="718" totalsRowDxfId="717" dataCellStyle="Comma">
      <totalsRowFormula>SUM(Nov18_2022[BUIPE_AGO])</totalsRowFormula>
    </tableColumn>
    <tableColumn id="5" xr3:uid="{B183635A-658A-4008-85C9-928607033297}" name="BUIPE_PMS" totalsRowFunction="custom" dataDxfId="716" totalsRowDxfId="715" dataCellStyle="Comma">
      <totalsRowFormula>SUM(Nov18_2022[BUIPE_PMS])</totalsRowFormula>
    </tableColumn>
    <tableColumn id="6" xr3:uid="{5DFD4612-1ADA-4F60-82D6-FFB5628E0C65}" name="AKOSOMBO_AGO" totalsRowFunction="custom" dataDxfId="714" totalsRowDxfId="713" dataCellStyle="Comma">
      <totalsRowFormula>SUM(Nov18_2022[AKOSOMBO_AGO])</totalsRowFormula>
    </tableColumn>
    <tableColumn id="7" xr3:uid="{91E3A94E-59E9-42DA-B2A5-5B74D728FDEB}" name="DATE" dataDxfId="712" totalsRowDxfId="711">
      <calculatedColumnFormula>$G$3</calculatedColumnFormula>
    </tableColumn>
  </tableColumns>
  <tableStyleInfo showFirstColumn="0" showLastColumn="0" showRowStripes="1" showColumnStripes="0"/>
</table>
</file>

<file path=xl/tables/table7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8" xr:uid="{7613CCB6-74F7-4566-919F-82A873FCF392}" name="Nov21_2022" displayName="Nov21_2022" ref="B5:H24" totalsRowCount="1" headerRowDxfId="710" headerRowBorderDxfId="709" tableBorderDxfId="708" totalsRowBorderDxfId="707">
  <autoFilter ref="B5:H23" xr:uid="{44AA011A-2ACC-4886-A69B-550EF3190476}"/>
  <sortState xmlns:xlrd2="http://schemas.microsoft.com/office/spreadsheetml/2017/richdata2" ref="B6:H23">
    <sortCondition ref="B6:B23"/>
  </sortState>
  <tableColumns count="7">
    <tableColumn id="1" xr3:uid="{534BB8E1-5E40-4FEF-A57E-0393649F4C15}" name="BDC LIST" totalsRowLabel="Total" dataDxfId="706" totalsRowDxfId="705"/>
    <tableColumn id="2" xr3:uid="{CC4699F3-BA91-44B9-BE1D-AE41B058E941}" name="KSI_AGO" totalsRowFunction="custom" dataDxfId="704" totalsRowDxfId="703" dataCellStyle="Comma">
      <totalsRowFormula>SUM(Nov21_2022[KSI_AGO])</totalsRowFormula>
    </tableColumn>
    <tableColumn id="3" xr3:uid="{296493D3-8794-4877-BB32-DAD8D3275A5A}" name="KSI_PMS" totalsRowFunction="sum" dataDxfId="702" totalsRowDxfId="701" dataCellStyle="Comma"/>
    <tableColumn id="4" xr3:uid="{94366801-413D-40A0-9AB8-D2E9DFA4FC4F}" name="BUIPE_AGO" totalsRowFunction="custom" dataDxfId="700" totalsRowDxfId="699" dataCellStyle="Comma">
      <totalsRowFormula>SUM(Nov21_2022[BUIPE_AGO])</totalsRowFormula>
    </tableColumn>
    <tableColumn id="5" xr3:uid="{7817ABB7-1003-4434-AADC-69A79C6C7DDE}" name="BUIPE_PMS" totalsRowFunction="custom" dataDxfId="698" totalsRowDxfId="697" dataCellStyle="Comma">
      <totalsRowFormula>SUM(Nov21_2022[BUIPE_PMS])</totalsRowFormula>
    </tableColumn>
    <tableColumn id="6" xr3:uid="{204D8AEE-793A-4D84-A23E-04FD65AD7332}" name="AKOSOMBO_AGO" totalsRowFunction="custom" dataDxfId="696" totalsRowDxfId="695" dataCellStyle="Comma">
      <totalsRowFormula>SUM(Nov21_2022[AKOSOMBO_AGO])</totalsRowFormula>
    </tableColumn>
    <tableColumn id="7" xr3:uid="{9B906B30-073C-41F7-9906-2DC67AFEC69A}" name="DATE" dataDxfId="694" totalsRowDxfId="693">
      <calculatedColumnFormula>$G$3</calculatedColumnFormula>
    </tableColumn>
  </tableColumns>
  <tableStyleInfo showFirstColumn="0" showLastColumn="0" showRowStripes="1" showColumnStripes="0"/>
</table>
</file>

<file path=xl/tables/table7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9" xr:uid="{AD530E1E-294B-4C69-BF86-DDACA177CCF5}" name="Nov22_2022" displayName="Nov22_2022" ref="B5:H24" totalsRowCount="1" headerRowDxfId="692" headerRowBorderDxfId="691" tableBorderDxfId="690" totalsRowBorderDxfId="689">
  <autoFilter ref="B5:H23" xr:uid="{44AA011A-2ACC-4886-A69B-550EF3190476}"/>
  <sortState xmlns:xlrd2="http://schemas.microsoft.com/office/spreadsheetml/2017/richdata2" ref="B6:H23">
    <sortCondition ref="B6:B23"/>
  </sortState>
  <tableColumns count="7">
    <tableColumn id="1" xr3:uid="{46954BC2-5565-4E1A-B9A9-35E89866EECB}" name="BDC LIST" totalsRowLabel="Total" dataDxfId="688" totalsRowDxfId="687"/>
    <tableColumn id="2" xr3:uid="{89D6D425-FA7D-41E8-8672-547BDBD491D9}" name="KSI_AGO" totalsRowFunction="custom" dataDxfId="686" totalsRowDxfId="685" dataCellStyle="Comma">
      <totalsRowFormula>SUM(Nov22_2022[KSI_AGO])</totalsRowFormula>
    </tableColumn>
    <tableColumn id="3" xr3:uid="{438259F6-90B1-4CB0-9FEE-605A3A025BD5}" name="KSI_PMS" totalsRowFunction="sum" dataDxfId="684" totalsRowDxfId="683" dataCellStyle="Comma"/>
    <tableColumn id="4" xr3:uid="{68F7A228-4D5D-4FD7-B9BE-4B3F4CA3574B}" name="BUIPE_AGO" totalsRowFunction="custom" dataDxfId="682" totalsRowDxfId="681" dataCellStyle="Comma">
      <totalsRowFormula>SUM(Nov22_2022[BUIPE_AGO])</totalsRowFormula>
    </tableColumn>
    <tableColumn id="5" xr3:uid="{830CC551-E1EE-49F0-99AC-FDE38E6FDFB5}" name="BUIPE_PMS" totalsRowFunction="custom" dataDxfId="680" totalsRowDxfId="679" dataCellStyle="Comma">
      <totalsRowFormula>SUM(Nov22_2022[BUIPE_PMS])</totalsRowFormula>
    </tableColumn>
    <tableColumn id="6" xr3:uid="{A029A9CA-17AE-4E34-926A-36FF0E7470F5}" name="AKOSOMBO_AGO" totalsRowFunction="custom" dataDxfId="678" totalsRowDxfId="677" dataCellStyle="Comma">
      <totalsRowFormula>SUM(Nov22_2022[AKOSOMBO_AGO])</totalsRowFormula>
    </tableColumn>
    <tableColumn id="7" xr3:uid="{08956322-6CC8-433E-A1A0-BF5BB3FB22B5}" name="DATE" dataDxfId="676" totalsRowDxfId="675">
      <calculatedColumnFormula>$G$3</calculatedColumnFormula>
    </tableColumn>
  </tableColumns>
  <tableStyleInfo showFirstColumn="0" showLastColumn="0" showRowStripes="1" showColumnStripes="0"/>
</table>
</file>

<file path=xl/tables/table7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0" xr:uid="{8D3F9B88-9C78-4C6D-8067-46A03D930B88}" name="Nov23_2022" displayName="Nov23_2022" ref="B5:H24" totalsRowCount="1" headerRowDxfId="674" headerRowBorderDxfId="673" tableBorderDxfId="672" totalsRowBorderDxfId="671">
  <autoFilter ref="B5:H23" xr:uid="{44AA011A-2ACC-4886-A69B-550EF3190476}"/>
  <sortState xmlns:xlrd2="http://schemas.microsoft.com/office/spreadsheetml/2017/richdata2" ref="B6:H23">
    <sortCondition ref="B6:B23"/>
  </sortState>
  <tableColumns count="7">
    <tableColumn id="1" xr3:uid="{393F8245-8367-42F5-927E-888B6482E4BC}" name="BDC LIST" totalsRowLabel="Total" dataDxfId="670" totalsRowDxfId="669"/>
    <tableColumn id="2" xr3:uid="{7262DCF5-D1A7-4E3F-91AF-1B31BB1832B0}" name="KSI_AGO" totalsRowFunction="custom" dataDxfId="668" totalsRowDxfId="667" dataCellStyle="Comma">
      <totalsRowFormula>SUM(Nov23_2022[KSI_AGO])</totalsRowFormula>
    </tableColumn>
    <tableColumn id="3" xr3:uid="{4137579E-6E62-4D28-B5CA-E62945F236DC}" name="KSI_PMS" totalsRowFunction="sum" dataDxfId="666" totalsRowDxfId="665" dataCellStyle="Comma"/>
    <tableColumn id="4" xr3:uid="{F10C5B67-F6E3-4D9F-97AD-AB935E0FE26E}" name="BUIPE_AGO" totalsRowFunction="custom" dataDxfId="664" totalsRowDxfId="663" dataCellStyle="Comma">
      <totalsRowFormula>SUM(Nov23_2022[BUIPE_AGO])</totalsRowFormula>
    </tableColumn>
    <tableColumn id="5" xr3:uid="{C69FB84F-5F85-4488-810C-754C81AC5175}" name="BUIPE_PMS" totalsRowFunction="custom" dataDxfId="662" totalsRowDxfId="661" dataCellStyle="Comma">
      <totalsRowFormula>SUM(Nov23_2022[BUIPE_PMS])</totalsRowFormula>
    </tableColumn>
    <tableColumn id="6" xr3:uid="{CF6B2AC8-E035-4830-A381-108474A45FD9}" name="AKOSOMBO_AGO" totalsRowFunction="custom" dataDxfId="660" totalsRowDxfId="659" dataCellStyle="Comma">
      <totalsRowFormula>SUM(Nov23_2022[AKOSOMBO_AGO])</totalsRowFormula>
    </tableColumn>
    <tableColumn id="7" xr3:uid="{D56E8D5D-F257-4887-87B8-88D60D2CE085}" name="DATE" dataDxfId="658" totalsRowDxfId="657">
      <calculatedColumnFormula>$G$3</calculatedColumnFormula>
    </tableColumn>
  </tableColumns>
  <tableStyleInfo showFirstColumn="0" showLastColumn="0" showRowStripes="1" showColumnStripes="0"/>
</table>
</file>

<file path=xl/tables/table7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1" xr:uid="{171EFDBA-9B72-4572-BA90-903E059FEC2B}" name="Nov24_2022" displayName="Nov24_2022" ref="B5:H24" totalsRowCount="1" headerRowDxfId="656" headerRowBorderDxfId="655" tableBorderDxfId="654" totalsRowBorderDxfId="653">
  <autoFilter ref="B5:H23" xr:uid="{44AA011A-2ACC-4886-A69B-550EF3190476}"/>
  <sortState xmlns:xlrd2="http://schemas.microsoft.com/office/spreadsheetml/2017/richdata2" ref="B6:H23">
    <sortCondition ref="B6:B23"/>
  </sortState>
  <tableColumns count="7">
    <tableColumn id="1" xr3:uid="{F9F72E0A-63FA-49A8-911E-A565923E5A9B}" name="BDC LIST" totalsRowLabel="Total" dataDxfId="652" totalsRowDxfId="651"/>
    <tableColumn id="2" xr3:uid="{A8C38D82-D0B9-4FD3-A4AD-814BC53464FD}" name="KSI_AGO" totalsRowFunction="custom" dataDxfId="650" totalsRowDxfId="649" dataCellStyle="Comma">
      <totalsRowFormula>SUM(Nov24_2022[KSI_AGO])</totalsRowFormula>
    </tableColumn>
    <tableColumn id="3" xr3:uid="{448BAE08-E581-4F4F-9F5D-D35882FD9B83}" name="KSI_PMS" totalsRowFunction="sum" dataDxfId="648" totalsRowDxfId="647" dataCellStyle="Comma"/>
    <tableColumn id="4" xr3:uid="{3F4ADB63-2677-4504-848B-90BCD663D8E3}" name="BUIPE_AGO" totalsRowFunction="custom" dataDxfId="646" totalsRowDxfId="645" dataCellStyle="Comma">
      <totalsRowFormula>SUM(Nov24_2022[BUIPE_AGO])</totalsRowFormula>
    </tableColumn>
    <tableColumn id="5" xr3:uid="{88DA0A8C-F805-412F-BCEC-196466472FF3}" name="BUIPE_PMS" totalsRowFunction="custom" dataDxfId="644" totalsRowDxfId="643" dataCellStyle="Comma">
      <totalsRowFormula>SUM(Nov24_2022[BUIPE_PMS])</totalsRowFormula>
    </tableColumn>
    <tableColumn id="6" xr3:uid="{E687BE4A-A565-49B5-99A8-FDD3E83D7E6B}" name="AKOSOMBO_AGO" totalsRowFunction="custom" dataDxfId="642" totalsRowDxfId="641" dataCellStyle="Comma">
      <totalsRowFormula>SUM(Nov24_2022[AKOSOMBO_AGO])</totalsRowFormula>
    </tableColumn>
    <tableColumn id="7" xr3:uid="{BBB5ADBE-FB94-4442-B845-B92C87631CD0}" name="DATE" dataDxfId="640" totalsRowDxfId="639">
      <calculatedColumnFormula>$G$3</calculatedColumnFormula>
    </tableColumn>
  </tableColumns>
  <tableStyleInfo showFirstColumn="0" showLastColumn="0" showRowStripes="1" showColumnStripes="0"/>
</table>
</file>

<file path=xl/tables/table7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2" xr:uid="{559D630E-A7C3-4852-A763-3EB991443A68}" name="Nov25_2022" displayName="Nov25_2022" ref="B5:H24" totalsRowCount="1" headerRowDxfId="638" headerRowBorderDxfId="637" tableBorderDxfId="636" totalsRowBorderDxfId="635">
  <autoFilter ref="B5:H23" xr:uid="{44AA011A-2ACC-4886-A69B-550EF3190476}"/>
  <sortState xmlns:xlrd2="http://schemas.microsoft.com/office/spreadsheetml/2017/richdata2" ref="B6:H23">
    <sortCondition ref="B6:B23"/>
  </sortState>
  <tableColumns count="7">
    <tableColumn id="1" xr3:uid="{845F3EE5-4753-436C-B1CE-CD4C98E73AE0}" name="BDC LIST" totalsRowLabel="Total" dataDxfId="634" totalsRowDxfId="633"/>
    <tableColumn id="2" xr3:uid="{CF6C8D13-5D06-4DC8-85EA-8875FFDE50EB}" name="KSI_AGO" totalsRowFunction="custom" dataDxfId="632" totalsRowDxfId="631" dataCellStyle="Comma">
      <totalsRowFormula>SUM(Nov25_2022[KSI_AGO])</totalsRowFormula>
    </tableColumn>
    <tableColumn id="3" xr3:uid="{5F237054-8077-49D2-8252-355A3883C02F}" name="KSI_PMS" totalsRowFunction="sum" dataDxfId="630" totalsRowDxfId="629" dataCellStyle="Comma"/>
    <tableColumn id="4" xr3:uid="{9C75665F-DA23-4F55-901B-BD811ACD56BC}" name="BUIPE_AGO" totalsRowFunction="custom" dataDxfId="628" totalsRowDxfId="627" dataCellStyle="Comma">
      <totalsRowFormula>SUM(Nov25_2022[BUIPE_AGO])</totalsRowFormula>
    </tableColumn>
    <tableColumn id="5" xr3:uid="{995B7843-23D1-4CF5-807E-5E7324D5C6FA}" name="BUIPE_PMS" totalsRowFunction="custom" dataDxfId="626" totalsRowDxfId="625" dataCellStyle="Comma">
      <totalsRowFormula>SUM(Nov25_2022[BUIPE_PMS])</totalsRowFormula>
    </tableColumn>
    <tableColumn id="6" xr3:uid="{E70AEDA0-6D85-46D6-85F8-40E48EC9D5A9}" name="AKOSOMBO_AGO" totalsRowFunction="custom" dataDxfId="624" totalsRowDxfId="623" dataCellStyle="Comma">
      <totalsRowFormula>SUM(Nov25_2022[AKOSOMBO_AGO])</totalsRowFormula>
    </tableColumn>
    <tableColumn id="7" xr3:uid="{B7DE4308-1BDC-4220-9F09-3FA7BB901520}" name="DATE" dataDxfId="622" totalsRowDxfId="621">
      <calculatedColumnFormula>$G$3</calculatedColumnFormula>
    </tableColumn>
  </tableColumns>
  <tableStyleInfo showFirstColumn="0" showLastColumn="0" showRowStripes="1" showColumnStripes="0"/>
</table>
</file>

<file path=xl/tables/table7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3" xr:uid="{0B60C2A9-F00A-420E-BEEF-474FE578517E}" name="Nov28_2022" displayName="Nov28_2022" ref="B5:H24" totalsRowCount="1" headerRowDxfId="620" headerRowBorderDxfId="619" tableBorderDxfId="618" totalsRowBorderDxfId="617">
  <autoFilter ref="B5:H23" xr:uid="{44AA011A-2ACC-4886-A69B-550EF3190476}"/>
  <sortState xmlns:xlrd2="http://schemas.microsoft.com/office/spreadsheetml/2017/richdata2" ref="B6:H23">
    <sortCondition ref="B6:B23"/>
  </sortState>
  <tableColumns count="7">
    <tableColumn id="1" xr3:uid="{D51815C7-2F45-417D-9BCE-3C11079CF842}" name="BDC LIST" totalsRowLabel="Total" dataDxfId="616" totalsRowDxfId="615"/>
    <tableColumn id="2" xr3:uid="{8C2722FC-57A9-4D56-B300-AE6434DE3A5A}" name="KSI_AGO" totalsRowFunction="custom" dataDxfId="614" totalsRowDxfId="613" dataCellStyle="Comma">
      <totalsRowFormula>SUM(Nov28_2022[KSI_AGO])</totalsRowFormula>
    </tableColumn>
    <tableColumn id="3" xr3:uid="{A3A952D2-C67E-447F-B02E-058C769AE82C}" name="KSI_PMS" totalsRowFunction="sum" dataDxfId="612" totalsRowDxfId="611" dataCellStyle="Comma"/>
    <tableColumn id="4" xr3:uid="{5F65560B-AB6B-4368-A733-C64557526883}" name="BUIPE_AGO" totalsRowFunction="custom" dataDxfId="610" totalsRowDxfId="609" dataCellStyle="Comma">
      <totalsRowFormula>SUM(Nov28_2022[BUIPE_AGO])</totalsRowFormula>
    </tableColumn>
    <tableColumn id="5" xr3:uid="{53E85FD8-8EE7-4E79-A289-561600D10270}" name="BUIPE_PMS" totalsRowFunction="custom" dataDxfId="608" totalsRowDxfId="607" dataCellStyle="Comma">
      <totalsRowFormula>SUM(Nov28_2022[BUIPE_PMS])</totalsRowFormula>
    </tableColumn>
    <tableColumn id="6" xr3:uid="{A0E1B979-67C7-4413-B7D5-21A6CA1F6A22}" name="AKOSOMBO_AGO" totalsRowFunction="custom" dataDxfId="606" totalsRowDxfId="605" dataCellStyle="Comma">
      <totalsRowFormula>SUM(Nov28_2022[AKOSOMBO_AGO])</totalsRowFormula>
    </tableColumn>
    <tableColumn id="7" xr3:uid="{12020CC2-4654-493A-84AF-1DE702255EEB}" name="DATE" dataDxfId="604" totalsRowDxfId="603">
      <calculatedColumnFormula>$G$3</calculatedColumnFormula>
    </tableColumn>
  </tableColumns>
  <tableStyleInfo showFirstColumn="0" showLastColumn="0" showRowStripes="1" showColumnStripes="0"/>
</table>
</file>

<file path=xl/tables/table7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4" xr:uid="{97916DEF-AE1C-4255-9F7E-73CBB5EB1BA8}" name="Nov29_2022" displayName="Nov29_2022" ref="B5:H24" totalsRowCount="1" headerRowDxfId="602" headerRowBorderDxfId="601" tableBorderDxfId="600" totalsRowBorderDxfId="599">
  <autoFilter ref="B5:H23" xr:uid="{44AA011A-2ACC-4886-A69B-550EF3190476}"/>
  <sortState xmlns:xlrd2="http://schemas.microsoft.com/office/spreadsheetml/2017/richdata2" ref="B6:H23">
    <sortCondition ref="B6:B23"/>
  </sortState>
  <tableColumns count="7">
    <tableColumn id="1" xr3:uid="{C58B7868-7875-46C2-B4DC-69EFCB466B92}" name="BDC LIST" totalsRowLabel="Total" dataDxfId="598" totalsRowDxfId="597"/>
    <tableColumn id="2" xr3:uid="{42289F81-A63E-41FE-81F7-C92F236F066E}" name="KSI_AGO" totalsRowFunction="custom" dataDxfId="596" totalsRowDxfId="595" dataCellStyle="Comma">
      <totalsRowFormula>SUM(Nov29_2022[KSI_AGO])</totalsRowFormula>
    </tableColumn>
    <tableColumn id="3" xr3:uid="{B08E00E3-9FBB-4E70-92A2-7A4F8EC37B20}" name="KSI_PMS" totalsRowFunction="sum" dataDxfId="594" totalsRowDxfId="593" dataCellStyle="Comma"/>
    <tableColumn id="4" xr3:uid="{86B57A56-C7D0-402C-899E-1122EEDB0D9F}" name="BUIPE_AGO" totalsRowFunction="custom" dataDxfId="592" totalsRowDxfId="591" dataCellStyle="Comma">
      <totalsRowFormula>SUM(Nov29_2022[BUIPE_AGO])</totalsRowFormula>
    </tableColumn>
    <tableColumn id="5" xr3:uid="{473D2C93-6117-4FA4-9D81-34B87BA4C0D7}" name="BUIPE_PMS" totalsRowFunction="custom" dataDxfId="590" totalsRowDxfId="589" dataCellStyle="Comma">
      <totalsRowFormula>SUM(Nov29_2022[BUIPE_PMS])</totalsRowFormula>
    </tableColumn>
    <tableColumn id="6" xr3:uid="{47A5846B-6741-4FC8-8EAF-A39F117574FD}" name="AKOSOMBO_AGO" totalsRowFunction="custom" dataDxfId="588" totalsRowDxfId="587" dataCellStyle="Comma">
      <totalsRowFormula>SUM(Nov29_2022[AKOSOMBO_AGO])</totalsRowFormula>
    </tableColumn>
    <tableColumn id="7" xr3:uid="{D21C55A2-ED98-45C3-B8EA-F6A68C2DCB69}" name="DATE" dataDxfId="586" totalsRowDxfId="585">
      <calculatedColumnFormula>$G$3</calculatedColumnFormula>
    </tableColumn>
  </tableColumns>
  <tableStyleInfo showFirstColumn="0" showLastColumn="0" showRowStripes="1" showColumnStripes="0"/>
</table>
</file>

<file path=xl/tables/table7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5" xr:uid="{6B45AC6D-7C03-458D-8E56-DAC2619B34B5}" name="Nov30_2022" displayName="Nov30_2022" ref="B5:H24" totalsRowCount="1" headerRowDxfId="584" headerRowBorderDxfId="583" tableBorderDxfId="582" totalsRowBorderDxfId="581">
  <autoFilter ref="B5:H23" xr:uid="{44AA011A-2ACC-4886-A69B-550EF3190476}"/>
  <sortState xmlns:xlrd2="http://schemas.microsoft.com/office/spreadsheetml/2017/richdata2" ref="B6:H23">
    <sortCondition ref="B6:B23"/>
  </sortState>
  <tableColumns count="7">
    <tableColumn id="1" xr3:uid="{E51EA17B-46C7-41B9-863A-FD6B879F12FE}" name="BDC LIST" totalsRowLabel="Total" dataDxfId="580" totalsRowDxfId="579"/>
    <tableColumn id="2" xr3:uid="{A49F3B06-1D58-4F73-833C-00F1E5F36017}" name="KSI_AGO" totalsRowFunction="custom" dataDxfId="578" totalsRowDxfId="577" dataCellStyle="Comma">
      <totalsRowFormula>SUM(Nov30_2022[KSI_AGO])</totalsRowFormula>
    </tableColumn>
    <tableColumn id="3" xr3:uid="{F903BB8E-CFF5-4E99-B9C5-B4BE26BF1A33}" name="KSI_PMS" totalsRowFunction="sum" dataDxfId="576" totalsRowDxfId="575" dataCellStyle="Comma"/>
    <tableColumn id="4" xr3:uid="{DF9B067B-1C99-46A8-8CB9-6AD8E20F4786}" name="BUIPE_AGO" totalsRowFunction="custom" dataDxfId="574" totalsRowDxfId="573" dataCellStyle="Comma">
      <totalsRowFormula>SUM(Nov30_2022[BUIPE_AGO])</totalsRowFormula>
    </tableColumn>
    <tableColumn id="5" xr3:uid="{ACDD7251-3EEB-485C-BAD0-3B7D1F4FEBD0}" name="BUIPE_PMS" totalsRowFunction="custom" dataDxfId="572" totalsRowDxfId="571" dataCellStyle="Comma">
      <totalsRowFormula>SUM(Nov30_2022[BUIPE_PMS])</totalsRowFormula>
    </tableColumn>
    <tableColumn id="6" xr3:uid="{3C1BCA01-D76B-4081-B138-FE5BD6C3BE47}" name="AKOSOMBO_AGO" totalsRowFunction="custom" dataDxfId="570" totalsRowDxfId="569" dataCellStyle="Comma">
      <totalsRowFormula>SUM(Nov30_2022[AKOSOMBO_AGO])</totalsRowFormula>
    </tableColumn>
    <tableColumn id="7" xr3:uid="{249B89E6-056D-4C01-A5BA-FDA978D27B9F}" name="DATE" dataDxfId="568" totalsRowDxfId="567">
      <calculatedColumnFormula>$G$3</calculatedColumnFormula>
    </tableColumn>
  </tableColumns>
  <tableStyleInfo showFirstColumn="0" showLastColumn="0" showRowStripes="1" showColumnStripes="0"/>
</table>
</file>

<file path=xl/tables/table7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6" xr:uid="{28B4C051-41F6-4335-9537-D673D4643534}" name="Dec01_2022" displayName="Dec01_2022" ref="B5:H24" totalsRowCount="1" headerRowDxfId="566" headerRowBorderDxfId="565" tableBorderDxfId="564" totalsRowBorderDxfId="563">
  <autoFilter ref="B5:H23" xr:uid="{44AA011A-2ACC-4886-A69B-550EF3190476}"/>
  <sortState xmlns:xlrd2="http://schemas.microsoft.com/office/spreadsheetml/2017/richdata2" ref="B6:H23">
    <sortCondition ref="B6:B23"/>
  </sortState>
  <tableColumns count="7">
    <tableColumn id="1" xr3:uid="{CAD4DCA2-8B47-4336-85EF-74484B8E4B1D}" name="BDC LIST" totalsRowLabel="Total" dataDxfId="562" totalsRowDxfId="561"/>
    <tableColumn id="2" xr3:uid="{1BF5E7C1-2238-4EA5-B361-9986D8D1CBA0}" name="KSI_AGO" totalsRowFunction="custom" dataDxfId="560" totalsRowDxfId="559" dataCellStyle="Comma">
      <totalsRowFormula>SUM(Dec01_2022[KSI_AGO])</totalsRowFormula>
    </tableColumn>
    <tableColumn id="3" xr3:uid="{A6C411C9-3A00-4C10-A410-33599290B044}" name="KSI_PMS" totalsRowFunction="sum" dataDxfId="558" totalsRowDxfId="557" dataCellStyle="Comma"/>
    <tableColumn id="4" xr3:uid="{87037613-F80A-4FE9-B6BA-8BCD792D01EF}" name="BUIPE_AGO" totalsRowFunction="custom" dataDxfId="556" totalsRowDxfId="555" dataCellStyle="Comma">
      <totalsRowFormula>SUM(Dec01_2022[BUIPE_AGO])</totalsRowFormula>
    </tableColumn>
    <tableColumn id="5" xr3:uid="{165DA9B4-A3EA-441C-8732-F5507E75960C}" name="BUIPE_PMS" totalsRowFunction="custom" dataDxfId="554" totalsRowDxfId="553" dataCellStyle="Comma">
      <totalsRowFormula>SUM(Dec01_2022[BUIPE_PMS])</totalsRowFormula>
    </tableColumn>
    <tableColumn id="6" xr3:uid="{701287D5-8E97-4295-B494-DF71407A7990}" name="AKOSOMBO_AGO" totalsRowFunction="custom" dataDxfId="552" totalsRowDxfId="551" dataCellStyle="Comma">
      <totalsRowFormula>SUM(Dec01_2022[AKOSOMBO_AGO])</totalsRowFormula>
    </tableColumn>
    <tableColumn id="7" xr3:uid="{539E3AA0-A227-4CA1-9D73-BBD4E97D72DD}" name="DATE" dataDxfId="550" totalsRowDxfId="549">
      <calculatedColumnFormula>$G$3</calculatedColumnFormula>
    </tableColumn>
  </tableColumns>
  <tableStyleInfo showFirstColumn="0" showLastColumn="0" showRowStripes="1" showColumnStripes="0"/>
</table>
</file>

<file path=xl/tables/table7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7" xr:uid="{E3CAFCD9-A2C7-449C-A0E7-0750C9DF949E}" name="Dec05_20222" displayName="Dec05_20222" ref="B5:H24" totalsRowCount="1" headerRowDxfId="548" headerRowBorderDxfId="547" tableBorderDxfId="546" totalsRowBorderDxfId="545">
  <autoFilter ref="B5:H23" xr:uid="{44AA011A-2ACC-4886-A69B-550EF3190476}"/>
  <sortState xmlns:xlrd2="http://schemas.microsoft.com/office/spreadsheetml/2017/richdata2" ref="B6:H23">
    <sortCondition ref="B6:B23"/>
  </sortState>
  <tableColumns count="7">
    <tableColumn id="1" xr3:uid="{877BCC76-67F7-45B4-8AA9-2741D053DDFF}" name="BDC LIST" totalsRowLabel="Total" dataDxfId="544" totalsRowDxfId="543"/>
    <tableColumn id="2" xr3:uid="{8B8AA179-B2B1-40DF-8958-9C8927ADB5EA}" name="KSI_AGO" totalsRowFunction="custom" dataDxfId="542" totalsRowDxfId="541" dataCellStyle="Comma">
      <totalsRowFormula>SUM(Dec05_20222[KSI_AGO])</totalsRowFormula>
    </tableColumn>
    <tableColumn id="3" xr3:uid="{EC64A37C-FD57-472B-99A9-C24DB905EEDC}" name="KSI_PMS" totalsRowFunction="sum" dataDxfId="540" totalsRowDxfId="539" dataCellStyle="Comma"/>
    <tableColumn id="4" xr3:uid="{89B4642E-3B46-4A37-8797-AB72CE854681}" name="BUIPE_AGO" totalsRowFunction="custom" dataDxfId="538" totalsRowDxfId="537" dataCellStyle="Comma">
      <totalsRowFormula>SUM(Dec05_20222[BUIPE_AGO])</totalsRowFormula>
    </tableColumn>
    <tableColumn id="5" xr3:uid="{63DC0FAC-8A67-461D-9654-0FB46C93EDFE}" name="BUIPE_PMS" totalsRowFunction="custom" dataDxfId="536" totalsRowDxfId="535" dataCellStyle="Comma">
      <totalsRowFormula>SUM(Dec05_20222[BUIPE_PMS])</totalsRowFormula>
    </tableColumn>
    <tableColumn id="6" xr3:uid="{9F9FA99E-3D40-43F7-A130-E2559EC3F2A6}" name="AKOSOMBO_AGO" totalsRowFunction="custom" dataDxfId="534" totalsRowDxfId="533" dataCellStyle="Comma">
      <totalsRowFormula>SUM(Dec05_20222[AKOSOMBO_AGO])</totalsRowFormula>
    </tableColumn>
    <tableColumn id="7" xr3:uid="{A2D43EA4-1773-43C3-8DA4-99C1E76AD6B8}" name="DATE" dataDxfId="532" totalsRowDxfId="531">
      <calculatedColumnFormula>$G$3</calculatedColumnFormula>
    </tableColumn>
  </tableColumns>
  <tableStyleInfo showFirstColumn="0" showLastColumn="0" showRowStripes="1" showColumnStripes="0"/>
</table>
</file>

<file path=xl/tables/table7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9" xr:uid="{CE201AF9-38BE-4868-BB17-66C6ED1B3625}" name="Dec06_2022" displayName="Dec06_2022" ref="B5:H24" totalsRowCount="1" headerRowDxfId="530" headerRowBorderDxfId="529" tableBorderDxfId="528" totalsRowBorderDxfId="527">
  <autoFilter ref="B5:H23" xr:uid="{44AA011A-2ACC-4886-A69B-550EF3190476}"/>
  <sortState xmlns:xlrd2="http://schemas.microsoft.com/office/spreadsheetml/2017/richdata2" ref="B6:H23">
    <sortCondition ref="B6:B23"/>
  </sortState>
  <tableColumns count="7">
    <tableColumn id="1" xr3:uid="{84841806-56C3-48BF-B7B5-395E224A2DBD}" name="BDC LIST" totalsRowLabel="Total" dataDxfId="526" totalsRowDxfId="525"/>
    <tableColumn id="2" xr3:uid="{BF9E2928-B288-48D2-996B-F8661EF8E555}" name="KSI_AGO" totalsRowFunction="custom" dataDxfId="524" totalsRowDxfId="523" dataCellStyle="Comma">
      <totalsRowFormula>SUM(Dec06_2022[KSI_AGO])</totalsRowFormula>
    </tableColumn>
    <tableColumn id="3" xr3:uid="{24CC6154-41BC-4DBC-BC33-3DB8F2911C0A}" name="KSI_PMS" totalsRowFunction="sum" dataDxfId="522" totalsRowDxfId="521" dataCellStyle="Comma"/>
    <tableColumn id="4" xr3:uid="{FFF4E097-09D8-46D1-879C-EEF822B486F7}" name="BUIPE_AGO" totalsRowFunction="custom" dataDxfId="520" totalsRowDxfId="519" dataCellStyle="Comma">
      <totalsRowFormula>SUM(Dec06_2022[BUIPE_AGO])</totalsRowFormula>
    </tableColumn>
    <tableColumn id="5" xr3:uid="{DFB722C6-DE64-422A-B9E4-1E088C70E4B7}" name="BUIPE_PMS" totalsRowFunction="custom" dataDxfId="518" totalsRowDxfId="517" dataCellStyle="Comma">
      <totalsRowFormula>SUM(Dec06_2022[BUIPE_PMS])</totalsRowFormula>
    </tableColumn>
    <tableColumn id="6" xr3:uid="{6CC4DF87-700B-414B-B81C-6C1A8F62AA27}" name="AKOSOMBO_AGO" totalsRowFunction="custom" dataDxfId="516" totalsRowDxfId="515" dataCellStyle="Comma">
      <totalsRowFormula>SUM(Dec06_2022[AKOSOMBO_AGO])</totalsRowFormula>
    </tableColumn>
    <tableColumn id="7" xr3:uid="{AF165D54-A5ED-4B07-87FF-1BDD70F7186C}" name="DATE" dataDxfId="514" totalsRowDxfId="513">
      <calculatedColumnFormula>$G$3</calculatedColumnFormula>
    </tableColumn>
  </tableColumns>
  <tableStyleInfo showFirstColumn="0" showLastColumn="0" showRowStripes="1" showColumnStripes="0"/>
</table>
</file>

<file path=xl/tables/table7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8" xr:uid="{04537BC9-919A-48A9-9696-482E44DEC4FF}" name="Dec07_2022" displayName="Dec07_2022" ref="B5:H24" totalsRowCount="1" headerRowDxfId="512" headerRowBorderDxfId="511" tableBorderDxfId="510" totalsRowBorderDxfId="509">
  <autoFilter ref="B5:H23" xr:uid="{44AA011A-2ACC-4886-A69B-550EF3190476}"/>
  <sortState xmlns:xlrd2="http://schemas.microsoft.com/office/spreadsheetml/2017/richdata2" ref="B6:H23">
    <sortCondition ref="B6:B23"/>
  </sortState>
  <tableColumns count="7">
    <tableColumn id="1" xr3:uid="{1D2A7E47-AA16-47FA-A622-E537E4A0E6B2}" name="BDC LIST" totalsRowLabel="Total" dataDxfId="508" totalsRowDxfId="507"/>
    <tableColumn id="2" xr3:uid="{8E3674A2-4445-4E11-9054-F3D05282D346}" name="KSI_AGO" totalsRowFunction="custom" dataDxfId="506" totalsRowDxfId="505" dataCellStyle="Comma">
      <totalsRowFormula>SUM(Dec07_2022[KSI_AGO])</totalsRowFormula>
    </tableColumn>
    <tableColumn id="3" xr3:uid="{94E7949D-78A0-44B2-8C85-516D3D17B7F6}" name="KSI_PMS" totalsRowFunction="sum" dataDxfId="504" totalsRowDxfId="503" dataCellStyle="Comma"/>
    <tableColumn id="4" xr3:uid="{511255A8-256F-454C-AF23-3E4424E0CA48}" name="BUIPE_AGO" totalsRowFunction="custom" dataDxfId="502" totalsRowDxfId="501" dataCellStyle="Comma">
      <totalsRowFormula>SUM(Dec07_2022[BUIPE_AGO])</totalsRowFormula>
    </tableColumn>
    <tableColumn id="5" xr3:uid="{ECADCC63-5C19-4F52-862F-13B143415333}" name="BUIPE_PMS" totalsRowFunction="custom" dataDxfId="500" totalsRowDxfId="499" dataCellStyle="Comma">
      <totalsRowFormula>SUM(Dec07_2022[BUIPE_PMS])</totalsRowFormula>
    </tableColumn>
    <tableColumn id="6" xr3:uid="{45C46E08-3FFF-4D27-A25D-D13BC2595583}" name="AKOSOMBO_AGO" totalsRowFunction="custom" dataDxfId="498" totalsRowDxfId="497" dataCellStyle="Comma">
      <totalsRowFormula>SUM(Dec07_2022[AKOSOMBO_AGO])</totalsRowFormula>
    </tableColumn>
    <tableColumn id="7" xr3:uid="{D907B812-157E-4094-9824-782694E24668}" name="DATE" dataDxfId="496" totalsRowDxfId="495">
      <calculatedColumnFormula>$G$3</calculatedColumnFormula>
    </tableColumn>
  </tableColumns>
  <tableStyleInfo showFirstColumn="0" showLastColumn="0" showRowStripes="1" showColumnStripes="0"/>
</table>
</file>

<file path=xl/tables/table7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0" xr:uid="{B99CCB30-58A2-4A1C-A173-80259AEA18AA}" name="Dec08_2022" displayName="Dec08_2022" ref="B5:H24" totalsRowCount="1" headerRowDxfId="494" headerRowBorderDxfId="493" tableBorderDxfId="492" totalsRowBorderDxfId="491">
  <autoFilter ref="B5:H23" xr:uid="{44AA011A-2ACC-4886-A69B-550EF3190476}"/>
  <sortState xmlns:xlrd2="http://schemas.microsoft.com/office/spreadsheetml/2017/richdata2" ref="B6:H23">
    <sortCondition ref="B6:B23"/>
  </sortState>
  <tableColumns count="7">
    <tableColumn id="1" xr3:uid="{DACDEFCD-8C63-4C56-B3A9-63FC7C0C2FA2}" name="BDC LIST" totalsRowLabel="Total" dataDxfId="490" totalsRowDxfId="489"/>
    <tableColumn id="2" xr3:uid="{D5C60CFC-EFC7-4DB3-9399-187CBF3D43FC}" name="KSI_AGO" totalsRowFunction="custom" dataDxfId="488" totalsRowDxfId="487" dataCellStyle="Comma">
      <totalsRowFormula>SUM(Dec08_2022[KSI_AGO])</totalsRowFormula>
    </tableColumn>
    <tableColumn id="3" xr3:uid="{4E122EA9-88AA-4439-9689-2EC736A9AB57}" name="KSI_PMS" totalsRowFunction="sum" dataDxfId="486" totalsRowDxfId="485" dataCellStyle="Comma"/>
    <tableColumn id="4" xr3:uid="{CDE70DC3-229E-4D8C-ABAD-9B483B1DD7A2}" name="BUIPE_AGO" totalsRowFunction="custom" dataDxfId="484" totalsRowDxfId="483" dataCellStyle="Comma">
      <totalsRowFormula>SUM(Dec08_2022[BUIPE_AGO])</totalsRowFormula>
    </tableColumn>
    <tableColumn id="5" xr3:uid="{C76CC212-51C7-4330-B49E-AA857867CE3C}" name="BUIPE_PMS" totalsRowFunction="custom" dataDxfId="482" totalsRowDxfId="481" dataCellStyle="Comma">
      <totalsRowFormula>SUM(Dec08_2022[BUIPE_PMS])</totalsRowFormula>
    </tableColumn>
    <tableColumn id="6" xr3:uid="{CF778C9A-D4C9-48BF-9460-116C1BB411B6}" name="AKOSOMBO_AGO" totalsRowFunction="custom" dataDxfId="480" totalsRowDxfId="479" dataCellStyle="Comma">
      <totalsRowFormula>SUM(Dec08_2022[AKOSOMBO_AGO])</totalsRowFormula>
    </tableColumn>
    <tableColumn id="7" xr3:uid="{1C188E32-BE96-43E1-A57E-35B52BD13F62}" name="DATE" dataDxfId="478" totalsRowDxfId="477">
      <calculatedColumnFormula>$G$3</calculatedColumnFormula>
    </tableColumn>
  </tableColumns>
  <tableStyleInfo showFirstColumn="0" showLastColumn="0" showRowStripes="1" showColumnStripes="0"/>
</table>
</file>

<file path=xl/tables/table7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1" xr:uid="{058AD769-8B04-44FF-8C2D-0F11ACEFEB0C}" name="Dec09_2022" displayName="Dec09_2022" ref="B5:H24" totalsRowCount="1" headerRowDxfId="476" headerRowBorderDxfId="475" tableBorderDxfId="474" totalsRowBorderDxfId="473">
  <autoFilter ref="B5:H23" xr:uid="{44AA011A-2ACC-4886-A69B-550EF3190476}"/>
  <sortState xmlns:xlrd2="http://schemas.microsoft.com/office/spreadsheetml/2017/richdata2" ref="B6:H23">
    <sortCondition ref="B6:B23"/>
  </sortState>
  <tableColumns count="7">
    <tableColumn id="1" xr3:uid="{B6F4FF7D-1F43-4D78-949F-6092F19F356B}" name="BDC LIST" totalsRowLabel="Total" dataDxfId="472" totalsRowDxfId="471"/>
    <tableColumn id="2" xr3:uid="{E36B5048-F4FB-4564-BCA1-96CC83DE2355}" name="KSI_AGO" totalsRowFunction="custom" dataDxfId="470" totalsRowDxfId="469" dataCellStyle="Comma">
      <totalsRowFormula>SUM(Dec09_2022[KSI_AGO])</totalsRowFormula>
    </tableColumn>
    <tableColumn id="3" xr3:uid="{DDE7D07E-CB93-437A-AAF4-627524C5ED23}" name="KSI_PMS" totalsRowFunction="sum" dataDxfId="468" totalsRowDxfId="467" dataCellStyle="Comma"/>
    <tableColumn id="4" xr3:uid="{236E5F73-FFDB-4AC1-A4DA-B25712D7A892}" name="BUIPE_AGO" totalsRowFunction="custom" dataDxfId="466" totalsRowDxfId="465" dataCellStyle="Comma">
      <totalsRowFormula>SUM(Dec09_2022[BUIPE_AGO])</totalsRowFormula>
    </tableColumn>
    <tableColumn id="5" xr3:uid="{EA3B47E2-0262-4776-9CCF-9CE7014BE22B}" name="BUIPE_PMS" totalsRowFunction="custom" dataDxfId="464" totalsRowDxfId="463" dataCellStyle="Comma">
      <totalsRowFormula>SUM(Dec09_2022[BUIPE_PMS])</totalsRowFormula>
    </tableColumn>
    <tableColumn id="6" xr3:uid="{D09D94A5-6170-49DC-B9E6-D8AA0BB24D9F}" name="AKOSOMBO_AGO" totalsRowFunction="custom" dataDxfId="462" totalsRowDxfId="461" dataCellStyle="Comma">
      <totalsRowFormula>SUM(Dec09_2022[AKOSOMBO_AGO])</totalsRowFormula>
    </tableColumn>
    <tableColumn id="7" xr3:uid="{43CF46A0-E171-4D37-94BC-76BA3FBA7481}" name="DATE" dataDxfId="460" totalsRowDxfId="459">
      <calculatedColumnFormula>$G$3</calculatedColumnFormula>
    </tableColumn>
  </tableColumns>
  <tableStyleInfo showFirstColumn="0" showLastColumn="0" showRowStripes="1" showColumnStripes="0"/>
</table>
</file>

<file path=xl/tables/table7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2" xr:uid="{0DEDC291-4B4E-486A-AE71-52C78BA60705}" name="Dec12_2022" displayName="Dec12_2022" ref="B5:H24" totalsRowCount="1" headerRowDxfId="458" headerRowBorderDxfId="457" tableBorderDxfId="456" totalsRowBorderDxfId="455">
  <autoFilter ref="B5:H23" xr:uid="{44AA011A-2ACC-4886-A69B-550EF3190476}"/>
  <sortState xmlns:xlrd2="http://schemas.microsoft.com/office/spreadsheetml/2017/richdata2" ref="B6:H23">
    <sortCondition ref="B6:B23"/>
  </sortState>
  <tableColumns count="7">
    <tableColumn id="1" xr3:uid="{436D7B62-2F8D-4F71-81B1-151D30245EEC}" name="BDC LIST" totalsRowLabel="Total" dataDxfId="454" totalsRowDxfId="453"/>
    <tableColumn id="2" xr3:uid="{E156A315-AFDB-4524-8A31-3CA5BAB015C5}" name="KSI_AGO" totalsRowFunction="custom" dataDxfId="452" totalsRowDxfId="451" dataCellStyle="Comma">
      <totalsRowFormula>SUM(Dec12_2022[KSI_AGO])</totalsRowFormula>
    </tableColumn>
    <tableColumn id="3" xr3:uid="{DF105C4C-3C92-4361-B048-9710BC0D1F7D}" name="KSI_PMS" totalsRowFunction="sum" dataDxfId="450" totalsRowDxfId="449" dataCellStyle="Comma"/>
    <tableColumn id="4" xr3:uid="{F06D6E7A-9B3B-46DF-8193-D1C5C69CB539}" name="BUIPE_AGO" totalsRowFunction="custom" dataDxfId="448" totalsRowDxfId="447" dataCellStyle="Comma">
      <totalsRowFormula>SUM(Dec12_2022[BUIPE_AGO])</totalsRowFormula>
    </tableColumn>
    <tableColumn id="5" xr3:uid="{1F3DDEB1-306D-4D12-A430-FEE8795B7FD2}" name="BUIPE_PMS" totalsRowFunction="custom" dataDxfId="446" totalsRowDxfId="445" dataCellStyle="Comma">
      <totalsRowFormula>SUM(Dec12_2022[BUIPE_PMS])</totalsRowFormula>
    </tableColumn>
    <tableColumn id="6" xr3:uid="{C5FACB00-078A-4EC4-B27D-E86A43D219F4}" name="AKOSOMBO_AGO" totalsRowFunction="custom" dataDxfId="444" totalsRowDxfId="443" dataCellStyle="Comma">
      <totalsRowFormula>SUM(Dec12_2022[AKOSOMBO_AGO])</totalsRowFormula>
    </tableColumn>
    <tableColumn id="7" xr3:uid="{733AFF20-A54F-470D-A646-D713D036AE27}" name="DATE" dataDxfId="442" totalsRowDxfId="441">
      <calculatedColumnFormula>$G$3</calculatedColumnFormula>
    </tableColumn>
  </tableColumns>
  <tableStyleInfo showFirstColumn="0" showLastColumn="0" showRowStripes="1" showColumnStripes="0"/>
</table>
</file>

<file path=xl/tables/table7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3" xr:uid="{B72970E8-2484-4767-810D-912919CDE99A}" name="Dec13_2022" displayName="Dec13_2022" ref="B5:H24" totalsRowCount="1" headerRowDxfId="440" headerRowBorderDxfId="439" tableBorderDxfId="438" totalsRowBorderDxfId="437">
  <autoFilter ref="B5:H23" xr:uid="{44AA011A-2ACC-4886-A69B-550EF3190476}"/>
  <sortState xmlns:xlrd2="http://schemas.microsoft.com/office/spreadsheetml/2017/richdata2" ref="B6:H23">
    <sortCondition ref="B6:B23"/>
  </sortState>
  <tableColumns count="7">
    <tableColumn id="1" xr3:uid="{3894E707-3537-4227-98BA-A8820069749E}" name="BDC LIST" totalsRowLabel="Total" dataDxfId="436" totalsRowDxfId="435"/>
    <tableColumn id="2" xr3:uid="{759656F8-5E7D-4B33-B609-172A27EF837E}" name="KSI_AGO" totalsRowFunction="custom" dataDxfId="434" totalsRowDxfId="433" dataCellStyle="Comma">
      <totalsRowFormula>SUM(Dec13_2022[KSI_AGO])</totalsRowFormula>
    </tableColumn>
    <tableColumn id="3" xr3:uid="{F98E9A2E-9F28-4030-8A0D-AF5FD189D556}" name="KSI_PMS" totalsRowFunction="sum" dataDxfId="432" totalsRowDxfId="431" dataCellStyle="Comma"/>
    <tableColumn id="4" xr3:uid="{C843EF19-49DD-433B-9F8A-8E657F039C1E}" name="BUIPE_AGO" totalsRowFunction="custom" dataDxfId="430" totalsRowDxfId="429" dataCellStyle="Comma">
      <totalsRowFormula>SUM(Dec13_2022[BUIPE_AGO])</totalsRowFormula>
    </tableColumn>
    <tableColumn id="5" xr3:uid="{B9C01271-D526-4492-B9F4-A1B7365BFE5D}" name="BUIPE_PMS" totalsRowFunction="custom" dataDxfId="428" totalsRowDxfId="427" dataCellStyle="Comma">
      <totalsRowFormula>SUM(Dec13_2022[BUIPE_PMS])</totalsRowFormula>
    </tableColumn>
    <tableColumn id="6" xr3:uid="{D42E062A-8FFB-459A-8D27-0FBB5EE57CA4}" name="AKOSOMBO_AGO" totalsRowFunction="custom" dataDxfId="426" totalsRowDxfId="425" dataCellStyle="Comma">
      <totalsRowFormula>SUM(Dec13_2022[AKOSOMBO_AGO])</totalsRowFormula>
    </tableColumn>
    <tableColumn id="7" xr3:uid="{5E79E712-F8D3-49A0-A2B6-0ECD299DDA99}" name="DATE" dataDxfId="424" totalsRowDxfId="423">
      <calculatedColumnFormula>$G$3</calculatedColumnFormula>
    </tableColumn>
  </tableColumns>
  <tableStyleInfo showFirstColumn="0" showLastColumn="0" showRowStripes="1" showColumnStripes="0"/>
</table>
</file>

<file path=xl/tables/table7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4" xr:uid="{B6A14D8C-C77F-479F-A601-CD74CD4820BC}" name="Dec14_2022" displayName="Dec14_2022" ref="B5:H24" totalsRowCount="1" headerRowDxfId="422" headerRowBorderDxfId="421" tableBorderDxfId="420" totalsRowBorderDxfId="419">
  <autoFilter ref="B5:H23" xr:uid="{44AA011A-2ACC-4886-A69B-550EF3190476}"/>
  <sortState xmlns:xlrd2="http://schemas.microsoft.com/office/spreadsheetml/2017/richdata2" ref="B6:H23">
    <sortCondition ref="B6:B23"/>
  </sortState>
  <tableColumns count="7">
    <tableColumn id="1" xr3:uid="{F3D4CDA6-2A0E-4016-BEE3-6056557D6F75}" name="BDC LIST" totalsRowLabel="Total" dataDxfId="418" totalsRowDxfId="417"/>
    <tableColumn id="2" xr3:uid="{A064D8A8-D0D1-4EF8-B073-C554DB5400E3}" name="KSI_AGO" totalsRowFunction="custom" dataDxfId="416" totalsRowDxfId="415" dataCellStyle="Comma">
      <totalsRowFormula>SUM(Dec14_2022[KSI_AGO])</totalsRowFormula>
    </tableColumn>
    <tableColumn id="3" xr3:uid="{0CACAF1D-4366-4EF5-9AE4-1171375F53D3}" name="KSI_PMS" totalsRowFunction="sum" dataDxfId="414" totalsRowDxfId="413" dataCellStyle="Comma"/>
    <tableColumn id="4" xr3:uid="{333E1BC9-405A-4447-BB1D-09D70098249F}" name="BUIPE_AGO" totalsRowFunction="custom" dataDxfId="412" totalsRowDxfId="411" dataCellStyle="Comma">
      <totalsRowFormula>SUM(Dec14_2022[BUIPE_AGO])</totalsRowFormula>
    </tableColumn>
    <tableColumn id="5" xr3:uid="{DEA3E52F-1566-47A0-992D-759690C041DF}" name="BUIPE_PMS" totalsRowFunction="custom" dataDxfId="410" totalsRowDxfId="409" dataCellStyle="Comma">
      <totalsRowFormula>SUM(Dec14_2022[BUIPE_PMS])</totalsRowFormula>
    </tableColumn>
    <tableColumn id="6" xr3:uid="{8838CCF4-844E-46B6-9E48-7B6C396CD94D}" name="AKOSOMBO_AGO" totalsRowFunction="custom" dataDxfId="408" totalsRowDxfId="407" dataCellStyle="Comma">
      <totalsRowFormula>SUM(Dec14_2022[AKOSOMBO_AGO])</totalsRowFormula>
    </tableColumn>
    <tableColumn id="7" xr3:uid="{3583213B-2271-43D8-A7E2-DE826846DB0A}" name="DATE" dataDxfId="406" totalsRowDxfId="405">
      <calculatedColumnFormula>$G$3</calculatedColumnFormula>
    </tableColumn>
  </tableColumns>
  <tableStyleInfo showFirstColumn="0" showLastColumn="0" showRowStripes="1" showColumnStripes="0"/>
</table>
</file>

<file path=xl/tables/table7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5" xr:uid="{2FB2603B-0BF5-497F-B04E-8E19325AE08E}" name="Dec15_2022" displayName="Dec15_2022" ref="B5:H24" totalsRowCount="1" headerRowDxfId="404" headerRowBorderDxfId="403" tableBorderDxfId="402" totalsRowBorderDxfId="401">
  <autoFilter ref="B5:H23" xr:uid="{44AA011A-2ACC-4886-A69B-550EF3190476}"/>
  <sortState xmlns:xlrd2="http://schemas.microsoft.com/office/spreadsheetml/2017/richdata2" ref="B6:H23">
    <sortCondition ref="B6:B23"/>
  </sortState>
  <tableColumns count="7">
    <tableColumn id="1" xr3:uid="{BD713092-C853-4297-8AD2-2602E25C3418}" name="BDC LIST" totalsRowLabel="Total" dataDxfId="400" totalsRowDxfId="399"/>
    <tableColumn id="2" xr3:uid="{49A23AA7-93D5-4DF1-B757-3D4906B9F486}" name="KSI_AGO" totalsRowFunction="custom" dataDxfId="398" totalsRowDxfId="397" dataCellStyle="Comma">
      <totalsRowFormula>SUM(Dec15_2022[KSI_AGO])</totalsRowFormula>
    </tableColumn>
    <tableColumn id="3" xr3:uid="{62D68E53-131C-465C-A145-DE35553F9AB7}" name="KSI_PMS" totalsRowFunction="sum" dataDxfId="396" totalsRowDxfId="395" dataCellStyle="Comma"/>
    <tableColumn id="4" xr3:uid="{295D0A96-34EB-45D5-B59D-2A413F1E422C}" name="BUIPE_AGO" totalsRowFunction="custom" dataDxfId="394" totalsRowDxfId="393" dataCellStyle="Comma">
      <totalsRowFormula>SUM(Dec15_2022[BUIPE_AGO])</totalsRowFormula>
    </tableColumn>
    <tableColumn id="5" xr3:uid="{AA43EC6D-8BDE-4C03-A830-14FBB7375CF3}" name="BUIPE_PMS" totalsRowFunction="custom" dataDxfId="392" totalsRowDxfId="391" dataCellStyle="Comma">
      <totalsRowFormula>SUM(Dec15_2022[BUIPE_PMS])</totalsRowFormula>
    </tableColumn>
    <tableColumn id="6" xr3:uid="{0C5F8ED8-EA7F-4778-AC02-6EAE3E9139EB}" name="AKOSOMBO_AGO" totalsRowFunction="custom" dataDxfId="390" totalsRowDxfId="389" dataCellStyle="Comma">
      <totalsRowFormula>SUM(Dec15_2022[AKOSOMBO_AGO])</totalsRowFormula>
    </tableColumn>
    <tableColumn id="7" xr3:uid="{29E98AC6-D064-49BE-8EAA-BF8E0E6A4FCA}" name="DATE" dataDxfId="388" totalsRowDxfId="387">
      <calculatedColumnFormula>$G$3</calculatedColumnFormula>
    </tableColumn>
  </tableColumns>
  <tableStyleInfo showFirstColumn="0" showLastColumn="0" showRowStripes="1" showColumnStripes="0"/>
</table>
</file>

<file path=xl/tables/table7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6" xr:uid="{C8F5EF39-D524-4B91-8EFC-8F0DE4072F3E}" name="Dec15_202213" displayName="Dec15_202213" ref="B5:H24" totalsRowCount="1" headerRowDxfId="386" headerRowBorderDxfId="385" tableBorderDxfId="384" totalsRowBorderDxfId="383">
  <autoFilter ref="B5:H23" xr:uid="{44AA011A-2ACC-4886-A69B-550EF3190476}"/>
  <sortState xmlns:xlrd2="http://schemas.microsoft.com/office/spreadsheetml/2017/richdata2" ref="B6:H23">
    <sortCondition ref="B6:B23"/>
  </sortState>
  <tableColumns count="7">
    <tableColumn id="1" xr3:uid="{D07D55A8-EB74-498D-87AC-3D6B5A0BB1E8}" name="BDC LIST" totalsRowLabel="Total" dataDxfId="382" totalsRowDxfId="381"/>
    <tableColumn id="2" xr3:uid="{D133EBBC-A023-43A0-8B9D-AAE4C908CCDC}" name="KSI_AGO" totalsRowFunction="custom" dataDxfId="380" totalsRowDxfId="379" dataCellStyle="Comma">
      <totalsRowFormula>SUM(Dec15_202213[KSI_AGO])</totalsRowFormula>
    </tableColumn>
    <tableColumn id="3" xr3:uid="{C506432B-58DD-4BC0-B31D-C02D1BBD4E5A}" name="KSI_PMS" totalsRowFunction="sum" dataDxfId="378" totalsRowDxfId="377" dataCellStyle="Comma"/>
    <tableColumn id="4" xr3:uid="{84F4A195-F5FB-4222-8E7D-B8308160DECB}" name="BUIPE_AGO" totalsRowFunction="custom" dataDxfId="376" totalsRowDxfId="375" dataCellStyle="Comma">
      <totalsRowFormula>SUM(Dec15_202213[BUIPE_AGO])</totalsRowFormula>
    </tableColumn>
    <tableColumn id="5" xr3:uid="{601F290C-B835-4365-BAC2-C3CC8876A7E0}" name="BUIPE_PMS" totalsRowFunction="custom" dataDxfId="374" totalsRowDxfId="373" dataCellStyle="Comma">
      <totalsRowFormula>SUM(Dec15_202213[BUIPE_PMS])</totalsRowFormula>
    </tableColumn>
    <tableColumn id="6" xr3:uid="{FC23CA43-0686-45B9-92F3-8846D9138693}" name="AKOSOMBO_AGO" totalsRowFunction="custom" dataDxfId="372" totalsRowDxfId="371" dataCellStyle="Comma">
      <totalsRowFormula>SUM(Dec15_202213[AKOSOMBO_AGO])</totalsRowFormula>
    </tableColumn>
    <tableColumn id="7" xr3:uid="{89FD59D7-FFA5-4CE0-BC70-B332FB446668}" name="DATE" dataDxfId="370" totalsRowDxfId="369">
      <calculatedColumnFormula>$G$3</calculatedColumnFormula>
    </tableColumn>
  </tableColumns>
  <tableStyleInfo showFirstColumn="0" showLastColumn="0" showRowStripes="1" showColumnStripes="0"/>
</table>
</file>

<file path=xl/tables/table7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7" xr:uid="{1E484AD1-B3B3-4670-BC4E-F47B1F2DCCFE}" name="Dec19_2022" displayName="Dec19_2022" ref="B5:H24" totalsRowCount="1" headerRowDxfId="368" headerRowBorderDxfId="367" tableBorderDxfId="366" totalsRowBorderDxfId="365">
  <autoFilter ref="B5:H23" xr:uid="{44AA011A-2ACC-4886-A69B-550EF3190476}"/>
  <sortState xmlns:xlrd2="http://schemas.microsoft.com/office/spreadsheetml/2017/richdata2" ref="B6:H23">
    <sortCondition ref="B6:B23"/>
  </sortState>
  <tableColumns count="7">
    <tableColumn id="1" xr3:uid="{798D85D2-5156-47C7-9D3B-8E3DF54B68AB}" name="BDC LIST" totalsRowLabel="Total" dataDxfId="364" totalsRowDxfId="363"/>
    <tableColumn id="2" xr3:uid="{EC12007C-23BA-40DF-BBF6-B4606B820C78}" name="KSI_AGO" totalsRowFunction="custom" dataDxfId="362" totalsRowDxfId="361" dataCellStyle="Comma">
      <totalsRowFormula>SUM(Dec19_2022[KSI_AGO])</totalsRowFormula>
    </tableColumn>
    <tableColumn id="3" xr3:uid="{45631B3A-A623-45EC-89C4-483C2000BE8B}" name="KSI_PMS" totalsRowFunction="sum" dataDxfId="360" totalsRowDxfId="359" dataCellStyle="Comma"/>
    <tableColumn id="4" xr3:uid="{B37404EC-67B5-4A2D-858E-FD0A4D1C9482}" name="BUIPE_AGO" totalsRowFunction="custom" dataDxfId="358" totalsRowDxfId="357" dataCellStyle="Comma">
      <totalsRowFormula>SUM(Dec19_2022[BUIPE_AGO])</totalsRowFormula>
    </tableColumn>
    <tableColumn id="5" xr3:uid="{AFDCEB45-8FAE-458D-97B1-0ED9A36FB3F8}" name="BUIPE_PMS" totalsRowFunction="custom" dataDxfId="356" totalsRowDxfId="355" dataCellStyle="Comma">
      <totalsRowFormula>SUM(Dec19_2022[BUIPE_PMS])</totalsRowFormula>
    </tableColumn>
    <tableColumn id="6" xr3:uid="{C909122A-1071-4192-9523-6FD3EDD4D389}" name="AKOSOMBO_AGO" totalsRowFunction="custom" dataDxfId="354" totalsRowDxfId="353" dataCellStyle="Comma">
      <totalsRowFormula>SUM(Dec19_2022[AKOSOMBO_AGO])</totalsRowFormula>
    </tableColumn>
    <tableColumn id="7" xr3:uid="{A207FEEF-5B19-4177-92D5-20FD0B5F3941}" name="DATE" dataDxfId="352" totalsRowDxfId="351">
      <calculatedColumnFormula>$G$3</calculatedColumnFormula>
    </tableColumn>
  </tableColumns>
  <tableStyleInfo showFirstColumn="0" showLastColumn="0" showRowStripes="1" showColumnStripes="0"/>
</table>
</file>

<file path=xl/tables/table7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8" xr:uid="{1D99D60F-3DDB-4EF4-B03A-2A80E72B36B2}" name="Dec19_202215" displayName="Dec19_202215" ref="B5:H24" totalsRowCount="1" headerRowDxfId="350" headerRowBorderDxfId="349" tableBorderDxfId="348" totalsRowBorderDxfId="347">
  <autoFilter ref="B5:H23" xr:uid="{44AA011A-2ACC-4886-A69B-550EF3190476}"/>
  <sortState xmlns:xlrd2="http://schemas.microsoft.com/office/spreadsheetml/2017/richdata2" ref="B6:H23">
    <sortCondition ref="B6:B23"/>
  </sortState>
  <tableColumns count="7">
    <tableColumn id="1" xr3:uid="{35B0A2A7-F0B5-465B-AE05-0DF8AE5B4EBF}" name="BDC LIST" totalsRowLabel="Total" dataDxfId="346" totalsRowDxfId="345"/>
    <tableColumn id="2" xr3:uid="{0543AC22-AEEE-4D54-A6B7-4BA58D58E42B}" name="KSI_AGO" totalsRowFunction="custom" dataDxfId="344" totalsRowDxfId="343" dataCellStyle="Comma">
      <totalsRowFormula>SUM(Dec19_202215[KSI_AGO])</totalsRowFormula>
    </tableColumn>
    <tableColumn id="3" xr3:uid="{7DD60F14-845B-484D-BBA8-42D7363B088E}" name="KSI_PMS" totalsRowFunction="sum" dataDxfId="342" totalsRowDxfId="341" dataCellStyle="Comma"/>
    <tableColumn id="4" xr3:uid="{9CA3A7A1-2D15-49BF-99E9-1EE112B3E325}" name="BUIPE_AGO" totalsRowFunction="custom" dataDxfId="340" totalsRowDxfId="339" dataCellStyle="Comma">
      <totalsRowFormula>SUM(Dec19_202215[BUIPE_AGO])</totalsRowFormula>
    </tableColumn>
    <tableColumn id="5" xr3:uid="{AA321DD3-8900-4B44-8E1C-727DD0CFED76}" name="BUIPE_PMS" totalsRowFunction="custom" dataDxfId="338" totalsRowDxfId="337" dataCellStyle="Comma">
      <totalsRowFormula>SUM(Dec19_202215[BUIPE_PMS])</totalsRowFormula>
    </tableColumn>
    <tableColumn id="6" xr3:uid="{D0D0DFCA-F143-427A-A3DA-E440A4E42A75}" name="AKOSOMBO_AGO" totalsRowFunction="custom" dataDxfId="336" totalsRowDxfId="335" dataCellStyle="Comma">
      <totalsRowFormula>SUM(Dec19_202215[AKOSOMBO_AGO])</totalsRowFormula>
    </tableColumn>
    <tableColumn id="7" xr3:uid="{6449BF57-2063-4393-99C2-BC11DE592709}" name="DATE" dataDxfId="334" totalsRowDxfId="333">
      <calculatedColumnFormula>$G$3</calculatedColumnFormula>
    </tableColumn>
  </tableColumns>
  <tableStyleInfo showFirstColumn="0" showLastColumn="0" showRowStripes="1" showColumnStripes="0"/>
</table>
</file>

<file path=xl/tables/table7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9" xr:uid="{A22205ED-C9A8-482F-A3CD-DE270EF68F8F}" name="Dec21_2022" displayName="Dec21_2022" ref="B5:H24" totalsRowCount="1" headerRowDxfId="332" headerRowBorderDxfId="331" tableBorderDxfId="330" totalsRowBorderDxfId="329">
  <autoFilter ref="B5:H23" xr:uid="{44AA011A-2ACC-4886-A69B-550EF3190476}"/>
  <sortState xmlns:xlrd2="http://schemas.microsoft.com/office/spreadsheetml/2017/richdata2" ref="B6:H23">
    <sortCondition ref="B6:B23"/>
  </sortState>
  <tableColumns count="7">
    <tableColumn id="1" xr3:uid="{CCD7ADA2-FF5C-408C-925C-EBC7004E3AD3}" name="BDC LIST" totalsRowLabel="Total" dataDxfId="328" totalsRowDxfId="327"/>
    <tableColumn id="2" xr3:uid="{C34F329D-1E1E-4D0A-BC31-DA1CA2AB1FF0}" name="KSI_AGO" totalsRowFunction="custom" dataDxfId="326" totalsRowDxfId="325" dataCellStyle="Comma">
      <totalsRowFormula>SUM(Dec21_2022[KSI_AGO])</totalsRowFormula>
    </tableColumn>
    <tableColumn id="3" xr3:uid="{C4F0CD11-192F-461C-84F6-18D6881BB14D}" name="KSI_PMS" totalsRowFunction="sum" dataDxfId="324" totalsRowDxfId="323" dataCellStyle="Comma"/>
    <tableColumn id="4" xr3:uid="{B7B3D197-6624-41D3-ADAB-E7AFC90C6C4B}" name="BUIPE_AGO" totalsRowFunction="custom" dataDxfId="322" totalsRowDxfId="321" dataCellStyle="Comma">
      <totalsRowFormula>SUM(Dec21_2022[BUIPE_AGO])</totalsRowFormula>
    </tableColumn>
    <tableColumn id="5" xr3:uid="{E24EDFA7-C9D5-40DC-819F-D64A61C2ED7C}" name="BUIPE_PMS" totalsRowFunction="custom" dataDxfId="320" totalsRowDxfId="319" dataCellStyle="Comma">
      <totalsRowFormula>SUM(Dec21_2022[BUIPE_PMS])</totalsRowFormula>
    </tableColumn>
    <tableColumn id="6" xr3:uid="{9385C8DB-C2D4-470F-8683-4E1C1EA169B2}" name="AKOSOMBO_AGO" totalsRowFunction="custom" dataDxfId="318" totalsRowDxfId="317" dataCellStyle="Comma">
      <totalsRowFormula>SUM(Dec21_2022[AKOSOMBO_AGO])</totalsRowFormula>
    </tableColumn>
    <tableColumn id="7" xr3:uid="{A7BCFB73-68DE-48B1-9862-15AE2B53E9AD}" name="DATE" dataDxfId="316" totalsRowDxfId="315">
      <calculatedColumnFormula>$G$3</calculatedColumnFormula>
    </tableColumn>
  </tableColumns>
  <tableStyleInfo showFirstColumn="0" showLastColumn="0" showRowStripes="1" showColumnStripes="0"/>
</table>
</file>

<file path=xl/tables/table7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0" xr:uid="{444900B6-1296-41C9-9574-CAFFBE8594C4}" name="Dec22_2022" displayName="Dec22_2022" ref="B5:H24" totalsRowCount="1" headerRowDxfId="314" headerRowBorderDxfId="313" tableBorderDxfId="312" totalsRowBorderDxfId="311">
  <autoFilter ref="B5:H23" xr:uid="{44AA011A-2ACC-4886-A69B-550EF3190476}"/>
  <sortState xmlns:xlrd2="http://schemas.microsoft.com/office/spreadsheetml/2017/richdata2" ref="B6:H23">
    <sortCondition ref="B6:B23"/>
  </sortState>
  <tableColumns count="7">
    <tableColumn id="1" xr3:uid="{164876C5-FC27-44B3-B616-B518E24E4968}" name="BDC LIST" totalsRowLabel="Total" dataDxfId="310" totalsRowDxfId="309"/>
    <tableColumn id="2" xr3:uid="{364FF32C-3D6E-4DEE-8345-38BFCEC210E0}" name="KSI_AGO" totalsRowFunction="custom" dataDxfId="308" totalsRowDxfId="307" dataCellStyle="Comma">
      <totalsRowFormula>SUM(Dec22_2022[KSI_AGO])</totalsRowFormula>
    </tableColumn>
    <tableColumn id="3" xr3:uid="{D787C8F6-AB60-42F1-9B17-896C8AC768C9}" name="KSI_PMS" totalsRowFunction="sum" dataDxfId="306" totalsRowDxfId="305" dataCellStyle="Comma"/>
    <tableColumn id="4" xr3:uid="{924A8E97-B495-47A6-BB64-A9165854B291}" name="BUIPE_AGO" totalsRowFunction="custom" dataDxfId="304" totalsRowDxfId="303" dataCellStyle="Comma">
      <totalsRowFormula>SUM(Dec22_2022[BUIPE_AGO])</totalsRowFormula>
    </tableColumn>
    <tableColumn id="5" xr3:uid="{4AC77FE4-3F3F-4512-B2B3-766D72A7B90A}" name="BUIPE_PMS" totalsRowFunction="custom" dataDxfId="302" totalsRowDxfId="301" dataCellStyle="Comma">
      <totalsRowFormula>SUM(Dec22_2022[BUIPE_PMS])</totalsRowFormula>
    </tableColumn>
    <tableColumn id="6" xr3:uid="{A588F594-ED94-4ACA-A845-AB042C3645D8}" name="AKOSOMBO_AGO" totalsRowFunction="custom" dataDxfId="300" totalsRowDxfId="299" dataCellStyle="Comma">
      <totalsRowFormula>SUM(Dec22_2022[AKOSOMBO_AGO])</totalsRowFormula>
    </tableColumn>
    <tableColumn id="7" xr3:uid="{06D56DDF-19E1-4613-A7DF-2C6CA75C4572}" name="DATE" dataDxfId="298" totalsRowDxfId="297">
      <calculatedColumnFormula>$G$3</calculatedColumnFormula>
    </tableColumn>
  </tableColumns>
  <tableStyleInfo showFirstColumn="0" showLastColumn="0" showRowStripes="1" showColumnStripes="0"/>
</table>
</file>

<file path=xl/tables/table7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1" xr:uid="{675092B9-5D2D-47B6-9931-8EF28B0F2C41}" name="Dec23_2022" displayName="Dec23_2022" ref="B5:H24" totalsRowCount="1" headerRowDxfId="296" headerRowBorderDxfId="295" tableBorderDxfId="294" totalsRowBorderDxfId="293">
  <autoFilter ref="B5:H23" xr:uid="{44AA011A-2ACC-4886-A69B-550EF3190476}"/>
  <sortState xmlns:xlrd2="http://schemas.microsoft.com/office/spreadsheetml/2017/richdata2" ref="B6:H23">
    <sortCondition ref="B6:B23"/>
  </sortState>
  <tableColumns count="7">
    <tableColumn id="1" xr3:uid="{FB1734ED-48DF-4A76-839B-BC05288324EC}" name="BDC LIST" totalsRowLabel="Total" dataDxfId="292" totalsRowDxfId="291"/>
    <tableColumn id="2" xr3:uid="{03FC735C-2121-4A00-A530-BEDD21D950DF}" name="KSI_AGO" totalsRowFunction="custom" dataDxfId="290" totalsRowDxfId="289" dataCellStyle="Comma">
      <totalsRowFormula>SUM(Dec23_2022[KSI_AGO])</totalsRowFormula>
    </tableColumn>
    <tableColumn id="3" xr3:uid="{25FD5423-68ED-4F1A-92B4-1D7C458A7722}" name="KSI_PMS" totalsRowFunction="sum" dataDxfId="288" totalsRowDxfId="287" dataCellStyle="Comma"/>
    <tableColumn id="4" xr3:uid="{E3EB5EC3-9EBE-4930-AA13-82B6E8A2C47F}" name="BUIPE_AGO" totalsRowFunction="custom" dataDxfId="286" totalsRowDxfId="285" dataCellStyle="Comma">
      <totalsRowFormula>SUM(Dec23_2022[BUIPE_AGO])</totalsRowFormula>
    </tableColumn>
    <tableColumn id="5" xr3:uid="{C15EB480-AACF-40DD-BA3A-FF15D84C15AF}" name="BUIPE_PMS" totalsRowFunction="custom" dataDxfId="284" totalsRowDxfId="283" dataCellStyle="Comma">
      <totalsRowFormula>SUM(Dec23_2022[BUIPE_PMS])</totalsRowFormula>
    </tableColumn>
    <tableColumn id="6" xr3:uid="{B6A4501C-3B7F-4601-BCEC-4E8810CD8E20}" name="AKOSOMBO_AGO" totalsRowFunction="custom" dataDxfId="282" totalsRowDxfId="281" dataCellStyle="Comma">
      <totalsRowFormula>SUM(Dec23_2022[AKOSOMBO_AGO])</totalsRowFormula>
    </tableColumn>
    <tableColumn id="7" xr3:uid="{A76E00E9-B812-4ACB-9097-EF0E70290609}" name="DATE" dataDxfId="280" totalsRowDxfId="279">
      <calculatedColumnFormula>$G$3</calculatedColumnFormula>
    </tableColumn>
  </tableColumns>
  <tableStyleInfo showFirstColumn="0" showLastColumn="0" showRowStripes="1" showColumnStripes="0"/>
</table>
</file>

<file path=xl/tables/table7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2" xr:uid="{8C5A5E3B-825E-4247-837F-68658FACFC1F}" name="Dec28_2022" displayName="Dec28_2022" ref="B5:H24" totalsRowCount="1" headerRowDxfId="278" headerRowBorderDxfId="277" tableBorderDxfId="276" totalsRowBorderDxfId="275">
  <autoFilter ref="B5:H23" xr:uid="{44AA011A-2ACC-4886-A69B-550EF3190476}"/>
  <sortState xmlns:xlrd2="http://schemas.microsoft.com/office/spreadsheetml/2017/richdata2" ref="B6:H23">
    <sortCondition ref="B6:B23"/>
  </sortState>
  <tableColumns count="7">
    <tableColumn id="1" xr3:uid="{F52CA086-9718-4415-9156-A4B38E78308B}" name="BDC LIST" totalsRowLabel="Total" dataDxfId="274" totalsRowDxfId="273"/>
    <tableColumn id="2" xr3:uid="{2E7F61BA-DDB3-427F-96D4-CE648A7AC873}" name="KSI_AGO" totalsRowFunction="custom" dataDxfId="272" totalsRowDxfId="271" dataCellStyle="Comma">
      <totalsRowFormula>SUM(Dec28_2022[KSI_AGO])</totalsRowFormula>
    </tableColumn>
    <tableColumn id="3" xr3:uid="{9DE3ADB9-59F8-41FD-8FCD-3784FADCC5A5}" name="KSI_PMS" totalsRowFunction="sum" dataDxfId="270" totalsRowDxfId="269" dataCellStyle="Comma"/>
    <tableColumn id="4" xr3:uid="{BE244F58-34EC-4E6C-AF76-C330179D66A7}" name="BUIPE_AGO" totalsRowFunction="custom" dataDxfId="268" totalsRowDxfId="267" dataCellStyle="Comma">
      <totalsRowFormula>SUM(Dec28_2022[BUIPE_AGO])</totalsRowFormula>
    </tableColumn>
    <tableColumn id="5" xr3:uid="{D0042B66-226E-4739-A1FE-ACDCC2CEEF3D}" name="BUIPE_PMS" totalsRowFunction="custom" dataDxfId="266" totalsRowDxfId="265" dataCellStyle="Comma">
      <totalsRowFormula>SUM(Dec28_2022[BUIPE_PMS])</totalsRowFormula>
    </tableColumn>
    <tableColumn id="6" xr3:uid="{A5DBBF8C-64A0-4111-9726-23B83F367BF4}" name="AKOSOMBO_AGO" totalsRowFunction="custom" dataDxfId="264" totalsRowDxfId="263" dataCellStyle="Comma">
      <totalsRowFormula>SUM(Dec28_2022[AKOSOMBO_AGO])</totalsRowFormula>
    </tableColumn>
    <tableColumn id="7" xr3:uid="{C2568503-D7C9-4801-8343-405E0BA47A1E}" name="DATE" dataDxfId="262" totalsRowDxfId="261">
      <calculatedColumnFormula>$G$3</calculatedColumnFormula>
    </tableColumn>
  </tableColumns>
  <tableStyleInfo showFirstColumn="0" showLastColumn="0" showRowStripes="1" showColumnStripes="0"/>
</table>
</file>

<file path=xl/tables/table7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3" xr:uid="{503C19DB-F477-4B8E-A7D4-62FCC39D8B4E}" name="Dec29_2022" displayName="Dec29_2022" ref="B5:H24" totalsRowCount="1" headerRowDxfId="260" headerRowBorderDxfId="259" tableBorderDxfId="258" totalsRowBorderDxfId="257">
  <autoFilter ref="B5:H23" xr:uid="{44AA011A-2ACC-4886-A69B-550EF3190476}"/>
  <sortState xmlns:xlrd2="http://schemas.microsoft.com/office/spreadsheetml/2017/richdata2" ref="B6:H23">
    <sortCondition ref="B6:B23"/>
  </sortState>
  <tableColumns count="7">
    <tableColumn id="1" xr3:uid="{0FA5AA72-DEFA-4BE4-ADBE-AC69F1B8A587}" name="BDC LIST" totalsRowLabel="Total" dataDxfId="256" totalsRowDxfId="255"/>
    <tableColumn id="2" xr3:uid="{69C6728E-7B49-4F14-8EDC-2AA6ECF280ED}" name="KSI_AGO" totalsRowFunction="custom" dataDxfId="254" totalsRowDxfId="253" dataCellStyle="Comma">
      <totalsRowFormula>SUM(Dec29_2022[KSI_AGO])</totalsRowFormula>
    </tableColumn>
    <tableColumn id="3" xr3:uid="{CDC25FE0-F68D-4365-B1D7-0751244CFFED}" name="KSI_PMS" totalsRowFunction="sum" dataDxfId="252" totalsRowDxfId="251" dataCellStyle="Comma"/>
    <tableColumn id="4" xr3:uid="{21AC524D-54BC-44BA-8F62-7737ECC41A60}" name="BUIPE_AGO" totalsRowFunction="custom" dataDxfId="250" totalsRowDxfId="249" dataCellStyle="Comma">
      <totalsRowFormula>SUM(Dec29_2022[BUIPE_AGO])</totalsRowFormula>
    </tableColumn>
    <tableColumn id="5" xr3:uid="{CE801FB3-C181-4C76-8232-3DE46542B036}" name="BUIPE_PMS" totalsRowFunction="custom" dataDxfId="248" totalsRowDxfId="247" dataCellStyle="Comma">
      <totalsRowFormula>SUM(Dec29_2022[BUIPE_PMS])</totalsRowFormula>
    </tableColumn>
    <tableColumn id="6" xr3:uid="{10BB1F31-7482-4500-AF1B-5F313E30610B}" name="AKOSOMBO_AGO" totalsRowFunction="custom" dataDxfId="246" totalsRowDxfId="245" dataCellStyle="Comma">
      <totalsRowFormula>SUM(Dec29_2022[AKOSOMBO_AGO])</totalsRowFormula>
    </tableColumn>
    <tableColumn id="7" xr3:uid="{49EF59F4-0DC9-448A-B67A-AB5102BFECF3}" name="DATE" dataDxfId="244" totalsRowDxfId="243">
      <calculatedColumnFormula>$G$3</calculatedColumnFormula>
    </tableColumn>
  </tableColumns>
  <tableStyleInfo showFirstColumn="0" showLastColumn="0" showRowStripes="1" showColumnStripes="0"/>
</table>
</file>

<file path=xl/tables/table7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4" xr:uid="{C486005F-6A36-4003-B0C4-B09205B96D4F}" name="Dec30_2022" displayName="Dec30_2022" ref="B5:H24" totalsRowCount="1" headerRowDxfId="242" headerRowBorderDxfId="241" tableBorderDxfId="240" totalsRowBorderDxfId="239">
  <autoFilter ref="B5:H23" xr:uid="{44AA011A-2ACC-4886-A69B-550EF3190476}"/>
  <sortState xmlns:xlrd2="http://schemas.microsoft.com/office/spreadsheetml/2017/richdata2" ref="B6:H23">
    <sortCondition ref="B6:B23"/>
  </sortState>
  <tableColumns count="7">
    <tableColumn id="1" xr3:uid="{91E15205-0987-44FC-8D13-920B1B474864}" name="BDC LIST" totalsRowLabel="Total" dataDxfId="238" totalsRowDxfId="237"/>
    <tableColumn id="2" xr3:uid="{74D073DE-7399-482A-ACE1-282E26027B32}" name="KSI_AGO" totalsRowFunction="custom" dataDxfId="236" totalsRowDxfId="235" dataCellStyle="Comma">
      <totalsRowFormula>SUM(Dec30_2022[KSI_AGO])</totalsRowFormula>
    </tableColumn>
    <tableColumn id="3" xr3:uid="{4AAFD3C0-E4AD-4A27-91B3-FB1857A0B614}" name="KSI_PMS" totalsRowFunction="sum" dataDxfId="234" totalsRowDxfId="233" dataCellStyle="Comma"/>
    <tableColumn id="4" xr3:uid="{023F34E2-BCE4-44D7-A6AC-575241C760DE}" name="BUIPE_AGO" totalsRowFunction="custom" dataDxfId="232" totalsRowDxfId="231" dataCellStyle="Comma">
      <totalsRowFormula>SUM(Dec30_2022[BUIPE_AGO])</totalsRowFormula>
    </tableColumn>
    <tableColumn id="5" xr3:uid="{C025B468-1A3E-4293-A5AD-B750E8DB063A}" name="BUIPE_PMS" totalsRowFunction="custom" dataDxfId="230" totalsRowDxfId="229" dataCellStyle="Comma">
      <totalsRowFormula>SUM(Dec30_2022[BUIPE_PMS])</totalsRowFormula>
    </tableColumn>
    <tableColumn id="6" xr3:uid="{984A4A3A-B536-4F69-B2BC-55D68AFECF8C}" name="AKOSOMBO_AGO" totalsRowFunction="custom" dataDxfId="228" totalsRowDxfId="227" dataCellStyle="Comma">
      <totalsRowFormula>SUM(Dec30_2022[AKOSOMBO_AGO])</totalsRowFormula>
    </tableColumn>
    <tableColumn id="7" xr3:uid="{539FE676-2BDE-4CC3-BB3A-68E51A7BAF2D}" name="DATE" dataDxfId="226" totalsRowDxfId="225">
      <calculatedColumnFormula>$G$3</calculatedColumnFormula>
    </tableColumn>
  </tableColumns>
  <tableStyleInfo showFirstColumn="0" showLastColumn="0" showRowStripes="1" showColumnStripes="0"/>
</table>
</file>

<file path=xl/tables/table7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6" xr:uid="{BBBDD172-7807-4FA4-B81E-4AD0D7C7AA33}" name="Dec30_2022746747" displayName="Dec30_2022746747" ref="B5:H24" totalsRowCount="1" headerRowDxfId="224" headerRowBorderDxfId="223" tableBorderDxfId="222" totalsRowBorderDxfId="221">
  <autoFilter ref="B5:H23" xr:uid="{44AA011A-2ACC-4886-A69B-550EF3190476}"/>
  <sortState xmlns:xlrd2="http://schemas.microsoft.com/office/spreadsheetml/2017/richdata2" ref="B6:H23">
    <sortCondition ref="B6:B23"/>
  </sortState>
  <tableColumns count="7">
    <tableColumn id="1" xr3:uid="{4C148E9B-CB5B-4A49-A1FF-8AF91CE7A004}" name="BDC LIST" totalsRowLabel="Total" dataDxfId="220" totalsRowDxfId="219"/>
    <tableColumn id="2" xr3:uid="{BD1D5E0B-CA0D-4CA2-855E-7DE5C0AC5244}" name="KSI_AGO" totalsRowFunction="custom" dataDxfId="218" totalsRowDxfId="217" dataCellStyle="Comma">
      <totalsRowFormula>SUM(Dec30_2022746747[KSI_AGO])</totalsRowFormula>
    </tableColumn>
    <tableColumn id="3" xr3:uid="{AFBC0DEC-95A9-438B-8A9C-CABD38F991BD}" name="KSI_PMS" totalsRowFunction="sum" dataDxfId="216" totalsRowDxfId="215" dataCellStyle="Comma"/>
    <tableColumn id="4" xr3:uid="{38A4A784-0845-448B-967C-7BC5228E640B}" name="BUIPE_AGO" totalsRowFunction="custom" dataDxfId="214" totalsRowDxfId="213" dataCellStyle="Comma">
      <totalsRowFormula>SUM(Dec30_2022746747[BUIPE_AGO])</totalsRowFormula>
    </tableColumn>
    <tableColumn id="5" xr3:uid="{33A60C77-B62E-4158-A1C6-CC665534B141}" name="BUIPE_PMS" totalsRowFunction="custom" dataDxfId="212" totalsRowDxfId="211" dataCellStyle="Comma">
      <totalsRowFormula>SUM(Dec30_2022746747[BUIPE_PMS])</totalsRowFormula>
    </tableColumn>
    <tableColumn id="6" xr3:uid="{6DDDFD22-A8FC-4728-B0F9-BFA586EA26C7}" name="AKOSOMBO_AGO" totalsRowFunction="custom" dataDxfId="210" totalsRowDxfId="209" dataCellStyle="Comma">
      <totalsRowFormula>SUM(Dec30_2022746747[AKOSOMBO_AGO])</totalsRowFormula>
    </tableColumn>
    <tableColumn id="7" xr3:uid="{412BEDA3-4ACB-4570-A22B-17CD9655A8A3}" name="DATE" dataDxfId="208" totalsRowDxfId="207">
      <calculatedColumnFormula>$G$3</calculatedColumnFormula>
    </tableColumn>
  </tableColumns>
  <tableStyleInfo showFirstColumn="0" showLastColumn="0" showRowStripes="1" showColumnStripes="0"/>
</table>
</file>

<file path=xl/tables/table7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10000}" name="July2020" displayName="July2020" ref="A1:I11590" tableType="queryTable" totalsRowShown="0">
  <autoFilter ref="A1:I11590" xr:uid="{00000000-000C-0000-FFFF-FFFF01010000}"/>
  <tableColumns count="9">
    <tableColumn id="19" xr3:uid="{51B7D780-0983-4BC8-841B-9D21586A2C92}" uniqueName="19" name="BDC LIST" queryTableFieldId="1"/>
    <tableColumn id="20" xr3:uid="{69F43879-5DF6-40FC-8C94-E1FBF5C762B8}" uniqueName="20" name="KSI_AGO" queryTableFieldId="2"/>
    <tableColumn id="21" xr3:uid="{9BD08BC5-48FC-48C2-A98A-1F006026EFCF}" uniqueName="21" name="KSI_PMS" queryTableFieldId="3"/>
    <tableColumn id="22" xr3:uid="{8E831FA4-82EB-4636-B735-B426ABFD6183}" uniqueName="22" name="BUIPE_AGO" queryTableFieldId="4"/>
    <tableColumn id="23" xr3:uid="{B84040EB-F89D-4E14-AC7F-80EF58D582E0}" uniqueName="23" name="BUIPE_PMS" queryTableFieldId="5"/>
    <tableColumn id="24" xr3:uid="{1F36D3F8-6464-45F7-9E66-5435AE23B0FE}" uniqueName="24" name="AKOSOMBO_AGO" queryTableFieldId="6"/>
    <tableColumn id="25" xr3:uid="{76C25D51-E8D6-4B22-94F8-6159D93A8188}" uniqueName="25" name="DATE" queryTableFieldId="7"/>
    <tableColumn id="26" xr3:uid="{805E7164-5482-44FE-86C3-2EB38F9A0059}" uniqueName="26" name="Year" queryTableFieldId="8"/>
    <tableColumn id="27" xr3:uid="{E2E7CE7A-8743-4F9F-8953-40BD6FC394E9}" uniqueName="27" name="Month Name" queryTableFieldId="9"/>
  </tableColumns>
  <tableStyleInfo name="TableStyleMedium7" showFirstColumn="0" showLastColumn="0" showRowStripes="1" showColumnStripes="0"/>
</table>
</file>

<file path=xl/tables/table7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10000}" name="BDC_list" displayName="BDC_list" ref="A2:A20" totalsRowShown="0" dataDxfId="189">
  <autoFilter ref="A2:A20" xr:uid="{00000000-0009-0000-0100-000002000000}"/>
  <sortState xmlns:xlrd2="http://schemas.microsoft.com/office/spreadsheetml/2017/richdata2" ref="A3:A19">
    <sortCondition ref="A3:A19"/>
  </sortState>
  <tableColumns count="1">
    <tableColumn id="1" xr3:uid="{00000000-0010-0000-0201-000001000000}" name="BDC List" dataDxfId="188"/>
  </tableColumns>
  <tableStyleInfo name="TableStyleLight1" showFirstColumn="0" showLastColumn="0" showRowStripes="1" showColumnStripes="0"/>
</table>
</file>

<file path=xl/tables/table7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5" xr:uid="{E846EBCC-2B53-4C75-8136-01641DE5A9CC}" name="Dec30_2022746" displayName="Dec30_2022746" ref="B5:H24" totalsRowCount="1" headerRowDxfId="187" headerRowBorderDxfId="186" tableBorderDxfId="185" totalsRowBorderDxfId="184">
  <autoFilter ref="B5:H23" xr:uid="{44AA011A-2ACC-4886-A69B-550EF3190476}"/>
  <sortState xmlns:xlrd2="http://schemas.microsoft.com/office/spreadsheetml/2017/richdata2" ref="B6:H23">
    <sortCondition ref="B6:B23"/>
  </sortState>
  <tableColumns count="7">
    <tableColumn id="1" xr3:uid="{76026079-1CF6-4C92-9EAD-6B09F4E5F124}" name="BDC LIST" totalsRowLabel="Total" dataDxfId="183" totalsRowDxfId="182"/>
    <tableColumn id="2" xr3:uid="{E9C182E0-DA29-4316-B376-1858A65C35A0}" name="KSI_AGO" totalsRowFunction="custom" dataDxfId="181" totalsRowDxfId="180" dataCellStyle="Comma">
      <totalsRowFormula>SUM(Dec30_2022746[KSI_AGO])</totalsRowFormula>
    </tableColumn>
    <tableColumn id="3" xr3:uid="{0D1D480D-5CD1-4A83-864B-2BA541EBE7D0}" name="KSI_PMS" totalsRowFunction="sum" dataDxfId="179" totalsRowDxfId="178" dataCellStyle="Comma"/>
    <tableColumn id="4" xr3:uid="{AE0C4B3D-0CD8-49A1-BD04-B10B010B6B20}" name="BUIPE_AGO" totalsRowFunction="custom" dataDxfId="177" totalsRowDxfId="176" dataCellStyle="Comma">
      <totalsRowFormula>SUM(Dec30_2022746[BUIPE_AGO])</totalsRowFormula>
    </tableColumn>
    <tableColumn id="5" xr3:uid="{98A1B94B-2273-4780-A41E-F01B2E45E063}" name="BUIPE_PMS" totalsRowFunction="custom" dataDxfId="175" totalsRowDxfId="174" dataCellStyle="Comma">
      <totalsRowFormula>SUM(Dec30_2022746[BUIPE_PMS])</totalsRowFormula>
    </tableColumn>
    <tableColumn id="6" xr3:uid="{03F029F1-B519-447B-9761-F45770DDCBA8}" name="AKOSOMBO_AGO" totalsRowFunction="custom" dataDxfId="173" totalsRowDxfId="172" dataCellStyle="Comma">
      <totalsRowFormula>SUM(Dec30_2022746[AKOSOMBO_AGO])</totalsRowFormula>
    </tableColumn>
    <tableColumn id="7" xr3:uid="{61FAF31C-98C3-4EC2-865E-F7838B42FEC0}" name="DATE" dataDxfId="171" totalsRowDxfId="170">
      <calculatedColumnFormula>$G$3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table" Target="../tables/table61.x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2" Type="http://schemas.openxmlformats.org/officeDocument/2006/relationships/table" Target="../tables/table63.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table" Target="../tables/table65.x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2" Type="http://schemas.openxmlformats.org/officeDocument/2006/relationships/table" Target="../tables/table67.x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2" Type="http://schemas.openxmlformats.org/officeDocument/2006/relationships/table" Target="../tables/table71.x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2" Type="http://schemas.openxmlformats.org/officeDocument/2006/relationships/table" Target="../tables/table73.x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2" Type="http://schemas.openxmlformats.org/officeDocument/2006/relationships/table" Target="../tables/table75.x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2" Type="http://schemas.openxmlformats.org/officeDocument/2006/relationships/table" Target="../tables/table77.x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2" Type="http://schemas.openxmlformats.org/officeDocument/2006/relationships/table" Target="../tables/table79.x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2" Type="http://schemas.openxmlformats.org/officeDocument/2006/relationships/table" Target="../tables/table81.xml"/><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2" Type="http://schemas.openxmlformats.org/officeDocument/2006/relationships/table" Target="../tables/table83.xml"/><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2" Type="http://schemas.openxmlformats.org/officeDocument/2006/relationships/table" Target="../tables/table85.xml"/><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2" Type="http://schemas.openxmlformats.org/officeDocument/2006/relationships/table" Target="../tables/table86.xml"/><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2" Type="http://schemas.openxmlformats.org/officeDocument/2006/relationships/table" Target="../tables/table87.xml"/><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2" Type="http://schemas.openxmlformats.org/officeDocument/2006/relationships/table" Target="../tables/table88.xml"/><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2" Type="http://schemas.openxmlformats.org/officeDocument/2006/relationships/table" Target="../tables/table89.xml"/><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2" Type="http://schemas.openxmlformats.org/officeDocument/2006/relationships/table" Target="../tables/table90.xml"/><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2" Type="http://schemas.openxmlformats.org/officeDocument/2006/relationships/table" Target="../tables/table91.xml"/><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2" Type="http://schemas.openxmlformats.org/officeDocument/2006/relationships/table" Target="../tables/table92.xml"/><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2" Type="http://schemas.openxmlformats.org/officeDocument/2006/relationships/table" Target="../tables/table93.xml"/><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2" Type="http://schemas.openxmlformats.org/officeDocument/2006/relationships/table" Target="../tables/table94.xml"/><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2" Type="http://schemas.openxmlformats.org/officeDocument/2006/relationships/table" Target="../tables/table95.xml"/><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2" Type="http://schemas.openxmlformats.org/officeDocument/2006/relationships/table" Target="../tables/table96.xml"/><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2" Type="http://schemas.openxmlformats.org/officeDocument/2006/relationships/table" Target="../tables/table97.xml"/><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2" Type="http://schemas.openxmlformats.org/officeDocument/2006/relationships/table" Target="../tables/table98.xml"/><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2" Type="http://schemas.openxmlformats.org/officeDocument/2006/relationships/table" Target="../tables/table99.xml"/><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2" Type="http://schemas.openxmlformats.org/officeDocument/2006/relationships/table" Target="../tables/table100.xml"/><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2" Type="http://schemas.openxmlformats.org/officeDocument/2006/relationships/table" Target="../tables/table101.xml"/><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2" Type="http://schemas.openxmlformats.org/officeDocument/2006/relationships/table" Target="../tables/table102.xml"/><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2" Type="http://schemas.openxmlformats.org/officeDocument/2006/relationships/table" Target="../tables/table103.xml"/><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2" Type="http://schemas.openxmlformats.org/officeDocument/2006/relationships/table" Target="../tables/table104.xml"/><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2" Type="http://schemas.openxmlformats.org/officeDocument/2006/relationships/table" Target="../tables/table105.xml"/><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2" Type="http://schemas.openxmlformats.org/officeDocument/2006/relationships/table" Target="../tables/table106.xml"/><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2" Type="http://schemas.openxmlformats.org/officeDocument/2006/relationships/table" Target="../tables/table107.xml"/><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2" Type="http://schemas.openxmlformats.org/officeDocument/2006/relationships/table" Target="../tables/table108.xml"/><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2" Type="http://schemas.openxmlformats.org/officeDocument/2006/relationships/table" Target="../tables/table109.xml"/><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2" Type="http://schemas.openxmlformats.org/officeDocument/2006/relationships/table" Target="../tables/table110.x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2" Type="http://schemas.openxmlformats.org/officeDocument/2006/relationships/table" Target="../tables/table111.xml"/><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2" Type="http://schemas.openxmlformats.org/officeDocument/2006/relationships/table" Target="../tables/table112.xml"/><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2" Type="http://schemas.openxmlformats.org/officeDocument/2006/relationships/table" Target="../tables/table113.xml"/><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2" Type="http://schemas.openxmlformats.org/officeDocument/2006/relationships/table" Target="../tables/table114.xml"/><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2" Type="http://schemas.openxmlformats.org/officeDocument/2006/relationships/table" Target="../tables/table115.xml"/><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2" Type="http://schemas.openxmlformats.org/officeDocument/2006/relationships/table" Target="../tables/table116.xml"/><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2" Type="http://schemas.openxmlformats.org/officeDocument/2006/relationships/table" Target="../tables/table117.xml"/><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2" Type="http://schemas.openxmlformats.org/officeDocument/2006/relationships/table" Target="../tables/table118.xml"/><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2" Type="http://schemas.openxmlformats.org/officeDocument/2006/relationships/table" Target="../tables/table119.xml"/><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2" Type="http://schemas.openxmlformats.org/officeDocument/2006/relationships/table" Target="../tables/table120.xml"/><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2" Type="http://schemas.openxmlformats.org/officeDocument/2006/relationships/table" Target="../tables/table121.xml"/><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2" Type="http://schemas.openxmlformats.org/officeDocument/2006/relationships/table" Target="../tables/table122.xml"/><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2" Type="http://schemas.openxmlformats.org/officeDocument/2006/relationships/table" Target="../tables/table123.xml"/><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2" Type="http://schemas.openxmlformats.org/officeDocument/2006/relationships/table" Target="../tables/table124.xml"/><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2" Type="http://schemas.openxmlformats.org/officeDocument/2006/relationships/table" Target="../tables/table125.xml"/><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2" Type="http://schemas.openxmlformats.org/officeDocument/2006/relationships/table" Target="../tables/table126.xml"/><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2" Type="http://schemas.openxmlformats.org/officeDocument/2006/relationships/table" Target="../tables/table127.xml"/><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2" Type="http://schemas.openxmlformats.org/officeDocument/2006/relationships/table" Target="../tables/table128.xml"/><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2" Type="http://schemas.openxmlformats.org/officeDocument/2006/relationships/table" Target="../tables/table129.xml"/><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2" Type="http://schemas.openxmlformats.org/officeDocument/2006/relationships/table" Target="../tables/table130.xml"/><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2" Type="http://schemas.openxmlformats.org/officeDocument/2006/relationships/table" Target="../tables/table131.xml"/><Relationship Id="rId1" Type="http://schemas.openxmlformats.org/officeDocument/2006/relationships/printerSettings" Target="../printerSettings/printerSettings130.bin"/></Relationships>
</file>

<file path=xl/worksheets/_rels/sheet132.xml.rels><?xml version="1.0" encoding="UTF-8" standalone="yes"?>
<Relationships xmlns="http://schemas.openxmlformats.org/package/2006/relationships"><Relationship Id="rId2" Type="http://schemas.openxmlformats.org/officeDocument/2006/relationships/table" Target="../tables/table132.xml"/><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2" Type="http://schemas.openxmlformats.org/officeDocument/2006/relationships/table" Target="../tables/table133.xml"/><Relationship Id="rId1" Type="http://schemas.openxmlformats.org/officeDocument/2006/relationships/printerSettings" Target="../printerSettings/printerSettings132.bin"/></Relationships>
</file>

<file path=xl/worksheets/_rels/sheet134.xml.rels><?xml version="1.0" encoding="UTF-8" standalone="yes"?>
<Relationships xmlns="http://schemas.openxmlformats.org/package/2006/relationships"><Relationship Id="rId2" Type="http://schemas.openxmlformats.org/officeDocument/2006/relationships/table" Target="../tables/table134.xml"/><Relationship Id="rId1" Type="http://schemas.openxmlformats.org/officeDocument/2006/relationships/printerSettings" Target="../printerSettings/printerSettings133.bin"/></Relationships>
</file>

<file path=xl/worksheets/_rels/sheet135.xml.rels><?xml version="1.0" encoding="UTF-8" standalone="yes"?>
<Relationships xmlns="http://schemas.openxmlformats.org/package/2006/relationships"><Relationship Id="rId2" Type="http://schemas.openxmlformats.org/officeDocument/2006/relationships/table" Target="../tables/table135.xml"/><Relationship Id="rId1" Type="http://schemas.openxmlformats.org/officeDocument/2006/relationships/printerSettings" Target="../printerSettings/printerSettings134.bin"/></Relationships>
</file>

<file path=xl/worksheets/_rels/sheet136.xml.rels><?xml version="1.0" encoding="UTF-8" standalone="yes"?>
<Relationships xmlns="http://schemas.openxmlformats.org/package/2006/relationships"><Relationship Id="rId2" Type="http://schemas.openxmlformats.org/officeDocument/2006/relationships/table" Target="../tables/table136.xml"/><Relationship Id="rId1" Type="http://schemas.openxmlformats.org/officeDocument/2006/relationships/printerSettings" Target="../printerSettings/printerSettings135.bin"/></Relationships>
</file>

<file path=xl/worksheets/_rels/sheet137.xml.rels><?xml version="1.0" encoding="UTF-8" standalone="yes"?>
<Relationships xmlns="http://schemas.openxmlformats.org/package/2006/relationships"><Relationship Id="rId2" Type="http://schemas.openxmlformats.org/officeDocument/2006/relationships/table" Target="../tables/table137.xml"/><Relationship Id="rId1" Type="http://schemas.openxmlformats.org/officeDocument/2006/relationships/printerSettings" Target="../printerSettings/printerSettings136.bin"/></Relationships>
</file>

<file path=xl/worksheets/_rels/sheet138.xml.rels><?xml version="1.0" encoding="UTF-8" standalone="yes"?>
<Relationships xmlns="http://schemas.openxmlformats.org/package/2006/relationships"><Relationship Id="rId2" Type="http://schemas.openxmlformats.org/officeDocument/2006/relationships/table" Target="../tables/table138.xml"/><Relationship Id="rId1" Type="http://schemas.openxmlformats.org/officeDocument/2006/relationships/printerSettings" Target="../printerSettings/printerSettings137.bin"/></Relationships>
</file>

<file path=xl/worksheets/_rels/sheet139.xml.rels><?xml version="1.0" encoding="UTF-8" standalone="yes"?>
<Relationships xmlns="http://schemas.openxmlformats.org/package/2006/relationships"><Relationship Id="rId2" Type="http://schemas.openxmlformats.org/officeDocument/2006/relationships/table" Target="../tables/table139.xml"/><Relationship Id="rId1" Type="http://schemas.openxmlformats.org/officeDocument/2006/relationships/printerSettings" Target="../printerSettings/printerSettings138.bin"/></Relationships>
</file>

<file path=xl/worksheets/_rels/sheet140.xml.rels><?xml version="1.0" encoding="UTF-8" standalone="yes"?>
<Relationships xmlns="http://schemas.openxmlformats.org/package/2006/relationships"><Relationship Id="rId2" Type="http://schemas.openxmlformats.org/officeDocument/2006/relationships/table" Target="../tables/table140.xml"/><Relationship Id="rId1" Type="http://schemas.openxmlformats.org/officeDocument/2006/relationships/printerSettings" Target="../printerSettings/printerSettings139.bin"/></Relationships>
</file>

<file path=xl/worksheets/_rels/sheet141.xml.rels><?xml version="1.0" encoding="UTF-8" standalone="yes"?>
<Relationships xmlns="http://schemas.openxmlformats.org/package/2006/relationships"><Relationship Id="rId2" Type="http://schemas.openxmlformats.org/officeDocument/2006/relationships/table" Target="../tables/table141.xml"/><Relationship Id="rId1" Type="http://schemas.openxmlformats.org/officeDocument/2006/relationships/printerSettings" Target="../printerSettings/printerSettings140.bin"/></Relationships>
</file>

<file path=xl/worksheets/_rels/sheet142.xml.rels><?xml version="1.0" encoding="UTF-8" standalone="yes"?>
<Relationships xmlns="http://schemas.openxmlformats.org/package/2006/relationships"><Relationship Id="rId2" Type="http://schemas.openxmlformats.org/officeDocument/2006/relationships/table" Target="../tables/table142.xml"/><Relationship Id="rId1" Type="http://schemas.openxmlformats.org/officeDocument/2006/relationships/printerSettings" Target="../printerSettings/printerSettings141.bin"/></Relationships>
</file>

<file path=xl/worksheets/_rels/sheet14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43.xml"/><Relationship Id="rId1" Type="http://schemas.openxmlformats.org/officeDocument/2006/relationships/vmlDrawing" Target="../drawings/vmlDrawing1.vml"/></Relationships>
</file>

<file path=xl/worksheets/_rels/sheet144.xml.rels><?xml version="1.0" encoding="UTF-8" standalone="yes"?>
<Relationships xmlns="http://schemas.openxmlformats.org/package/2006/relationships"><Relationship Id="rId1" Type="http://schemas.openxmlformats.org/officeDocument/2006/relationships/table" Target="../tables/table144.xml"/></Relationships>
</file>

<file path=xl/worksheets/_rels/sheet145.xml.rels><?xml version="1.0" encoding="UTF-8" standalone="yes"?>
<Relationships xmlns="http://schemas.openxmlformats.org/package/2006/relationships"><Relationship Id="rId1" Type="http://schemas.openxmlformats.org/officeDocument/2006/relationships/table" Target="../tables/table145.xml"/></Relationships>
</file>

<file path=xl/worksheets/_rels/sheet14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46.xml"/><Relationship Id="rId1" Type="http://schemas.openxmlformats.org/officeDocument/2006/relationships/vmlDrawing" Target="../drawings/vmlDrawing2.vml"/></Relationships>
</file>

<file path=xl/worksheets/_rels/sheet147.xml.rels><?xml version="1.0" encoding="UTF-8" standalone="yes"?>
<Relationships xmlns="http://schemas.openxmlformats.org/package/2006/relationships"><Relationship Id="rId1" Type="http://schemas.openxmlformats.org/officeDocument/2006/relationships/table" Target="../tables/table147.xml"/></Relationships>
</file>

<file path=xl/worksheets/_rels/sheet148.xml.rels><?xml version="1.0" encoding="UTF-8" standalone="yes"?>
<Relationships xmlns="http://schemas.openxmlformats.org/package/2006/relationships"><Relationship Id="rId1" Type="http://schemas.openxmlformats.org/officeDocument/2006/relationships/table" Target="../tables/table148.xml"/></Relationships>
</file>

<file path=xl/worksheets/_rels/sheet149.xml.rels><?xml version="1.0" encoding="UTF-8" standalone="yes"?>
<Relationships xmlns="http://schemas.openxmlformats.org/package/2006/relationships"><Relationship Id="rId1" Type="http://schemas.openxmlformats.org/officeDocument/2006/relationships/table" Target="../tables/table149.xml"/></Relationships>
</file>

<file path=xl/worksheets/_rels/sheet150.xml.rels><?xml version="1.0" encoding="UTF-8" standalone="yes"?>
<Relationships xmlns="http://schemas.openxmlformats.org/package/2006/relationships"><Relationship Id="rId1" Type="http://schemas.openxmlformats.org/officeDocument/2006/relationships/table" Target="../tables/table150.xml"/></Relationships>
</file>

<file path=xl/worksheets/_rels/sheet15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51.xml"/><Relationship Id="rId1" Type="http://schemas.openxmlformats.org/officeDocument/2006/relationships/vmlDrawing" Target="../drawings/vmlDrawing3.vml"/></Relationships>
</file>

<file path=xl/worksheets/_rels/sheet152.xml.rels><?xml version="1.0" encoding="UTF-8" standalone="yes"?>
<Relationships xmlns="http://schemas.openxmlformats.org/package/2006/relationships"><Relationship Id="rId1" Type="http://schemas.openxmlformats.org/officeDocument/2006/relationships/table" Target="../tables/table152.xml"/></Relationships>
</file>

<file path=xl/worksheets/_rels/sheet153.xml.rels><?xml version="1.0" encoding="UTF-8" standalone="yes"?>
<Relationships xmlns="http://schemas.openxmlformats.org/package/2006/relationships"><Relationship Id="rId1" Type="http://schemas.openxmlformats.org/officeDocument/2006/relationships/table" Target="../tables/table153.xml"/></Relationships>
</file>

<file path=xl/worksheets/_rels/sheet154.xml.rels><?xml version="1.0" encoding="UTF-8" standalone="yes"?>
<Relationships xmlns="http://schemas.openxmlformats.org/package/2006/relationships"><Relationship Id="rId1" Type="http://schemas.openxmlformats.org/officeDocument/2006/relationships/table" Target="../tables/table154.xml"/></Relationships>
</file>

<file path=xl/worksheets/_rels/sheet155.xml.rels><?xml version="1.0" encoding="UTF-8" standalone="yes"?>
<Relationships xmlns="http://schemas.openxmlformats.org/package/2006/relationships"><Relationship Id="rId1" Type="http://schemas.openxmlformats.org/officeDocument/2006/relationships/table" Target="../tables/table155.xml"/></Relationships>
</file>

<file path=xl/worksheets/_rels/sheet156.xml.rels><?xml version="1.0" encoding="UTF-8" standalone="yes"?>
<Relationships xmlns="http://schemas.openxmlformats.org/package/2006/relationships"><Relationship Id="rId1" Type="http://schemas.openxmlformats.org/officeDocument/2006/relationships/table" Target="../tables/table156.xml"/></Relationships>
</file>

<file path=xl/worksheets/_rels/sheet157.xml.rels><?xml version="1.0" encoding="UTF-8" standalone="yes"?>
<Relationships xmlns="http://schemas.openxmlformats.org/package/2006/relationships"><Relationship Id="rId1" Type="http://schemas.openxmlformats.org/officeDocument/2006/relationships/table" Target="../tables/table157.xml"/></Relationships>
</file>

<file path=xl/worksheets/_rels/sheet158.xml.rels><?xml version="1.0" encoding="UTF-8" standalone="yes"?>
<Relationships xmlns="http://schemas.openxmlformats.org/package/2006/relationships"><Relationship Id="rId1" Type="http://schemas.openxmlformats.org/officeDocument/2006/relationships/table" Target="../tables/table158.xml"/></Relationships>
</file>

<file path=xl/worksheets/_rels/sheet15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59.xml"/><Relationship Id="rId1" Type="http://schemas.openxmlformats.org/officeDocument/2006/relationships/vmlDrawing" Target="../drawings/vmlDrawing4.vml"/></Relationships>
</file>

<file path=xl/worksheets/_rels/sheet160.xml.rels><?xml version="1.0" encoding="UTF-8" standalone="yes"?>
<Relationships xmlns="http://schemas.openxmlformats.org/package/2006/relationships"><Relationship Id="rId1" Type="http://schemas.openxmlformats.org/officeDocument/2006/relationships/table" Target="../tables/table160.xml"/></Relationships>
</file>

<file path=xl/worksheets/_rels/sheet161.xml.rels><?xml version="1.0" encoding="UTF-8" standalone="yes"?>
<Relationships xmlns="http://schemas.openxmlformats.org/package/2006/relationships"><Relationship Id="rId1" Type="http://schemas.openxmlformats.org/officeDocument/2006/relationships/table" Target="../tables/table161.xml"/></Relationships>
</file>

<file path=xl/worksheets/_rels/sheet162.xml.rels><?xml version="1.0" encoding="UTF-8" standalone="yes"?>
<Relationships xmlns="http://schemas.openxmlformats.org/package/2006/relationships"><Relationship Id="rId1" Type="http://schemas.openxmlformats.org/officeDocument/2006/relationships/table" Target="../tables/table162.xml"/></Relationships>
</file>

<file path=xl/worksheets/_rels/sheet163.xml.rels><?xml version="1.0" encoding="UTF-8" standalone="yes"?>
<Relationships xmlns="http://schemas.openxmlformats.org/package/2006/relationships"><Relationship Id="rId1" Type="http://schemas.openxmlformats.org/officeDocument/2006/relationships/table" Target="../tables/table163.xml"/></Relationships>
</file>

<file path=xl/worksheets/_rels/sheet16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64.xml"/><Relationship Id="rId1" Type="http://schemas.openxmlformats.org/officeDocument/2006/relationships/vmlDrawing" Target="../drawings/vmlDrawing5.vml"/></Relationships>
</file>

<file path=xl/worksheets/_rels/sheet165.xml.rels><?xml version="1.0" encoding="UTF-8" standalone="yes"?>
<Relationships xmlns="http://schemas.openxmlformats.org/package/2006/relationships"><Relationship Id="rId1" Type="http://schemas.openxmlformats.org/officeDocument/2006/relationships/table" Target="../tables/table165.xml"/></Relationships>
</file>

<file path=xl/worksheets/_rels/sheet16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66.xml"/><Relationship Id="rId1" Type="http://schemas.openxmlformats.org/officeDocument/2006/relationships/vmlDrawing" Target="../drawings/vmlDrawing6.vml"/></Relationships>
</file>

<file path=xl/worksheets/_rels/sheet167.xml.rels><?xml version="1.0" encoding="UTF-8" standalone="yes"?>
<Relationships xmlns="http://schemas.openxmlformats.org/package/2006/relationships"><Relationship Id="rId1" Type="http://schemas.openxmlformats.org/officeDocument/2006/relationships/table" Target="../tables/table167.xml"/></Relationships>
</file>

<file path=xl/worksheets/_rels/sheet168.xml.rels><?xml version="1.0" encoding="UTF-8" standalone="yes"?>
<Relationships xmlns="http://schemas.openxmlformats.org/package/2006/relationships"><Relationship Id="rId1" Type="http://schemas.openxmlformats.org/officeDocument/2006/relationships/table" Target="../tables/table168.xml"/></Relationships>
</file>

<file path=xl/worksheets/_rels/sheet169.xml.rels><?xml version="1.0" encoding="UTF-8" standalone="yes"?>
<Relationships xmlns="http://schemas.openxmlformats.org/package/2006/relationships"><Relationship Id="rId1" Type="http://schemas.openxmlformats.org/officeDocument/2006/relationships/table" Target="../tables/table169.xml"/></Relationships>
</file>

<file path=xl/worksheets/_rels/sheet170.xml.rels><?xml version="1.0" encoding="UTF-8" standalone="yes"?>
<Relationships xmlns="http://schemas.openxmlformats.org/package/2006/relationships"><Relationship Id="rId1" Type="http://schemas.openxmlformats.org/officeDocument/2006/relationships/table" Target="../tables/table170.xml"/></Relationships>
</file>

<file path=xl/worksheets/_rels/sheet171.xml.rels><?xml version="1.0" encoding="UTF-8" standalone="yes"?>
<Relationships xmlns="http://schemas.openxmlformats.org/package/2006/relationships"><Relationship Id="rId1" Type="http://schemas.openxmlformats.org/officeDocument/2006/relationships/table" Target="../tables/table171.xml"/></Relationships>
</file>

<file path=xl/worksheets/_rels/sheet172.xml.rels><?xml version="1.0" encoding="UTF-8" standalone="yes"?>
<Relationships xmlns="http://schemas.openxmlformats.org/package/2006/relationships"><Relationship Id="rId1" Type="http://schemas.openxmlformats.org/officeDocument/2006/relationships/table" Target="../tables/table172.xml"/></Relationships>
</file>

<file path=xl/worksheets/_rels/sheet173.xml.rels><?xml version="1.0" encoding="UTF-8" standalone="yes"?>
<Relationships xmlns="http://schemas.openxmlformats.org/package/2006/relationships"><Relationship Id="rId1" Type="http://schemas.openxmlformats.org/officeDocument/2006/relationships/table" Target="../tables/table173.xml"/></Relationships>
</file>

<file path=xl/worksheets/_rels/sheet174.xml.rels><?xml version="1.0" encoding="UTF-8" standalone="yes"?>
<Relationships xmlns="http://schemas.openxmlformats.org/package/2006/relationships"><Relationship Id="rId1" Type="http://schemas.openxmlformats.org/officeDocument/2006/relationships/table" Target="../tables/table174.xml"/></Relationships>
</file>

<file path=xl/worksheets/_rels/sheet175.xml.rels><?xml version="1.0" encoding="UTF-8" standalone="yes"?>
<Relationships xmlns="http://schemas.openxmlformats.org/package/2006/relationships"><Relationship Id="rId1" Type="http://schemas.openxmlformats.org/officeDocument/2006/relationships/table" Target="../tables/table175.xml"/></Relationships>
</file>

<file path=xl/worksheets/_rels/sheet176.xml.rels><?xml version="1.0" encoding="UTF-8" standalone="yes"?>
<Relationships xmlns="http://schemas.openxmlformats.org/package/2006/relationships"><Relationship Id="rId1" Type="http://schemas.openxmlformats.org/officeDocument/2006/relationships/table" Target="../tables/table176.xml"/></Relationships>
</file>

<file path=xl/worksheets/_rels/sheet177.xml.rels><?xml version="1.0" encoding="UTF-8" standalone="yes"?>
<Relationships xmlns="http://schemas.openxmlformats.org/package/2006/relationships"><Relationship Id="rId1" Type="http://schemas.openxmlformats.org/officeDocument/2006/relationships/table" Target="../tables/table177.xml"/></Relationships>
</file>

<file path=xl/worksheets/_rels/sheet178.xml.rels><?xml version="1.0" encoding="UTF-8" standalone="yes"?>
<Relationships xmlns="http://schemas.openxmlformats.org/package/2006/relationships"><Relationship Id="rId1" Type="http://schemas.openxmlformats.org/officeDocument/2006/relationships/table" Target="../tables/table178.xml"/></Relationships>
</file>

<file path=xl/worksheets/_rels/sheet179.xml.rels><?xml version="1.0" encoding="UTF-8" standalone="yes"?>
<Relationships xmlns="http://schemas.openxmlformats.org/package/2006/relationships"><Relationship Id="rId1" Type="http://schemas.openxmlformats.org/officeDocument/2006/relationships/table" Target="../tables/table179.xml"/></Relationships>
</file>

<file path=xl/worksheets/_rels/sheet180.xml.rels><?xml version="1.0" encoding="UTF-8" standalone="yes"?>
<Relationships xmlns="http://schemas.openxmlformats.org/package/2006/relationships"><Relationship Id="rId1" Type="http://schemas.openxmlformats.org/officeDocument/2006/relationships/table" Target="../tables/table180.xml"/></Relationships>
</file>

<file path=xl/worksheets/_rels/sheet181.xml.rels><?xml version="1.0" encoding="UTF-8" standalone="yes"?>
<Relationships xmlns="http://schemas.openxmlformats.org/package/2006/relationships"><Relationship Id="rId1" Type="http://schemas.openxmlformats.org/officeDocument/2006/relationships/table" Target="../tables/table181.xml"/></Relationships>
</file>

<file path=xl/worksheets/_rels/sheet182.xml.rels><?xml version="1.0" encoding="UTF-8" standalone="yes"?>
<Relationships xmlns="http://schemas.openxmlformats.org/package/2006/relationships"><Relationship Id="rId1" Type="http://schemas.openxmlformats.org/officeDocument/2006/relationships/table" Target="../tables/table182.xml"/></Relationships>
</file>

<file path=xl/worksheets/_rels/sheet183.xml.rels><?xml version="1.0" encoding="UTF-8" standalone="yes"?>
<Relationships xmlns="http://schemas.openxmlformats.org/package/2006/relationships"><Relationship Id="rId1" Type="http://schemas.openxmlformats.org/officeDocument/2006/relationships/table" Target="../tables/table183.xml"/></Relationships>
</file>

<file path=xl/worksheets/_rels/sheet184.xml.rels><?xml version="1.0" encoding="UTF-8" standalone="yes"?>
<Relationships xmlns="http://schemas.openxmlformats.org/package/2006/relationships"><Relationship Id="rId1" Type="http://schemas.openxmlformats.org/officeDocument/2006/relationships/table" Target="../tables/table184.xml"/></Relationships>
</file>

<file path=xl/worksheets/_rels/sheet185.xml.rels><?xml version="1.0" encoding="UTF-8" standalone="yes"?>
<Relationships xmlns="http://schemas.openxmlformats.org/package/2006/relationships"><Relationship Id="rId1" Type="http://schemas.openxmlformats.org/officeDocument/2006/relationships/table" Target="../tables/table185.xml"/></Relationships>
</file>

<file path=xl/worksheets/_rels/sheet186.xml.rels><?xml version="1.0" encoding="UTF-8" standalone="yes"?>
<Relationships xmlns="http://schemas.openxmlformats.org/package/2006/relationships"><Relationship Id="rId1" Type="http://schemas.openxmlformats.org/officeDocument/2006/relationships/table" Target="../tables/table186.xml"/></Relationships>
</file>

<file path=xl/worksheets/_rels/sheet18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87.xml"/><Relationship Id="rId1" Type="http://schemas.openxmlformats.org/officeDocument/2006/relationships/vmlDrawing" Target="../drawings/vmlDrawing7.vml"/></Relationships>
</file>

<file path=xl/worksheets/_rels/sheet188.xml.rels><?xml version="1.0" encoding="UTF-8" standalone="yes"?>
<Relationships xmlns="http://schemas.openxmlformats.org/package/2006/relationships"><Relationship Id="rId1" Type="http://schemas.openxmlformats.org/officeDocument/2006/relationships/table" Target="../tables/table188.xml"/></Relationships>
</file>

<file path=xl/worksheets/_rels/sheet18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89.xml"/><Relationship Id="rId1" Type="http://schemas.openxmlformats.org/officeDocument/2006/relationships/vmlDrawing" Target="../drawings/vmlDrawing8.vml"/></Relationships>
</file>

<file path=xl/worksheets/_rels/sheet190.xml.rels><?xml version="1.0" encoding="UTF-8" standalone="yes"?>
<Relationships xmlns="http://schemas.openxmlformats.org/package/2006/relationships"><Relationship Id="rId1" Type="http://schemas.openxmlformats.org/officeDocument/2006/relationships/table" Target="../tables/table190.xml"/></Relationships>
</file>

<file path=xl/worksheets/_rels/sheet191.xml.rels><?xml version="1.0" encoding="UTF-8" standalone="yes"?>
<Relationships xmlns="http://schemas.openxmlformats.org/package/2006/relationships"><Relationship Id="rId1" Type="http://schemas.openxmlformats.org/officeDocument/2006/relationships/table" Target="../tables/table191.xml"/></Relationships>
</file>

<file path=xl/worksheets/_rels/sheet192.xml.rels><?xml version="1.0" encoding="UTF-8" standalone="yes"?>
<Relationships xmlns="http://schemas.openxmlformats.org/package/2006/relationships"><Relationship Id="rId1" Type="http://schemas.openxmlformats.org/officeDocument/2006/relationships/table" Target="../tables/table192.xml"/></Relationships>
</file>

<file path=xl/worksheets/_rels/sheet193.xml.rels><?xml version="1.0" encoding="UTF-8" standalone="yes"?>
<Relationships xmlns="http://schemas.openxmlformats.org/package/2006/relationships"><Relationship Id="rId1" Type="http://schemas.openxmlformats.org/officeDocument/2006/relationships/table" Target="../tables/table193.xml"/></Relationships>
</file>

<file path=xl/worksheets/_rels/sheet194.xml.rels><?xml version="1.0" encoding="UTF-8" standalone="yes"?>
<Relationships xmlns="http://schemas.openxmlformats.org/package/2006/relationships"><Relationship Id="rId1" Type="http://schemas.openxmlformats.org/officeDocument/2006/relationships/table" Target="../tables/table194.xml"/></Relationships>
</file>

<file path=xl/worksheets/_rels/sheet195.xml.rels><?xml version="1.0" encoding="UTF-8" standalone="yes"?>
<Relationships xmlns="http://schemas.openxmlformats.org/package/2006/relationships"><Relationship Id="rId1" Type="http://schemas.openxmlformats.org/officeDocument/2006/relationships/table" Target="../tables/table195.xml"/></Relationships>
</file>

<file path=xl/worksheets/_rels/sheet196.xml.rels><?xml version="1.0" encoding="UTF-8" standalone="yes"?>
<Relationships xmlns="http://schemas.openxmlformats.org/package/2006/relationships"><Relationship Id="rId1" Type="http://schemas.openxmlformats.org/officeDocument/2006/relationships/table" Target="../tables/table196.xml"/></Relationships>
</file>

<file path=xl/worksheets/_rels/sheet197.xml.rels><?xml version="1.0" encoding="UTF-8" standalone="yes"?>
<Relationships xmlns="http://schemas.openxmlformats.org/package/2006/relationships"><Relationship Id="rId1" Type="http://schemas.openxmlformats.org/officeDocument/2006/relationships/table" Target="../tables/table197.xml"/></Relationships>
</file>

<file path=xl/worksheets/_rels/sheet19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98.xml"/><Relationship Id="rId1" Type="http://schemas.openxmlformats.org/officeDocument/2006/relationships/vmlDrawing" Target="../drawings/vmlDrawing9.vml"/></Relationships>
</file>

<file path=xl/worksheets/_rels/sheet199.xml.rels><?xml version="1.0" encoding="UTF-8" standalone="yes"?>
<Relationships xmlns="http://schemas.openxmlformats.org/package/2006/relationships"><Relationship Id="rId1" Type="http://schemas.openxmlformats.org/officeDocument/2006/relationships/table" Target="../tables/table199.xml"/></Relationships>
</file>

<file path=xl/worksheets/_rels/sheet200.xml.rels><?xml version="1.0" encoding="UTF-8" standalone="yes"?>
<Relationships xmlns="http://schemas.openxmlformats.org/package/2006/relationships"><Relationship Id="rId1" Type="http://schemas.openxmlformats.org/officeDocument/2006/relationships/table" Target="../tables/table200.xml"/></Relationships>
</file>

<file path=xl/worksheets/_rels/sheet201.xml.rels><?xml version="1.0" encoding="UTF-8" standalone="yes"?>
<Relationships xmlns="http://schemas.openxmlformats.org/package/2006/relationships"><Relationship Id="rId1" Type="http://schemas.openxmlformats.org/officeDocument/2006/relationships/table" Target="../tables/table201.xml"/></Relationships>
</file>

<file path=xl/worksheets/_rels/sheet202.xml.rels><?xml version="1.0" encoding="UTF-8" standalone="yes"?>
<Relationships xmlns="http://schemas.openxmlformats.org/package/2006/relationships"><Relationship Id="rId1" Type="http://schemas.openxmlformats.org/officeDocument/2006/relationships/table" Target="../tables/table202.xml"/></Relationships>
</file>

<file path=xl/worksheets/_rels/sheet203.xml.rels><?xml version="1.0" encoding="UTF-8" standalone="yes"?>
<Relationships xmlns="http://schemas.openxmlformats.org/package/2006/relationships"><Relationship Id="rId1" Type="http://schemas.openxmlformats.org/officeDocument/2006/relationships/table" Target="../tables/table203.xml"/></Relationships>
</file>

<file path=xl/worksheets/_rels/sheet204.xml.rels><?xml version="1.0" encoding="UTF-8" standalone="yes"?>
<Relationships xmlns="http://schemas.openxmlformats.org/package/2006/relationships"><Relationship Id="rId1" Type="http://schemas.openxmlformats.org/officeDocument/2006/relationships/table" Target="../tables/table204.xml"/></Relationships>
</file>

<file path=xl/worksheets/_rels/sheet205.xml.rels><?xml version="1.0" encoding="UTF-8" standalone="yes"?>
<Relationships xmlns="http://schemas.openxmlformats.org/package/2006/relationships"><Relationship Id="rId1" Type="http://schemas.openxmlformats.org/officeDocument/2006/relationships/table" Target="../tables/table205.xml"/></Relationships>
</file>

<file path=xl/worksheets/_rels/sheet206.xml.rels><?xml version="1.0" encoding="UTF-8" standalone="yes"?>
<Relationships xmlns="http://schemas.openxmlformats.org/package/2006/relationships"><Relationship Id="rId1" Type="http://schemas.openxmlformats.org/officeDocument/2006/relationships/table" Target="../tables/table206.xml"/></Relationships>
</file>

<file path=xl/worksheets/_rels/sheet207.xml.rels><?xml version="1.0" encoding="UTF-8" standalone="yes"?>
<Relationships xmlns="http://schemas.openxmlformats.org/package/2006/relationships"><Relationship Id="rId1" Type="http://schemas.openxmlformats.org/officeDocument/2006/relationships/table" Target="../tables/table207.xml"/></Relationships>
</file>

<file path=xl/worksheets/_rels/sheet208.xml.rels><?xml version="1.0" encoding="UTF-8" standalone="yes"?>
<Relationships xmlns="http://schemas.openxmlformats.org/package/2006/relationships"><Relationship Id="rId1" Type="http://schemas.openxmlformats.org/officeDocument/2006/relationships/table" Target="../tables/table208.xml"/></Relationships>
</file>

<file path=xl/worksheets/_rels/sheet20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209.xml"/><Relationship Id="rId1" Type="http://schemas.openxmlformats.org/officeDocument/2006/relationships/vmlDrawing" Target="../drawings/vmlDrawing10.vml"/></Relationships>
</file>

<file path=xl/worksheets/_rels/sheet21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10.xml"/><Relationship Id="rId1" Type="http://schemas.openxmlformats.org/officeDocument/2006/relationships/vmlDrawing" Target="../drawings/vmlDrawing11.vml"/></Relationships>
</file>

<file path=xl/worksheets/_rels/sheet211.xml.rels><?xml version="1.0" encoding="UTF-8" standalone="yes"?>
<Relationships xmlns="http://schemas.openxmlformats.org/package/2006/relationships"><Relationship Id="rId1" Type="http://schemas.openxmlformats.org/officeDocument/2006/relationships/table" Target="../tables/table211.xml"/></Relationships>
</file>

<file path=xl/worksheets/_rels/sheet212.xml.rels><?xml version="1.0" encoding="UTF-8" standalone="yes"?>
<Relationships xmlns="http://schemas.openxmlformats.org/package/2006/relationships"><Relationship Id="rId1" Type="http://schemas.openxmlformats.org/officeDocument/2006/relationships/table" Target="../tables/table212.xml"/></Relationships>
</file>

<file path=xl/worksheets/_rels/sheet213.xml.rels><?xml version="1.0" encoding="UTF-8" standalone="yes"?>
<Relationships xmlns="http://schemas.openxmlformats.org/package/2006/relationships"><Relationship Id="rId1" Type="http://schemas.openxmlformats.org/officeDocument/2006/relationships/table" Target="../tables/table213.xml"/></Relationships>
</file>

<file path=xl/worksheets/_rels/sheet2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14.xml"/><Relationship Id="rId1" Type="http://schemas.openxmlformats.org/officeDocument/2006/relationships/vmlDrawing" Target="../drawings/vmlDrawing12.vml"/></Relationships>
</file>

<file path=xl/worksheets/_rels/sheet215.xml.rels><?xml version="1.0" encoding="UTF-8" standalone="yes"?>
<Relationships xmlns="http://schemas.openxmlformats.org/package/2006/relationships"><Relationship Id="rId1" Type="http://schemas.openxmlformats.org/officeDocument/2006/relationships/table" Target="../tables/table215.xml"/></Relationships>
</file>

<file path=xl/worksheets/_rels/sheet2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16.xml"/><Relationship Id="rId1" Type="http://schemas.openxmlformats.org/officeDocument/2006/relationships/vmlDrawing" Target="../drawings/vmlDrawing13.vml"/></Relationships>
</file>

<file path=xl/worksheets/_rels/sheet217.xml.rels><?xml version="1.0" encoding="UTF-8" standalone="yes"?>
<Relationships xmlns="http://schemas.openxmlformats.org/package/2006/relationships"><Relationship Id="rId1" Type="http://schemas.openxmlformats.org/officeDocument/2006/relationships/table" Target="../tables/table217.xml"/></Relationships>
</file>

<file path=xl/worksheets/_rels/sheet2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18.xml"/><Relationship Id="rId1" Type="http://schemas.openxmlformats.org/officeDocument/2006/relationships/vmlDrawing" Target="../drawings/vmlDrawing14.vml"/></Relationships>
</file>

<file path=xl/worksheets/_rels/sheet219.xml.rels><?xml version="1.0" encoding="UTF-8" standalone="yes"?>
<Relationships xmlns="http://schemas.openxmlformats.org/package/2006/relationships"><Relationship Id="rId1" Type="http://schemas.openxmlformats.org/officeDocument/2006/relationships/table" Target="../tables/table219.xml"/></Relationships>
</file>

<file path=xl/worksheets/_rels/sheet220.xml.rels><?xml version="1.0" encoding="UTF-8" standalone="yes"?>
<Relationships xmlns="http://schemas.openxmlformats.org/package/2006/relationships"><Relationship Id="rId1" Type="http://schemas.openxmlformats.org/officeDocument/2006/relationships/table" Target="../tables/table220.xml"/></Relationships>
</file>

<file path=xl/worksheets/_rels/sheet2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21.xml"/><Relationship Id="rId1" Type="http://schemas.openxmlformats.org/officeDocument/2006/relationships/vmlDrawing" Target="../drawings/vmlDrawing15.vml"/></Relationships>
</file>

<file path=xl/worksheets/_rels/sheet222.xml.rels><?xml version="1.0" encoding="UTF-8" standalone="yes"?>
<Relationships xmlns="http://schemas.openxmlformats.org/package/2006/relationships"><Relationship Id="rId1" Type="http://schemas.openxmlformats.org/officeDocument/2006/relationships/table" Target="../tables/table222.xml"/></Relationships>
</file>

<file path=xl/worksheets/_rels/sheet223.xml.rels><?xml version="1.0" encoding="UTF-8" standalone="yes"?>
<Relationships xmlns="http://schemas.openxmlformats.org/package/2006/relationships"><Relationship Id="rId1" Type="http://schemas.openxmlformats.org/officeDocument/2006/relationships/table" Target="../tables/table223.xml"/></Relationships>
</file>

<file path=xl/worksheets/_rels/sheet224.xml.rels><?xml version="1.0" encoding="UTF-8" standalone="yes"?>
<Relationships xmlns="http://schemas.openxmlformats.org/package/2006/relationships"><Relationship Id="rId1" Type="http://schemas.openxmlformats.org/officeDocument/2006/relationships/table" Target="../tables/table224.xml"/></Relationships>
</file>

<file path=xl/worksheets/_rels/sheet225.xml.rels><?xml version="1.0" encoding="UTF-8" standalone="yes"?>
<Relationships xmlns="http://schemas.openxmlformats.org/package/2006/relationships"><Relationship Id="rId1" Type="http://schemas.openxmlformats.org/officeDocument/2006/relationships/table" Target="../tables/table225.xml"/></Relationships>
</file>

<file path=xl/worksheets/_rels/sheet226.xml.rels><?xml version="1.0" encoding="UTF-8" standalone="yes"?>
<Relationships xmlns="http://schemas.openxmlformats.org/package/2006/relationships"><Relationship Id="rId1" Type="http://schemas.openxmlformats.org/officeDocument/2006/relationships/table" Target="../tables/table226.xml"/></Relationships>
</file>

<file path=xl/worksheets/_rels/sheet227.xml.rels><?xml version="1.0" encoding="UTF-8" standalone="yes"?>
<Relationships xmlns="http://schemas.openxmlformats.org/package/2006/relationships"><Relationship Id="rId1" Type="http://schemas.openxmlformats.org/officeDocument/2006/relationships/table" Target="../tables/table227.xml"/></Relationships>
</file>

<file path=xl/worksheets/_rels/sheet228.xml.rels><?xml version="1.0" encoding="UTF-8" standalone="yes"?>
<Relationships xmlns="http://schemas.openxmlformats.org/package/2006/relationships"><Relationship Id="rId1" Type="http://schemas.openxmlformats.org/officeDocument/2006/relationships/table" Target="../tables/table228.xml"/></Relationships>
</file>

<file path=xl/worksheets/_rels/sheet229.xml.rels><?xml version="1.0" encoding="UTF-8" standalone="yes"?>
<Relationships xmlns="http://schemas.openxmlformats.org/package/2006/relationships"><Relationship Id="rId1" Type="http://schemas.openxmlformats.org/officeDocument/2006/relationships/table" Target="../tables/table229.xml"/></Relationships>
</file>

<file path=xl/worksheets/_rels/sheet230.xml.rels><?xml version="1.0" encoding="UTF-8" standalone="yes"?>
<Relationships xmlns="http://schemas.openxmlformats.org/package/2006/relationships"><Relationship Id="rId1" Type="http://schemas.openxmlformats.org/officeDocument/2006/relationships/table" Target="../tables/table230.xml"/></Relationships>
</file>

<file path=xl/worksheets/_rels/sheet231.xml.rels><?xml version="1.0" encoding="UTF-8" standalone="yes"?>
<Relationships xmlns="http://schemas.openxmlformats.org/package/2006/relationships"><Relationship Id="rId1" Type="http://schemas.openxmlformats.org/officeDocument/2006/relationships/table" Target="../tables/table231.xml"/></Relationships>
</file>

<file path=xl/worksheets/_rels/sheet232.xml.rels><?xml version="1.0" encoding="UTF-8" standalone="yes"?>
<Relationships xmlns="http://schemas.openxmlformats.org/package/2006/relationships"><Relationship Id="rId1" Type="http://schemas.openxmlformats.org/officeDocument/2006/relationships/table" Target="../tables/table232.xml"/></Relationships>
</file>

<file path=xl/worksheets/_rels/sheet233.xml.rels><?xml version="1.0" encoding="UTF-8" standalone="yes"?>
<Relationships xmlns="http://schemas.openxmlformats.org/package/2006/relationships"><Relationship Id="rId1" Type="http://schemas.openxmlformats.org/officeDocument/2006/relationships/table" Target="../tables/table233.xml"/></Relationships>
</file>

<file path=xl/worksheets/_rels/sheet234.xml.rels><?xml version="1.0" encoding="UTF-8" standalone="yes"?>
<Relationships xmlns="http://schemas.openxmlformats.org/package/2006/relationships"><Relationship Id="rId1" Type="http://schemas.openxmlformats.org/officeDocument/2006/relationships/table" Target="../tables/table234.xml"/></Relationships>
</file>

<file path=xl/worksheets/_rels/sheet235.xml.rels><?xml version="1.0" encoding="UTF-8" standalone="yes"?>
<Relationships xmlns="http://schemas.openxmlformats.org/package/2006/relationships"><Relationship Id="rId1" Type="http://schemas.openxmlformats.org/officeDocument/2006/relationships/table" Target="../tables/table235.xml"/></Relationships>
</file>

<file path=xl/worksheets/_rels/sheet236.xml.rels><?xml version="1.0" encoding="UTF-8" standalone="yes"?>
<Relationships xmlns="http://schemas.openxmlformats.org/package/2006/relationships"><Relationship Id="rId1" Type="http://schemas.openxmlformats.org/officeDocument/2006/relationships/table" Target="../tables/table236.xml"/></Relationships>
</file>

<file path=xl/worksheets/_rels/sheet237.xml.rels><?xml version="1.0" encoding="UTF-8" standalone="yes"?>
<Relationships xmlns="http://schemas.openxmlformats.org/package/2006/relationships"><Relationship Id="rId1" Type="http://schemas.openxmlformats.org/officeDocument/2006/relationships/table" Target="../tables/table237.xml"/></Relationships>
</file>

<file path=xl/worksheets/_rels/sheet238.xml.rels><?xml version="1.0" encoding="UTF-8" standalone="yes"?>
<Relationships xmlns="http://schemas.openxmlformats.org/package/2006/relationships"><Relationship Id="rId1" Type="http://schemas.openxmlformats.org/officeDocument/2006/relationships/table" Target="../tables/table238.xml"/></Relationships>
</file>

<file path=xl/worksheets/_rels/sheet239.xml.rels><?xml version="1.0" encoding="UTF-8" standalone="yes"?>
<Relationships xmlns="http://schemas.openxmlformats.org/package/2006/relationships"><Relationship Id="rId1" Type="http://schemas.openxmlformats.org/officeDocument/2006/relationships/table" Target="../tables/table239.xml"/></Relationships>
</file>

<file path=xl/worksheets/_rels/sheet240.xml.rels><?xml version="1.0" encoding="UTF-8" standalone="yes"?>
<Relationships xmlns="http://schemas.openxmlformats.org/package/2006/relationships"><Relationship Id="rId1" Type="http://schemas.openxmlformats.org/officeDocument/2006/relationships/table" Target="../tables/table240.xml"/></Relationships>
</file>

<file path=xl/worksheets/_rels/sheet241.xml.rels><?xml version="1.0" encoding="UTF-8" standalone="yes"?>
<Relationships xmlns="http://schemas.openxmlformats.org/package/2006/relationships"><Relationship Id="rId1" Type="http://schemas.openxmlformats.org/officeDocument/2006/relationships/table" Target="../tables/table241.xml"/></Relationships>
</file>

<file path=xl/worksheets/_rels/sheet242.xml.rels><?xml version="1.0" encoding="UTF-8" standalone="yes"?>
<Relationships xmlns="http://schemas.openxmlformats.org/package/2006/relationships"><Relationship Id="rId1" Type="http://schemas.openxmlformats.org/officeDocument/2006/relationships/table" Target="../tables/table242.xml"/></Relationships>
</file>

<file path=xl/worksheets/_rels/sheet243.xml.rels><?xml version="1.0" encoding="UTF-8" standalone="yes"?>
<Relationships xmlns="http://schemas.openxmlformats.org/package/2006/relationships"><Relationship Id="rId2" Type="http://schemas.openxmlformats.org/officeDocument/2006/relationships/table" Target="../tables/table243.xml"/><Relationship Id="rId1" Type="http://schemas.openxmlformats.org/officeDocument/2006/relationships/printerSettings" Target="../printerSettings/printerSettings142.bin"/></Relationships>
</file>

<file path=xl/worksheets/_rels/sheet244.xml.rels><?xml version="1.0" encoding="UTF-8" standalone="yes"?>
<Relationships xmlns="http://schemas.openxmlformats.org/package/2006/relationships"><Relationship Id="rId1" Type="http://schemas.openxmlformats.org/officeDocument/2006/relationships/table" Target="../tables/table244.xml"/></Relationships>
</file>

<file path=xl/worksheets/_rels/sheet245.xml.rels><?xml version="1.0" encoding="UTF-8" standalone="yes"?>
<Relationships xmlns="http://schemas.openxmlformats.org/package/2006/relationships"><Relationship Id="rId1" Type="http://schemas.openxmlformats.org/officeDocument/2006/relationships/table" Target="../tables/table245.xml"/></Relationships>
</file>

<file path=xl/worksheets/_rels/sheet246.xml.rels><?xml version="1.0" encoding="UTF-8" standalone="yes"?>
<Relationships xmlns="http://schemas.openxmlformats.org/package/2006/relationships"><Relationship Id="rId1" Type="http://schemas.openxmlformats.org/officeDocument/2006/relationships/table" Target="../tables/table246.xml"/></Relationships>
</file>

<file path=xl/worksheets/_rels/sheet247.xml.rels><?xml version="1.0" encoding="UTF-8" standalone="yes"?>
<Relationships xmlns="http://schemas.openxmlformats.org/package/2006/relationships"><Relationship Id="rId1" Type="http://schemas.openxmlformats.org/officeDocument/2006/relationships/table" Target="../tables/table247.xml"/></Relationships>
</file>

<file path=xl/worksheets/_rels/sheet248.xml.rels><?xml version="1.0" encoding="UTF-8" standalone="yes"?>
<Relationships xmlns="http://schemas.openxmlformats.org/package/2006/relationships"><Relationship Id="rId1" Type="http://schemas.openxmlformats.org/officeDocument/2006/relationships/table" Target="../tables/table248.xml"/></Relationships>
</file>

<file path=xl/worksheets/_rels/sheet249.xml.rels><?xml version="1.0" encoding="UTF-8" standalone="yes"?>
<Relationships xmlns="http://schemas.openxmlformats.org/package/2006/relationships"><Relationship Id="rId1" Type="http://schemas.openxmlformats.org/officeDocument/2006/relationships/table" Target="../tables/table249.xml"/></Relationships>
</file>

<file path=xl/worksheets/_rels/sheet250.xml.rels><?xml version="1.0" encoding="UTF-8" standalone="yes"?>
<Relationships xmlns="http://schemas.openxmlformats.org/package/2006/relationships"><Relationship Id="rId1" Type="http://schemas.openxmlformats.org/officeDocument/2006/relationships/table" Target="../tables/table250.xml"/></Relationships>
</file>

<file path=xl/worksheets/_rels/sheet25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51.xml"/><Relationship Id="rId1" Type="http://schemas.openxmlformats.org/officeDocument/2006/relationships/vmlDrawing" Target="../drawings/vmlDrawing16.vml"/></Relationships>
</file>

<file path=xl/worksheets/_rels/sheet252.xml.rels><?xml version="1.0" encoding="UTF-8" standalone="yes"?>
<Relationships xmlns="http://schemas.openxmlformats.org/package/2006/relationships"><Relationship Id="rId1" Type="http://schemas.openxmlformats.org/officeDocument/2006/relationships/table" Target="../tables/table252.xml"/></Relationships>
</file>

<file path=xl/worksheets/_rels/sheet253.xml.rels><?xml version="1.0" encoding="UTF-8" standalone="yes"?>
<Relationships xmlns="http://schemas.openxmlformats.org/package/2006/relationships"><Relationship Id="rId1" Type="http://schemas.openxmlformats.org/officeDocument/2006/relationships/table" Target="../tables/table253.xml"/></Relationships>
</file>

<file path=xl/worksheets/_rels/sheet254.xml.rels><?xml version="1.0" encoding="UTF-8" standalone="yes"?>
<Relationships xmlns="http://schemas.openxmlformats.org/package/2006/relationships"><Relationship Id="rId1" Type="http://schemas.openxmlformats.org/officeDocument/2006/relationships/table" Target="../tables/table254.xml"/></Relationships>
</file>

<file path=xl/worksheets/_rels/sheet255.xml.rels><?xml version="1.0" encoding="UTF-8" standalone="yes"?>
<Relationships xmlns="http://schemas.openxmlformats.org/package/2006/relationships"><Relationship Id="rId1" Type="http://schemas.openxmlformats.org/officeDocument/2006/relationships/table" Target="../tables/table255.xml"/></Relationships>
</file>

<file path=xl/worksheets/_rels/sheet256.xml.rels><?xml version="1.0" encoding="UTF-8" standalone="yes"?>
<Relationships xmlns="http://schemas.openxmlformats.org/package/2006/relationships"><Relationship Id="rId1" Type="http://schemas.openxmlformats.org/officeDocument/2006/relationships/table" Target="../tables/table256.xml"/></Relationships>
</file>

<file path=xl/worksheets/_rels/sheet257.xml.rels><?xml version="1.0" encoding="UTF-8" standalone="yes"?>
<Relationships xmlns="http://schemas.openxmlformats.org/package/2006/relationships"><Relationship Id="rId1" Type="http://schemas.openxmlformats.org/officeDocument/2006/relationships/table" Target="../tables/table257.xml"/></Relationships>
</file>

<file path=xl/worksheets/_rels/sheet258.xml.rels><?xml version="1.0" encoding="UTF-8" standalone="yes"?>
<Relationships xmlns="http://schemas.openxmlformats.org/package/2006/relationships"><Relationship Id="rId1" Type="http://schemas.openxmlformats.org/officeDocument/2006/relationships/table" Target="../tables/table258.xml"/></Relationships>
</file>

<file path=xl/worksheets/_rels/sheet259.xml.rels><?xml version="1.0" encoding="UTF-8" standalone="yes"?>
<Relationships xmlns="http://schemas.openxmlformats.org/package/2006/relationships"><Relationship Id="rId1" Type="http://schemas.openxmlformats.org/officeDocument/2006/relationships/table" Target="../tables/table259.xml"/></Relationships>
</file>

<file path=xl/worksheets/_rels/sheet260.xml.rels><?xml version="1.0" encoding="UTF-8" standalone="yes"?>
<Relationships xmlns="http://schemas.openxmlformats.org/package/2006/relationships"><Relationship Id="rId1" Type="http://schemas.openxmlformats.org/officeDocument/2006/relationships/table" Target="../tables/table260.xml"/></Relationships>
</file>

<file path=xl/worksheets/_rels/sheet26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261.xml"/><Relationship Id="rId1" Type="http://schemas.openxmlformats.org/officeDocument/2006/relationships/vmlDrawing" Target="../drawings/vmlDrawing17.vml"/></Relationships>
</file>

<file path=xl/worksheets/_rels/sheet262.xml.rels><?xml version="1.0" encoding="UTF-8" standalone="yes"?>
<Relationships xmlns="http://schemas.openxmlformats.org/package/2006/relationships"><Relationship Id="rId1" Type="http://schemas.openxmlformats.org/officeDocument/2006/relationships/table" Target="../tables/table262.xml"/></Relationships>
</file>

<file path=xl/worksheets/_rels/sheet263.xml.rels><?xml version="1.0" encoding="UTF-8" standalone="yes"?>
<Relationships xmlns="http://schemas.openxmlformats.org/package/2006/relationships"><Relationship Id="rId1" Type="http://schemas.openxmlformats.org/officeDocument/2006/relationships/table" Target="../tables/table263.xml"/></Relationships>
</file>

<file path=xl/worksheets/_rels/sheet264.xml.rels><?xml version="1.0" encoding="UTF-8" standalone="yes"?>
<Relationships xmlns="http://schemas.openxmlformats.org/package/2006/relationships"><Relationship Id="rId1" Type="http://schemas.openxmlformats.org/officeDocument/2006/relationships/table" Target="../tables/table264.xml"/></Relationships>
</file>

<file path=xl/worksheets/_rels/sheet265.xml.rels><?xml version="1.0" encoding="UTF-8" standalone="yes"?>
<Relationships xmlns="http://schemas.openxmlformats.org/package/2006/relationships"><Relationship Id="rId2" Type="http://schemas.openxmlformats.org/officeDocument/2006/relationships/table" Target="../tables/table265.xml"/><Relationship Id="rId1" Type="http://schemas.openxmlformats.org/officeDocument/2006/relationships/printerSettings" Target="../printerSettings/printerSettings143.bin"/></Relationships>
</file>

<file path=xl/worksheets/_rels/sheet266.xml.rels><?xml version="1.0" encoding="UTF-8" standalone="yes"?>
<Relationships xmlns="http://schemas.openxmlformats.org/package/2006/relationships"><Relationship Id="rId1" Type="http://schemas.openxmlformats.org/officeDocument/2006/relationships/table" Target="../tables/table266.xml"/></Relationships>
</file>

<file path=xl/worksheets/_rels/sheet267.xml.rels><?xml version="1.0" encoding="UTF-8" standalone="yes"?>
<Relationships xmlns="http://schemas.openxmlformats.org/package/2006/relationships"><Relationship Id="rId1" Type="http://schemas.openxmlformats.org/officeDocument/2006/relationships/table" Target="../tables/table267.xml"/></Relationships>
</file>

<file path=xl/worksheets/_rels/sheet268.xml.rels><?xml version="1.0" encoding="UTF-8" standalone="yes"?>
<Relationships xmlns="http://schemas.openxmlformats.org/package/2006/relationships"><Relationship Id="rId1" Type="http://schemas.openxmlformats.org/officeDocument/2006/relationships/table" Target="../tables/table268.xml"/></Relationships>
</file>

<file path=xl/worksheets/_rels/sheet269.xml.rels><?xml version="1.0" encoding="UTF-8" standalone="yes"?>
<Relationships xmlns="http://schemas.openxmlformats.org/package/2006/relationships"><Relationship Id="rId1" Type="http://schemas.openxmlformats.org/officeDocument/2006/relationships/table" Target="../tables/table269.xml"/></Relationships>
</file>

<file path=xl/worksheets/_rels/sheet270.xml.rels><?xml version="1.0" encoding="UTF-8" standalone="yes"?>
<Relationships xmlns="http://schemas.openxmlformats.org/package/2006/relationships"><Relationship Id="rId1" Type="http://schemas.openxmlformats.org/officeDocument/2006/relationships/table" Target="../tables/table270.xml"/></Relationships>
</file>

<file path=xl/worksheets/_rels/sheet271.xml.rels><?xml version="1.0" encoding="UTF-8" standalone="yes"?>
<Relationships xmlns="http://schemas.openxmlformats.org/package/2006/relationships"><Relationship Id="rId1" Type="http://schemas.openxmlformats.org/officeDocument/2006/relationships/table" Target="../tables/table271.xml"/></Relationships>
</file>

<file path=xl/worksheets/_rels/sheet272.xml.rels><?xml version="1.0" encoding="UTF-8" standalone="yes"?>
<Relationships xmlns="http://schemas.openxmlformats.org/package/2006/relationships"><Relationship Id="rId1" Type="http://schemas.openxmlformats.org/officeDocument/2006/relationships/table" Target="../tables/table272.xml"/></Relationships>
</file>

<file path=xl/worksheets/_rels/sheet27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273.xml"/><Relationship Id="rId1" Type="http://schemas.openxmlformats.org/officeDocument/2006/relationships/vmlDrawing" Target="../drawings/vmlDrawing18.vml"/></Relationships>
</file>

<file path=xl/worksheets/_rels/sheet274.xml.rels><?xml version="1.0" encoding="UTF-8" standalone="yes"?>
<Relationships xmlns="http://schemas.openxmlformats.org/package/2006/relationships"><Relationship Id="rId1" Type="http://schemas.openxmlformats.org/officeDocument/2006/relationships/table" Target="../tables/table274.xml"/></Relationships>
</file>

<file path=xl/worksheets/_rels/sheet275.xml.rels><?xml version="1.0" encoding="UTF-8" standalone="yes"?>
<Relationships xmlns="http://schemas.openxmlformats.org/package/2006/relationships"><Relationship Id="rId1" Type="http://schemas.openxmlformats.org/officeDocument/2006/relationships/table" Target="../tables/table275.xml"/></Relationships>
</file>

<file path=xl/worksheets/_rels/sheet276.xml.rels><?xml version="1.0" encoding="UTF-8" standalone="yes"?>
<Relationships xmlns="http://schemas.openxmlformats.org/package/2006/relationships"><Relationship Id="rId1" Type="http://schemas.openxmlformats.org/officeDocument/2006/relationships/table" Target="../tables/table276.xml"/></Relationships>
</file>

<file path=xl/worksheets/_rels/sheet277.xml.rels><?xml version="1.0" encoding="UTF-8" standalone="yes"?>
<Relationships xmlns="http://schemas.openxmlformats.org/package/2006/relationships"><Relationship Id="rId1" Type="http://schemas.openxmlformats.org/officeDocument/2006/relationships/table" Target="../tables/table277.xml"/></Relationships>
</file>

<file path=xl/worksheets/_rels/sheet278.xml.rels><?xml version="1.0" encoding="UTF-8" standalone="yes"?>
<Relationships xmlns="http://schemas.openxmlformats.org/package/2006/relationships"><Relationship Id="rId1" Type="http://schemas.openxmlformats.org/officeDocument/2006/relationships/table" Target="../tables/table278.xml"/></Relationships>
</file>

<file path=xl/worksheets/_rels/sheet279.xml.rels><?xml version="1.0" encoding="UTF-8" standalone="yes"?>
<Relationships xmlns="http://schemas.openxmlformats.org/package/2006/relationships"><Relationship Id="rId1" Type="http://schemas.openxmlformats.org/officeDocument/2006/relationships/table" Target="../tables/table279.xml"/></Relationships>
</file>

<file path=xl/worksheets/_rels/sheet280.xml.rels><?xml version="1.0" encoding="UTF-8" standalone="yes"?>
<Relationships xmlns="http://schemas.openxmlformats.org/package/2006/relationships"><Relationship Id="rId1" Type="http://schemas.openxmlformats.org/officeDocument/2006/relationships/table" Target="../tables/table280.xml"/></Relationships>
</file>

<file path=xl/worksheets/_rels/sheet281.xml.rels><?xml version="1.0" encoding="UTF-8" standalone="yes"?>
<Relationships xmlns="http://schemas.openxmlformats.org/package/2006/relationships"><Relationship Id="rId1" Type="http://schemas.openxmlformats.org/officeDocument/2006/relationships/table" Target="../tables/table281.xml"/></Relationships>
</file>

<file path=xl/worksheets/_rels/sheet282.xml.rels><?xml version="1.0" encoding="UTF-8" standalone="yes"?>
<Relationships xmlns="http://schemas.openxmlformats.org/package/2006/relationships"><Relationship Id="rId1" Type="http://schemas.openxmlformats.org/officeDocument/2006/relationships/table" Target="../tables/table282.xml"/></Relationships>
</file>

<file path=xl/worksheets/_rels/sheet283.xml.rels><?xml version="1.0" encoding="UTF-8" standalone="yes"?>
<Relationships xmlns="http://schemas.openxmlformats.org/package/2006/relationships"><Relationship Id="rId1" Type="http://schemas.openxmlformats.org/officeDocument/2006/relationships/table" Target="../tables/table283.xml"/></Relationships>
</file>

<file path=xl/worksheets/_rels/sheet284.xml.rels><?xml version="1.0" encoding="UTF-8" standalone="yes"?>
<Relationships xmlns="http://schemas.openxmlformats.org/package/2006/relationships"><Relationship Id="rId1" Type="http://schemas.openxmlformats.org/officeDocument/2006/relationships/table" Target="../tables/table284.xml"/></Relationships>
</file>

<file path=xl/worksheets/_rels/sheet285.xml.rels><?xml version="1.0" encoding="UTF-8" standalone="yes"?>
<Relationships xmlns="http://schemas.openxmlformats.org/package/2006/relationships"><Relationship Id="rId1" Type="http://schemas.openxmlformats.org/officeDocument/2006/relationships/table" Target="../tables/table285.xml"/></Relationships>
</file>

<file path=xl/worksheets/_rels/sheet286.xml.rels><?xml version="1.0" encoding="UTF-8" standalone="yes"?>
<Relationships xmlns="http://schemas.openxmlformats.org/package/2006/relationships"><Relationship Id="rId1" Type="http://schemas.openxmlformats.org/officeDocument/2006/relationships/table" Target="../tables/table286.xml"/></Relationships>
</file>

<file path=xl/worksheets/_rels/sheet287.xml.rels><?xml version="1.0" encoding="UTF-8" standalone="yes"?>
<Relationships xmlns="http://schemas.openxmlformats.org/package/2006/relationships"><Relationship Id="rId1" Type="http://schemas.openxmlformats.org/officeDocument/2006/relationships/table" Target="../tables/table287.xml"/></Relationships>
</file>

<file path=xl/worksheets/_rels/sheet288.xml.rels><?xml version="1.0" encoding="UTF-8" standalone="yes"?>
<Relationships xmlns="http://schemas.openxmlformats.org/package/2006/relationships"><Relationship Id="rId1" Type="http://schemas.openxmlformats.org/officeDocument/2006/relationships/table" Target="../tables/table288.xml"/></Relationships>
</file>

<file path=xl/worksheets/_rels/sheet289.xml.rels><?xml version="1.0" encoding="UTF-8" standalone="yes"?>
<Relationships xmlns="http://schemas.openxmlformats.org/package/2006/relationships"><Relationship Id="rId1" Type="http://schemas.openxmlformats.org/officeDocument/2006/relationships/table" Target="../tables/table289.xml"/></Relationships>
</file>

<file path=xl/worksheets/_rels/sheet290.xml.rels><?xml version="1.0" encoding="UTF-8" standalone="yes"?>
<Relationships xmlns="http://schemas.openxmlformats.org/package/2006/relationships"><Relationship Id="rId1" Type="http://schemas.openxmlformats.org/officeDocument/2006/relationships/table" Target="../tables/table290.xml"/></Relationships>
</file>

<file path=xl/worksheets/_rels/sheet291.xml.rels><?xml version="1.0" encoding="UTF-8" standalone="yes"?>
<Relationships xmlns="http://schemas.openxmlformats.org/package/2006/relationships"><Relationship Id="rId1" Type="http://schemas.openxmlformats.org/officeDocument/2006/relationships/table" Target="../tables/table291.xml"/></Relationships>
</file>

<file path=xl/worksheets/_rels/sheet292.xml.rels><?xml version="1.0" encoding="UTF-8" standalone="yes"?>
<Relationships xmlns="http://schemas.openxmlformats.org/package/2006/relationships"><Relationship Id="rId1" Type="http://schemas.openxmlformats.org/officeDocument/2006/relationships/table" Target="../tables/table292.xml"/></Relationships>
</file>

<file path=xl/worksheets/_rels/sheet293.xml.rels><?xml version="1.0" encoding="UTF-8" standalone="yes"?>
<Relationships xmlns="http://schemas.openxmlformats.org/package/2006/relationships"><Relationship Id="rId1" Type="http://schemas.openxmlformats.org/officeDocument/2006/relationships/table" Target="../tables/table293.xml"/></Relationships>
</file>

<file path=xl/worksheets/_rels/sheet294.xml.rels><?xml version="1.0" encoding="UTF-8" standalone="yes"?>
<Relationships xmlns="http://schemas.openxmlformats.org/package/2006/relationships"><Relationship Id="rId1" Type="http://schemas.openxmlformats.org/officeDocument/2006/relationships/table" Target="../tables/table294.xml"/></Relationships>
</file>

<file path=xl/worksheets/_rels/sheet29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295.xml"/><Relationship Id="rId1" Type="http://schemas.openxmlformats.org/officeDocument/2006/relationships/vmlDrawing" Target="../drawings/vmlDrawing19.vml"/></Relationships>
</file>

<file path=xl/worksheets/_rels/sheet296.xml.rels><?xml version="1.0" encoding="UTF-8" standalone="yes"?>
<Relationships xmlns="http://schemas.openxmlformats.org/package/2006/relationships"><Relationship Id="rId1" Type="http://schemas.openxmlformats.org/officeDocument/2006/relationships/table" Target="../tables/table296.xml"/></Relationships>
</file>

<file path=xl/worksheets/_rels/sheet297.xml.rels><?xml version="1.0" encoding="UTF-8" standalone="yes"?>
<Relationships xmlns="http://schemas.openxmlformats.org/package/2006/relationships"><Relationship Id="rId1" Type="http://schemas.openxmlformats.org/officeDocument/2006/relationships/table" Target="../tables/table297.xml"/></Relationships>
</file>

<file path=xl/worksheets/_rels/sheet298.xml.rels><?xml version="1.0" encoding="UTF-8" standalone="yes"?>
<Relationships xmlns="http://schemas.openxmlformats.org/package/2006/relationships"><Relationship Id="rId1" Type="http://schemas.openxmlformats.org/officeDocument/2006/relationships/table" Target="../tables/table298.xml"/></Relationships>
</file>

<file path=xl/worksheets/_rels/sheet299.xml.rels><?xml version="1.0" encoding="UTF-8" standalone="yes"?>
<Relationships xmlns="http://schemas.openxmlformats.org/package/2006/relationships"><Relationship Id="rId1" Type="http://schemas.openxmlformats.org/officeDocument/2006/relationships/table" Target="../tables/table299.xml"/></Relationships>
</file>

<file path=xl/worksheets/_rels/sheet300.xml.rels><?xml version="1.0" encoding="UTF-8" standalone="yes"?>
<Relationships xmlns="http://schemas.openxmlformats.org/package/2006/relationships"><Relationship Id="rId1" Type="http://schemas.openxmlformats.org/officeDocument/2006/relationships/table" Target="../tables/table300.xml"/></Relationships>
</file>

<file path=xl/worksheets/_rels/sheet301.xml.rels><?xml version="1.0" encoding="UTF-8" standalone="yes"?>
<Relationships xmlns="http://schemas.openxmlformats.org/package/2006/relationships"><Relationship Id="rId1" Type="http://schemas.openxmlformats.org/officeDocument/2006/relationships/table" Target="../tables/table301.xml"/></Relationships>
</file>

<file path=xl/worksheets/_rels/sheet302.xml.rels><?xml version="1.0" encoding="UTF-8" standalone="yes"?>
<Relationships xmlns="http://schemas.openxmlformats.org/package/2006/relationships"><Relationship Id="rId1" Type="http://schemas.openxmlformats.org/officeDocument/2006/relationships/table" Target="../tables/table302.xml"/></Relationships>
</file>

<file path=xl/worksheets/_rels/sheet303.xml.rels><?xml version="1.0" encoding="UTF-8" standalone="yes"?>
<Relationships xmlns="http://schemas.openxmlformats.org/package/2006/relationships"><Relationship Id="rId1" Type="http://schemas.openxmlformats.org/officeDocument/2006/relationships/table" Target="../tables/table303.xml"/></Relationships>
</file>

<file path=xl/worksheets/_rels/sheet304.xml.rels><?xml version="1.0" encoding="UTF-8" standalone="yes"?>
<Relationships xmlns="http://schemas.openxmlformats.org/package/2006/relationships"><Relationship Id="rId1" Type="http://schemas.openxmlformats.org/officeDocument/2006/relationships/table" Target="../tables/table304.xml"/></Relationships>
</file>

<file path=xl/worksheets/_rels/sheet305.xml.rels><?xml version="1.0" encoding="UTF-8" standalone="yes"?>
<Relationships xmlns="http://schemas.openxmlformats.org/package/2006/relationships"><Relationship Id="rId1" Type="http://schemas.openxmlformats.org/officeDocument/2006/relationships/table" Target="../tables/table305.xml"/></Relationships>
</file>

<file path=xl/worksheets/_rels/sheet306.xml.rels><?xml version="1.0" encoding="UTF-8" standalone="yes"?>
<Relationships xmlns="http://schemas.openxmlformats.org/package/2006/relationships"><Relationship Id="rId1" Type="http://schemas.openxmlformats.org/officeDocument/2006/relationships/table" Target="../tables/table306.xml"/></Relationships>
</file>

<file path=xl/worksheets/_rels/sheet307.xml.rels><?xml version="1.0" encoding="UTF-8" standalone="yes"?>
<Relationships xmlns="http://schemas.openxmlformats.org/package/2006/relationships"><Relationship Id="rId1" Type="http://schemas.openxmlformats.org/officeDocument/2006/relationships/table" Target="../tables/table307.xml"/></Relationships>
</file>

<file path=xl/worksheets/_rels/sheet308.xml.rels><?xml version="1.0" encoding="UTF-8" standalone="yes"?>
<Relationships xmlns="http://schemas.openxmlformats.org/package/2006/relationships"><Relationship Id="rId1" Type="http://schemas.openxmlformats.org/officeDocument/2006/relationships/table" Target="../tables/table308.xml"/></Relationships>
</file>

<file path=xl/worksheets/_rels/sheet309.xml.rels><?xml version="1.0" encoding="UTF-8" standalone="yes"?>
<Relationships xmlns="http://schemas.openxmlformats.org/package/2006/relationships"><Relationship Id="rId1" Type="http://schemas.openxmlformats.org/officeDocument/2006/relationships/table" Target="../tables/table309.xml"/></Relationships>
</file>

<file path=xl/worksheets/_rels/sheet310.xml.rels><?xml version="1.0" encoding="UTF-8" standalone="yes"?>
<Relationships xmlns="http://schemas.openxmlformats.org/package/2006/relationships"><Relationship Id="rId1" Type="http://schemas.openxmlformats.org/officeDocument/2006/relationships/table" Target="../tables/table310.xml"/></Relationships>
</file>

<file path=xl/worksheets/_rels/sheet311.xml.rels><?xml version="1.0" encoding="UTF-8" standalone="yes"?>
<Relationships xmlns="http://schemas.openxmlformats.org/package/2006/relationships"><Relationship Id="rId1" Type="http://schemas.openxmlformats.org/officeDocument/2006/relationships/table" Target="../tables/table311.xml"/></Relationships>
</file>

<file path=xl/worksheets/_rels/sheet312.xml.rels><?xml version="1.0" encoding="UTF-8" standalone="yes"?>
<Relationships xmlns="http://schemas.openxmlformats.org/package/2006/relationships"><Relationship Id="rId1" Type="http://schemas.openxmlformats.org/officeDocument/2006/relationships/table" Target="../tables/table312.xml"/></Relationships>
</file>

<file path=xl/worksheets/_rels/sheet313.xml.rels><?xml version="1.0" encoding="UTF-8" standalone="yes"?>
<Relationships xmlns="http://schemas.openxmlformats.org/package/2006/relationships"><Relationship Id="rId1" Type="http://schemas.openxmlformats.org/officeDocument/2006/relationships/table" Target="../tables/table313.xml"/></Relationships>
</file>

<file path=xl/worksheets/_rels/sheet314.xml.rels><?xml version="1.0" encoding="UTF-8" standalone="yes"?>
<Relationships xmlns="http://schemas.openxmlformats.org/package/2006/relationships"><Relationship Id="rId1" Type="http://schemas.openxmlformats.org/officeDocument/2006/relationships/table" Target="../tables/table314.xml"/></Relationships>
</file>

<file path=xl/worksheets/_rels/sheet315.xml.rels><?xml version="1.0" encoding="UTF-8" standalone="yes"?>
<Relationships xmlns="http://schemas.openxmlformats.org/package/2006/relationships"><Relationship Id="rId1" Type="http://schemas.openxmlformats.org/officeDocument/2006/relationships/table" Target="../tables/table315.xml"/></Relationships>
</file>

<file path=xl/worksheets/_rels/sheet316.xml.rels><?xml version="1.0" encoding="UTF-8" standalone="yes"?>
<Relationships xmlns="http://schemas.openxmlformats.org/package/2006/relationships"><Relationship Id="rId1" Type="http://schemas.openxmlformats.org/officeDocument/2006/relationships/table" Target="../tables/table316.xml"/></Relationships>
</file>

<file path=xl/worksheets/_rels/sheet317.xml.rels><?xml version="1.0" encoding="UTF-8" standalone="yes"?>
<Relationships xmlns="http://schemas.openxmlformats.org/package/2006/relationships"><Relationship Id="rId1" Type="http://schemas.openxmlformats.org/officeDocument/2006/relationships/table" Target="../tables/table317.xml"/></Relationships>
</file>

<file path=xl/worksheets/_rels/sheet318.xml.rels><?xml version="1.0" encoding="UTF-8" standalone="yes"?>
<Relationships xmlns="http://schemas.openxmlformats.org/package/2006/relationships"><Relationship Id="rId1" Type="http://schemas.openxmlformats.org/officeDocument/2006/relationships/table" Target="../tables/table318.xml"/></Relationships>
</file>

<file path=xl/worksheets/_rels/sheet319.xml.rels><?xml version="1.0" encoding="UTF-8" standalone="yes"?>
<Relationships xmlns="http://schemas.openxmlformats.org/package/2006/relationships"><Relationship Id="rId1" Type="http://schemas.openxmlformats.org/officeDocument/2006/relationships/table" Target="../tables/table319.xml"/></Relationships>
</file>

<file path=xl/worksheets/_rels/sheet320.xml.rels><?xml version="1.0" encoding="UTF-8" standalone="yes"?>
<Relationships xmlns="http://schemas.openxmlformats.org/package/2006/relationships"><Relationship Id="rId1" Type="http://schemas.openxmlformats.org/officeDocument/2006/relationships/table" Target="../tables/table320.xml"/></Relationships>
</file>

<file path=xl/worksheets/_rels/sheet321.xml.rels><?xml version="1.0" encoding="UTF-8" standalone="yes"?>
<Relationships xmlns="http://schemas.openxmlformats.org/package/2006/relationships"><Relationship Id="rId1" Type="http://schemas.openxmlformats.org/officeDocument/2006/relationships/table" Target="../tables/table321.xml"/></Relationships>
</file>

<file path=xl/worksheets/_rels/sheet322.xml.rels><?xml version="1.0" encoding="UTF-8" standalone="yes"?>
<Relationships xmlns="http://schemas.openxmlformats.org/package/2006/relationships"><Relationship Id="rId1" Type="http://schemas.openxmlformats.org/officeDocument/2006/relationships/table" Target="../tables/table322.xml"/></Relationships>
</file>

<file path=xl/worksheets/_rels/sheet323.xml.rels><?xml version="1.0" encoding="UTF-8" standalone="yes"?>
<Relationships xmlns="http://schemas.openxmlformats.org/package/2006/relationships"><Relationship Id="rId1" Type="http://schemas.openxmlformats.org/officeDocument/2006/relationships/table" Target="../tables/table323.xml"/></Relationships>
</file>

<file path=xl/worksheets/_rels/sheet324.xml.rels><?xml version="1.0" encoding="UTF-8" standalone="yes"?>
<Relationships xmlns="http://schemas.openxmlformats.org/package/2006/relationships"><Relationship Id="rId1" Type="http://schemas.openxmlformats.org/officeDocument/2006/relationships/table" Target="../tables/table324.xml"/></Relationships>
</file>

<file path=xl/worksheets/_rels/sheet325.xml.rels><?xml version="1.0" encoding="UTF-8" standalone="yes"?>
<Relationships xmlns="http://schemas.openxmlformats.org/package/2006/relationships"><Relationship Id="rId1" Type="http://schemas.openxmlformats.org/officeDocument/2006/relationships/table" Target="../tables/table325.xml"/></Relationships>
</file>

<file path=xl/worksheets/_rels/sheet326.xml.rels><?xml version="1.0" encoding="UTF-8" standalone="yes"?>
<Relationships xmlns="http://schemas.openxmlformats.org/package/2006/relationships"><Relationship Id="rId1" Type="http://schemas.openxmlformats.org/officeDocument/2006/relationships/table" Target="../tables/table326.xml"/></Relationships>
</file>

<file path=xl/worksheets/_rels/sheet327.xml.rels><?xml version="1.0" encoding="UTF-8" standalone="yes"?>
<Relationships xmlns="http://schemas.openxmlformats.org/package/2006/relationships"><Relationship Id="rId1" Type="http://schemas.openxmlformats.org/officeDocument/2006/relationships/table" Target="../tables/table327.xml"/></Relationships>
</file>

<file path=xl/worksheets/_rels/sheet328.xml.rels><?xml version="1.0" encoding="UTF-8" standalone="yes"?>
<Relationships xmlns="http://schemas.openxmlformats.org/package/2006/relationships"><Relationship Id="rId1" Type="http://schemas.openxmlformats.org/officeDocument/2006/relationships/table" Target="../tables/table328.xml"/></Relationships>
</file>

<file path=xl/worksheets/_rels/sheet329.xml.rels><?xml version="1.0" encoding="UTF-8" standalone="yes"?>
<Relationships xmlns="http://schemas.openxmlformats.org/package/2006/relationships"><Relationship Id="rId1" Type="http://schemas.openxmlformats.org/officeDocument/2006/relationships/table" Target="../tables/table329.xml"/></Relationships>
</file>

<file path=xl/worksheets/_rels/sheet330.xml.rels><?xml version="1.0" encoding="UTF-8" standalone="yes"?>
<Relationships xmlns="http://schemas.openxmlformats.org/package/2006/relationships"><Relationship Id="rId1" Type="http://schemas.openxmlformats.org/officeDocument/2006/relationships/table" Target="../tables/table330.xml"/></Relationships>
</file>

<file path=xl/worksheets/_rels/sheet331.xml.rels><?xml version="1.0" encoding="UTF-8" standalone="yes"?>
<Relationships xmlns="http://schemas.openxmlformats.org/package/2006/relationships"><Relationship Id="rId1" Type="http://schemas.openxmlformats.org/officeDocument/2006/relationships/table" Target="../tables/table331.xml"/></Relationships>
</file>

<file path=xl/worksheets/_rels/sheet332.xml.rels><?xml version="1.0" encoding="UTF-8" standalone="yes"?>
<Relationships xmlns="http://schemas.openxmlformats.org/package/2006/relationships"><Relationship Id="rId1" Type="http://schemas.openxmlformats.org/officeDocument/2006/relationships/table" Target="../tables/table332.xml"/></Relationships>
</file>

<file path=xl/worksheets/_rels/sheet333.xml.rels><?xml version="1.0" encoding="UTF-8" standalone="yes"?>
<Relationships xmlns="http://schemas.openxmlformats.org/package/2006/relationships"><Relationship Id="rId1" Type="http://schemas.openxmlformats.org/officeDocument/2006/relationships/table" Target="../tables/table333.xml"/></Relationships>
</file>

<file path=xl/worksheets/_rels/sheet334.xml.rels><?xml version="1.0" encoding="UTF-8" standalone="yes"?>
<Relationships xmlns="http://schemas.openxmlformats.org/package/2006/relationships"><Relationship Id="rId1" Type="http://schemas.openxmlformats.org/officeDocument/2006/relationships/table" Target="../tables/table334.xml"/></Relationships>
</file>

<file path=xl/worksheets/_rels/sheet335.xml.rels><?xml version="1.0" encoding="UTF-8" standalone="yes"?>
<Relationships xmlns="http://schemas.openxmlformats.org/package/2006/relationships"><Relationship Id="rId1" Type="http://schemas.openxmlformats.org/officeDocument/2006/relationships/table" Target="../tables/table335.xml"/></Relationships>
</file>

<file path=xl/worksheets/_rels/sheet336.xml.rels><?xml version="1.0" encoding="UTF-8" standalone="yes"?>
<Relationships xmlns="http://schemas.openxmlformats.org/package/2006/relationships"><Relationship Id="rId1" Type="http://schemas.openxmlformats.org/officeDocument/2006/relationships/table" Target="../tables/table336.xml"/></Relationships>
</file>

<file path=xl/worksheets/_rels/sheet337.xml.rels><?xml version="1.0" encoding="UTF-8" standalone="yes"?>
<Relationships xmlns="http://schemas.openxmlformats.org/package/2006/relationships"><Relationship Id="rId1" Type="http://schemas.openxmlformats.org/officeDocument/2006/relationships/table" Target="../tables/table337.xml"/></Relationships>
</file>

<file path=xl/worksheets/_rels/sheet338.xml.rels><?xml version="1.0" encoding="UTF-8" standalone="yes"?>
<Relationships xmlns="http://schemas.openxmlformats.org/package/2006/relationships"><Relationship Id="rId1" Type="http://schemas.openxmlformats.org/officeDocument/2006/relationships/table" Target="../tables/table338.xml"/></Relationships>
</file>

<file path=xl/worksheets/_rels/sheet339.xml.rels><?xml version="1.0" encoding="UTF-8" standalone="yes"?>
<Relationships xmlns="http://schemas.openxmlformats.org/package/2006/relationships"><Relationship Id="rId1" Type="http://schemas.openxmlformats.org/officeDocument/2006/relationships/table" Target="../tables/table339.xml"/></Relationships>
</file>

<file path=xl/worksheets/_rels/sheet34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40.xml"/><Relationship Id="rId1" Type="http://schemas.openxmlformats.org/officeDocument/2006/relationships/vmlDrawing" Target="../drawings/vmlDrawing20.vml"/></Relationships>
</file>

<file path=xl/worksheets/_rels/sheet341.xml.rels><?xml version="1.0" encoding="UTF-8" standalone="yes"?>
<Relationships xmlns="http://schemas.openxmlformats.org/package/2006/relationships"><Relationship Id="rId1" Type="http://schemas.openxmlformats.org/officeDocument/2006/relationships/table" Target="../tables/table341.xml"/></Relationships>
</file>

<file path=xl/worksheets/_rels/sheet342.xml.rels><?xml version="1.0" encoding="UTF-8" standalone="yes"?>
<Relationships xmlns="http://schemas.openxmlformats.org/package/2006/relationships"><Relationship Id="rId1" Type="http://schemas.openxmlformats.org/officeDocument/2006/relationships/table" Target="../tables/table342.xml"/></Relationships>
</file>

<file path=xl/worksheets/_rels/sheet343.xml.rels><?xml version="1.0" encoding="UTF-8" standalone="yes"?>
<Relationships xmlns="http://schemas.openxmlformats.org/package/2006/relationships"><Relationship Id="rId1" Type="http://schemas.openxmlformats.org/officeDocument/2006/relationships/table" Target="../tables/table343.xml"/></Relationships>
</file>

<file path=xl/worksheets/_rels/sheet344.xml.rels><?xml version="1.0" encoding="UTF-8" standalone="yes"?>
<Relationships xmlns="http://schemas.openxmlformats.org/package/2006/relationships"><Relationship Id="rId1" Type="http://schemas.openxmlformats.org/officeDocument/2006/relationships/table" Target="../tables/table344.xml"/></Relationships>
</file>

<file path=xl/worksheets/_rels/sheet345.xml.rels><?xml version="1.0" encoding="UTF-8" standalone="yes"?>
<Relationships xmlns="http://schemas.openxmlformats.org/package/2006/relationships"><Relationship Id="rId1" Type="http://schemas.openxmlformats.org/officeDocument/2006/relationships/table" Target="../tables/table345.xml"/></Relationships>
</file>

<file path=xl/worksheets/_rels/sheet346.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46.xml"/><Relationship Id="rId1" Type="http://schemas.openxmlformats.org/officeDocument/2006/relationships/vmlDrawing" Target="../drawings/vmlDrawing21.vml"/></Relationships>
</file>

<file path=xl/worksheets/_rels/sheet347.xml.rels><?xml version="1.0" encoding="UTF-8" standalone="yes"?>
<Relationships xmlns="http://schemas.openxmlformats.org/package/2006/relationships"><Relationship Id="rId1" Type="http://schemas.openxmlformats.org/officeDocument/2006/relationships/table" Target="../tables/table347.xml"/></Relationships>
</file>

<file path=xl/worksheets/_rels/sheet348.xml.rels><?xml version="1.0" encoding="UTF-8" standalone="yes"?>
<Relationships xmlns="http://schemas.openxmlformats.org/package/2006/relationships"><Relationship Id="rId1" Type="http://schemas.openxmlformats.org/officeDocument/2006/relationships/table" Target="../tables/table348.xml"/></Relationships>
</file>

<file path=xl/worksheets/_rels/sheet349.xml.rels><?xml version="1.0" encoding="UTF-8" standalone="yes"?>
<Relationships xmlns="http://schemas.openxmlformats.org/package/2006/relationships"><Relationship Id="rId1" Type="http://schemas.openxmlformats.org/officeDocument/2006/relationships/table" Target="../tables/table349.xml"/></Relationships>
</file>

<file path=xl/worksheets/_rels/sheet350.xml.rels><?xml version="1.0" encoding="UTF-8" standalone="yes"?>
<Relationships xmlns="http://schemas.openxmlformats.org/package/2006/relationships"><Relationship Id="rId1" Type="http://schemas.openxmlformats.org/officeDocument/2006/relationships/table" Target="../tables/table350.xml"/></Relationships>
</file>

<file path=xl/worksheets/_rels/sheet351.xml.rels><?xml version="1.0" encoding="UTF-8" standalone="yes"?>
<Relationships xmlns="http://schemas.openxmlformats.org/package/2006/relationships"><Relationship Id="rId1" Type="http://schemas.openxmlformats.org/officeDocument/2006/relationships/table" Target="../tables/table351.xml"/></Relationships>
</file>

<file path=xl/worksheets/_rels/sheet352.xml.rels><?xml version="1.0" encoding="UTF-8" standalone="yes"?>
<Relationships xmlns="http://schemas.openxmlformats.org/package/2006/relationships"><Relationship Id="rId1" Type="http://schemas.openxmlformats.org/officeDocument/2006/relationships/table" Target="../tables/table352.xml"/></Relationships>
</file>

<file path=xl/worksheets/_rels/sheet353.xml.rels><?xml version="1.0" encoding="UTF-8" standalone="yes"?>
<Relationships xmlns="http://schemas.openxmlformats.org/package/2006/relationships"><Relationship Id="rId1" Type="http://schemas.openxmlformats.org/officeDocument/2006/relationships/table" Target="../tables/table353.xml"/></Relationships>
</file>

<file path=xl/worksheets/_rels/sheet35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54.xml"/><Relationship Id="rId1" Type="http://schemas.openxmlformats.org/officeDocument/2006/relationships/vmlDrawing" Target="../drawings/vmlDrawing22.vml"/></Relationships>
</file>

<file path=xl/worksheets/_rels/sheet355.xml.rels><?xml version="1.0" encoding="UTF-8" standalone="yes"?>
<Relationships xmlns="http://schemas.openxmlformats.org/package/2006/relationships"><Relationship Id="rId1" Type="http://schemas.openxmlformats.org/officeDocument/2006/relationships/table" Target="../tables/table355.xml"/></Relationships>
</file>

<file path=xl/worksheets/_rels/sheet356.xml.rels><?xml version="1.0" encoding="UTF-8" standalone="yes"?>
<Relationships xmlns="http://schemas.openxmlformats.org/package/2006/relationships"><Relationship Id="rId1" Type="http://schemas.openxmlformats.org/officeDocument/2006/relationships/table" Target="../tables/table356.xml"/></Relationships>
</file>

<file path=xl/worksheets/_rels/sheet357.xml.rels><?xml version="1.0" encoding="UTF-8" standalone="yes"?>
<Relationships xmlns="http://schemas.openxmlformats.org/package/2006/relationships"><Relationship Id="rId1" Type="http://schemas.openxmlformats.org/officeDocument/2006/relationships/table" Target="../tables/table357.xml"/></Relationships>
</file>

<file path=xl/worksheets/_rels/sheet358.xml.rels><?xml version="1.0" encoding="UTF-8" standalone="yes"?>
<Relationships xmlns="http://schemas.openxmlformats.org/package/2006/relationships"><Relationship Id="rId1" Type="http://schemas.openxmlformats.org/officeDocument/2006/relationships/table" Target="../tables/table358.xml"/></Relationships>
</file>

<file path=xl/worksheets/_rels/sheet359.xml.rels><?xml version="1.0" encoding="UTF-8" standalone="yes"?>
<Relationships xmlns="http://schemas.openxmlformats.org/package/2006/relationships"><Relationship Id="rId1" Type="http://schemas.openxmlformats.org/officeDocument/2006/relationships/table" Target="../tables/table359.xml"/></Relationships>
</file>

<file path=xl/worksheets/_rels/sheet360.xml.rels><?xml version="1.0" encoding="UTF-8" standalone="yes"?>
<Relationships xmlns="http://schemas.openxmlformats.org/package/2006/relationships"><Relationship Id="rId1" Type="http://schemas.openxmlformats.org/officeDocument/2006/relationships/table" Target="../tables/table360.xml"/></Relationships>
</file>

<file path=xl/worksheets/_rels/sheet361.xml.rels><?xml version="1.0" encoding="UTF-8" standalone="yes"?>
<Relationships xmlns="http://schemas.openxmlformats.org/package/2006/relationships"><Relationship Id="rId1" Type="http://schemas.openxmlformats.org/officeDocument/2006/relationships/table" Target="../tables/table361.xml"/></Relationships>
</file>

<file path=xl/worksheets/_rels/sheet362.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362.xml"/><Relationship Id="rId1" Type="http://schemas.openxmlformats.org/officeDocument/2006/relationships/vmlDrawing" Target="../drawings/vmlDrawing23.vml"/></Relationships>
</file>

<file path=xl/worksheets/_rels/sheet363.xml.rels><?xml version="1.0" encoding="UTF-8" standalone="yes"?>
<Relationships xmlns="http://schemas.openxmlformats.org/package/2006/relationships"><Relationship Id="rId2" Type="http://schemas.openxmlformats.org/officeDocument/2006/relationships/table" Target="../tables/table363.xml"/><Relationship Id="rId1" Type="http://schemas.openxmlformats.org/officeDocument/2006/relationships/printerSettings" Target="../printerSettings/printerSettings144.bin"/></Relationships>
</file>

<file path=xl/worksheets/_rels/sheet364.xml.rels><?xml version="1.0" encoding="UTF-8" standalone="yes"?>
<Relationships xmlns="http://schemas.openxmlformats.org/package/2006/relationships"><Relationship Id="rId2" Type="http://schemas.openxmlformats.org/officeDocument/2006/relationships/table" Target="../tables/table364.xml"/><Relationship Id="rId1" Type="http://schemas.openxmlformats.org/officeDocument/2006/relationships/printerSettings" Target="../printerSettings/printerSettings145.bin"/></Relationships>
</file>

<file path=xl/worksheets/_rels/sheet365.xml.rels><?xml version="1.0" encoding="UTF-8" standalone="yes"?>
<Relationships xmlns="http://schemas.openxmlformats.org/package/2006/relationships"><Relationship Id="rId1" Type="http://schemas.openxmlformats.org/officeDocument/2006/relationships/table" Target="../tables/table365.xml"/></Relationships>
</file>

<file path=xl/worksheets/_rels/sheet366.xml.rels><?xml version="1.0" encoding="UTF-8" standalone="yes"?>
<Relationships xmlns="http://schemas.openxmlformats.org/package/2006/relationships"><Relationship Id="rId1" Type="http://schemas.openxmlformats.org/officeDocument/2006/relationships/table" Target="../tables/table366.xml"/></Relationships>
</file>

<file path=xl/worksheets/_rels/sheet367.xml.rels><?xml version="1.0" encoding="UTF-8" standalone="yes"?>
<Relationships xmlns="http://schemas.openxmlformats.org/package/2006/relationships"><Relationship Id="rId1" Type="http://schemas.openxmlformats.org/officeDocument/2006/relationships/table" Target="../tables/table367.xml"/></Relationships>
</file>

<file path=xl/worksheets/_rels/sheet368.xml.rels><?xml version="1.0" encoding="UTF-8" standalone="yes"?>
<Relationships xmlns="http://schemas.openxmlformats.org/package/2006/relationships"><Relationship Id="rId1" Type="http://schemas.openxmlformats.org/officeDocument/2006/relationships/table" Target="../tables/table368.xml"/></Relationships>
</file>

<file path=xl/worksheets/_rels/sheet369.xml.rels><?xml version="1.0" encoding="UTF-8" standalone="yes"?>
<Relationships xmlns="http://schemas.openxmlformats.org/package/2006/relationships"><Relationship Id="rId1" Type="http://schemas.openxmlformats.org/officeDocument/2006/relationships/table" Target="../tables/table369.xml"/></Relationships>
</file>

<file path=xl/worksheets/_rels/sheet370.xml.rels><?xml version="1.0" encoding="UTF-8" standalone="yes"?>
<Relationships xmlns="http://schemas.openxmlformats.org/package/2006/relationships"><Relationship Id="rId1" Type="http://schemas.openxmlformats.org/officeDocument/2006/relationships/table" Target="../tables/table370.xml"/></Relationships>
</file>

<file path=xl/worksheets/_rels/sheet371.xml.rels><?xml version="1.0" encoding="UTF-8" standalone="yes"?>
<Relationships xmlns="http://schemas.openxmlformats.org/package/2006/relationships"><Relationship Id="rId1" Type="http://schemas.openxmlformats.org/officeDocument/2006/relationships/table" Target="../tables/table371.xml"/></Relationships>
</file>

<file path=xl/worksheets/_rels/sheet372.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372.xml"/><Relationship Id="rId1" Type="http://schemas.openxmlformats.org/officeDocument/2006/relationships/vmlDrawing" Target="../drawings/vmlDrawing24.vml"/></Relationships>
</file>

<file path=xl/worksheets/_rels/sheet373.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373.xml"/><Relationship Id="rId1" Type="http://schemas.openxmlformats.org/officeDocument/2006/relationships/vmlDrawing" Target="../drawings/vmlDrawing25.vml"/></Relationships>
</file>

<file path=xl/worksheets/_rels/sheet374.xml.rels><?xml version="1.0" encoding="UTF-8" standalone="yes"?>
<Relationships xmlns="http://schemas.openxmlformats.org/package/2006/relationships"><Relationship Id="rId1" Type="http://schemas.openxmlformats.org/officeDocument/2006/relationships/table" Target="../tables/table374.xml"/></Relationships>
</file>

<file path=xl/worksheets/_rels/sheet375.xml.rels><?xml version="1.0" encoding="UTF-8" standalone="yes"?>
<Relationships xmlns="http://schemas.openxmlformats.org/package/2006/relationships"><Relationship Id="rId1" Type="http://schemas.openxmlformats.org/officeDocument/2006/relationships/table" Target="../tables/table375.xml"/></Relationships>
</file>

<file path=xl/worksheets/_rels/sheet376.xml.rels><?xml version="1.0" encoding="UTF-8" standalone="yes"?>
<Relationships xmlns="http://schemas.openxmlformats.org/package/2006/relationships"><Relationship Id="rId1" Type="http://schemas.openxmlformats.org/officeDocument/2006/relationships/table" Target="../tables/table376.xml"/></Relationships>
</file>

<file path=xl/worksheets/_rels/sheet377.xml.rels><?xml version="1.0" encoding="UTF-8" standalone="yes"?>
<Relationships xmlns="http://schemas.openxmlformats.org/package/2006/relationships"><Relationship Id="rId1" Type="http://schemas.openxmlformats.org/officeDocument/2006/relationships/table" Target="../tables/table377.xml"/></Relationships>
</file>

<file path=xl/worksheets/_rels/sheet378.xml.rels><?xml version="1.0" encoding="UTF-8" standalone="yes"?>
<Relationships xmlns="http://schemas.openxmlformats.org/package/2006/relationships"><Relationship Id="rId1" Type="http://schemas.openxmlformats.org/officeDocument/2006/relationships/table" Target="../tables/table378.xml"/></Relationships>
</file>

<file path=xl/worksheets/_rels/sheet379.xml.rels><?xml version="1.0" encoding="UTF-8" standalone="yes"?>
<Relationships xmlns="http://schemas.openxmlformats.org/package/2006/relationships"><Relationship Id="rId1" Type="http://schemas.openxmlformats.org/officeDocument/2006/relationships/table" Target="../tables/table379.xml"/></Relationships>
</file>

<file path=xl/worksheets/_rels/sheet380.xml.rels><?xml version="1.0" encoding="UTF-8" standalone="yes"?>
<Relationships xmlns="http://schemas.openxmlformats.org/package/2006/relationships"><Relationship Id="rId1" Type="http://schemas.openxmlformats.org/officeDocument/2006/relationships/table" Target="../tables/table380.xml"/></Relationships>
</file>

<file path=xl/worksheets/_rels/sheet381.xml.rels><?xml version="1.0" encoding="UTF-8" standalone="yes"?>
<Relationships xmlns="http://schemas.openxmlformats.org/package/2006/relationships"><Relationship Id="rId1" Type="http://schemas.openxmlformats.org/officeDocument/2006/relationships/table" Target="../tables/table381.xml"/></Relationships>
</file>

<file path=xl/worksheets/_rels/sheet382.xml.rels><?xml version="1.0" encoding="UTF-8" standalone="yes"?>
<Relationships xmlns="http://schemas.openxmlformats.org/package/2006/relationships"><Relationship Id="rId1" Type="http://schemas.openxmlformats.org/officeDocument/2006/relationships/table" Target="../tables/table382.xml"/></Relationships>
</file>

<file path=xl/worksheets/_rels/sheet383.xml.rels><?xml version="1.0" encoding="UTF-8" standalone="yes"?>
<Relationships xmlns="http://schemas.openxmlformats.org/package/2006/relationships"><Relationship Id="rId1" Type="http://schemas.openxmlformats.org/officeDocument/2006/relationships/table" Target="../tables/table383.xml"/></Relationships>
</file>

<file path=xl/worksheets/_rels/sheet384.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384.xml"/><Relationship Id="rId1" Type="http://schemas.openxmlformats.org/officeDocument/2006/relationships/vmlDrawing" Target="../drawings/vmlDrawing26.vml"/></Relationships>
</file>

<file path=xl/worksheets/_rels/sheet385.xml.rels><?xml version="1.0" encoding="UTF-8" standalone="yes"?>
<Relationships xmlns="http://schemas.openxmlformats.org/package/2006/relationships"><Relationship Id="rId1" Type="http://schemas.openxmlformats.org/officeDocument/2006/relationships/table" Target="../tables/table385.xml"/></Relationships>
</file>

<file path=xl/worksheets/_rels/sheet386.xml.rels><?xml version="1.0" encoding="UTF-8" standalone="yes"?>
<Relationships xmlns="http://schemas.openxmlformats.org/package/2006/relationships"><Relationship Id="rId1" Type="http://schemas.openxmlformats.org/officeDocument/2006/relationships/table" Target="../tables/table386.xml"/></Relationships>
</file>

<file path=xl/worksheets/_rels/sheet387.xml.rels><?xml version="1.0" encoding="UTF-8" standalone="yes"?>
<Relationships xmlns="http://schemas.openxmlformats.org/package/2006/relationships"><Relationship Id="rId1" Type="http://schemas.openxmlformats.org/officeDocument/2006/relationships/table" Target="../tables/table387.xml"/></Relationships>
</file>

<file path=xl/worksheets/_rels/sheet388.xml.rels><?xml version="1.0" encoding="UTF-8" standalone="yes"?>
<Relationships xmlns="http://schemas.openxmlformats.org/package/2006/relationships"><Relationship Id="rId1" Type="http://schemas.openxmlformats.org/officeDocument/2006/relationships/table" Target="../tables/table388.xml"/></Relationships>
</file>

<file path=xl/worksheets/_rels/sheet389.xml.rels><?xml version="1.0" encoding="UTF-8" standalone="yes"?>
<Relationships xmlns="http://schemas.openxmlformats.org/package/2006/relationships"><Relationship Id="rId1" Type="http://schemas.openxmlformats.org/officeDocument/2006/relationships/table" Target="../tables/table389.xml"/></Relationships>
</file>

<file path=xl/worksheets/_rels/sheet390.xml.rels><?xml version="1.0" encoding="UTF-8" standalone="yes"?>
<Relationships xmlns="http://schemas.openxmlformats.org/package/2006/relationships"><Relationship Id="rId1" Type="http://schemas.openxmlformats.org/officeDocument/2006/relationships/table" Target="../tables/table390.xml"/></Relationships>
</file>

<file path=xl/worksheets/_rels/sheet391.xml.rels><?xml version="1.0" encoding="UTF-8" standalone="yes"?>
<Relationships xmlns="http://schemas.openxmlformats.org/package/2006/relationships"><Relationship Id="rId1" Type="http://schemas.openxmlformats.org/officeDocument/2006/relationships/table" Target="../tables/table391.xml"/></Relationships>
</file>

<file path=xl/worksheets/_rels/sheet392.xml.rels><?xml version="1.0" encoding="UTF-8" standalone="yes"?>
<Relationships xmlns="http://schemas.openxmlformats.org/package/2006/relationships"><Relationship Id="rId1" Type="http://schemas.openxmlformats.org/officeDocument/2006/relationships/table" Target="../tables/table392.xml"/></Relationships>
</file>

<file path=xl/worksheets/_rels/sheet393.xml.rels><?xml version="1.0" encoding="UTF-8" standalone="yes"?>
<Relationships xmlns="http://schemas.openxmlformats.org/package/2006/relationships"><Relationship Id="rId1" Type="http://schemas.openxmlformats.org/officeDocument/2006/relationships/table" Target="../tables/table393.xml"/></Relationships>
</file>

<file path=xl/worksheets/_rels/sheet394.xml.rels><?xml version="1.0" encoding="UTF-8" standalone="yes"?>
<Relationships xmlns="http://schemas.openxmlformats.org/package/2006/relationships"><Relationship Id="rId1" Type="http://schemas.openxmlformats.org/officeDocument/2006/relationships/table" Target="../tables/table394.xml"/></Relationships>
</file>

<file path=xl/worksheets/_rels/sheet395.xml.rels><?xml version="1.0" encoding="UTF-8" standalone="yes"?>
<Relationships xmlns="http://schemas.openxmlformats.org/package/2006/relationships"><Relationship Id="rId1" Type="http://schemas.openxmlformats.org/officeDocument/2006/relationships/table" Target="../tables/table395.xml"/></Relationships>
</file>

<file path=xl/worksheets/_rels/sheet396.xml.rels><?xml version="1.0" encoding="UTF-8" standalone="yes"?>
<Relationships xmlns="http://schemas.openxmlformats.org/package/2006/relationships"><Relationship Id="rId1" Type="http://schemas.openxmlformats.org/officeDocument/2006/relationships/table" Target="../tables/table396.xml"/></Relationships>
</file>

<file path=xl/worksheets/_rels/sheet39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397.xml"/><Relationship Id="rId1" Type="http://schemas.openxmlformats.org/officeDocument/2006/relationships/vmlDrawing" Target="../drawings/vmlDrawing27.vml"/></Relationships>
</file>

<file path=xl/worksheets/_rels/sheet398.xml.rels><?xml version="1.0" encoding="UTF-8" standalone="yes"?>
<Relationships xmlns="http://schemas.openxmlformats.org/package/2006/relationships"><Relationship Id="rId1" Type="http://schemas.openxmlformats.org/officeDocument/2006/relationships/table" Target="../tables/table398.xml"/></Relationships>
</file>

<file path=xl/worksheets/_rels/sheet399.xml.rels><?xml version="1.0" encoding="UTF-8" standalone="yes"?>
<Relationships xmlns="http://schemas.openxmlformats.org/package/2006/relationships"><Relationship Id="rId1" Type="http://schemas.openxmlformats.org/officeDocument/2006/relationships/table" Target="../tables/table399.xml"/></Relationships>
</file>

<file path=xl/worksheets/_rels/sheet400.xml.rels><?xml version="1.0" encoding="UTF-8" standalone="yes"?>
<Relationships xmlns="http://schemas.openxmlformats.org/package/2006/relationships"><Relationship Id="rId1" Type="http://schemas.openxmlformats.org/officeDocument/2006/relationships/table" Target="../tables/table400.xml"/></Relationships>
</file>

<file path=xl/worksheets/_rels/sheet401.xml.rels><?xml version="1.0" encoding="UTF-8" standalone="yes"?>
<Relationships xmlns="http://schemas.openxmlformats.org/package/2006/relationships"><Relationship Id="rId1" Type="http://schemas.openxmlformats.org/officeDocument/2006/relationships/table" Target="../tables/table401.xml"/></Relationships>
</file>

<file path=xl/worksheets/_rels/sheet402.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02.xml"/><Relationship Id="rId1" Type="http://schemas.openxmlformats.org/officeDocument/2006/relationships/vmlDrawing" Target="../drawings/vmlDrawing28.vml"/></Relationships>
</file>

<file path=xl/worksheets/_rels/sheet403.xml.rels><?xml version="1.0" encoding="UTF-8" standalone="yes"?>
<Relationships xmlns="http://schemas.openxmlformats.org/package/2006/relationships"><Relationship Id="rId1" Type="http://schemas.openxmlformats.org/officeDocument/2006/relationships/table" Target="../tables/table403.xml"/></Relationships>
</file>

<file path=xl/worksheets/_rels/sheet404.xml.rels><?xml version="1.0" encoding="UTF-8" standalone="yes"?>
<Relationships xmlns="http://schemas.openxmlformats.org/package/2006/relationships"><Relationship Id="rId1" Type="http://schemas.openxmlformats.org/officeDocument/2006/relationships/table" Target="../tables/table404.xml"/></Relationships>
</file>

<file path=xl/worksheets/_rels/sheet405.xml.rels><?xml version="1.0" encoding="UTF-8" standalone="yes"?>
<Relationships xmlns="http://schemas.openxmlformats.org/package/2006/relationships"><Relationship Id="rId1" Type="http://schemas.openxmlformats.org/officeDocument/2006/relationships/table" Target="../tables/table405.xml"/></Relationships>
</file>

<file path=xl/worksheets/_rels/sheet406.xml.rels><?xml version="1.0" encoding="UTF-8" standalone="yes"?>
<Relationships xmlns="http://schemas.openxmlformats.org/package/2006/relationships"><Relationship Id="rId1" Type="http://schemas.openxmlformats.org/officeDocument/2006/relationships/table" Target="../tables/table406.xml"/></Relationships>
</file>

<file path=xl/worksheets/_rels/sheet407.xml.rels><?xml version="1.0" encoding="UTF-8" standalone="yes"?>
<Relationships xmlns="http://schemas.openxmlformats.org/package/2006/relationships"><Relationship Id="rId1" Type="http://schemas.openxmlformats.org/officeDocument/2006/relationships/table" Target="../tables/table407.xml"/></Relationships>
</file>

<file path=xl/worksheets/_rels/sheet408.xml.rels><?xml version="1.0" encoding="UTF-8" standalone="yes"?>
<Relationships xmlns="http://schemas.openxmlformats.org/package/2006/relationships"><Relationship Id="rId1" Type="http://schemas.openxmlformats.org/officeDocument/2006/relationships/table" Target="../tables/table408.xml"/></Relationships>
</file>

<file path=xl/worksheets/_rels/sheet40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409.xml"/><Relationship Id="rId1" Type="http://schemas.openxmlformats.org/officeDocument/2006/relationships/vmlDrawing" Target="../drawings/vmlDrawing29.vml"/></Relationships>
</file>

<file path=xl/worksheets/_rels/sheet410.xml.rels><?xml version="1.0" encoding="UTF-8" standalone="yes"?>
<Relationships xmlns="http://schemas.openxmlformats.org/package/2006/relationships"><Relationship Id="rId1" Type="http://schemas.openxmlformats.org/officeDocument/2006/relationships/table" Target="../tables/table410.xml"/></Relationships>
</file>

<file path=xl/worksheets/_rels/sheet411.xml.rels><?xml version="1.0" encoding="UTF-8" standalone="yes"?>
<Relationships xmlns="http://schemas.openxmlformats.org/package/2006/relationships"><Relationship Id="rId1" Type="http://schemas.openxmlformats.org/officeDocument/2006/relationships/table" Target="../tables/table411.xml"/></Relationships>
</file>

<file path=xl/worksheets/_rels/sheet412.xml.rels><?xml version="1.0" encoding="UTF-8" standalone="yes"?>
<Relationships xmlns="http://schemas.openxmlformats.org/package/2006/relationships"><Relationship Id="rId1" Type="http://schemas.openxmlformats.org/officeDocument/2006/relationships/table" Target="../tables/table412.xml"/></Relationships>
</file>

<file path=xl/worksheets/_rels/sheet413.xml.rels><?xml version="1.0" encoding="UTF-8" standalone="yes"?>
<Relationships xmlns="http://schemas.openxmlformats.org/package/2006/relationships"><Relationship Id="rId1" Type="http://schemas.openxmlformats.org/officeDocument/2006/relationships/table" Target="../tables/table413.xml"/></Relationships>
</file>

<file path=xl/worksheets/_rels/sheet414.xml.rels><?xml version="1.0" encoding="UTF-8" standalone="yes"?>
<Relationships xmlns="http://schemas.openxmlformats.org/package/2006/relationships"><Relationship Id="rId1" Type="http://schemas.openxmlformats.org/officeDocument/2006/relationships/table" Target="../tables/table414.xml"/></Relationships>
</file>

<file path=xl/worksheets/_rels/sheet415.xml.rels><?xml version="1.0" encoding="UTF-8" standalone="yes"?>
<Relationships xmlns="http://schemas.openxmlformats.org/package/2006/relationships"><Relationship Id="rId1" Type="http://schemas.openxmlformats.org/officeDocument/2006/relationships/table" Target="../tables/table415.xml"/></Relationships>
</file>

<file path=xl/worksheets/_rels/sheet416.xml.rels><?xml version="1.0" encoding="UTF-8" standalone="yes"?>
<Relationships xmlns="http://schemas.openxmlformats.org/package/2006/relationships"><Relationship Id="rId3" Type="http://schemas.openxmlformats.org/officeDocument/2006/relationships/table" Target="../tables/table416.xml"/><Relationship Id="rId2" Type="http://schemas.openxmlformats.org/officeDocument/2006/relationships/vmlDrawing" Target="../drawings/vmlDrawing30.vml"/><Relationship Id="rId1" Type="http://schemas.openxmlformats.org/officeDocument/2006/relationships/printerSettings" Target="../printerSettings/printerSettings146.bin"/><Relationship Id="rId4" Type="http://schemas.openxmlformats.org/officeDocument/2006/relationships/comments" Target="../comments30.xml"/></Relationships>
</file>

<file path=xl/worksheets/_rels/sheet417.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417.xml"/><Relationship Id="rId1" Type="http://schemas.openxmlformats.org/officeDocument/2006/relationships/vmlDrawing" Target="../drawings/vmlDrawing31.vml"/></Relationships>
</file>

<file path=xl/worksheets/_rels/sheet418.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table" Target="../tables/table418.xml"/><Relationship Id="rId1" Type="http://schemas.openxmlformats.org/officeDocument/2006/relationships/vmlDrawing" Target="../drawings/vmlDrawing32.vml"/></Relationships>
</file>

<file path=xl/worksheets/_rels/sheet419.xml.rels><?xml version="1.0" encoding="UTF-8" standalone="yes"?>
<Relationships xmlns="http://schemas.openxmlformats.org/package/2006/relationships"><Relationship Id="rId1" Type="http://schemas.openxmlformats.org/officeDocument/2006/relationships/table" Target="../tables/table419.xml"/></Relationships>
</file>

<file path=xl/worksheets/_rels/sheet420.xml.rels><?xml version="1.0" encoding="UTF-8" standalone="yes"?>
<Relationships xmlns="http://schemas.openxmlformats.org/package/2006/relationships"><Relationship Id="rId1" Type="http://schemas.openxmlformats.org/officeDocument/2006/relationships/table" Target="../tables/table420.xml"/></Relationships>
</file>

<file path=xl/worksheets/_rels/sheet421.xml.rels><?xml version="1.0" encoding="UTF-8" standalone="yes"?>
<Relationships xmlns="http://schemas.openxmlformats.org/package/2006/relationships"><Relationship Id="rId1" Type="http://schemas.openxmlformats.org/officeDocument/2006/relationships/table" Target="../tables/table421.xml"/></Relationships>
</file>

<file path=xl/worksheets/_rels/sheet422.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table" Target="../tables/table422.xml"/><Relationship Id="rId1" Type="http://schemas.openxmlformats.org/officeDocument/2006/relationships/vmlDrawing" Target="../drawings/vmlDrawing33.vml"/></Relationships>
</file>

<file path=xl/worksheets/_rels/sheet423.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table" Target="../tables/table423.xml"/><Relationship Id="rId1" Type="http://schemas.openxmlformats.org/officeDocument/2006/relationships/vmlDrawing" Target="../drawings/vmlDrawing34.vml"/></Relationships>
</file>

<file path=xl/worksheets/_rels/sheet424.xml.rels><?xml version="1.0" encoding="UTF-8" standalone="yes"?>
<Relationships xmlns="http://schemas.openxmlformats.org/package/2006/relationships"><Relationship Id="rId1" Type="http://schemas.openxmlformats.org/officeDocument/2006/relationships/table" Target="../tables/table424.xml"/></Relationships>
</file>

<file path=xl/worksheets/_rels/sheet425.xml.rels><?xml version="1.0" encoding="UTF-8" standalone="yes"?>
<Relationships xmlns="http://schemas.openxmlformats.org/package/2006/relationships"><Relationship Id="rId1" Type="http://schemas.openxmlformats.org/officeDocument/2006/relationships/table" Target="../tables/table425.xml"/></Relationships>
</file>

<file path=xl/worksheets/_rels/sheet426.xml.rels><?xml version="1.0" encoding="UTF-8" standalone="yes"?>
<Relationships xmlns="http://schemas.openxmlformats.org/package/2006/relationships"><Relationship Id="rId1" Type="http://schemas.openxmlformats.org/officeDocument/2006/relationships/table" Target="../tables/table426.xml"/></Relationships>
</file>

<file path=xl/worksheets/_rels/sheet427.xml.rels><?xml version="1.0" encoding="UTF-8" standalone="yes"?>
<Relationships xmlns="http://schemas.openxmlformats.org/package/2006/relationships"><Relationship Id="rId1" Type="http://schemas.openxmlformats.org/officeDocument/2006/relationships/table" Target="../tables/table427.xml"/></Relationships>
</file>

<file path=xl/worksheets/_rels/sheet428.xml.rels><?xml version="1.0" encoding="UTF-8" standalone="yes"?>
<Relationships xmlns="http://schemas.openxmlformats.org/package/2006/relationships"><Relationship Id="rId1" Type="http://schemas.openxmlformats.org/officeDocument/2006/relationships/table" Target="../tables/table428.xml"/></Relationships>
</file>

<file path=xl/worksheets/_rels/sheet429.xml.rels><?xml version="1.0" encoding="UTF-8" standalone="yes"?>
<Relationships xmlns="http://schemas.openxmlformats.org/package/2006/relationships"><Relationship Id="rId1" Type="http://schemas.openxmlformats.org/officeDocument/2006/relationships/table" Target="../tables/table429.xml"/></Relationships>
</file>

<file path=xl/worksheets/_rels/sheet430.xml.rels><?xml version="1.0" encoding="UTF-8" standalone="yes"?>
<Relationships xmlns="http://schemas.openxmlformats.org/package/2006/relationships"><Relationship Id="rId1" Type="http://schemas.openxmlformats.org/officeDocument/2006/relationships/table" Target="../tables/table430.xml"/></Relationships>
</file>

<file path=xl/worksheets/_rels/sheet431.xml.rels><?xml version="1.0" encoding="UTF-8" standalone="yes"?>
<Relationships xmlns="http://schemas.openxmlformats.org/package/2006/relationships"><Relationship Id="rId1" Type="http://schemas.openxmlformats.org/officeDocument/2006/relationships/table" Target="../tables/table431.xml"/></Relationships>
</file>

<file path=xl/worksheets/_rels/sheet432.xml.rels><?xml version="1.0" encoding="UTF-8" standalone="yes"?>
<Relationships xmlns="http://schemas.openxmlformats.org/package/2006/relationships"><Relationship Id="rId1" Type="http://schemas.openxmlformats.org/officeDocument/2006/relationships/table" Target="../tables/table432.xml"/></Relationships>
</file>

<file path=xl/worksheets/_rels/sheet433.xml.rels><?xml version="1.0" encoding="UTF-8" standalone="yes"?>
<Relationships xmlns="http://schemas.openxmlformats.org/package/2006/relationships"><Relationship Id="rId1" Type="http://schemas.openxmlformats.org/officeDocument/2006/relationships/table" Target="../tables/table433.xml"/></Relationships>
</file>

<file path=xl/worksheets/_rels/sheet434.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table" Target="../tables/table434.xml"/><Relationship Id="rId1" Type="http://schemas.openxmlformats.org/officeDocument/2006/relationships/vmlDrawing" Target="../drawings/vmlDrawing35.vml"/></Relationships>
</file>

<file path=xl/worksheets/_rels/sheet435.xml.rels><?xml version="1.0" encoding="UTF-8" standalone="yes"?>
<Relationships xmlns="http://schemas.openxmlformats.org/package/2006/relationships"><Relationship Id="rId1" Type="http://schemas.openxmlformats.org/officeDocument/2006/relationships/table" Target="../tables/table435.xml"/></Relationships>
</file>

<file path=xl/worksheets/_rels/sheet436.xml.rels><?xml version="1.0" encoding="UTF-8" standalone="yes"?>
<Relationships xmlns="http://schemas.openxmlformats.org/package/2006/relationships"><Relationship Id="rId1" Type="http://schemas.openxmlformats.org/officeDocument/2006/relationships/table" Target="../tables/table436.xml"/></Relationships>
</file>

<file path=xl/worksheets/_rels/sheet437.xml.rels><?xml version="1.0" encoding="UTF-8" standalone="yes"?>
<Relationships xmlns="http://schemas.openxmlformats.org/package/2006/relationships"><Relationship Id="rId1" Type="http://schemas.openxmlformats.org/officeDocument/2006/relationships/table" Target="../tables/table437.xml"/></Relationships>
</file>

<file path=xl/worksheets/_rels/sheet438.xml.rels><?xml version="1.0" encoding="UTF-8" standalone="yes"?>
<Relationships xmlns="http://schemas.openxmlformats.org/package/2006/relationships"><Relationship Id="rId1" Type="http://schemas.openxmlformats.org/officeDocument/2006/relationships/table" Target="../tables/table438.xml"/></Relationships>
</file>

<file path=xl/worksheets/_rels/sheet439.xml.rels><?xml version="1.0" encoding="UTF-8" standalone="yes"?>
<Relationships xmlns="http://schemas.openxmlformats.org/package/2006/relationships"><Relationship Id="rId1" Type="http://schemas.openxmlformats.org/officeDocument/2006/relationships/table" Target="../tables/table439.xml"/></Relationships>
</file>

<file path=xl/worksheets/_rels/sheet440.xml.rels><?xml version="1.0" encoding="UTF-8" standalone="yes"?>
<Relationships xmlns="http://schemas.openxmlformats.org/package/2006/relationships"><Relationship Id="rId1" Type="http://schemas.openxmlformats.org/officeDocument/2006/relationships/table" Target="../tables/table440.xml"/></Relationships>
</file>

<file path=xl/worksheets/_rels/sheet441.xml.rels><?xml version="1.0" encoding="UTF-8" standalone="yes"?>
<Relationships xmlns="http://schemas.openxmlformats.org/package/2006/relationships"><Relationship Id="rId1" Type="http://schemas.openxmlformats.org/officeDocument/2006/relationships/table" Target="../tables/table441.xml"/></Relationships>
</file>

<file path=xl/worksheets/_rels/sheet442.xml.rels><?xml version="1.0" encoding="UTF-8" standalone="yes"?>
<Relationships xmlns="http://schemas.openxmlformats.org/package/2006/relationships"><Relationship Id="rId1" Type="http://schemas.openxmlformats.org/officeDocument/2006/relationships/table" Target="../tables/table442.xml"/></Relationships>
</file>

<file path=xl/worksheets/_rels/sheet443.xml.rels><?xml version="1.0" encoding="UTF-8" standalone="yes"?>
<Relationships xmlns="http://schemas.openxmlformats.org/package/2006/relationships"><Relationship Id="rId1" Type="http://schemas.openxmlformats.org/officeDocument/2006/relationships/table" Target="../tables/table443.xml"/></Relationships>
</file>

<file path=xl/worksheets/_rels/sheet444.xml.rels><?xml version="1.0" encoding="UTF-8" standalone="yes"?>
<Relationships xmlns="http://schemas.openxmlformats.org/package/2006/relationships"><Relationship Id="rId1" Type="http://schemas.openxmlformats.org/officeDocument/2006/relationships/table" Target="../tables/table444.xml"/></Relationships>
</file>

<file path=xl/worksheets/_rels/sheet445.xml.rels><?xml version="1.0" encoding="UTF-8" standalone="yes"?>
<Relationships xmlns="http://schemas.openxmlformats.org/package/2006/relationships"><Relationship Id="rId1" Type="http://schemas.openxmlformats.org/officeDocument/2006/relationships/table" Target="../tables/table445.xml"/></Relationships>
</file>

<file path=xl/worksheets/_rels/sheet446.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table" Target="../tables/table446.xml"/><Relationship Id="rId1" Type="http://schemas.openxmlformats.org/officeDocument/2006/relationships/vmlDrawing" Target="../drawings/vmlDrawing36.vml"/></Relationships>
</file>

<file path=xl/worksheets/_rels/sheet447.xml.rels><?xml version="1.0" encoding="UTF-8" standalone="yes"?>
<Relationships xmlns="http://schemas.openxmlformats.org/package/2006/relationships"><Relationship Id="rId1" Type="http://schemas.openxmlformats.org/officeDocument/2006/relationships/table" Target="../tables/table447.xml"/></Relationships>
</file>

<file path=xl/worksheets/_rels/sheet448.xml.rels><?xml version="1.0" encoding="UTF-8" standalone="yes"?>
<Relationships xmlns="http://schemas.openxmlformats.org/package/2006/relationships"><Relationship Id="rId1" Type="http://schemas.openxmlformats.org/officeDocument/2006/relationships/table" Target="../tables/table448.xml"/></Relationships>
</file>

<file path=xl/worksheets/_rels/sheet449.xml.rels><?xml version="1.0" encoding="UTF-8" standalone="yes"?>
<Relationships xmlns="http://schemas.openxmlformats.org/package/2006/relationships"><Relationship Id="rId1" Type="http://schemas.openxmlformats.org/officeDocument/2006/relationships/table" Target="../tables/table449.xml"/></Relationships>
</file>

<file path=xl/worksheets/_rels/sheet450.xml.rels><?xml version="1.0" encoding="UTF-8" standalone="yes"?>
<Relationships xmlns="http://schemas.openxmlformats.org/package/2006/relationships"><Relationship Id="rId1" Type="http://schemas.openxmlformats.org/officeDocument/2006/relationships/table" Target="../tables/table450.xml"/></Relationships>
</file>

<file path=xl/worksheets/_rels/sheet451.xml.rels><?xml version="1.0" encoding="UTF-8" standalone="yes"?>
<Relationships xmlns="http://schemas.openxmlformats.org/package/2006/relationships"><Relationship Id="rId2" Type="http://schemas.openxmlformats.org/officeDocument/2006/relationships/table" Target="../tables/table451.xml"/><Relationship Id="rId1" Type="http://schemas.openxmlformats.org/officeDocument/2006/relationships/vmlDrawing" Target="../drawings/vmlDrawing37.vml"/></Relationships>
</file>

<file path=xl/worksheets/_rels/sheet452.xml.rels><?xml version="1.0" encoding="UTF-8" standalone="yes"?>
<Relationships xmlns="http://schemas.openxmlformats.org/package/2006/relationships"><Relationship Id="rId1" Type="http://schemas.openxmlformats.org/officeDocument/2006/relationships/table" Target="../tables/table452.xml"/></Relationships>
</file>

<file path=xl/worksheets/_rels/sheet453.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table" Target="../tables/table453.xml"/><Relationship Id="rId1" Type="http://schemas.openxmlformats.org/officeDocument/2006/relationships/vmlDrawing" Target="../drawings/vmlDrawing38.vml"/></Relationships>
</file>

<file path=xl/worksheets/_rels/sheet454.xml.rels><?xml version="1.0" encoding="UTF-8" standalone="yes"?>
<Relationships xmlns="http://schemas.openxmlformats.org/package/2006/relationships"><Relationship Id="rId1" Type="http://schemas.openxmlformats.org/officeDocument/2006/relationships/table" Target="../tables/table454.xml"/></Relationships>
</file>

<file path=xl/worksheets/_rels/sheet455.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table" Target="../tables/table455.xml"/><Relationship Id="rId1" Type="http://schemas.openxmlformats.org/officeDocument/2006/relationships/vmlDrawing" Target="../drawings/vmlDrawing39.vml"/></Relationships>
</file>

<file path=xl/worksheets/_rels/sheet456.xml.rels><?xml version="1.0" encoding="UTF-8" standalone="yes"?>
<Relationships xmlns="http://schemas.openxmlformats.org/package/2006/relationships"><Relationship Id="rId1" Type="http://schemas.openxmlformats.org/officeDocument/2006/relationships/table" Target="../tables/table456.xml"/></Relationships>
</file>

<file path=xl/worksheets/_rels/sheet457.xml.rels><?xml version="1.0" encoding="UTF-8" standalone="yes"?>
<Relationships xmlns="http://schemas.openxmlformats.org/package/2006/relationships"><Relationship Id="rId1" Type="http://schemas.openxmlformats.org/officeDocument/2006/relationships/table" Target="../tables/table457.xml"/></Relationships>
</file>

<file path=xl/worksheets/_rels/sheet458.xml.rels><?xml version="1.0" encoding="UTF-8" standalone="yes"?>
<Relationships xmlns="http://schemas.openxmlformats.org/package/2006/relationships"><Relationship Id="rId1" Type="http://schemas.openxmlformats.org/officeDocument/2006/relationships/table" Target="../tables/table458.xml"/></Relationships>
</file>

<file path=xl/worksheets/_rels/sheet459.xml.rels><?xml version="1.0" encoding="UTF-8" standalone="yes"?>
<Relationships xmlns="http://schemas.openxmlformats.org/package/2006/relationships"><Relationship Id="rId1" Type="http://schemas.openxmlformats.org/officeDocument/2006/relationships/table" Target="../tables/table459.xml"/></Relationships>
</file>

<file path=xl/worksheets/_rels/sheet460.xml.rels><?xml version="1.0" encoding="UTF-8" standalone="yes"?>
<Relationships xmlns="http://schemas.openxmlformats.org/package/2006/relationships"><Relationship Id="rId1" Type="http://schemas.openxmlformats.org/officeDocument/2006/relationships/table" Target="../tables/table460.xml"/></Relationships>
</file>

<file path=xl/worksheets/_rels/sheet461.xml.rels><?xml version="1.0" encoding="UTF-8" standalone="yes"?>
<Relationships xmlns="http://schemas.openxmlformats.org/package/2006/relationships"><Relationship Id="rId1" Type="http://schemas.openxmlformats.org/officeDocument/2006/relationships/table" Target="../tables/table461.xml"/></Relationships>
</file>

<file path=xl/worksheets/_rels/sheet462.xml.rels><?xml version="1.0" encoding="UTF-8" standalone="yes"?>
<Relationships xmlns="http://schemas.openxmlformats.org/package/2006/relationships"><Relationship Id="rId1" Type="http://schemas.openxmlformats.org/officeDocument/2006/relationships/table" Target="../tables/table462.xml"/></Relationships>
</file>

<file path=xl/worksheets/_rels/sheet463.xml.rels><?xml version="1.0" encoding="UTF-8" standalone="yes"?>
<Relationships xmlns="http://schemas.openxmlformats.org/package/2006/relationships"><Relationship Id="rId1" Type="http://schemas.openxmlformats.org/officeDocument/2006/relationships/table" Target="../tables/table463.xml"/></Relationships>
</file>

<file path=xl/worksheets/_rels/sheet464.xml.rels><?xml version="1.0" encoding="UTF-8" standalone="yes"?>
<Relationships xmlns="http://schemas.openxmlformats.org/package/2006/relationships"><Relationship Id="rId1" Type="http://schemas.openxmlformats.org/officeDocument/2006/relationships/table" Target="../tables/table464.xml"/></Relationships>
</file>

<file path=xl/worksheets/_rels/sheet465.xml.rels><?xml version="1.0" encoding="UTF-8" standalone="yes"?>
<Relationships xmlns="http://schemas.openxmlformats.org/package/2006/relationships"><Relationship Id="rId1" Type="http://schemas.openxmlformats.org/officeDocument/2006/relationships/table" Target="../tables/table465.xml"/></Relationships>
</file>

<file path=xl/worksheets/_rels/sheet466.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table" Target="../tables/table466.xml"/><Relationship Id="rId1" Type="http://schemas.openxmlformats.org/officeDocument/2006/relationships/vmlDrawing" Target="../drawings/vmlDrawing40.vml"/></Relationships>
</file>

<file path=xl/worksheets/_rels/sheet467.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table" Target="../tables/table467.xml"/><Relationship Id="rId1" Type="http://schemas.openxmlformats.org/officeDocument/2006/relationships/vmlDrawing" Target="../drawings/vmlDrawing41.vml"/></Relationships>
</file>

<file path=xl/worksheets/_rels/sheet468.xml.rels><?xml version="1.0" encoding="UTF-8" standalone="yes"?>
<Relationships xmlns="http://schemas.openxmlformats.org/package/2006/relationships"><Relationship Id="rId1" Type="http://schemas.openxmlformats.org/officeDocument/2006/relationships/table" Target="../tables/table468.xml"/></Relationships>
</file>

<file path=xl/worksheets/_rels/sheet469.xml.rels><?xml version="1.0" encoding="UTF-8" standalone="yes"?>
<Relationships xmlns="http://schemas.openxmlformats.org/package/2006/relationships"><Relationship Id="rId1" Type="http://schemas.openxmlformats.org/officeDocument/2006/relationships/table" Target="../tables/table469.xml"/></Relationships>
</file>

<file path=xl/worksheets/_rels/sheet470.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table" Target="../tables/table470.xml"/><Relationship Id="rId1" Type="http://schemas.openxmlformats.org/officeDocument/2006/relationships/vmlDrawing" Target="../drawings/vmlDrawing42.vml"/></Relationships>
</file>

<file path=xl/worksheets/_rels/sheet471.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table" Target="../tables/table471.xml"/><Relationship Id="rId1" Type="http://schemas.openxmlformats.org/officeDocument/2006/relationships/vmlDrawing" Target="../drawings/vmlDrawing43.vml"/></Relationships>
</file>

<file path=xl/worksheets/_rels/sheet472.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table" Target="../tables/table472.xml"/><Relationship Id="rId1" Type="http://schemas.openxmlformats.org/officeDocument/2006/relationships/vmlDrawing" Target="../drawings/vmlDrawing44.vml"/></Relationships>
</file>

<file path=xl/worksheets/_rels/sheet473.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table" Target="../tables/table473.xml"/><Relationship Id="rId1" Type="http://schemas.openxmlformats.org/officeDocument/2006/relationships/vmlDrawing" Target="../drawings/vmlDrawing45.vml"/></Relationships>
</file>

<file path=xl/worksheets/_rels/sheet474.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table" Target="../tables/table474.xml"/><Relationship Id="rId1" Type="http://schemas.openxmlformats.org/officeDocument/2006/relationships/vmlDrawing" Target="../drawings/vmlDrawing46.vml"/></Relationships>
</file>

<file path=xl/worksheets/_rels/sheet475.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table" Target="../tables/table475.xml"/><Relationship Id="rId1" Type="http://schemas.openxmlformats.org/officeDocument/2006/relationships/vmlDrawing" Target="../drawings/vmlDrawing47.vml"/></Relationships>
</file>

<file path=xl/worksheets/_rels/sheet476.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table" Target="../tables/table476.xml"/><Relationship Id="rId1" Type="http://schemas.openxmlformats.org/officeDocument/2006/relationships/vmlDrawing" Target="../drawings/vmlDrawing48.vml"/></Relationships>
</file>

<file path=xl/worksheets/_rels/sheet477.xml.rels><?xml version="1.0" encoding="UTF-8" standalone="yes"?>
<Relationships xmlns="http://schemas.openxmlformats.org/package/2006/relationships"><Relationship Id="rId1" Type="http://schemas.openxmlformats.org/officeDocument/2006/relationships/table" Target="../tables/table477.xml"/></Relationships>
</file>

<file path=xl/worksheets/_rels/sheet478.xml.rels><?xml version="1.0" encoding="UTF-8" standalone="yes"?>
<Relationships xmlns="http://schemas.openxmlformats.org/package/2006/relationships"><Relationship Id="rId1" Type="http://schemas.openxmlformats.org/officeDocument/2006/relationships/table" Target="../tables/table478.xml"/></Relationships>
</file>

<file path=xl/worksheets/_rels/sheet479.xml.rels><?xml version="1.0" encoding="UTF-8" standalone="yes"?>
<Relationships xmlns="http://schemas.openxmlformats.org/package/2006/relationships"><Relationship Id="rId1" Type="http://schemas.openxmlformats.org/officeDocument/2006/relationships/table" Target="../tables/table479.xml"/></Relationships>
</file>

<file path=xl/worksheets/_rels/sheet480.xml.rels><?xml version="1.0" encoding="UTF-8" standalone="yes"?>
<Relationships xmlns="http://schemas.openxmlformats.org/package/2006/relationships"><Relationship Id="rId1" Type="http://schemas.openxmlformats.org/officeDocument/2006/relationships/table" Target="../tables/table480.xml"/></Relationships>
</file>

<file path=xl/worksheets/_rels/sheet481.xml.rels><?xml version="1.0" encoding="UTF-8" standalone="yes"?>
<Relationships xmlns="http://schemas.openxmlformats.org/package/2006/relationships"><Relationship Id="rId1" Type="http://schemas.openxmlformats.org/officeDocument/2006/relationships/table" Target="../tables/table481.xml"/></Relationships>
</file>

<file path=xl/worksheets/_rels/sheet482.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table" Target="../tables/table482.xml"/><Relationship Id="rId1" Type="http://schemas.openxmlformats.org/officeDocument/2006/relationships/vmlDrawing" Target="../drawings/vmlDrawing49.vml"/></Relationships>
</file>

<file path=xl/worksheets/_rels/sheet483.xml.rels><?xml version="1.0" encoding="UTF-8" standalone="yes"?>
<Relationships xmlns="http://schemas.openxmlformats.org/package/2006/relationships"><Relationship Id="rId3" Type="http://schemas.openxmlformats.org/officeDocument/2006/relationships/table" Target="../tables/table483.xml"/><Relationship Id="rId2" Type="http://schemas.openxmlformats.org/officeDocument/2006/relationships/vmlDrawing" Target="../drawings/vmlDrawing50.vml"/><Relationship Id="rId1" Type="http://schemas.openxmlformats.org/officeDocument/2006/relationships/printerSettings" Target="../printerSettings/printerSettings147.bin"/><Relationship Id="rId4" Type="http://schemas.openxmlformats.org/officeDocument/2006/relationships/comments" Target="../comments49.xml"/></Relationships>
</file>

<file path=xl/worksheets/_rels/sheet484.xml.rels><?xml version="1.0" encoding="UTF-8" standalone="yes"?>
<Relationships xmlns="http://schemas.openxmlformats.org/package/2006/relationships"><Relationship Id="rId2" Type="http://schemas.openxmlformats.org/officeDocument/2006/relationships/table" Target="../tables/table484.xml"/><Relationship Id="rId1" Type="http://schemas.openxmlformats.org/officeDocument/2006/relationships/printerSettings" Target="../printerSettings/printerSettings148.bin"/></Relationships>
</file>

<file path=xl/worksheets/_rels/sheet485.xml.rels><?xml version="1.0" encoding="UTF-8" standalone="yes"?>
<Relationships xmlns="http://schemas.openxmlformats.org/package/2006/relationships"><Relationship Id="rId2" Type="http://schemas.openxmlformats.org/officeDocument/2006/relationships/table" Target="../tables/table485.xml"/><Relationship Id="rId1" Type="http://schemas.openxmlformats.org/officeDocument/2006/relationships/printerSettings" Target="../printerSettings/printerSettings149.bin"/></Relationships>
</file>

<file path=xl/worksheets/_rels/sheet486.xml.rels><?xml version="1.0" encoding="UTF-8" standalone="yes"?>
<Relationships xmlns="http://schemas.openxmlformats.org/package/2006/relationships"><Relationship Id="rId3" Type="http://schemas.openxmlformats.org/officeDocument/2006/relationships/table" Target="../tables/table486.xml"/><Relationship Id="rId2" Type="http://schemas.openxmlformats.org/officeDocument/2006/relationships/vmlDrawing" Target="../drawings/vmlDrawing51.vml"/><Relationship Id="rId1" Type="http://schemas.openxmlformats.org/officeDocument/2006/relationships/printerSettings" Target="../printerSettings/printerSettings150.bin"/><Relationship Id="rId4" Type="http://schemas.openxmlformats.org/officeDocument/2006/relationships/comments" Target="../comments50.xml"/></Relationships>
</file>

<file path=xl/worksheets/_rels/sheet487.xml.rels><?xml version="1.0" encoding="UTF-8" standalone="yes"?>
<Relationships xmlns="http://schemas.openxmlformats.org/package/2006/relationships"><Relationship Id="rId3" Type="http://schemas.openxmlformats.org/officeDocument/2006/relationships/table" Target="../tables/table487.xml"/><Relationship Id="rId2" Type="http://schemas.openxmlformats.org/officeDocument/2006/relationships/vmlDrawing" Target="../drawings/vmlDrawing52.vml"/><Relationship Id="rId1" Type="http://schemas.openxmlformats.org/officeDocument/2006/relationships/printerSettings" Target="../printerSettings/printerSettings151.bin"/><Relationship Id="rId4" Type="http://schemas.openxmlformats.org/officeDocument/2006/relationships/comments" Target="../comments51.xml"/></Relationships>
</file>

<file path=xl/worksheets/_rels/sheet488.xml.rels><?xml version="1.0" encoding="UTF-8" standalone="yes"?>
<Relationships xmlns="http://schemas.openxmlformats.org/package/2006/relationships"><Relationship Id="rId3" Type="http://schemas.openxmlformats.org/officeDocument/2006/relationships/table" Target="../tables/table488.xml"/><Relationship Id="rId2" Type="http://schemas.openxmlformats.org/officeDocument/2006/relationships/vmlDrawing" Target="../drawings/vmlDrawing53.vml"/><Relationship Id="rId1" Type="http://schemas.openxmlformats.org/officeDocument/2006/relationships/printerSettings" Target="../printerSettings/printerSettings152.bin"/><Relationship Id="rId4" Type="http://schemas.openxmlformats.org/officeDocument/2006/relationships/comments" Target="../comments52.xml"/></Relationships>
</file>

<file path=xl/worksheets/_rels/sheet489.xml.rels><?xml version="1.0" encoding="UTF-8" standalone="yes"?>
<Relationships xmlns="http://schemas.openxmlformats.org/package/2006/relationships"><Relationship Id="rId3" Type="http://schemas.openxmlformats.org/officeDocument/2006/relationships/table" Target="../tables/table489.xml"/><Relationship Id="rId2" Type="http://schemas.openxmlformats.org/officeDocument/2006/relationships/vmlDrawing" Target="../drawings/vmlDrawing54.vml"/><Relationship Id="rId1" Type="http://schemas.openxmlformats.org/officeDocument/2006/relationships/printerSettings" Target="../printerSettings/printerSettings153.bin"/><Relationship Id="rId4" Type="http://schemas.openxmlformats.org/officeDocument/2006/relationships/comments" Target="../comments53.xml"/></Relationships>
</file>

<file path=xl/worksheets/_rels/sheet490.xml.rels><?xml version="1.0" encoding="UTF-8" standalone="yes"?>
<Relationships xmlns="http://schemas.openxmlformats.org/package/2006/relationships"><Relationship Id="rId3" Type="http://schemas.openxmlformats.org/officeDocument/2006/relationships/table" Target="../tables/table490.xml"/><Relationship Id="rId2" Type="http://schemas.openxmlformats.org/officeDocument/2006/relationships/vmlDrawing" Target="../drawings/vmlDrawing55.vml"/><Relationship Id="rId1" Type="http://schemas.openxmlformats.org/officeDocument/2006/relationships/printerSettings" Target="../printerSettings/printerSettings154.bin"/><Relationship Id="rId4" Type="http://schemas.openxmlformats.org/officeDocument/2006/relationships/comments" Target="../comments54.xml"/></Relationships>
</file>

<file path=xl/worksheets/_rels/sheet491.xml.rels><?xml version="1.0" encoding="UTF-8" standalone="yes"?>
<Relationships xmlns="http://schemas.openxmlformats.org/package/2006/relationships"><Relationship Id="rId3" Type="http://schemas.openxmlformats.org/officeDocument/2006/relationships/table" Target="../tables/table491.xml"/><Relationship Id="rId2" Type="http://schemas.openxmlformats.org/officeDocument/2006/relationships/vmlDrawing" Target="../drawings/vmlDrawing56.vml"/><Relationship Id="rId1" Type="http://schemas.openxmlformats.org/officeDocument/2006/relationships/printerSettings" Target="../printerSettings/printerSettings155.bin"/><Relationship Id="rId4" Type="http://schemas.openxmlformats.org/officeDocument/2006/relationships/comments" Target="../comments55.xml"/></Relationships>
</file>

<file path=xl/worksheets/_rels/sheet492.xml.rels><?xml version="1.0" encoding="UTF-8" standalone="yes"?>
<Relationships xmlns="http://schemas.openxmlformats.org/package/2006/relationships"><Relationship Id="rId3" Type="http://schemas.openxmlformats.org/officeDocument/2006/relationships/table" Target="../tables/table492.xml"/><Relationship Id="rId2" Type="http://schemas.openxmlformats.org/officeDocument/2006/relationships/vmlDrawing" Target="../drawings/vmlDrawing57.vml"/><Relationship Id="rId1" Type="http://schemas.openxmlformats.org/officeDocument/2006/relationships/printerSettings" Target="../printerSettings/printerSettings156.bin"/><Relationship Id="rId4" Type="http://schemas.openxmlformats.org/officeDocument/2006/relationships/comments" Target="../comments56.xml"/></Relationships>
</file>

<file path=xl/worksheets/_rels/sheet493.xml.rels><?xml version="1.0" encoding="UTF-8" standalone="yes"?>
<Relationships xmlns="http://schemas.openxmlformats.org/package/2006/relationships"><Relationship Id="rId3" Type="http://schemas.openxmlformats.org/officeDocument/2006/relationships/table" Target="../tables/table493.xml"/><Relationship Id="rId2" Type="http://schemas.openxmlformats.org/officeDocument/2006/relationships/vmlDrawing" Target="../drawings/vmlDrawing58.vml"/><Relationship Id="rId1" Type="http://schemas.openxmlformats.org/officeDocument/2006/relationships/printerSettings" Target="../printerSettings/printerSettings157.bin"/><Relationship Id="rId4" Type="http://schemas.openxmlformats.org/officeDocument/2006/relationships/comments" Target="../comments57.xml"/></Relationships>
</file>

<file path=xl/worksheets/_rels/sheet494.xml.rels><?xml version="1.0" encoding="UTF-8" standalone="yes"?>
<Relationships xmlns="http://schemas.openxmlformats.org/package/2006/relationships"><Relationship Id="rId3" Type="http://schemas.openxmlformats.org/officeDocument/2006/relationships/table" Target="../tables/table494.xml"/><Relationship Id="rId2" Type="http://schemas.openxmlformats.org/officeDocument/2006/relationships/vmlDrawing" Target="../drawings/vmlDrawing59.vml"/><Relationship Id="rId1" Type="http://schemas.openxmlformats.org/officeDocument/2006/relationships/printerSettings" Target="../printerSettings/printerSettings158.bin"/><Relationship Id="rId4" Type="http://schemas.openxmlformats.org/officeDocument/2006/relationships/comments" Target="../comments58.xml"/></Relationships>
</file>

<file path=xl/worksheets/_rels/sheet495.xml.rels><?xml version="1.0" encoding="UTF-8" standalone="yes"?>
<Relationships xmlns="http://schemas.openxmlformats.org/package/2006/relationships"><Relationship Id="rId2" Type="http://schemas.openxmlformats.org/officeDocument/2006/relationships/table" Target="../tables/table495.xml"/><Relationship Id="rId1" Type="http://schemas.openxmlformats.org/officeDocument/2006/relationships/printerSettings" Target="../printerSettings/printerSettings159.bin"/></Relationships>
</file>

<file path=xl/worksheets/_rels/sheet496.xml.rels><?xml version="1.0" encoding="UTF-8" standalone="yes"?>
<Relationships xmlns="http://schemas.openxmlformats.org/package/2006/relationships"><Relationship Id="rId2" Type="http://schemas.openxmlformats.org/officeDocument/2006/relationships/table" Target="../tables/table496.xml"/><Relationship Id="rId1" Type="http://schemas.openxmlformats.org/officeDocument/2006/relationships/printerSettings" Target="../printerSettings/printerSettings160.bin"/></Relationships>
</file>

<file path=xl/worksheets/_rels/sheet497.xml.rels><?xml version="1.0" encoding="UTF-8" standalone="yes"?>
<Relationships xmlns="http://schemas.openxmlformats.org/package/2006/relationships"><Relationship Id="rId2" Type="http://schemas.openxmlformats.org/officeDocument/2006/relationships/table" Target="../tables/table497.xml"/><Relationship Id="rId1" Type="http://schemas.openxmlformats.org/officeDocument/2006/relationships/printerSettings" Target="../printerSettings/printerSettings161.bin"/></Relationships>
</file>

<file path=xl/worksheets/_rels/sheet498.xml.rels><?xml version="1.0" encoding="UTF-8" standalone="yes"?>
<Relationships xmlns="http://schemas.openxmlformats.org/package/2006/relationships"><Relationship Id="rId2" Type="http://schemas.openxmlformats.org/officeDocument/2006/relationships/table" Target="../tables/table498.xml"/><Relationship Id="rId1" Type="http://schemas.openxmlformats.org/officeDocument/2006/relationships/printerSettings" Target="../printerSettings/printerSettings162.bin"/></Relationships>
</file>

<file path=xl/worksheets/_rels/sheet499.xml.rels><?xml version="1.0" encoding="UTF-8" standalone="yes"?>
<Relationships xmlns="http://schemas.openxmlformats.org/package/2006/relationships"><Relationship Id="rId2" Type="http://schemas.openxmlformats.org/officeDocument/2006/relationships/table" Target="../tables/table499.xml"/><Relationship Id="rId1" Type="http://schemas.openxmlformats.org/officeDocument/2006/relationships/printerSettings" Target="../printerSettings/printerSettings163.bin"/></Relationships>
</file>

<file path=xl/worksheets/_rels/sheet500.xml.rels><?xml version="1.0" encoding="UTF-8" standalone="yes"?>
<Relationships xmlns="http://schemas.openxmlformats.org/package/2006/relationships"><Relationship Id="rId2" Type="http://schemas.openxmlformats.org/officeDocument/2006/relationships/table" Target="../tables/table500.xml"/><Relationship Id="rId1" Type="http://schemas.openxmlformats.org/officeDocument/2006/relationships/printerSettings" Target="../printerSettings/printerSettings164.bin"/></Relationships>
</file>

<file path=xl/worksheets/_rels/sheet501.xml.rels><?xml version="1.0" encoding="UTF-8" standalone="yes"?>
<Relationships xmlns="http://schemas.openxmlformats.org/package/2006/relationships"><Relationship Id="rId3" Type="http://schemas.openxmlformats.org/officeDocument/2006/relationships/table" Target="../tables/table501.xml"/><Relationship Id="rId2" Type="http://schemas.openxmlformats.org/officeDocument/2006/relationships/vmlDrawing" Target="../drawings/vmlDrawing60.vml"/><Relationship Id="rId1" Type="http://schemas.openxmlformats.org/officeDocument/2006/relationships/printerSettings" Target="../printerSettings/printerSettings165.bin"/><Relationship Id="rId4" Type="http://schemas.openxmlformats.org/officeDocument/2006/relationships/comments" Target="../comments59.xml"/></Relationships>
</file>

<file path=xl/worksheets/_rels/sheet502.xml.rels><?xml version="1.0" encoding="UTF-8" standalone="yes"?>
<Relationships xmlns="http://schemas.openxmlformats.org/package/2006/relationships"><Relationship Id="rId2" Type="http://schemas.openxmlformats.org/officeDocument/2006/relationships/table" Target="../tables/table502.xml"/><Relationship Id="rId1" Type="http://schemas.openxmlformats.org/officeDocument/2006/relationships/printerSettings" Target="../printerSettings/printerSettings166.bin"/></Relationships>
</file>

<file path=xl/worksheets/_rels/sheet503.xml.rels><?xml version="1.0" encoding="UTF-8" standalone="yes"?>
<Relationships xmlns="http://schemas.openxmlformats.org/package/2006/relationships"><Relationship Id="rId2" Type="http://schemas.openxmlformats.org/officeDocument/2006/relationships/table" Target="../tables/table503.xml"/><Relationship Id="rId1" Type="http://schemas.openxmlformats.org/officeDocument/2006/relationships/printerSettings" Target="../printerSettings/printerSettings167.bin"/></Relationships>
</file>

<file path=xl/worksheets/_rels/sheet504.xml.rels><?xml version="1.0" encoding="UTF-8" standalone="yes"?>
<Relationships xmlns="http://schemas.openxmlformats.org/package/2006/relationships"><Relationship Id="rId2" Type="http://schemas.openxmlformats.org/officeDocument/2006/relationships/table" Target="../tables/table504.xml"/><Relationship Id="rId1" Type="http://schemas.openxmlformats.org/officeDocument/2006/relationships/printerSettings" Target="../printerSettings/printerSettings168.bin"/></Relationships>
</file>

<file path=xl/worksheets/_rels/sheet505.xml.rels><?xml version="1.0" encoding="UTF-8" standalone="yes"?>
<Relationships xmlns="http://schemas.openxmlformats.org/package/2006/relationships"><Relationship Id="rId2" Type="http://schemas.openxmlformats.org/officeDocument/2006/relationships/table" Target="../tables/table505.xml"/><Relationship Id="rId1" Type="http://schemas.openxmlformats.org/officeDocument/2006/relationships/printerSettings" Target="../printerSettings/printerSettings169.bin"/></Relationships>
</file>

<file path=xl/worksheets/_rels/sheet506.xml.rels><?xml version="1.0" encoding="UTF-8" standalone="yes"?>
<Relationships xmlns="http://schemas.openxmlformats.org/package/2006/relationships"><Relationship Id="rId2" Type="http://schemas.openxmlformats.org/officeDocument/2006/relationships/table" Target="../tables/table506.xml"/><Relationship Id="rId1" Type="http://schemas.openxmlformats.org/officeDocument/2006/relationships/printerSettings" Target="../printerSettings/printerSettings170.bin"/></Relationships>
</file>

<file path=xl/worksheets/_rels/sheet507.xml.rels><?xml version="1.0" encoding="UTF-8" standalone="yes"?>
<Relationships xmlns="http://schemas.openxmlformats.org/package/2006/relationships"><Relationship Id="rId3" Type="http://schemas.openxmlformats.org/officeDocument/2006/relationships/table" Target="../tables/table507.xml"/><Relationship Id="rId2" Type="http://schemas.openxmlformats.org/officeDocument/2006/relationships/vmlDrawing" Target="../drawings/vmlDrawing61.vml"/><Relationship Id="rId1" Type="http://schemas.openxmlformats.org/officeDocument/2006/relationships/printerSettings" Target="../printerSettings/printerSettings171.bin"/><Relationship Id="rId4" Type="http://schemas.openxmlformats.org/officeDocument/2006/relationships/comments" Target="../comments60.xml"/></Relationships>
</file>

<file path=xl/worksheets/_rels/sheet508.xml.rels><?xml version="1.0" encoding="UTF-8" standalone="yes"?>
<Relationships xmlns="http://schemas.openxmlformats.org/package/2006/relationships"><Relationship Id="rId3" Type="http://schemas.openxmlformats.org/officeDocument/2006/relationships/table" Target="../tables/table508.xml"/><Relationship Id="rId2" Type="http://schemas.openxmlformats.org/officeDocument/2006/relationships/vmlDrawing" Target="../drawings/vmlDrawing62.vml"/><Relationship Id="rId1" Type="http://schemas.openxmlformats.org/officeDocument/2006/relationships/printerSettings" Target="../printerSettings/printerSettings172.bin"/><Relationship Id="rId4" Type="http://schemas.openxmlformats.org/officeDocument/2006/relationships/comments" Target="../comments61.xml"/></Relationships>
</file>

<file path=xl/worksheets/_rels/sheet509.xml.rels><?xml version="1.0" encoding="UTF-8" standalone="yes"?>
<Relationships xmlns="http://schemas.openxmlformats.org/package/2006/relationships"><Relationship Id="rId3" Type="http://schemas.openxmlformats.org/officeDocument/2006/relationships/table" Target="../tables/table509.xml"/><Relationship Id="rId2" Type="http://schemas.openxmlformats.org/officeDocument/2006/relationships/vmlDrawing" Target="../drawings/vmlDrawing63.vml"/><Relationship Id="rId1" Type="http://schemas.openxmlformats.org/officeDocument/2006/relationships/printerSettings" Target="../printerSettings/printerSettings173.bin"/><Relationship Id="rId4" Type="http://schemas.openxmlformats.org/officeDocument/2006/relationships/comments" Target="../comments62.xml"/></Relationships>
</file>

<file path=xl/worksheets/_rels/sheet510.xml.rels><?xml version="1.0" encoding="UTF-8" standalone="yes"?>
<Relationships xmlns="http://schemas.openxmlformats.org/package/2006/relationships"><Relationship Id="rId3" Type="http://schemas.openxmlformats.org/officeDocument/2006/relationships/table" Target="../tables/table510.xml"/><Relationship Id="rId2" Type="http://schemas.openxmlformats.org/officeDocument/2006/relationships/vmlDrawing" Target="../drawings/vmlDrawing64.vml"/><Relationship Id="rId1" Type="http://schemas.openxmlformats.org/officeDocument/2006/relationships/printerSettings" Target="../printerSettings/printerSettings174.bin"/><Relationship Id="rId4" Type="http://schemas.openxmlformats.org/officeDocument/2006/relationships/comments" Target="../comments63.xml"/></Relationships>
</file>

<file path=xl/worksheets/_rels/sheet511.xml.rels><?xml version="1.0" encoding="UTF-8" standalone="yes"?>
<Relationships xmlns="http://schemas.openxmlformats.org/package/2006/relationships"><Relationship Id="rId3" Type="http://schemas.openxmlformats.org/officeDocument/2006/relationships/table" Target="../tables/table511.xml"/><Relationship Id="rId2" Type="http://schemas.openxmlformats.org/officeDocument/2006/relationships/vmlDrawing" Target="../drawings/vmlDrawing65.vml"/><Relationship Id="rId1" Type="http://schemas.openxmlformats.org/officeDocument/2006/relationships/printerSettings" Target="../printerSettings/printerSettings175.bin"/><Relationship Id="rId4" Type="http://schemas.openxmlformats.org/officeDocument/2006/relationships/comments" Target="../comments64.xml"/></Relationships>
</file>

<file path=xl/worksheets/_rels/sheet512.xml.rels><?xml version="1.0" encoding="UTF-8" standalone="yes"?>
<Relationships xmlns="http://schemas.openxmlformats.org/package/2006/relationships"><Relationship Id="rId2" Type="http://schemas.openxmlformats.org/officeDocument/2006/relationships/table" Target="../tables/table512.xml"/><Relationship Id="rId1" Type="http://schemas.openxmlformats.org/officeDocument/2006/relationships/printerSettings" Target="../printerSettings/printerSettings176.bin"/></Relationships>
</file>

<file path=xl/worksheets/_rels/sheet513.xml.rels><?xml version="1.0" encoding="UTF-8" standalone="yes"?>
<Relationships xmlns="http://schemas.openxmlformats.org/package/2006/relationships"><Relationship Id="rId3" Type="http://schemas.openxmlformats.org/officeDocument/2006/relationships/table" Target="../tables/table513.xml"/><Relationship Id="rId2" Type="http://schemas.openxmlformats.org/officeDocument/2006/relationships/vmlDrawing" Target="../drawings/vmlDrawing66.vml"/><Relationship Id="rId1" Type="http://schemas.openxmlformats.org/officeDocument/2006/relationships/printerSettings" Target="../printerSettings/printerSettings177.bin"/><Relationship Id="rId4" Type="http://schemas.openxmlformats.org/officeDocument/2006/relationships/comments" Target="../comments65.xml"/></Relationships>
</file>

<file path=xl/worksheets/_rels/sheet514.xml.rels><?xml version="1.0" encoding="UTF-8" standalone="yes"?>
<Relationships xmlns="http://schemas.openxmlformats.org/package/2006/relationships"><Relationship Id="rId3" Type="http://schemas.openxmlformats.org/officeDocument/2006/relationships/table" Target="../tables/table514.xml"/><Relationship Id="rId2" Type="http://schemas.openxmlformats.org/officeDocument/2006/relationships/vmlDrawing" Target="../drawings/vmlDrawing67.vml"/><Relationship Id="rId1" Type="http://schemas.openxmlformats.org/officeDocument/2006/relationships/printerSettings" Target="../printerSettings/printerSettings178.bin"/><Relationship Id="rId4" Type="http://schemas.openxmlformats.org/officeDocument/2006/relationships/comments" Target="../comments66.xml"/></Relationships>
</file>

<file path=xl/worksheets/_rels/sheet515.xml.rels><?xml version="1.0" encoding="UTF-8" standalone="yes"?>
<Relationships xmlns="http://schemas.openxmlformats.org/package/2006/relationships"><Relationship Id="rId2" Type="http://schemas.openxmlformats.org/officeDocument/2006/relationships/table" Target="../tables/table515.xml"/><Relationship Id="rId1" Type="http://schemas.openxmlformats.org/officeDocument/2006/relationships/printerSettings" Target="../printerSettings/printerSettings179.bin"/></Relationships>
</file>

<file path=xl/worksheets/_rels/sheet516.xml.rels><?xml version="1.0" encoding="UTF-8" standalone="yes"?>
<Relationships xmlns="http://schemas.openxmlformats.org/package/2006/relationships"><Relationship Id="rId2" Type="http://schemas.openxmlformats.org/officeDocument/2006/relationships/table" Target="../tables/table516.xml"/><Relationship Id="rId1" Type="http://schemas.openxmlformats.org/officeDocument/2006/relationships/printerSettings" Target="../printerSettings/printerSettings180.bin"/></Relationships>
</file>

<file path=xl/worksheets/_rels/sheet517.xml.rels><?xml version="1.0" encoding="UTF-8" standalone="yes"?>
<Relationships xmlns="http://schemas.openxmlformats.org/package/2006/relationships"><Relationship Id="rId2" Type="http://schemas.openxmlformats.org/officeDocument/2006/relationships/table" Target="../tables/table517.xml"/><Relationship Id="rId1" Type="http://schemas.openxmlformats.org/officeDocument/2006/relationships/printerSettings" Target="../printerSettings/printerSettings181.bin"/></Relationships>
</file>

<file path=xl/worksheets/_rels/sheet518.xml.rels><?xml version="1.0" encoding="UTF-8" standalone="yes"?>
<Relationships xmlns="http://schemas.openxmlformats.org/package/2006/relationships"><Relationship Id="rId2" Type="http://schemas.openxmlformats.org/officeDocument/2006/relationships/table" Target="../tables/table518.xml"/><Relationship Id="rId1" Type="http://schemas.openxmlformats.org/officeDocument/2006/relationships/printerSettings" Target="../printerSettings/printerSettings182.bin"/></Relationships>
</file>

<file path=xl/worksheets/_rels/sheet519.xml.rels><?xml version="1.0" encoding="UTF-8" standalone="yes"?>
<Relationships xmlns="http://schemas.openxmlformats.org/package/2006/relationships"><Relationship Id="rId2" Type="http://schemas.openxmlformats.org/officeDocument/2006/relationships/table" Target="../tables/table519.xml"/><Relationship Id="rId1" Type="http://schemas.openxmlformats.org/officeDocument/2006/relationships/printerSettings" Target="../printerSettings/printerSettings183.bin"/></Relationships>
</file>

<file path=xl/worksheets/_rels/sheet520.xml.rels><?xml version="1.0" encoding="UTF-8" standalone="yes"?>
<Relationships xmlns="http://schemas.openxmlformats.org/package/2006/relationships"><Relationship Id="rId2" Type="http://schemas.openxmlformats.org/officeDocument/2006/relationships/table" Target="../tables/table520.xml"/><Relationship Id="rId1" Type="http://schemas.openxmlformats.org/officeDocument/2006/relationships/printerSettings" Target="../printerSettings/printerSettings184.bin"/></Relationships>
</file>

<file path=xl/worksheets/_rels/sheet521.xml.rels><?xml version="1.0" encoding="UTF-8" standalone="yes"?>
<Relationships xmlns="http://schemas.openxmlformats.org/package/2006/relationships"><Relationship Id="rId2" Type="http://schemas.openxmlformats.org/officeDocument/2006/relationships/table" Target="../tables/table521.xml"/><Relationship Id="rId1" Type="http://schemas.openxmlformats.org/officeDocument/2006/relationships/printerSettings" Target="../printerSettings/printerSettings185.bin"/></Relationships>
</file>

<file path=xl/worksheets/_rels/sheet522.xml.rels><?xml version="1.0" encoding="UTF-8" standalone="yes"?>
<Relationships xmlns="http://schemas.openxmlformats.org/package/2006/relationships"><Relationship Id="rId2" Type="http://schemas.openxmlformats.org/officeDocument/2006/relationships/table" Target="../tables/table522.xml"/><Relationship Id="rId1" Type="http://schemas.openxmlformats.org/officeDocument/2006/relationships/printerSettings" Target="../printerSettings/printerSettings186.bin"/></Relationships>
</file>

<file path=xl/worksheets/_rels/sheet523.xml.rels><?xml version="1.0" encoding="UTF-8" standalone="yes"?>
<Relationships xmlns="http://schemas.openxmlformats.org/package/2006/relationships"><Relationship Id="rId2" Type="http://schemas.openxmlformats.org/officeDocument/2006/relationships/table" Target="../tables/table523.xml"/><Relationship Id="rId1" Type="http://schemas.openxmlformats.org/officeDocument/2006/relationships/printerSettings" Target="../printerSettings/printerSettings187.bin"/></Relationships>
</file>

<file path=xl/worksheets/_rels/sheet524.xml.rels><?xml version="1.0" encoding="UTF-8" standalone="yes"?>
<Relationships xmlns="http://schemas.openxmlformats.org/package/2006/relationships"><Relationship Id="rId3" Type="http://schemas.openxmlformats.org/officeDocument/2006/relationships/table" Target="../tables/table524.xml"/><Relationship Id="rId2" Type="http://schemas.openxmlformats.org/officeDocument/2006/relationships/vmlDrawing" Target="../drawings/vmlDrawing68.vml"/><Relationship Id="rId1" Type="http://schemas.openxmlformats.org/officeDocument/2006/relationships/printerSettings" Target="../printerSettings/printerSettings188.bin"/><Relationship Id="rId4" Type="http://schemas.openxmlformats.org/officeDocument/2006/relationships/comments" Target="../comments67.xml"/></Relationships>
</file>

<file path=xl/worksheets/_rels/sheet525.xml.rels><?xml version="1.0" encoding="UTF-8" standalone="yes"?>
<Relationships xmlns="http://schemas.openxmlformats.org/package/2006/relationships"><Relationship Id="rId2" Type="http://schemas.openxmlformats.org/officeDocument/2006/relationships/table" Target="../tables/table525.xml"/><Relationship Id="rId1" Type="http://schemas.openxmlformats.org/officeDocument/2006/relationships/printerSettings" Target="../printerSettings/printerSettings189.bin"/></Relationships>
</file>

<file path=xl/worksheets/_rels/sheet526.xml.rels><?xml version="1.0" encoding="UTF-8" standalone="yes"?>
<Relationships xmlns="http://schemas.openxmlformats.org/package/2006/relationships"><Relationship Id="rId3" Type="http://schemas.openxmlformats.org/officeDocument/2006/relationships/table" Target="../tables/table526.xml"/><Relationship Id="rId2" Type="http://schemas.openxmlformats.org/officeDocument/2006/relationships/vmlDrawing" Target="../drawings/vmlDrawing69.vml"/><Relationship Id="rId1" Type="http://schemas.openxmlformats.org/officeDocument/2006/relationships/printerSettings" Target="../printerSettings/printerSettings190.bin"/><Relationship Id="rId4" Type="http://schemas.openxmlformats.org/officeDocument/2006/relationships/comments" Target="../comments68.xml"/></Relationships>
</file>

<file path=xl/worksheets/_rels/sheet527.xml.rels><?xml version="1.0" encoding="UTF-8" standalone="yes"?>
<Relationships xmlns="http://schemas.openxmlformats.org/package/2006/relationships"><Relationship Id="rId2" Type="http://schemas.openxmlformats.org/officeDocument/2006/relationships/table" Target="../tables/table527.xml"/><Relationship Id="rId1" Type="http://schemas.openxmlformats.org/officeDocument/2006/relationships/printerSettings" Target="../printerSettings/printerSettings191.bin"/></Relationships>
</file>

<file path=xl/worksheets/_rels/sheet528.xml.rels><?xml version="1.0" encoding="UTF-8" standalone="yes"?>
<Relationships xmlns="http://schemas.openxmlformats.org/package/2006/relationships"><Relationship Id="rId2" Type="http://schemas.openxmlformats.org/officeDocument/2006/relationships/table" Target="../tables/table528.xml"/><Relationship Id="rId1" Type="http://schemas.openxmlformats.org/officeDocument/2006/relationships/printerSettings" Target="../printerSettings/printerSettings192.bin"/></Relationships>
</file>

<file path=xl/worksheets/_rels/sheet529.xml.rels><?xml version="1.0" encoding="UTF-8" standalone="yes"?>
<Relationships xmlns="http://schemas.openxmlformats.org/package/2006/relationships"><Relationship Id="rId2" Type="http://schemas.openxmlformats.org/officeDocument/2006/relationships/table" Target="../tables/table529.xml"/><Relationship Id="rId1" Type="http://schemas.openxmlformats.org/officeDocument/2006/relationships/printerSettings" Target="../printerSettings/printerSettings193.bin"/></Relationships>
</file>

<file path=xl/worksheets/_rels/sheet530.xml.rels><?xml version="1.0" encoding="UTF-8" standalone="yes"?>
<Relationships xmlns="http://schemas.openxmlformats.org/package/2006/relationships"><Relationship Id="rId2" Type="http://schemas.openxmlformats.org/officeDocument/2006/relationships/table" Target="../tables/table530.xml"/><Relationship Id="rId1" Type="http://schemas.openxmlformats.org/officeDocument/2006/relationships/printerSettings" Target="../printerSettings/printerSettings194.bin"/></Relationships>
</file>

<file path=xl/worksheets/_rels/sheet531.xml.rels><?xml version="1.0" encoding="UTF-8" standalone="yes"?>
<Relationships xmlns="http://schemas.openxmlformats.org/package/2006/relationships"><Relationship Id="rId2" Type="http://schemas.openxmlformats.org/officeDocument/2006/relationships/table" Target="../tables/table531.xml"/><Relationship Id="rId1" Type="http://schemas.openxmlformats.org/officeDocument/2006/relationships/printerSettings" Target="../printerSettings/printerSettings195.bin"/></Relationships>
</file>

<file path=xl/worksheets/_rels/sheet532.xml.rels><?xml version="1.0" encoding="UTF-8" standalone="yes"?>
<Relationships xmlns="http://schemas.openxmlformats.org/package/2006/relationships"><Relationship Id="rId2" Type="http://schemas.openxmlformats.org/officeDocument/2006/relationships/table" Target="../tables/table532.xml"/><Relationship Id="rId1" Type="http://schemas.openxmlformats.org/officeDocument/2006/relationships/printerSettings" Target="../printerSettings/printerSettings196.bin"/></Relationships>
</file>

<file path=xl/worksheets/_rels/sheet533.xml.rels><?xml version="1.0" encoding="UTF-8" standalone="yes"?>
<Relationships xmlns="http://schemas.openxmlformats.org/package/2006/relationships"><Relationship Id="rId2" Type="http://schemas.openxmlformats.org/officeDocument/2006/relationships/table" Target="../tables/table533.xml"/><Relationship Id="rId1" Type="http://schemas.openxmlformats.org/officeDocument/2006/relationships/printerSettings" Target="../printerSettings/printerSettings197.bin"/></Relationships>
</file>

<file path=xl/worksheets/_rels/sheet534.xml.rels><?xml version="1.0" encoding="UTF-8" standalone="yes"?>
<Relationships xmlns="http://schemas.openxmlformats.org/package/2006/relationships"><Relationship Id="rId2" Type="http://schemas.openxmlformats.org/officeDocument/2006/relationships/table" Target="../tables/table534.xml"/><Relationship Id="rId1" Type="http://schemas.openxmlformats.org/officeDocument/2006/relationships/printerSettings" Target="../printerSettings/printerSettings198.bin"/></Relationships>
</file>

<file path=xl/worksheets/_rels/sheet535.xml.rels><?xml version="1.0" encoding="UTF-8" standalone="yes"?>
<Relationships xmlns="http://schemas.openxmlformats.org/package/2006/relationships"><Relationship Id="rId2" Type="http://schemas.openxmlformats.org/officeDocument/2006/relationships/table" Target="../tables/table535.xml"/><Relationship Id="rId1" Type="http://schemas.openxmlformats.org/officeDocument/2006/relationships/printerSettings" Target="../printerSettings/printerSettings199.bin"/></Relationships>
</file>

<file path=xl/worksheets/_rels/sheet536.xml.rels><?xml version="1.0" encoding="UTF-8" standalone="yes"?>
<Relationships xmlns="http://schemas.openxmlformats.org/package/2006/relationships"><Relationship Id="rId2" Type="http://schemas.openxmlformats.org/officeDocument/2006/relationships/table" Target="../tables/table536.xml"/><Relationship Id="rId1" Type="http://schemas.openxmlformats.org/officeDocument/2006/relationships/printerSettings" Target="../printerSettings/printerSettings200.bin"/></Relationships>
</file>

<file path=xl/worksheets/_rels/sheet537.xml.rels><?xml version="1.0" encoding="UTF-8" standalone="yes"?>
<Relationships xmlns="http://schemas.openxmlformats.org/package/2006/relationships"><Relationship Id="rId3" Type="http://schemas.openxmlformats.org/officeDocument/2006/relationships/table" Target="../tables/table537.xml"/><Relationship Id="rId2" Type="http://schemas.openxmlformats.org/officeDocument/2006/relationships/vmlDrawing" Target="../drawings/vmlDrawing70.vml"/><Relationship Id="rId1" Type="http://schemas.openxmlformats.org/officeDocument/2006/relationships/printerSettings" Target="../printerSettings/printerSettings201.bin"/><Relationship Id="rId4" Type="http://schemas.openxmlformats.org/officeDocument/2006/relationships/comments" Target="../comments69.xml"/></Relationships>
</file>

<file path=xl/worksheets/_rels/sheet538.xml.rels><?xml version="1.0" encoding="UTF-8" standalone="yes"?>
<Relationships xmlns="http://schemas.openxmlformats.org/package/2006/relationships"><Relationship Id="rId3" Type="http://schemas.openxmlformats.org/officeDocument/2006/relationships/table" Target="../tables/table538.xml"/><Relationship Id="rId2" Type="http://schemas.openxmlformats.org/officeDocument/2006/relationships/vmlDrawing" Target="../drawings/vmlDrawing71.vml"/><Relationship Id="rId1" Type="http://schemas.openxmlformats.org/officeDocument/2006/relationships/printerSettings" Target="../printerSettings/printerSettings202.bin"/><Relationship Id="rId4" Type="http://schemas.openxmlformats.org/officeDocument/2006/relationships/comments" Target="../comments70.xml"/></Relationships>
</file>

<file path=xl/worksheets/_rels/sheet539.xml.rels><?xml version="1.0" encoding="UTF-8" standalone="yes"?>
<Relationships xmlns="http://schemas.openxmlformats.org/package/2006/relationships"><Relationship Id="rId2" Type="http://schemas.openxmlformats.org/officeDocument/2006/relationships/table" Target="../tables/table539.xml"/><Relationship Id="rId1" Type="http://schemas.openxmlformats.org/officeDocument/2006/relationships/printerSettings" Target="../printerSettings/printerSettings203.bin"/></Relationships>
</file>

<file path=xl/worksheets/_rels/sheet540.xml.rels><?xml version="1.0" encoding="UTF-8" standalone="yes"?>
<Relationships xmlns="http://schemas.openxmlformats.org/package/2006/relationships"><Relationship Id="rId3" Type="http://schemas.openxmlformats.org/officeDocument/2006/relationships/table" Target="../tables/table540.xml"/><Relationship Id="rId2" Type="http://schemas.openxmlformats.org/officeDocument/2006/relationships/vmlDrawing" Target="../drawings/vmlDrawing72.vml"/><Relationship Id="rId1" Type="http://schemas.openxmlformats.org/officeDocument/2006/relationships/printerSettings" Target="../printerSettings/printerSettings204.bin"/><Relationship Id="rId4" Type="http://schemas.openxmlformats.org/officeDocument/2006/relationships/comments" Target="../comments71.xml"/></Relationships>
</file>

<file path=xl/worksheets/_rels/sheet541.xml.rels><?xml version="1.0" encoding="UTF-8" standalone="yes"?>
<Relationships xmlns="http://schemas.openxmlformats.org/package/2006/relationships"><Relationship Id="rId3" Type="http://schemas.openxmlformats.org/officeDocument/2006/relationships/table" Target="../tables/table541.xml"/><Relationship Id="rId2" Type="http://schemas.openxmlformats.org/officeDocument/2006/relationships/vmlDrawing" Target="../drawings/vmlDrawing73.vml"/><Relationship Id="rId1" Type="http://schemas.openxmlformats.org/officeDocument/2006/relationships/printerSettings" Target="../printerSettings/printerSettings205.bin"/><Relationship Id="rId4" Type="http://schemas.openxmlformats.org/officeDocument/2006/relationships/comments" Target="../comments72.xml"/></Relationships>
</file>

<file path=xl/worksheets/_rels/sheet542.xml.rels><?xml version="1.0" encoding="UTF-8" standalone="yes"?>
<Relationships xmlns="http://schemas.openxmlformats.org/package/2006/relationships"><Relationship Id="rId3" Type="http://schemas.openxmlformats.org/officeDocument/2006/relationships/table" Target="../tables/table542.xml"/><Relationship Id="rId2" Type="http://schemas.openxmlformats.org/officeDocument/2006/relationships/vmlDrawing" Target="../drawings/vmlDrawing74.vml"/><Relationship Id="rId1" Type="http://schemas.openxmlformats.org/officeDocument/2006/relationships/printerSettings" Target="../printerSettings/printerSettings206.bin"/><Relationship Id="rId4" Type="http://schemas.openxmlformats.org/officeDocument/2006/relationships/comments" Target="../comments73.xml"/></Relationships>
</file>

<file path=xl/worksheets/_rels/sheet543.xml.rels><?xml version="1.0" encoding="UTF-8" standalone="yes"?>
<Relationships xmlns="http://schemas.openxmlformats.org/package/2006/relationships"><Relationship Id="rId3" Type="http://schemas.openxmlformats.org/officeDocument/2006/relationships/table" Target="../tables/table543.xml"/><Relationship Id="rId2" Type="http://schemas.openxmlformats.org/officeDocument/2006/relationships/vmlDrawing" Target="../drawings/vmlDrawing75.vml"/><Relationship Id="rId1" Type="http://schemas.openxmlformats.org/officeDocument/2006/relationships/printerSettings" Target="../printerSettings/printerSettings207.bin"/><Relationship Id="rId4" Type="http://schemas.openxmlformats.org/officeDocument/2006/relationships/comments" Target="../comments74.xml"/></Relationships>
</file>

<file path=xl/worksheets/_rels/sheet544.xml.rels><?xml version="1.0" encoding="UTF-8" standalone="yes"?>
<Relationships xmlns="http://schemas.openxmlformats.org/package/2006/relationships"><Relationship Id="rId3" Type="http://schemas.openxmlformats.org/officeDocument/2006/relationships/table" Target="../tables/table544.xml"/><Relationship Id="rId2" Type="http://schemas.openxmlformats.org/officeDocument/2006/relationships/vmlDrawing" Target="../drawings/vmlDrawing76.vml"/><Relationship Id="rId1" Type="http://schemas.openxmlformats.org/officeDocument/2006/relationships/printerSettings" Target="../printerSettings/printerSettings208.bin"/><Relationship Id="rId4" Type="http://schemas.openxmlformats.org/officeDocument/2006/relationships/comments" Target="../comments75.xml"/></Relationships>
</file>

<file path=xl/worksheets/_rels/sheet545.xml.rels><?xml version="1.0" encoding="UTF-8" standalone="yes"?>
<Relationships xmlns="http://schemas.openxmlformats.org/package/2006/relationships"><Relationship Id="rId3" Type="http://schemas.openxmlformats.org/officeDocument/2006/relationships/table" Target="../tables/table545.xml"/><Relationship Id="rId2" Type="http://schemas.openxmlformats.org/officeDocument/2006/relationships/vmlDrawing" Target="../drawings/vmlDrawing77.vml"/><Relationship Id="rId1" Type="http://schemas.openxmlformats.org/officeDocument/2006/relationships/printerSettings" Target="../printerSettings/printerSettings209.bin"/><Relationship Id="rId4" Type="http://schemas.openxmlformats.org/officeDocument/2006/relationships/comments" Target="../comments76.xml"/></Relationships>
</file>

<file path=xl/worksheets/_rels/sheet546.xml.rels><?xml version="1.0" encoding="UTF-8" standalone="yes"?>
<Relationships xmlns="http://schemas.openxmlformats.org/package/2006/relationships"><Relationship Id="rId3" Type="http://schemas.openxmlformats.org/officeDocument/2006/relationships/table" Target="../tables/table546.xml"/><Relationship Id="rId2" Type="http://schemas.openxmlformats.org/officeDocument/2006/relationships/vmlDrawing" Target="../drawings/vmlDrawing78.vml"/><Relationship Id="rId1" Type="http://schemas.openxmlformats.org/officeDocument/2006/relationships/printerSettings" Target="../printerSettings/printerSettings210.bin"/><Relationship Id="rId4" Type="http://schemas.openxmlformats.org/officeDocument/2006/relationships/comments" Target="../comments77.xml"/></Relationships>
</file>

<file path=xl/worksheets/_rels/sheet547.xml.rels><?xml version="1.0" encoding="UTF-8" standalone="yes"?>
<Relationships xmlns="http://schemas.openxmlformats.org/package/2006/relationships"><Relationship Id="rId3" Type="http://schemas.openxmlformats.org/officeDocument/2006/relationships/table" Target="../tables/table547.xml"/><Relationship Id="rId2" Type="http://schemas.openxmlformats.org/officeDocument/2006/relationships/vmlDrawing" Target="../drawings/vmlDrawing79.vml"/><Relationship Id="rId1" Type="http://schemas.openxmlformats.org/officeDocument/2006/relationships/printerSettings" Target="../printerSettings/printerSettings211.bin"/><Relationship Id="rId4" Type="http://schemas.openxmlformats.org/officeDocument/2006/relationships/comments" Target="../comments78.xml"/></Relationships>
</file>

<file path=xl/worksheets/_rels/sheet548.xml.rels><?xml version="1.0" encoding="UTF-8" standalone="yes"?>
<Relationships xmlns="http://schemas.openxmlformats.org/package/2006/relationships"><Relationship Id="rId3" Type="http://schemas.openxmlformats.org/officeDocument/2006/relationships/table" Target="../tables/table548.xml"/><Relationship Id="rId2" Type="http://schemas.openxmlformats.org/officeDocument/2006/relationships/vmlDrawing" Target="../drawings/vmlDrawing80.vml"/><Relationship Id="rId1" Type="http://schemas.openxmlformats.org/officeDocument/2006/relationships/printerSettings" Target="../printerSettings/printerSettings212.bin"/><Relationship Id="rId4" Type="http://schemas.openxmlformats.org/officeDocument/2006/relationships/comments" Target="../comments79.xml"/></Relationships>
</file>

<file path=xl/worksheets/_rels/sheet549.xml.rels><?xml version="1.0" encoding="UTF-8" standalone="yes"?>
<Relationships xmlns="http://schemas.openxmlformats.org/package/2006/relationships"><Relationship Id="rId3" Type="http://schemas.openxmlformats.org/officeDocument/2006/relationships/table" Target="../tables/table549.xml"/><Relationship Id="rId2" Type="http://schemas.openxmlformats.org/officeDocument/2006/relationships/vmlDrawing" Target="../drawings/vmlDrawing81.vml"/><Relationship Id="rId1" Type="http://schemas.openxmlformats.org/officeDocument/2006/relationships/printerSettings" Target="../printerSettings/printerSettings213.bin"/><Relationship Id="rId4" Type="http://schemas.openxmlformats.org/officeDocument/2006/relationships/comments" Target="../comments80.xml"/></Relationships>
</file>

<file path=xl/worksheets/_rels/sheet550.xml.rels><?xml version="1.0" encoding="UTF-8" standalone="yes"?>
<Relationships xmlns="http://schemas.openxmlformats.org/package/2006/relationships"><Relationship Id="rId3" Type="http://schemas.openxmlformats.org/officeDocument/2006/relationships/table" Target="../tables/table550.xml"/><Relationship Id="rId2" Type="http://schemas.openxmlformats.org/officeDocument/2006/relationships/vmlDrawing" Target="../drawings/vmlDrawing82.vml"/><Relationship Id="rId1" Type="http://schemas.openxmlformats.org/officeDocument/2006/relationships/printerSettings" Target="../printerSettings/printerSettings214.bin"/><Relationship Id="rId4" Type="http://schemas.openxmlformats.org/officeDocument/2006/relationships/comments" Target="../comments81.xml"/></Relationships>
</file>

<file path=xl/worksheets/_rels/sheet551.xml.rels><?xml version="1.0" encoding="UTF-8" standalone="yes"?>
<Relationships xmlns="http://schemas.openxmlformats.org/package/2006/relationships"><Relationship Id="rId3" Type="http://schemas.openxmlformats.org/officeDocument/2006/relationships/table" Target="../tables/table551.xml"/><Relationship Id="rId2" Type="http://schemas.openxmlformats.org/officeDocument/2006/relationships/vmlDrawing" Target="../drawings/vmlDrawing83.vml"/><Relationship Id="rId1" Type="http://schemas.openxmlformats.org/officeDocument/2006/relationships/printerSettings" Target="../printerSettings/printerSettings215.bin"/><Relationship Id="rId4" Type="http://schemas.openxmlformats.org/officeDocument/2006/relationships/comments" Target="../comments82.xml"/></Relationships>
</file>

<file path=xl/worksheets/_rels/sheet552.xml.rels><?xml version="1.0" encoding="UTF-8" standalone="yes"?>
<Relationships xmlns="http://schemas.openxmlformats.org/package/2006/relationships"><Relationship Id="rId3" Type="http://schemas.openxmlformats.org/officeDocument/2006/relationships/table" Target="../tables/table552.xml"/><Relationship Id="rId2" Type="http://schemas.openxmlformats.org/officeDocument/2006/relationships/vmlDrawing" Target="../drawings/vmlDrawing84.vml"/><Relationship Id="rId1" Type="http://schemas.openxmlformats.org/officeDocument/2006/relationships/printerSettings" Target="../printerSettings/printerSettings216.bin"/><Relationship Id="rId4" Type="http://schemas.openxmlformats.org/officeDocument/2006/relationships/comments" Target="../comments83.xml"/></Relationships>
</file>

<file path=xl/worksheets/_rels/sheet553.xml.rels><?xml version="1.0" encoding="UTF-8" standalone="yes"?>
<Relationships xmlns="http://schemas.openxmlformats.org/package/2006/relationships"><Relationship Id="rId3" Type="http://schemas.openxmlformats.org/officeDocument/2006/relationships/table" Target="../tables/table553.xml"/><Relationship Id="rId2" Type="http://schemas.openxmlformats.org/officeDocument/2006/relationships/vmlDrawing" Target="../drawings/vmlDrawing85.vml"/><Relationship Id="rId1" Type="http://schemas.openxmlformats.org/officeDocument/2006/relationships/printerSettings" Target="../printerSettings/printerSettings217.bin"/><Relationship Id="rId4" Type="http://schemas.openxmlformats.org/officeDocument/2006/relationships/comments" Target="../comments84.xml"/></Relationships>
</file>

<file path=xl/worksheets/_rels/sheet554.xml.rels><?xml version="1.0" encoding="UTF-8" standalone="yes"?>
<Relationships xmlns="http://schemas.openxmlformats.org/package/2006/relationships"><Relationship Id="rId3" Type="http://schemas.openxmlformats.org/officeDocument/2006/relationships/table" Target="../tables/table554.xml"/><Relationship Id="rId2" Type="http://schemas.openxmlformats.org/officeDocument/2006/relationships/vmlDrawing" Target="../drawings/vmlDrawing86.vml"/><Relationship Id="rId1" Type="http://schemas.openxmlformats.org/officeDocument/2006/relationships/printerSettings" Target="../printerSettings/printerSettings218.bin"/><Relationship Id="rId4" Type="http://schemas.openxmlformats.org/officeDocument/2006/relationships/comments" Target="../comments85.xml"/></Relationships>
</file>

<file path=xl/worksheets/_rels/sheet555.xml.rels><?xml version="1.0" encoding="UTF-8" standalone="yes"?>
<Relationships xmlns="http://schemas.openxmlformats.org/package/2006/relationships"><Relationship Id="rId3" Type="http://schemas.openxmlformats.org/officeDocument/2006/relationships/table" Target="../tables/table555.xml"/><Relationship Id="rId2" Type="http://schemas.openxmlformats.org/officeDocument/2006/relationships/vmlDrawing" Target="../drawings/vmlDrawing87.vml"/><Relationship Id="rId1" Type="http://schemas.openxmlformats.org/officeDocument/2006/relationships/printerSettings" Target="../printerSettings/printerSettings219.bin"/><Relationship Id="rId4" Type="http://schemas.openxmlformats.org/officeDocument/2006/relationships/comments" Target="../comments86.xml"/></Relationships>
</file>

<file path=xl/worksheets/_rels/sheet556.xml.rels><?xml version="1.0" encoding="UTF-8" standalone="yes"?>
<Relationships xmlns="http://schemas.openxmlformats.org/package/2006/relationships"><Relationship Id="rId3" Type="http://schemas.openxmlformats.org/officeDocument/2006/relationships/table" Target="../tables/table556.xml"/><Relationship Id="rId2" Type="http://schemas.openxmlformats.org/officeDocument/2006/relationships/vmlDrawing" Target="../drawings/vmlDrawing88.vml"/><Relationship Id="rId1" Type="http://schemas.openxmlformats.org/officeDocument/2006/relationships/printerSettings" Target="../printerSettings/printerSettings220.bin"/><Relationship Id="rId4" Type="http://schemas.openxmlformats.org/officeDocument/2006/relationships/comments" Target="../comments87.xml"/></Relationships>
</file>

<file path=xl/worksheets/_rels/sheet557.xml.rels><?xml version="1.0" encoding="UTF-8" standalone="yes"?>
<Relationships xmlns="http://schemas.openxmlformats.org/package/2006/relationships"><Relationship Id="rId3" Type="http://schemas.openxmlformats.org/officeDocument/2006/relationships/table" Target="../tables/table557.xml"/><Relationship Id="rId2" Type="http://schemas.openxmlformats.org/officeDocument/2006/relationships/vmlDrawing" Target="../drawings/vmlDrawing89.vml"/><Relationship Id="rId1" Type="http://schemas.openxmlformats.org/officeDocument/2006/relationships/printerSettings" Target="../printerSettings/printerSettings221.bin"/><Relationship Id="rId4" Type="http://schemas.openxmlformats.org/officeDocument/2006/relationships/comments" Target="../comments88.xml"/></Relationships>
</file>

<file path=xl/worksheets/_rels/sheet558.xml.rels><?xml version="1.0" encoding="UTF-8" standalone="yes"?>
<Relationships xmlns="http://schemas.openxmlformats.org/package/2006/relationships"><Relationship Id="rId3" Type="http://schemas.openxmlformats.org/officeDocument/2006/relationships/table" Target="../tables/table558.xml"/><Relationship Id="rId2" Type="http://schemas.openxmlformats.org/officeDocument/2006/relationships/vmlDrawing" Target="../drawings/vmlDrawing90.vml"/><Relationship Id="rId1" Type="http://schemas.openxmlformats.org/officeDocument/2006/relationships/printerSettings" Target="../printerSettings/printerSettings222.bin"/><Relationship Id="rId4" Type="http://schemas.openxmlformats.org/officeDocument/2006/relationships/comments" Target="../comments89.xml"/></Relationships>
</file>

<file path=xl/worksheets/_rels/sheet559.xml.rels><?xml version="1.0" encoding="UTF-8" standalone="yes"?>
<Relationships xmlns="http://schemas.openxmlformats.org/package/2006/relationships"><Relationship Id="rId3" Type="http://schemas.openxmlformats.org/officeDocument/2006/relationships/table" Target="../tables/table559.xml"/><Relationship Id="rId2" Type="http://schemas.openxmlformats.org/officeDocument/2006/relationships/vmlDrawing" Target="../drawings/vmlDrawing91.vml"/><Relationship Id="rId1" Type="http://schemas.openxmlformats.org/officeDocument/2006/relationships/printerSettings" Target="../printerSettings/printerSettings223.bin"/><Relationship Id="rId4" Type="http://schemas.openxmlformats.org/officeDocument/2006/relationships/comments" Target="../comments90.xml"/></Relationships>
</file>

<file path=xl/worksheets/_rels/sheet560.xml.rels><?xml version="1.0" encoding="UTF-8" standalone="yes"?>
<Relationships xmlns="http://schemas.openxmlformats.org/package/2006/relationships"><Relationship Id="rId3" Type="http://schemas.openxmlformats.org/officeDocument/2006/relationships/table" Target="../tables/table560.xml"/><Relationship Id="rId2" Type="http://schemas.openxmlformats.org/officeDocument/2006/relationships/vmlDrawing" Target="../drawings/vmlDrawing92.vml"/><Relationship Id="rId1" Type="http://schemas.openxmlformats.org/officeDocument/2006/relationships/printerSettings" Target="../printerSettings/printerSettings224.bin"/><Relationship Id="rId4" Type="http://schemas.openxmlformats.org/officeDocument/2006/relationships/comments" Target="../comments91.xml"/></Relationships>
</file>

<file path=xl/worksheets/_rels/sheet561.xml.rels><?xml version="1.0" encoding="UTF-8" standalone="yes"?>
<Relationships xmlns="http://schemas.openxmlformats.org/package/2006/relationships"><Relationship Id="rId3" Type="http://schemas.openxmlformats.org/officeDocument/2006/relationships/table" Target="../tables/table561.xml"/><Relationship Id="rId2" Type="http://schemas.openxmlformats.org/officeDocument/2006/relationships/vmlDrawing" Target="../drawings/vmlDrawing93.vml"/><Relationship Id="rId1" Type="http://schemas.openxmlformats.org/officeDocument/2006/relationships/printerSettings" Target="../printerSettings/printerSettings225.bin"/><Relationship Id="rId4" Type="http://schemas.openxmlformats.org/officeDocument/2006/relationships/comments" Target="../comments92.xml"/></Relationships>
</file>

<file path=xl/worksheets/_rels/sheet562.xml.rels><?xml version="1.0" encoding="UTF-8" standalone="yes"?>
<Relationships xmlns="http://schemas.openxmlformats.org/package/2006/relationships"><Relationship Id="rId3" Type="http://schemas.openxmlformats.org/officeDocument/2006/relationships/table" Target="../tables/table562.xml"/><Relationship Id="rId2" Type="http://schemas.openxmlformats.org/officeDocument/2006/relationships/vmlDrawing" Target="../drawings/vmlDrawing94.vml"/><Relationship Id="rId1" Type="http://schemas.openxmlformats.org/officeDocument/2006/relationships/printerSettings" Target="../printerSettings/printerSettings226.bin"/><Relationship Id="rId4" Type="http://schemas.openxmlformats.org/officeDocument/2006/relationships/comments" Target="../comments93.xml"/></Relationships>
</file>

<file path=xl/worksheets/_rels/sheet563.xml.rels><?xml version="1.0" encoding="UTF-8" standalone="yes"?>
<Relationships xmlns="http://schemas.openxmlformats.org/package/2006/relationships"><Relationship Id="rId3" Type="http://schemas.openxmlformats.org/officeDocument/2006/relationships/table" Target="../tables/table563.xml"/><Relationship Id="rId2" Type="http://schemas.openxmlformats.org/officeDocument/2006/relationships/vmlDrawing" Target="../drawings/vmlDrawing95.vml"/><Relationship Id="rId1" Type="http://schemas.openxmlformats.org/officeDocument/2006/relationships/printerSettings" Target="../printerSettings/printerSettings227.bin"/><Relationship Id="rId4" Type="http://schemas.openxmlformats.org/officeDocument/2006/relationships/comments" Target="../comments94.xml"/></Relationships>
</file>

<file path=xl/worksheets/_rels/sheet564.xml.rels><?xml version="1.0" encoding="UTF-8" standalone="yes"?>
<Relationships xmlns="http://schemas.openxmlformats.org/package/2006/relationships"><Relationship Id="rId3" Type="http://schemas.openxmlformats.org/officeDocument/2006/relationships/table" Target="../tables/table564.xml"/><Relationship Id="rId2" Type="http://schemas.openxmlformats.org/officeDocument/2006/relationships/vmlDrawing" Target="../drawings/vmlDrawing96.vml"/><Relationship Id="rId1" Type="http://schemas.openxmlformats.org/officeDocument/2006/relationships/printerSettings" Target="../printerSettings/printerSettings228.bin"/><Relationship Id="rId4" Type="http://schemas.openxmlformats.org/officeDocument/2006/relationships/comments" Target="../comments95.xml"/></Relationships>
</file>

<file path=xl/worksheets/_rels/sheet565.xml.rels><?xml version="1.0" encoding="UTF-8" standalone="yes"?>
<Relationships xmlns="http://schemas.openxmlformats.org/package/2006/relationships"><Relationship Id="rId3" Type="http://schemas.openxmlformats.org/officeDocument/2006/relationships/table" Target="../tables/table565.xml"/><Relationship Id="rId2" Type="http://schemas.openxmlformats.org/officeDocument/2006/relationships/vmlDrawing" Target="../drawings/vmlDrawing97.vml"/><Relationship Id="rId1" Type="http://schemas.openxmlformats.org/officeDocument/2006/relationships/printerSettings" Target="../printerSettings/printerSettings229.bin"/><Relationship Id="rId4" Type="http://schemas.openxmlformats.org/officeDocument/2006/relationships/comments" Target="../comments96.xml"/></Relationships>
</file>

<file path=xl/worksheets/_rels/sheet566.xml.rels><?xml version="1.0" encoding="UTF-8" standalone="yes"?>
<Relationships xmlns="http://schemas.openxmlformats.org/package/2006/relationships"><Relationship Id="rId3" Type="http://schemas.openxmlformats.org/officeDocument/2006/relationships/table" Target="../tables/table566.xml"/><Relationship Id="rId2" Type="http://schemas.openxmlformats.org/officeDocument/2006/relationships/vmlDrawing" Target="../drawings/vmlDrawing98.vml"/><Relationship Id="rId1" Type="http://schemas.openxmlformats.org/officeDocument/2006/relationships/printerSettings" Target="../printerSettings/printerSettings230.bin"/><Relationship Id="rId4" Type="http://schemas.openxmlformats.org/officeDocument/2006/relationships/comments" Target="../comments97.xml"/></Relationships>
</file>

<file path=xl/worksheets/_rels/sheet567.xml.rels><?xml version="1.0" encoding="UTF-8" standalone="yes"?>
<Relationships xmlns="http://schemas.openxmlformats.org/package/2006/relationships"><Relationship Id="rId3" Type="http://schemas.openxmlformats.org/officeDocument/2006/relationships/table" Target="../tables/table567.xml"/><Relationship Id="rId2" Type="http://schemas.openxmlformats.org/officeDocument/2006/relationships/vmlDrawing" Target="../drawings/vmlDrawing99.vml"/><Relationship Id="rId1" Type="http://schemas.openxmlformats.org/officeDocument/2006/relationships/printerSettings" Target="../printerSettings/printerSettings231.bin"/><Relationship Id="rId4" Type="http://schemas.openxmlformats.org/officeDocument/2006/relationships/comments" Target="../comments98.xml"/></Relationships>
</file>

<file path=xl/worksheets/_rels/sheet568.xml.rels><?xml version="1.0" encoding="UTF-8" standalone="yes"?>
<Relationships xmlns="http://schemas.openxmlformats.org/package/2006/relationships"><Relationship Id="rId2" Type="http://schemas.openxmlformats.org/officeDocument/2006/relationships/table" Target="../tables/table568.xml"/><Relationship Id="rId1" Type="http://schemas.openxmlformats.org/officeDocument/2006/relationships/printerSettings" Target="../printerSettings/printerSettings232.bin"/></Relationships>
</file>

<file path=xl/worksheets/_rels/sheet569.xml.rels><?xml version="1.0" encoding="UTF-8" standalone="yes"?>
<Relationships xmlns="http://schemas.openxmlformats.org/package/2006/relationships"><Relationship Id="rId3" Type="http://schemas.openxmlformats.org/officeDocument/2006/relationships/table" Target="../tables/table569.xml"/><Relationship Id="rId2" Type="http://schemas.openxmlformats.org/officeDocument/2006/relationships/vmlDrawing" Target="../drawings/vmlDrawing100.vml"/><Relationship Id="rId1" Type="http://schemas.openxmlformats.org/officeDocument/2006/relationships/printerSettings" Target="../printerSettings/printerSettings233.bin"/><Relationship Id="rId4" Type="http://schemas.openxmlformats.org/officeDocument/2006/relationships/comments" Target="../comments99.xml"/></Relationships>
</file>

<file path=xl/worksheets/_rels/sheet570.xml.rels><?xml version="1.0" encoding="UTF-8" standalone="yes"?>
<Relationships xmlns="http://schemas.openxmlformats.org/package/2006/relationships"><Relationship Id="rId3" Type="http://schemas.openxmlformats.org/officeDocument/2006/relationships/table" Target="../tables/table570.xml"/><Relationship Id="rId2" Type="http://schemas.openxmlformats.org/officeDocument/2006/relationships/vmlDrawing" Target="../drawings/vmlDrawing101.vml"/><Relationship Id="rId1" Type="http://schemas.openxmlformats.org/officeDocument/2006/relationships/printerSettings" Target="../printerSettings/printerSettings234.bin"/><Relationship Id="rId4" Type="http://schemas.openxmlformats.org/officeDocument/2006/relationships/comments" Target="../comments100.xml"/></Relationships>
</file>

<file path=xl/worksheets/_rels/sheet571.xml.rels><?xml version="1.0" encoding="UTF-8" standalone="yes"?>
<Relationships xmlns="http://schemas.openxmlformats.org/package/2006/relationships"><Relationship Id="rId3" Type="http://schemas.openxmlformats.org/officeDocument/2006/relationships/table" Target="../tables/table571.xml"/><Relationship Id="rId2" Type="http://schemas.openxmlformats.org/officeDocument/2006/relationships/vmlDrawing" Target="../drawings/vmlDrawing102.vml"/><Relationship Id="rId1" Type="http://schemas.openxmlformats.org/officeDocument/2006/relationships/printerSettings" Target="../printerSettings/printerSettings235.bin"/><Relationship Id="rId4" Type="http://schemas.openxmlformats.org/officeDocument/2006/relationships/comments" Target="../comments101.xml"/></Relationships>
</file>

<file path=xl/worksheets/_rels/sheet572.xml.rels><?xml version="1.0" encoding="UTF-8" standalone="yes"?>
<Relationships xmlns="http://schemas.openxmlformats.org/package/2006/relationships"><Relationship Id="rId3" Type="http://schemas.openxmlformats.org/officeDocument/2006/relationships/table" Target="../tables/table572.xml"/><Relationship Id="rId2" Type="http://schemas.openxmlformats.org/officeDocument/2006/relationships/vmlDrawing" Target="../drawings/vmlDrawing103.vml"/><Relationship Id="rId1" Type="http://schemas.openxmlformats.org/officeDocument/2006/relationships/printerSettings" Target="../printerSettings/printerSettings236.bin"/><Relationship Id="rId4" Type="http://schemas.openxmlformats.org/officeDocument/2006/relationships/comments" Target="../comments102.xml"/></Relationships>
</file>

<file path=xl/worksheets/_rels/sheet573.xml.rels><?xml version="1.0" encoding="UTF-8" standalone="yes"?>
<Relationships xmlns="http://schemas.openxmlformats.org/package/2006/relationships"><Relationship Id="rId3" Type="http://schemas.openxmlformats.org/officeDocument/2006/relationships/table" Target="../tables/table573.xml"/><Relationship Id="rId2" Type="http://schemas.openxmlformats.org/officeDocument/2006/relationships/vmlDrawing" Target="../drawings/vmlDrawing104.vml"/><Relationship Id="rId1" Type="http://schemas.openxmlformats.org/officeDocument/2006/relationships/printerSettings" Target="../printerSettings/printerSettings237.bin"/><Relationship Id="rId4" Type="http://schemas.openxmlformats.org/officeDocument/2006/relationships/comments" Target="../comments103.xml"/></Relationships>
</file>

<file path=xl/worksheets/_rels/sheet574.xml.rels><?xml version="1.0" encoding="UTF-8" standalone="yes"?>
<Relationships xmlns="http://schemas.openxmlformats.org/package/2006/relationships"><Relationship Id="rId3" Type="http://schemas.openxmlformats.org/officeDocument/2006/relationships/table" Target="../tables/table574.xml"/><Relationship Id="rId2" Type="http://schemas.openxmlformats.org/officeDocument/2006/relationships/vmlDrawing" Target="../drawings/vmlDrawing105.vml"/><Relationship Id="rId1" Type="http://schemas.openxmlformats.org/officeDocument/2006/relationships/printerSettings" Target="../printerSettings/printerSettings238.bin"/><Relationship Id="rId4" Type="http://schemas.openxmlformats.org/officeDocument/2006/relationships/comments" Target="../comments104.xml"/></Relationships>
</file>

<file path=xl/worksheets/_rels/sheet575.xml.rels><?xml version="1.0" encoding="UTF-8" standalone="yes"?>
<Relationships xmlns="http://schemas.openxmlformats.org/package/2006/relationships"><Relationship Id="rId2" Type="http://schemas.openxmlformats.org/officeDocument/2006/relationships/table" Target="../tables/table575.xml"/><Relationship Id="rId1" Type="http://schemas.openxmlformats.org/officeDocument/2006/relationships/printerSettings" Target="../printerSettings/printerSettings239.bin"/></Relationships>
</file>

<file path=xl/worksheets/_rels/sheet576.xml.rels><?xml version="1.0" encoding="UTF-8" standalone="yes"?>
<Relationships xmlns="http://schemas.openxmlformats.org/package/2006/relationships"><Relationship Id="rId3" Type="http://schemas.openxmlformats.org/officeDocument/2006/relationships/table" Target="../tables/table576.xml"/><Relationship Id="rId2" Type="http://schemas.openxmlformats.org/officeDocument/2006/relationships/vmlDrawing" Target="../drawings/vmlDrawing106.vml"/><Relationship Id="rId1" Type="http://schemas.openxmlformats.org/officeDocument/2006/relationships/printerSettings" Target="../printerSettings/printerSettings240.bin"/><Relationship Id="rId4" Type="http://schemas.openxmlformats.org/officeDocument/2006/relationships/comments" Target="../comments105.xml"/></Relationships>
</file>

<file path=xl/worksheets/_rels/sheet577.xml.rels><?xml version="1.0" encoding="UTF-8" standalone="yes"?>
<Relationships xmlns="http://schemas.openxmlformats.org/package/2006/relationships"><Relationship Id="rId3" Type="http://schemas.openxmlformats.org/officeDocument/2006/relationships/table" Target="../tables/table577.xml"/><Relationship Id="rId2" Type="http://schemas.openxmlformats.org/officeDocument/2006/relationships/vmlDrawing" Target="../drawings/vmlDrawing107.vml"/><Relationship Id="rId1" Type="http://schemas.openxmlformats.org/officeDocument/2006/relationships/printerSettings" Target="../printerSettings/printerSettings241.bin"/><Relationship Id="rId4" Type="http://schemas.openxmlformats.org/officeDocument/2006/relationships/comments" Target="../comments106.xml"/></Relationships>
</file>

<file path=xl/worksheets/_rels/sheet578.xml.rels><?xml version="1.0" encoding="UTF-8" standalone="yes"?>
<Relationships xmlns="http://schemas.openxmlformats.org/package/2006/relationships"><Relationship Id="rId3" Type="http://schemas.openxmlformats.org/officeDocument/2006/relationships/table" Target="../tables/table578.xml"/><Relationship Id="rId2" Type="http://schemas.openxmlformats.org/officeDocument/2006/relationships/vmlDrawing" Target="../drawings/vmlDrawing108.vml"/><Relationship Id="rId1" Type="http://schemas.openxmlformats.org/officeDocument/2006/relationships/printerSettings" Target="../printerSettings/printerSettings242.bin"/><Relationship Id="rId4" Type="http://schemas.openxmlformats.org/officeDocument/2006/relationships/comments" Target="../comments107.xml"/></Relationships>
</file>

<file path=xl/worksheets/_rels/sheet579.xml.rels><?xml version="1.0" encoding="UTF-8" standalone="yes"?>
<Relationships xmlns="http://schemas.openxmlformats.org/package/2006/relationships"><Relationship Id="rId3" Type="http://schemas.openxmlformats.org/officeDocument/2006/relationships/table" Target="../tables/table579.xml"/><Relationship Id="rId2" Type="http://schemas.openxmlformats.org/officeDocument/2006/relationships/vmlDrawing" Target="../drawings/vmlDrawing109.vml"/><Relationship Id="rId1" Type="http://schemas.openxmlformats.org/officeDocument/2006/relationships/printerSettings" Target="../printerSettings/printerSettings243.bin"/><Relationship Id="rId4" Type="http://schemas.openxmlformats.org/officeDocument/2006/relationships/comments" Target="../comments108.xml"/></Relationships>
</file>

<file path=xl/worksheets/_rels/sheet580.xml.rels><?xml version="1.0" encoding="UTF-8" standalone="yes"?>
<Relationships xmlns="http://schemas.openxmlformats.org/package/2006/relationships"><Relationship Id="rId3" Type="http://schemas.openxmlformats.org/officeDocument/2006/relationships/table" Target="../tables/table580.xml"/><Relationship Id="rId2" Type="http://schemas.openxmlformats.org/officeDocument/2006/relationships/vmlDrawing" Target="../drawings/vmlDrawing110.vml"/><Relationship Id="rId1" Type="http://schemas.openxmlformats.org/officeDocument/2006/relationships/printerSettings" Target="../printerSettings/printerSettings244.bin"/><Relationship Id="rId4" Type="http://schemas.openxmlformats.org/officeDocument/2006/relationships/comments" Target="../comments109.xml"/></Relationships>
</file>

<file path=xl/worksheets/_rels/sheet581.xml.rels><?xml version="1.0" encoding="UTF-8" standalone="yes"?>
<Relationships xmlns="http://schemas.openxmlformats.org/package/2006/relationships"><Relationship Id="rId3" Type="http://schemas.openxmlformats.org/officeDocument/2006/relationships/table" Target="../tables/table581.xml"/><Relationship Id="rId2" Type="http://schemas.openxmlformats.org/officeDocument/2006/relationships/vmlDrawing" Target="../drawings/vmlDrawing111.vml"/><Relationship Id="rId1" Type="http://schemas.openxmlformats.org/officeDocument/2006/relationships/printerSettings" Target="../printerSettings/printerSettings245.bin"/><Relationship Id="rId4" Type="http://schemas.openxmlformats.org/officeDocument/2006/relationships/comments" Target="../comments110.xml"/></Relationships>
</file>

<file path=xl/worksheets/_rels/sheet582.xml.rels><?xml version="1.0" encoding="UTF-8" standalone="yes"?>
<Relationships xmlns="http://schemas.openxmlformats.org/package/2006/relationships"><Relationship Id="rId3" Type="http://schemas.openxmlformats.org/officeDocument/2006/relationships/table" Target="../tables/table582.xml"/><Relationship Id="rId2" Type="http://schemas.openxmlformats.org/officeDocument/2006/relationships/vmlDrawing" Target="../drawings/vmlDrawing112.vml"/><Relationship Id="rId1" Type="http://schemas.openxmlformats.org/officeDocument/2006/relationships/printerSettings" Target="../printerSettings/printerSettings246.bin"/><Relationship Id="rId4" Type="http://schemas.openxmlformats.org/officeDocument/2006/relationships/comments" Target="../comments111.xml"/></Relationships>
</file>

<file path=xl/worksheets/_rels/sheet583.xml.rels><?xml version="1.0" encoding="UTF-8" standalone="yes"?>
<Relationships xmlns="http://schemas.openxmlformats.org/package/2006/relationships"><Relationship Id="rId3" Type="http://schemas.openxmlformats.org/officeDocument/2006/relationships/table" Target="../tables/table583.xml"/><Relationship Id="rId2" Type="http://schemas.openxmlformats.org/officeDocument/2006/relationships/vmlDrawing" Target="../drawings/vmlDrawing113.vml"/><Relationship Id="rId1" Type="http://schemas.openxmlformats.org/officeDocument/2006/relationships/printerSettings" Target="../printerSettings/printerSettings247.bin"/><Relationship Id="rId4" Type="http://schemas.openxmlformats.org/officeDocument/2006/relationships/comments" Target="../comments112.xml"/></Relationships>
</file>

<file path=xl/worksheets/_rels/sheet584.xml.rels><?xml version="1.0" encoding="UTF-8" standalone="yes"?>
<Relationships xmlns="http://schemas.openxmlformats.org/package/2006/relationships"><Relationship Id="rId3" Type="http://schemas.openxmlformats.org/officeDocument/2006/relationships/table" Target="../tables/table584.xml"/><Relationship Id="rId2" Type="http://schemas.openxmlformats.org/officeDocument/2006/relationships/vmlDrawing" Target="../drawings/vmlDrawing114.vml"/><Relationship Id="rId1" Type="http://schemas.openxmlformats.org/officeDocument/2006/relationships/printerSettings" Target="../printerSettings/printerSettings248.bin"/><Relationship Id="rId4" Type="http://schemas.openxmlformats.org/officeDocument/2006/relationships/comments" Target="../comments113.xml"/></Relationships>
</file>

<file path=xl/worksheets/_rels/sheet585.xml.rels><?xml version="1.0" encoding="UTF-8" standalone="yes"?>
<Relationships xmlns="http://schemas.openxmlformats.org/package/2006/relationships"><Relationship Id="rId3" Type="http://schemas.openxmlformats.org/officeDocument/2006/relationships/table" Target="../tables/table585.xml"/><Relationship Id="rId2" Type="http://schemas.openxmlformats.org/officeDocument/2006/relationships/vmlDrawing" Target="../drawings/vmlDrawing115.vml"/><Relationship Id="rId1" Type="http://schemas.openxmlformats.org/officeDocument/2006/relationships/printerSettings" Target="../printerSettings/printerSettings249.bin"/><Relationship Id="rId4" Type="http://schemas.openxmlformats.org/officeDocument/2006/relationships/comments" Target="../comments114.xml"/></Relationships>
</file>

<file path=xl/worksheets/_rels/sheet586.xml.rels><?xml version="1.0" encoding="UTF-8" standalone="yes"?>
<Relationships xmlns="http://schemas.openxmlformats.org/package/2006/relationships"><Relationship Id="rId3" Type="http://schemas.openxmlformats.org/officeDocument/2006/relationships/table" Target="../tables/table586.xml"/><Relationship Id="rId2" Type="http://schemas.openxmlformats.org/officeDocument/2006/relationships/vmlDrawing" Target="../drawings/vmlDrawing116.vml"/><Relationship Id="rId1" Type="http://schemas.openxmlformats.org/officeDocument/2006/relationships/printerSettings" Target="../printerSettings/printerSettings250.bin"/><Relationship Id="rId4" Type="http://schemas.openxmlformats.org/officeDocument/2006/relationships/comments" Target="../comments115.xml"/></Relationships>
</file>

<file path=xl/worksheets/_rels/sheet587.xml.rels><?xml version="1.0" encoding="UTF-8" standalone="yes"?>
<Relationships xmlns="http://schemas.openxmlformats.org/package/2006/relationships"><Relationship Id="rId3" Type="http://schemas.openxmlformats.org/officeDocument/2006/relationships/table" Target="../tables/table587.xml"/><Relationship Id="rId2" Type="http://schemas.openxmlformats.org/officeDocument/2006/relationships/vmlDrawing" Target="../drawings/vmlDrawing117.vml"/><Relationship Id="rId1" Type="http://schemas.openxmlformats.org/officeDocument/2006/relationships/printerSettings" Target="../printerSettings/printerSettings251.bin"/><Relationship Id="rId4" Type="http://schemas.openxmlformats.org/officeDocument/2006/relationships/comments" Target="../comments116.xml"/></Relationships>
</file>

<file path=xl/worksheets/_rels/sheet588.xml.rels><?xml version="1.0" encoding="UTF-8" standalone="yes"?>
<Relationships xmlns="http://schemas.openxmlformats.org/package/2006/relationships"><Relationship Id="rId3" Type="http://schemas.openxmlformats.org/officeDocument/2006/relationships/table" Target="../tables/table588.xml"/><Relationship Id="rId2" Type="http://schemas.openxmlformats.org/officeDocument/2006/relationships/vmlDrawing" Target="../drawings/vmlDrawing118.vml"/><Relationship Id="rId1" Type="http://schemas.openxmlformats.org/officeDocument/2006/relationships/printerSettings" Target="../printerSettings/printerSettings252.bin"/><Relationship Id="rId4" Type="http://schemas.openxmlformats.org/officeDocument/2006/relationships/comments" Target="../comments117.xml"/></Relationships>
</file>

<file path=xl/worksheets/_rels/sheet589.xml.rels><?xml version="1.0" encoding="UTF-8" standalone="yes"?>
<Relationships xmlns="http://schemas.openxmlformats.org/package/2006/relationships"><Relationship Id="rId3" Type="http://schemas.openxmlformats.org/officeDocument/2006/relationships/table" Target="../tables/table589.xml"/><Relationship Id="rId2" Type="http://schemas.openxmlformats.org/officeDocument/2006/relationships/vmlDrawing" Target="../drawings/vmlDrawing119.vml"/><Relationship Id="rId1" Type="http://schemas.openxmlformats.org/officeDocument/2006/relationships/printerSettings" Target="../printerSettings/printerSettings253.bin"/><Relationship Id="rId4" Type="http://schemas.openxmlformats.org/officeDocument/2006/relationships/comments" Target="../comments118.xml"/></Relationships>
</file>

<file path=xl/worksheets/_rels/sheet590.xml.rels><?xml version="1.0" encoding="UTF-8" standalone="yes"?>
<Relationships xmlns="http://schemas.openxmlformats.org/package/2006/relationships"><Relationship Id="rId3" Type="http://schemas.openxmlformats.org/officeDocument/2006/relationships/table" Target="../tables/table590.xml"/><Relationship Id="rId2" Type="http://schemas.openxmlformats.org/officeDocument/2006/relationships/vmlDrawing" Target="../drawings/vmlDrawing120.vml"/><Relationship Id="rId1" Type="http://schemas.openxmlformats.org/officeDocument/2006/relationships/printerSettings" Target="../printerSettings/printerSettings254.bin"/><Relationship Id="rId4" Type="http://schemas.openxmlformats.org/officeDocument/2006/relationships/comments" Target="../comments119.xml"/></Relationships>
</file>

<file path=xl/worksheets/_rels/sheet591.xml.rels><?xml version="1.0" encoding="UTF-8" standalone="yes"?>
<Relationships xmlns="http://schemas.openxmlformats.org/package/2006/relationships"><Relationship Id="rId3" Type="http://schemas.openxmlformats.org/officeDocument/2006/relationships/table" Target="../tables/table591.xml"/><Relationship Id="rId2" Type="http://schemas.openxmlformats.org/officeDocument/2006/relationships/vmlDrawing" Target="../drawings/vmlDrawing121.vml"/><Relationship Id="rId1" Type="http://schemas.openxmlformats.org/officeDocument/2006/relationships/printerSettings" Target="../printerSettings/printerSettings255.bin"/><Relationship Id="rId4" Type="http://schemas.openxmlformats.org/officeDocument/2006/relationships/comments" Target="../comments120.xml"/></Relationships>
</file>

<file path=xl/worksheets/_rels/sheet592.xml.rels><?xml version="1.0" encoding="UTF-8" standalone="yes"?>
<Relationships xmlns="http://schemas.openxmlformats.org/package/2006/relationships"><Relationship Id="rId3" Type="http://schemas.openxmlformats.org/officeDocument/2006/relationships/table" Target="../tables/table592.xml"/><Relationship Id="rId2" Type="http://schemas.openxmlformats.org/officeDocument/2006/relationships/vmlDrawing" Target="../drawings/vmlDrawing122.vml"/><Relationship Id="rId1" Type="http://schemas.openxmlformats.org/officeDocument/2006/relationships/printerSettings" Target="../printerSettings/printerSettings256.bin"/><Relationship Id="rId4" Type="http://schemas.openxmlformats.org/officeDocument/2006/relationships/comments" Target="../comments121.xml"/></Relationships>
</file>

<file path=xl/worksheets/_rels/sheet593.xml.rels><?xml version="1.0" encoding="UTF-8" standalone="yes"?>
<Relationships xmlns="http://schemas.openxmlformats.org/package/2006/relationships"><Relationship Id="rId3" Type="http://schemas.openxmlformats.org/officeDocument/2006/relationships/table" Target="../tables/table593.xml"/><Relationship Id="rId2" Type="http://schemas.openxmlformats.org/officeDocument/2006/relationships/vmlDrawing" Target="../drawings/vmlDrawing123.vml"/><Relationship Id="rId1" Type="http://schemas.openxmlformats.org/officeDocument/2006/relationships/printerSettings" Target="../printerSettings/printerSettings257.bin"/><Relationship Id="rId4" Type="http://schemas.openxmlformats.org/officeDocument/2006/relationships/comments" Target="../comments122.xml"/></Relationships>
</file>

<file path=xl/worksheets/_rels/sheet594.xml.rels><?xml version="1.0" encoding="UTF-8" standalone="yes"?>
<Relationships xmlns="http://schemas.openxmlformats.org/package/2006/relationships"><Relationship Id="rId3" Type="http://schemas.openxmlformats.org/officeDocument/2006/relationships/table" Target="../tables/table594.xml"/><Relationship Id="rId2" Type="http://schemas.openxmlformats.org/officeDocument/2006/relationships/vmlDrawing" Target="../drawings/vmlDrawing124.vml"/><Relationship Id="rId1" Type="http://schemas.openxmlformats.org/officeDocument/2006/relationships/printerSettings" Target="../printerSettings/printerSettings258.bin"/><Relationship Id="rId4" Type="http://schemas.openxmlformats.org/officeDocument/2006/relationships/comments" Target="../comments123.xml"/></Relationships>
</file>

<file path=xl/worksheets/_rels/sheet595.xml.rels><?xml version="1.0" encoding="UTF-8" standalone="yes"?>
<Relationships xmlns="http://schemas.openxmlformats.org/package/2006/relationships"><Relationship Id="rId3" Type="http://schemas.openxmlformats.org/officeDocument/2006/relationships/table" Target="../tables/table595.xml"/><Relationship Id="rId2" Type="http://schemas.openxmlformats.org/officeDocument/2006/relationships/vmlDrawing" Target="../drawings/vmlDrawing125.vml"/><Relationship Id="rId1" Type="http://schemas.openxmlformats.org/officeDocument/2006/relationships/printerSettings" Target="../printerSettings/printerSettings259.bin"/><Relationship Id="rId4" Type="http://schemas.openxmlformats.org/officeDocument/2006/relationships/comments" Target="../comments124.xml"/></Relationships>
</file>

<file path=xl/worksheets/_rels/sheet596.xml.rels><?xml version="1.0" encoding="UTF-8" standalone="yes"?>
<Relationships xmlns="http://schemas.openxmlformats.org/package/2006/relationships"><Relationship Id="rId3" Type="http://schemas.openxmlformats.org/officeDocument/2006/relationships/table" Target="../tables/table596.xml"/><Relationship Id="rId2" Type="http://schemas.openxmlformats.org/officeDocument/2006/relationships/vmlDrawing" Target="../drawings/vmlDrawing126.vml"/><Relationship Id="rId1" Type="http://schemas.openxmlformats.org/officeDocument/2006/relationships/printerSettings" Target="../printerSettings/printerSettings260.bin"/><Relationship Id="rId4" Type="http://schemas.openxmlformats.org/officeDocument/2006/relationships/comments" Target="../comments125.xml"/></Relationships>
</file>

<file path=xl/worksheets/_rels/sheet597.xml.rels><?xml version="1.0" encoding="UTF-8" standalone="yes"?>
<Relationships xmlns="http://schemas.openxmlformats.org/package/2006/relationships"><Relationship Id="rId3" Type="http://schemas.openxmlformats.org/officeDocument/2006/relationships/table" Target="../tables/table597.xml"/><Relationship Id="rId2" Type="http://schemas.openxmlformats.org/officeDocument/2006/relationships/vmlDrawing" Target="../drawings/vmlDrawing127.vml"/><Relationship Id="rId1" Type="http://schemas.openxmlformats.org/officeDocument/2006/relationships/printerSettings" Target="../printerSettings/printerSettings261.bin"/><Relationship Id="rId4" Type="http://schemas.openxmlformats.org/officeDocument/2006/relationships/comments" Target="../comments126.xml"/></Relationships>
</file>

<file path=xl/worksheets/_rels/sheet598.xml.rels><?xml version="1.0" encoding="UTF-8" standalone="yes"?>
<Relationships xmlns="http://schemas.openxmlformats.org/package/2006/relationships"><Relationship Id="rId3" Type="http://schemas.openxmlformats.org/officeDocument/2006/relationships/table" Target="../tables/table598.xml"/><Relationship Id="rId2" Type="http://schemas.openxmlformats.org/officeDocument/2006/relationships/vmlDrawing" Target="../drawings/vmlDrawing128.vml"/><Relationship Id="rId1" Type="http://schemas.openxmlformats.org/officeDocument/2006/relationships/printerSettings" Target="../printerSettings/printerSettings262.bin"/><Relationship Id="rId4" Type="http://schemas.openxmlformats.org/officeDocument/2006/relationships/comments" Target="../comments127.xml"/></Relationships>
</file>

<file path=xl/worksheets/_rels/sheet599.xml.rels><?xml version="1.0" encoding="UTF-8" standalone="yes"?>
<Relationships xmlns="http://schemas.openxmlformats.org/package/2006/relationships"><Relationship Id="rId3" Type="http://schemas.openxmlformats.org/officeDocument/2006/relationships/table" Target="../tables/table599.xml"/><Relationship Id="rId2" Type="http://schemas.openxmlformats.org/officeDocument/2006/relationships/vmlDrawing" Target="../drawings/vmlDrawing129.vml"/><Relationship Id="rId1" Type="http://schemas.openxmlformats.org/officeDocument/2006/relationships/printerSettings" Target="../printerSettings/printerSettings263.bin"/><Relationship Id="rId4" Type="http://schemas.openxmlformats.org/officeDocument/2006/relationships/comments" Target="../comments128.xml"/></Relationships>
</file>

<file path=xl/worksheets/_rels/sheet600.xml.rels><?xml version="1.0" encoding="UTF-8" standalone="yes"?>
<Relationships xmlns="http://schemas.openxmlformats.org/package/2006/relationships"><Relationship Id="rId2" Type="http://schemas.openxmlformats.org/officeDocument/2006/relationships/table" Target="../tables/table600.xml"/><Relationship Id="rId1" Type="http://schemas.openxmlformats.org/officeDocument/2006/relationships/printerSettings" Target="../printerSettings/printerSettings264.bin"/></Relationships>
</file>

<file path=xl/worksheets/_rels/sheet601.xml.rels><?xml version="1.0" encoding="UTF-8" standalone="yes"?>
<Relationships xmlns="http://schemas.openxmlformats.org/package/2006/relationships"><Relationship Id="rId2" Type="http://schemas.openxmlformats.org/officeDocument/2006/relationships/table" Target="../tables/table601.xml"/><Relationship Id="rId1" Type="http://schemas.openxmlformats.org/officeDocument/2006/relationships/printerSettings" Target="../printerSettings/printerSettings265.bin"/></Relationships>
</file>

<file path=xl/worksheets/_rels/sheet602.xml.rels><?xml version="1.0" encoding="UTF-8" standalone="yes"?>
<Relationships xmlns="http://schemas.openxmlformats.org/package/2006/relationships"><Relationship Id="rId2" Type="http://schemas.openxmlformats.org/officeDocument/2006/relationships/table" Target="../tables/table602.xml"/><Relationship Id="rId1" Type="http://schemas.openxmlformats.org/officeDocument/2006/relationships/printerSettings" Target="../printerSettings/printerSettings266.bin"/></Relationships>
</file>

<file path=xl/worksheets/_rels/sheet603.xml.rels><?xml version="1.0" encoding="UTF-8" standalone="yes"?>
<Relationships xmlns="http://schemas.openxmlformats.org/package/2006/relationships"><Relationship Id="rId3" Type="http://schemas.openxmlformats.org/officeDocument/2006/relationships/table" Target="../tables/table603.xml"/><Relationship Id="rId2" Type="http://schemas.openxmlformats.org/officeDocument/2006/relationships/vmlDrawing" Target="../drawings/vmlDrawing130.vml"/><Relationship Id="rId1" Type="http://schemas.openxmlformats.org/officeDocument/2006/relationships/printerSettings" Target="../printerSettings/printerSettings267.bin"/><Relationship Id="rId4" Type="http://schemas.openxmlformats.org/officeDocument/2006/relationships/comments" Target="../comments129.xml"/></Relationships>
</file>

<file path=xl/worksheets/_rels/sheet604.xml.rels><?xml version="1.0" encoding="UTF-8" standalone="yes"?>
<Relationships xmlns="http://schemas.openxmlformats.org/package/2006/relationships"><Relationship Id="rId3" Type="http://schemas.openxmlformats.org/officeDocument/2006/relationships/table" Target="../tables/table604.xml"/><Relationship Id="rId2" Type="http://schemas.openxmlformats.org/officeDocument/2006/relationships/vmlDrawing" Target="../drawings/vmlDrawing131.vml"/><Relationship Id="rId1" Type="http://schemas.openxmlformats.org/officeDocument/2006/relationships/printerSettings" Target="../printerSettings/printerSettings268.bin"/><Relationship Id="rId4" Type="http://schemas.openxmlformats.org/officeDocument/2006/relationships/comments" Target="../comments130.xml"/></Relationships>
</file>

<file path=xl/worksheets/_rels/sheet605.xml.rels><?xml version="1.0" encoding="UTF-8" standalone="yes"?>
<Relationships xmlns="http://schemas.openxmlformats.org/package/2006/relationships"><Relationship Id="rId3" Type="http://schemas.openxmlformats.org/officeDocument/2006/relationships/table" Target="../tables/table605.xml"/><Relationship Id="rId2" Type="http://schemas.openxmlformats.org/officeDocument/2006/relationships/vmlDrawing" Target="../drawings/vmlDrawing132.vml"/><Relationship Id="rId1" Type="http://schemas.openxmlformats.org/officeDocument/2006/relationships/printerSettings" Target="../printerSettings/printerSettings269.bin"/><Relationship Id="rId4" Type="http://schemas.openxmlformats.org/officeDocument/2006/relationships/comments" Target="../comments131.xml"/></Relationships>
</file>

<file path=xl/worksheets/_rels/sheet606.xml.rels><?xml version="1.0" encoding="UTF-8" standalone="yes"?>
<Relationships xmlns="http://schemas.openxmlformats.org/package/2006/relationships"><Relationship Id="rId3" Type="http://schemas.openxmlformats.org/officeDocument/2006/relationships/table" Target="../tables/table606.xml"/><Relationship Id="rId2" Type="http://schemas.openxmlformats.org/officeDocument/2006/relationships/vmlDrawing" Target="../drawings/vmlDrawing133.vml"/><Relationship Id="rId1" Type="http://schemas.openxmlformats.org/officeDocument/2006/relationships/printerSettings" Target="../printerSettings/printerSettings270.bin"/><Relationship Id="rId4" Type="http://schemas.openxmlformats.org/officeDocument/2006/relationships/comments" Target="../comments132.xml"/></Relationships>
</file>

<file path=xl/worksheets/_rels/sheet607.xml.rels><?xml version="1.0" encoding="UTF-8" standalone="yes"?>
<Relationships xmlns="http://schemas.openxmlformats.org/package/2006/relationships"><Relationship Id="rId3" Type="http://schemas.openxmlformats.org/officeDocument/2006/relationships/table" Target="../tables/table607.xml"/><Relationship Id="rId2" Type="http://schemas.openxmlformats.org/officeDocument/2006/relationships/vmlDrawing" Target="../drawings/vmlDrawing134.vml"/><Relationship Id="rId1" Type="http://schemas.openxmlformats.org/officeDocument/2006/relationships/printerSettings" Target="../printerSettings/printerSettings271.bin"/><Relationship Id="rId4" Type="http://schemas.openxmlformats.org/officeDocument/2006/relationships/comments" Target="../comments133.xml"/></Relationships>
</file>

<file path=xl/worksheets/_rels/sheet608.xml.rels><?xml version="1.0" encoding="UTF-8" standalone="yes"?>
<Relationships xmlns="http://schemas.openxmlformats.org/package/2006/relationships"><Relationship Id="rId3" Type="http://schemas.openxmlformats.org/officeDocument/2006/relationships/table" Target="../tables/table608.xml"/><Relationship Id="rId2" Type="http://schemas.openxmlformats.org/officeDocument/2006/relationships/vmlDrawing" Target="../drawings/vmlDrawing135.vml"/><Relationship Id="rId1" Type="http://schemas.openxmlformats.org/officeDocument/2006/relationships/printerSettings" Target="../printerSettings/printerSettings272.bin"/><Relationship Id="rId4" Type="http://schemas.openxmlformats.org/officeDocument/2006/relationships/comments" Target="../comments134.xml"/></Relationships>
</file>

<file path=xl/worksheets/_rels/sheet609.xml.rels><?xml version="1.0" encoding="UTF-8" standalone="yes"?>
<Relationships xmlns="http://schemas.openxmlformats.org/package/2006/relationships"><Relationship Id="rId3" Type="http://schemas.openxmlformats.org/officeDocument/2006/relationships/table" Target="../tables/table609.xml"/><Relationship Id="rId2" Type="http://schemas.openxmlformats.org/officeDocument/2006/relationships/vmlDrawing" Target="../drawings/vmlDrawing136.vml"/><Relationship Id="rId1" Type="http://schemas.openxmlformats.org/officeDocument/2006/relationships/printerSettings" Target="../printerSettings/printerSettings273.bin"/><Relationship Id="rId4" Type="http://schemas.openxmlformats.org/officeDocument/2006/relationships/comments" Target="../comments135.xml"/></Relationships>
</file>

<file path=xl/worksheets/_rels/sheet610.xml.rels><?xml version="1.0" encoding="UTF-8" standalone="yes"?>
<Relationships xmlns="http://schemas.openxmlformats.org/package/2006/relationships"><Relationship Id="rId3" Type="http://schemas.openxmlformats.org/officeDocument/2006/relationships/table" Target="../tables/table610.xml"/><Relationship Id="rId2" Type="http://schemas.openxmlformats.org/officeDocument/2006/relationships/vmlDrawing" Target="../drawings/vmlDrawing137.vml"/><Relationship Id="rId1" Type="http://schemas.openxmlformats.org/officeDocument/2006/relationships/printerSettings" Target="../printerSettings/printerSettings274.bin"/><Relationship Id="rId4" Type="http://schemas.openxmlformats.org/officeDocument/2006/relationships/comments" Target="../comments136.xml"/></Relationships>
</file>

<file path=xl/worksheets/_rels/sheet611.xml.rels><?xml version="1.0" encoding="UTF-8" standalone="yes"?>
<Relationships xmlns="http://schemas.openxmlformats.org/package/2006/relationships"><Relationship Id="rId3" Type="http://schemas.openxmlformats.org/officeDocument/2006/relationships/table" Target="../tables/table611.xml"/><Relationship Id="rId2" Type="http://schemas.openxmlformats.org/officeDocument/2006/relationships/vmlDrawing" Target="../drawings/vmlDrawing138.vml"/><Relationship Id="rId1" Type="http://schemas.openxmlformats.org/officeDocument/2006/relationships/printerSettings" Target="../printerSettings/printerSettings275.bin"/><Relationship Id="rId4" Type="http://schemas.openxmlformats.org/officeDocument/2006/relationships/comments" Target="../comments137.xml"/></Relationships>
</file>

<file path=xl/worksheets/_rels/sheet612.xml.rels><?xml version="1.0" encoding="UTF-8" standalone="yes"?>
<Relationships xmlns="http://schemas.openxmlformats.org/package/2006/relationships"><Relationship Id="rId3" Type="http://schemas.openxmlformats.org/officeDocument/2006/relationships/table" Target="../tables/table612.xml"/><Relationship Id="rId2" Type="http://schemas.openxmlformats.org/officeDocument/2006/relationships/vmlDrawing" Target="../drawings/vmlDrawing139.vml"/><Relationship Id="rId1" Type="http://schemas.openxmlformats.org/officeDocument/2006/relationships/printerSettings" Target="../printerSettings/printerSettings276.bin"/><Relationship Id="rId4" Type="http://schemas.openxmlformats.org/officeDocument/2006/relationships/comments" Target="../comments138.xml"/></Relationships>
</file>

<file path=xl/worksheets/_rels/sheet613.xml.rels><?xml version="1.0" encoding="UTF-8" standalone="yes"?>
<Relationships xmlns="http://schemas.openxmlformats.org/package/2006/relationships"><Relationship Id="rId3" Type="http://schemas.openxmlformats.org/officeDocument/2006/relationships/table" Target="../tables/table613.xml"/><Relationship Id="rId2" Type="http://schemas.openxmlformats.org/officeDocument/2006/relationships/vmlDrawing" Target="../drawings/vmlDrawing140.vml"/><Relationship Id="rId1" Type="http://schemas.openxmlformats.org/officeDocument/2006/relationships/printerSettings" Target="../printerSettings/printerSettings277.bin"/><Relationship Id="rId4" Type="http://schemas.openxmlformats.org/officeDocument/2006/relationships/comments" Target="../comments139.xml"/></Relationships>
</file>

<file path=xl/worksheets/_rels/sheet614.xml.rels><?xml version="1.0" encoding="UTF-8" standalone="yes"?>
<Relationships xmlns="http://schemas.openxmlformats.org/package/2006/relationships"><Relationship Id="rId3" Type="http://schemas.openxmlformats.org/officeDocument/2006/relationships/table" Target="../tables/table614.xml"/><Relationship Id="rId2" Type="http://schemas.openxmlformats.org/officeDocument/2006/relationships/vmlDrawing" Target="../drawings/vmlDrawing141.vml"/><Relationship Id="rId1" Type="http://schemas.openxmlformats.org/officeDocument/2006/relationships/printerSettings" Target="../printerSettings/printerSettings278.bin"/><Relationship Id="rId4" Type="http://schemas.openxmlformats.org/officeDocument/2006/relationships/comments" Target="../comments140.xml"/></Relationships>
</file>

<file path=xl/worksheets/_rels/sheet615.xml.rels><?xml version="1.0" encoding="UTF-8" standalone="yes"?>
<Relationships xmlns="http://schemas.openxmlformats.org/package/2006/relationships"><Relationship Id="rId3" Type="http://schemas.openxmlformats.org/officeDocument/2006/relationships/table" Target="../tables/table615.xml"/><Relationship Id="rId2" Type="http://schemas.openxmlformats.org/officeDocument/2006/relationships/vmlDrawing" Target="../drawings/vmlDrawing142.vml"/><Relationship Id="rId1" Type="http://schemas.openxmlformats.org/officeDocument/2006/relationships/printerSettings" Target="../printerSettings/printerSettings279.bin"/><Relationship Id="rId4" Type="http://schemas.openxmlformats.org/officeDocument/2006/relationships/comments" Target="../comments141.xml"/></Relationships>
</file>

<file path=xl/worksheets/_rels/sheet616.xml.rels><?xml version="1.0" encoding="UTF-8" standalone="yes"?>
<Relationships xmlns="http://schemas.openxmlformats.org/package/2006/relationships"><Relationship Id="rId3" Type="http://schemas.openxmlformats.org/officeDocument/2006/relationships/table" Target="../tables/table616.xml"/><Relationship Id="rId2" Type="http://schemas.openxmlformats.org/officeDocument/2006/relationships/vmlDrawing" Target="../drawings/vmlDrawing143.vml"/><Relationship Id="rId1" Type="http://schemas.openxmlformats.org/officeDocument/2006/relationships/printerSettings" Target="../printerSettings/printerSettings280.bin"/><Relationship Id="rId4" Type="http://schemas.openxmlformats.org/officeDocument/2006/relationships/comments" Target="../comments142.xml"/></Relationships>
</file>

<file path=xl/worksheets/_rels/sheet617.xml.rels><?xml version="1.0" encoding="UTF-8" standalone="yes"?>
<Relationships xmlns="http://schemas.openxmlformats.org/package/2006/relationships"><Relationship Id="rId3" Type="http://schemas.openxmlformats.org/officeDocument/2006/relationships/table" Target="../tables/table617.xml"/><Relationship Id="rId2" Type="http://schemas.openxmlformats.org/officeDocument/2006/relationships/vmlDrawing" Target="../drawings/vmlDrawing144.vml"/><Relationship Id="rId1" Type="http://schemas.openxmlformats.org/officeDocument/2006/relationships/printerSettings" Target="../printerSettings/printerSettings281.bin"/><Relationship Id="rId4" Type="http://schemas.openxmlformats.org/officeDocument/2006/relationships/comments" Target="../comments143.xml"/></Relationships>
</file>

<file path=xl/worksheets/_rels/sheet618.xml.rels><?xml version="1.0" encoding="UTF-8" standalone="yes"?>
<Relationships xmlns="http://schemas.openxmlformats.org/package/2006/relationships"><Relationship Id="rId3" Type="http://schemas.openxmlformats.org/officeDocument/2006/relationships/table" Target="../tables/table618.xml"/><Relationship Id="rId2" Type="http://schemas.openxmlformats.org/officeDocument/2006/relationships/vmlDrawing" Target="../drawings/vmlDrawing145.vml"/><Relationship Id="rId1" Type="http://schemas.openxmlformats.org/officeDocument/2006/relationships/printerSettings" Target="../printerSettings/printerSettings282.bin"/><Relationship Id="rId4" Type="http://schemas.openxmlformats.org/officeDocument/2006/relationships/comments" Target="../comments144.xml"/></Relationships>
</file>

<file path=xl/worksheets/_rels/sheet619.xml.rels><?xml version="1.0" encoding="UTF-8" standalone="yes"?>
<Relationships xmlns="http://schemas.openxmlformats.org/package/2006/relationships"><Relationship Id="rId3" Type="http://schemas.openxmlformats.org/officeDocument/2006/relationships/table" Target="../tables/table619.xml"/><Relationship Id="rId2" Type="http://schemas.openxmlformats.org/officeDocument/2006/relationships/vmlDrawing" Target="../drawings/vmlDrawing146.vml"/><Relationship Id="rId1" Type="http://schemas.openxmlformats.org/officeDocument/2006/relationships/printerSettings" Target="../printerSettings/printerSettings283.bin"/><Relationship Id="rId4" Type="http://schemas.openxmlformats.org/officeDocument/2006/relationships/comments" Target="../comments145.xml"/></Relationships>
</file>

<file path=xl/worksheets/_rels/sheet620.xml.rels><?xml version="1.0" encoding="UTF-8" standalone="yes"?>
<Relationships xmlns="http://schemas.openxmlformats.org/package/2006/relationships"><Relationship Id="rId3" Type="http://schemas.openxmlformats.org/officeDocument/2006/relationships/table" Target="../tables/table620.xml"/><Relationship Id="rId2" Type="http://schemas.openxmlformats.org/officeDocument/2006/relationships/vmlDrawing" Target="../drawings/vmlDrawing147.vml"/><Relationship Id="rId1" Type="http://schemas.openxmlformats.org/officeDocument/2006/relationships/printerSettings" Target="../printerSettings/printerSettings284.bin"/><Relationship Id="rId4" Type="http://schemas.openxmlformats.org/officeDocument/2006/relationships/comments" Target="../comments146.xml"/></Relationships>
</file>

<file path=xl/worksheets/_rels/sheet621.xml.rels><?xml version="1.0" encoding="UTF-8" standalone="yes"?>
<Relationships xmlns="http://schemas.openxmlformats.org/package/2006/relationships"><Relationship Id="rId3" Type="http://schemas.openxmlformats.org/officeDocument/2006/relationships/table" Target="../tables/table621.xml"/><Relationship Id="rId2" Type="http://schemas.openxmlformats.org/officeDocument/2006/relationships/vmlDrawing" Target="../drawings/vmlDrawing148.vml"/><Relationship Id="rId1" Type="http://schemas.openxmlformats.org/officeDocument/2006/relationships/printerSettings" Target="../printerSettings/printerSettings285.bin"/><Relationship Id="rId4" Type="http://schemas.openxmlformats.org/officeDocument/2006/relationships/comments" Target="../comments147.xml"/></Relationships>
</file>

<file path=xl/worksheets/_rels/sheet622.xml.rels><?xml version="1.0" encoding="UTF-8" standalone="yes"?>
<Relationships xmlns="http://schemas.openxmlformats.org/package/2006/relationships"><Relationship Id="rId3" Type="http://schemas.openxmlformats.org/officeDocument/2006/relationships/table" Target="../tables/table622.xml"/><Relationship Id="rId2" Type="http://schemas.openxmlformats.org/officeDocument/2006/relationships/vmlDrawing" Target="../drawings/vmlDrawing149.vml"/><Relationship Id="rId1" Type="http://schemas.openxmlformats.org/officeDocument/2006/relationships/printerSettings" Target="../printerSettings/printerSettings286.bin"/><Relationship Id="rId4" Type="http://schemas.openxmlformats.org/officeDocument/2006/relationships/comments" Target="../comments148.xml"/></Relationships>
</file>

<file path=xl/worksheets/_rels/sheet623.xml.rels><?xml version="1.0" encoding="UTF-8" standalone="yes"?>
<Relationships xmlns="http://schemas.openxmlformats.org/package/2006/relationships"><Relationship Id="rId3" Type="http://schemas.openxmlformats.org/officeDocument/2006/relationships/table" Target="../tables/table623.xml"/><Relationship Id="rId2" Type="http://schemas.openxmlformats.org/officeDocument/2006/relationships/vmlDrawing" Target="../drawings/vmlDrawing150.vml"/><Relationship Id="rId1" Type="http://schemas.openxmlformats.org/officeDocument/2006/relationships/printerSettings" Target="../printerSettings/printerSettings287.bin"/><Relationship Id="rId4" Type="http://schemas.openxmlformats.org/officeDocument/2006/relationships/comments" Target="../comments149.xml"/></Relationships>
</file>

<file path=xl/worksheets/_rels/sheet624.xml.rels><?xml version="1.0" encoding="UTF-8" standalone="yes"?>
<Relationships xmlns="http://schemas.openxmlformats.org/package/2006/relationships"><Relationship Id="rId3" Type="http://schemas.openxmlformats.org/officeDocument/2006/relationships/table" Target="../tables/table624.xml"/><Relationship Id="rId2" Type="http://schemas.openxmlformats.org/officeDocument/2006/relationships/vmlDrawing" Target="../drawings/vmlDrawing151.vml"/><Relationship Id="rId1" Type="http://schemas.openxmlformats.org/officeDocument/2006/relationships/printerSettings" Target="../printerSettings/printerSettings288.bin"/><Relationship Id="rId4" Type="http://schemas.openxmlformats.org/officeDocument/2006/relationships/comments" Target="../comments150.xml"/></Relationships>
</file>

<file path=xl/worksheets/_rels/sheet625.xml.rels><?xml version="1.0" encoding="UTF-8" standalone="yes"?>
<Relationships xmlns="http://schemas.openxmlformats.org/package/2006/relationships"><Relationship Id="rId3" Type="http://schemas.openxmlformats.org/officeDocument/2006/relationships/table" Target="../tables/table625.xml"/><Relationship Id="rId2" Type="http://schemas.openxmlformats.org/officeDocument/2006/relationships/vmlDrawing" Target="../drawings/vmlDrawing152.vml"/><Relationship Id="rId1" Type="http://schemas.openxmlformats.org/officeDocument/2006/relationships/printerSettings" Target="../printerSettings/printerSettings289.bin"/><Relationship Id="rId4" Type="http://schemas.openxmlformats.org/officeDocument/2006/relationships/comments" Target="../comments151.xml"/></Relationships>
</file>

<file path=xl/worksheets/_rels/sheet626.xml.rels><?xml version="1.0" encoding="UTF-8" standalone="yes"?>
<Relationships xmlns="http://schemas.openxmlformats.org/package/2006/relationships"><Relationship Id="rId3" Type="http://schemas.openxmlformats.org/officeDocument/2006/relationships/table" Target="../tables/table626.xml"/><Relationship Id="rId2" Type="http://schemas.openxmlformats.org/officeDocument/2006/relationships/vmlDrawing" Target="../drawings/vmlDrawing153.vml"/><Relationship Id="rId1" Type="http://schemas.openxmlformats.org/officeDocument/2006/relationships/printerSettings" Target="../printerSettings/printerSettings290.bin"/><Relationship Id="rId4" Type="http://schemas.openxmlformats.org/officeDocument/2006/relationships/comments" Target="../comments152.xml"/></Relationships>
</file>

<file path=xl/worksheets/_rels/sheet627.xml.rels><?xml version="1.0" encoding="UTF-8" standalone="yes"?>
<Relationships xmlns="http://schemas.openxmlformats.org/package/2006/relationships"><Relationship Id="rId3" Type="http://schemas.openxmlformats.org/officeDocument/2006/relationships/table" Target="../tables/table627.xml"/><Relationship Id="rId2" Type="http://schemas.openxmlformats.org/officeDocument/2006/relationships/vmlDrawing" Target="../drawings/vmlDrawing154.vml"/><Relationship Id="rId1" Type="http://schemas.openxmlformats.org/officeDocument/2006/relationships/printerSettings" Target="../printerSettings/printerSettings291.bin"/><Relationship Id="rId4" Type="http://schemas.openxmlformats.org/officeDocument/2006/relationships/comments" Target="../comments153.xml"/></Relationships>
</file>

<file path=xl/worksheets/_rels/sheet628.xml.rels><?xml version="1.0" encoding="UTF-8" standalone="yes"?>
<Relationships xmlns="http://schemas.openxmlformats.org/package/2006/relationships"><Relationship Id="rId3" Type="http://schemas.openxmlformats.org/officeDocument/2006/relationships/table" Target="../tables/table628.xml"/><Relationship Id="rId2" Type="http://schemas.openxmlformats.org/officeDocument/2006/relationships/vmlDrawing" Target="../drawings/vmlDrawing155.vml"/><Relationship Id="rId1" Type="http://schemas.openxmlformats.org/officeDocument/2006/relationships/printerSettings" Target="../printerSettings/printerSettings292.bin"/><Relationship Id="rId4" Type="http://schemas.openxmlformats.org/officeDocument/2006/relationships/comments" Target="../comments154.xml"/></Relationships>
</file>

<file path=xl/worksheets/_rels/sheet629.xml.rels><?xml version="1.0" encoding="UTF-8" standalone="yes"?>
<Relationships xmlns="http://schemas.openxmlformats.org/package/2006/relationships"><Relationship Id="rId3" Type="http://schemas.openxmlformats.org/officeDocument/2006/relationships/table" Target="../tables/table629.xml"/><Relationship Id="rId2" Type="http://schemas.openxmlformats.org/officeDocument/2006/relationships/vmlDrawing" Target="../drawings/vmlDrawing156.vml"/><Relationship Id="rId1" Type="http://schemas.openxmlformats.org/officeDocument/2006/relationships/printerSettings" Target="../printerSettings/printerSettings293.bin"/><Relationship Id="rId4" Type="http://schemas.openxmlformats.org/officeDocument/2006/relationships/comments" Target="../comments155.xml"/></Relationships>
</file>

<file path=xl/worksheets/_rels/sheet630.xml.rels><?xml version="1.0" encoding="UTF-8" standalone="yes"?>
<Relationships xmlns="http://schemas.openxmlformats.org/package/2006/relationships"><Relationship Id="rId2" Type="http://schemas.openxmlformats.org/officeDocument/2006/relationships/table" Target="../tables/table630.xml"/><Relationship Id="rId1" Type="http://schemas.openxmlformats.org/officeDocument/2006/relationships/printerSettings" Target="../printerSettings/printerSettings294.bin"/></Relationships>
</file>

<file path=xl/worksheets/_rels/sheet631.xml.rels><?xml version="1.0" encoding="UTF-8" standalone="yes"?>
<Relationships xmlns="http://schemas.openxmlformats.org/package/2006/relationships"><Relationship Id="rId3" Type="http://schemas.openxmlformats.org/officeDocument/2006/relationships/table" Target="../tables/table631.xml"/><Relationship Id="rId2" Type="http://schemas.openxmlformats.org/officeDocument/2006/relationships/vmlDrawing" Target="../drawings/vmlDrawing157.vml"/><Relationship Id="rId1" Type="http://schemas.openxmlformats.org/officeDocument/2006/relationships/printerSettings" Target="../printerSettings/printerSettings295.bin"/><Relationship Id="rId4" Type="http://schemas.openxmlformats.org/officeDocument/2006/relationships/comments" Target="../comments156.xml"/></Relationships>
</file>

<file path=xl/worksheets/_rels/sheet632.xml.rels><?xml version="1.0" encoding="UTF-8" standalone="yes"?>
<Relationships xmlns="http://schemas.openxmlformats.org/package/2006/relationships"><Relationship Id="rId3" Type="http://schemas.openxmlformats.org/officeDocument/2006/relationships/table" Target="../tables/table632.xml"/><Relationship Id="rId2" Type="http://schemas.openxmlformats.org/officeDocument/2006/relationships/vmlDrawing" Target="../drawings/vmlDrawing158.vml"/><Relationship Id="rId1" Type="http://schemas.openxmlformats.org/officeDocument/2006/relationships/printerSettings" Target="../printerSettings/printerSettings296.bin"/><Relationship Id="rId4" Type="http://schemas.openxmlformats.org/officeDocument/2006/relationships/comments" Target="../comments157.xml"/></Relationships>
</file>

<file path=xl/worksheets/_rels/sheet633.xml.rels><?xml version="1.0" encoding="UTF-8" standalone="yes"?>
<Relationships xmlns="http://schemas.openxmlformats.org/package/2006/relationships"><Relationship Id="rId3" Type="http://schemas.openxmlformats.org/officeDocument/2006/relationships/table" Target="../tables/table633.xml"/><Relationship Id="rId2" Type="http://schemas.openxmlformats.org/officeDocument/2006/relationships/vmlDrawing" Target="../drawings/vmlDrawing159.vml"/><Relationship Id="rId1" Type="http://schemas.openxmlformats.org/officeDocument/2006/relationships/printerSettings" Target="../printerSettings/printerSettings297.bin"/><Relationship Id="rId4" Type="http://schemas.openxmlformats.org/officeDocument/2006/relationships/comments" Target="../comments158.xml"/></Relationships>
</file>

<file path=xl/worksheets/_rels/sheet634.xml.rels><?xml version="1.0" encoding="UTF-8" standalone="yes"?>
<Relationships xmlns="http://schemas.openxmlformats.org/package/2006/relationships"><Relationship Id="rId3" Type="http://schemas.openxmlformats.org/officeDocument/2006/relationships/table" Target="../tables/table634.xml"/><Relationship Id="rId2" Type="http://schemas.openxmlformats.org/officeDocument/2006/relationships/vmlDrawing" Target="../drawings/vmlDrawing160.vml"/><Relationship Id="rId1" Type="http://schemas.openxmlformats.org/officeDocument/2006/relationships/printerSettings" Target="../printerSettings/printerSettings298.bin"/><Relationship Id="rId4" Type="http://schemas.openxmlformats.org/officeDocument/2006/relationships/comments" Target="../comments159.xml"/></Relationships>
</file>

<file path=xl/worksheets/_rels/sheet635.xml.rels><?xml version="1.0" encoding="UTF-8" standalone="yes"?>
<Relationships xmlns="http://schemas.openxmlformats.org/package/2006/relationships"><Relationship Id="rId3" Type="http://schemas.openxmlformats.org/officeDocument/2006/relationships/vmlDrawing" Target="../drawings/vmlDrawing161.vml"/><Relationship Id="rId2" Type="http://schemas.openxmlformats.org/officeDocument/2006/relationships/drawing" Target="../drawings/drawing1.xml"/><Relationship Id="rId1" Type="http://schemas.openxmlformats.org/officeDocument/2006/relationships/printerSettings" Target="../printerSettings/printerSettings299.bin"/><Relationship Id="rId5" Type="http://schemas.openxmlformats.org/officeDocument/2006/relationships/comments" Target="../comments160.xml"/><Relationship Id="rId4" Type="http://schemas.openxmlformats.org/officeDocument/2006/relationships/table" Target="../tables/table635.xml"/></Relationships>
</file>

<file path=xl/worksheets/_rels/sheet636.xml.rels><?xml version="1.0" encoding="UTF-8" standalone="yes"?>
<Relationships xmlns="http://schemas.openxmlformats.org/package/2006/relationships"><Relationship Id="rId3" Type="http://schemas.openxmlformats.org/officeDocument/2006/relationships/vmlDrawing" Target="../drawings/vmlDrawing162.vml"/><Relationship Id="rId2" Type="http://schemas.openxmlformats.org/officeDocument/2006/relationships/drawing" Target="../drawings/drawing2.xml"/><Relationship Id="rId1" Type="http://schemas.openxmlformats.org/officeDocument/2006/relationships/printerSettings" Target="../printerSettings/printerSettings300.bin"/><Relationship Id="rId5" Type="http://schemas.openxmlformats.org/officeDocument/2006/relationships/comments" Target="../comments161.xml"/><Relationship Id="rId4" Type="http://schemas.openxmlformats.org/officeDocument/2006/relationships/table" Target="../tables/table636.xml"/></Relationships>
</file>

<file path=xl/worksheets/_rels/sheet637.xml.rels><?xml version="1.0" encoding="UTF-8" standalone="yes"?>
<Relationships xmlns="http://schemas.openxmlformats.org/package/2006/relationships"><Relationship Id="rId3" Type="http://schemas.openxmlformats.org/officeDocument/2006/relationships/vmlDrawing" Target="../drawings/vmlDrawing163.vml"/><Relationship Id="rId2" Type="http://schemas.openxmlformats.org/officeDocument/2006/relationships/drawing" Target="../drawings/drawing3.xml"/><Relationship Id="rId1" Type="http://schemas.openxmlformats.org/officeDocument/2006/relationships/printerSettings" Target="../printerSettings/printerSettings301.bin"/><Relationship Id="rId5" Type="http://schemas.openxmlformats.org/officeDocument/2006/relationships/comments" Target="../comments162.xml"/><Relationship Id="rId4" Type="http://schemas.openxmlformats.org/officeDocument/2006/relationships/table" Target="../tables/table637.xml"/></Relationships>
</file>

<file path=xl/worksheets/_rels/sheet638.xml.rels><?xml version="1.0" encoding="UTF-8" standalone="yes"?>
<Relationships xmlns="http://schemas.openxmlformats.org/package/2006/relationships"><Relationship Id="rId3" Type="http://schemas.openxmlformats.org/officeDocument/2006/relationships/vmlDrawing" Target="../drawings/vmlDrawing164.vml"/><Relationship Id="rId2" Type="http://schemas.openxmlformats.org/officeDocument/2006/relationships/drawing" Target="../drawings/drawing4.xml"/><Relationship Id="rId1" Type="http://schemas.openxmlformats.org/officeDocument/2006/relationships/printerSettings" Target="../printerSettings/printerSettings302.bin"/><Relationship Id="rId5" Type="http://schemas.openxmlformats.org/officeDocument/2006/relationships/comments" Target="../comments163.xml"/><Relationship Id="rId4" Type="http://schemas.openxmlformats.org/officeDocument/2006/relationships/table" Target="../tables/table638.xml"/></Relationships>
</file>

<file path=xl/worksheets/_rels/sheet639.xml.rels><?xml version="1.0" encoding="UTF-8" standalone="yes"?>
<Relationships xmlns="http://schemas.openxmlformats.org/package/2006/relationships"><Relationship Id="rId3" Type="http://schemas.openxmlformats.org/officeDocument/2006/relationships/vmlDrawing" Target="../drawings/vmlDrawing165.vml"/><Relationship Id="rId2" Type="http://schemas.openxmlformats.org/officeDocument/2006/relationships/drawing" Target="../drawings/drawing5.xml"/><Relationship Id="rId1" Type="http://schemas.openxmlformats.org/officeDocument/2006/relationships/printerSettings" Target="../printerSettings/printerSettings303.bin"/><Relationship Id="rId5" Type="http://schemas.openxmlformats.org/officeDocument/2006/relationships/comments" Target="../comments164.xml"/><Relationship Id="rId4" Type="http://schemas.openxmlformats.org/officeDocument/2006/relationships/table" Target="../tables/table639.xml"/></Relationships>
</file>

<file path=xl/worksheets/_rels/sheet640.xml.rels><?xml version="1.0" encoding="UTF-8" standalone="yes"?>
<Relationships xmlns="http://schemas.openxmlformats.org/package/2006/relationships"><Relationship Id="rId3" Type="http://schemas.openxmlformats.org/officeDocument/2006/relationships/vmlDrawing" Target="../drawings/vmlDrawing166.vml"/><Relationship Id="rId2" Type="http://schemas.openxmlformats.org/officeDocument/2006/relationships/drawing" Target="../drawings/drawing6.xml"/><Relationship Id="rId1" Type="http://schemas.openxmlformats.org/officeDocument/2006/relationships/printerSettings" Target="../printerSettings/printerSettings304.bin"/><Relationship Id="rId5" Type="http://schemas.openxmlformats.org/officeDocument/2006/relationships/comments" Target="../comments165.xml"/><Relationship Id="rId4" Type="http://schemas.openxmlformats.org/officeDocument/2006/relationships/table" Target="../tables/table640.xml"/></Relationships>
</file>

<file path=xl/worksheets/_rels/sheet641.xml.rels><?xml version="1.0" encoding="UTF-8" standalone="yes"?>
<Relationships xmlns="http://schemas.openxmlformats.org/package/2006/relationships"><Relationship Id="rId3" Type="http://schemas.openxmlformats.org/officeDocument/2006/relationships/vmlDrawing" Target="../drawings/vmlDrawing167.vml"/><Relationship Id="rId2" Type="http://schemas.openxmlformats.org/officeDocument/2006/relationships/drawing" Target="../drawings/drawing7.xml"/><Relationship Id="rId1" Type="http://schemas.openxmlformats.org/officeDocument/2006/relationships/printerSettings" Target="../printerSettings/printerSettings305.bin"/><Relationship Id="rId5" Type="http://schemas.openxmlformats.org/officeDocument/2006/relationships/comments" Target="../comments166.xml"/><Relationship Id="rId4" Type="http://schemas.openxmlformats.org/officeDocument/2006/relationships/table" Target="../tables/table641.xml"/></Relationships>
</file>

<file path=xl/worksheets/_rels/sheet642.xml.rels><?xml version="1.0" encoding="UTF-8" standalone="yes"?>
<Relationships xmlns="http://schemas.openxmlformats.org/package/2006/relationships"><Relationship Id="rId3" Type="http://schemas.openxmlformats.org/officeDocument/2006/relationships/vmlDrawing" Target="../drawings/vmlDrawing168.vml"/><Relationship Id="rId2" Type="http://schemas.openxmlformats.org/officeDocument/2006/relationships/drawing" Target="../drawings/drawing8.xml"/><Relationship Id="rId1" Type="http://schemas.openxmlformats.org/officeDocument/2006/relationships/printerSettings" Target="../printerSettings/printerSettings306.bin"/><Relationship Id="rId5" Type="http://schemas.openxmlformats.org/officeDocument/2006/relationships/comments" Target="../comments167.xml"/><Relationship Id="rId4" Type="http://schemas.openxmlformats.org/officeDocument/2006/relationships/table" Target="../tables/table642.xml"/></Relationships>
</file>

<file path=xl/worksheets/_rels/sheet643.xml.rels><?xml version="1.0" encoding="UTF-8" standalone="yes"?>
<Relationships xmlns="http://schemas.openxmlformats.org/package/2006/relationships"><Relationship Id="rId3" Type="http://schemas.openxmlformats.org/officeDocument/2006/relationships/vmlDrawing" Target="../drawings/vmlDrawing169.vml"/><Relationship Id="rId2" Type="http://schemas.openxmlformats.org/officeDocument/2006/relationships/drawing" Target="../drawings/drawing9.xml"/><Relationship Id="rId1" Type="http://schemas.openxmlformats.org/officeDocument/2006/relationships/printerSettings" Target="../printerSettings/printerSettings307.bin"/><Relationship Id="rId5" Type="http://schemas.openxmlformats.org/officeDocument/2006/relationships/comments" Target="../comments168.xml"/><Relationship Id="rId4" Type="http://schemas.openxmlformats.org/officeDocument/2006/relationships/table" Target="../tables/table643.xml"/></Relationships>
</file>

<file path=xl/worksheets/_rels/sheet644.xml.rels><?xml version="1.0" encoding="UTF-8" standalone="yes"?>
<Relationships xmlns="http://schemas.openxmlformats.org/package/2006/relationships"><Relationship Id="rId3" Type="http://schemas.openxmlformats.org/officeDocument/2006/relationships/vmlDrawing" Target="../drawings/vmlDrawing170.vml"/><Relationship Id="rId2" Type="http://schemas.openxmlformats.org/officeDocument/2006/relationships/drawing" Target="../drawings/drawing10.xml"/><Relationship Id="rId1" Type="http://schemas.openxmlformats.org/officeDocument/2006/relationships/printerSettings" Target="../printerSettings/printerSettings308.bin"/><Relationship Id="rId5" Type="http://schemas.openxmlformats.org/officeDocument/2006/relationships/comments" Target="../comments169.xml"/><Relationship Id="rId4" Type="http://schemas.openxmlformats.org/officeDocument/2006/relationships/table" Target="../tables/table644.xml"/></Relationships>
</file>

<file path=xl/worksheets/_rels/sheet645.xml.rels><?xml version="1.0" encoding="UTF-8" standalone="yes"?>
<Relationships xmlns="http://schemas.openxmlformats.org/package/2006/relationships"><Relationship Id="rId3" Type="http://schemas.openxmlformats.org/officeDocument/2006/relationships/vmlDrawing" Target="../drawings/vmlDrawing171.vml"/><Relationship Id="rId2" Type="http://schemas.openxmlformats.org/officeDocument/2006/relationships/drawing" Target="../drawings/drawing11.xml"/><Relationship Id="rId1" Type="http://schemas.openxmlformats.org/officeDocument/2006/relationships/printerSettings" Target="../printerSettings/printerSettings309.bin"/><Relationship Id="rId5" Type="http://schemas.openxmlformats.org/officeDocument/2006/relationships/comments" Target="../comments170.xml"/><Relationship Id="rId4" Type="http://schemas.openxmlformats.org/officeDocument/2006/relationships/table" Target="../tables/table645.xml"/></Relationships>
</file>

<file path=xl/worksheets/_rels/sheet646.xml.rels><?xml version="1.0" encoding="UTF-8" standalone="yes"?>
<Relationships xmlns="http://schemas.openxmlformats.org/package/2006/relationships"><Relationship Id="rId3" Type="http://schemas.openxmlformats.org/officeDocument/2006/relationships/vmlDrawing" Target="../drawings/vmlDrawing172.vml"/><Relationship Id="rId2" Type="http://schemas.openxmlformats.org/officeDocument/2006/relationships/drawing" Target="../drawings/drawing12.xml"/><Relationship Id="rId1" Type="http://schemas.openxmlformats.org/officeDocument/2006/relationships/printerSettings" Target="../printerSettings/printerSettings310.bin"/><Relationship Id="rId5" Type="http://schemas.openxmlformats.org/officeDocument/2006/relationships/comments" Target="../comments171.xml"/><Relationship Id="rId4" Type="http://schemas.openxmlformats.org/officeDocument/2006/relationships/table" Target="../tables/table646.xml"/></Relationships>
</file>

<file path=xl/worksheets/_rels/sheet647.xml.rels><?xml version="1.0" encoding="UTF-8" standalone="yes"?>
<Relationships xmlns="http://schemas.openxmlformats.org/package/2006/relationships"><Relationship Id="rId3" Type="http://schemas.openxmlformats.org/officeDocument/2006/relationships/vmlDrawing" Target="../drawings/vmlDrawing173.vml"/><Relationship Id="rId2" Type="http://schemas.openxmlformats.org/officeDocument/2006/relationships/drawing" Target="../drawings/drawing13.xml"/><Relationship Id="rId1" Type="http://schemas.openxmlformats.org/officeDocument/2006/relationships/printerSettings" Target="../printerSettings/printerSettings311.bin"/><Relationship Id="rId5" Type="http://schemas.openxmlformats.org/officeDocument/2006/relationships/comments" Target="../comments172.xml"/><Relationship Id="rId4" Type="http://schemas.openxmlformats.org/officeDocument/2006/relationships/table" Target="../tables/table647.xml"/></Relationships>
</file>

<file path=xl/worksheets/_rels/sheet648.xml.rels><?xml version="1.0" encoding="UTF-8" standalone="yes"?>
<Relationships xmlns="http://schemas.openxmlformats.org/package/2006/relationships"><Relationship Id="rId3" Type="http://schemas.openxmlformats.org/officeDocument/2006/relationships/vmlDrawing" Target="../drawings/vmlDrawing174.vml"/><Relationship Id="rId2" Type="http://schemas.openxmlformats.org/officeDocument/2006/relationships/drawing" Target="../drawings/drawing14.xml"/><Relationship Id="rId1" Type="http://schemas.openxmlformats.org/officeDocument/2006/relationships/printerSettings" Target="../printerSettings/printerSettings312.bin"/><Relationship Id="rId5" Type="http://schemas.openxmlformats.org/officeDocument/2006/relationships/comments" Target="../comments173.xml"/><Relationship Id="rId4" Type="http://schemas.openxmlformats.org/officeDocument/2006/relationships/table" Target="../tables/table648.xml"/></Relationships>
</file>

<file path=xl/worksheets/_rels/sheet649.xml.rels><?xml version="1.0" encoding="UTF-8" standalone="yes"?>
<Relationships xmlns="http://schemas.openxmlformats.org/package/2006/relationships"><Relationship Id="rId3" Type="http://schemas.openxmlformats.org/officeDocument/2006/relationships/vmlDrawing" Target="../drawings/vmlDrawing175.vml"/><Relationship Id="rId2" Type="http://schemas.openxmlformats.org/officeDocument/2006/relationships/drawing" Target="../drawings/drawing15.xml"/><Relationship Id="rId1" Type="http://schemas.openxmlformats.org/officeDocument/2006/relationships/printerSettings" Target="../printerSettings/printerSettings313.bin"/><Relationship Id="rId5" Type="http://schemas.openxmlformats.org/officeDocument/2006/relationships/comments" Target="../comments174.xml"/><Relationship Id="rId4" Type="http://schemas.openxmlformats.org/officeDocument/2006/relationships/table" Target="../tables/table649.xml"/></Relationships>
</file>

<file path=xl/worksheets/_rels/sheet650.xml.rels><?xml version="1.0" encoding="UTF-8" standalone="yes"?>
<Relationships xmlns="http://schemas.openxmlformats.org/package/2006/relationships"><Relationship Id="rId3" Type="http://schemas.openxmlformats.org/officeDocument/2006/relationships/vmlDrawing" Target="../drawings/vmlDrawing176.vml"/><Relationship Id="rId2" Type="http://schemas.openxmlformats.org/officeDocument/2006/relationships/drawing" Target="../drawings/drawing16.xml"/><Relationship Id="rId1" Type="http://schemas.openxmlformats.org/officeDocument/2006/relationships/printerSettings" Target="../printerSettings/printerSettings314.bin"/><Relationship Id="rId5" Type="http://schemas.openxmlformats.org/officeDocument/2006/relationships/comments" Target="../comments175.xml"/><Relationship Id="rId4" Type="http://schemas.openxmlformats.org/officeDocument/2006/relationships/table" Target="../tables/table650.xml"/></Relationships>
</file>

<file path=xl/worksheets/_rels/sheet651.xml.rels><?xml version="1.0" encoding="UTF-8" standalone="yes"?>
<Relationships xmlns="http://schemas.openxmlformats.org/package/2006/relationships"><Relationship Id="rId3" Type="http://schemas.openxmlformats.org/officeDocument/2006/relationships/vmlDrawing" Target="../drawings/vmlDrawing177.vml"/><Relationship Id="rId2" Type="http://schemas.openxmlformats.org/officeDocument/2006/relationships/drawing" Target="../drawings/drawing17.xml"/><Relationship Id="rId1" Type="http://schemas.openxmlformats.org/officeDocument/2006/relationships/printerSettings" Target="../printerSettings/printerSettings315.bin"/><Relationship Id="rId5" Type="http://schemas.openxmlformats.org/officeDocument/2006/relationships/comments" Target="../comments176.xml"/><Relationship Id="rId4" Type="http://schemas.openxmlformats.org/officeDocument/2006/relationships/table" Target="../tables/table651.xml"/></Relationships>
</file>

<file path=xl/worksheets/_rels/sheet652.xml.rels><?xml version="1.0" encoding="UTF-8" standalone="yes"?>
<Relationships xmlns="http://schemas.openxmlformats.org/package/2006/relationships"><Relationship Id="rId3" Type="http://schemas.openxmlformats.org/officeDocument/2006/relationships/vmlDrawing" Target="../drawings/vmlDrawing178.vml"/><Relationship Id="rId2" Type="http://schemas.openxmlformats.org/officeDocument/2006/relationships/drawing" Target="../drawings/drawing18.xml"/><Relationship Id="rId1" Type="http://schemas.openxmlformats.org/officeDocument/2006/relationships/printerSettings" Target="../printerSettings/printerSettings316.bin"/><Relationship Id="rId5" Type="http://schemas.openxmlformats.org/officeDocument/2006/relationships/comments" Target="../comments177.xml"/><Relationship Id="rId4" Type="http://schemas.openxmlformats.org/officeDocument/2006/relationships/table" Target="../tables/table652.xml"/></Relationships>
</file>

<file path=xl/worksheets/_rels/sheet653.xml.rels><?xml version="1.0" encoding="UTF-8" standalone="yes"?>
<Relationships xmlns="http://schemas.openxmlformats.org/package/2006/relationships"><Relationship Id="rId3" Type="http://schemas.openxmlformats.org/officeDocument/2006/relationships/vmlDrawing" Target="../drawings/vmlDrawing179.vml"/><Relationship Id="rId2" Type="http://schemas.openxmlformats.org/officeDocument/2006/relationships/drawing" Target="../drawings/drawing19.xml"/><Relationship Id="rId1" Type="http://schemas.openxmlformats.org/officeDocument/2006/relationships/printerSettings" Target="../printerSettings/printerSettings317.bin"/><Relationship Id="rId5" Type="http://schemas.openxmlformats.org/officeDocument/2006/relationships/comments" Target="../comments178.xml"/><Relationship Id="rId4" Type="http://schemas.openxmlformats.org/officeDocument/2006/relationships/table" Target="../tables/table653.xml"/></Relationships>
</file>

<file path=xl/worksheets/_rels/sheet654.xml.rels><?xml version="1.0" encoding="UTF-8" standalone="yes"?>
<Relationships xmlns="http://schemas.openxmlformats.org/package/2006/relationships"><Relationship Id="rId3" Type="http://schemas.openxmlformats.org/officeDocument/2006/relationships/vmlDrawing" Target="../drawings/vmlDrawing180.vml"/><Relationship Id="rId2" Type="http://schemas.openxmlformats.org/officeDocument/2006/relationships/drawing" Target="../drawings/drawing20.xml"/><Relationship Id="rId1" Type="http://schemas.openxmlformats.org/officeDocument/2006/relationships/printerSettings" Target="../printerSettings/printerSettings318.bin"/><Relationship Id="rId5" Type="http://schemas.openxmlformats.org/officeDocument/2006/relationships/comments" Target="../comments179.xml"/><Relationship Id="rId4" Type="http://schemas.openxmlformats.org/officeDocument/2006/relationships/table" Target="../tables/table654.xml"/></Relationships>
</file>

<file path=xl/worksheets/_rels/sheet655.xml.rels><?xml version="1.0" encoding="UTF-8" standalone="yes"?>
<Relationships xmlns="http://schemas.openxmlformats.org/package/2006/relationships"><Relationship Id="rId3" Type="http://schemas.openxmlformats.org/officeDocument/2006/relationships/vmlDrawing" Target="../drawings/vmlDrawing181.vml"/><Relationship Id="rId2" Type="http://schemas.openxmlformats.org/officeDocument/2006/relationships/drawing" Target="../drawings/drawing21.xml"/><Relationship Id="rId1" Type="http://schemas.openxmlformats.org/officeDocument/2006/relationships/printerSettings" Target="../printerSettings/printerSettings319.bin"/><Relationship Id="rId5" Type="http://schemas.openxmlformats.org/officeDocument/2006/relationships/comments" Target="../comments180.xml"/><Relationship Id="rId4" Type="http://schemas.openxmlformats.org/officeDocument/2006/relationships/table" Target="../tables/table655.xml"/></Relationships>
</file>

<file path=xl/worksheets/_rels/sheet656.xml.rels><?xml version="1.0" encoding="UTF-8" standalone="yes"?>
<Relationships xmlns="http://schemas.openxmlformats.org/package/2006/relationships"><Relationship Id="rId3" Type="http://schemas.openxmlformats.org/officeDocument/2006/relationships/vmlDrawing" Target="../drawings/vmlDrawing182.vml"/><Relationship Id="rId2" Type="http://schemas.openxmlformats.org/officeDocument/2006/relationships/drawing" Target="../drawings/drawing22.xml"/><Relationship Id="rId1" Type="http://schemas.openxmlformats.org/officeDocument/2006/relationships/printerSettings" Target="../printerSettings/printerSettings320.bin"/><Relationship Id="rId5" Type="http://schemas.openxmlformats.org/officeDocument/2006/relationships/comments" Target="../comments181.xml"/><Relationship Id="rId4" Type="http://schemas.openxmlformats.org/officeDocument/2006/relationships/table" Target="../tables/table656.xml"/></Relationships>
</file>

<file path=xl/worksheets/_rels/sheet657.xml.rels><?xml version="1.0" encoding="UTF-8" standalone="yes"?>
<Relationships xmlns="http://schemas.openxmlformats.org/package/2006/relationships"><Relationship Id="rId3" Type="http://schemas.openxmlformats.org/officeDocument/2006/relationships/vmlDrawing" Target="../drawings/vmlDrawing183.vml"/><Relationship Id="rId2" Type="http://schemas.openxmlformats.org/officeDocument/2006/relationships/drawing" Target="../drawings/drawing23.xml"/><Relationship Id="rId1" Type="http://schemas.openxmlformats.org/officeDocument/2006/relationships/printerSettings" Target="../printerSettings/printerSettings321.bin"/><Relationship Id="rId5" Type="http://schemas.openxmlformats.org/officeDocument/2006/relationships/comments" Target="../comments182.xml"/><Relationship Id="rId4" Type="http://schemas.openxmlformats.org/officeDocument/2006/relationships/table" Target="../tables/table657.xml"/></Relationships>
</file>

<file path=xl/worksheets/_rels/sheet658.xml.rels><?xml version="1.0" encoding="UTF-8" standalone="yes"?>
<Relationships xmlns="http://schemas.openxmlformats.org/package/2006/relationships"><Relationship Id="rId3" Type="http://schemas.openxmlformats.org/officeDocument/2006/relationships/vmlDrawing" Target="../drawings/vmlDrawing184.vml"/><Relationship Id="rId2" Type="http://schemas.openxmlformats.org/officeDocument/2006/relationships/drawing" Target="../drawings/drawing24.xml"/><Relationship Id="rId1" Type="http://schemas.openxmlformats.org/officeDocument/2006/relationships/printerSettings" Target="../printerSettings/printerSettings322.bin"/><Relationship Id="rId5" Type="http://schemas.openxmlformats.org/officeDocument/2006/relationships/comments" Target="../comments183.xml"/><Relationship Id="rId4" Type="http://schemas.openxmlformats.org/officeDocument/2006/relationships/table" Target="../tables/table658.xml"/></Relationships>
</file>

<file path=xl/worksheets/_rels/sheet659.xml.rels><?xml version="1.0" encoding="UTF-8" standalone="yes"?>
<Relationships xmlns="http://schemas.openxmlformats.org/package/2006/relationships"><Relationship Id="rId3" Type="http://schemas.openxmlformats.org/officeDocument/2006/relationships/vmlDrawing" Target="../drawings/vmlDrawing185.vml"/><Relationship Id="rId2" Type="http://schemas.openxmlformats.org/officeDocument/2006/relationships/drawing" Target="../drawings/drawing25.xml"/><Relationship Id="rId1" Type="http://schemas.openxmlformats.org/officeDocument/2006/relationships/printerSettings" Target="../printerSettings/printerSettings323.bin"/><Relationship Id="rId5" Type="http://schemas.openxmlformats.org/officeDocument/2006/relationships/comments" Target="../comments184.xml"/><Relationship Id="rId4" Type="http://schemas.openxmlformats.org/officeDocument/2006/relationships/table" Target="../tables/table659.xml"/></Relationships>
</file>

<file path=xl/worksheets/_rels/sheet660.xml.rels><?xml version="1.0" encoding="UTF-8" standalone="yes"?>
<Relationships xmlns="http://schemas.openxmlformats.org/package/2006/relationships"><Relationship Id="rId3" Type="http://schemas.openxmlformats.org/officeDocument/2006/relationships/vmlDrawing" Target="../drawings/vmlDrawing186.vml"/><Relationship Id="rId2" Type="http://schemas.openxmlformats.org/officeDocument/2006/relationships/drawing" Target="../drawings/drawing26.xml"/><Relationship Id="rId1" Type="http://schemas.openxmlformats.org/officeDocument/2006/relationships/printerSettings" Target="../printerSettings/printerSettings324.bin"/><Relationship Id="rId5" Type="http://schemas.openxmlformats.org/officeDocument/2006/relationships/comments" Target="../comments185.xml"/><Relationship Id="rId4" Type="http://schemas.openxmlformats.org/officeDocument/2006/relationships/table" Target="../tables/table660.xml"/></Relationships>
</file>

<file path=xl/worksheets/_rels/sheet661.xml.rels><?xml version="1.0" encoding="UTF-8" standalone="yes"?>
<Relationships xmlns="http://schemas.openxmlformats.org/package/2006/relationships"><Relationship Id="rId3" Type="http://schemas.openxmlformats.org/officeDocument/2006/relationships/vmlDrawing" Target="../drawings/vmlDrawing187.vml"/><Relationship Id="rId2" Type="http://schemas.openxmlformats.org/officeDocument/2006/relationships/drawing" Target="../drawings/drawing27.xml"/><Relationship Id="rId1" Type="http://schemas.openxmlformats.org/officeDocument/2006/relationships/printerSettings" Target="../printerSettings/printerSettings325.bin"/><Relationship Id="rId5" Type="http://schemas.openxmlformats.org/officeDocument/2006/relationships/comments" Target="../comments186.xml"/><Relationship Id="rId4" Type="http://schemas.openxmlformats.org/officeDocument/2006/relationships/table" Target="../tables/table661.xml"/></Relationships>
</file>

<file path=xl/worksheets/_rels/sheet662.xml.rels><?xml version="1.0" encoding="UTF-8" standalone="yes"?>
<Relationships xmlns="http://schemas.openxmlformats.org/package/2006/relationships"><Relationship Id="rId3" Type="http://schemas.openxmlformats.org/officeDocument/2006/relationships/vmlDrawing" Target="../drawings/vmlDrawing188.vml"/><Relationship Id="rId2" Type="http://schemas.openxmlformats.org/officeDocument/2006/relationships/drawing" Target="../drawings/drawing28.xml"/><Relationship Id="rId1" Type="http://schemas.openxmlformats.org/officeDocument/2006/relationships/printerSettings" Target="../printerSettings/printerSettings326.bin"/><Relationship Id="rId5" Type="http://schemas.openxmlformats.org/officeDocument/2006/relationships/comments" Target="../comments187.xml"/><Relationship Id="rId4" Type="http://schemas.openxmlformats.org/officeDocument/2006/relationships/table" Target="../tables/table662.xml"/></Relationships>
</file>

<file path=xl/worksheets/_rels/sheet663.xml.rels><?xml version="1.0" encoding="UTF-8" standalone="yes"?>
<Relationships xmlns="http://schemas.openxmlformats.org/package/2006/relationships"><Relationship Id="rId3" Type="http://schemas.openxmlformats.org/officeDocument/2006/relationships/vmlDrawing" Target="../drawings/vmlDrawing189.vml"/><Relationship Id="rId2" Type="http://schemas.openxmlformats.org/officeDocument/2006/relationships/drawing" Target="../drawings/drawing29.xml"/><Relationship Id="rId1" Type="http://schemas.openxmlformats.org/officeDocument/2006/relationships/printerSettings" Target="../printerSettings/printerSettings327.bin"/><Relationship Id="rId5" Type="http://schemas.openxmlformats.org/officeDocument/2006/relationships/comments" Target="../comments188.xml"/><Relationship Id="rId4" Type="http://schemas.openxmlformats.org/officeDocument/2006/relationships/table" Target="../tables/table663.xml"/></Relationships>
</file>

<file path=xl/worksheets/_rels/sheet664.xml.rels><?xml version="1.0" encoding="UTF-8" standalone="yes"?>
<Relationships xmlns="http://schemas.openxmlformats.org/package/2006/relationships"><Relationship Id="rId3" Type="http://schemas.openxmlformats.org/officeDocument/2006/relationships/table" Target="../tables/table664.xml"/><Relationship Id="rId2" Type="http://schemas.openxmlformats.org/officeDocument/2006/relationships/drawing" Target="../drawings/drawing30.xml"/><Relationship Id="rId1" Type="http://schemas.openxmlformats.org/officeDocument/2006/relationships/printerSettings" Target="../printerSettings/printerSettings328.bin"/></Relationships>
</file>

<file path=xl/worksheets/_rels/sheet665.xml.rels><?xml version="1.0" encoding="UTF-8" standalone="yes"?>
<Relationships xmlns="http://schemas.openxmlformats.org/package/2006/relationships"><Relationship Id="rId3" Type="http://schemas.openxmlformats.org/officeDocument/2006/relationships/table" Target="../tables/table665.xml"/><Relationship Id="rId2" Type="http://schemas.openxmlformats.org/officeDocument/2006/relationships/drawing" Target="../drawings/drawing31.xml"/><Relationship Id="rId1" Type="http://schemas.openxmlformats.org/officeDocument/2006/relationships/printerSettings" Target="../printerSettings/printerSettings329.bin"/></Relationships>
</file>

<file path=xl/worksheets/_rels/sheet666.xml.rels><?xml version="1.0" encoding="UTF-8" standalone="yes"?>
<Relationships xmlns="http://schemas.openxmlformats.org/package/2006/relationships"><Relationship Id="rId3" Type="http://schemas.openxmlformats.org/officeDocument/2006/relationships/table" Target="../tables/table666.xml"/><Relationship Id="rId2" Type="http://schemas.openxmlformats.org/officeDocument/2006/relationships/drawing" Target="../drawings/drawing32.xml"/><Relationship Id="rId1" Type="http://schemas.openxmlformats.org/officeDocument/2006/relationships/printerSettings" Target="../printerSettings/printerSettings330.bin"/></Relationships>
</file>

<file path=xl/worksheets/_rels/sheet667.xml.rels><?xml version="1.0" encoding="UTF-8" standalone="yes"?>
<Relationships xmlns="http://schemas.openxmlformats.org/package/2006/relationships"><Relationship Id="rId3" Type="http://schemas.openxmlformats.org/officeDocument/2006/relationships/table" Target="../tables/table667.xml"/><Relationship Id="rId2" Type="http://schemas.openxmlformats.org/officeDocument/2006/relationships/drawing" Target="../drawings/drawing33.xml"/><Relationship Id="rId1" Type="http://schemas.openxmlformats.org/officeDocument/2006/relationships/printerSettings" Target="../printerSettings/printerSettings331.bin"/></Relationships>
</file>

<file path=xl/worksheets/_rels/sheet668.xml.rels><?xml version="1.0" encoding="UTF-8" standalone="yes"?>
<Relationships xmlns="http://schemas.openxmlformats.org/package/2006/relationships"><Relationship Id="rId3" Type="http://schemas.openxmlformats.org/officeDocument/2006/relationships/table" Target="../tables/table668.xml"/><Relationship Id="rId2" Type="http://schemas.openxmlformats.org/officeDocument/2006/relationships/drawing" Target="../drawings/drawing34.xml"/><Relationship Id="rId1" Type="http://schemas.openxmlformats.org/officeDocument/2006/relationships/printerSettings" Target="../printerSettings/printerSettings332.bin"/></Relationships>
</file>

<file path=xl/worksheets/_rels/sheet669.xml.rels><?xml version="1.0" encoding="UTF-8" standalone="yes"?>
<Relationships xmlns="http://schemas.openxmlformats.org/package/2006/relationships"><Relationship Id="rId3" Type="http://schemas.openxmlformats.org/officeDocument/2006/relationships/table" Target="../tables/table669.xml"/><Relationship Id="rId2" Type="http://schemas.openxmlformats.org/officeDocument/2006/relationships/drawing" Target="../drawings/drawing35.xml"/><Relationship Id="rId1" Type="http://schemas.openxmlformats.org/officeDocument/2006/relationships/printerSettings" Target="../printerSettings/printerSettings333.bin"/></Relationships>
</file>

<file path=xl/worksheets/_rels/sheet670.xml.rels><?xml version="1.0" encoding="UTF-8" standalone="yes"?>
<Relationships xmlns="http://schemas.openxmlformats.org/package/2006/relationships"><Relationship Id="rId3" Type="http://schemas.openxmlformats.org/officeDocument/2006/relationships/table" Target="../tables/table670.xml"/><Relationship Id="rId2" Type="http://schemas.openxmlformats.org/officeDocument/2006/relationships/drawing" Target="../drawings/drawing36.xml"/><Relationship Id="rId1" Type="http://schemas.openxmlformats.org/officeDocument/2006/relationships/printerSettings" Target="../printerSettings/printerSettings334.bin"/></Relationships>
</file>

<file path=xl/worksheets/_rels/sheet671.xml.rels><?xml version="1.0" encoding="UTF-8" standalone="yes"?>
<Relationships xmlns="http://schemas.openxmlformats.org/package/2006/relationships"><Relationship Id="rId3" Type="http://schemas.openxmlformats.org/officeDocument/2006/relationships/table" Target="../tables/table671.xml"/><Relationship Id="rId2" Type="http://schemas.openxmlformats.org/officeDocument/2006/relationships/drawing" Target="../drawings/drawing37.xml"/><Relationship Id="rId1" Type="http://schemas.openxmlformats.org/officeDocument/2006/relationships/printerSettings" Target="../printerSettings/printerSettings335.bin"/></Relationships>
</file>

<file path=xl/worksheets/_rels/sheet672.xml.rels><?xml version="1.0" encoding="UTF-8" standalone="yes"?>
<Relationships xmlns="http://schemas.openxmlformats.org/package/2006/relationships"><Relationship Id="rId3" Type="http://schemas.openxmlformats.org/officeDocument/2006/relationships/table" Target="../tables/table672.xml"/><Relationship Id="rId2" Type="http://schemas.openxmlformats.org/officeDocument/2006/relationships/drawing" Target="../drawings/drawing38.xml"/><Relationship Id="rId1" Type="http://schemas.openxmlformats.org/officeDocument/2006/relationships/printerSettings" Target="../printerSettings/printerSettings336.bin"/></Relationships>
</file>

<file path=xl/worksheets/_rels/sheet673.xml.rels><?xml version="1.0" encoding="UTF-8" standalone="yes"?>
<Relationships xmlns="http://schemas.openxmlformats.org/package/2006/relationships"><Relationship Id="rId3" Type="http://schemas.openxmlformats.org/officeDocument/2006/relationships/vmlDrawing" Target="../drawings/vmlDrawing190.vml"/><Relationship Id="rId2" Type="http://schemas.openxmlformats.org/officeDocument/2006/relationships/drawing" Target="../drawings/drawing39.xml"/><Relationship Id="rId1" Type="http://schemas.openxmlformats.org/officeDocument/2006/relationships/printerSettings" Target="../printerSettings/printerSettings337.bin"/><Relationship Id="rId5" Type="http://schemas.openxmlformats.org/officeDocument/2006/relationships/comments" Target="../comments189.xml"/><Relationship Id="rId4" Type="http://schemas.openxmlformats.org/officeDocument/2006/relationships/table" Target="../tables/table673.xml"/></Relationships>
</file>

<file path=xl/worksheets/_rels/sheet674.xml.rels><?xml version="1.0" encoding="UTF-8" standalone="yes"?>
<Relationships xmlns="http://schemas.openxmlformats.org/package/2006/relationships"><Relationship Id="rId3" Type="http://schemas.openxmlformats.org/officeDocument/2006/relationships/vmlDrawing" Target="../drawings/vmlDrawing191.vml"/><Relationship Id="rId2" Type="http://schemas.openxmlformats.org/officeDocument/2006/relationships/drawing" Target="../drawings/drawing40.xml"/><Relationship Id="rId1" Type="http://schemas.openxmlformats.org/officeDocument/2006/relationships/printerSettings" Target="../printerSettings/printerSettings338.bin"/><Relationship Id="rId5" Type="http://schemas.openxmlformats.org/officeDocument/2006/relationships/comments" Target="../comments190.xml"/><Relationship Id="rId4" Type="http://schemas.openxmlformats.org/officeDocument/2006/relationships/table" Target="../tables/table674.xml"/></Relationships>
</file>

<file path=xl/worksheets/_rels/sheet675.xml.rels><?xml version="1.0" encoding="UTF-8" standalone="yes"?>
<Relationships xmlns="http://schemas.openxmlformats.org/package/2006/relationships"><Relationship Id="rId3" Type="http://schemas.openxmlformats.org/officeDocument/2006/relationships/vmlDrawing" Target="../drawings/vmlDrawing192.vml"/><Relationship Id="rId2" Type="http://schemas.openxmlformats.org/officeDocument/2006/relationships/drawing" Target="../drawings/drawing41.xml"/><Relationship Id="rId1" Type="http://schemas.openxmlformats.org/officeDocument/2006/relationships/printerSettings" Target="../printerSettings/printerSettings339.bin"/><Relationship Id="rId5" Type="http://schemas.openxmlformats.org/officeDocument/2006/relationships/comments" Target="../comments191.xml"/><Relationship Id="rId4" Type="http://schemas.openxmlformats.org/officeDocument/2006/relationships/table" Target="../tables/table675.xml"/></Relationships>
</file>

<file path=xl/worksheets/_rels/sheet676.xml.rels><?xml version="1.0" encoding="UTF-8" standalone="yes"?>
<Relationships xmlns="http://schemas.openxmlformats.org/package/2006/relationships"><Relationship Id="rId3" Type="http://schemas.openxmlformats.org/officeDocument/2006/relationships/vmlDrawing" Target="../drawings/vmlDrawing193.vml"/><Relationship Id="rId2" Type="http://schemas.openxmlformats.org/officeDocument/2006/relationships/drawing" Target="../drawings/drawing42.xml"/><Relationship Id="rId1" Type="http://schemas.openxmlformats.org/officeDocument/2006/relationships/printerSettings" Target="../printerSettings/printerSettings340.bin"/><Relationship Id="rId5" Type="http://schemas.openxmlformats.org/officeDocument/2006/relationships/comments" Target="../comments192.xml"/><Relationship Id="rId4" Type="http://schemas.openxmlformats.org/officeDocument/2006/relationships/table" Target="../tables/table676.xml"/></Relationships>
</file>

<file path=xl/worksheets/_rels/sheet677.xml.rels><?xml version="1.0" encoding="UTF-8" standalone="yes"?>
<Relationships xmlns="http://schemas.openxmlformats.org/package/2006/relationships"><Relationship Id="rId3" Type="http://schemas.openxmlformats.org/officeDocument/2006/relationships/vmlDrawing" Target="../drawings/vmlDrawing194.vml"/><Relationship Id="rId2" Type="http://schemas.openxmlformats.org/officeDocument/2006/relationships/drawing" Target="../drawings/drawing43.xml"/><Relationship Id="rId1" Type="http://schemas.openxmlformats.org/officeDocument/2006/relationships/printerSettings" Target="../printerSettings/printerSettings341.bin"/><Relationship Id="rId5" Type="http://schemas.openxmlformats.org/officeDocument/2006/relationships/comments" Target="../comments193.xml"/><Relationship Id="rId4" Type="http://schemas.openxmlformats.org/officeDocument/2006/relationships/table" Target="../tables/table677.xml"/></Relationships>
</file>

<file path=xl/worksheets/_rels/sheet678.xml.rels><?xml version="1.0" encoding="UTF-8" standalone="yes"?>
<Relationships xmlns="http://schemas.openxmlformats.org/package/2006/relationships"><Relationship Id="rId3" Type="http://schemas.openxmlformats.org/officeDocument/2006/relationships/vmlDrawing" Target="../drawings/vmlDrawing195.vml"/><Relationship Id="rId2" Type="http://schemas.openxmlformats.org/officeDocument/2006/relationships/drawing" Target="../drawings/drawing44.xml"/><Relationship Id="rId1" Type="http://schemas.openxmlformats.org/officeDocument/2006/relationships/printerSettings" Target="../printerSettings/printerSettings342.bin"/><Relationship Id="rId5" Type="http://schemas.openxmlformats.org/officeDocument/2006/relationships/comments" Target="../comments194.xml"/><Relationship Id="rId4" Type="http://schemas.openxmlformats.org/officeDocument/2006/relationships/table" Target="../tables/table678.xml"/></Relationships>
</file>

<file path=xl/worksheets/_rels/sheet679.xml.rels><?xml version="1.0" encoding="UTF-8" standalone="yes"?>
<Relationships xmlns="http://schemas.openxmlformats.org/package/2006/relationships"><Relationship Id="rId3" Type="http://schemas.openxmlformats.org/officeDocument/2006/relationships/vmlDrawing" Target="../drawings/vmlDrawing196.vml"/><Relationship Id="rId2" Type="http://schemas.openxmlformats.org/officeDocument/2006/relationships/drawing" Target="../drawings/drawing45.xml"/><Relationship Id="rId1" Type="http://schemas.openxmlformats.org/officeDocument/2006/relationships/printerSettings" Target="../printerSettings/printerSettings343.bin"/><Relationship Id="rId5" Type="http://schemas.openxmlformats.org/officeDocument/2006/relationships/comments" Target="../comments195.xml"/><Relationship Id="rId4" Type="http://schemas.openxmlformats.org/officeDocument/2006/relationships/table" Target="../tables/table679.xml"/></Relationships>
</file>

<file path=xl/worksheets/_rels/sheet680.xml.rels><?xml version="1.0" encoding="UTF-8" standalone="yes"?>
<Relationships xmlns="http://schemas.openxmlformats.org/package/2006/relationships"><Relationship Id="rId3" Type="http://schemas.openxmlformats.org/officeDocument/2006/relationships/vmlDrawing" Target="../drawings/vmlDrawing197.vml"/><Relationship Id="rId2" Type="http://schemas.openxmlformats.org/officeDocument/2006/relationships/drawing" Target="../drawings/drawing46.xml"/><Relationship Id="rId1" Type="http://schemas.openxmlformats.org/officeDocument/2006/relationships/printerSettings" Target="../printerSettings/printerSettings344.bin"/><Relationship Id="rId5" Type="http://schemas.openxmlformats.org/officeDocument/2006/relationships/comments" Target="../comments196.xml"/><Relationship Id="rId4" Type="http://schemas.openxmlformats.org/officeDocument/2006/relationships/table" Target="../tables/table680.xml"/></Relationships>
</file>

<file path=xl/worksheets/_rels/sheet681.xml.rels><?xml version="1.0" encoding="UTF-8" standalone="yes"?>
<Relationships xmlns="http://schemas.openxmlformats.org/package/2006/relationships"><Relationship Id="rId3" Type="http://schemas.openxmlformats.org/officeDocument/2006/relationships/vmlDrawing" Target="../drawings/vmlDrawing198.vml"/><Relationship Id="rId2" Type="http://schemas.openxmlformats.org/officeDocument/2006/relationships/drawing" Target="../drawings/drawing47.xml"/><Relationship Id="rId1" Type="http://schemas.openxmlformats.org/officeDocument/2006/relationships/printerSettings" Target="../printerSettings/printerSettings345.bin"/><Relationship Id="rId5" Type="http://schemas.openxmlformats.org/officeDocument/2006/relationships/comments" Target="../comments197.xml"/><Relationship Id="rId4" Type="http://schemas.openxmlformats.org/officeDocument/2006/relationships/table" Target="../tables/table681.xml"/></Relationships>
</file>

<file path=xl/worksheets/_rels/sheet682.xml.rels><?xml version="1.0" encoding="UTF-8" standalone="yes"?>
<Relationships xmlns="http://schemas.openxmlformats.org/package/2006/relationships"><Relationship Id="rId3" Type="http://schemas.openxmlformats.org/officeDocument/2006/relationships/vmlDrawing" Target="../drawings/vmlDrawing199.vml"/><Relationship Id="rId2" Type="http://schemas.openxmlformats.org/officeDocument/2006/relationships/drawing" Target="../drawings/drawing48.xml"/><Relationship Id="rId1" Type="http://schemas.openxmlformats.org/officeDocument/2006/relationships/printerSettings" Target="../printerSettings/printerSettings346.bin"/><Relationship Id="rId5" Type="http://schemas.openxmlformats.org/officeDocument/2006/relationships/comments" Target="../comments198.xml"/><Relationship Id="rId4" Type="http://schemas.openxmlformats.org/officeDocument/2006/relationships/table" Target="../tables/table682.xml"/></Relationships>
</file>

<file path=xl/worksheets/_rels/sheet683.xml.rels><?xml version="1.0" encoding="UTF-8" standalone="yes"?>
<Relationships xmlns="http://schemas.openxmlformats.org/package/2006/relationships"><Relationship Id="rId3" Type="http://schemas.openxmlformats.org/officeDocument/2006/relationships/vmlDrawing" Target="../drawings/vmlDrawing200.vml"/><Relationship Id="rId2" Type="http://schemas.openxmlformats.org/officeDocument/2006/relationships/drawing" Target="../drawings/drawing49.xml"/><Relationship Id="rId1" Type="http://schemas.openxmlformats.org/officeDocument/2006/relationships/printerSettings" Target="../printerSettings/printerSettings347.bin"/><Relationship Id="rId5" Type="http://schemas.openxmlformats.org/officeDocument/2006/relationships/comments" Target="../comments199.xml"/><Relationship Id="rId4" Type="http://schemas.openxmlformats.org/officeDocument/2006/relationships/table" Target="../tables/table683.xml"/></Relationships>
</file>

<file path=xl/worksheets/_rels/sheet684.xml.rels><?xml version="1.0" encoding="UTF-8" standalone="yes"?>
<Relationships xmlns="http://schemas.openxmlformats.org/package/2006/relationships"><Relationship Id="rId3" Type="http://schemas.openxmlformats.org/officeDocument/2006/relationships/vmlDrawing" Target="../drawings/vmlDrawing201.vml"/><Relationship Id="rId2" Type="http://schemas.openxmlformats.org/officeDocument/2006/relationships/drawing" Target="../drawings/drawing50.xml"/><Relationship Id="rId1" Type="http://schemas.openxmlformats.org/officeDocument/2006/relationships/printerSettings" Target="../printerSettings/printerSettings348.bin"/><Relationship Id="rId5" Type="http://schemas.openxmlformats.org/officeDocument/2006/relationships/comments" Target="../comments200.xml"/><Relationship Id="rId4" Type="http://schemas.openxmlformats.org/officeDocument/2006/relationships/table" Target="../tables/table684.xml"/></Relationships>
</file>

<file path=xl/worksheets/_rels/sheet685.xml.rels><?xml version="1.0" encoding="UTF-8" standalone="yes"?>
<Relationships xmlns="http://schemas.openxmlformats.org/package/2006/relationships"><Relationship Id="rId3" Type="http://schemas.openxmlformats.org/officeDocument/2006/relationships/vmlDrawing" Target="../drawings/vmlDrawing202.vml"/><Relationship Id="rId2" Type="http://schemas.openxmlformats.org/officeDocument/2006/relationships/drawing" Target="../drawings/drawing51.xml"/><Relationship Id="rId1" Type="http://schemas.openxmlformats.org/officeDocument/2006/relationships/printerSettings" Target="../printerSettings/printerSettings349.bin"/><Relationship Id="rId5" Type="http://schemas.openxmlformats.org/officeDocument/2006/relationships/comments" Target="../comments201.xml"/><Relationship Id="rId4" Type="http://schemas.openxmlformats.org/officeDocument/2006/relationships/table" Target="../tables/table685.xml"/></Relationships>
</file>

<file path=xl/worksheets/_rels/sheet686.xml.rels><?xml version="1.0" encoding="UTF-8" standalone="yes"?>
<Relationships xmlns="http://schemas.openxmlformats.org/package/2006/relationships"><Relationship Id="rId3" Type="http://schemas.openxmlformats.org/officeDocument/2006/relationships/vmlDrawing" Target="../drawings/vmlDrawing203.vml"/><Relationship Id="rId2" Type="http://schemas.openxmlformats.org/officeDocument/2006/relationships/drawing" Target="../drawings/drawing52.xml"/><Relationship Id="rId1" Type="http://schemas.openxmlformats.org/officeDocument/2006/relationships/printerSettings" Target="../printerSettings/printerSettings350.bin"/><Relationship Id="rId5" Type="http://schemas.openxmlformats.org/officeDocument/2006/relationships/comments" Target="../comments202.xml"/><Relationship Id="rId4" Type="http://schemas.openxmlformats.org/officeDocument/2006/relationships/table" Target="../tables/table686.xml"/></Relationships>
</file>

<file path=xl/worksheets/_rels/sheet687.xml.rels><?xml version="1.0" encoding="UTF-8" standalone="yes"?>
<Relationships xmlns="http://schemas.openxmlformats.org/package/2006/relationships"><Relationship Id="rId3" Type="http://schemas.openxmlformats.org/officeDocument/2006/relationships/vmlDrawing" Target="../drawings/vmlDrawing204.vml"/><Relationship Id="rId2" Type="http://schemas.openxmlformats.org/officeDocument/2006/relationships/drawing" Target="../drawings/drawing53.xml"/><Relationship Id="rId1" Type="http://schemas.openxmlformats.org/officeDocument/2006/relationships/printerSettings" Target="../printerSettings/printerSettings351.bin"/><Relationship Id="rId5" Type="http://schemas.openxmlformats.org/officeDocument/2006/relationships/comments" Target="../comments203.xml"/><Relationship Id="rId4" Type="http://schemas.openxmlformats.org/officeDocument/2006/relationships/table" Target="../tables/table687.xml"/></Relationships>
</file>

<file path=xl/worksheets/_rels/sheet688.xml.rels><?xml version="1.0" encoding="UTF-8" standalone="yes"?>
<Relationships xmlns="http://schemas.openxmlformats.org/package/2006/relationships"><Relationship Id="rId3" Type="http://schemas.openxmlformats.org/officeDocument/2006/relationships/vmlDrawing" Target="../drawings/vmlDrawing205.vml"/><Relationship Id="rId2" Type="http://schemas.openxmlformats.org/officeDocument/2006/relationships/drawing" Target="../drawings/drawing54.xml"/><Relationship Id="rId1" Type="http://schemas.openxmlformats.org/officeDocument/2006/relationships/printerSettings" Target="../printerSettings/printerSettings352.bin"/><Relationship Id="rId5" Type="http://schemas.openxmlformats.org/officeDocument/2006/relationships/comments" Target="../comments204.xml"/><Relationship Id="rId4" Type="http://schemas.openxmlformats.org/officeDocument/2006/relationships/table" Target="../tables/table688.xml"/></Relationships>
</file>

<file path=xl/worksheets/_rels/sheet689.xml.rels><?xml version="1.0" encoding="UTF-8" standalone="yes"?>
<Relationships xmlns="http://schemas.openxmlformats.org/package/2006/relationships"><Relationship Id="rId3" Type="http://schemas.openxmlformats.org/officeDocument/2006/relationships/vmlDrawing" Target="../drawings/vmlDrawing206.vml"/><Relationship Id="rId2" Type="http://schemas.openxmlformats.org/officeDocument/2006/relationships/drawing" Target="../drawings/drawing55.xml"/><Relationship Id="rId1" Type="http://schemas.openxmlformats.org/officeDocument/2006/relationships/printerSettings" Target="../printerSettings/printerSettings353.bin"/><Relationship Id="rId5" Type="http://schemas.openxmlformats.org/officeDocument/2006/relationships/comments" Target="../comments205.xml"/><Relationship Id="rId4" Type="http://schemas.openxmlformats.org/officeDocument/2006/relationships/table" Target="../tables/table689.xml"/></Relationships>
</file>

<file path=xl/worksheets/_rels/sheet690.xml.rels><?xml version="1.0" encoding="UTF-8" standalone="yes"?>
<Relationships xmlns="http://schemas.openxmlformats.org/package/2006/relationships"><Relationship Id="rId3" Type="http://schemas.openxmlformats.org/officeDocument/2006/relationships/vmlDrawing" Target="../drawings/vmlDrawing207.vml"/><Relationship Id="rId2" Type="http://schemas.openxmlformats.org/officeDocument/2006/relationships/drawing" Target="../drawings/drawing56.xml"/><Relationship Id="rId1" Type="http://schemas.openxmlformats.org/officeDocument/2006/relationships/printerSettings" Target="../printerSettings/printerSettings354.bin"/><Relationship Id="rId5" Type="http://schemas.openxmlformats.org/officeDocument/2006/relationships/comments" Target="../comments206.xml"/><Relationship Id="rId4" Type="http://schemas.openxmlformats.org/officeDocument/2006/relationships/table" Target="../tables/table690.xml"/></Relationships>
</file>

<file path=xl/worksheets/_rels/sheet691.xml.rels><?xml version="1.0" encoding="UTF-8" standalone="yes"?>
<Relationships xmlns="http://schemas.openxmlformats.org/package/2006/relationships"><Relationship Id="rId3" Type="http://schemas.openxmlformats.org/officeDocument/2006/relationships/vmlDrawing" Target="../drawings/vmlDrawing208.vml"/><Relationship Id="rId2" Type="http://schemas.openxmlformats.org/officeDocument/2006/relationships/drawing" Target="../drawings/drawing57.xml"/><Relationship Id="rId1" Type="http://schemas.openxmlformats.org/officeDocument/2006/relationships/printerSettings" Target="../printerSettings/printerSettings355.bin"/><Relationship Id="rId5" Type="http://schemas.openxmlformats.org/officeDocument/2006/relationships/comments" Target="../comments207.xml"/><Relationship Id="rId4" Type="http://schemas.openxmlformats.org/officeDocument/2006/relationships/table" Target="../tables/table691.xml"/></Relationships>
</file>

<file path=xl/worksheets/_rels/sheet692.xml.rels><?xml version="1.0" encoding="UTF-8" standalone="yes"?>
<Relationships xmlns="http://schemas.openxmlformats.org/package/2006/relationships"><Relationship Id="rId3" Type="http://schemas.openxmlformats.org/officeDocument/2006/relationships/vmlDrawing" Target="../drawings/vmlDrawing209.vml"/><Relationship Id="rId2" Type="http://schemas.openxmlformats.org/officeDocument/2006/relationships/drawing" Target="../drawings/drawing58.xml"/><Relationship Id="rId1" Type="http://schemas.openxmlformats.org/officeDocument/2006/relationships/printerSettings" Target="../printerSettings/printerSettings356.bin"/><Relationship Id="rId5" Type="http://schemas.openxmlformats.org/officeDocument/2006/relationships/comments" Target="../comments208.xml"/><Relationship Id="rId4" Type="http://schemas.openxmlformats.org/officeDocument/2006/relationships/table" Target="../tables/table692.xml"/></Relationships>
</file>

<file path=xl/worksheets/_rels/sheet693.xml.rels><?xml version="1.0" encoding="UTF-8" standalone="yes"?>
<Relationships xmlns="http://schemas.openxmlformats.org/package/2006/relationships"><Relationship Id="rId3" Type="http://schemas.openxmlformats.org/officeDocument/2006/relationships/vmlDrawing" Target="../drawings/vmlDrawing210.vml"/><Relationship Id="rId2" Type="http://schemas.openxmlformats.org/officeDocument/2006/relationships/drawing" Target="../drawings/drawing59.xml"/><Relationship Id="rId1" Type="http://schemas.openxmlformats.org/officeDocument/2006/relationships/printerSettings" Target="../printerSettings/printerSettings357.bin"/><Relationship Id="rId5" Type="http://schemas.openxmlformats.org/officeDocument/2006/relationships/comments" Target="../comments209.xml"/><Relationship Id="rId4" Type="http://schemas.openxmlformats.org/officeDocument/2006/relationships/table" Target="../tables/table693.xml"/></Relationships>
</file>

<file path=xl/worksheets/_rels/sheet694.xml.rels><?xml version="1.0" encoding="UTF-8" standalone="yes"?>
<Relationships xmlns="http://schemas.openxmlformats.org/package/2006/relationships"><Relationship Id="rId3" Type="http://schemas.openxmlformats.org/officeDocument/2006/relationships/vmlDrawing" Target="../drawings/vmlDrawing211.vml"/><Relationship Id="rId2" Type="http://schemas.openxmlformats.org/officeDocument/2006/relationships/drawing" Target="../drawings/drawing60.xml"/><Relationship Id="rId1" Type="http://schemas.openxmlformats.org/officeDocument/2006/relationships/printerSettings" Target="../printerSettings/printerSettings358.bin"/><Relationship Id="rId5" Type="http://schemas.openxmlformats.org/officeDocument/2006/relationships/comments" Target="../comments210.xml"/><Relationship Id="rId4" Type="http://schemas.openxmlformats.org/officeDocument/2006/relationships/table" Target="../tables/table694.xml"/></Relationships>
</file>

<file path=xl/worksheets/_rels/sheet695.xml.rels><?xml version="1.0" encoding="UTF-8" standalone="yes"?>
<Relationships xmlns="http://schemas.openxmlformats.org/package/2006/relationships"><Relationship Id="rId3" Type="http://schemas.openxmlformats.org/officeDocument/2006/relationships/vmlDrawing" Target="../drawings/vmlDrawing212.vml"/><Relationship Id="rId2" Type="http://schemas.openxmlformats.org/officeDocument/2006/relationships/drawing" Target="../drawings/drawing61.xml"/><Relationship Id="rId1" Type="http://schemas.openxmlformats.org/officeDocument/2006/relationships/printerSettings" Target="../printerSettings/printerSettings359.bin"/><Relationship Id="rId5" Type="http://schemas.openxmlformats.org/officeDocument/2006/relationships/comments" Target="../comments211.xml"/><Relationship Id="rId4" Type="http://schemas.openxmlformats.org/officeDocument/2006/relationships/table" Target="../tables/table695.xml"/></Relationships>
</file>

<file path=xl/worksheets/_rels/sheet696.xml.rels><?xml version="1.0" encoding="UTF-8" standalone="yes"?>
<Relationships xmlns="http://schemas.openxmlformats.org/package/2006/relationships"><Relationship Id="rId3" Type="http://schemas.openxmlformats.org/officeDocument/2006/relationships/vmlDrawing" Target="../drawings/vmlDrawing213.vml"/><Relationship Id="rId2" Type="http://schemas.openxmlformats.org/officeDocument/2006/relationships/drawing" Target="../drawings/drawing62.xml"/><Relationship Id="rId1" Type="http://schemas.openxmlformats.org/officeDocument/2006/relationships/printerSettings" Target="../printerSettings/printerSettings360.bin"/><Relationship Id="rId5" Type="http://schemas.openxmlformats.org/officeDocument/2006/relationships/comments" Target="../comments212.xml"/><Relationship Id="rId4" Type="http://schemas.openxmlformats.org/officeDocument/2006/relationships/table" Target="../tables/table696.xml"/></Relationships>
</file>

<file path=xl/worksheets/_rels/sheet697.xml.rels><?xml version="1.0" encoding="UTF-8" standalone="yes"?>
<Relationships xmlns="http://schemas.openxmlformats.org/package/2006/relationships"><Relationship Id="rId3" Type="http://schemas.openxmlformats.org/officeDocument/2006/relationships/vmlDrawing" Target="../drawings/vmlDrawing214.vml"/><Relationship Id="rId2" Type="http://schemas.openxmlformats.org/officeDocument/2006/relationships/drawing" Target="../drawings/drawing63.xml"/><Relationship Id="rId1" Type="http://schemas.openxmlformats.org/officeDocument/2006/relationships/printerSettings" Target="../printerSettings/printerSettings361.bin"/><Relationship Id="rId5" Type="http://schemas.openxmlformats.org/officeDocument/2006/relationships/comments" Target="../comments213.xml"/><Relationship Id="rId4" Type="http://schemas.openxmlformats.org/officeDocument/2006/relationships/table" Target="../tables/table697.xml"/></Relationships>
</file>

<file path=xl/worksheets/_rels/sheet698.xml.rels><?xml version="1.0" encoding="UTF-8" standalone="yes"?>
<Relationships xmlns="http://schemas.openxmlformats.org/package/2006/relationships"><Relationship Id="rId3" Type="http://schemas.openxmlformats.org/officeDocument/2006/relationships/vmlDrawing" Target="../drawings/vmlDrawing215.vml"/><Relationship Id="rId2" Type="http://schemas.openxmlformats.org/officeDocument/2006/relationships/drawing" Target="../drawings/drawing64.xml"/><Relationship Id="rId1" Type="http://schemas.openxmlformats.org/officeDocument/2006/relationships/printerSettings" Target="../printerSettings/printerSettings362.bin"/><Relationship Id="rId5" Type="http://schemas.openxmlformats.org/officeDocument/2006/relationships/comments" Target="../comments214.xml"/><Relationship Id="rId4" Type="http://schemas.openxmlformats.org/officeDocument/2006/relationships/table" Target="../tables/table698.xml"/></Relationships>
</file>

<file path=xl/worksheets/_rels/sheet699.xml.rels><?xml version="1.0" encoding="UTF-8" standalone="yes"?>
<Relationships xmlns="http://schemas.openxmlformats.org/package/2006/relationships"><Relationship Id="rId3" Type="http://schemas.openxmlformats.org/officeDocument/2006/relationships/vmlDrawing" Target="../drawings/vmlDrawing216.vml"/><Relationship Id="rId2" Type="http://schemas.openxmlformats.org/officeDocument/2006/relationships/drawing" Target="../drawings/drawing65.xml"/><Relationship Id="rId1" Type="http://schemas.openxmlformats.org/officeDocument/2006/relationships/printerSettings" Target="../printerSettings/printerSettings363.bin"/><Relationship Id="rId5" Type="http://schemas.openxmlformats.org/officeDocument/2006/relationships/comments" Target="../comments215.xml"/><Relationship Id="rId4" Type="http://schemas.openxmlformats.org/officeDocument/2006/relationships/table" Target="../tables/table699.xml"/></Relationships>
</file>

<file path=xl/worksheets/_rels/sheet700.xml.rels><?xml version="1.0" encoding="UTF-8" standalone="yes"?>
<Relationships xmlns="http://schemas.openxmlformats.org/package/2006/relationships"><Relationship Id="rId3" Type="http://schemas.openxmlformats.org/officeDocument/2006/relationships/vmlDrawing" Target="../drawings/vmlDrawing217.vml"/><Relationship Id="rId2" Type="http://schemas.openxmlformats.org/officeDocument/2006/relationships/drawing" Target="../drawings/drawing66.xml"/><Relationship Id="rId1" Type="http://schemas.openxmlformats.org/officeDocument/2006/relationships/printerSettings" Target="../printerSettings/printerSettings364.bin"/><Relationship Id="rId5" Type="http://schemas.openxmlformats.org/officeDocument/2006/relationships/comments" Target="../comments216.xml"/><Relationship Id="rId4" Type="http://schemas.openxmlformats.org/officeDocument/2006/relationships/table" Target="../tables/table700.xml"/></Relationships>
</file>

<file path=xl/worksheets/_rels/sheet701.xml.rels><?xml version="1.0" encoding="UTF-8" standalone="yes"?>
<Relationships xmlns="http://schemas.openxmlformats.org/package/2006/relationships"><Relationship Id="rId3" Type="http://schemas.openxmlformats.org/officeDocument/2006/relationships/vmlDrawing" Target="../drawings/vmlDrawing218.vml"/><Relationship Id="rId2" Type="http://schemas.openxmlformats.org/officeDocument/2006/relationships/drawing" Target="../drawings/drawing67.xml"/><Relationship Id="rId1" Type="http://schemas.openxmlformats.org/officeDocument/2006/relationships/printerSettings" Target="../printerSettings/printerSettings365.bin"/><Relationship Id="rId5" Type="http://schemas.openxmlformats.org/officeDocument/2006/relationships/comments" Target="../comments217.xml"/><Relationship Id="rId4" Type="http://schemas.openxmlformats.org/officeDocument/2006/relationships/table" Target="../tables/table701.xml"/></Relationships>
</file>

<file path=xl/worksheets/_rels/sheet702.xml.rels><?xml version="1.0" encoding="UTF-8" standalone="yes"?>
<Relationships xmlns="http://schemas.openxmlformats.org/package/2006/relationships"><Relationship Id="rId3" Type="http://schemas.openxmlformats.org/officeDocument/2006/relationships/vmlDrawing" Target="../drawings/vmlDrawing219.vml"/><Relationship Id="rId2" Type="http://schemas.openxmlformats.org/officeDocument/2006/relationships/drawing" Target="../drawings/drawing68.xml"/><Relationship Id="rId1" Type="http://schemas.openxmlformats.org/officeDocument/2006/relationships/printerSettings" Target="../printerSettings/printerSettings366.bin"/><Relationship Id="rId5" Type="http://schemas.openxmlformats.org/officeDocument/2006/relationships/comments" Target="../comments218.xml"/><Relationship Id="rId4" Type="http://schemas.openxmlformats.org/officeDocument/2006/relationships/table" Target="../tables/table702.xml"/></Relationships>
</file>

<file path=xl/worksheets/_rels/sheet703.xml.rels><?xml version="1.0" encoding="UTF-8" standalone="yes"?>
<Relationships xmlns="http://schemas.openxmlformats.org/package/2006/relationships"><Relationship Id="rId3" Type="http://schemas.openxmlformats.org/officeDocument/2006/relationships/vmlDrawing" Target="../drawings/vmlDrawing220.vml"/><Relationship Id="rId2" Type="http://schemas.openxmlformats.org/officeDocument/2006/relationships/drawing" Target="../drawings/drawing69.xml"/><Relationship Id="rId1" Type="http://schemas.openxmlformats.org/officeDocument/2006/relationships/printerSettings" Target="../printerSettings/printerSettings367.bin"/><Relationship Id="rId5" Type="http://schemas.openxmlformats.org/officeDocument/2006/relationships/comments" Target="../comments219.xml"/><Relationship Id="rId4" Type="http://schemas.openxmlformats.org/officeDocument/2006/relationships/table" Target="../tables/table703.xml"/></Relationships>
</file>

<file path=xl/worksheets/_rels/sheet704.xml.rels><?xml version="1.0" encoding="UTF-8" standalone="yes"?>
<Relationships xmlns="http://schemas.openxmlformats.org/package/2006/relationships"><Relationship Id="rId3" Type="http://schemas.openxmlformats.org/officeDocument/2006/relationships/vmlDrawing" Target="../drawings/vmlDrawing221.vml"/><Relationship Id="rId2" Type="http://schemas.openxmlformats.org/officeDocument/2006/relationships/drawing" Target="../drawings/drawing70.xml"/><Relationship Id="rId1" Type="http://schemas.openxmlformats.org/officeDocument/2006/relationships/printerSettings" Target="../printerSettings/printerSettings368.bin"/><Relationship Id="rId5" Type="http://schemas.openxmlformats.org/officeDocument/2006/relationships/comments" Target="../comments220.xml"/><Relationship Id="rId4" Type="http://schemas.openxmlformats.org/officeDocument/2006/relationships/table" Target="../tables/table704.xml"/></Relationships>
</file>

<file path=xl/worksheets/_rels/sheet705.xml.rels><?xml version="1.0" encoding="UTF-8" standalone="yes"?>
<Relationships xmlns="http://schemas.openxmlformats.org/package/2006/relationships"><Relationship Id="rId3" Type="http://schemas.openxmlformats.org/officeDocument/2006/relationships/table" Target="../tables/table705.xml"/><Relationship Id="rId2" Type="http://schemas.openxmlformats.org/officeDocument/2006/relationships/vmlDrawing" Target="../drawings/vmlDrawing222.vml"/><Relationship Id="rId1" Type="http://schemas.openxmlformats.org/officeDocument/2006/relationships/printerSettings" Target="../printerSettings/printerSettings369.bin"/><Relationship Id="rId4" Type="http://schemas.openxmlformats.org/officeDocument/2006/relationships/comments" Target="../comments221.xml"/></Relationships>
</file>

<file path=xl/worksheets/_rels/sheet706.xml.rels><?xml version="1.0" encoding="UTF-8" standalone="yes"?>
<Relationships xmlns="http://schemas.openxmlformats.org/package/2006/relationships"><Relationship Id="rId3" Type="http://schemas.openxmlformats.org/officeDocument/2006/relationships/table" Target="../tables/table706.xml"/><Relationship Id="rId2" Type="http://schemas.openxmlformats.org/officeDocument/2006/relationships/vmlDrawing" Target="../drawings/vmlDrawing223.vml"/><Relationship Id="rId1" Type="http://schemas.openxmlformats.org/officeDocument/2006/relationships/printerSettings" Target="../printerSettings/printerSettings370.bin"/><Relationship Id="rId4" Type="http://schemas.openxmlformats.org/officeDocument/2006/relationships/comments" Target="../comments222.xml"/></Relationships>
</file>

<file path=xl/worksheets/_rels/sheet707.xml.rels><?xml version="1.0" encoding="UTF-8" standalone="yes"?>
<Relationships xmlns="http://schemas.openxmlformats.org/package/2006/relationships"><Relationship Id="rId3" Type="http://schemas.openxmlformats.org/officeDocument/2006/relationships/table" Target="../tables/table707.xml"/><Relationship Id="rId2" Type="http://schemas.openxmlformats.org/officeDocument/2006/relationships/vmlDrawing" Target="../drawings/vmlDrawing224.vml"/><Relationship Id="rId1" Type="http://schemas.openxmlformats.org/officeDocument/2006/relationships/printerSettings" Target="../printerSettings/printerSettings371.bin"/><Relationship Id="rId4" Type="http://schemas.openxmlformats.org/officeDocument/2006/relationships/comments" Target="../comments223.xml"/></Relationships>
</file>

<file path=xl/worksheets/_rels/sheet708.xml.rels><?xml version="1.0" encoding="UTF-8" standalone="yes"?>
<Relationships xmlns="http://schemas.openxmlformats.org/package/2006/relationships"><Relationship Id="rId3" Type="http://schemas.openxmlformats.org/officeDocument/2006/relationships/table" Target="../tables/table708.xml"/><Relationship Id="rId2" Type="http://schemas.openxmlformats.org/officeDocument/2006/relationships/vmlDrawing" Target="../drawings/vmlDrawing225.vml"/><Relationship Id="rId1" Type="http://schemas.openxmlformats.org/officeDocument/2006/relationships/printerSettings" Target="../printerSettings/printerSettings372.bin"/><Relationship Id="rId4" Type="http://schemas.openxmlformats.org/officeDocument/2006/relationships/comments" Target="../comments224.xml"/></Relationships>
</file>

<file path=xl/worksheets/_rels/sheet709.xml.rels><?xml version="1.0" encoding="UTF-8" standalone="yes"?>
<Relationships xmlns="http://schemas.openxmlformats.org/package/2006/relationships"><Relationship Id="rId3" Type="http://schemas.openxmlformats.org/officeDocument/2006/relationships/table" Target="../tables/table709.xml"/><Relationship Id="rId2" Type="http://schemas.openxmlformats.org/officeDocument/2006/relationships/vmlDrawing" Target="../drawings/vmlDrawing226.vml"/><Relationship Id="rId1" Type="http://schemas.openxmlformats.org/officeDocument/2006/relationships/printerSettings" Target="../printerSettings/printerSettings373.bin"/><Relationship Id="rId4" Type="http://schemas.openxmlformats.org/officeDocument/2006/relationships/comments" Target="../comments225.xml"/></Relationships>
</file>

<file path=xl/worksheets/_rels/sheet710.xml.rels><?xml version="1.0" encoding="UTF-8" standalone="yes"?>
<Relationships xmlns="http://schemas.openxmlformats.org/package/2006/relationships"><Relationship Id="rId3" Type="http://schemas.openxmlformats.org/officeDocument/2006/relationships/table" Target="../tables/table710.xml"/><Relationship Id="rId2" Type="http://schemas.openxmlformats.org/officeDocument/2006/relationships/vmlDrawing" Target="../drawings/vmlDrawing227.vml"/><Relationship Id="rId1" Type="http://schemas.openxmlformats.org/officeDocument/2006/relationships/printerSettings" Target="../printerSettings/printerSettings374.bin"/><Relationship Id="rId4" Type="http://schemas.openxmlformats.org/officeDocument/2006/relationships/comments" Target="../comments226.xml"/></Relationships>
</file>

<file path=xl/worksheets/_rels/sheet711.xml.rels><?xml version="1.0" encoding="UTF-8" standalone="yes"?>
<Relationships xmlns="http://schemas.openxmlformats.org/package/2006/relationships"><Relationship Id="rId3" Type="http://schemas.openxmlformats.org/officeDocument/2006/relationships/table" Target="../tables/table711.xml"/><Relationship Id="rId2" Type="http://schemas.openxmlformats.org/officeDocument/2006/relationships/vmlDrawing" Target="../drawings/vmlDrawing228.vml"/><Relationship Id="rId1" Type="http://schemas.openxmlformats.org/officeDocument/2006/relationships/printerSettings" Target="../printerSettings/printerSettings375.bin"/><Relationship Id="rId4" Type="http://schemas.openxmlformats.org/officeDocument/2006/relationships/comments" Target="../comments227.xml"/></Relationships>
</file>

<file path=xl/worksheets/_rels/sheet712.xml.rels><?xml version="1.0" encoding="UTF-8" standalone="yes"?>
<Relationships xmlns="http://schemas.openxmlformats.org/package/2006/relationships"><Relationship Id="rId3" Type="http://schemas.openxmlformats.org/officeDocument/2006/relationships/table" Target="../tables/table712.xml"/><Relationship Id="rId2" Type="http://schemas.openxmlformats.org/officeDocument/2006/relationships/vmlDrawing" Target="../drawings/vmlDrawing229.vml"/><Relationship Id="rId1" Type="http://schemas.openxmlformats.org/officeDocument/2006/relationships/printerSettings" Target="../printerSettings/printerSettings376.bin"/><Relationship Id="rId4" Type="http://schemas.openxmlformats.org/officeDocument/2006/relationships/comments" Target="../comments228.xml"/></Relationships>
</file>

<file path=xl/worksheets/_rels/sheet713.xml.rels><?xml version="1.0" encoding="UTF-8" standalone="yes"?>
<Relationships xmlns="http://schemas.openxmlformats.org/package/2006/relationships"><Relationship Id="rId3" Type="http://schemas.openxmlformats.org/officeDocument/2006/relationships/table" Target="../tables/table713.xml"/><Relationship Id="rId2" Type="http://schemas.openxmlformats.org/officeDocument/2006/relationships/vmlDrawing" Target="../drawings/vmlDrawing230.vml"/><Relationship Id="rId1" Type="http://schemas.openxmlformats.org/officeDocument/2006/relationships/printerSettings" Target="../printerSettings/printerSettings377.bin"/><Relationship Id="rId4" Type="http://schemas.openxmlformats.org/officeDocument/2006/relationships/comments" Target="../comments229.xml"/></Relationships>
</file>

<file path=xl/worksheets/_rels/sheet714.xml.rels><?xml version="1.0" encoding="UTF-8" standalone="yes"?>
<Relationships xmlns="http://schemas.openxmlformats.org/package/2006/relationships"><Relationship Id="rId3" Type="http://schemas.openxmlformats.org/officeDocument/2006/relationships/table" Target="../tables/table714.xml"/><Relationship Id="rId2" Type="http://schemas.openxmlformats.org/officeDocument/2006/relationships/vmlDrawing" Target="../drawings/vmlDrawing231.vml"/><Relationship Id="rId1" Type="http://schemas.openxmlformats.org/officeDocument/2006/relationships/printerSettings" Target="../printerSettings/printerSettings378.bin"/><Relationship Id="rId4" Type="http://schemas.openxmlformats.org/officeDocument/2006/relationships/comments" Target="../comments230.xml"/></Relationships>
</file>

<file path=xl/worksheets/_rels/sheet715.xml.rels><?xml version="1.0" encoding="UTF-8" standalone="yes"?>
<Relationships xmlns="http://schemas.openxmlformats.org/package/2006/relationships"><Relationship Id="rId3" Type="http://schemas.openxmlformats.org/officeDocument/2006/relationships/table" Target="../tables/table715.xml"/><Relationship Id="rId2" Type="http://schemas.openxmlformats.org/officeDocument/2006/relationships/vmlDrawing" Target="../drawings/vmlDrawing232.vml"/><Relationship Id="rId1" Type="http://schemas.openxmlformats.org/officeDocument/2006/relationships/printerSettings" Target="../printerSettings/printerSettings379.bin"/><Relationship Id="rId4" Type="http://schemas.openxmlformats.org/officeDocument/2006/relationships/comments" Target="../comments231.xml"/></Relationships>
</file>

<file path=xl/worksheets/_rels/sheet716.xml.rels><?xml version="1.0" encoding="UTF-8" standalone="yes"?>
<Relationships xmlns="http://schemas.openxmlformats.org/package/2006/relationships"><Relationship Id="rId3" Type="http://schemas.openxmlformats.org/officeDocument/2006/relationships/table" Target="../tables/table716.xml"/><Relationship Id="rId2" Type="http://schemas.openxmlformats.org/officeDocument/2006/relationships/vmlDrawing" Target="../drawings/vmlDrawing233.vml"/><Relationship Id="rId1" Type="http://schemas.openxmlformats.org/officeDocument/2006/relationships/printerSettings" Target="../printerSettings/printerSettings380.bin"/><Relationship Id="rId4" Type="http://schemas.openxmlformats.org/officeDocument/2006/relationships/comments" Target="../comments232.xml"/></Relationships>
</file>

<file path=xl/worksheets/_rels/sheet717.xml.rels><?xml version="1.0" encoding="UTF-8" standalone="yes"?>
<Relationships xmlns="http://schemas.openxmlformats.org/package/2006/relationships"><Relationship Id="rId3" Type="http://schemas.openxmlformats.org/officeDocument/2006/relationships/table" Target="../tables/table717.xml"/><Relationship Id="rId2" Type="http://schemas.openxmlformats.org/officeDocument/2006/relationships/vmlDrawing" Target="../drawings/vmlDrawing234.vml"/><Relationship Id="rId1" Type="http://schemas.openxmlformats.org/officeDocument/2006/relationships/printerSettings" Target="../printerSettings/printerSettings381.bin"/><Relationship Id="rId4" Type="http://schemas.openxmlformats.org/officeDocument/2006/relationships/comments" Target="../comments233.xml"/></Relationships>
</file>

<file path=xl/worksheets/_rels/sheet718.xml.rels><?xml version="1.0" encoding="UTF-8" standalone="yes"?>
<Relationships xmlns="http://schemas.openxmlformats.org/package/2006/relationships"><Relationship Id="rId3" Type="http://schemas.openxmlformats.org/officeDocument/2006/relationships/table" Target="../tables/table718.xml"/><Relationship Id="rId2" Type="http://schemas.openxmlformats.org/officeDocument/2006/relationships/vmlDrawing" Target="../drawings/vmlDrawing235.vml"/><Relationship Id="rId1" Type="http://schemas.openxmlformats.org/officeDocument/2006/relationships/printerSettings" Target="../printerSettings/printerSettings382.bin"/><Relationship Id="rId4" Type="http://schemas.openxmlformats.org/officeDocument/2006/relationships/comments" Target="../comments234.xml"/></Relationships>
</file>

<file path=xl/worksheets/_rels/sheet719.xml.rels><?xml version="1.0" encoding="UTF-8" standalone="yes"?>
<Relationships xmlns="http://schemas.openxmlformats.org/package/2006/relationships"><Relationship Id="rId3" Type="http://schemas.openxmlformats.org/officeDocument/2006/relationships/table" Target="../tables/table719.xml"/><Relationship Id="rId2" Type="http://schemas.openxmlformats.org/officeDocument/2006/relationships/vmlDrawing" Target="../drawings/vmlDrawing236.vml"/><Relationship Id="rId1" Type="http://schemas.openxmlformats.org/officeDocument/2006/relationships/printerSettings" Target="../printerSettings/printerSettings383.bin"/><Relationship Id="rId4" Type="http://schemas.openxmlformats.org/officeDocument/2006/relationships/comments" Target="../comments235.xml"/></Relationships>
</file>

<file path=xl/worksheets/_rels/sheet720.xml.rels><?xml version="1.0" encoding="UTF-8" standalone="yes"?>
<Relationships xmlns="http://schemas.openxmlformats.org/package/2006/relationships"><Relationship Id="rId3" Type="http://schemas.openxmlformats.org/officeDocument/2006/relationships/table" Target="../tables/table720.xml"/><Relationship Id="rId2" Type="http://schemas.openxmlformats.org/officeDocument/2006/relationships/vmlDrawing" Target="../drawings/vmlDrawing237.vml"/><Relationship Id="rId1" Type="http://schemas.openxmlformats.org/officeDocument/2006/relationships/printerSettings" Target="../printerSettings/printerSettings384.bin"/><Relationship Id="rId4" Type="http://schemas.openxmlformats.org/officeDocument/2006/relationships/comments" Target="../comments236.xml"/></Relationships>
</file>

<file path=xl/worksheets/_rels/sheet721.xml.rels><?xml version="1.0" encoding="UTF-8" standalone="yes"?>
<Relationships xmlns="http://schemas.openxmlformats.org/package/2006/relationships"><Relationship Id="rId3" Type="http://schemas.openxmlformats.org/officeDocument/2006/relationships/table" Target="../tables/table721.xml"/><Relationship Id="rId2" Type="http://schemas.openxmlformats.org/officeDocument/2006/relationships/vmlDrawing" Target="../drawings/vmlDrawing238.vml"/><Relationship Id="rId1" Type="http://schemas.openxmlformats.org/officeDocument/2006/relationships/printerSettings" Target="../printerSettings/printerSettings385.bin"/><Relationship Id="rId4" Type="http://schemas.openxmlformats.org/officeDocument/2006/relationships/comments" Target="../comments237.xml"/></Relationships>
</file>

<file path=xl/worksheets/_rels/sheet722.xml.rels><?xml version="1.0" encoding="UTF-8" standalone="yes"?>
<Relationships xmlns="http://schemas.openxmlformats.org/package/2006/relationships"><Relationship Id="rId3" Type="http://schemas.openxmlformats.org/officeDocument/2006/relationships/table" Target="../tables/table722.xml"/><Relationship Id="rId2" Type="http://schemas.openxmlformats.org/officeDocument/2006/relationships/vmlDrawing" Target="../drawings/vmlDrawing239.vml"/><Relationship Id="rId1" Type="http://schemas.openxmlformats.org/officeDocument/2006/relationships/printerSettings" Target="../printerSettings/printerSettings386.bin"/><Relationship Id="rId4" Type="http://schemas.openxmlformats.org/officeDocument/2006/relationships/comments" Target="../comments238.xml"/></Relationships>
</file>

<file path=xl/worksheets/_rels/sheet723.xml.rels><?xml version="1.0" encoding="UTF-8" standalone="yes"?>
<Relationships xmlns="http://schemas.openxmlformats.org/package/2006/relationships"><Relationship Id="rId3" Type="http://schemas.openxmlformats.org/officeDocument/2006/relationships/table" Target="../tables/table723.xml"/><Relationship Id="rId2" Type="http://schemas.openxmlformats.org/officeDocument/2006/relationships/vmlDrawing" Target="../drawings/vmlDrawing240.vml"/><Relationship Id="rId1" Type="http://schemas.openxmlformats.org/officeDocument/2006/relationships/printerSettings" Target="../printerSettings/printerSettings387.bin"/><Relationship Id="rId4" Type="http://schemas.openxmlformats.org/officeDocument/2006/relationships/comments" Target="../comments239.xml"/></Relationships>
</file>

<file path=xl/worksheets/_rels/sheet724.xml.rels><?xml version="1.0" encoding="UTF-8" standalone="yes"?>
<Relationships xmlns="http://schemas.openxmlformats.org/package/2006/relationships"><Relationship Id="rId3" Type="http://schemas.openxmlformats.org/officeDocument/2006/relationships/table" Target="../tables/table724.xml"/><Relationship Id="rId2" Type="http://schemas.openxmlformats.org/officeDocument/2006/relationships/vmlDrawing" Target="../drawings/vmlDrawing241.vml"/><Relationship Id="rId1" Type="http://schemas.openxmlformats.org/officeDocument/2006/relationships/printerSettings" Target="../printerSettings/printerSettings388.bin"/><Relationship Id="rId4" Type="http://schemas.openxmlformats.org/officeDocument/2006/relationships/comments" Target="../comments240.xml"/></Relationships>
</file>

<file path=xl/worksheets/_rels/sheet725.xml.rels><?xml version="1.0" encoding="UTF-8" standalone="yes"?>
<Relationships xmlns="http://schemas.openxmlformats.org/package/2006/relationships"><Relationship Id="rId3" Type="http://schemas.openxmlformats.org/officeDocument/2006/relationships/table" Target="../tables/table725.xml"/><Relationship Id="rId2" Type="http://schemas.openxmlformats.org/officeDocument/2006/relationships/vmlDrawing" Target="../drawings/vmlDrawing242.vml"/><Relationship Id="rId1" Type="http://schemas.openxmlformats.org/officeDocument/2006/relationships/printerSettings" Target="../printerSettings/printerSettings389.bin"/><Relationship Id="rId4" Type="http://schemas.openxmlformats.org/officeDocument/2006/relationships/comments" Target="../comments241.xml"/></Relationships>
</file>

<file path=xl/worksheets/_rels/sheet726.xml.rels><?xml version="1.0" encoding="UTF-8" standalone="yes"?>
<Relationships xmlns="http://schemas.openxmlformats.org/package/2006/relationships"><Relationship Id="rId3" Type="http://schemas.openxmlformats.org/officeDocument/2006/relationships/table" Target="../tables/table726.xml"/><Relationship Id="rId2" Type="http://schemas.openxmlformats.org/officeDocument/2006/relationships/vmlDrawing" Target="../drawings/vmlDrawing243.vml"/><Relationship Id="rId1" Type="http://schemas.openxmlformats.org/officeDocument/2006/relationships/printerSettings" Target="../printerSettings/printerSettings390.bin"/><Relationship Id="rId4" Type="http://schemas.openxmlformats.org/officeDocument/2006/relationships/comments" Target="../comments242.xml"/></Relationships>
</file>

<file path=xl/worksheets/_rels/sheet727.xml.rels><?xml version="1.0" encoding="UTF-8" standalone="yes"?>
<Relationships xmlns="http://schemas.openxmlformats.org/package/2006/relationships"><Relationship Id="rId3" Type="http://schemas.openxmlformats.org/officeDocument/2006/relationships/table" Target="../tables/table727.xml"/><Relationship Id="rId2" Type="http://schemas.openxmlformats.org/officeDocument/2006/relationships/vmlDrawing" Target="../drawings/vmlDrawing244.vml"/><Relationship Id="rId1" Type="http://schemas.openxmlformats.org/officeDocument/2006/relationships/printerSettings" Target="../printerSettings/printerSettings391.bin"/><Relationship Id="rId4" Type="http://schemas.openxmlformats.org/officeDocument/2006/relationships/comments" Target="../comments243.xml"/></Relationships>
</file>

<file path=xl/worksheets/_rels/sheet728.xml.rels><?xml version="1.0" encoding="UTF-8" standalone="yes"?>
<Relationships xmlns="http://schemas.openxmlformats.org/package/2006/relationships"><Relationship Id="rId3" Type="http://schemas.openxmlformats.org/officeDocument/2006/relationships/table" Target="../tables/table728.xml"/><Relationship Id="rId2" Type="http://schemas.openxmlformats.org/officeDocument/2006/relationships/vmlDrawing" Target="../drawings/vmlDrawing245.vml"/><Relationship Id="rId1" Type="http://schemas.openxmlformats.org/officeDocument/2006/relationships/printerSettings" Target="../printerSettings/printerSettings392.bin"/><Relationship Id="rId4" Type="http://schemas.openxmlformats.org/officeDocument/2006/relationships/comments" Target="../comments244.xml"/></Relationships>
</file>

<file path=xl/worksheets/_rels/sheet729.xml.rels><?xml version="1.0" encoding="UTF-8" standalone="yes"?>
<Relationships xmlns="http://schemas.openxmlformats.org/package/2006/relationships"><Relationship Id="rId3" Type="http://schemas.openxmlformats.org/officeDocument/2006/relationships/table" Target="../tables/table729.xml"/><Relationship Id="rId2" Type="http://schemas.openxmlformats.org/officeDocument/2006/relationships/vmlDrawing" Target="../drawings/vmlDrawing246.vml"/><Relationship Id="rId1" Type="http://schemas.openxmlformats.org/officeDocument/2006/relationships/printerSettings" Target="../printerSettings/printerSettings393.bin"/><Relationship Id="rId4" Type="http://schemas.openxmlformats.org/officeDocument/2006/relationships/comments" Target="../comments245.xml"/></Relationships>
</file>

<file path=xl/worksheets/_rels/sheet730.xml.rels><?xml version="1.0" encoding="UTF-8" standalone="yes"?>
<Relationships xmlns="http://schemas.openxmlformats.org/package/2006/relationships"><Relationship Id="rId3" Type="http://schemas.openxmlformats.org/officeDocument/2006/relationships/table" Target="../tables/table730.xml"/><Relationship Id="rId2" Type="http://schemas.openxmlformats.org/officeDocument/2006/relationships/vmlDrawing" Target="../drawings/vmlDrawing247.vml"/><Relationship Id="rId1" Type="http://schemas.openxmlformats.org/officeDocument/2006/relationships/printerSettings" Target="../printerSettings/printerSettings394.bin"/><Relationship Id="rId4" Type="http://schemas.openxmlformats.org/officeDocument/2006/relationships/comments" Target="../comments246.xml"/></Relationships>
</file>

<file path=xl/worksheets/_rels/sheet731.xml.rels><?xml version="1.0" encoding="UTF-8" standalone="yes"?>
<Relationships xmlns="http://schemas.openxmlformats.org/package/2006/relationships"><Relationship Id="rId3" Type="http://schemas.openxmlformats.org/officeDocument/2006/relationships/table" Target="../tables/table731.xml"/><Relationship Id="rId2" Type="http://schemas.openxmlformats.org/officeDocument/2006/relationships/vmlDrawing" Target="../drawings/vmlDrawing248.vml"/><Relationship Id="rId1" Type="http://schemas.openxmlformats.org/officeDocument/2006/relationships/printerSettings" Target="../printerSettings/printerSettings395.bin"/><Relationship Id="rId4" Type="http://schemas.openxmlformats.org/officeDocument/2006/relationships/comments" Target="../comments247.xml"/></Relationships>
</file>

<file path=xl/worksheets/_rels/sheet732.xml.rels><?xml version="1.0" encoding="UTF-8" standalone="yes"?>
<Relationships xmlns="http://schemas.openxmlformats.org/package/2006/relationships"><Relationship Id="rId3" Type="http://schemas.openxmlformats.org/officeDocument/2006/relationships/table" Target="../tables/table732.xml"/><Relationship Id="rId2" Type="http://schemas.openxmlformats.org/officeDocument/2006/relationships/vmlDrawing" Target="../drawings/vmlDrawing249.vml"/><Relationship Id="rId1" Type="http://schemas.openxmlformats.org/officeDocument/2006/relationships/printerSettings" Target="../printerSettings/printerSettings396.bin"/><Relationship Id="rId4" Type="http://schemas.openxmlformats.org/officeDocument/2006/relationships/comments" Target="../comments248.xml"/></Relationships>
</file>

<file path=xl/worksheets/_rels/sheet733.xml.rels><?xml version="1.0" encoding="UTF-8" standalone="yes"?>
<Relationships xmlns="http://schemas.openxmlformats.org/package/2006/relationships"><Relationship Id="rId3" Type="http://schemas.openxmlformats.org/officeDocument/2006/relationships/table" Target="../tables/table733.xml"/><Relationship Id="rId2" Type="http://schemas.openxmlformats.org/officeDocument/2006/relationships/vmlDrawing" Target="../drawings/vmlDrawing250.vml"/><Relationship Id="rId1" Type="http://schemas.openxmlformats.org/officeDocument/2006/relationships/printerSettings" Target="../printerSettings/printerSettings397.bin"/><Relationship Id="rId4" Type="http://schemas.openxmlformats.org/officeDocument/2006/relationships/comments" Target="../comments249.xml"/></Relationships>
</file>

<file path=xl/worksheets/_rels/sheet734.xml.rels><?xml version="1.0" encoding="UTF-8" standalone="yes"?>
<Relationships xmlns="http://schemas.openxmlformats.org/package/2006/relationships"><Relationship Id="rId3" Type="http://schemas.openxmlformats.org/officeDocument/2006/relationships/table" Target="../tables/table734.xml"/><Relationship Id="rId2" Type="http://schemas.openxmlformats.org/officeDocument/2006/relationships/vmlDrawing" Target="../drawings/vmlDrawing251.vml"/><Relationship Id="rId1" Type="http://schemas.openxmlformats.org/officeDocument/2006/relationships/printerSettings" Target="../printerSettings/printerSettings398.bin"/><Relationship Id="rId4" Type="http://schemas.openxmlformats.org/officeDocument/2006/relationships/comments" Target="../comments250.xml"/></Relationships>
</file>

<file path=xl/worksheets/_rels/sheet735.xml.rels><?xml version="1.0" encoding="UTF-8" standalone="yes"?>
<Relationships xmlns="http://schemas.openxmlformats.org/package/2006/relationships"><Relationship Id="rId3" Type="http://schemas.openxmlformats.org/officeDocument/2006/relationships/table" Target="../tables/table735.xml"/><Relationship Id="rId2" Type="http://schemas.openxmlformats.org/officeDocument/2006/relationships/vmlDrawing" Target="../drawings/vmlDrawing252.vml"/><Relationship Id="rId1" Type="http://schemas.openxmlformats.org/officeDocument/2006/relationships/printerSettings" Target="../printerSettings/printerSettings399.bin"/><Relationship Id="rId4" Type="http://schemas.openxmlformats.org/officeDocument/2006/relationships/comments" Target="../comments251.xml"/></Relationships>
</file>

<file path=xl/worksheets/_rels/sheet736.xml.rels><?xml version="1.0" encoding="UTF-8" standalone="yes"?>
<Relationships xmlns="http://schemas.openxmlformats.org/package/2006/relationships"><Relationship Id="rId3" Type="http://schemas.openxmlformats.org/officeDocument/2006/relationships/table" Target="../tables/table736.xml"/><Relationship Id="rId2" Type="http://schemas.openxmlformats.org/officeDocument/2006/relationships/vmlDrawing" Target="../drawings/vmlDrawing253.vml"/><Relationship Id="rId1" Type="http://schemas.openxmlformats.org/officeDocument/2006/relationships/printerSettings" Target="../printerSettings/printerSettings400.bin"/><Relationship Id="rId4" Type="http://schemas.openxmlformats.org/officeDocument/2006/relationships/comments" Target="../comments252.xml"/></Relationships>
</file>

<file path=xl/worksheets/_rels/sheet737.xml.rels><?xml version="1.0" encoding="UTF-8" standalone="yes"?>
<Relationships xmlns="http://schemas.openxmlformats.org/package/2006/relationships"><Relationship Id="rId3" Type="http://schemas.openxmlformats.org/officeDocument/2006/relationships/table" Target="../tables/table737.xml"/><Relationship Id="rId2" Type="http://schemas.openxmlformats.org/officeDocument/2006/relationships/vmlDrawing" Target="../drawings/vmlDrawing254.vml"/><Relationship Id="rId1" Type="http://schemas.openxmlformats.org/officeDocument/2006/relationships/printerSettings" Target="../printerSettings/printerSettings401.bin"/><Relationship Id="rId4" Type="http://schemas.openxmlformats.org/officeDocument/2006/relationships/comments" Target="../comments253.xml"/></Relationships>
</file>

<file path=xl/worksheets/_rels/sheet738.xml.rels><?xml version="1.0" encoding="UTF-8" standalone="yes"?>
<Relationships xmlns="http://schemas.openxmlformats.org/package/2006/relationships"><Relationship Id="rId3" Type="http://schemas.openxmlformats.org/officeDocument/2006/relationships/table" Target="../tables/table738.xml"/><Relationship Id="rId2" Type="http://schemas.openxmlformats.org/officeDocument/2006/relationships/vmlDrawing" Target="../drawings/vmlDrawing255.vml"/><Relationship Id="rId1" Type="http://schemas.openxmlformats.org/officeDocument/2006/relationships/printerSettings" Target="../printerSettings/printerSettings402.bin"/><Relationship Id="rId4" Type="http://schemas.openxmlformats.org/officeDocument/2006/relationships/comments" Target="../comments254.xml"/></Relationships>
</file>

<file path=xl/worksheets/_rels/sheet739.xml.rels><?xml version="1.0" encoding="UTF-8" standalone="yes"?>
<Relationships xmlns="http://schemas.openxmlformats.org/package/2006/relationships"><Relationship Id="rId3" Type="http://schemas.openxmlformats.org/officeDocument/2006/relationships/table" Target="../tables/table739.xml"/><Relationship Id="rId2" Type="http://schemas.openxmlformats.org/officeDocument/2006/relationships/vmlDrawing" Target="../drawings/vmlDrawing256.vml"/><Relationship Id="rId1" Type="http://schemas.openxmlformats.org/officeDocument/2006/relationships/printerSettings" Target="../printerSettings/printerSettings403.bin"/><Relationship Id="rId4" Type="http://schemas.openxmlformats.org/officeDocument/2006/relationships/comments" Target="../comments255.xml"/></Relationships>
</file>

<file path=xl/worksheets/_rels/sheet740.xml.rels><?xml version="1.0" encoding="UTF-8" standalone="yes"?>
<Relationships xmlns="http://schemas.openxmlformats.org/package/2006/relationships"><Relationship Id="rId3" Type="http://schemas.openxmlformats.org/officeDocument/2006/relationships/table" Target="../tables/table740.xml"/><Relationship Id="rId2" Type="http://schemas.openxmlformats.org/officeDocument/2006/relationships/vmlDrawing" Target="../drawings/vmlDrawing257.vml"/><Relationship Id="rId1" Type="http://schemas.openxmlformats.org/officeDocument/2006/relationships/printerSettings" Target="../printerSettings/printerSettings404.bin"/><Relationship Id="rId4" Type="http://schemas.openxmlformats.org/officeDocument/2006/relationships/comments" Target="../comments256.xml"/></Relationships>
</file>

<file path=xl/worksheets/_rels/sheet741.xml.rels><?xml version="1.0" encoding="UTF-8" standalone="yes"?>
<Relationships xmlns="http://schemas.openxmlformats.org/package/2006/relationships"><Relationship Id="rId3" Type="http://schemas.openxmlformats.org/officeDocument/2006/relationships/table" Target="../tables/table741.xml"/><Relationship Id="rId2" Type="http://schemas.openxmlformats.org/officeDocument/2006/relationships/vmlDrawing" Target="../drawings/vmlDrawing258.vml"/><Relationship Id="rId1" Type="http://schemas.openxmlformats.org/officeDocument/2006/relationships/printerSettings" Target="../printerSettings/printerSettings405.bin"/><Relationship Id="rId4" Type="http://schemas.openxmlformats.org/officeDocument/2006/relationships/comments" Target="../comments257.xml"/></Relationships>
</file>

<file path=xl/worksheets/_rels/sheet742.xml.rels><?xml version="1.0" encoding="UTF-8" standalone="yes"?>
<Relationships xmlns="http://schemas.openxmlformats.org/package/2006/relationships"><Relationship Id="rId3" Type="http://schemas.openxmlformats.org/officeDocument/2006/relationships/table" Target="../tables/table742.xml"/><Relationship Id="rId2" Type="http://schemas.openxmlformats.org/officeDocument/2006/relationships/vmlDrawing" Target="../drawings/vmlDrawing259.vml"/><Relationship Id="rId1" Type="http://schemas.openxmlformats.org/officeDocument/2006/relationships/printerSettings" Target="../printerSettings/printerSettings406.bin"/><Relationship Id="rId4" Type="http://schemas.openxmlformats.org/officeDocument/2006/relationships/comments" Target="../comments258.xml"/></Relationships>
</file>

<file path=xl/worksheets/_rels/sheet743.xml.rels><?xml version="1.0" encoding="UTF-8" standalone="yes"?>
<Relationships xmlns="http://schemas.openxmlformats.org/package/2006/relationships"><Relationship Id="rId3" Type="http://schemas.openxmlformats.org/officeDocument/2006/relationships/table" Target="../tables/table743.xml"/><Relationship Id="rId2" Type="http://schemas.openxmlformats.org/officeDocument/2006/relationships/vmlDrawing" Target="../drawings/vmlDrawing260.vml"/><Relationship Id="rId1" Type="http://schemas.openxmlformats.org/officeDocument/2006/relationships/printerSettings" Target="../printerSettings/printerSettings407.bin"/><Relationship Id="rId4" Type="http://schemas.openxmlformats.org/officeDocument/2006/relationships/comments" Target="../comments259.xml"/></Relationships>
</file>

<file path=xl/worksheets/_rels/sheet744.xml.rels><?xml version="1.0" encoding="UTF-8" standalone="yes"?>
<Relationships xmlns="http://schemas.openxmlformats.org/package/2006/relationships"><Relationship Id="rId2" Type="http://schemas.openxmlformats.org/officeDocument/2006/relationships/printerSettings" Target="../printerSettings/printerSettings408.bin"/><Relationship Id="rId1" Type="http://schemas.openxmlformats.org/officeDocument/2006/relationships/pivotTable" Target="../pivotTables/pivotTable1.xml"/></Relationships>
</file>

<file path=xl/worksheets/_rels/sheet745.xml.rels><?xml version="1.0" encoding="UTF-8" standalone="yes"?>
<Relationships xmlns="http://schemas.openxmlformats.org/package/2006/relationships"><Relationship Id="rId1" Type="http://schemas.openxmlformats.org/officeDocument/2006/relationships/table" Target="../tables/table744.xml"/></Relationships>
</file>

<file path=xl/worksheets/_rels/sheet746.xml.rels><?xml version="1.0" encoding="UTF-8" standalone="yes"?>
<Relationships xmlns="http://schemas.openxmlformats.org/package/2006/relationships"><Relationship Id="rId2" Type="http://schemas.openxmlformats.org/officeDocument/2006/relationships/table" Target="../tables/table745.xml"/><Relationship Id="rId1" Type="http://schemas.openxmlformats.org/officeDocument/2006/relationships/printerSettings" Target="../printerSettings/printerSettings409.bin"/></Relationships>
</file>

<file path=xl/worksheets/_rels/sheet747.xml.rels><?xml version="1.0" encoding="UTF-8" standalone="yes"?>
<Relationships xmlns="http://schemas.openxmlformats.org/package/2006/relationships"><Relationship Id="rId3" Type="http://schemas.openxmlformats.org/officeDocument/2006/relationships/table" Target="../tables/table746.xml"/><Relationship Id="rId2" Type="http://schemas.openxmlformats.org/officeDocument/2006/relationships/vmlDrawing" Target="../drawings/vmlDrawing261.vml"/><Relationship Id="rId1" Type="http://schemas.openxmlformats.org/officeDocument/2006/relationships/printerSettings" Target="../printerSettings/printerSettings410.bin"/><Relationship Id="rId4" Type="http://schemas.openxmlformats.org/officeDocument/2006/relationships/comments" Target="../comments26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32"/>
  <sheetViews>
    <sheetView workbookViewId="0">
      <selection activeCell="G16" sqref="G1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43833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43833</v>
      </c>
    </row>
    <row r="7" spans="2:11" x14ac:dyDescent="0.3">
      <c r="B7" s="6" t="s">
        <v>37</v>
      </c>
      <c r="C7" s="22"/>
      <c r="D7" s="22"/>
      <c r="E7" s="22"/>
      <c r="F7" s="22"/>
      <c r="G7" s="22"/>
      <c r="H7" s="67">
        <f>$G$3</f>
        <v>43833</v>
      </c>
    </row>
    <row r="8" spans="2:11" x14ac:dyDescent="0.3">
      <c r="B8" s="6" t="s">
        <v>17</v>
      </c>
      <c r="C8" s="22"/>
      <c r="D8" s="22"/>
      <c r="E8" s="22"/>
      <c r="F8" s="22"/>
      <c r="G8" s="22"/>
      <c r="H8" s="12">
        <f t="shared" si="0"/>
        <v>43833</v>
      </c>
    </row>
    <row r="9" spans="2:11" ht="15.6" x14ac:dyDescent="0.3">
      <c r="B9" s="34" t="s">
        <v>0</v>
      </c>
      <c r="C9" s="60"/>
      <c r="D9" s="60"/>
      <c r="E9" s="60"/>
      <c r="F9" s="60"/>
      <c r="G9" s="61"/>
      <c r="H9" s="12">
        <f t="shared" si="0"/>
        <v>43833</v>
      </c>
    </row>
    <row r="10" spans="2:11" x14ac:dyDescent="0.3">
      <c r="B10" s="6" t="s">
        <v>25</v>
      </c>
      <c r="C10" s="22"/>
      <c r="D10" s="22">
        <v>54000</v>
      </c>
      <c r="E10" s="22"/>
      <c r="F10" s="22"/>
      <c r="G10" s="22"/>
      <c r="H10" s="12">
        <f t="shared" si="0"/>
        <v>43833</v>
      </c>
    </row>
    <row r="11" spans="2:11" x14ac:dyDescent="0.3">
      <c r="B11" s="6" t="s">
        <v>15</v>
      </c>
      <c r="C11" s="22"/>
      <c r="D11" s="22"/>
      <c r="E11" s="22"/>
      <c r="F11" s="48"/>
      <c r="G11" s="22"/>
      <c r="H11" s="12">
        <f t="shared" si="0"/>
        <v>43833</v>
      </c>
    </row>
    <row r="12" spans="2:11" x14ac:dyDescent="0.3">
      <c r="B12" s="6" t="s">
        <v>26</v>
      </c>
      <c r="C12" s="22"/>
      <c r="D12" s="22"/>
      <c r="E12" s="22"/>
      <c r="F12" s="22"/>
      <c r="G12" s="22"/>
      <c r="H12" s="12">
        <f t="shared" si="0"/>
        <v>43833</v>
      </c>
    </row>
    <row r="13" spans="2:11" x14ac:dyDescent="0.3">
      <c r="B13" s="6" t="s">
        <v>22</v>
      </c>
      <c r="C13" s="23"/>
      <c r="D13" s="23"/>
      <c r="E13" s="23"/>
      <c r="F13" s="22"/>
      <c r="G13" s="23"/>
      <c r="H13" s="12">
        <f t="shared" si="0"/>
        <v>43833</v>
      </c>
      <c r="K13" s="4"/>
    </row>
    <row r="14" spans="2:11" x14ac:dyDescent="0.3">
      <c r="B14" s="6" t="s">
        <v>19</v>
      </c>
      <c r="C14" s="22"/>
      <c r="D14" s="22"/>
      <c r="E14" s="22"/>
      <c r="F14" s="22"/>
      <c r="G14" s="22"/>
      <c r="H14" s="12">
        <f t="shared" si="0"/>
        <v>43833</v>
      </c>
    </row>
    <row r="15" spans="2:11" x14ac:dyDescent="0.3">
      <c r="B15" s="6" t="s">
        <v>14</v>
      </c>
      <c r="C15" s="22">
        <v>784000</v>
      </c>
      <c r="D15" s="22">
        <v>801000</v>
      </c>
      <c r="E15" s="22"/>
      <c r="F15" s="22"/>
      <c r="G15" s="22"/>
      <c r="H15" s="12">
        <f t="shared" si="0"/>
        <v>43833</v>
      </c>
    </row>
    <row r="16" spans="2:11" x14ac:dyDescent="0.3">
      <c r="B16" s="6" t="s">
        <v>24</v>
      </c>
      <c r="C16" s="22"/>
      <c r="D16" s="22"/>
      <c r="E16" s="22"/>
      <c r="F16" s="49"/>
      <c r="G16" s="22"/>
      <c r="H16" s="12">
        <f t="shared" si="0"/>
        <v>43833</v>
      </c>
    </row>
    <row r="17" spans="1:8" x14ac:dyDescent="0.3">
      <c r="B17" s="6" t="s">
        <v>21</v>
      </c>
      <c r="C17" s="22"/>
      <c r="D17" s="22"/>
      <c r="E17" s="22"/>
      <c r="F17" s="22"/>
      <c r="G17" s="22"/>
      <c r="H17" s="12">
        <f t="shared" si="0"/>
        <v>43833</v>
      </c>
    </row>
    <row r="18" spans="1:8" x14ac:dyDescent="0.3">
      <c r="B18" s="6" t="s">
        <v>18</v>
      </c>
      <c r="C18" s="22"/>
      <c r="D18" s="22"/>
      <c r="E18" s="22"/>
      <c r="F18" s="22"/>
      <c r="G18" s="22"/>
      <c r="H18" s="12">
        <f t="shared" si="0"/>
        <v>43833</v>
      </c>
    </row>
    <row r="19" spans="1:8" x14ac:dyDescent="0.3">
      <c r="B19" s="6" t="s">
        <v>16</v>
      </c>
      <c r="C19" s="22"/>
      <c r="D19" s="22"/>
      <c r="E19" s="22"/>
      <c r="F19" s="22"/>
      <c r="G19" s="22"/>
      <c r="H19" s="12">
        <f t="shared" si="0"/>
        <v>43833</v>
      </c>
    </row>
    <row r="20" spans="1:8" x14ac:dyDescent="0.3">
      <c r="B20" s="50" t="s">
        <v>27</v>
      </c>
      <c r="C20" s="51">
        <f>SUM(Jan03_2020[KSI_AGO])</f>
        <v>784000</v>
      </c>
      <c r="D20" s="51">
        <f>SUM(Jan03_2020[KSI_PMS])</f>
        <v>855000</v>
      </c>
      <c r="E20" s="51">
        <f>SUM(Jan03_2020[BUIPE_AGO])</f>
        <v>0</v>
      </c>
      <c r="F20" s="51">
        <f>SUM(Jan03_2020[BUIPE_PMS])</f>
        <v>0</v>
      </c>
      <c r="G20" s="51">
        <f>SUM(Jan03_2020[AKOSOMBO_AGO])</f>
        <v>0</v>
      </c>
      <c r="H20" s="52"/>
    </row>
    <row r="21" spans="1:8" x14ac:dyDescent="0.3">
      <c r="B21" s="8"/>
      <c r="C21" s="24"/>
      <c r="D21" s="24"/>
      <c r="E21" s="24"/>
      <c r="F21" s="24"/>
      <c r="G21" s="24"/>
      <c r="H21"/>
    </row>
    <row r="22" spans="1:8" x14ac:dyDescent="0.3">
      <c r="B22" s="1" t="s">
        <v>6</v>
      </c>
      <c r="C22" s="1" t="s">
        <v>4</v>
      </c>
      <c r="D22" s="5">
        <f>Jan03_2020[[#Totals],[KSI_AGO]]+Jan03_2020[[#Totals],[BUIPE_AGO]]+Jan03_2020[[#Totals],[AKOSOMBO_AGO]]</f>
        <v>784000</v>
      </c>
      <c r="E22" s="1" t="s">
        <v>5</v>
      </c>
      <c r="F22" s="5">
        <f>SUMIF(Jan03_2020[[#Headers],[KSI_AGO]:[AKOSOMBO_AGO]],"*"&amp;E22,Jan03_2020[[#Totals],[KSI_AGO]:[AKOSOMBO_AGO]])</f>
        <v>855000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000-000000000000}">
      <formula1>INDIRECT("BDC_List[BDC List]")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B8" sqref="B8"/>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43836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43836</v>
      </c>
    </row>
    <row r="7" spans="2:11" x14ac:dyDescent="0.3">
      <c r="B7" s="6" t="s">
        <v>37</v>
      </c>
      <c r="C7" s="22"/>
      <c r="D7" s="22"/>
      <c r="E7" s="22"/>
      <c r="F7" s="22"/>
      <c r="G7" s="22"/>
      <c r="H7" s="67">
        <f>$G$3</f>
        <v>43836</v>
      </c>
    </row>
    <row r="8" spans="2:11" x14ac:dyDescent="0.3">
      <c r="B8" s="6" t="s">
        <v>17</v>
      </c>
      <c r="C8" s="22"/>
      <c r="D8" s="22"/>
      <c r="E8" s="22"/>
      <c r="F8" s="22"/>
      <c r="G8" s="22"/>
      <c r="H8" s="12">
        <f t="shared" si="0"/>
        <v>43836</v>
      </c>
    </row>
    <row r="9" spans="2:11" ht="15.6" x14ac:dyDescent="0.3">
      <c r="B9" s="34" t="s">
        <v>0</v>
      </c>
      <c r="C9" s="60"/>
      <c r="D9" s="60"/>
      <c r="E9" s="60"/>
      <c r="F9" s="60"/>
      <c r="G9" s="61"/>
      <c r="H9" s="12">
        <f t="shared" si="0"/>
        <v>43836</v>
      </c>
    </row>
    <row r="10" spans="2:11" x14ac:dyDescent="0.3">
      <c r="B10" s="6" t="s">
        <v>25</v>
      </c>
      <c r="C10" s="22"/>
      <c r="D10" s="22">
        <v>54000</v>
      </c>
      <c r="E10" s="22"/>
      <c r="F10" s="22"/>
      <c r="G10" s="22"/>
      <c r="H10" s="12">
        <f t="shared" si="0"/>
        <v>43836</v>
      </c>
    </row>
    <row r="11" spans="2:11" x14ac:dyDescent="0.3">
      <c r="B11" s="6" t="s">
        <v>15</v>
      </c>
      <c r="C11" s="22"/>
      <c r="D11" s="22"/>
      <c r="E11" s="22"/>
      <c r="F11" s="48"/>
      <c r="G11" s="22"/>
      <c r="H11" s="12">
        <f t="shared" si="0"/>
        <v>43836</v>
      </c>
    </row>
    <row r="12" spans="2:11" x14ac:dyDescent="0.3">
      <c r="B12" s="6" t="s">
        <v>26</v>
      </c>
      <c r="C12" s="22"/>
      <c r="D12" s="22"/>
      <c r="E12" s="22"/>
      <c r="F12" s="22"/>
      <c r="G12" s="22"/>
      <c r="H12" s="12">
        <f t="shared" si="0"/>
        <v>43836</v>
      </c>
    </row>
    <row r="13" spans="2:11" x14ac:dyDescent="0.3">
      <c r="B13" s="6" t="s">
        <v>22</v>
      </c>
      <c r="C13" s="23"/>
      <c r="D13" s="23"/>
      <c r="E13" s="23"/>
      <c r="F13" s="22"/>
      <c r="G13" s="23"/>
      <c r="H13" s="12">
        <f t="shared" si="0"/>
        <v>43836</v>
      </c>
      <c r="K13" s="4"/>
    </row>
    <row r="14" spans="2:11" x14ac:dyDescent="0.3">
      <c r="B14" s="6" t="s">
        <v>19</v>
      </c>
      <c r="C14" s="22"/>
      <c r="D14" s="22"/>
      <c r="E14" s="22"/>
      <c r="F14" s="22"/>
      <c r="G14" s="22"/>
      <c r="H14" s="12">
        <f t="shared" si="0"/>
        <v>43836</v>
      </c>
    </row>
    <row r="15" spans="2:11" x14ac:dyDescent="0.3">
      <c r="B15" s="6" t="s">
        <v>14</v>
      </c>
      <c r="C15" s="22">
        <v>784000</v>
      </c>
      <c r="D15" s="22">
        <v>801000</v>
      </c>
      <c r="E15" s="22"/>
      <c r="F15" s="22"/>
      <c r="G15" s="22"/>
      <c r="H15" s="12">
        <f t="shared" si="0"/>
        <v>43836</v>
      </c>
    </row>
    <row r="16" spans="2:11" x14ac:dyDescent="0.3">
      <c r="B16" s="6" t="s">
        <v>24</v>
      </c>
      <c r="C16" s="22"/>
      <c r="D16" s="22"/>
      <c r="E16" s="22"/>
      <c r="F16" s="49"/>
      <c r="G16" s="22"/>
      <c r="H16" s="12">
        <f t="shared" si="0"/>
        <v>43836</v>
      </c>
    </row>
    <row r="17" spans="1:8" x14ac:dyDescent="0.3">
      <c r="B17" s="6" t="s">
        <v>21</v>
      </c>
      <c r="C17" s="22"/>
      <c r="D17" s="22"/>
      <c r="E17" s="22"/>
      <c r="F17" s="22"/>
      <c r="G17" s="22"/>
      <c r="H17" s="12">
        <f t="shared" si="0"/>
        <v>43836</v>
      </c>
    </row>
    <row r="18" spans="1:8" x14ac:dyDescent="0.3">
      <c r="B18" s="6" t="s">
        <v>18</v>
      </c>
      <c r="C18" s="22"/>
      <c r="D18" s="22"/>
      <c r="E18" s="22"/>
      <c r="F18" s="22"/>
      <c r="G18" s="22"/>
      <c r="H18" s="12">
        <f t="shared" si="0"/>
        <v>43836</v>
      </c>
    </row>
    <row r="19" spans="1:8" x14ac:dyDescent="0.3">
      <c r="B19" s="6" t="s">
        <v>16</v>
      </c>
      <c r="C19" s="22"/>
      <c r="D19" s="22"/>
      <c r="E19" s="22"/>
      <c r="F19" s="22"/>
      <c r="G19" s="22"/>
      <c r="H19" s="12">
        <f t="shared" si="0"/>
        <v>43836</v>
      </c>
    </row>
    <row r="20" spans="1:8" x14ac:dyDescent="0.3">
      <c r="B20" s="50" t="s">
        <v>27</v>
      </c>
      <c r="C20" s="51">
        <f>SUM(Jan06_2020[KSI_AGO])</f>
        <v>784000</v>
      </c>
      <c r="D20" s="51">
        <f>SUM(Jan06_2020[KSI_PMS])</f>
        <v>855000</v>
      </c>
      <c r="E20" s="51">
        <f>SUM(Jan06_2020[BUIPE_AGO])</f>
        <v>0</v>
      </c>
      <c r="F20" s="51">
        <f>SUM(Jan06_2020[BUIPE_PMS])</f>
        <v>0</v>
      </c>
      <c r="G20" s="51">
        <f>SUM(Jan06_2020[AKOSOMBO_AGO])</f>
        <v>0</v>
      </c>
      <c r="H20" s="52"/>
    </row>
    <row r="21" spans="1:8" x14ac:dyDescent="0.3">
      <c r="B21" s="8"/>
      <c r="C21" s="24"/>
      <c r="D21" s="24"/>
      <c r="E21" s="24"/>
      <c r="F21" s="24"/>
      <c r="G21" s="24"/>
      <c r="H21"/>
    </row>
    <row r="22" spans="1:8" x14ac:dyDescent="0.3">
      <c r="B22" s="1" t="s">
        <v>6</v>
      </c>
      <c r="C22" s="1" t="s">
        <v>4</v>
      </c>
      <c r="D22" s="5">
        <f>SUMIF(Jan06_2020[[#Headers],[KSI_AGO]:[AKOSOMBO_AGO]],"*"&amp;C22,Jan06_2020[[#Totals],[KSI_AGO]:[AKOSOMBO_AGO]])</f>
        <v>784000</v>
      </c>
      <c r="E22" s="1" t="s">
        <v>5</v>
      </c>
      <c r="F22" s="5">
        <f>SUMIF(Jan06_2020[[#Headers],[KSI_AGO]:[AKOSOMBO_AGO]],"*"&amp;E22,Jan06_2020[[#Totals],[KSI_AGO]:[AKOSOMBO_AGO]])</f>
        <v>855000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1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D18" sqref="D18"/>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43838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43838</v>
      </c>
    </row>
    <row r="7" spans="2:11" x14ac:dyDescent="0.3">
      <c r="B7" s="6" t="s">
        <v>37</v>
      </c>
      <c r="C7" s="22"/>
      <c r="D7" s="22"/>
      <c r="E7" s="22"/>
      <c r="F7" s="22"/>
      <c r="G7" s="22"/>
      <c r="H7" s="67">
        <f>$G$3</f>
        <v>43838</v>
      </c>
    </row>
    <row r="8" spans="2:11" x14ac:dyDescent="0.3">
      <c r="B8" s="6" t="s">
        <v>17</v>
      </c>
      <c r="C8" s="22">
        <v>1657000</v>
      </c>
      <c r="D8" s="22">
        <v>594000</v>
      </c>
      <c r="E8" s="22"/>
      <c r="F8" s="22"/>
      <c r="G8" s="22"/>
      <c r="H8" s="12">
        <f t="shared" si="0"/>
        <v>43838</v>
      </c>
    </row>
    <row r="9" spans="2:11" ht="15.6" x14ac:dyDescent="0.3">
      <c r="B9" s="34" t="s">
        <v>0</v>
      </c>
      <c r="C9" s="60"/>
      <c r="D9" s="60"/>
      <c r="E9" s="60"/>
      <c r="F9" s="60"/>
      <c r="G9" s="61"/>
      <c r="H9" s="12">
        <f t="shared" si="0"/>
        <v>43838</v>
      </c>
    </row>
    <row r="10" spans="2:11" x14ac:dyDescent="0.3">
      <c r="B10" s="6" t="s">
        <v>25</v>
      </c>
      <c r="C10" s="22"/>
      <c r="D10" s="22">
        <v>54000</v>
      </c>
      <c r="E10" s="22"/>
      <c r="F10" s="22"/>
      <c r="G10" s="22"/>
      <c r="H10" s="12">
        <f t="shared" si="0"/>
        <v>43838</v>
      </c>
    </row>
    <row r="11" spans="2:11" x14ac:dyDescent="0.3">
      <c r="B11" s="6" t="s">
        <v>15</v>
      </c>
      <c r="C11" s="22"/>
      <c r="D11" s="22">
        <v>299000</v>
      </c>
      <c r="E11" s="22"/>
      <c r="F11" s="48"/>
      <c r="G11" s="22"/>
      <c r="H11" s="12">
        <f t="shared" si="0"/>
        <v>43838</v>
      </c>
    </row>
    <row r="12" spans="2:11" x14ac:dyDescent="0.3">
      <c r="B12" s="6" t="s">
        <v>26</v>
      </c>
      <c r="C12" s="22"/>
      <c r="D12" s="22">
        <v>49500</v>
      </c>
      <c r="E12" s="22"/>
      <c r="F12" s="22"/>
      <c r="G12" s="22"/>
      <c r="H12" s="12">
        <f t="shared" si="0"/>
        <v>43838</v>
      </c>
    </row>
    <row r="13" spans="2:11" x14ac:dyDescent="0.3">
      <c r="B13" s="6" t="s">
        <v>22</v>
      </c>
      <c r="C13" s="23"/>
      <c r="D13" s="23"/>
      <c r="E13" s="23"/>
      <c r="F13" s="22"/>
      <c r="G13" s="23"/>
      <c r="H13" s="12">
        <f t="shared" si="0"/>
        <v>43838</v>
      </c>
      <c r="K13" s="4"/>
    </row>
    <row r="14" spans="2:11" x14ac:dyDescent="0.3">
      <c r="B14" s="6" t="s">
        <v>19</v>
      </c>
      <c r="C14" s="22"/>
      <c r="D14" s="22"/>
      <c r="E14" s="22"/>
      <c r="F14" s="22"/>
      <c r="G14" s="22"/>
      <c r="H14" s="12">
        <f t="shared" si="0"/>
        <v>43838</v>
      </c>
    </row>
    <row r="15" spans="2:11" x14ac:dyDescent="0.3">
      <c r="B15" s="6" t="s">
        <v>14</v>
      </c>
      <c r="C15" s="22">
        <v>299000</v>
      </c>
      <c r="D15" s="22">
        <v>752000</v>
      </c>
      <c r="E15" s="22"/>
      <c r="F15" s="22"/>
      <c r="G15" s="22"/>
      <c r="H15" s="12">
        <f t="shared" si="0"/>
        <v>43838</v>
      </c>
    </row>
    <row r="16" spans="2:11" x14ac:dyDescent="0.3">
      <c r="B16" s="6" t="s">
        <v>24</v>
      </c>
      <c r="C16" s="22"/>
      <c r="D16" s="22"/>
      <c r="E16" s="22"/>
      <c r="F16" s="49"/>
      <c r="G16" s="22"/>
      <c r="H16" s="12">
        <f t="shared" si="0"/>
        <v>43838</v>
      </c>
    </row>
    <row r="17" spans="1:8" x14ac:dyDescent="0.3">
      <c r="B17" s="6" t="s">
        <v>21</v>
      </c>
      <c r="C17" s="22"/>
      <c r="D17" s="22"/>
      <c r="E17" s="22"/>
      <c r="F17" s="22"/>
      <c r="G17" s="22"/>
      <c r="H17" s="12">
        <f t="shared" si="0"/>
        <v>43838</v>
      </c>
    </row>
    <row r="18" spans="1:8" x14ac:dyDescent="0.3">
      <c r="B18" s="6" t="s">
        <v>18</v>
      </c>
      <c r="C18" s="22"/>
      <c r="D18" s="22"/>
      <c r="E18" s="22"/>
      <c r="F18" s="22"/>
      <c r="G18" s="22"/>
      <c r="H18" s="12">
        <f t="shared" si="0"/>
        <v>43838</v>
      </c>
    </row>
    <row r="19" spans="1:8" x14ac:dyDescent="0.3">
      <c r="B19" s="6" t="s">
        <v>16</v>
      </c>
      <c r="C19" s="22"/>
      <c r="D19" s="22"/>
      <c r="E19" s="22"/>
      <c r="F19" s="22"/>
      <c r="G19" s="22"/>
      <c r="H19" s="12">
        <f t="shared" si="0"/>
        <v>43838</v>
      </c>
    </row>
    <row r="20" spans="1:8" x14ac:dyDescent="0.3">
      <c r="B20" s="50" t="s">
        <v>27</v>
      </c>
      <c r="C20" s="51">
        <f>SUM(Jan08_2020[KSI_AGO])</f>
        <v>1956000</v>
      </c>
      <c r="D20" s="51">
        <f>SUM(Jan08_2020[KSI_PMS])</f>
        <v>1748500</v>
      </c>
      <c r="E20" s="51">
        <f>SUM(Jan08_2020[BUIPE_AGO])</f>
        <v>0</v>
      </c>
      <c r="F20" s="51">
        <f>SUM(Jan08_2020[BUIPE_PMS])</f>
        <v>0</v>
      </c>
      <c r="G20" s="51">
        <f>SUM(Jan08_2020[AKOSOMBO_AGO])</f>
        <v>0</v>
      </c>
      <c r="H20" s="52"/>
    </row>
    <row r="21" spans="1:8" x14ac:dyDescent="0.3">
      <c r="B21" s="8"/>
      <c r="C21" s="24"/>
      <c r="D21" s="24"/>
      <c r="E21" s="24"/>
      <c r="F21" s="24"/>
      <c r="G21" s="24"/>
      <c r="H21"/>
    </row>
    <row r="22" spans="1:8" x14ac:dyDescent="0.3">
      <c r="B22" s="1" t="s">
        <v>6</v>
      </c>
      <c r="C22" s="1" t="s">
        <v>4</v>
      </c>
      <c r="D22" s="5">
        <f>SUMIF(Jan08_2020[[#Headers],[KSI_AGO]:[AKOSOMBO_AGO]],"*"&amp;C22,Jan08_2020[[#Totals],[KSI_AGO]:[AKOSOMBO_AGO]])</f>
        <v>1956000</v>
      </c>
      <c r="E22" s="1" t="s">
        <v>5</v>
      </c>
      <c r="F22" s="5">
        <f>SUMIF(Jan08_2020[[#Headers],[KSI_AGO]:[AKOSOMBO_AGO]],"*"&amp;E22,Jan08_2020[[#Totals],[KSI_AGO]:[AKOSOMBO_AGO]])</f>
        <v>1748500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2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D18" sqref="D18"/>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43839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43839</v>
      </c>
    </row>
    <row r="7" spans="2:11" x14ac:dyDescent="0.3">
      <c r="B7" s="6" t="s">
        <v>37</v>
      </c>
      <c r="C7" s="22"/>
      <c r="D7" s="22"/>
      <c r="E7" s="22"/>
      <c r="F7" s="22"/>
      <c r="G7" s="22"/>
      <c r="H7" s="67">
        <f>$G$3</f>
        <v>43839</v>
      </c>
    </row>
    <row r="8" spans="2:11" x14ac:dyDescent="0.3">
      <c r="B8" s="6" t="s">
        <v>17</v>
      </c>
      <c r="C8" s="22">
        <v>1323000</v>
      </c>
      <c r="D8" s="22">
        <v>54000</v>
      </c>
      <c r="E8" s="22"/>
      <c r="F8" s="22"/>
      <c r="G8" s="22"/>
      <c r="H8" s="12">
        <f t="shared" si="0"/>
        <v>43839</v>
      </c>
    </row>
    <row r="9" spans="2:11" ht="15.6" x14ac:dyDescent="0.3">
      <c r="B9" s="34" t="s">
        <v>0</v>
      </c>
      <c r="C9" s="60"/>
      <c r="D9" s="60"/>
      <c r="E9" s="60"/>
      <c r="F9" s="60"/>
      <c r="G9" s="61"/>
      <c r="H9" s="12">
        <f t="shared" si="0"/>
        <v>43839</v>
      </c>
    </row>
    <row r="10" spans="2:11" x14ac:dyDescent="0.3">
      <c r="B10" s="6" t="s">
        <v>25</v>
      </c>
      <c r="C10" s="22"/>
      <c r="D10" s="22"/>
      <c r="E10" s="22"/>
      <c r="F10" s="22"/>
      <c r="G10" s="22"/>
      <c r="H10" s="12">
        <f t="shared" si="0"/>
        <v>43839</v>
      </c>
    </row>
    <row r="11" spans="2:11" x14ac:dyDescent="0.3">
      <c r="B11" s="6" t="s">
        <v>15</v>
      </c>
      <c r="C11" s="22"/>
      <c r="D11" s="22">
        <v>481500</v>
      </c>
      <c r="E11" s="22"/>
      <c r="F11" s="48"/>
      <c r="G11" s="22"/>
      <c r="H11" s="12">
        <f t="shared" si="0"/>
        <v>43839</v>
      </c>
    </row>
    <row r="12" spans="2:11" x14ac:dyDescent="0.3">
      <c r="B12" s="6" t="s">
        <v>26</v>
      </c>
      <c r="C12" s="22"/>
      <c r="D12" s="22"/>
      <c r="E12" s="22"/>
      <c r="F12" s="22"/>
      <c r="G12" s="22"/>
      <c r="H12" s="12">
        <f t="shared" si="0"/>
        <v>43839</v>
      </c>
    </row>
    <row r="13" spans="2:11" x14ac:dyDescent="0.3">
      <c r="B13" s="6" t="s">
        <v>22</v>
      </c>
      <c r="C13" s="23"/>
      <c r="D13" s="23"/>
      <c r="E13" s="23"/>
      <c r="F13" s="22"/>
      <c r="G13" s="23"/>
      <c r="H13" s="12">
        <f t="shared" si="0"/>
        <v>43839</v>
      </c>
      <c r="K13" s="4"/>
    </row>
    <row r="14" spans="2:11" x14ac:dyDescent="0.3">
      <c r="B14" s="6" t="s">
        <v>19</v>
      </c>
      <c r="C14" s="22"/>
      <c r="D14" s="22"/>
      <c r="E14" s="22"/>
      <c r="F14" s="22"/>
      <c r="G14" s="22"/>
      <c r="H14" s="12">
        <f t="shared" si="0"/>
        <v>43839</v>
      </c>
    </row>
    <row r="15" spans="2:11" x14ac:dyDescent="0.3">
      <c r="B15" s="6" t="s">
        <v>14</v>
      </c>
      <c r="C15" s="22"/>
      <c r="D15" s="22">
        <v>1561500</v>
      </c>
      <c r="E15" s="22"/>
      <c r="F15" s="22"/>
      <c r="G15" s="22"/>
      <c r="H15" s="12">
        <f t="shared" si="0"/>
        <v>43839</v>
      </c>
    </row>
    <row r="16" spans="2:11" x14ac:dyDescent="0.3">
      <c r="B16" s="6" t="s">
        <v>24</v>
      </c>
      <c r="C16" s="22"/>
      <c r="D16" s="22"/>
      <c r="E16" s="22"/>
      <c r="F16" s="49"/>
      <c r="G16" s="22"/>
      <c r="H16" s="12">
        <f t="shared" si="0"/>
        <v>43839</v>
      </c>
    </row>
    <row r="17" spans="1:8" x14ac:dyDescent="0.3">
      <c r="B17" s="6" t="s">
        <v>21</v>
      </c>
      <c r="C17" s="22"/>
      <c r="D17" s="22"/>
      <c r="E17" s="22"/>
      <c r="F17" s="22"/>
      <c r="G17" s="22"/>
      <c r="H17" s="12">
        <f t="shared" si="0"/>
        <v>43839</v>
      </c>
    </row>
    <row r="18" spans="1:8" x14ac:dyDescent="0.3">
      <c r="B18" s="6" t="s">
        <v>18</v>
      </c>
      <c r="C18" s="22"/>
      <c r="D18" s="22"/>
      <c r="E18" s="22"/>
      <c r="F18" s="22"/>
      <c r="G18" s="22"/>
      <c r="H18" s="12">
        <f t="shared" si="0"/>
        <v>43839</v>
      </c>
    </row>
    <row r="19" spans="1:8" x14ac:dyDescent="0.3">
      <c r="B19" s="6" t="s">
        <v>16</v>
      </c>
      <c r="C19" s="22"/>
      <c r="D19" s="22"/>
      <c r="E19" s="22"/>
      <c r="F19" s="22"/>
      <c r="G19" s="22"/>
      <c r="H19" s="12">
        <f t="shared" si="0"/>
        <v>43839</v>
      </c>
    </row>
    <row r="20" spans="1:8" x14ac:dyDescent="0.3">
      <c r="B20" s="50" t="s">
        <v>27</v>
      </c>
      <c r="C20" s="51">
        <f>SUM(Jan09_2020[KSI_AGO])</f>
        <v>1323000</v>
      </c>
      <c r="D20" s="51">
        <f>SUM(Jan09_2020[KSI_PMS])</f>
        <v>2097000</v>
      </c>
      <c r="E20" s="51">
        <f>SUM(Jan09_2020[BUIPE_AGO])</f>
        <v>0</v>
      </c>
      <c r="F20" s="51">
        <f>SUM(Jan09_2020[BUIPE_PMS])</f>
        <v>0</v>
      </c>
      <c r="G20" s="51">
        <f>SUM(Jan09_2020[AKOSOMBO_AGO])</f>
        <v>0</v>
      </c>
      <c r="H20" s="52"/>
    </row>
    <row r="21" spans="1:8" x14ac:dyDescent="0.3">
      <c r="B21" s="8"/>
      <c r="C21" s="24"/>
      <c r="D21" s="24"/>
      <c r="E21" s="24"/>
      <c r="F21" s="24"/>
      <c r="G21" s="24"/>
      <c r="H21"/>
    </row>
    <row r="22" spans="1:8" x14ac:dyDescent="0.3">
      <c r="B22" s="1" t="s">
        <v>6</v>
      </c>
      <c r="C22" s="1" t="s">
        <v>4</v>
      </c>
      <c r="D22" s="5">
        <f>SUMIF(Jan09_2020[[#Headers],[KSI_AGO]:[AKOSOMBO_AGO]],"*"&amp;C22,Jan09_2020[[#Totals],[KSI_AGO]:[AKOSOMBO_AGO]])</f>
        <v>1323000</v>
      </c>
      <c r="E22" s="1" t="s">
        <v>5</v>
      </c>
      <c r="F22" s="5">
        <f>SUMIF(Jan09_2020[[#Headers],[KSI_AGO]:[AKOSOMBO_AGO]],"*"&amp;E22,Jan09_2020[[#Totals],[KSI_AGO]:[AKOSOMBO_AGO]])</f>
        <v>2097000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3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F20" sqref="F2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43840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43840</v>
      </c>
    </row>
    <row r="7" spans="2:11" x14ac:dyDescent="0.3">
      <c r="B7" s="6" t="s">
        <v>37</v>
      </c>
      <c r="C7" s="22"/>
      <c r="D7" s="22"/>
      <c r="E7" s="22"/>
      <c r="F7" s="22"/>
      <c r="G7" s="22"/>
      <c r="H7" s="67">
        <f>$G$3</f>
        <v>43840</v>
      </c>
    </row>
    <row r="8" spans="2:11" x14ac:dyDescent="0.3">
      <c r="B8" s="6" t="s">
        <v>17</v>
      </c>
      <c r="C8" s="22">
        <v>94500</v>
      </c>
      <c r="D8" s="22">
        <v>572000</v>
      </c>
      <c r="E8" s="22"/>
      <c r="F8" s="22"/>
      <c r="G8" s="22"/>
      <c r="H8" s="12">
        <f t="shared" si="0"/>
        <v>43840</v>
      </c>
    </row>
    <row r="9" spans="2:11" ht="15.6" x14ac:dyDescent="0.3">
      <c r="B9" s="34" t="s">
        <v>0</v>
      </c>
      <c r="C9" s="60"/>
      <c r="D9" s="60"/>
      <c r="E9" s="60"/>
      <c r="F9" s="60"/>
      <c r="G9" s="61"/>
      <c r="H9" s="12">
        <f t="shared" si="0"/>
        <v>43840</v>
      </c>
    </row>
    <row r="10" spans="2:11" x14ac:dyDescent="0.3">
      <c r="B10" s="6" t="s">
        <v>25</v>
      </c>
      <c r="C10" s="22"/>
      <c r="D10" s="22"/>
      <c r="E10" s="22"/>
      <c r="F10" s="22"/>
      <c r="G10" s="22"/>
      <c r="H10" s="12">
        <f t="shared" si="0"/>
        <v>43840</v>
      </c>
    </row>
    <row r="11" spans="2:11" x14ac:dyDescent="0.3">
      <c r="B11" s="6" t="s">
        <v>15</v>
      </c>
      <c r="C11" s="22"/>
      <c r="D11" s="22">
        <v>162000</v>
      </c>
      <c r="E11" s="22"/>
      <c r="F11" s="48"/>
      <c r="G11" s="22"/>
      <c r="H11" s="12">
        <f t="shared" si="0"/>
        <v>43840</v>
      </c>
    </row>
    <row r="12" spans="2:11" x14ac:dyDescent="0.3">
      <c r="B12" s="6" t="s">
        <v>26</v>
      </c>
      <c r="C12" s="22"/>
      <c r="D12" s="22"/>
      <c r="E12" s="22"/>
      <c r="F12" s="22"/>
      <c r="G12" s="22"/>
      <c r="H12" s="12">
        <f t="shared" si="0"/>
        <v>43840</v>
      </c>
    </row>
    <row r="13" spans="2:11" x14ac:dyDescent="0.3">
      <c r="B13" s="6" t="s">
        <v>22</v>
      </c>
      <c r="C13" s="23"/>
      <c r="D13" s="23"/>
      <c r="E13" s="23"/>
      <c r="F13" s="22"/>
      <c r="G13" s="23"/>
      <c r="H13" s="12">
        <f t="shared" si="0"/>
        <v>43840</v>
      </c>
      <c r="K13" s="4"/>
    </row>
    <row r="14" spans="2:11" x14ac:dyDescent="0.3">
      <c r="B14" s="6" t="s">
        <v>19</v>
      </c>
      <c r="C14" s="22"/>
      <c r="D14" s="22"/>
      <c r="E14" s="22"/>
      <c r="F14" s="22"/>
      <c r="G14" s="22"/>
      <c r="H14" s="12">
        <f t="shared" si="0"/>
        <v>43840</v>
      </c>
    </row>
    <row r="15" spans="2:11" x14ac:dyDescent="0.3">
      <c r="B15" s="6" t="s">
        <v>14</v>
      </c>
      <c r="C15" s="22"/>
      <c r="D15" s="22">
        <v>945000</v>
      </c>
      <c r="E15" s="22"/>
      <c r="F15" s="22"/>
      <c r="G15" s="22"/>
      <c r="H15" s="12">
        <f t="shared" si="0"/>
        <v>43840</v>
      </c>
    </row>
    <row r="16" spans="2:11" x14ac:dyDescent="0.3">
      <c r="B16" s="6" t="s">
        <v>24</v>
      </c>
      <c r="C16" s="22"/>
      <c r="D16" s="22"/>
      <c r="E16" s="22"/>
      <c r="F16" s="49"/>
      <c r="G16" s="22"/>
      <c r="H16" s="12">
        <f t="shared" si="0"/>
        <v>43840</v>
      </c>
    </row>
    <row r="17" spans="1:8" x14ac:dyDescent="0.3">
      <c r="B17" s="6" t="s">
        <v>21</v>
      </c>
      <c r="C17" s="22"/>
      <c r="D17" s="22"/>
      <c r="E17" s="22"/>
      <c r="F17" s="22"/>
      <c r="G17" s="22"/>
      <c r="H17" s="12">
        <f t="shared" si="0"/>
        <v>43840</v>
      </c>
    </row>
    <row r="18" spans="1:8" x14ac:dyDescent="0.3">
      <c r="B18" s="6" t="s">
        <v>18</v>
      </c>
      <c r="C18" s="22"/>
      <c r="D18" s="22"/>
      <c r="E18" s="22"/>
      <c r="F18" s="22"/>
      <c r="G18" s="22"/>
      <c r="H18" s="12">
        <f t="shared" si="0"/>
        <v>43840</v>
      </c>
    </row>
    <row r="19" spans="1:8" x14ac:dyDescent="0.3">
      <c r="B19" s="6" t="s">
        <v>16</v>
      </c>
      <c r="C19" s="22"/>
      <c r="D19" s="22"/>
      <c r="E19" s="22"/>
      <c r="F19" s="22"/>
      <c r="G19" s="22"/>
      <c r="H19" s="12">
        <f t="shared" si="0"/>
        <v>43840</v>
      </c>
    </row>
    <row r="20" spans="1:8" x14ac:dyDescent="0.3">
      <c r="B20" s="50" t="s">
        <v>27</v>
      </c>
      <c r="C20" s="51">
        <f>SUM(Jan10_2020[KSI_AGO])</f>
        <v>94500</v>
      </c>
      <c r="D20" s="51">
        <f>SUM(Jan10_2020[KSI_PMS])</f>
        <v>1679000</v>
      </c>
      <c r="E20" s="51">
        <f>SUM(Jan10_2020[BUIPE_AGO])</f>
        <v>0</v>
      </c>
      <c r="F20" s="51">
        <f>SUM(Jan10_2020[BUIPE_PMS])</f>
        <v>0</v>
      </c>
      <c r="G20" s="51">
        <f>SUM(Jan10_2020[AKOSOMBO_AGO])</f>
        <v>0</v>
      </c>
      <c r="H20" s="52"/>
    </row>
    <row r="21" spans="1:8" x14ac:dyDescent="0.3">
      <c r="B21" s="8"/>
      <c r="C21" s="24"/>
      <c r="D21" s="24"/>
      <c r="E21" s="24"/>
      <c r="F21" s="24"/>
      <c r="G21" s="24"/>
      <c r="H21"/>
    </row>
    <row r="22" spans="1:8" x14ac:dyDescent="0.3">
      <c r="B22" s="1" t="s">
        <v>6</v>
      </c>
      <c r="C22" s="1" t="s">
        <v>4</v>
      </c>
      <c r="D22" s="5">
        <f>SUMIF(Jan10_2020[[#Headers],[KSI_AGO]:[AKOSOMBO_AGO]],"*"&amp;C22,Jan10_2020[[#Totals],[KSI_AGO]:[AKOSOMBO_AGO]])</f>
        <v>94500</v>
      </c>
      <c r="E22" s="1" t="s">
        <v>5</v>
      </c>
      <c r="F22" s="5">
        <f>SUMIF(Jan10_2020[[#Headers],[KSI_AGO]:[AKOSOMBO_AGO]],"*"&amp;E22,Jan10_2020[[#Totals],[KSI_AGO]:[AKOSOMBO_AGO]])</f>
        <v>1679000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4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B12" sqref="B1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43843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43843</v>
      </c>
    </row>
    <row r="7" spans="2:11" x14ac:dyDescent="0.3">
      <c r="B7" s="6" t="s">
        <v>37</v>
      </c>
      <c r="C7" s="22"/>
      <c r="D7" s="22"/>
      <c r="E7" s="22"/>
      <c r="F7" s="22"/>
      <c r="G7" s="22"/>
      <c r="H7" s="67">
        <f>$G$3</f>
        <v>43843</v>
      </c>
    </row>
    <row r="8" spans="2:11" x14ac:dyDescent="0.3">
      <c r="B8" s="6" t="s">
        <v>17</v>
      </c>
      <c r="C8" s="22"/>
      <c r="D8" s="22"/>
      <c r="E8" s="22"/>
      <c r="F8" s="22"/>
      <c r="G8" s="22"/>
      <c r="H8" s="12">
        <f t="shared" si="0"/>
        <v>43843</v>
      </c>
    </row>
    <row r="9" spans="2:11" ht="15.6" x14ac:dyDescent="0.3">
      <c r="B9" s="34" t="s">
        <v>0</v>
      </c>
      <c r="C9" s="60"/>
      <c r="D9" s="60"/>
      <c r="E9" s="60"/>
      <c r="F9" s="60"/>
      <c r="G9" s="61"/>
      <c r="H9" s="12">
        <f t="shared" si="0"/>
        <v>43843</v>
      </c>
    </row>
    <row r="10" spans="2:11" x14ac:dyDescent="0.3">
      <c r="B10" s="6" t="s">
        <v>25</v>
      </c>
      <c r="C10" s="22">
        <v>54000</v>
      </c>
      <c r="D10" s="22">
        <v>54000</v>
      </c>
      <c r="E10" s="22"/>
      <c r="F10" s="22"/>
      <c r="G10" s="22"/>
      <c r="H10" s="12">
        <f t="shared" si="0"/>
        <v>43843</v>
      </c>
    </row>
    <row r="11" spans="2:11" x14ac:dyDescent="0.3">
      <c r="B11" s="6" t="s">
        <v>15</v>
      </c>
      <c r="C11" s="22"/>
      <c r="D11" s="22"/>
      <c r="E11" s="22"/>
      <c r="F11" s="48"/>
      <c r="G11" s="22"/>
      <c r="H11" s="12">
        <f t="shared" si="0"/>
        <v>43843</v>
      </c>
    </row>
    <row r="12" spans="2:11" x14ac:dyDescent="0.3">
      <c r="B12" s="6" t="s">
        <v>26</v>
      </c>
      <c r="C12" s="22"/>
      <c r="D12" s="22"/>
      <c r="E12" s="22"/>
      <c r="F12" s="22"/>
      <c r="G12" s="22"/>
      <c r="H12" s="12">
        <f t="shared" si="0"/>
        <v>43843</v>
      </c>
    </row>
    <row r="13" spans="2:11" x14ac:dyDescent="0.3">
      <c r="B13" s="6" t="s">
        <v>22</v>
      </c>
      <c r="C13" s="23"/>
      <c r="D13" s="23"/>
      <c r="E13" s="23"/>
      <c r="F13" s="22"/>
      <c r="G13" s="23"/>
      <c r="H13" s="12">
        <f t="shared" si="0"/>
        <v>43843</v>
      </c>
      <c r="K13" s="4"/>
    </row>
    <row r="14" spans="2:11" x14ac:dyDescent="0.3">
      <c r="B14" s="6" t="s">
        <v>19</v>
      </c>
      <c r="C14" s="22"/>
      <c r="D14" s="22"/>
      <c r="E14" s="22"/>
      <c r="F14" s="22"/>
      <c r="G14" s="22"/>
      <c r="H14" s="12">
        <f t="shared" si="0"/>
        <v>43843</v>
      </c>
    </row>
    <row r="15" spans="2:11" x14ac:dyDescent="0.3">
      <c r="B15" s="6" t="s">
        <v>14</v>
      </c>
      <c r="C15" s="22"/>
      <c r="D15" s="22">
        <v>1634000</v>
      </c>
      <c r="E15" s="22"/>
      <c r="F15" s="22">
        <v>749000</v>
      </c>
      <c r="G15" s="22"/>
      <c r="H15" s="12">
        <f t="shared" si="0"/>
        <v>43843</v>
      </c>
    </row>
    <row r="16" spans="2:11" x14ac:dyDescent="0.3">
      <c r="B16" s="6" t="s">
        <v>24</v>
      </c>
      <c r="C16" s="22"/>
      <c r="D16" s="22"/>
      <c r="E16" s="22"/>
      <c r="F16" s="49"/>
      <c r="G16" s="22"/>
      <c r="H16" s="12">
        <f t="shared" si="0"/>
        <v>43843</v>
      </c>
    </row>
    <row r="17" spans="1:8" x14ac:dyDescent="0.3">
      <c r="B17" s="6" t="s">
        <v>21</v>
      </c>
      <c r="C17" s="22"/>
      <c r="D17" s="22"/>
      <c r="E17" s="22"/>
      <c r="F17" s="22"/>
      <c r="G17" s="22"/>
      <c r="H17" s="12">
        <f t="shared" si="0"/>
        <v>43843</v>
      </c>
    </row>
    <row r="18" spans="1:8" x14ac:dyDescent="0.3">
      <c r="B18" s="6" t="s">
        <v>18</v>
      </c>
      <c r="C18" s="22"/>
      <c r="D18" s="22"/>
      <c r="E18" s="22"/>
      <c r="F18" s="22"/>
      <c r="G18" s="22"/>
      <c r="H18" s="12">
        <f t="shared" si="0"/>
        <v>43843</v>
      </c>
    </row>
    <row r="19" spans="1:8" x14ac:dyDescent="0.3">
      <c r="B19" s="6" t="s">
        <v>16</v>
      </c>
      <c r="C19" s="22"/>
      <c r="D19" s="22"/>
      <c r="E19" s="22"/>
      <c r="F19" s="22"/>
      <c r="G19" s="22"/>
      <c r="H19" s="12">
        <f t="shared" si="0"/>
        <v>43843</v>
      </c>
    </row>
    <row r="20" spans="1:8" x14ac:dyDescent="0.3">
      <c r="B20" s="50" t="s">
        <v>27</v>
      </c>
      <c r="C20" s="51">
        <f>SUM(Jan13_2020[KSI_AGO])</f>
        <v>54000</v>
      </c>
      <c r="D20" s="51">
        <f>SUM(Jan13_2020[KSI_PMS])</f>
        <v>1688000</v>
      </c>
      <c r="E20" s="51">
        <f>SUM(Jan13_2020[BUIPE_AGO])</f>
        <v>0</v>
      </c>
      <c r="F20" s="51">
        <f>SUM(Jan13_2020[BUIPE_PMS])</f>
        <v>749000</v>
      </c>
      <c r="G20" s="51">
        <f>SUM(Jan13_2020[AKOSOMBO_AGO])</f>
        <v>0</v>
      </c>
      <c r="H20" s="52"/>
    </row>
    <row r="21" spans="1:8" x14ac:dyDescent="0.3">
      <c r="B21" s="8"/>
      <c r="C21" s="24"/>
      <c r="D21" s="24"/>
      <c r="E21" s="24"/>
      <c r="F21" s="24"/>
      <c r="G21" s="24"/>
      <c r="H21"/>
    </row>
    <row r="22" spans="1:8" x14ac:dyDescent="0.3">
      <c r="B22" s="1" t="s">
        <v>6</v>
      </c>
      <c r="C22" s="1" t="s">
        <v>4</v>
      </c>
      <c r="D22" s="5">
        <f>SUMIF(Jan13_2020[[#Headers],[KSI_AGO]:[AKOSOMBO_AGO]],"*"&amp;C22,Jan13_2020[[#Totals],[KSI_AGO]:[AKOSOMBO_AGO]])</f>
        <v>54000</v>
      </c>
      <c r="E22" s="1" t="s">
        <v>5</v>
      </c>
      <c r="F22" s="5">
        <f>SUMIF(Jan13_2020[[#Headers],[KSI_AGO]:[AKOSOMBO_AGO]],"*"&amp;E22,Jan13_2020[[#Totals],[KSI_AGO]:[AKOSOMBO_AGO]])</f>
        <v>2437000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5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E11" sqref="E11"/>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43844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43844</v>
      </c>
    </row>
    <row r="7" spans="2:11" x14ac:dyDescent="0.3">
      <c r="B7" s="6" t="s">
        <v>37</v>
      </c>
      <c r="C7" s="22"/>
      <c r="D7" s="22"/>
      <c r="E7" s="22"/>
      <c r="F7" s="22"/>
      <c r="G7" s="22"/>
      <c r="H7" s="67">
        <f>$G$3</f>
        <v>43844</v>
      </c>
    </row>
    <row r="8" spans="2:11" x14ac:dyDescent="0.3">
      <c r="B8" s="6" t="s">
        <v>17</v>
      </c>
      <c r="C8" s="22"/>
      <c r="D8" s="22"/>
      <c r="E8" s="22"/>
      <c r="F8" s="22"/>
      <c r="G8" s="22"/>
      <c r="H8" s="12">
        <f t="shared" si="0"/>
        <v>43844</v>
      </c>
    </row>
    <row r="9" spans="2:11" ht="15.6" x14ac:dyDescent="0.3">
      <c r="B9" s="34" t="s">
        <v>0</v>
      </c>
      <c r="C9" s="60"/>
      <c r="D9" s="60"/>
      <c r="E9" s="60"/>
      <c r="F9" s="60"/>
      <c r="G9" s="61"/>
      <c r="H9" s="12">
        <f t="shared" si="0"/>
        <v>43844</v>
      </c>
    </row>
    <row r="10" spans="2:11" x14ac:dyDescent="0.3">
      <c r="B10" s="6" t="s">
        <v>25</v>
      </c>
      <c r="C10" s="22"/>
      <c r="D10" s="22">
        <v>162000</v>
      </c>
      <c r="E10" s="22"/>
      <c r="F10" s="22"/>
      <c r="G10" s="22"/>
      <c r="H10" s="12">
        <f t="shared" si="0"/>
        <v>43844</v>
      </c>
    </row>
    <row r="11" spans="2:11" x14ac:dyDescent="0.3">
      <c r="B11" s="6" t="s">
        <v>15</v>
      </c>
      <c r="C11" s="22"/>
      <c r="D11" s="22"/>
      <c r="E11" s="22"/>
      <c r="F11" s="48"/>
      <c r="G11" s="22"/>
      <c r="H11" s="12">
        <f t="shared" si="0"/>
        <v>43844</v>
      </c>
    </row>
    <row r="12" spans="2:11" x14ac:dyDescent="0.3">
      <c r="B12" s="6" t="s">
        <v>26</v>
      </c>
      <c r="C12" s="22"/>
      <c r="D12" s="22"/>
      <c r="E12" s="22"/>
      <c r="F12" s="22"/>
      <c r="G12" s="22"/>
      <c r="H12" s="12">
        <f t="shared" si="0"/>
        <v>43844</v>
      </c>
    </row>
    <row r="13" spans="2:11" x14ac:dyDescent="0.3">
      <c r="B13" s="6" t="s">
        <v>22</v>
      </c>
      <c r="C13" s="23"/>
      <c r="D13" s="23"/>
      <c r="E13" s="23"/>
      <c r="F13" s="22"/>
      <c r="G13" s="23"/>
      <c r="H13" s="12">
        <f t="shared" si="0"/>
        <v>43844</v>
      </c>
      <c r="K13" s="4"/>
    </row>
    <row r="14" spans="2:11" x14ac:dyDescent="0.3">
      <c r="B14" s="6" t="s">
        <v>19</v>
      </c>
      <c r="C14" s="22"/>
      <c r="D14" s="22"/>
      <c r="E14" s="22"/>
      <c r="F14" s="22"/>
      <c r="G14" s="22"/>
      <c r="H14" s="12">
        <f t="shared" si="0"/>
        <v>43844</v>
      </c>
    </row>
    <row r="15" spans="2:11" x14ac:dyDescent="0.3">
      <c r="B15" s="6" t="s">
        <v>14</v>
      </c>
      <c r="C15" s="22">
        <v>1269000</v>
      </c>
      <c r="D15" s="22">
        <v>1642500</v>
      </c>
      <c r="E15" s="22">
        <v>1269000</v>
      </c>
      <c r="F15" s="22">
        <v>536000</v>
      </c>
      <c r="G15" s="22"/>
      <c r="H15" s="12">
        <f t="shared" si="0"/>
        <v>43844</v>
      </c>
    </row>
    <row r="16" spans="2:11" x14ac:dyDescent="0.3">
      <c r="B16" s="6" t="s">
        <v>24</v>
      </c>
      <c r="C16" s="22"/>
      <c r="D16" s="22"/>
      <c r="E16" s="22"/>
      <c r="F16" s="49"/>
      <c r="G16" s="22"/>
      <c r="H16" s="12">
        <f t="shared" si="0"/>
        <v>43844</v>
      </c>
    </row>
    <row r="17" spans="1:8" x14ac:dyDescent="0.3">
      <c r="B17" s="6" t="s">
        <v>21</v>
      </c>
      <c r="C17" s="22"/>
      <c r="D17" s="22"/>
      <c r="E17" s="22"/>
      <c r="F17" s="22"/>
      <c r="G17" s="22"/>
      <c r="H17" s="12">
        <f t="shared" si="0"/>
        <v>43844</v>
      </c>
    </row>
    <row r="18" spans="1:8" x14ac:dyDescent="0.3">
      <c r="B18" s="6" t="s">
        <v>18</v>
      </c>
      <c r="C18" s="22"/>
      <c r="D18" s="22"/>
      <c r="E18" s="22"/>
      <c r="F18" s="22"/>
      <c r="G18" s="22"/>
      <c r="H18" s="12">
        <f t="shared" si="0"/>
        <v>43844</v>
      </c>
    </row>
    <row r="19" spans="1:8" x14ac:dyDescent="0.3">
      <c r="B19" s="6" t="s">
        <v>16</v>
      </c>
      <c r="C19" s="22"/>
      <c r="D19" s="22"/>
      <c r="E19" s="22"/>
      <c r="F19" s="22"/>
      <c r="G19" s="22"/>
      <c r="H19" s="12">
        <f t="shared" si="0"/>
        <v>43844</v>
      </c>
    </row>
    <row r="20" spans="1:8" x14ac:dyDescent="0.3">
      <c r="B20" s="50" t="s">
        <v>27</v>
      </c>
      <c r="C20" s="51">
        <f>SUM(Jan14_2020[KSI_AGO])</f>
        <v>1269000</v>
      </c>
      <c r="D20" s="51">
        <f>SUM(Jan14_2020[KSI_PMS])</f>
        <v>1804500</v>
      </c>
      <c r="E20" s="51">
        <f>SUM(Jan14_2020[BUIPE_AGO])</f>
        <v>1269000</v>
      </c>
      <c r="F20" s="51">
        <f>SUM(Jan14_2020[BUIPE_PMS])</f>
        <v>536000</v>
      </c>
      <c r="G20" s="51">
        <f>SUM(Jan14_2020[AKOSOMBO_AGO])</f>
        <v>0</v>
      </c>
      <c r="H20" s="52"/>
    </row>
    <row r="21" spans="1:8" x14ac:dyDescent="0.3">
      <c r="B21" s="8"/>
      <c r="C21" s="24"/>
      <c r="D21" s="24"/>
      <c r="E21" s="24"/>
      <c r="F21" s="24"/>
      <c r="G21" s="24"/>
      <c r="H21"/>
    </row>
    <row r="22" spans="1:8" x14ac:dyDescent="0.3">
      <c r="B22" s="1" t="s">
        <v>6</v>
      </c>
      <c r="C22" s="1" t="s">
        <v>4</v>
      </c>
      <c r="D22" s="5">
        <f>SUMIF(Jan14_2020[[#Headers],[KSI_AGO]:[AKOSOMBO_AGO]],"*"&amp;C22,Jan14_2020[[#Totals],[KSI_AGO]:[AKOSOMBO_AGO]])</f>
        <v>2538000</v>
      </c>
      <c r="E22" s="1" t="s">
        <v>5</v>
      </c>
      <c r="F22" s="5">
        <f>SUMIF(Jan14_2020[[#Headers],[KSI_AGO]:[AKOSOMBO_AGO]],"*"&amp;E22,Jan14_2020[[#Totals],[KSI_AGO]:[AKOSOMBO_AGO]])</f>
        <v>2340500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6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F20" sqref="F20"/>
    </sheetView>
  </sheetViews>
  <sheetFormatPr defaultColWidth="9.109375" defaultRowHeight="14.4" x14ac:dyDescent="0.3"/>
  <cols>
    <col min="1" max="1" width="6.88671875" style="1" customWidth="1"/>
    <col min="2" max="2" width="26.109375" style="1" customWidth="1"/>
    <col min="3" max="3" width="14.44140625" style="1" customWidth="1"/>
    <col min="4" max="4" width="18.5546875" style="1" customWidth="1"/>
    <col min="5" max="5" width="18.109375" style="1" customWidth="1"/>
    <col min="6" max="6" width="18.5546875" style="1" customWidth="1"/>
    <col min="7" max="7" width="27.5546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43845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43845</v>
      </c>
    </row>
    <row r="7" spans="2:11" x14ac:dyDescent="0.3">
      <c r="B7" s="6" t="s">
        <v>37</v>
      </c>
      <c r="C7" s="22"/>
      <c r="D7" s="22"/>
      <c r="E7" s="22"/>
      <c r="F7" s="22"/>
      <c r="G7" s="22"/>
      <c r="H7" s="67">
        <f>$G$3</f>
        <v>43845</v>
      </c>
    </row>
    <row r="8" spans="2:11" x14ac:dyDescent="0.3">
      <c r="B8" s="6" t="s">
        <v>17</v>
      </c>
      <c r="C8" s="22"/>
      <c r="D8" s="22"/>
      <c r="E8" s="22"/>
      <c r="F8" s="22"/>
      <c r="G8" s="22"/>
      <c r="H8" s="12">
        <f t="shared" si="0"/>
        <v>43845</v>
      </c>
    </row>
    <row r="9" spans="2:11" ht="15.6" x14ac:dyDescent="0.3">
      <c r="B9" s="34" t="s">
        <v>0</v>
      </c>
      <c r="C9" s="60"/>
      <c r="D9" s="60"/>
      <c r="E9" s="60"/>
      <c r="F9" s="60"/>
      <c r="G9" s="61"/>
      <c r="H9" s="12">
        <f t="shared" si="0"/>
        <v>43845</v>
      </c>
    </row>
    <row r="10" spans="2:11" x14ac:dyDescent="0.3">
      <c r="B10" s="6" t="s">
        <v>25</v>
      </c>
      <c r="C10" s="22"/>
      <c r="D10" s="22"/>
      <c r="E10" s="22"/>
      <c r="F10" s="22"/>
      <c r="G10" s="22"/>
      <c r="H10" s="12">
        <f t="shared" si="0"/>
        <v>43845</v>
      </c>
    </row>
    <row r="11" spans="2:11" x14ac:dyDescent="0.3">
      <c r="B11" s="6" t="s">
        <v>15</v>
      </c>
      <c r="C11" s="22"/>
      <c r="D11" s="22">
        <v>216000</v>
      </c>
      <c r="E11" s="22"/>
      <c r="F11" s="48">
        <v>162000</v>
      </c>
      <c r="G11" s="22"/>
      <c r="H11" s="12">
        <f t="shared" si="0"/>
        <v>43845</v>
      </c>
    </row>
    <row r="12" spans="2:11" x14ac:dyDescent="0.3">
      <c r="B12" s="6" t="s">
        <v>26</v>
      </c>
      <c r="C12" s="22"/>
      <c r="D12" s="22">
        <v>306000</v>
      </c>
      <c r="E12" s="22"/>
      <c r="F12" s="22"/>
      <c r="G12" s="22"/>
      <c r="H12" s="12">
        <f t="shared" si="0"/>
        <v>43845</v>
      </c>
    </row>
    <row r="13" spans="2:11" x14ac:dyDescent="0.3">
      <c r="B13" s="6" t="s">
        <v>22</v>
      </c>
      <c r="C13" s="23"/>
      <c r="D13" s="23"/>
      <c r="E13" s="23"/>
      <c r="F13" s="22"/>
      <c r="G13" s="23"/>
      <c r="H13" s="12">
        <f t="shared" si="0"/>
        <v>43845</v>
      </c>
      <c r="K13" s="4"/>
    </row>
    <row r="14" spans="2:11" x14ac:dyDescent="0.3">
      <c r="B14" s="6" t="s">
        <v>19</v>
      </c>
      <c r="C14" s="22">
        <v>992000</v>
      </c>
      <c r="D14" s="22">
        <v>870000</v>
      </c>
      <c r="E14" s="22">
        <v>798000</v>
      </c>
      <c r="F14" s="22">
        <v>320000</v>
      </c>
      <c r="G14" s="22"/>
      <c r="H14" s="12">
        <f t="shared" si="0"/>
        <v>43845</v>
      </c>
    </row>
    <row r="15" spans="2:11" x14ac:dyDescent="0.3">
      <c r="B15" s="6" t="s">
        <v>14</v>
      </c>
      <c r="C15" s="22">
        <v>472500</v>
      </c>
      <c r="D15" s="22">
        <v>206000</v>
      </c>
      <c r="E15" s="22"/>
      <c r="F15" s="22">
        <v>54000</v>
      </c>
      <c r="G15" s="22"/>
      <c r="H15" s="12">
        <f t="shared" si="0"/>
        <v>43845</v>
      </c>
    </row>
    <row r="16" spans="2:11" x14ac:dyDescent="0.3">
      <c r="B16" s="6" t="s">
        <v>24</v>
      </c>
      <c r="C16" s="22"/>
      <c r="D16" s="22"/>
      <c r="E16" s="22"/>
      <c r="F16" s="49"/>
      <c r="G16" s="22"/>
      <c r="H16" s="12">
        <f t="shared" si="0"/>
        <v>43845</v>
      </c>
    </row>
    <row r="17" spans="1:8" x14ac:dyDescent="0.3">
      <c r="B17" s="6" t="s">
        <v>21</v>
      </c>
      <c r="C17" s="22"/>
      <c r="D17" s="22"/>
      <c r="E17" s="22"/>
      <c r="F17" s="22"/>
      <c r="G17" s="22"/>
      <c r="H17" s="12">
        <f t="shared" si="0"/>
        <v>43845</v>
      </c>
    </row>
    <row r="18" spans="1:8" x14ac:dyDescent="0.3">
      <c r="B18" s="6" t="s">
        <v>18</v>
      </c>
      <c r="C18" s="22"/>
      <c r="D18" s="22"/>
      <c r="E18" s="22"/>
      <c r="F18" s="22"/>
      <c r="G18" s="22"/>
      <c r="H18" s="12">
        <f t="shared" si="0"/>
        <v>43845</v>
      </c>
    </row>
    <row r="19" spans="1:8" x14ac:dyDescent="0.3">
      <c r="B19" s="6" t="s">
        <v>16</v>
      </c>
      <c r="C19" s="22"/>
      <c r="D19" s="22"/>
      <c r="E19" s="22"/>
      <c r="F19" s="22"/>
      <c r="G19" s="22"/>
      <c r="H19" s="12">
        <f t="shared" si="0"/>
        <v>43845</v>
      </c>
    </row>
    <row r="20" spans="1:8" x14ac:dyDescent="0.3">
      <c r="B20" s="50" t="s">
        <v>27</v>
      </c>
      <c r="C20" s="51">
        <f>SUM(Jan15_2020[KSI_AGO])</f>
        <v>1464500</v>
      </c>
      <c r="D20" s="51">
        <f>SUM(Jan15_2020[KSI_PMS])</f>
        <v>1598000</v>
      </c>
      <c r="E20" s="51">
        <f>SUM(Jan15_2020[BUIPE_AGO])</f>
        <v>798000</v>
      </c>
      <c r="F20" s="51">
        <f>SUM(Jan15_2020[BUIPE_PMS])</f>
        <v>536000</v>
      </c>
      <c r="G20" s="51">
        <f>SUM(Jan15_2020[AKOSOMBO_AGO])</f>
        <v>0</v>
      </c>
      <c r="H20" s="52"/>
    </row>
    <row r="21" spans="1:8" x14ac:dyDescent="0.3">
      <c r="B21" s="8"/>
      <c r="C21" s="24"/>
      <c r="D21" s="24"/>
      <c r="E21" s="24"/>
      <c r="F21" s="24"/>
      <c r="G21" s="24"/>
      <c r="H21"/>
    </row>
    <row r="22" spans="1:8" x14ac:dyDescent="0.3">
      <c r="B22" s="1" t="s">
        <v>6</v>
      </c>
      <c r="C22" s="1" t="s">
        <v>4</v>
      </c>
      <c r="D22" s="5">
        <f>SUMIF(Jan15_2020[[#Headers],[KSI_AGO]:[AKOSOMBO_AGO]],"*"&amp;C22,Jan15_2020[[#Totals],[KSI_AGO]:[AKOSOMBO_AGO]])</f>
        <v>2262500</v>
      </c>
      <c r="E22" s="1" t="s">
        <v>5</v>
      </c>
      <c r="F22" s="5">
        <f>SUMIF(Jan15_2020[[#Headers],[KSI_AGO]:[AKOSOMBO_AGO]],"*"&amp;E22,Jan15_2020[[#Totals],[KSI_AGO]:[AKOSOMBO_AGO]])</f>
        <v>2134000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7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K32"/>
  <sheetViews>
    <sheetView zoomScaleNormal="100" workbookViewId="0">
      <pane xSplit="1" ySplit="5" topLeftCell="C6" activePane="bottomRight" state="frozen"/>
      <selection activeCell="C21" sqref="C21"/>
      <selection pane="topRight" activeCell="C21" sqref="C21"/>
      <selection pane="bottomLeft" activeCell="C21" sqref="C21"/>
      <selection pane="bottomRight" activeCell="E25" sqref="E25"/>
    </sheetView>
  </sheetViews>
  <sheetFormatPr defaultColWidth="9.109375" defaultRowHeight="14.4" x14ac:dyDescent="0.3"/>
  <cols>
    <col min="1" max="1" width="6.88671875" style="1" customWidth="1"/>
    <col min="2" max="2" width="26.109375" style="1" customWidth="1"/>
    <col min="3" max="3" width="16.88671875" style="1" customWidth="1"/>
    <col min="4" max="4" width="15.5546875" style="1" customWidth="1"/>
    <col min="5" max="5" width="18.109375" style="1" customWidth="1"/>
    <col min="6" max="6" width="18.88671875" style="1" customWidth="1"/>
    <col min="7" max="7" width="28.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43846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43846</v>
      </c>
    </row>
    <row r="7" spans="2:11" x14ac:dyDescent="0.3">
      <c r="B7" s="6" t="s">
        <v>37</v>
      </c>
      <c r="C7" s="22"/>
      <c r="D7" s="22"/>
      <c r="E7" s="22"/>
      <c r="F7" s="22"/>
      <c r="G7" s="22"/>
      <c r="H7" s="67">
        <f>$G$3</f>
        <v>43846</v>
      </c>
    </row>
    <row r="8" spans="2:11" x14ac:dyDescent="0.3">
      <c r="B8" s="6" t="s">
        <v>17</v>
      </c>
      <c r="C8" s="22"/>
      <c r="D8" s="22"/>
      <c r="E8" s="22"/>
      <c r="F8" s="22"/>
      <c r="G8" s="22"/>
      <c r="H8" s="12">
        <f t="shared" si="0"/>
        <v>43846</v>
      </c>
    </row>
    <row r="9" spans="2:11" ht="15.6" x14ac:dyDescent="0.3">
      <c r="B9" s="34" t="s">
        <v>0</v>
      </c>
      <c r="C9" s="60"/>
      <c r="D9" s="60"/>
      <c r="E9" s="60"/>
      <c r="F9" s="60"/>
      <c r="G9" s="61"/>
      <c r="H9" s="12">
        <f t="shared" si="0"/>
        <v>43846</v>
      </c>
    </row>
    <row r="10" spans="2:11" x14ac:dyDescent="0.3">
      <c r="B10" s="6" t="s">
        <v>25</v>
      </c>
      <c r="C10" s="22">
        <v>472000</v>
      </c>
      <c r="D10" s="22"/>
      <c r="E10" s="22"/>
      <c r="F10" s="22"/>
      <c r="G10" s="22"/>
      <c r="H10" s="12">
        <f t="shared" si="0"/>
        <v>43846</v>
      </c>
    </row>
    <row r="11" spans="2:11" x14ac:dyDescent="0.3">
      <c r="B11" s="6" t="s">
        <v>15</v>
      </c>
      <c r="C11" s="22"/>
      <c r="D11" s="22"/>
      <c r="E11" s="22"/>
      <c r="F11" s="48"/>
      <c r="G11" s="22"/>
      <c r="H11" s="12">
        <f t="shared" si="0"/>
        <v>43846</v>
      </c>
    </row>
    <row r="12" spans="2:11" x14ac:dyDescent="0.3">
      <c r="B12" s="6" t="s">
        <v>26</v>
      </c>
      <c r="C12" s="22"/>
      <c r="D12" s="22">
        <v>216000</v>
      </c>
      <c r="E12" s="22"/>
      <c r="F12" s="22"/>
      <c r="G12" s="22"/>
      <c r="H12" s="12">
        <f t="shared" si="0"/>
        <v>43846</v>
      </c>
    </row>
    <row r="13" spans="2:11" x14ac:dyDescent="0.3">
      <c r="B13" s="6" t="s">
        <v>22</v>
      </c>
      <c r="C13" s="23"/>
      <c r="D13" s="23"/>
      <c r="E13" s="23"/>
      <c r="F13" s="22"/>
      <c r="G13" s="23"/>
      <c r="H13" s="12">
        <f t="shared" si="0"/>
        <v>43846</v>
      </c>
      <c r="K13" s="4"/>
    </row>
    <row r="14" spans="2:11" x14ac:dyDescent="0.3">
      <c r="B14" s="6" t="s">
        <v>19</v>
      </c>
      <c r="C14" s="22"/>
      <c r="D14" s="22">
        <v>698000</v>
      </c>
      <c r="E14" s="22">
        <v>162000</v>
      </c>
      <c r="F14" s="22">
        <v>270000</v>
      </c>
      <c r="G14" s="22"/>
      <c r="H14" s="12">
        <f t="shared" si="0"/>
        <v>43846</v>
      </c>
    </row>
    <row r="15" spans="2:11" x14ac:dyDescent="0.3">
      <c r="B15" s="6" t="s">
        <v>14</v>
      </c>
      <c r="C15" s="22"/>
      <c r="D15" s="22"/>
      <c r="E15" s="22"/>
      <c r="F15" s="22"/>
      <c r="G15" s="22"/>
      <c r="H15" s="12">
        <f t="shared" si="0"/>
        <v>43846</v>
      </c>
    </row>
    <row r="16" spans="2:11" x14ac:dyDescent="0.3">
      <c r="B16" s="6" t="s">
        <v>24</v>
      </c>
      <c r="C16" s="22"/>
      <c r="D16" s="22"/>
      <c r="E16" s="22"/>
      <c r="F16" s="49"/>
      <c r="G16" s="22"/>
      <c r="H16" s="12">
        <f t="shared" si="0"/>
        <v>43846</v>
      </c>
    </row>
    <row r="17" spans="1:8" x14ac:dyDescent="0.3">
      <c r="B17" s="6" t="s">
        <v>21</v>
      </c>
      <c r="C17" s="22"/>
      <c r="D17" s="22"/>
      <c r="E17" s="22"/>
      <c r="F17" s="22"/>
      <c r="G17" s="22"/>
      <c r="H17" s="12">
        <f t="shared" si="0"/>
        <v>43846</v>
      </c>
    </row>
    <row r="18" spans="1:8" x14ac:dyDescent="0.3">
      <c r="B18" s="6" t="s">
        <v>18</v>
      </c>
      <c r="C18" s="22">
        <v>432000</v>
      </c>
      <c r="D18" s="22">
        <v>529000</v>
      </c>
      <c r="E18" s="22"/>
      <c r="F18" s="22">
        <v>108000</v>
      </c>
      <c r="G18" s="22"/>
      <c r="H18" s="12">
        <f t="shared" si="0"/>
        <v>43846</v>
      </c>
    </row>
    <row r="19" spans="1:8" x14ac:dyDescent="0.3">
      <c r="B19" s="6" t="s">
        <v>16</v>
      </c>
      <c r="C19" s="22">
        <v>270000</v>
      </c>
      <c r="D19" s="22"/>
      <c r="E19" s="22">
        <v>216000</v>
      </c>
      <c r="F19" s="22"/>
      <c r="G19" s="22"/>
      <c r="H19" s="12">
        <f t="shared" si="0"/>
        <v>43846</v>
      </c>
    </row>
    <row r="20" spans="1:8" x14ac:dyDescent="0.3">
      <c r="B20" s="50" t="s">
        <v>27</v>
      </c>
      <c r="C20" s="51">
        <f>SUM(Jan16_2020[KSI_AGO])</f>
        <v>1174000</v>
      </c>
      <c r="D20" s="51">
        <f>SUM(Jan16_2020[KSI_PMS])</f>
        <v>1443000</v>
      </c>
      <c r="E20" s="51">
        <f>SUM(Jan16_2020[BUIPE_AGO])</f>
        <v>378000</v>
      </c>
      <c r="F20" s="51">
        <f>SUM(Jan16_2020[BUIPE_PMS])</f>
        <v>378000</v>
      </c>
      <c r="G20" s="51">
        <f>SUM(Jan16_2020[AKOSOMBO_AGO])</f>
        <v>0</v>
      </c>
      <c r="H20" s="52"/>
    </row>
    <row r="21" spans="1:8" x14ac:dyDescent="0.3">
      <c r="B21" s="8"/>
      <c r="C21" s="24"/>
      <c r="D21" s="24"/>
      <c r="E21" s="24"/>
      <c r="F21" s="24"/>
      <c r="G21" s="24"/>
      <c r="H21"/>
    </row>
    <row r="22" spans="1:8" x14ac:dyDescent="0.3">
      <c r="B22" s="1" t="s">
        <v>6</v>
      </c>
      <c r="C22" s="1" t="s">
        <v>4</v>
      </c>
      <c r="D22" s="5">
        <f>SUMIF(Jan16_2020[[#Headers],[KSI_AGO]:[AKOSOMBO_AGO]],"*"&amp;C22,Jan16_2020[[#Totals],[KSI_AGO]:[AKOSOMBO_AGO]])</f>
        <v>1552000</v>
      </c>
      <c r="E22" s="1" t="s">
        <v>5</v>
      </c>
      <c r="F22" s="5">
        <f>SUMIF(Jan16_2020[[#Headers],[KSI_AGO]:[AKOSOMBO_AGO]],"*"&amp;E22,Jan16_2020[[#Totals],[KSI_AGO]:[AKOSOMBO_AGO]])</f>
        <v>1821000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8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C14" sqref="C14"/>
    </sheetView>
  </sheetViews>
  <sheetFormatPr defaultColWidth="9.109375" defaultRowHeight="14.4" x14ac:dyDescent="0.3"/>
  <cols>
    <col min="1" max="1" width="6.88671875" style="1" customWidth="1"/>
    <col min="2" max="2" width="26.109375" style="1" customWidth="1"/>
    <col min="3" max="3" width="16.5546875" style="1" customWidth="1"/>
    <col min="4" max="4" width="16" style="1" customWidth="1"/>
    <col min="5" max="5" width="18.44140625" style="1" bestFit="1" customWidth="1"/>
    <col min="6" max="6" width="20" style="1" customWidth="1"/>
    <col min="7" max="7" width="28.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43847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43847</v>
      </c>
    </row>
    <row r="7" spans="2:11" x14ac:dyDescent="0.3">
      <c r="B7" s="6" t="s">
        <v>37</v>
      </c>
      <c r="C7" s="22"/>
      <c r="D7" s="22"/>
      <c r="E7" s="22"/>
      <c r="F7" s="22"/>
      <c r="G7" s="22"/>
      <c r="H7" s="67">
        <f>$G$3</f>
        <v>43847</v>
      </c>
    </row>
    <row r="8" spans="2:11" x14ac:dyDescent="0.3">
      <c r="B8" s="6" t="s">
        <v>17</v>
      </c>
      <c r="C8" s="22"/>
      <c r="D8" s="22"/>
      <c r="E8" s="22"/>
      <c r="F8" s="22"/>
      <c r="G8" s="22"/>
      <c r="H8" s="12">
        <f t="shared" si="0"/>
        <v>43847</v>
      </c>
    </row>
    <row r="9" spans="2:11" ht="15.6" x14ac:dyDescent="0.3">
      <c r="B9" s="34" t="s">
        <v>0</v>
      </c>
      <c r="C9" s="60"/>
      <c r="D9" s="60"/>
      <c r="E9" s="60"/>
      <c r="F9" s="60"/>
      <c r="G9" s="61"/>
      <c r="H9" s="12">
        <f t="shared" si="0"/>
        <v>43847</v>
      </c>
    </row>
    <row r="10" spans="2:11" x14ac:dyDescent="0.3">
      <c r="B10" s="6" t="s">
        <v>25</v>
      </c>
      <c r="C10" s="22">
        <v>369500</v>
      </c>
      <c r="D10" s="22"/>
      <c r="E10" s="22"/>
      <c r="F10" s="22"/>
      <c r="G10" s="22"/>
      <c r="H10" s="12">
        <f t="shared" si="0"/>
        <v>43847</v>
      </c>
    </row>
    <row r="11" spans="2:11" x14ac:dyDescent="0.3">
      <c r="B11" s="6" t="s">
        <v>15</v>
      </c>
      <c r="C11" s="22"/>
      <c r="D11" s="22">
        <v>216000</v>
      </c>
      <c r="E11" s="22"/>
      <c r="F11" s="48"/>
      <c r="G11" s="22"/>
      <c r="H11" s="12">
        <f t="shared" si="0"/>
        <v>43847</v>
      </c>
    </row>
    <row r="12" spans="2:11" x14ac:dyDescent="0.3">
      <c r="B12" s="6" t="s">
        <v>26</v>
      </c>
      <c r="C12" s="22"/>
      <c r="D12" s="22">
        <v>154000</v>
      </c>
      <c r="E12" s="22"/>
      <c r="F12" s="22"/>
      <c r="G12" s="22"/>
      <c r="H12" s="12">
        <f t="shared" si="0"/>
        <v>43847</v>
      </c>
    </row>
    <row r="13" spans="2:11" x14ac:dyDescent="0.3">
      <c r="B13" s="6" t="s">
        <v>22</v>
      </c>
      <c r="C13" s="23"/>
      <c r="D13" s="23"/>
      <c r="E13" s="23"/>
      <c r="F13" s="22"/>
      <c r="G13" s="23"/>
      <c r="H13" s="12">
        <f t="shared" si="0"/>
        <v>43847</v>
      </c>
      <c r="K13" s="4"/>
    </row>
    <row r="14" spans="2:11" x14ac:dyDescent="0.3">
      <c r="B14" s="6" t="s">
        <v>19</v>
      </c>
      <c r="C14" s="22"/>
      <c r="D14" s="22">
        <v>891000</v>
      </c>
      <c r="E14" s="22"/>
      <c r="F14" s="22"/>
      <c r="G14" s="22"/>
      <c r="H14" s="12">
        <f t="shared" si="0"/>
        <v>43847</v>
      </c>
    </row>
    <row r="15" spans="2:11" x14ac:dyDescent="0.3">
      <c r="B15" s="6" t="s">
        <v>14</v>
      </c>
      <c r="C15" s="22"/>
      <c r="D15" s="22"/>
      <c r="E15" s="22"/>
      <c r="F15" s="22"/>
      <c r="G15" s="22"/>
      <c r="H15" s="12">
        <f t="shared" si="0"/>
        <v>43847</v>
      </c>
    </row>
    <row r="16" spans="2:11" x14ac:dyDescent="0.3">
      <c r="B16" s="6" t="s">
        <v>24</v>
      </c>
      <c r="C16" s="22"/>
      <c r="D16" s="22"/>
      <c r="E16" s="22"/>
      <c r="F16" s="49"/>
      <c r="G16" s="22"/>
      <c r="H16" s="12">
        <f t="shared" si="0"/>
        <v>43847</v>
      </c>
    </row>
    <row r="17" spans="1:8" x14ac:dyDescent="0.3">
      <c r="B17" s="6" t="s">
        <v>21</v>
      </c>
      <c r="C17" s="22"/>
      <c r="D17" s="22"/>
      <c r="E17" s="22"/>
      <c r="F17" s="22"/>
      <c r="G17" s="22"/>
      <c r="H17" s="12">
        <f t="shared" si="0"/>
        <v>43847</v>
      </c>
    </row>
    <row r="18" spans="1:8" x14ac:dyDescent="0.3">
      <c r="B18" s="6" t="s">
        <v>18</v>
      </c>
      <c r="C18" s="22">
        <v>54000</v>
      </c>
      <c r="D18" s="22"/>
      <c r="E18" s="22"/>
      <c r="F18" s="22"/>
      <c r="G18" s="22"/>
      <c r="H18" s="12">
        <f t="shared" si="0"/>
        <v>43847</v>
      </c>
    </row>
    <row r="19" spans="1:8" x14ac:dyDescent="0.3">
      <c r="B19" s="6" t="s">
        <v>16</v>
      </c>
      <c r="C19" s="22">
        <v>594000</v>
      </c>
      <c r="D19" s="22"/>
      <c r="E19" s="22">
        <v>374000</v>
      </c>
      <c r="F19" s="22"/>
      <c r="G19" s="22"/>
      <c r="H19" s="12">
        <f t="shared" si="0"/>
        <v>43847</v>
      </c>
    </row>
    <row r="20" spans="1:8" x14ac:dyDescent="0.3">
      <c r="B20" s="50" t="s">
        <v>27</v>
      </c>
      <c r="C20" s="51">
        <f>SUM(Jan17_2020[KSI_AGO])</f>
        <v>1017500</v>
      </c>
      <c r="D20" s="51">
        <f>SUM(Jan17_2020[KSI_PMS])</f>
        <v>1261000</v>
      </c>
      <c r="E20" s="51">
        <f>SUM(Jan17_2020[BUIPE_AGO])</f>
        <v>374000</v>
      </c>
      <c r="F20" s="51">
        <f>SUM(Jan17_2020[BUIPE_PMS])</f>
        <v>0</v>
      </c>
      <c r="G20" s="51">
        <f>SUM(Jan17_2020[AKOSOMBO_AGO])</f>
        <v>0</v>
      </c>
      <c r="H20" s="52"/>
    </row>
    <row r="21" spans="1:8" x14ac:dyDescent="0.3">
      <c r="B21" s="8"/>
      <c r="C21" s="24"/>
      <c r="D21" s="24"/>
      <c r="E21" s="24"/>
      <c r="F21" s="24"/>
      <c r="G21" s="24"/>
      <c r="H21"/>
    </row>
    <row r="22" spans="1:8" x14ac:dyDescent="0.3">
      <c r="B22" s="1" t="s">
        <v>6</v>
      </c>
      <c r="C22" s="1" t="s">
        <v>4</v>
      </c>
      <c r="D22" s="5">
        <f>SUMIF(Jan17_2020[[#Headers],[KSI_AGO]:[AKOSOMBO_AGO]],"*"&amp;C22,Jan17_2020[[#Totals],[KSI_AGO]:[AKOSOMBO_AGO]])</f>
        <v>1391500</v>
      </c>
      <c r="E22" s="1" t="s">
        <v>5</v>
      </c>
      <c r="F22" s="5">
        <f>SUMIF(Jan17_2020[[#Headers],[KSI_AGO]:[AKOSOMBO_AGO]],"*"&amp;E22,Jan17_2020[[#Totals],[KSI_AGO]:[AKOSOMBO_AGO]])</f>
        <v>1261000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9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G18" sqref="G18"/>
    </sheetView>
  </sheetViews>
  <sheetFormatPr defaultColWidth="9.109375" defaultRowHeight="14.4" x14ac:dyDescent="0.3"/>
  <cols>
    <col min="1" max="1" width="6.88671875" style="1" customWidth="1"/>
    <col min="2" max="2" width="30" style="1" customWidth="1"/>
    <col min="3" max="3" width="15.109375" style="1" customWidth="1"/>
    <col min="4" max="4" width="15.33203125" style="1" customWidth="1"/>
    <col min="5" max="5" width="19.44140625" style="1" customWidth="1"/>
    <col min="6" max="6" width="16.44140625" style="1" customWidth="1"/>
    <col min="7" max="7" width="29.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43850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43850</v>
      </c>
    </row>
    <row r="7" spans="2:11" x14ac:dyDescent="0.3">
      <c r="B7" s="6" t="s">
        <v>37</v>
      </c>
      <c r="C7" s="22"/>
      <c r="D7" s="22"/>
      <c r="E7" s="22"/>
      <c r="F7" s="22"/>
      <c r="G7" s="22"/>
      <c r="H7" s="67">
        <f>$G$3</f>
        <v>43850</v>
      </c>
    </row>
    <row r="8" spans="2:11" x14ac:dyDescent="0.3">
      <c r="B8" s="6" t="s">
        <v>17</v>
      </c>
      <c r="C8" s="22"/>
      <c r="D8" s="22">
        <v>579000</v>
      </c>
      <c r="E8" s="22"/>
      <c r="F8" s="22"/>
      <c r="G8" s="22"/>
      <c r="H8" s="12">
        <f t="shared" si="0"/>
        <v>43850</v>
      </c>
    </row>
    <row r="9" spans="2:11" ht="15.6" x14ac:dyDescent="0.3">
      <c r="B9" s="34" t="s">
        <v>0</v>
      </c>
      <c r="C9" s="60"/>
      <c r="D9" s="60"/>
      <c r="E9" s="60"/>
      <c r="F9" s="60"/>
      <c r="G9" s="61"/>
      <c r="H9" s="12">
        <f t="shared" si="0"/>
        <v>43850</v>
      </c>
    </row>
    <row r="10" spans="2:11" x14ac:dyDescent="0.3">
      <c r="B10" s="6" t="s">
        <v>25</v>
      </c>
      <c r="C10" s="22">
        <v>419500</v>
      </c>
      <c r="D10" s="22">
        <v>97000</v>
      </c>
      <c r="E10" s="22"/>
      <c r="F10" s="22"/>
      <c r="G10" s="22">
        <v>581500</v>
      </c>
      <c r="H10" s="12">
        <f t="shared" si="0"/>
        <v>43850</v>
      </c>
    </row>
    <row r="11" spans="2:11" x14ac:dyDescent="0.3">
      <c r="B11" s="6" t="s">
        <v>15</v>
      </c>
      <c r="C11" s="22"/>
      <c r="D11" s="22">
        <v>797000</v>
      </c>
      <c r="E11" s="22"/>
      <c r="F11" s="48">
        <v>108000</v>
      </c>
      <c r="G11" s="22"/>
      <c r="H11" s="12">
        <f t="shared" si="0"/>
        <v>43850</v>
      </c>
    </row>
    <row r="12" spans="2:11" x14ac:dyDescent="0.3">
      <c r="B12" s="6" t="s">
        <v>26</v>
      </c>
      <c r="C12" s="22"/>
      <c r="D12" s="22">
        <v>157500</v>
      </c>
      <c r="E12" s="22"/>
      <c r="F12" s="22"/>
      <c r="G12" s="22"/>
      <c r="H12" s="12">
        <f t="shared" si="0"/>
        <v>43850</v>
      </c>
    </row>
    <row r="13" spans="2:11" x14ac:dyDescent="0.3">
      <c r="B13" s="6" t="s">
        <v>22</v>
      </c>
      <c r="C13" s="23"/>
      <c r="D13" s="23"/>
      <c r="E13" s="23"/>
      <c r="F13" s="22"/>
      <c r="G13" s="23"/>
      <c r="H13" s="12">
        <f t="shared" si="0"/>
        <v>43850</v>
      </c>
      <c r="K13" s="4"/>
    </row>
    <row r="14" spans="2:11" x14ac:dyDescent="0.3">
      <c r="B14" s="6" t="s">
        <v>19</v>
      </c>
      <c r="C14" s="22">
        <v>54000</v>
      </c>
      <c r="D14" s="22"/>
      <c r="E14" s="22"/>
      <c r="F14" s="22">
        <v>270000</v>
      </c>
      <c r="G14" s="22"/>
      <c r="H14" s="12">
        <f t="shared" si="0"/>
        <v>43850</v>
      </c>
    </row>
    <row r="15" spans="2:11" x14ac:dyDescent="0.3">
      <c r="B15" s="6" t="s">
        <v>14</v>
      </c>
      <c r="C15" s="22">
        <v>99000</v>
      </c>
      <c r="D15" s="22"/>
      <c r="E15" s="22"/>
      <c r="F15" s="22">
        <v>108000</v>
      </c>
      <c r="G15" s="22"/>
      <c r="H15" s="12">
        <f t="shared" si="0"/>
        <v>43850</v>
      </c>
    </row>
    <row r="16" spans="2:11" x14ac:dyDescent="0.3">
      <c r="B16" s="6" t="s">
        <v>24</v>
      </c>
      <c r="C16" s="22"/>
      <c r="D16" s="22"/>
      <c r="E16" s="22"/>
      <c r="F16" s="49"/>
      <c r="G16" s="22"/>
      <c r="H16" s="12">
        <f t="shared" si="0"/>
        <v>43850</v>
      </c>
    </row>
    <row r="17" spans="1:8" x14ac:dyDescent="0.3">
      <c r="B17" s="6" t="s">
        <v>21</v>
      </c>
      <c r="C17" s="22"/>
      <c r="D17" s="22"/>
      <c r="E17" s="22"/>
      <c r="F17" s="22"/>
      <c r="G17" s="22"/>
      <c r="H17" s="12">
        <f t="shared" si="0"/>
        <v>43850</v>
      </c>
    </row>
    <row r="18" spans="1:8" x14ac:dyDescent="0.3">
      <c r="B18" s="6" t="s">
        <v>18</v>
      </c>
      <c r="C18" s="22">
        <v>374000</v>
      </c>
      <c r="D18" s="22"/>
      <c r="E18" s="22"/>
      <c r="F18" s="22"/>
      <c r="G18" s="22"/>
      <c r="H18" s="12">
        <f t="shared" si="0"/>
        <v>43850</v>
      </c>
    </row>
    <row r="19" spans="1:8" x14ac:dyDescent="0.3">
      <c r="B19" s="6" t="s">
        <v>16</v>
      </c>
      <c r="C19" s="22">
        <v>425000</v>
      </c>
      <c r="D19" s="22"/>
      <c r="E19" s="22">
        <v>207000</v>
      </c>
      <c r="F19" s="22">
        <v>108000</v>
      </c>
      <c r="G19" s="22"/>
      <c r="H19" s="12">
        <f t="shared" si="0"/>
        <v>43850</v>
      </c>
    </row>
    <row r="20" spans="1:8" x14ac:dyDescent="0.3">
      <c r="B20" s="50" t="s">
        <v>27</v>
      </c>
      <c r="C20" s="51">
        <f>SUM(Jan20_2020[KSI_AGO])</f>
        <v>1371500</v>
      </c>
      <c r="D20" s="51">
        <f>SUM(Jan20_2020[KSI_PMS])</f>
        <v>1630500</v>
      </c>
      <c r="E20" s="51">
        <f>SUM(Jan20_2020[BUIPE_AGO])</f>
        <v>207000</v>
      </c>
      <c r="F20" s="51">
        <f>SUM(Jan20_2020[BUIPE_PMS])</f>
        <v>594000</v>
      </c>
      <c r="G20" s="51">
        <f>SUM(Jan20_2020[AKOSOMBO_AGO])</f>
        <v>581500</v>
      </c>
      <c r="H20" s="52"/>
    </row>
    <row r="21" spans="1:8" x14ac:dyDescent="0.3">
      <c r="B21" s="8"/>
      <c r="C21" s="24"/>
      <c r="D21" s="24"/>
      <c r="E21" s="24"/>
      <c r="F21" s="24"/>
      <c r="G21" s="24"/>
      <c r="H21"/>
    </row>
    <row r="22" spans="1:8" x14ac:dyDescent="0.3">
      <c r="B22" s="1" t="s">
        <v>6</v>
      </c>
      <c r="C22" s="1" t="s">
        <v>4</v>
      </c>
      <c r="D22" s="5">
        <f>SUMIF(Jan20_2020[[#Headers],[KSI_AGO]:[AKOSOMBO_AGO]],"*"&amp;C22,Jan20_2020[[#Totals],[KSI_AGO]:[AKOSOMBO_AGO]])</f>
        <v>2160000</v>
      </c>
      <c r="E22" s="1" t="s">
        <v>5</v>
      </c>
      <c r="F22" s="5">
        <f>SUMIF(Jan20_2020[[#Headers],[KSI_AGO]:[AKOSOMBO_AGO]],"*"&amp;E22,Jan20_2020[[#Totals],[KSI_AGO]:[AKOSOMBO_AGO]])</f>
        <v>2224500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A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D12" sqref="D12"/>
    </sheetView>
  </sheetViews>
  <sheetFormatPr defaultColWidth="9.109375" defaultRowHeight="14.4" x14ac:dyDescent="0.3"/>
  <cols>
    <col min="1" max="1" width="6.88671875" style="1" customWidth="1"/>
    <col min="2" max="2" width="26.109375" style="1" customWidth="1"/>
    <col min="3" max="3" width="15.44140625" style="1" customWidth="1"/>
    <col min="4" max="4" width="15.33203125" style="1" customWidth="1"/>
    <col min="5" max="5" width="18.6640625" style="1" customWidth="1"/>
    <col min="6" max="6" width="19.88671875" style="1" customWidth="1"/>
    <col min="7" max="7" width="26.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43851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43851</v>
      </c>
    </row>
    <row r="7" spans="2:11" x14ac:dyDescent="0.3">
      <c r="B7" s="6" t="s">
        <v>37</v>
      </c>
      <c r="C7" s="22"/>
      <c r="D7" s="22"/>
      <c r="E7" s="22"/>
      <c r="F7" s="22"/>
      <c r="G7" s="22"/>
      <c r="H7" s="67">
        <f>$G$3</f>
        <v>43851</v>
      </c>
    </row>
    <row r="8" spans="2:11" x14ac:dyDescent="0.3">
      <c r="B8" s="6" t="s">
        <v>17</v>
      </c>
      <c r="C8" s="22"/>
      <c r="D8" s="22">
        <v>729000</v>
      </c>
      <c r="E8" s="22"/>
      <c r="F8" s="22"/>
      <c r="G8" s="22"/>
      <c r="H8" s="12">
        <f t="shared" si="0"/>
        <v>43851</v>
      </c>
    </row>
    <row r="9" spans="2:11" ht="15.6" x14ac:dyDescent="0.3">
      <c r="B9" s="34" t="s">
        <v>0</v>
      </c>
      <c r="C9" s="60"/>
      <c r="D9" s="60"/>
      <c r="E9" s="60"/>
      <c r="F9" s="60"/>
      <c r="G9" s="61"/>
      <c r="H9" s="12">
        <f t="shared" si="0"/>
        <v>43851</v>
      </c>
    </row>
    <row r="10" spans="2:11" x14ac:dyDescent="0.3">
      <c r="B10" s="6" t="s">
        <v>25</v>
      </c>
      <c r="C10" s="22">
        <v>950500</v>
      </c>
      <c r="D10" s="22"/>
      <c r="E10" s="22"/>
      <c r="F10" s="22"/>
      <c r="G10" s="22">
        <v>415000</v>
      </c>
      <c r="H10" s="12">
        <f t="shared" si="0"/>
        <v>43851</v>
      </c>
    </row>
    <row r="11" spans="2:11" x14ac:dyDescent="0.3">
      <c r="B11" s="6" t="s">
        <v>15</v>
      </c>
      <c r="C11" s="22"/>
      <c r="D11" s="22">
        <v>320000</v>
      </c>
      <c r="E11" s="22"/>
      <c r="F11" s="48"/>
      <c r="G11" s="22"/>
      <c r="H11" s="12">
        <f t="shared" si="0"/>
        <v>43851</v>
      </c>
    </row>
    <row r="12" spans="2:11" x14ac:dyDescent="0.3">
      <c r="B12" s="6" t="s">
        <v>26</v>
      </c>
      <c r="C12" s="22"/>
      <c r="D12" s="22">
        <v>162000</v>
      </c>
      <c r="E12" s="22"/>
      <c r="F12" s="22"/>
      <c r="G12" s="22"/>
      <c r="H12" s="12">
        <f t="shared" si="0"/>
        <v>43851</v>
      </c>
    </row>
    <row r="13" spans="2:11" x14ac:dyDescent="0.3">
      <c r="B13" s="6" t="s">
        <v>22</v>
      </c>
      <c r="C13" s="23"/>
      <c r="D13" s="23"/>
      <c r="E13" s="23"/>
      <c r="F13" s="22"/>
      <c r="G13" s="23"/>
      <c r="H13" s="12">
        <f t="shared" si="0"/>
        <v>43851</v>
      </c>
      <c r="K13" s="4"/>
    </row>
    <row r="14" spans="2:11" x14ac:dyDescent="0.3">
      <c r="B14" s="6" t="s">
        <v>19</v>
      </c>
      <c r="C14" s="22"/>
      <c r="D14" s="22"/>
      <c r="E14" s="22"/>
      <c r="F14" s="22"/>
      <c r="G14" s="22"/>
      <c r="H14" s="12">
        <f t="shared" si="0"/>
        <v>43851</v>
      </c>
    </row>
    <row r="15" spans="2:11" x14ac:dyDescent="0.3">
      <c r="B15" s="6" t="s">
        <v>14</v>
      </c>
      <c r="C15" s="22">
        <v>207000</v>
      </c>
      <c r="D15" s="22"/>
      <c r="E15" s="22"/>
      <c r="F15" s="22"/>
      <c r="G15" s="22"/>
      <c r="H15" s="12">
        <f t="shared" si="0"/>
        <v>43851</v>
      </c>
    </row>
    <row r="16" spans="2:11" x14ac:dyDescent="0.3">
      <c r="B16" s="6" t="s">
        <v>24</v>
      </c>
      <c r="C16" s="22"/>
      <c r="D16" s="22"/>
      <c r="E16" s="22"/>
      <c r="F16" s="49"/>
      <c r="G16" s="22"/>
      <c r="H16" s="12">
        <f t="shared" si="0"/>
        <v>43851</v>
      </c>
    </row>
    <row r="17" spans="1:8" x14ac:dyDescent="0.3">
      <c r="B17" s="6" t="s">
        <v>21</v>
      </c>
      <c r="C17" s="22"/>
      <c r="D17" s="22"/>
      <c r="E17" s="22"/>
      <c r="F17" s="22"/>
      <c r="G17" s="22"/>
      <c r="H17" s="12">
        <f t="shared" si="0"/>
        <v>43851</v>
      </c>
    </row>
    <row r="18" spans="1:8" x14ac:dyDescent="0.3">
      <c r="B18" s="6" t="s">
        <v>18</v>
      </c>
      <c r="C18" s="22"/>
      <c r="D18" s="22"/>
      <c r="E18" s="22"/>
      <c r="F18" s="22"/>
      <c r="G18" s="22"/>
      <c r="H18" s="12">
        <f t="shared" si="0"/>
        <v>43851</v>
      </c>
    </row>
    <row r="19" spans="1:8" x14ac:dyDescent="0.3">
      <c r="B19" s="6" t="s">
        <v>16</v>
      </c>
      <c r="C19" s="22">
        <v>578000</v>
      </c>
      <c r="D19" s="22">
        <v>420500</v>
      </c>
      <c r="E19" s="22"/>
      <c r="F19" s="22">
        <v>851500</v>
      </c>
      <c r="G19" s="22"/>
      <c r="H19" s="12">
        <f t="shared" si="0"/>
        <v>43851</v>
      </c>
    </row>
    <row r="20" spans="1:8" x14ac:dyDescent="0.3">
      <c r="B20" s="50" t="s">
        <v>27</v>
      </c>
      <c r="C20" s="51">
        <f>SUM(Jan21_2020[KSI_AGO])</f>
        <v>1735500</v>
      </c>
      <c r="D20" s="51">
        <f>SUM(Jan21_2020[KSI_PMS])</f>
        <v>1631500</v>
      </c>
      <c r="E20" s="51">
        <f>SUM(Jan21_2020[BUIPE_AGO])</f>
        <v>0</v>
      </c>
      <c r="F20" s="51">
        <f>SUM(Jan21_2020[BUIPE_PMS])</f>
        <v>851500</v>
      </c>
      <c r="G20" s="51">
        <f>SUM(Jan21_2020[AKOSOMBO_AGO])</f>
        <v>415000</v>
      </c>
      <c r="H20" s="52"/>
    </row>
    <row r="21" spans="1:8" x14ac:dyDescent="0.3">
      <c r="B21" s="8"/>
      <c r="C21" s="24"/>
      <c r="D21" s="24"/>
      <c r="E21" s="24"/>
      <c r="F21" s="24"/>
      <c r="G21" s="24"/>
      <c r="H21"/>
    </row>
    <row r="22" spans="1:8" x14ac:dyDescent="0.3">
      <c r="B22" s="1" t="s">
        <v>6</v>
      </c>
      <c r="C22" s="1" t="s">
        <v>4</v>
      </c>
      <c r="D22" s="5">
        <f>SUMIF(Jan21_2020[[#Headers],[KSI_AGO]:[AKOSOMBO_AGO]],"*"&amp;C22,Jan21_2020[[#Totals],[KSI_AGO]:[AKOSOMBO_AGO]])</f>
        <v>2150500</v>
      </c>
      <c r="E22" s="1" t="s">
        <v>5</v>
      </c>
      <c r="F22" s="5">
        <f>SUMIF(Jan21_2020[[#Headers],[KSI_AGO]:[AKOSOMBO_AGO]],"*"&amp;E22,Jan21_2020[[#Totals],[KSI_AGO]:[AKOSOMBO_AGO]])</f>
        <v>2483000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B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E10" sqref="E10"/>
    </sheetView>
  </sheetViews>
  <sheetFormatPr defaultColWidth="9.109375" defaultRowHeight="14.4" x14ac:dyDescent="0.3"/>
  <cols>
    <col min="1" max="1" width="6.88671875" style="1" customWidth="1"/>
    <col min="2" max="2" width="26.109375" style="1" customWidth="1"/>
    <col min="3" max="3" width="15.5546875" style="1" customWidth="1"/>
    <col min="4" max="4" width="16" style="1" customWidth="1"/>
    <col min="5" max="5" width="17.88671875" style="1" customWidth="1"/>
    <col min="6" max="6" width="18.33203125" style="1" customWidth="1"/>
    <col min="7" max="7" width="27.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43852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43852</v>
      </c>
    </row>
    <row r="7" spans="2:11" x14ac:dyDescent="0.3">
      <c r="B7" s="6" t="s">
        <v>37</v>
      </c>
      <c r="C7" s="22"/>
      <c r="D7" s="22"/>
      <c r="E7" s="22"/>
      <c r="F7" s="22"/>
      <c r="G7" s="22"/>
      <c r="H7" s="67">
        <f>$G$3</f>
        <v>43852</v>
      </c>
    </row>
    <row r="8" spans="2:11" x14ac:dyDescent="0.3">
      <c r="B8" s="6" t="s">
        <v>17</v>
      </c>
      <c r="C8" s="22"/>
      <c r="D8" s="22">
        <v>362000</v>
      </c>
      <c r="E8" s="22"/>
      <c r="F8" s="22"/>
      <c r="G8" s="22"/>
      <c r="H8" s="12">
        <f t="shared" si="0"/>
        <v>43852</v>
      </c>
    </row>
    <row r="9" spans="2:11" ht="15.6" x14ac:dyDescent="0.3">
      <c r="B9" s="34" t="s">
        <v>0</v>
      </c>
      <c r="C9" s="60"/>
      <c r="D9" s="60"/>
      <c r="E9" s="60"/>
      <c r="F9" s="60"/>
      <c r="G9" s="61"/>
      <c r="H9" s="12">
        <f t="shared" si="0"/>
        <v>43852</v>
      </c>
    </row>
    <row r="10" spans="2:11" x14ac:dyDescent="0.3">
      <c r="B10" s="6" t="s">
        <v>25</v>
      </c>
      <c r="C10" s="22">
        <v>756000</v>
      </c>
      <c r="D10" s="22"/>
      <c r="E10" s="22"/>
      <c r="F10" s="22"/>
      <c r="G10" s="22">
        <v>503000</v>
      </c>
      <c r="H10" s="12">
        <f t="shared" si="0"/>
        <v>43852</v>
      </c>
    </row>
    <row r="11" spans="2:11" x14ac:dyDescent="0.3">
      <c r="B11" s="6" t="s">
        <v>15</v>
      </c>
      <c r="C11" s="22"/>
      <c r="D11" s="22">
        <v>104000</v>
      </c>
      <c r="E11" s="22"/>
      <c r="F11" s="48"/>
      <c r="G11" s="22"/>
      <c r="H11" s="12">
        <f t="shared" si="0"/>
        <v>43852</v>
      </c>
    </row>
    <row r="12" spans="2:11" x14ac:dyDescent="0.3">
      <c r="B12" s="6" t="s">
        <v>26</v>
      </c>
      <c r="C12" s="22"/>
      <c r="D12" s="22"/>
      <c r="E12" s="22"/>
      <c r="F12" s="22"/>
      <c r="G12" s="22"/>
      <c r="H12" s="12">
        <f t="shared" si="0"/>
        <v>43852</v>
      </c>
    </row>
    <row r="13" spans="2:11" x14ac:dyDescent="0.3">
      <c r="B13" s="6" t="s">
        <v>22</v>
      </c>
      <c r="C13" s="23"/>
      <c r="D13" s="23"/>
      <c r="E13" s="23"/>
      <c r="F13" s="22"/>
      <c r="G13" s="23"/>
      <c r="H13" s="12">
        <f t="shared" si="0"/>
        <v>43852</v>
      </c>
      <c r="K13" s="4"/>
    </row>
    <row r="14" spans="2:11" x14ac:dyDescent="0.3">
      <c r="B14" s="6" t="s">
        <v>19</v>
      </c>
      <c r="C14" s="22"/>
      <c r="D14" s="22"/>
      <c r="E14" s="22"/>
      <c r="F14" s="22">
        <v>153000</v>
      </c>
      <c r="G14" s="22"/>
      <c r="H14" s="12">
        <f t="shared" si="0"/>
        <v>43852</v>
      </c>
    </row>
    <row r="15" spans="2:11" x14ac:dyDescent="0.3">
      <c r="B15" s="6" t="s">
        <v>14</v>
      </c>
      <c r="C15" s="22">
        <v>50000</v>
      </c>
      <c r="D15" s="22">
        <v>320000</v>
      </c>
      <c r="E15" s="22"/>
      <c r="F15" s="22">
        <v>212000</v>
      </c>
      <c r="G15" s="22"/>
      <c r="H15" s="12">
        <f t="shared" si="0"/>
        <v>43852</v>
      </c>
    </row>
    <row r="16" spans="2:11" x14ac:dyDescent="0.3">
      <c r="B16" s="6" t="s">
        <v>24</v>
      </c>
      <c r="C16" s="22"/>
      <c r="D16" s="22"/>
      <c r="E16" s="22"/>
      <c r="F16" s="49"/>
      <c r="G16" s="22"/>
      <c r="H16" s="12">
        <f t="shared" si="0"/>
        <v>43852</v>
      </c>
    </row>
    <row r="17" spans="1:8" x14ac:dyDescent="0.3">
      <c r="B17" s="6" t="s">
        <v>21</v>
      </c>
      <c r="C17" s="22"/>
      <c r="D17" s="22"/>
      <c r="E17" s="22"/>
      <c r="F17" s="22"/>
      <c r="G17" s="22"/>
      <c r="H17" s="12">
        <f t="shared" si="0"/>
        <v>43852</v>
      </c>
    </row>
    <row r="18" spans="1:8" x14ac:dyDescent="0.3">
      <c r="B18" s="6" t="s">
        <v>18</v>
      </c>
      <c r="C18" s="22">
        <v>153000</v>
      </c>
      <c r="D18" s="22"/>
      <c r="E18" s="22"/>
      <c r="F18" s="22"/>
      <c r="G18" s="22"/>
      <c r="H18" s="12">
        <f t="shared" si="0"/>
        <v>43852</v>
      </c>
    </row>
    <row r="19" spans="1:8" x14ac:dyDescent="0.3">
      <c r="B19" s="6" t="s">
        <v>16</v>
      </c>
      <c r="C19" s="22">
        <v>54000</v>
      </c>
      <c r="D19" s="22">
        <v>693000</v>
      </c>
      <c r="E19" s="22"/>
      <c r="F19" s="22"/>
      <c r="G19" s="22"/>
      <c r="H19" s="12">
        <f t="shared" si="0"/>
        <v>43852</v>
      </c>
    </row>
    <row r="20" spans="1:8" x14ac:dyDescent="0.3">
      <c r="B20" s="50" t="s">
        <v>27</v>
      </c>
      <c r="C20" s="51">
        <f>SUM(Jan22_2020[KSI_AGO])</f>
        <v>1013000</v>
      </c>
      <c r="D20" s="51">
        <f>SUM(Jan22_2020[KSI_PMS])</f>
        <v>1479000</v>
      </c>
      <c r="E20" s="51">
        <f>SUM(Jan22_2020[BUIPE_AGO])</f>
        <v>0</v>
      </c>
      <c r="F20" s="51">
        <f>SUM(Jan22_2020[BUIPE_PMS])</f>
        <v>365000</v>
      </c>
      <c r="G20" s="51">
        <f>SUM(Jan22_2020[AKOSOMBO_AGO])</f>
        <v>503000</v>
      </c>
      <c r="H20" s="52"/>
    </row>
    <row r="21" spans="1:8" x14ac:dyDescent="0.3">
      <c r="B21" s="8"/>
      <c r="C21" s="24"/>
      <c r="D21" s="24"/>
      <c r="E21" s="24"/>
      <c r="F21" s="24"/>
      <c r="G21" s="24"/>
      <c r="H21"/>
    </row>
    <row r="22" spans="1:8" x14ac:dyDescent="0.3">
      <c r="B22" s="1" t="s">
        <v>6</v>
      </c>
      <c r="C22" s="1" t="s">
        <v>4</v>
      </c>
      <c r="D22" s="5">
        <f>SUMIF(Jan22_2020[[#Headers],[KSI_AGO]:[AKOSOMBO_AGO]],"*"&amp;C22,Jan22_2020[[#Totals],[KSI_AGO]:[AKOSOMBO_AGO]])</f>
        <v>1516000</v>
      </c>
      <c r="E22" s="1" t="s">
        <v>5</v>
      </c>
      <c r="F22" s="5">
        <f>SUMIF(Jan22_2020[[#Headers],[KSI_AGO]:[AKOSOMBO_AGO]],"*"&amp;E22,Jan22_2020[[#Totals],[KSI_AGO]:[AKOSOMBO_AGO]])</f>
        <v>1844000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C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L17" sqref="L17"/>
    </sheetView>
  </sheetViews>
  <sheetFormatPr defaultColWidth="9.109375" defaultRowHeight="14.4" x14ac:dyDescent="0.3"/>
  <cols>
    <col min="1" max="1" width="6.88671875" style="1" customWidth="1"/>
    <col min="2" max="2" width="26.109375" style="1" customWidth="1"/>
    <col min="3" max="3" width="14.5546875" style="1" customWidth="1"/>
    <col min="4" max="4" width="15.6640625" style="1" customWidth="1"/>
    <col min="5" max="5" width="18.6640625" style="1" customWidth="1"/>
    <col min="6" max="6" width="20" style="1" customWidth="1"/>
    <col min="7" max="7" width="30"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43853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43853</v>
      </c>
    </row>
    <row r="7" spans="2:11" x14ac:dyDescent="0.3">
      <c r="B7" s="6" t="s">
        <v>37</v>
      </c>
      <c r="C7" s="22"/>
      <c r="D7" s="22"/>
      <c r="E7" s="22"/>
      <c r="F7" s="22"/>
      <c r="G7" s="22"/>
      <c r="H7" s="67">
        <f>$G$3</f>
        <v>43853</v>
      </c>
    </row>
    <row r="8" spans="2:11" x14ac:dyDescent="0.3">
      <c r="B8" s="6" t="s">
        <v>17</v>
      </c>
      <c r="C8" s="22"/>
      <c r="D8" s="22">
        <v>751500</v>
      </c>
      <c r="E8" s="22"/>
      <c r="F8" s="22"/>
      <c r="G8" s="22"/>
      <c r="H8" s="12">
        <f t="shared" si="0"/>
        <v>43853</v>
      </c>
    </row>
    <row r="9" spans="2:11" ht="15.6" x14ac:dyDescent="0.3">
      <c r="B9" s="34" t="s">
        <v>0</v>
      </c>
      <c r="C9" s="60"/>
      <c r="D9" s="60"/>
      <c r="E9" s="60"/>
      <c r="F9" s="60"/>
      <c r="G9" s="61"/>
      <c r="H9" s="12">
        <f t="shared" si="0"/>
        <v>43853</v>
      </c>
    </row>
    <row r="10" spans="2:11" x14ac:dyDescent="0.3">
      <c r="B10" s="6" t="s">
        <v>25</v>
      </c>
      <c r="C10" s="22"/>
      <c r="D10" s="22"/>
      <c r="E10" s="22"/>
      <c r="F10" s="22"/>
      <c r="G10" s="22"/>
      <c r="H10" s="12">
        <f t="shared" si="0"/>
        <v>43853</v>
      </c>
    </row>
    <row r="11" spans="2:11" x14ac:dyDescent="0.3">
      <c r="B11" s="6" t="s">
        <v>15</v>
      </c>
      <c r="C11" s="22"/>
      <c r="D11" s="22">
        <v>104000</v>
      </c>
      <c r="E11" s="22"/>
      <c r="F11" s="48"/>
      <c r="G11" s="22"/>
      <c r="H11" s="12">
        <f t="shared" si="0"/>
        <v>43853</v>
      </c>
    </row>
    <row r="12" spans="2:11" x14ac:dyDescent="0.3">
      <c r="B12" s="6" t="s">
        <v>26</v>
      </c>
      <c r="C12" s="22"/>
      <c r="D12" s="22"/>
      <c r="E12" s="22"/>
      <c r="F12" s="22"/>
      <c r="G12" s="22"/>
      <c r="H12" s="12">
        <f t="shared" si="0"/>
        <v>43853</v>
      </c>
    </row>
    <row r="13" spans="2:11" x14ac:dyDescent="0.3">
      <c r="B13" s="6" t="s">
        <v>22</v>
      </c>
      <c r="C13" s="23"/>
      <c r="D13" s="23"/>
      <c r="E13" s="23"/>
      <c r="F13" s="22"/>
      <c r="G13" s="23"/>
      <c r="H13" s="12">
        <f t="shared" si="0"/>
        <v>43853</v>
      </c>
      <c r="K13" s="4"/>
    </row>
    <row r="14" spans="2:11" x14ac:dyDescent="0.3">
      <c r="B14" s="6" t="s">
        <v>19</v>
      </c>
      <c r="C14" s="22"/>
      <c r="D14" s="22">
        <v>103500</v>
      </c>
      <c r="E14" s="22"/>
      <c r="F14" s="22">
        <v>680000</v>
      </c>
      <c r="G14" s="22"/>
      <c r="H14" s="12">
        <f t="shared" si="0"/>
        <v>43853</v>
      </c>
    </row>
    <row r="15" spans="2:11" x14ac:dyDescent="0.3">
      <c r="B15" s="6" t="s">
        <v>14</v>
      </c>
      <c r="C15" s="22"/>
      <c r="D15" s="22">
        <v>157500</v>
      </c>
      <c r="E15" s="22"/>
      <c r="F15" s="22"/>
      <c r="G15" s="22"/>
      <c r="H15" s="12">
        <f t="shared" si="0"/>
        <v>43853</v>
      </c>
    </row>
    <row r="16" spans="2:11" x14ac:dyDescent="0.3">
      <c r="B16" s="6" t="s">
        <v>24</v>
      </c>
      <c r="C16" s="22"/>
      <c r="D16" s="22"/>
      <c r="E16" s="22"/>
      <c r="F16" s="49"/>
      <c r="G16" s="22"/>
      <c r="H16" s="12">
        <f t="shared" si="0"/>
        <v>43853</v>
      </c>
    </row>
    <row r="17" spans="1:8" x14ac:dyDescent="0.3">
      <c r="B17" s="6" t="s">
        <v>21</v>
      </c>
      <c r="C17" s="22"/>
      <c r="D17" s="22"/>
      <c r="E17" s="22"/>
      <c r="F17" s="22"/>
      <c r="G17" s="22"/>
      <c r="H17" s="12">
        <f t="shared" si="0"/>
        <v>43853</v>
      </c>
    </row>
    <row r="18" spans="1:8" x14ac:dyDescent="0.3">
      <c r="B18" s="6" t="s">
        <v>18</v>
      </c>
      <c r="C18" s="22"/>
      <c r="D18" s="22"/>
      <c r="E18" s="22">
        <v>431000</v>
      </c>
      <c r="F18" s="22"/>
      <c r="G18" s="22"/>
      <c r="H18" s="12">
        <f t="shared" si="0"/>
        <v>43853</v>
      </c>
    </row>
    <row r="19" spans="1:8" x14ac:dyDescent="0.3">
      <c r="B19" s="6" t="s">
        <v>16</v>
      </c>
      <c r="C19" s="22"/>
      <c r="D19" s="22">
        <v>748000</v>
      </c>
      <c r="E19" s="22"/>
      <c r="F19" s="22"/>
      <c r="G19" s="22"/>
      <c r="H19" s="12">
        <f t="shared" si="0"/>
        <v>43853</v>
      </c>
    </row>
    <row r="20" spans="1:8" x14ac:dyDescent="0.3">
      <c r="B20" s="50" t="s">
        <v>27</v>
      </c>
      <c r="C20" s="51">
        <f>SUM(Jan23_2020[KSI_AGO])</f>
        <v>0</v>
      </c>
      <c r="D20" s="51">
        <f>SUM(Jan23_2020[KSI_PMS])</f>
        <v>1864500</v>
      </c>
      <c r="E20" s="51">
        <f>SUM(Jan23_2020[BUIPE_AGO])</f>
        <v>431000</v>
      </c>
      <c r="F20" s="51">
        <f>SUM(Jan23_2020[BUIPE_PMS])</f>
        <v>680000</v>
      </c>
      <c r="G20" s="51">
        <f>SUM(Jan23_2020[AKOSOMBO_AGO])</f>
        <v>0</v>
      </c>
      <c r="H20" s="52"/>
    </row>
    <row r="21" spans="1:8" x14ac:dyDescent="0.3">
      <c r="B21" s="8"/>
      <c r="C21" s="24"/>
      <c r="D21" s="24"/>
      <c r="E21" s="24"/>
      <c r="F21" s="24"/>
      <c r="G21" s="24"/>
      <c r="H21"/>
    </row>
    <row r="22" spans="1:8" x14ac:dyDescent="0.3">
      <c r="B22" s="1" t="s">
        <v>6</v>
      </c>
      <c r="C22" s="1" t="s">
        <v>4</v>
      </c>
      <c r="D22" s="5">
        <f>SUMIF(Jan23_2020[[#Headers],[KSI_AGO]:[AKOSOMBO_AGO]],"*"&amp;C22,Jan23_2020[[#Totals],[KSI_AGO]:[AKOSOMBO_AGO]])</f>
        <v>431000</v>
      </c>
      <c r="E22" s="1" t="s">
        <v>5</v>
      </c>
      <c r="F22" s="5">
        <f>SUMIF(Jan23_2020[[#Headers],[KSI_AGO]:[AKOSOMBO_AGO]],"*"&amp;E22,Jan23_2020[[#Totals],[KSI_AGO]:[AKOSOMBO_AGO]])</f>
        <v>2544500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D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F15" sqref="F15"/>
    </sheetView>
  </sheetViews>
  <sheetFormatPr defaultColWidth="9.109375" defaultRowHeight="14.4" x14ac:dyDescent="0.3"/>
  <cols>
    <col min="1" max="1" width="6.88671875" style="1" customWidth="1"/>
    <col min="2" max="2" width="26.109375" style="1" customWidth="1"/>
    <col min="3" max="3" width="16.109375" style="1" customWidth="1"/>
    <col min="4" max="4" width="15.88671875" style="1" customWidth="1"/>
    <col min="5" max="5" width="20" style="1" customWidth="1"/>
    <col min="6" max="6" width="18.6640625" style="1" customWidth="1"/>
    <col min="7" max="7" width="27.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43854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43854</v>
      </c>
    </row>
    <row r="7" spans="2:11" x14ac:dyDescent="0.3">
      <c r="B7" s="6" t="s">
        <v>37</v>
      </c>
      <c r="C7" s="22"/>
      <c r="D7" s="22"/>
      <c r="E7" s="22"/>
      <c r="F7" s="22"/>
      <c r="G7" s="22"/>
      <c r="H7" s="67">
        <f>$G$3</f>
        <v>43854</v>
      </c>
    </row>
    <row r="8" spans="2:11" x14ac:dyDescent="0.3">
      <c r="B8" s="6" t="s">
        <v>17</v>
      </c>
      <c r="C8" s="22"/>
      <c r="D8" s="22"/>
      <c r="E8" s="22"/>
      <c r="F8" s="22"/>
      <c r="G8" s="22"/>
      <c r="H8" s="12">
        <f t="shared" si="0"/>
        <v>43854</v>
      </c>
    </row>
    <row r="9" spans="2:11" ht="15.6" x14ac:dyDescent="0.3">
      <c r="B9" s="34" t="s">
        <v>0</v>
      </c>
      <c r="C9" s="60"/>
      <c r="D9" s="60"/>
      <c r="E9" s="60"/>
      <c r="F9" s="60"/>
      <c r="G9" s="61"/>
      <c r="H9" s="12">
        <f t="shared" si="0"/>
        <v>43854</v>
      </c>
    </row>
    <row r="10" spans="2:11" x14ac:dyDescent="0.3">
      <c r="B10" s="6" t="s">
        <v>25</v>
      </c>
      <c r="C10" s="22">
        <v>450000</v>
      </c>
      <c r="D10" s="22"/>
      <c r="E10" s="22"/>
      <c r="F10" s="22"/>
      <c r="G10" s="22"/>
      <c r="H10" s="12">
        <f t="shared" si="0"/>
        <v>43854</v>
      </c>
    </row>
    <row r="11" spans="2:11" x14ac:dyDescent="0.3">
      <c r="B11" s="6" t="s">
        <v>15</v>
      </c>
      <c r="C11" s="22"/>
      <c r="D11" s="22"/>
      <c r="E11" s="22"/>
      <c r="F11" s="48"/>
      <c r="G11" s="22"/>
      <c r="H11" s="12">
        <f t="shared" si="0"/>
        <v>43854</v>
      </c>
    </row>
    <row r="12" spans="2:11" x14ac:dyDescent="0.3">
      <c r="B12" s="6" t="s">
        <v>26</v>
      </c>
      <c r="C12" s="22"/>
      <c r="D12" s="22"/>
      <c r="E12" s="22"/>
      <c r="F12" s="22"/>
      <c r="G12" s="22"/>
      <c r="H12" s="12">
        <f t="shared" si="0"/>
        <v>43854</v>
      </c>
    </row>
    <row r="13" spans="2:11" x14ac:dyDescent="0.3">
      <c r="B13" s="6" t="s">
        <v>22</v>
      </c>
      <c r="C13" s="23"/>
      <c r="D13" s="23"/>
      <c r="E13" s="23"/>
      <c r="F13" s="22"/>
      <c r="G13" s="23"/>
      <c r="H13" s="12">
        <f t="shared" si="0"/>
        <v>43854</v>
      </c>
      <c r="K13" s="4"/>
    </row>
    <row r="14" spans="2:11" x14ac:dyDescent="0.3">
      <c r="B14" s="6" t="s">
        <v>19</v>
      </c>
      <c r="C14" s="22"/>
      <c r="D14" s="22"/>
      <c r="E14" s="22"/>
      <c r="F14" s="22">
        <v>1088500</v>
      </c>
      <c r="G14" s="22"/>
      <c r="H14" s="12">
        <f t="shared" si="0"/>
        <v>43854</v>
      </c>
    </row>
    <row r="15" spans="2:11" x14ac:dyDescent="0.3">
      <c r="B15" s="6" t="s">
        <v>14</v>
      </c>
      <c r="C15" s="22"/>
      <c r="D15" s="22"/>
      <c r="E15" s="22"/>
      <c r="F15" s="22"/>
      <c r="G15" s="22"/>
      <c r="H15" s="12">
        <f t="shared" si="0"/>
        <v>43854</v>
      </c>
    </row>
    <row r="16" spans="2:11" x14ac:dyDescent="0.3">
      <c r="B16" s="6" t="s">
        <v>24</v>
      </c>
      <c r="C16" s="22"/>
      <c r="D16" s="22"/>
      <c r="E16" s="22"/>
      <c r="F16" s="49"/>
      <c r="G16" s="22"/>
      <c r="H16" s="12">
        <f t="shared" si="0"/>
        <v>43854</v>
      </c>
    </row>
    <row r="17" spans="1:8" x14ac:dyDescent="0.3">
      <c r="B17" s="6" t="s">
        <v>21</v>
      </c>
      <c r="C17" s="22"/>
      <c r="D17" s="22"/>
      <c r="E17" s="22"/>
      <c r="F17" s="22"/>
      <c r="G17" s="22"/>
      <c r="H17" s="12">
        <f t="shared" si="0"/>
        <v>43854</v>
      </c>
    </row>
    <row r="18" spans="1:8" x14ac:dyDescent="0.3">
      <c r="B18" s="6" t="s">
        <v>18</v>
      </c>
      <c r="C18" s="22">
        <v>755500</v>
      </c>
      <c r="D18" s="22"/>
      <c r="E18" s="22"/>
      <c r="F18" s="22"/>
      <c r="G18" s="22"/>
      <c r="H18" s="12">
        <f t="shared" si="0"/>
        <v>43854</v>
      </c>
    </row>
    <row r="19" spans="1:8" x14ac:dyDescent="0.3">
      <c r="B19" s="6" t="s">
        <v>16</v>
      </c>
      <c r="C19" s="22"/>
      <c r="D19" s="22"/>
      <c r="E19" s="22"/>
      <c r="F19" s="22"/>
      <c r="G19" s="22"/>
      <c r="H19" s="12">
        <f t="shared" si="0"/>
        <v>43854</v>
      </c>
    </row>
    <row r="20" spans="1:8" x14ac:dyDescent="0.3">
      <c r="B20" s="50" t="s">
        <v>27</v>
      </c>
      <c r="C20" s="51">
        <f>SUM(Jan24_2020[KSI_AGO])</f>
        <v>1205500</v>
      </c>
      <c r="D20" s="51">
        <f>SUM(Jan24_2020[KSI_PMS])</f>
        <v>0</v>
      </c>
      <c r="E20" s="51">
        <f>SUM(Jan24_2020[BUIPE_AGO])</f>
        <v>0</v>
      </c>
      <c r="F20" s="51">
        <f>SUM(Jan24_2020[BUIPE_PMS])</f>
        <v>1088500</v>
      </c>
      <c r="G20" s="51">
        <f>SUM(Jan24_2020[AKOSOMBO_AGO])</f>
        <v>0</v>
      </c>
      <c r="H20" s="52"/>
    </row>
    <row r="21" spans="1:8" x14ac:dyDescent="0.3">
      <c r="B21" s="8"/>
      <c r="C21" s="24"/>
      <c r="D21" s="24"/>
      <c r="E21" s="24"/>
      <c r="F21" s="24"/>
      <c r="G21" s="24"/>
      <c r="H21"/>
    </row>
    <row r="22" spans="1:8" x14ac:dyDescent="0.3">
      <c r="B22" s="1" t="s">
        <v>6</v>
      </c>
      <c r="C22" s="1" t="s">
        <v>4</v>
      </c>
      <c r="D22" s="5">
        <f>SUMIF(Jan24_2020[[#Headers],[KSI_AGO]:[AKOSOMBO_AGO]],"*"&amp;C22,Jan24_2020[[#Totals],[KSI_AGO]:[AKOSOMBO_AGO]])</f>
        <v>1205500</v>
      </c>
      <c r="E22" s="1" t="s">
        <v>5</v>
      </c>
      <c r="F22" s="5">
        <f>SUMIF(Jan24_2020[[#Headers],[KSI_AGO]:[AKOSOMBO_AGO]],"*"&amp;E22,Jan24_2020[[#Totals],[KSI_AGO]:[AKOSOMBO_AGO]])</f>
        <v>1088500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E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K32"/>
  <sheetViews>
    <sheetView zoomScaleNormal="100" workbookViewId="0">
      <pane xSplit="1" ySplit="5" topLeftCell="D6" activePane="bottomRight" state="frozen"/>
      <selection activeCell="C21" sqref="C21"/>
      <selection pane="topRight" activeCell="C21" sqref="C21"/>
      <selection pane="bottomLeft" activeCell="C21" sqref="C21"/>
      <selection pane="bottomRight" activeCell="F18" sqref="F18"/>
    </sheetView>
  </sheetViews>
  <sheetFormatPr defaultColWidth="9.109375" defaultRowHeight="14.4" x14ac:dyDescent="0.3"/>
  <cols>
    <col min="1" max="1" width="6.88671875" style="1" customWidth="1"/>
    <col min="2" max="2" width="26.109375" style="1" customWidth="1"/>
    <col min="3" max="3" width="16.5546875" style="1" customWidth="1"/>
    <col min="4" max="4" width="15.88671875" style="1" customWidth="1"/>
    <col min="5" max="5" width="17.44140625" style="1" customWidth="1"/>
    <col min="6" max="6" width="18.44140625" style="1" customWidth="1"/>
    <col min="7" max="7" width="29.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43857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43857</v>
      </c>
    </row>
    <row r="7" spans="2:11" x14ac:dyDescent="0.3">
      <c r="B7" s="6" t="s">
        <v>37</v>
      </c>
      <c r="C7" s="22"/>
      <c r="D7" s="22"/>
      <c r="E7" s="22"/>
      <c r="F7" s="22"/>
      <c r="G7" s="22"/>
      <c r="H7" s="67">
        <f>$G$3</f>
        <v>43857</v>
      </c>
    </row>
    <row r="8" spans="2:11" x14ac:dyDescent="0.3">
      <c r="B8" s="6" t="s">
        <v>17</v>
      </c>
      <c r="C8" s="22"/>
      <c r="D8" s="22">
        <v>207000</v>
      </c>
      <c r="E8" s="22"/>
      <c r="F8" s="22"/>
      <c r="G8" s="22"/>
      <c r="H8" s="12">
        <f t="shared" si="0"/>
        <v>43857</v>
      </c>
    </row>
    <row r="9" spans="2:11" ht="15.6" x14ac:dyDescent="0.3">
      <c r="B9" s="34" t="s">
        <v>0</v>
      </c>
      <c r="C9" s="60"/>
      <c r="D9" s="60"/>
      <c r="E9" s="60"/>
      <c r="F9" s="60"/>
      <c r="G9" s="61"/>
      <c r="H9" s="12">
        <f t="shared" si="0"/>
        <v>43857</v>
      </c>
    </row>
    <row r="10" spans="2:11" x14ac:dyDescent="0.3">
      <c r="B10" s="6" t="s">
        <v>25</v>
      </c>
      <c r="C10" s="22"/>
      <c r="D10" s="22"/>
      <c r="E10" s="22"/>
      <c r="F10" s="22"/>
      <c r="G10" s="22"/>
      <c r="H10" s="12">
        <f t="shared" si="0"/>
        <v>43857</v>
      </c>
    </row>
    <row r="11" spans="2:11" x14ac:dyDescent="0.3">
      <c r="B11" s="6" t="s">
        <v>15</v>
      </c>
      <c r="C11" s="22"/>
      <c r="D11" s="22">
        <v>154000</v>
      </c>
      <c r="E11" s="22"/>
      <c r="F11" s="48"/>
      <c r="G11" s="22"/>
      <c r="H11" s="12">
        <f t="shared" si="0"/>
        <v>43857</v>
      </c>
    </row>
    <row r="12" spans="2:11" x14ac:dyDescent="0.3">
      <c r="B12" s="6" t="s">
        <v>26</v>
      </c>
      <c r="C12" s="22"/>
      <c r="D12" s="22"/>
      <c r="E12" s="22"/>
      <c r="F12" s="22"/>
      <c r="G12" s="22"/>
      <c r="H12" s="12">
        <f t="shared" si="0"/>
        <v>43857</v>
      </c>
    </row>
    <row r="13" spans="2:11" x14ac:dyDescent="0.3">
      <c r="B13" s="6" t="s">
        <v>22</v>
      </c>
      <c r="C13" s="23"/>
      <c r="D13" s="23"/>
      <c r="E13" s="23"/>
      <c r="F13" s="22"/>
      <c r="G13" s="23"/>
      <c r="H13" s="12">
        <f t="shared" si="0"/>
        <v>43857</v>
      </c>
      <c r="K13" s="4"/>
    </row>
    <row r="14" spans="2:11" x14ac:dyDescent="0.3">
      <c r="B14" s="6" t="s">
        <v>19</v>
      </c>
      <c r="C14" s="22"/>
      <c r="D14" s="22">
        <v>692000</v>
      </c>
      <c r="E14" s="22">
        <v>212000</v>
      </c>
      <c r="F14" s="22"/>
      <c r="G14" s="22"/>
      <c r="H14" s="12">
        <f t="shared" si="0"/>
        <v>43857</v>
      </c>
    </row>
    <row r="15" spans="2:11" x14ac:dyDescent="0.3">
      <c r="B15" s="6" t="s">
        <v>14</v>
      </c>
      <c r="C15" s="22"/>
      <c r="D15" s="22"/>
      <c r="E15" s="22">
        <v>162000</v>
      </c>
      <c r="F15" s="22"/>
      <c r="G15" s="22"/>
      <c r="H15" s="12">
        <f t="shared" si="0"/>
        <v>43857</v>
      </c>
    </row>
    <row r="16" spans="2:11" x14ac:dyDescent="0.3">
      <c r="B16" s="6" t="s">
        <v>24</v>
      </c>
      <c r="C16" s="22"/>
      <c r="D16" s="22"/>
      <c r="E16" s="22"/>
      <c r="F16" s="49"/>
      <c r="G16" s="22"/>
      <c r="H16" s="12">
        <f t="shared" si="0"/>
        <v>43857</v>
      </c>
    </row>
    <row r="17" spans="1:8" x14ac:dyDescent="0.3">
      <c r="B17" s="6" t="s">
        <v>21</v>
      </c>
      <c r="C17" s="22"/>
      <c r="D17" s="22"/>
      <c r="E17" s="22"/>
      <c r="F17" s="22"/>
      <c r="G17" s="22"/>
      <c r="H17" s="12">
        <f t="shared" si="0"/>
        <v>43857</v>
      </c>
    </row>
    <row r="18" spans="1:8" x14ac:dyDescent="0.3">
      <c r="B18" s="6" t="s">
        <v>18</v>
      </c>
      <c r="C18" s="22"/>
      <c r="D18" s="22">
        <v>108000</v>
      </c>
      <c r="E18" s="22"/>
      <c r="F18" s="22"/>
      <c r="G18" s="22"/>
      <c r="H18" s="12">
        <f t="shared" si="0"/>
        <v>43857</v>
      </c>
    </row>
    <row r="19" spans="1:8" x14ac:dyDescent="0.3">
      <c r="B19" s="6" t="s">
        <v>16</v>
      </c>
      <c r="C19" s="22"/>
      <c r="D19" s="22">
        <v>263000</v>
      </c>
      <c r="E19" s="22"/>
      <c r="F19" s="22"/>
      <c r="G19" s="22"/>
      <c r="H19" s="12">
        <f t="shared" si="0"/>
        <v>43857</v>
      </c>
    </row>
    <row r="20" spans="1:8" x14ac:dyDescent="0.3">
      <c r="B20" s="50" t="s">
        <v>27</v>
      </c>
      <c r="C20" s="51">
        <f>SUM(Jan27_2020[KSI_AGO])</f>
        <v>0</v>
      </c>
      <c r="D20" s="51">
        <f>SUM(Jan27_2020[KSI_PMS])</f>
        <v>1424000</v>
      </c>
      <c r="E20" s="51">
        <f>SUM(Jan27_2020[BUIPE_AGO])</f>
        <v>374000</v>
      </c>
      <c r="F20" s="51">
        <f>SUM(Jan27_2020[BUIPE_PMS])</f>
        <v>0</v>
      </c>
      <c r="G20" s="51">
        <f>SUM(Jan27_2020[AKOSOMBO_AGO])</f>
        <v>0</v>
      </c>
      <c r="H20" s="52"/>
    </row>
    <row r="21" spans="1:8" x14ac:dyDescent="0.3">
      <c r="B21" s="8"/>
      <c r="C21" s="24"/>
      <c r="D21" s="24"/>
      <c r="E21" s="24"/>
      <c r="F21" s="24"/>
      <c r="G21" s="24"/>
      <c r="H21"/>
    </row>
    <row r="22" spans="1:8" x14ac:dyDescent="0.3">
      <c r="B22" s="1" t="s">
        <v>6</v>
      </c>
      <c r="C22" s="1" t="s">
        <v>4</v>
      </c>
      <c r="D22" s="5">
        <f>SUMIF(Jan27_2020[[#Headers],[KSI_AGO]:[AKOSOMBO_AGO]],"*"&amp;C22,Jan27_2020[[#Totals],[KSI_AGO]:[AKOSOMBO_AGO]])</f>
        <v>374000</v>
      </c>
      <c r="E22" s="1" t="s">
        <v>5</v>
      </c>
      <c r="F22" s="5">
        <f>SUMIF(Jan27_2020[[#Headers],[KSI_AGO]:[AKOSOMBO_AGO]],"*"&amp;E22,Jan27_2020[[#Totals],[KSI_AGO]:[AKOSOMBO_AGO]])</f>
        <v>1424000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F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K32"/>
  <sheetViews>
    <sheetView zoomScaleNormal="100" workbookViewId="0">
      <pane xSplit="1" ySplit="5" topLeftCell="D6" activePane="bottomRight" state="frozen"/>
      <selection activeCell="C21" sqref="C21"/>
      <selection pane="topRight" activeCell="C21" sqref="C21"/>
      <selection pane="bottomLeft" activeCell="C21" sqref="C21"/>
      <selection pane="bottomRight" activeCell="E16" sqref="E16"/>
    </sheetView>
  </sheetViews>
  <sheetFormatPr defaultColWidth="9.109375" defaultRowHeight="14.4" x14ac:dyDescent="0.3"/>
  <cols>
    <col min="1" max="1" width="6.88671875" style="1" customWidth="1"/>
    <col min="2" max="2" width="26.109375" style="1" customWidth="1"/>
    <col min="3" max="3" width="15.44140625" style="1" customWidth="1"/>
    <col min="4" max="4" width="15.33203125" style="1" customWidth="1"/>
    <col min="5" max="5" width="18.6640625" style="1" customWidth="1"/>
    <col min="6" max="6" width="18.55468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43858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43858</v>
      </c>
    </row>
    <row r="7" spans="2:11" x14ac:dyDescent="0.3">
      <c r="B7" s="6" t="s">
        <v>37</v>
      </c>
      <c r="C7" s="22"/>
      <c r="D7" s="22"/>
      <c r="E7" s="22"/>
      <c r="F7" s="22"/>
      <c r="G7" s="22"/>
      <c r="H7" s="67">
        <f>$G$3</f>
        <v>43858</v>
      </c>
    </row>
    <row r="8" spans="2:11" x14ac:dyDescent="0.3">
      <c r="B8" s="6" t="s">
        <v>17</v>
      </c>
      <c r="C8" s="22"/>
      <c r="D8" s="22">
        <v>216000</v>
      </c>
      <c r="E8" s="22"/>
      <c r="F8" s="22"/>
      <c r="G8" s="22"/>
      <c r="H8" s="12">
        <f t="shared" si="0"/>
        <v>43858</v>
      </c>
    </row>
    <row r="9" spans="2:11" ht="15.6" x14ac:dyDescent="0.3">
      <c r="B9" s="34" t="s">
        <v>0</v>
      </c>
      <c r="C9" s="60"/>
      <c r="D9" s="60"/>
      <c r="E9" s="60"/>
      <c r="F9" s="60"/>
      <c r="G9" s="61"/>
      <c r="H9" s="12">
        <f t="shared" si="0"/>
        <v>43858</v>
      </c>
    </row>
    <row r="10" spans="2:11" x14ac:dyDescent="0.3">
      <c r="B10" s="6" t="s">
        <v>25</v>
      </c>
      <c r="C10" s="22"/>
      <c r="D10" s="22"/>
      <c r="E10" s="22"/>
      <c r="F10" s="22"/>
      <c r="G10" s="22"/>
      <c r="H10" s="12">
        <f t="shared" si="0"/>
        <v>43858</v>
      </c>
    </row>
    <row r="11" spans="2:11" x14ac:dyDescent="0.3">
      <c r="B11" s="6" t="s">
        <v>15</v>
      </c>
      <c r="C11" s="22"/>
      <c r="D11" s="22">
        <v>155000</v>
      </c>
      <c r="E11" s="22"/>
      <c r="F11" s="48"/>
      <c r="G11" s="22"/>
      <c r="H11" s="12">
        <f t="shared" si="0"/>
        <v>43858</v>
      </c>
    </row>
    <row r="12" spans="2:11" x14ac:dyDescent="0.3">
      <c r="B12" s="6" t="s">
        <v>26</v>
      </c>
      <c r="C12" s="22"/>
      <c r="D12" s="22">
        <v>270000</v>
      </c>
      <c r="E12" s="22"/>
      <c r="F12" s="22"/>
      <c r="G12" s="22"/>
      <c r="H12" s="12">
        <f t="shared" si="0"/>
        <v>43858</v>
      </c>
    </row>
    <row r="13" spans="2:11" x14ac:dyDescent="0.3">
      <c r="B13" s="6" t="s">
        <v>22</v>
      </c>
      <c r="C13" s="23"/>
      <c r="D13" s="23"/>
      <c r="E13" s="23"/>
      <c r="F13" s="22"/>
      <c r="G13" s="23"/>
      <c r="H13" s="12">
        <f t="shared" si="0"/>
        <v>43858</v>
      </c>
      <c r="K13" s="4"/>
    </row>
    <row r="14" spans="2:11" x14ac:dyDescent="0.3">
      <c r="B14" s="6" t="s">
        <v>19</v>
      </c>
      <c r="C14" s="22"/>
      <c r="D14" s="22">
        <v>216000</v>
      </c>
      <c r="E14" s="22"/>
      <c r="F14" s="22"/>
      <c r="G14" s="22"/>
      <c r="H14" s="12">
        <f t="shared" si="0"/>
        <v>43858</v>
      </c>
    </row>
    <row r="15" spans="2:11" x14ac:dyDescent="0.3">
      <c r="B15" s="6" t="s">
        <v>14</v>
      </c>
      <c r="C15" s="22"/>
      <c r="D15" s="22">
        <v>432000</v>
      </c>
      <c r="E15" s="22"/>
      <c r="F15" s="22">
        <v>914000</v>
      </c>
      <c r="G15" s="22"/>
      <c r="H15" s="12">
        <f t="shared" si="0"/>
        <v>43858</v>
      </c>
    </row>
    <row r="16" spans="2:11" x14ac:dyDescent="0.3">
      <c r="B16" s="6" t="s">
        <v>24</v>
      </c>
      <c r="C16" s="22"/>
      <c r="D16" s="22"/>
      <c r="E16" s="22"/>
      <c r="F16" s="49"/>
      <c r="G16" s="22"/>
      <c r="H16" s="12">
        <f t="shared" si="0"/>
        <v>43858</v>
      </c>
    </row>
    <row r="17" spans="1:8" x14ac:dyDescent="0.3">
      <c r="B17" s="6" t="s">
        <v>21</v>
      </c>
      <c r="C17" s="22"/>
      <c r="D17" s="22"/>
      <c r="E17" s="22"/>
      <c r="F17" s="22"/>
      <c r="G17" s="22"/>
      <c r="H17" s="12">
        <f t="shared" si="0"/>
        <v>43858</v>
      </c>
    </row>
    <row r="18" spans="1:8" x14ac:dyDescent="0.3">
      <c r="B18" s="6" t="s">
        <v>18</v>
      </c>
      <c r="C18" s="22"/>
      <c r="D18" s="22"/>
      <c r="E18" s="22"/>
      <c r="F18" s="22"/>
      <c r="G18" s="22"/>
      <c r="H18" s="12">
        <f t="shared" si="0"/>
        <v>43858</v>
      </c>
    </row>
    <row r="19" spans="1:8" x14ac:dyDescent="0.3">
      <c r="B19" s="6" t="s">
        <v>16</v>
      </c>
      <c r="C19" s="22"/>
      <c r="D19" s="22">
        <v>424000</v>
      </c>
      <c r="E19" s="22"/>
      <c r="F19" s="22"/>
      <c r="G19" s="22"/>
      <c r="H19" s="12">
        <f t="shared" si="0"/>
        <v>43858</v>
      </c>
    </row>
    <row r="20" spans="1:8" x14ac:dyDescent="0.3">
      <c r="B20" s="50" t="s">
        <v>27</v>
      </c>
      <c r="C20" s="51">
        <f>SUM(Jan28_2020[KSI_AGO])</f>
        <v>0</v>
      </c>
      <c r="D20" s="51">
        <f>SUM(Jan28_2020[KSI_PMS])</f>
        <v>1713000</v>
      </c>
      <c r="E20" s="51">
        <f>SUM(Jan28_2020[BUIPE_AGO])</f>
        <v>0</v>
      </c>
      <c r="F20" s="51">
        <f>SUM(Jan28_2020[BUIPE_PMS])</f>
        <v>914000</v>
      </c>
      <c r="G20" s="51">
        <f>SUM(Jan28_2020[AKOSOMBO_AGO])</f>
        <v>0</v>
      </c>
      <c r="H20" s="52"/>
    </row>
    <row r="21" spans="1:8" x14ac:dyDescent="0.3">
      <c r="B21" s="8"/>
      <c r="C21" s="24"/>
      <c r="D21" s="24"/>
      <c r="E21" s="24"/>
      <c r="F21" s="24"/>
      <c r="G21" s="24"/>
      <c r="H21"/>
    </row>
    <row r="22" spans="1:8" x14ac:dyDescent="0.3">
      <c r="B22" s="1" t="s">
        <v>6</v>
      </c>
      <c r="C22" s="1" t="s">
        <v>4</v>
      </c>
      <c r="D22" s="5">
        <f>SUMIF(Jan28_2020[[#Headers],[KSI_AGO]:[AKOSOMBO_AGO]],"*"&amp;C22,Jan28_2020[[#Totals],[KSI_AGO]:[AKOSOMBO_AGO]])</f>
        <v>0</v>
      </c>
      <c r="E22" s="1" t="s">
        <v>5</v>
      </c>
      <c r="F22" s="5">
        <f>SUMIF(Jan28_2020[[#Headers],[KSI_AGO]:[AKOSOMBO_AGO]],"*"&amp;E22,Jan28_2020[[#Totals],[KSI_AGO]:[AKOSOMBO_AGO]])</f>
        <v>2627000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0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K32"/>
  <sheetViews>
    <sheetView zoomScaleNormal="100" workbookViewId="0">
      <pane xSplit="1" ySplit="5" topLeftCell="E6" activePane="bottomRight" state="frozen"/>
      <selection activeCell="C21" sqref="C21"/>
      <selection pane="topRight" activeCell="C21" sqref="C21"/>
      <selection pane="bottomLeft" activeCell="C21" sqref="C21"/>
      <selection pane="bottomRight" activeCell="H12" sqref="H12"/>
    </sheetView>
  </sheetViews>
  <sheetFormatPr defaultColWidth="14" defaultRowHeight="14.4" x14ac:dyDescent="0.3"/>
  <cols>
    <col min="1" max="1" width="5.5546875" style="1" customWidth="1"/>
    <col min="2" max="2" width="26.109375" style="1" customWidth="1"/>
    <col min="3" max="3" width="15" style="1" customWidth="1"/>
    <col min="4" max="4" width="16.88671875" style="1" customWidth="1"/>
    <col min="5" max="5" width="18.109375" style="1" customWidth="1"/>
    <col min="6" max="6" width="19.109375" style="1" customWidth="1"/>
    <col min="7" max="7" width="27.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43859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43859</v>
      </c>
    </row>
    <row r="7" spans="2:11" x14ac:dyDescent="0.3">
      <c r="B7" s="6" t="s">
        <v>37</v>
      </c>
      <c r="C7" s="22"/>
      <c r="D7" s="22"/>
      <c r="E7" s="22"/>
      <c r="F7" s="22"/>
      <c r="G7" s="22"/>
      <c r="H7" s="67">
        <f>$G$3</f>
        <v>43859</v>
      </c>
    </row>
    <row r="8" spans="2:11" x14ac:dyDescent="0.3">
      <c r="B8" s="6" t="s">
        <v>17</v>
      </c>
      <c r="C8" s="22"/>
      <c r="D8" s="22">
        <v>352000</v>
      </c>
      <c r="E8" s="22"/>
      <c r="F8" s="22"/>
      <c r="G8" s="22"/>
      <c r="H8" s="12">
        <f t="shared" si="0"/>
        <v>43859</v>
      </c>
    </row>
    <row r="9" spans="2:11" ht="15.6" x14ac:dyDescent="0.3">
      <c r="B9" s="34" t="s">
        <v>0</v>
      </c>
      <c r="C9" s="60"/>
      <c r="D9" s="60"/>
      <c r="E9" s="60"/>
      <c r="F9" s="60"/>
      <c r="G9" s="61"/>
      <c r="H9" s="12">
        <f t="shared" si="0"/>
        <v>43859</v>
      </c>
    </row>
    <row r="10" spans="2:11" x14ac:dyDescent="0.3">
      <c r="B10" s="6" t="s">
        <v>25</v>
      </c>
      <c r="C10" s="22"/>
      <c r="D10" s="22"/>
      <c r="E10" s="22"/>
      <c r="F10" s="22"/>
      <c r="G10" s="22"/>
      <c r="H10" s="12">
        <f t="shared" si="0"/>
        <v>43859</v>
      </c>
    </row>
    <row r="11" spans="2:11" x14ac:dyDescent="0.3">
      <c r="B11" s="6" t="s">
        <v>15</v>
      </c>
      <c r="C11" s="22"/>
      <c r="D11" s="22">
        <v>216000</v>
      </c>
      <c r="E11" s="22"/>
      <c r="F11" s="48"/>
      <c r="G11" s="22"/>
      <c r="H11" s="12">
        <f t="shared" si="0"/>
        <v>43859</v>
      </c>
    </row>
    <row r="12" spans="2:11" x14ac:dyDescent="0.3">
      <c r="B12" s="6" t="s">
        <v>26</v>
      </c>
      <c r="C12" s="22">
        <v>698000</v>
      </c>
      <c r="D12" s="22">
        <v>157000</v>
      </c>
      <c r="E12" s="22">
        <v>270000</v>
      </c>
      <c r="F12" s="22"/>
      <c r="G12" s="22"/>
      <c r="H12" s="12">
        <f t="shared" si="0"/>
        <v>43859</v>
      </c>
    </row>
    <row r="13" spans="2:11" x14ac:dyDescent="0.3">
      <c r="B13" s="6" t="s">
        <v>22</v>
      </c>
      <c r="C13" s="23"/>
      <c r="D13" s="23"/>
      <c r="E13" s="23"/>
      <c r="F13" s="22"/>
      <c r="G13" s="23"/>
      <c r="H13" s="12">
        <f t="shared" si="0"/>
        <v>43859</v>
      </c>
      <c r="K13" s="4"/>
    </row>
    <row r="14" spans="2:11" x14ac:dyDescent="0.3">
      <c r="B14" s="6" t="s">
        <v>19</v>
      </c>
      <c r="C14" s="22"/>
      <c r="D14" s="22">
        <v>532000</v>
      </c>
      <c r="E14" s="22"/>
      <c r="F14" s="22"/>
      <c r="G14" s="22"/>
      <c r="H14" s="12">
        <f t="shared" si="0"/>
        <v>43859</v>
      </c>
    </row>
    <row r="15" spans="2:11" x14ac:dyDescent="0.3">
      <c r="B15" s="6" t="s">
        <v>14</v>
      </c>
      <c r="C15" s="22"/>
      <c r="D15" s="22">
        <v>162000</v>
      </c>
      <c r="E15" s="22"/>
      <c r="F15" s="22">
        <v>744000</v>
      </c>
      <c r="G15" s="22"/>
      <c r="H15" s="12">
        <f t="shared" si="0"/>
        <v>43859</v>
      </c>
    </row>
    <row r="16" spans="2:11" x14ac:dyDescent="0.3">
      <c r="B16" s="6" t="s">
        <v>24</v>
      </c>
      <c r="C16" s="22"/>
      <c r="D16" s="22"/>
      <c r="E16" s="22"/>
      <c r="F16" s="49"/>
      <c r="G16" s="22"/>
      <c r="H16" s="12">
        <f t="shared" si="0"/>
        <v>43859</v>
      </c>
    </row>
    <row r="17" spans="1:8" x14ac:dyDescent="0.3">
      <c r="B17" s="6" t="s">
        <v>21</v>
      </c>
      <c r="C17" s="22"/>
      <c r="D17" s="22"/>
      <c r="E17" s="22"/>
      <c r="F17" s="22"/>
      <c r="G17" s="22"/>
      <c r="H17" s="12">
        <f t="shared" si="0"/>
        <v>43859</v>
      </c>
    </row>
    <row r="18" spans="1:8" x14ac:dyDescent="0.3">
      <c r="B18" s="6" t="s">
        <v>18</v>
      </c>
      <c r="C18" s="22"/>
      <c r="D18" s="22"/>
      <c r="E18" s="22"/>
      <c r="F18" s="22"/>
      <c r="G18" s="22"/>
      <c r="H18" s="12">
        <f t="shared" si="0"/>
        <v>43859</v>
      </c>
    </row>
    <row r="19" spans="1:8" x14ac:dyDescent="0.3">
      <c r="B19" s="6" t="s">
        <v>16</v>
      </c>
      <c r="C19" s="22">
        <v>684000</v>
      </c>
      <c r="D19" s="22">
        <v>370000</v>
      </c>
      <c r="E19" s="22">
        <v>270000</v>
      </c>
      <c r="F19" s="22"/>
      <c r="G19" s="22"/>
      <c r="H19" s="12">
        <f t="shared" si="0"/>
        <v>43859</v>
      </c>
    </row>
    <row r="20" spans="1:8" x14ac:dyDescent="0.3">
      <c r="B20" s="50" t="s">
        <v>27</v>
      </c>
      <c r="C20" s="51">
        <f>SUM(Jan29_2020[KSI_AGO])</f>
        <v>1382000</v>
      </c>
      <c r="D20" s="51">
        <f>SUM(Jan29_2020[KSI_PMS])</f>
        <v>1789000</v>
      </c>
      <c r="E20" s="51">
        <f>SUM(Jan29_2020[BUIPE_AGO])</f>
        <v>540000</v>
      </c>
      <c r="F20" s="51">
        <f>SUM(Jan29_2020[BUIPE_PMS])</f>
        <v>744000</v>
      </c>
      <c r="G20" s="51">
        <f>SUM(Jan29_2020[AKOSOMBO_AGO])</f>
        <v>0</v>
      </c>
      <c r="H20" s="52"/>
    </row>
    <row r="21" spans="1:8" x14ac:dyDescent="0.3">
      <c r="B21" s="8"/>
      <c r="C21" s="24"/>
      <c r="D21" s="24"/>
      <c r="E21" s="24"/>
      <c r="F21" s="24"/>
      <c r="G21" s="24"/>
      <c r="H21"/>
    </row>
    <row r="22" spans="1:8" x14ac:dyDescent="0.3">
      <c r="B22" s="1" t="s">
        <v>6</v>
      </c>
      <c r="C22" s="1" t="s">
        <v>4</v>
      </c>
      <c r="D22" s="5">
        <f>SUMIF(Jan29_2020[[#Headers],[KSI_AGO]:[AKOSOMBO_AGO]],"*"&amp;C22,Jan29_2020[[#Totals],[KSI_AGO]:[AKOSOMBO_AGO]])</f>
        <v>1922000</v>
      </c>
      <c r="E22" s="1" t="s">
        <v>5</v>
      </c>
      <c r="F22" s="5">
        <f>SUMIF(Jan29_2020[[#Headers],[KSI_AGO]:[AKOSOMBO_AGO]],"*"&amp;E22,Jan29_2020[[#Totals],[KSI_AGO]:[AKOSOMBO_AGO]])</f>
        <v>2533000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1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K32"/>
  <sheetViews>
    <sheetView zoomScaleNormal="100" workbookViewId="0">
      <pane xSplit="1" ySplit="5" topLeftCell="D6" activePane="bottomRight" state="frozen"/>
      <selection activeCell="C21" sqref="C21"/>
      <selection pane="topRight" activeCell="C21" sqref="C21"/>
      <selection pane="bottomLeft" activeCell="C21" sqref="C21"/>
      <selection pane="bottomRight" activeCell="F17" sqref="F17"/>
    </sheetView>
  </sheetViews>
  <sheetFormatPr defaultColWidth="14" defaultRowHeight="14.4" x14ac:dyDescent="0.3"/>
  <cols>
    <col min="1" max="1" width="5.5546875" style="1" customWidth="1"/>
    <col min="2" max="2" width="26.109375" style="1" customWidth="1"/>
    <col min="3" max="3" width="17.5546875" style="1" customWidth="1"/>
    <col min="4" max="4" width="18.33203125" style="1" customWidth="1"/>
    <col min="5" max="5" width="17.33203125" style="1" customWidth="1"/>
    <col min="6" max="6" width="19.5546875" style="1" customWidth="1"/>
    <col min="7" max="7" width="33.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43860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43860</v>
      </c>
    </row>
    <row r="7" spans="2:11" x14ac:dyDescent="0.3">
      <c r="B7" s="6" t="s">
        <v>37</v>
      </c>
      <c r="C7" s="22"/>
      <c r="D7" s="22"/>
      <c r="E7" s="22"/>
      <c r="F7" s="22"/>
      <c r="G7" s="22"/>
      <c r="H7" s="67">
        <f>$G$3</f>
        <v>43860</v>
      </c>
    </row>
    <row r="8" spans="2:11" x14ac:dyDescent="0.3">
      <c r="B8" s="6" t="s">
        <v>17</v>
      </c>
      <c r="C8" s="22"/>
      <c r="D8" s="22">
        <v>54000</v>
      </c>
      <c r="E8" s="22"/>
      <c r="F8" s="22"/>
      <c r="G8" s="22"/>
      <c r="H8" s="12">
        <f t="shared" si="0"/>
        <v>43860</v>
      </c>
    </row>
    <row r="9" spans="2:11" ht="15.6" x14ac:dyDescent="0.3">
      <c r="B9" s="34" t="s">
        <v>0</v>
      </c>
      <c r="C9" s="60"/>
      <c r="D9" s="60"/>
      <c r="E9" s="60"/>
      <c r="F9" s="60"/>
      <c r="G9" s="61"/>
      <c r="H9" s="12">
        <f t="shared" si="0"/>
        <v>43860</v>
      </c>
    </row>
    <row r="10" spans="2:11" x14ac:dyDescent="0.3">
      <c r="B10" s="6" t="s">
        <v>25</v>
      </c>
      <c r="C10" s="22">
        <v>50000</v>
      </c>
      <c r="D10" s="22"/>
      <c r="E10" s="22"/>
      <c r="F10" s="22"/>
      <c r="G10" s="22"/>
      <c r="H10" s="12">
        <f t="shared" si="0"/>
        <v>43860</v>
      </c>
    </row>
    <row r="11" spans="2:11" x14ac:dyDescent="0.3">
      <c r="B11" s="6" t="s">
        <v>15</v>
      </c>
      <c r="C11" s="22"/>
      <c r="D11" s="22">
        <v>135000</v>
      </c>
      <c r="E11" s="22">
        <v>200000</v>
      </c>
      <c r="F11" s="48"/>
      <c r="G11" s="22"/>
      <c r="H11" s="12">
        <f t="shared" si="0"/>
        <v>43860</v>
      </c>
    </row>
    <row r="12" spans="2:11" x14ac:dyDescent="0.3">
      <c r="B12" s="6" t="s">
        <v>26</v>
      </c>
      <c r="C12" s="22"/>
      <c r="D12" s="22">
        <v>144000</v>
      </c>
      <c r="E12" s="22">
        <v>104000</v>
      </c>
      <c r="F12" s="22"/>
      <c r="G12" s="22"/>
      <c r="H12" s="12">
        <f t="shared" si="0"/>
        <v>43860</v>
      </c>
    </row>
    <row r="13" spans="2:11" x14ac:dyDescent="0.3">
      <c r="B13" s="6" t="s">
        <v>22</v>
      </c>
      <c r="C13" s="23"/>
      <c r="D13" s="23"/>
      <c r="E13" s="23"/>
      <c r="F13" s="22"/>
      <c r="G13" s="23"/>
      <c r="H13" s="12">
        <f t="shared" si="0"/>
        <v>43860</v>
      </c>
      <c r="K13" s="4"/>
    </row>
    <row r="14" spans="2:11" x14ac:dyDescent="0.3">
      <c r="B14" s="6" t="s">
        <v>19</v>
      </c>
      <c r="C14" s="22">
        <v>320000</v>
      </c>
      <c r="D14" s="22">
        <v>539500</v>
      </c>
      <c r="E14" s="22">
        <v>216000</v>
      </c>
      <c r="F14" s="22">
        <v>54000</v>
      </c>
      <c r="G14" s="22"/>
      <c r="H14" s="12">
        <f t="shared" si="0"/>
        <v>43860</v>
      </c>
    </row>
    <row r="15" spans="2:11" x14ac:dyDescent="0.3">
      <c r="B15" s="6" t="s">
        <v>14</v>
      </c>
      <c r="C15" s="22">
        <v>378000</v>
      </c>
      <c r="D15" s="22">
        <v>431000</v>
      </c>
      <c r="E15" s="22">
        <v>270000</v>
      </c>
      <c r="F15" s="22">
        <v>797000</v>
      </c>
      <c r="G15" s="22">
        <v>502000</v>
      </c>
      <c r="H15" s="12">
        <f t="shared" si="0"/>
        <v>43860</v>
      </c>
    </row>
    <row r="16" spans="2:11" x14ac:dyDescent="0.3">
      <c r="B16" s="6" t="s">
        <v>24</v>
      </c>
      <c r="C16" s="22"/>
      <c r="D16" s="22"/>
      <c r="E16" s="22"/>
      <c r="F16" s="49"/>
      <c r="G16" s="22"/>
      <c r="H16" s="12">
        <f t="shared" si="0"/>
        <v>43860</v>
      </c>
    </row>
    <row r="17" spans="1:8" x14ac:dyDescent="0.3">
      <c r="B17" s="6" t="s">
        <v>21</v>
      </c>
      <c r="C17" s="22"/>
      <c r="D17" s="22"/>
      <c r="E17" s="22"/>
      <c r="F17" s="22"/>
      <c r="G17" s="22"/>
      <c r="H17" s="12">
        <f t="shared" si="0"/>
        <v>43860</v>
      </c>
    </row>
    <row r="18" spans="1:8" x14ac:dyDescent="0.3">
      <c r="B18" s="6" t="s">
        <v>18</v>
      </c>
      <c r="C18" s="22"/>
      <c r="D18" s="22"/>
      <c r="E18" s="22"/>
      <c r="F18" s="22"/>
      <c r="G18" s="22"/>
      <c r="H18" s="12">
        <f t="shared" si="0"/>
        <v>43860</v>
      </c>
    </row>
    <row r="19" spans="1:8" x14ac:dyDescent="0.3">
      <c r="B19" s="6" t="s">
        <v>16</v>
      </c>
      <c r="C19" s="22">
        <v>54000</v>
      </c>
      <c r="D19" s="22">
        <v>311000</v>
      </c>
      <c r="E19" s="22">
        <v>216000</v>
      </c>
      <c r="F19" s="22"/>
      <c r="G19" s="22"/>
      <c r="H19" s="12">
        <f t="shared" si="0"/>
        <v>43860</v>
      </c>
    </row>
    <row r="20" spans="1:8" x14ac:dyDescent="0.3">
      <c r="B20" s="50" t="s">
        <v>27</v>
      </c>
      <c r="C20" s="51">
        <f>SUM(Jan30_2020[KSI_AGO])</f>
        <v>802000</v>
      </c>
      <c r="D20" s="51">
        <f>SUM(Jan30_2020[KSI_PMS])</f>
        <v>1614500</v>
      </c>
      <c r="E20" s="51">
        <f>SUM(Jan30_2020[BUIPE_AGO])</f>
        <v>1006000</v>
      </c>
      <c r="F20" s="51">
        <f>SUM(Jan30_2020[BUIPE_PMS])</f>
        <v>851000</v>
      </c>
      <c r="G20" s="51">
        <f>SUM(Jan30_2020[AKOSOMBO_AGO])</f>
        <v>502000</v>
      </c>
      <c r="H20" s="52"/>
    </row>
    <row r="21" spans="1:8" x14ac:dyDescent="0.3">
      <c r="B21" s="8"/>
      <c r="C21" s="24"/>
      <c r="D21" s="24"/>
      <c r="E21" s="24"/>
      <c r="F21" s="24"/>
      <c r="G21" s="24"/>
      <c r="H21"/>
    </row>
    <row r="22" spans="1:8" x14ac:dyDescent="0.3">
      <c r="B22" s="1" t="s">
        <v>6</v>
      </c>
      <c r="C22" s="1" t="s">
        <v>4</v>
      </c>
      <c r="D22" s="5">
        <f>SUMIF(Jan30_2020[[#Headers],[KSI_AGO]:[AKOSOMBO_AGO]],"*"&amp;C22,Jan30_2020[[#Totals],[KSI_AGO]:[AKOSOMBO_AGO]])</f>
        <v>2310000</v>
      </c>
      <c r="E22" s="1" t="s">
        <v>5</v>
      </c>
      <c r="F22" s="5">
        <f>SUMIF(Jan30_2020[[#Headers],[KSI_AGO]:[AKOSOMBO_AGO]],"*"&amp;E22,Jan30_2020[[#Totals],[KSI_AGO]:[AKOSOMBO_AGO]])</f>
        <v>2465500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2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L22" sqref="L22"/>
    </sheetView>
  </sheetViews>
  <sheetFormatPr defaultColWidth="14" defaultRowHeight="14.4" x14ac:dyDescent="0.3"/>
  <cols>
    <col min="1" max="1" width="4.33203125" style="1" customWidth="1"/>
    <col min="2" max="2" width="26.6640625" style="1" customWidth="1"/>
    <col min="3" max="3" width="15.5546875" style="1" customWidth="1"/>
    <col min="4" max="4" width="15" style="1" customWidth="1"/>
    <col min="5" max="5" width="17.6640625" style="1" customWidth="1"/>
    <col min="6" max="6" width="19.109375" style="1" customWidth="1"/>
    <col min="7" max="7" width="29.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43861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43861</v>
      </c>
    </row>
    <row r="7" spans="2:11" x14ac:dyDescent="0.3">
      <c r="B7" s="6" t="s">
        <v>37</v>
      </c>
      <c r="C7" s="22"/>
      <c r="D7" s="22"/>
      <c r="E7" s="22"/>
      <c r="F7" s="22"/>
      <c r="G7" s="22"/>
      <c r="H7" s="67">
        <f>$G$3</f>
        <v>43861</v>
      </c>
    </row>
    <row r="8" spans="2:11" x14ac:dyDescent="0.3">
      <c r="B8" s="6" t="s">
        <v>17</v>
      </c>
      <c r="C8" s="22"/>
      <c r="D8" s="22">
        <v>362000</v>
      </c>
      <c r="E8" s="22"/>
      <c r="F8" s="22"/>
      <c r="G8" s="22"/>
      <c r="H8" s="12">
        <f t="shared" si="0"/>
        <v>43861</v>
      </c>
    </row>
    <row r="9" spans="2:11" ht="15.6" x14ac:dyDescent="0.3">
      <c r="B9" s="34" t="s">
        <v>0</v>
      </c>
      <c r="C9" s="60"/>
      <c r="D9" s="60"/>
      <c r="E9" s="60"/>
      <c r="F9" s="60"/>
      <c r="G9" s="61"/>
      <c r="H9" s="12">
        <f t="shared" si="0"/>
        <v>43861</v>
      </c>
    </row>
    <row r="10" spans="2:11" x14ac:dyDescent="0.3">
      <c r="B10" s="6" t="s">
        <v>25</v>
      </c>
      <c r="C10" s="22">
        <v>307000</v>
      </c>
      <c r="D10" s="22"/>
      <c r="E10" s="22"/>
      <c r="F10" s="22"/>
      <c r="G10" s="22"/>
      <c r="H10" s="12">
        <f t="shared" si="0"/>
        <v>43861</v>
      </c>
    </row>
    <row r="11" spans="2:11" x14ac:dyDescent="0.3">
      <c r="B11" s="6" t="s">
        <v>15</v>
      </c>
      <c r="C11" s="22">
        <v>47000</v>
      </c>
      <c r="D11" s="22">
        <v>205000</v>
      </c>
      <c r="E11" s="22">
        <v>162000</v>
      </c>
      <c r="F11" s="48"/>
      <c r="G11" s="22"/>
      <c r="H11" s="12">
        <f t="shared" si="0"/>
        <v>43861</v>
      </c>
    </row>
    <row r="12" spans="2:11" x14ac:dyDescent="0.3">
      <c r="B12" s="6" t="s">
        <v>26</v>
      </c>
      <c r="C12" s="22">
        <v>108000</v>
      </c>
      <c r="D12" s="22"/>
      <c r="E12" s="22"/>
      <c r="F12" s="22"/>
      <c r="G12" s="22"/>
      <c r="H12" s="12">
        <f t="shared" si="0"/>
        <v>43861</v>
      </c>
    </row>
    <row r="13" spans="2:11" x14ac:dyDescent="0.3">
      <c r="B13" s="6" t="s">
        <v>22</v>
      </c>
      <c r="C13" s="23"/>
      <c r="D13" s="23"/>
      <c r="E13" s="23"/>
      <c r="F13" s="22"/>
      <c r="G13" s="23"/>
      <c r="H13" s="12">
        <f t="shared" si="0"/>
        <v>43861</v>
      </c>
      <c r="K13" s="4"/>
    </row>
    <row r="14" spans="2:11" x14ac:dyDescent="0.3">
      <c r="B14" s="6" t="s">
        <v>19</v>
      </c>
      <c r="C14" s="22">
        <v>205000</v>
      </c>
      <c r="D14" s="22">
        <v>418500</v>
      </c>
      <c r="E14" s="22">
        <v>199000</v>
      </c>
      <c r="F14" s="22"/>
      <c r="G14" s="22">
        <v>412000</v>
      </c>
      <c r="H14" s="12">
        <f t="shared" si="0"/>
        <v>43861</v>
      </c>
    </row>
    <row r="15" spans="2:11" x14ac:dyDescent="0.3">
      <c r="B15" s="6" t="s">
        <v>14</v>
      </c>
      <c r="C15" s="22">
        <v>139000</v>
      </c>
      <c r="D15" s="22">
        <v>344000</v>
      </c>
      <c r="E15" s="22">
        <v>374000</v>
      </c>
      <c r="F15" s="22">
        <v>432000</v>
      </c>
      <c r="G15" s="22">
        <v>158000</v>
      </c>
      <c r="H15" s="12">
        <f t="shared" si="0"/>
        <v>43861</v>
      </c>
    </row>
    <row r="16" spans="2:11" x14ac:dyDescent="0.3">
      <c r="B16" s="6" t="s">
        <v>24</v>
      </c>
      <c r="C16" s="22"/>
      <c r="D16" s="22"/>
      <c r="E16" s="22"/>
      <c r="F16" s="49"/>
      <c r="G16" s="22"/>
      <c r="H16" s="12">
        <f t="shared" si="0"/>
        <v>43861</v>
      </c>
    </row>
    <row r="17" spans="1:8" x14ac:dyDescent="0.3">
      <c r="B17" s="6" t="s">
        <v>21</v>
      </c>
      <c r="C17" s="22"/>
      <c r="D17" s="22"/>
      <c r="E17" s="22"/>
      <c r="F17" s="22"/>
      <c r="G17" s="22"/>
      <c r="H17" s="12">
        <f t="shared" si="0"/>
        <v>43861</v>
      </c>
    </row>
    <row r="18" spans="1:8" x14ac:dyDescent="0.3">
      <c r="B18" s="6" t="s">
        <v>18</v>
      </c>
      <c r="C18" s="22"/>
      <c r="D18" s="22"/>
      <c r="E18" s="22"/>
      <c r="F18" s="22"/>
      <c r="G18" s="22"/>
      <c r="H18" s="12">
        <f t="shared" si="0"/>
        <v>43861</v>
      </c>
    </row>
    <row r="19" spans="1:8" x14ac:dyDescent="0.3">
      <c r="B19" s="6" t="s">
        <v>16</v>
      </c>
      <c r="C19" s="22">
        <v>99000</v>
      </c>
      <c r="D19" s="22">
        <v>378000</v>
      </c>
      <c r="E19" s="22">
        <v>108000</v>
      </c>
      <c r="F19" s="22"/>
      <c r="G19" s="22"/>
      <c r="H19" s="12">
        <f t="shared" si="0"/>
        <v>43861</v>
      </c>
    </row>
    <row r="20" spans="1:8" x14ac:dyDescent="0.3">
      <c r="B20" s="50" t="s">
        <v>27</v>
      </c>
      <c r="C20" s="51">
        <f>SUM(Jan31_2020[KSI_AGO])</f>
        <v>905000</v>
      </c>
      <c r="D20" s="51">
        <f>SUM(Jan31_2020[KSI_PMS])</f>
        <v>1707500</v>
      </c>
      <c r="E20" s="51">
        <f>SUM(Jan31_2020[BUIPE_AGO])</f>
        <v>843000</v>
      </c>
      <c r="F20" s="51">
        <f>SUM(Jan31_2020[BUIPE_PMS])</f>
        <v>432000</v>
      </c>
      <c r="G20" s="51">
        <f>SUM(Jan31_2020[AKOSOMBO_AGO])</f>
        <v>570000</v>
      </c>
      <c r="H20" s="52"/>
    </row>
    <row r="21" spans="1:8" x14ac:dyDescent="0.3">
      <c r="B21" s="8"/>
      <c r="C21" s="24"/>
      <c r="D21" s="24"/>
      <c r="E21" s="24"/>
      <c r="F21" s="24"/>
      <c r="G21" s="24"/>
      <c r="H21"/>
    </row>
    <row r="22" spans="1:8" x14ac:dyDescent="0.3">
      <c r="B22" s="1" t="s">
        <v>6</v>
      </c>
      <c r="C22" s="1" t="s">
        <v>4</v>
      </c>
      <c r="D22" s="5">
        <f>SUMIF(Jan31_2020[[#Headers],[KSI_AGO]:[AKOSOMBO_AGO]],"*"&amp;C22,Jan31_2020[[#Totals],[KSI_AGO]:[AKOSOMBO_AGO]])</f>
        <v>2318000</v>
      </c>
      <c r="E22" s="1" t="s">
        <v>5</v>
      </c>
      <c r="F22" s="5">
        <f>SUMIF(Jan31_2020[[#Headers],[KSI_AGO]:[AKOSOMBO_AGO]],"*"&amp;E22,Jan31_2020[[#Totals],[KSI_AGO]:[AKOSOMBO_AGO]])</f>
        <v>2139500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3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K32"/>
  <sheetViews>
    <sheetView zoomScaleNormal="100" workbookViewId="0">
      <pane xSplit="1" ySplit="5" topLeftCell="B6" activePane="bottomRight" state="frozen"/>
      <selection activeCell="C21" sqref="C21"/>
      <selection pane="topRight" activeCell="C21" sqref="C21"/>
      <selection pane="bottomLeft" activeCell="C21" sqref="C21"/>
      <selection pane="bottomRight" activeCell="G12" sqref="G12"/>
    </sheetView>
  </sheetViews>
  <sheetFormatPr defaultColWidth="9.109375" defaultRowHeight="14.4" x14ac:dyDescent="0.3"/>
  <cols>
    <col min="1" max="1" width="6.88671875" style="1" customWidth="1"/>
    <col min="2" max="2" width="26.33203125" style="1" customWidth="1"/>
    <col min="3" max="3" width="15.88671875" style="1" customWidth="1"/>
    <col min="4" max="4" width="17.33203125" style="1" customWidth="1"/>
    <col min="5" max="5" width="18.44140625" style="1" customWidth="1"/>
    <col min="6" max="6" width="18.109375" style="1" bestFit="1" customWidth="1"/>
    <col min="7" max="7" width="24"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43864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43864</v>
      </c>
    </row>
    <row r="7" spans="2:11" x14ac:dyDescent="0.3">
      <c r="B7" s="6" t="s">
        <v>37</v>
      </c>
      <c r="C7" s="22"/>
      <c r="D7" s="22"/>
      <c r="E7" s="22"/>
      <c r="F7" s="22"/>
      <c r="G7" s="22"/>
      <c r="H7" s="67">
        <f>$G$3</f>
        <v>43864</v>
      </c>
    </row>
    <row r="8" spans="2:11" x14ac:dyDescent="0.3">
      <c r="B8" s="6" t="s">
        <v>17</v>
      </c>
      <c r="C8" s="22"/>
      <c r="D8" s="22"/>
      <c r="E8" s="22"/>
      <c r="F8" s="22"/>
      <c r="G8" s="22"/>
      <c r="H8" s="12">
        <f t="shared" si="0"/>
        <v>43864</v>
      </c>
    </row>
    <row r="9" spans="2:11" ht="15.6" x14ac:dyDescent="0.3">
      <c r="B9" s="34" t="s">
        <v>0</v>
      </c>
      <c r="C9" s="60"/>
      <c r="D9" s="60"/>
      <c r="E9" s="60"/>
      <c r="F9" s="60"/>
      <c r="G9" s="61"/>
      <c r="H9" s="12">
        <f t="shared" si="0"/>
        <v>43864</v>
      </c>
    </row>
    <row r="10" spans="2:11" x14ac:dyDescent="0.3">
      <c r="B10" s="6" t="s">
        <v>25</v>
      </c>
      <c r="C10" s="22">
        <v>162000</v>
      </c>
      <c r="D10" s="22"/>
      <c r="E10" s="22">
        <v>54000</v>
      </c>
      <c r="F10" s="22"/>
      <c r="G10" s="22"/>
      <c r="H10" s="12">
        <f t="shared" si="0"/>
        <v>43864</v>
      </c>
    </row>
    <row r="11" spans="2:11" x14ac:dyDescent="0.3">
      <c r="B11" s="6" t="s">
        <v>15</v>
      </c>
      <c r="C11" s="22"/>
      <c r="D11" s="22">
        <v>54000</v>
      </c>
      <c r="E11" s="22">
        <v>54000</v>
      </c>
      <c r="F11" s="48"/>
      <c r="G11" s="22">
        <v>100000</v>
      </c>
      <c r="H11" s="12">
        <f t="shared" si="0"/>
        <v>43864</v>
      </c>
    </row>
    <row r="12" spans="2:11" x14ac:dyDescent="0.3">
      <c r="B12" s="6" t="s">
        <v>26</v>
      </c>
      <c r="C12" s="22"/>
      <c r="D12" s="22"/>
      <c r="E12" s="22"/>
      <c r="F12" s="22"/>
      <c r="G12" s="22"/>
      <c r="H12" s="12">
        <f t="shared" si="0"/>
        <v>43864</v>
      </c>
    </row>
    <row r="13" spans="2:11" x14ac:dyDescent="0.3">
      <c r="B13" s="6" t="s">
        <v>22</v>
      </c>
      <c r="C13" s="23"/>
      <c r="D13" s="23"/>
      <c r="E13" s="23"/>
      <c r="F13" s="22"/>
      <c r="G13" s="23"/>
      <c r="H13" s="12">
        <f t="shared" si="0"/>
        <v>43864</v>
      </c>
      <c r="K13" s="4"/>
    </row>
    <row r="14" spans="2:11" x14ac:dyDescent="0.3">
      <c r="B14" s="6" t="s">
        <v>19</v>
      </c>
      <c r="C14" s="22"/>
      <c r="D14" s="22">
        <v>162000</v>
      </c>
      <c r="E14" s="22">
        <v>54000</v>
      </c>
      <c r="F14" s="22"/>
      <c r="G14" s="22">
        <v>54000</v>
      </c>
      <c r="H14" s="12">
        <f t="shared" si="0"/>
        <v>43864</v>
      </c>
    </row>
    <row r="15" spans="2:11" x14ac:dyDescent="0.3">
      <c r="B15" s="6" t="s">
        <v>14</v>
      </c>
      <c r="C15" s="22"/>
      <c r="D15" s="22"/>
      <c r="E15" s="22">
        <v>108000</v>
      </c>
      <c r="F15" s="22"/>
      <c r="G15" s="22"/>
      <c r="H15" s="12">
        <f t="shared" si="0"/>
        <v>43864</v>
      </c>
    </row>
    <row r="16" spans="2:11" x14ac:dyDescent="0.3">
      <c r="B16" s="6" t="s">
        <v>24</v>
      </c>
      <c r="C16" s="22"/>
      <c r="D16" s="22"/>
      <c r="E16" s="22"/>
      <c r="F16" s="49"/>
      <c r="G16" s="22"/>
      <c r="H16" s="12">
        <f t="shared" si="0"/>
        <v>43864</v>
      </c>
    </row>
    <row r="17" spans="1:8" x14ac:dyDescent="0.3">
      <c r="B17" s="6" t="s">
        <v>21</v>
      </c>
      <c r="C17" s="22"/>
      <c r="D17" s="22"/>
      <c r="E17" s="22"/>
      <c r="F17" s="22"/>
      <c r="G17" s="22"/>
      <c r="H17" s="12">
        <f t="shared" si="0"/>
        <v>43864</v>
      </c>
    </row>
    <row r="18" spans="1:8" x14ac:dyDescent="0.3">
      <c r="B18" s="6" t="s">
        <v>18</v>
      </c>
      <c r="C18" s="22"/>
      <c r="D18" s="22"/>
      <c r="E18" s="22"/>
      <c r="F18" s="22"/>
      <c r="G18" s="22"/>
      <c r="H18" s="12">
        <f t="shared" si="0"/>
        <v>43864</v>
      </c>
    </row>
    <row r="19" spans="1:8" x14ac:dyDescent="0.3">
      <c r="B19" s="6" t="s">
        <v>16</v>
      </c>
      <c r="C19" s="22"/>
      <c r="D19" s="22"/>
      <c r="E19" s="22"/>
      <c r="F19" s="22"/>
      <c r="G19" s="22"/>
      <c r="H19" s="12">
        <f t="shared" si="0"/>
        <v>43864</v>
      </c>
    </row>
    <row r="20" spans="1:8" x14ac:dyDescent="0.3">
      <c r="B20" s="50" t="s">
        <v>27</v>
      </c>
      <c r="C20" s="51">
        <f>SUM(Feb03_2020[KSI_AGO])</f>
        <v>162000</v>
      </c>
      <c r="D20" s="51">
        <f>SUM(Feb03_2020[KSI_PMS])</f>
        <v>216000</v>
      </c>
      <c r="E20" s="51">
        <f>SUM(Feb03_2020[BUIPE_AGO])</f>
        <v>270000</v>
      </c>
      <c r="F20" s="51">
        <f>SUM(Feb03_2020[BUIPE_PMS])</f>
        <v>0</v>
      </c>
      <c r="G20" s="51">
        <f>SUM(Feb03_2020[AKOSOMBO_AGO])</f>
        <v>154000</v>
      </c>
      <c r="H20" s="52"/>
    </row>
    <row r="21" spans="1:8" x14ac:dyDescent="0.3">
      <c r="B21" s="8"/>
      <c r="C21" s="24"/>
      <c r="D21" s="24"/>
      <c r="E21" s="24"/>
      <c r="F21" s="24"/>
      <c r="G21" s="24"/>
      <c r="H21"/>
    </row>
    <row r="22" spans="1:8" x14ac:dyDescent="0.3">
      <c r="B22" s="1" t="s">
        <v>6</v>
      </c>
      <c r="C22" s="1" t="s">
        <v>4</v>
      </c>
      <c r="D22" s="5">
        <f>Feb03_2020[[#Totals],[KSI_AGO]]+Feb03_2020[[#Totals],[BUIPE_AGO]]+Feb03_2020[[#Totals],[AKOSOMBO_AGO]]</f>
        <v>586000</v>
      </c>
      <c r="E22" s="1" t="s">
        <v>5</v>
      </c>
      <c r="F22" s="5">
        <f>SUMIF(Feb03_2020[[#Headers],[KSI_AGO]:[AKOSOMBO_AGO]],"*"&amp;E22,Feb03_2020[[#Totals],[KSI_AGO]:[AKOSOMBO_AGO]])</f>
        <v>216000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4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K32"/>
  <sheetViews>
    <sheetView zoomScale="82" zoomScaleNormal="70" workbookViewId="0">
      <pane xSplit="1" ySplit="5" topLeftCell="B6" activePane="bottomRight" state="frozen"/>
      <selection activeCell="C21" sqref="C21"/>
      <selection pane="topRight" activeCell="C21" sqref="C21"/>
      <selection pane="bottomLeft" activeCell="C21" sqref="C21"/>
      <selection pane="bottomRight" activeCell="G17" sqref="G1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4.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43865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43865</v>
      </c>
    </row>
    <row r="7" spans="2:11" x14ac:dyDescent="0.3">
      <c r="B7" s="6" t="s">
        <v>37</v>
      </c>
      <c r="C7" s="22"/>
      <c r="D7" s="22"/>
      <c r="E7" s="22"/>
      <c r="F7" s="22"/>
      <c r="G7" s="22"/>
      <c r="H7" s="67">
        <f>$G$3</f>
        <v>43865</v>
      </c>
    </row>
    <row r="8" spans="2:11" x14ac:dyDescent="0.3">
      <c r="B8" s="6" t="s">
        <v>17</v>
      </c>
      <c r="C8" s="22"/>
      <c r="D8" s="22">
        <v>320000</v>
      </c>
      <c r="E8" s="22">
        <v>216000</v>
      </c>
      <c r="F8" s="22"/>
      <c r="G8" s="22"/>
      <c r="H8" s="12">
        <f t="shared" si="0"/>
        <v>43865</v>
      </c>
    </row>
    <row r="9" spans="2:11" ht="15.6" x14ac:dyDescent="0.3">
      <c r="B9" s="34" t="s">
        <v>0</v>
      </c>
      <c r="C9" s="60"/>
      <c r="D9" s="60"/>
      <c r="E9" s="60"/>
      <c r="F9" s="60"/>
      <c r="G9" s="61"/>
      <c r="H9" s="12">
        <f t="shared" si="0"/>
        <v>43865</v>
      </c>
    </row>
    <row r="10" spans="2:11" x14ac:dyDescent="0.3">
      <c r="B10" s="6" t="s">
        <v>25</v>
      </c>
      <c r="C10" s="22">
        <v>162000</v>
      </c>
      <c r="D10" s="22"/>
      <c r="E10" s="22">
        <v>265500</v>
      </c>
      <c r="F10" s="22"/>
      <c r="G10" s="22"/>
      <c r="H10" s="12">
        <f t="shared" si="0"/>
        <v>43865</v>
      </c>
    </row>
    <row r="11" spans="2:11" x14ac:dyDescent="0.3">
      <c r="B11" s="6" t="s">
        <v>15</v>
      </c>
      <c r="C11" s="22"/>
      <c r="D11" s="22">
        <v>99000</v>
      </c>
      <c r="E11" s="22">
        <v>54000</v>
      </c>
      <c r="F11" s="48"/>
      <c r="G11" s="22">
        <v>99000</v>
      </c>
      <c r="H11" s="12">
        <f t="shared" si="0"/>
        <v>43865</v>
      </c>
    </row>
    <row r="12" spans="2:11" x14ac:dyDescent="0.3">
      <c r="B12" s="6" t="s">
        <v>26</v>
      </c>
      <c r="C12" s="22"/>
      <c r="D12" s="22"/>
      <c r="E12" s="22">
        <v>50000</v>
      </c>
      <c r="F12" s="22"/>
      <c r="G12" s="22"/>
      <c r="H12" s="12">
        <f t="shared" si="0"/>
        <v>43865</v>
      </c>
    </row>
    <row r="13" spans="2:11" x14ac:dyDescent="0.3">
      <c r="B13" s="6" t="s">
        <v>22</v>
      </c>
      <c r="C13" s="23"/>
      <c r="D13" s="23"/>
      <c r="E13" s="23"/>
      <c r="F13" s="22"/>
      <c r="G13" s="23"/>
      <c r="H13" s="12">
        <f t="shared" si="0"/>
        <v>43865</v>
      </c>
      <c r="K13" s="4"/>
    </row>
    <row r="14" spans="2:11" x14ac:dyDescent="0.3">
      <c r="B14" s="6" t="s">
        <v>19</v>
      </c>
      <c r="C14" s="22">
        <v>162000</v>
      </c>
      <c r="D14" s="22">
        <v>481500</v>
      </c>
      <c r="E14" s="22">
        <v>265500</v>
      </c>
      <c r="F14" s="22"/>
      <c r="G14" s="22"/>
      <c r="H14" s="12">
        <f t="shared" si="0"/>
        <v>43865</v>
      </c>
    </row>
    <row r="15" spans="2:11" x14ac:dyDescent="0.3">
      <c r="B15" s="6" t="s">
        <v>14</v>
      </c>
      <c r="C15" s="22">
        <v>162000</v>
      </c>
      <c r="D15" s="22">
        <v>486000</v>
      </c>
      <c r="E15" s="22">
        <v>162000</v>
      </c>
      <c r="F15" s="22"/>
      <c r="G15" s="22">
        <v>305500</v>
      </c>
      <c r="H15" s="12">
        <f t="shared" si="0"/>
        <v>43865</v>
      </c>
    </row>
    <row r="16" spans="2:11" x14ac:dyDescent="0.3">
      <c r="B16" s="6" t="s">
        <v>24</v>
      </c>
      <c r="C16" s="22"/>
      <c r="D16" s="22"/>
      <c r="E16" s="22"/>
      <c r="F16" s="49"/>
      <c r="G16" s="22"/>
      <c r="H16" s="12">
        <f t="shared" si="0"/>
        <v>43865</v>
      </c>
    </row>
    <row r="17" spans="1:8" x14ac:dyDescent="0.3">
      <c r="B17" s="6" t="s">
        <v>21</v>
      </c>
      <c r="C17" s="22"/>
      <c r="D17" s="22"/>
      <c r="E17" s="22"/>
      <c r="F17" s="22"/>
      <c r="G17" s="22"/>
      <c r="H17" s="12">
        <f t="shared" si="0"/>
        <v>43865</v>
      </c>
    </row>
    <row r="18" spans="1:8" x14ac:dyDescent="0.3">
      <c r="B18" s="6" t="s">
        <v>18</v>
      </c>
      <c r="C18" s="22">
        <v>216000</v>
      </c>
      <c r="D18" s="22"/>
      <c r="E18" s="22">
        <v>315000</v>
      </c>
      <c r="F18" s="22"/>
      <c r="G18" s="22"/>
      <c r="H18" s="12">
        <f t="shared" si="0"/>
        <v>43865</v>
      </c>
    </row>
    <row r="19" spans="1:8" x14ac:dyDescent="0.3">
      <c r="B19" s="6" t="s">
        <v>16</v>
      </c>
      <c r="C19" s="22">
        <v>54000</v>
      </c>
      <c r="D19" s="22">
        <v>369000</v>
      </c>
      <c r="E19" s="22"/>
      <c r="F19" s="22"/>
      <c r="G19" s="22"/>
      <c r="H19" s="12">
        <f t="shared" si="0"/>
        <v>43865</v>
      </c>
    </row>
    <row r="20" spans="1:8" x14ac:dyDescent="0.3">
      <c r="B20" s="50" t="s">
        <v>27</v>
      </c>
      <c r="C20" s="51">
        <f>SUM(Feb04_2020[KSI_AGO])</f>
        <v>756000</v>
      </c>
      <c r="D20" s="51">
        <f>SUM(Feb04_2020[KSI_PMS])</f>
        <v>1755500</v>
      </c>
      <c r="E20" s="51">
        <f>SUM(Feb04_2020[BUIPE_AGO])</f>
        <v>1328000</v>
      </c>
      <c r="F20" s="51">
        <f>SUM(Feb04_2020[BUIPE_PMS])</f>
        <v>0</v>
      </c>
      <c r="G20" s="51">
        <f>SUM(Feb04_2020[AKOSOMBO_AGO])</f>
        <v>404500</v>
      </c>
      <c r="H20" s="52"/>
    </row>
    <row r="21" spans="1:8" x14ac:dyDescent="0.3">
      <c r="B21" s="8"/>
      <c r="C21" s="24"/>
      <c r="D21" s="24"/>
      <c r="E21" s="24"/>
      <c r="F21" s="24"/>
      <c r="G21" s="24"/>
      <c r="H21"/>
    </row>
    <row r="22" spans="1:8" x14ac:dyDescent="0.3">
      <c r="B22" s="1" t="s">
        <v>6</v>
      </c>
      <c r="C22" s="1" t="s">
        <v>4</v>
      </c>
      <c r="D22" s="5">
        <f>SUMIF(Feb04_2020[[#Headers],[KSI_AGO]:[AKOSOMBO_AGO]],"*"&amp;C22,Feb04_2020[[#Totals],[KSI_AGO]:[AKOSOMBO_AGO]])</f>
        <v>2488500</v>
      </c>
      <c r="E22" s="1" t="s">
        <v>5</v>
      </c>
      <c r="F22" s="5">
        <f>SUMIF(Feb04_2020[[#Headers],[KSI_AGO]:[AKOSOMBO_AGO]],"*"&amp;E22,Feb04_2020[[#Totals],[KSI_AGO]:[AKOSOMBO_AGO]])</f>
        <v>1755500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5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K32"/>
  <sheetViews>
    <sheetView zoomScale="80" zoomScaleNormal="80" workbookViewId="0">
      <pane xSplit="1" ySplit="5" topLeftCell="D6" activePane="bottomRight" state="frozen"/>
      <selection activeCell="C21" sqref="C21"/>
      <selection pane="topRight" activeCell="C21" sqref="C21"/>
      <selection pane="bottomLeft" activeCell="C21" sqref="C21"/>
      <selection pane="bottomRight" activeCell="H36" sqref="H3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43866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43866</v>
      </c>
    </row>
    <row r="7" spans="2:11" x14ac:dyDescent="0.3">
      <c r="B7" s="6" t="s">
        <v>37</v>
      </c>
      <c r="C7" s="22"/>
      <c r="D7" s="22"/>
      <c r="E7" s="22"/>
      <c r="F7" s="22"/>
      <c r="G7" s="22"/>
      <c r="H7" s="67">
        <f>$G$3</f>
        <v>43866</v>
      </c>
    </row>
    <row r="8" spans="2:11" x14ac:dyDescent="0.3">
      <c r="B8" s="6" t="s">
        <v>17</v>
      </c>
      <c r="C8" s="22"/>
      <c r="D8" s="22">
        <v>204000</v>
      </c>
      <c r="E8" s="22"/>
      <c r="F8" s="22"/>
      <c r="G8" s="22"/>
      <c r="H8" s="12">
        <f t="shared" si="0"/>
        <v>43866</v>
      </c>
    </row>
    <row r="9" spans="2:11" ht="15.6" x14ac:dyDescent="0.3">
      <c r="B9" s="34" t="s">
        <v>0</v>
      </c>
      <c r="C9" s="60"/>
      <c r="D9" s="60"/>
      <c r="E9" s="60"/>
      <c r="F9" s="60"/>
      <c r="G9" s="61">
        <v>108000</v>
      </c>
      <c r="H9" s="12">
        <f t="shared" si="0"/>
        <v>43866</v>
      </c>
    </row>
    <row r="10" spans="2:11" x14ac:dyDescent="0.3">
      <c r="B10" s="6" t="s">
        <v>25</v>
      </c>
      <c r="C10" s="22">
        <v>208000</v>
      </c>
      <c r="D10" s="22"/>
      <c r="E10" s="22">
        <v>198000</v>
      </c>
      <c r="F10" s="22"/>
      <c r="G10" s="22"/>
      <c r="H10" s="12">
        <f t="shared" si="0"/>
        <v>43866</v>
      </c>
    </row>
    <row r="11" spans="2:11" x14ac:dyDescent="0.3">
      <c r="B11" s="6" t="s">
        <v>15</v>
      </c>
      <c r="C11" s="22">
        <v>153000</v>
      </c>
      <c r="D11" s="22">
        <v>45000</v>
      </c>
      <c r="E11" s="22"/>
      <c r="F11" s="48"/>
      <c r="G11" s="22"/>
      <c r="H11" s="12">
        <f t="shared" si="0"/>
        <v>43866</v>
      </c>
    </row>
    <row r="12" spans="2:11" x14ac:dyDescent="0.3">
      <c r="B12" s="6" t="s">
        <v>26</v>
      </c>
      <c r="C12" s="22"/>
      <c r="D12" s="22"/>
      <c r="E12" s="22"/>
      <c r="F12" s="22"/>
      <c r="G12" s="22"/>
      <c r="H12" s="12">
        <f t="shared" si="0"/>
        <v>43866</v>
      </c>
    </row>
    <row r="13" spans="2:11" x14ac:dyDescent="0.3">
      <c r="B13" s="6" t="s">
        <v>22</v>
      </c>
      <c r="C13" s="23"/>
      <c r="D13" s="23"/>
      <c r="E13" s="23"/>
      <c r="F13" s="22"/>
      <c r="G13" s="23"/>
      <c r="H13" s="12">
        <f t="shared" si="0"/>
        <v>43866</v>
      </c>
      <c r="K13" s="4"/>
    </row>
    <row r="14" spans="2:11" x14ac:dyDescent="0.3">
      <c r="B14" s="6" t="s">
        <v>19</v>
      </c>
      <c r="C14" s="22">
        <v>316000</v>
      </c>
      <c r="D14" s="22">
        <v>68000</v>
      </c>
      <c r="E14" s="22">
        <v>162000</v>
      </c>
      <c r="F14" s="22"/>
      <c r="G14" s="22"/>
      <c r="H14" s="12">
        <f t="shared" si="0"/>
        <v>43866</v>
      </c>
    </row>
    <row r="15" spans="2:11" x14ac:dyDescent="0.3">
      <c r="B15" s="6" t="s">
        <v>14</v>
      </c>
      <c r="C15" s="22">
        <v>378000</v>
      </c>
      <c r="D15" s="22">
        <v>558000</v>
      </c>
      <c r="E15" s="22">
        <v>54000</v>
      </c>
      <c r="F15" s="22"/>
      <c r="G15" s="22"/>
      <c r="H15" s="12">
        <f t="shared" si="0"/>
        <v>43866</v>
      </c>
    </row>
    <row r="16" spans="2:11" x14ac:dyDescent="0.3">
      <c r="B16" s="6" t="s">
        <v>24</v>
      </c>
      <c r="C16" s="22"/>
      <c r="D16" s="22"/>
      <c r="E16" s="22"/>
      <c r="F16" s="49"/>
      <c r="G16" s="22"/>
      <c r="H16" s="12">
        <f t="shared" si="0"/>
        <v>43866</v>
      </c>
    </row>
    <row r="17" spans="1:8" x14ac:dyDescent="0.3">
      <c r="B17" s="6" t="s">
        <v>21</v>
      </c>
      <c r="C17" s="22"/>
      <c r="D17" s="22"/>
      <c r="E17" s="22"/>
      <c r="F17" s="22"/>
      <c r="G17" s="22"/>
      <c r="H17" s="12">
        <f t="shared" si="0"/>
        <v>43866</v>
      </c>
    </row>
    <row r="18" spans="1:8" x14ac:dyDescent="0.3">
      <c r="B18" s="6" t="s">
        <v>18</v>
      </c>
      <c r="C18" s="22">
        <v>378000</v>
      </c>
      <c r="D18" s="22"/>
      <c r="E18" s="22">
        <v>270000</v>
      </c>
      <c r="F18" s="22"/>
      <c r="G18" s="22"/>
      <c r="H18" s="12">
        <f t="shared" si="0"/>
        <v>43866</v>
      </c>
    </row>
    <row r="19" spans="1:8" x14ac:dyDescent="0.3">
      <c r="B19" s="6" t="s">
        <v>16</v>
      </c>
      <c r="C19" s="22">
        <v>158000</v>
      </c>
      <c r="D19" s="22">
        <v>320000</v>
      </c>
      <c r="E19" s="22">
        <v>54000</v>
      </c>
      <c r="F19" s="22"/>
      <c r="G19" s="22"/>
      <c r="H19" s="12">
        <f t="shared" si="0"/>
        <v>43866</v>
      </c>
    </row>
    <row r="20" spans="1:8" x14ac:dyDescent="0.3">
      <c r="B20" s="50" t="s">
        <v>27</v>
      </c>
      <c r="C20" s="51">
        <f>SUM(Feb05_2020[KSI_AGO])</f>
        <v>1591000</v>
      </c>
      <c r="D20" s="51">
        <f>SUM(Feb05_2020[KSI_PMS])</f>
        <v>1195000</v>
      </c>
      <c r="E20" s="51">
        <f>SUM(Feb05_2020[BUIPE_AGO])</f>
        <v>738000</v>
      </c>
      <c r="F20" s="51">
        <f>SUM(Feb05_2020[BUIPE_PMS])</f>
        <v>0</v>
      </c>
      <c r="G20" s="51">
        <f>SUM(Feb05_2020[AKOSOMBO_AGO])</f>
        <v>108000</v>
      </c>
      <c r="H20" s="52"/>
    </row>
    <row r="21" spans="1:8" x14ac:dyDescent="0.3">
      <c r="B21" s="8"/>
      <c r="C21" s="24"/>
      <c r="D21" s="24"/>
      <c r="E21" s="24"/>
      <c r="F21" s="24"/>
      <c r="G21" s="24"/>
      <c r="H21"/>
    </row>
    <row r="22" spans="1:8" x14ac:dyDescent="0.3">
      <c r="B22" s="1" t="s">
        <v>6</v>
      </c>
      <c r="C22" s="1" t="s">
        <v>4</v>
      </c>
      <c r="D22" s="5">
        <f>SUMIF(Feb05_2020[[#Headers],[KSI_AGO]:[AKOSOMBO_AGO]],"*"&amp;C22,Feb05_2020[[#Totals],[KSI_AGO]:[AKOSOMBO_AGO]])</f>
        <v>2437000</v>
      </c>
      <c r="E22" s="1" t="s">
        <v>5</v>
      </c>
      <c r="F22" s="5">
        <f>SUMIF(Feb05_2020[[#Headers],[KSI_AGO]:[AKOSOMBO_AGO]],"*"&amp;E22,Feb05_2020[[#Totals],[KSI_AGO]:[AKOSOMBO_AGO]])</f>
        <v>1195000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6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K32"/>
  <sheetViews>
    <sheetView zoomScale="80" zoomScaleNormal="80" workbookViewId="0">
      <pane xSplit="1" ySplit="5" topLeftCell="B6" activePane="bottomRight" state="frozen"/>
      <selection activeCell="C21" sqref="C21"/>
      <selection pane="topRight" activeCell="C21" sqref="C21"/>
      <selection pane="bottomLeft" activeCell="C21" sqref="C21"/>
      <selection pane="bottomRight" activeCell="G11" sqref="G11"/>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43867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43867</v>
      </c>
    </row>
    <row r="7" spans="2:11" x14ac:dyDescent="0.3">
      <c r="B7" s="6" t="s">
        <v>37</v>
      </c>
      <c r="C7" s="22"/>
      <c r="D7" s="22"/>
      <c r="E7" s="22"/>
      <c r="F7" s="22"/>
      <c r="G7" s="22"/>
      <c r="H7" s="67">
        <f>$G$3</f>
        <v>43867</v>
      </c>
    </row>
    <row r="8" spans="2:11" x14ac:dyDescent="0.3">
      <c r="B8" s="6" t="s">
        <v>17</v>
      </c>
      <c r="C8" s="22">
        <v>216000</v>
      </c>
      <c r="D8" s="22">
        <v>54000</v>
      </c>
      <c r="E8" s="22">
        <v>162000</v>
      </c>
      <c r="F8" s="22"/>
      <c r="G8" s="22"/>
      <c r="H8" s="12">
        <f t="shared" si="0"/>
        <v>43867</v>
      </c>
    </row>
    <row r="9" spans="2:11" ht="15.6" x14ac:dyDescent="0.3">
      <c r="B9" s="34" t="s">
        <v>0</v>
      </c>
      <c r="C9" s="60"/>
      <c r="D9" s="60"/>
      <c r="E9" s="60"/>
      <c r="F9" s="60"/>
      <c r="G9" s="61"/>
      <c r="H9" s="12">
        <f t="shared" si="0"/>
        <v>43867</v>
      </c>
    </row>
    <row r="10" spans="2:11" x14ac:dyDescent="0.3">
      <c r="B10" s="6" t="s">
        <v>25</v>
      </c>
      <c r="C10" s="22">
        <v>54000</v>
      </c>
      <c r="D10" s="22"/>
      <c r="E10" s="22">
        <v>212000</v>
      </c>
      <c r="F10" s="22"/>
      <c r="G10" s="22"/>
      <c r="H10" s="12">
        <f t="shared" si="0"/>
        <v>43867</v>
      </c>
    </row>
    <row r="11" spans="2:11" x14ac:dyDescent="0.3">
      <c r="B11" s="6" t="s">
        <v>15</v>
      </c>
      <c r="C11" s="22">
        <v>252000</v>
      </c>
      <c r="D11" s="22"/>
      <c r="E11" s="22"/>
      <c r="F11" s="48"/>
      <c r="G11" s="22"/>
      <c r="H11" s="12">
        <f t="shared" si="0"/>
        <v>43867</v>
      </c>
    </row>
    <row r="12" spans="2:11" x14ac:dyDescent="0.3">
      <c r="B12" s="6" t="s">
        <v>26</v>
      </c>
      <c r="C12" s="22">
        <v>101000</v>
      </c>
      <c r="D12" s="22">
        <v>108000</v>
      </c>
      <c r="E12" s="22"/>
      <c r="F12" s="22"/>
      <c r="G12" s="22"/>
      <c r="H12" s="12">
        <f t="shared" si="0"/>
        <v>43867</v>
      </c>
    </row>
    <row r="13" spans="2:11" x14ac:dyDescent="0.3">
      <c r="B13" s="6" t="s">
        <v>22</v>
      </c>
      <c r="C13" s="23"/>
      <c r="D13" s="23"/>
      <c r="E13" s="23"/>
      <c r="F13" s="22"/>
      <c r="G13" s="23"/>
      <c r="H13" s="12">
        <f t="shared" si="0"/>
        <v>43867</v>
      </c>
      <c r="K13" s="4"/>
    </row>
    <row r="14" spans="2:11" x14ac:dyDescent="0.3">
      <c r="B14" s="6" t="s">
        <v>19</v>
      </c>
      <c r="C14" s="22">
        <v>419000</v>
      </c>
      <c r="D14" s="22">
        <v>54000</v>
      </c>
      <c r="E14" s="22">
        <v>50000</v>
      </c>
      <c r="F14" s="22"/>
      <c r="G14" s="22"/>
      <c r="H14" s="12">
        <f t="shared" si="0"/>
        <v>43867</v>
      </c>
    </row>
    <row r="15" spans="2:11" x14ac:dyDescent="0.3">
      <c r="B15" s="6" t="s">
        <v>14</v>
      </c>
      <c r="C15" s="22">
        <v>519000</v>
      </c>
      <c r="D15" s="22">
        <v>1576500</v>
      </c>
      <c r="E15" s="22"/>
      <c r="F15" s="22"/>
      <c r="G15" s="22"/>
      <c r="H15" s="12">
        <f t="shared" si="0"/>
        <v>43867</v>
      </c>
    </row>
    <row r="16" spans="2:11" x14ac:dyDescent="0.3">
      <c r="B16" s="6" t="s">
        <v>24</v>
      </c>
      <c r="C16" s="22"/>
      <c r="D16" s="22"/>
      <c r="E16" s="22"/>
      <c r="F16" s="49"/>
      <c r="G16" s="22"/>
      <c r="H16" s="12">
        <f t="shared" si="0"/>
        <v>43867</v>
      </c>
    </row>
    <row r="17" spans="1:8" x14ac:dyDescent="0.3">
      <c r="B17" s="6" t="s">
        <v>21</v>
      </c>
      <c r="C17" s="22"/>
      <c r="D17" s="22"/>
      <c r="E17" s="22"/>
      <c r="F17" s="22"/>
      <c r="G17" s="22"/>
      <c r="H17" s="12">
        <f t="shared" si="0"/>
        <v>43867</v>
      </c>
    </row>
    <row r="18" spans="1:8" x14ac:dyDescent="0.3">
      <c r="B18" s="6" t="s">
        <v>18</v>
      </c>
      <c r="C18" s="22">
        <v>320000</v>
      </c>
      <c r="D18" s="22">
        <v>54000</v>
      </c>
      <c r="E18" s="22"/>
      <c r="F18" s="22"/>
      <c r="G18" s="22"/>
      <c r="H18" s="12">
        <f t="shared" si="0"/>
        <v>43867</v>
      </c>
    </row>
    <row r="19" spans="1:8" x14ac:dyDescent="0.3">
      <c r="B19" s="6" t="s">
        <v>16</v>
      </c>
      <c r="C19" s="22">
        <v>212000</v>
      </c>
      <c r="D19" s="22"/>
      <c r="E19" s="22">
        <v>162000</v>
      </c>
      <c r="F19" s="22"/>
      <c r="G19" s="22"/>
      <c r="H19" s="12">
        <f t="shared" si="0"/>
        <v>43867</v>
      </c>
    </row>
    <row r="20" spans="1:8" x14ac:dyDescent="0.3">
      <c r="B20" s="50" t="s">
        <v>27</v>
      </c>
      <c r="C20" s="51">
        <f>SUM(Feb06_2020[KSI_AGO])</f>
        <v>2093000</v>
      </c>
      <c r="D20" s="51">
        <f>SUM(Feb06_2020[KSI_PMS])</f>
        <v>1846500</v>
      </c>
      <c r="E20" s="51">
        <f>SUM(Feb06_2020[BUIPE_AGO])</f>
        <v>586000</v>
      </c>
      <c r="F20" s="51">
        <f>SUM(Feb06_2020[BUIPE_PMS])</f>
        <v>0</v>
      </c>
      <c r="G20" s="51">
        <f>SUM(Feb06_2020[AKOSOMBO_AGO])</f>
        <v>0</v>
      </c>
      <c r="H20" s="52"/>
    </row>
    <row r="21" spans="1:8" x14ac:dyDescent="0.3">
      <c r="B21" s="8"/>
      <c r="C21" s="24"/>
      <c r="D21" s="24"/>
      <c r="E21" s="24"/>
      <c r="F21" s="24"/>
      <c r="G21" s="24"/>
      <c r="H21"/>
    </row>
    <row r="22" spans="1:8" x14ac:dyDescent="0.3">
      <c r="B22" s="1" t="s">
        <v>6</v>
      </c>
      <c r="C22" s="1" t="s">
        <v>4</v>
      </c>
      <c r="D22" s="5">
        <f>SUMIF(Feb06_2020[[#Headers],[KSI_AGO]:[AKOSOMBO_AGO]],"*"&amp;C22,Feb06_2020[[#Totals],[KSI_AGO]:[AKOSOMBO_AGO]])</f>
        <v>2679000</v>
      </c>
      <c r="E22" s="1" t="s">
        <v>5</v>
      </c>
      <c r="F22" s="5">
        <f>SUMIF(Feb06_2020[[#Headers],[KSI_AGO]:[AKOSOMBO_AGO]],"*"&amp;E22,Feb06_2020[[#Totals],[KSI_AGO]:[AKOSOMBO_AGO]])</f>
        <v>1846500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7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J27" sqref="J2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43868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43868</v>
      </c>
    </row>
    <row r="7" spans="2:11" x14ac:dyDescent="0.3">
      <c r="B7" s="6" t="s">
        <v>37</v>
      </c>
      <c r="C7" s="22"/>
      <c r="D7" s="22"/>
      <c r="E7" s="22"/>
      <c r="F7" s="22"/>
      <c r="G7" s="22"/>
      <c r="H7" s="67">
        <f>$G$3</f>
        <v>43868</v>
      </c>
    </row>
    <row r="8" spans="2:11" x14ac:dyDescent="0.3">
      <c r="B8" s="6" t="s">
        <v>17</v>
      </c>
      <c r="C8" s="22">
        <v>47000</v>
      </c>
      <c r="D8" s="22">
        <v>428000</v>
      </c>
      <c r="E8" s="22">
        <v>270000</v>
      </c>
      <c r="F8" s="22">
        <v>161000</v>
      </c>
      <c r="G8" s="22"/>
      <c r="H8" s="12">
        <f t="shared" si="0"/>
        <v>43868</v>
      </c>
    </row>
    <row r="9" spans="2:11" ht="15.6" x14ac:dyDescent="0.3">
      <c r="B9" s="34" t="s">
        <v>0</v>
      </c>
      <c r="C9" s="60"/>
      <c r="D9" s="60"/>
      <c r="E9" s="60"/>
      <c r="F9" s="60"/>
      <c r="G9" s="61"/>
      <c r="H9" s="12">
        <f t="shared" si="0"/>
        <v>43868</v>
      </c>
    </row>
    <row r="10" spans="2:11" x14ac:dyDescent="0.3">
      <c r="B10" s="6" t="s">
        <v>25</v>
      </c>
      <c r="C10" s="22">
        <v>263000</v>
      </c>
      <c r="D10" s="22">
        <v>378000</v>
      </c>
      <c r="E10" s="22">
        <v>162000</v>
      </c>
      <c r="F10" s="22">
        <v>374000</v>
      </c>
      <c r="G10" s="22"/>
      <c r="H10" s="12">
        <f t="shared" si="0"/>
        <v>43868</v>
      </c>
    </row>
    <row r="11" spans="2:11" x14ac:dyDescent="0.3">
      <c r="B11" s="6" t="s">
        <v>15</v>
      </c>
      <c r="C11" s="22">
        <v>108000</v>
      </c>
      <c r="D11" s="22">
        <v>54000</v>
      </c>
      <c r="E11" s="22"/>
      <c r="F11" s="48"/>
      <c r="G11" s="22"/>
      <c r="H11" s="12">
        <f t="shared" si="0"/>
        <v>43868</v>
      </c>
    </row>
    <row r="12" spans="2:11" x14ac:dyDescent="0.3">
      <c r="B12" s="6" t="s">
        <v>26</v>
      </c>
      <c r="C12" s="22">
        <v>104000</v>
      </c>
      <c r="D12" s="22">
        <v>252000</v>
      </c>
      <c r="E12" s="22">
        <v>158000</v>
      </c>
      <c r="F12" s="22"/>
      <c r="G12" s="22"/>
      <c r="H12" s="12">
        <f t="shared" si="0"/>
        <v>43868</v>
      </c>
    </row>
    <row r="13" spans="2:11" x14ac:dyDescent="0.3">
      <c r="B13" s="6" t="s">
        <v>22</v>
      </c>
      <c r="C13" s="23"/>
      <c r="D13" s="23"/>
      <c r="E13" s="23"/>
      <c r="F13" s="22"/>
      <c r="G13" s="23"/>
      <c r="H13" s="12">
        <f t="shared" si="0"/>
        <v>43868</v>
      </c>
      <c r="K13" s="4"/>
    </row>
    <row r="14" spans="2:11" x14ac:dyDescent="0.3">
      <c r="B14" s="6" t="s">
        <v>19</v>
      </c>
      <c r="C14" s="22">
        <v>315000</v>
      </c>
      <c r="D14" s="22"/>
      <c r="E14" s="22"/>
      <c r="F14" s="22"/>
      <c r="G14" s="22"/>
      <c r="H14" s="12">
        <f t="shared" si="0"/>
        <v>43868</v>
      </c>
    </row>
    <row r="15" spans="2:11" x14ac:dyDescent="0.3">
      <c r="B15" s="6" t="s">
        <v>14</v>
      </c>
      <c r="C15" s="22">
        <v>378000</v>
      </c>
      <c r="D15" s="22">
        <v>155000</v>
      </c>
      <c r="E15" s="22"/>
      <c r="F15" s="22">
        <v>108000</v>
      </c>
      <c r="G15" s="22"/>
      <c r="H15" s="12">
        <f t="shared" si="0"/>
        <v>43868</v>
      </c>
    </row>
    <row r="16" spans="2:11" x14ac:dyDescent="0.3">
      <c r="B16" s="6" t="s">
        <v>24</v>
      </c>
      <c r="C16" s="22"/>
      <c r="D16" s="22"/>
      <c r="E16" s="22"/>
      <c r="F16" s="49"/>
      <c r="G16" s="22"/>
      <c r="H16" s="12">
        <f t="shared" si="0"/>
        <v>43868</v>
      </c>
    </row>
    <row r="17" spans="1:8" x14ac:dyDescent="0.3">
      <c r="B17" s="6" t="s">
        <v>21</v>
      </c>
      <c r="C17" s="22"/>
      <c r="D17" s="22"/>
      <c r="E17" s="22"/>
      <c r="F17" s="22"/>
      <c r="G17" s="22"/>
      <c r="H17" s="12">
        <f t="shared" si="0"/>
        <v>43868</v>
      </c>
    </row>
    <row r="18" spans="1:8" x14ac:dyDescent="0.3">
      <c r="B18" s="6" t="s">
        <v>18</v>
      </c>
      <c r="C18" s="22">
        <v>266000</v>
      </c>
      <c r="D18" s="22"/>
      <c r="E18" s="22">
        <v>216000</v>
      </c>
      <c r="F18" s="22"/>
      <c r="G18" s="22"/>
      <c r="H18" s="12">
        <f t="shared" si="0"/>
        <v>43868</v>
      </c>
    </row>
    <row r="19" spans="1:8" x14ac:dyDescent="0.3">
      <c r="B19" s="6" t="s">
        <v>16</v>
      </c>
      <c r="C19" s="22">
        <v>54000</v>
      </c>
      <c r="D19" s="22"/>
      <c r="E19" s="22">
        <v>162000</v>
      </c>
      <c r="F19" s="22"/>
      <c r="G19" s="22"/>
      <c r="H19" s="12">
        <f t="shared" si="0"/>
        <v>43868</v>
      </c>
    </row>
    <row r="20" spans="1:8" x14ac:dyDescent="0.3">
      <c r="B20" s="50" t="s">
        <v>27</v>
      </c>
      <c r="C20" s="51">
        <f>SUM(Feb07_2020[KSI_AGO])</f>
        <v>1535000</v>
      </c>
      <c r="D20" s="51">
        <f>SUM(Feb07_2020[KSI_PMS])</f>
        <v>1267000</v>
      </c>
      <c r="E20" s="51">
        <f>SUM(Feb07_2020[BUIPE_AGO])</f>
        <v>968000</v>
      </c>
      <c r="F20" s="51">
        <f>SUM(Feb07_2020[BUIPE_PMS])</f>
        <v>643000</v>
      </c>
      <c r="G20" s="51">
        <f>SUM(Feb07_2020[AKOSOMBO_AGO])</f>
        <v>0</v>
      </c>
      <c r="H20" s="52"/>
    </row>
    <row r="21" spans="1:8" x14ac:dyDescent="0.3">
      <c r="B21" s="8"/>
      <c r="C21" s="24"/>
      <c r="D21" s="24"/>
      <c r="E21" s="24"/>
      <c r="F21" s="24"/>
      <c r="G21" s="24"/>
      <c r="H21"/>
    </row>
    <row r="22" spans="1:8" x14ac:dyDescent="0.3">
      <c r="B22" s="1" t="s">
        <v>6</v>
      </c>
      <c r="C22" s="1" t="s">
        <v>4</v>
      </c>
      <c r="D22" s="5">
        <f>SUMIF(Feb07_2020[[#Headers],[KSI_AGO]:[AKOSOMBO_AGO]],"*"&amp;C22,Feb07_2020[[#Totals],[KSI_AGO]:[AKOSOMBO_AGO]])</f>
        <v>2503000</v>
      </c>
      <c r="E22" s="1" t="s">
        <v>5</v>
      </c>
      <c r="F22" s="5">
        <f>SUMIF(Feb07_2020[[#Headers],[KSI_AGO]:[AKOSOMBO_AGO]],"*"&amp;E22,Feb07_2020[[#Totals],[KSI_AGO]:[AKOSOMBO_AGO]])</f>
        <v>1910000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8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G10" sqref="G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43871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43871</v>
      </c>
    </row>
    <row r="7" spans="2:11" x14ac:dyDescent="0.3">
      <c r="B7" s="6" t="s">
        <v>37</v>
      </c>
      <c r="C7" s="22"/>
      <c r="D7" s="22"/>
      <c r="E7" s="22"/>
      <c r="F7" s="22"/>
      <c r="G7" s="22"/>
      <c r="H7" s="67">
        <f>$G$3</f>
        <v>43871</v>
      </c>
    </row>
    <row r="8" spans="2:11" x14ac:dyDescent="0.3">
      <c r="B8" s="6" t="s">
        <v>17</v>
      </c>
      <c r="C8" s="22">
        <v>324000</v>
      </c>
      <c r="D8" s="22">
        <v>428000</v>
      </c>
      <c r="E8" s="22">
        <v>108000</v>
      </c>
      <c r="F8" s="22">
        <v>365000</v>
      </c>
      <c r="G8" s="22"/>
      <c r="H8" s="12">
        <f t="shared" si="0"/>
        <v>43871</v>
      </c>
    </row>
    <row r="9" spans="2:11" ht="15.6" x14ac:dyDescent="0.3">
      <c r="B9" s="34" t="s">
        <v>0</v>
      </c>
      <c r="C9" s="60"/>
      <c r="D9" s="60"/>
      <c r="E9" s="60"/>
      <c r="F9" s="60"/>
      <c r="G9" s="61"/>
      <c r="H9" s="12">
        <f t="shared" si="0"/>
        <v>43871</v>
      </c>
    </row>
    <row r="10" spans="2:11" x14ac:dyDescent="0.3">
      <c r="B10" s="6" t="s">
        <v>25</v>
      </c>
      <c r="C10" s="22">
        <v>99500</v>
      </c>
      <c r="D10" s="22">
        <v>421000</v>
      </c>
      <c r="E10" s="22">
        <v>107500</v>
      </c>
      <c r="F10" s="22">
        <v>366000</v>
      </c>
      <c r="G10" s="22"/>
      <c r="H10" s="12">
        <f t="shared" si="0"/>
        <v>43871</v>
      </c>
    </row>
    <row r="11" spans="2:11" x14ac:dyDescent="0.3">
      <c r="B11" s="6" t="s">
        <v>15</v>
      </c>
      <c r="C11" s="22">
        <v>416000</v>
      </c>
      <c r="D11" s="22"/>
      <c r="E11" s="22"/>
      <c r="F11" s="48"/>
      <c r="G11" s="22"/>
      <c r="H11" s="12">
        <f t="shared" si="0"/>
        <v>43871</v>
      </c>
    </row>
    <row r="12" spans="2:11" x14ac:dyDescent="0.3">
      <c r="B12" s="6" t="s">
        <v>26</v>
      </c>
      <c r="C12" s="22">
        <v>305000</v>
      </c>
      <c r="D12" s="22"/>
      <c r="E12" s="22">
        <v>150000</v>
      </c>
      <c r="F12" s="22"/>
      <c r="G12" s="22"/>
      <c r="H12" s="12">
        <f t="shared" si="0"/>
        <v>43871</v>
      </c>
    </row>
    <row r="13" spans="2:11" x14ac:dyDescent="0.3">
      <c r="B13" s="6" t="s">
        <v>22</v>
      </c>
      <c r="C13" s="23"/>
      <c r="D13" s="23"/>
      <c r="E13" s="23"/>
      <c r="F13" s="22"/>
      <c r="G13" s="23"/>
      <c r="H13" s="12">
        <f t="shared" si="0"/>
        <v>43871</v>
      </c>
      <c r="K13" s="4"/>
    </row>
    <row r="14" spans="2:11" x14ac:dyDescent="0.3">
      <c r="B14" s="6" t="s">
        <v>19</v>
      </c>
      <c r="C14" s="22">
        <v>54000</v>
      </c>
      <c r="D14" s="22"/>
      <c r="E14" s="22"/>
      <c r="F14" s="22"/>
      <c r="G14" s="22"/>
      <c r="H14" s="12">
        <f t="shared" si="0"/>
        <v>43871</v>
      </c>
    </row>
    <row r="15" spans="2:11" x14ac:dyDescent="0.3">
      <c r="B15" s="6" t="s">
        <v>14</v>
      </c>
      <c r="C15" s="22">
        <v>464000</v>
      </c>
      <c r="D15" s="22">
        <v>462000</v>
      </c>
      <c r="E15" s="22"/>
      <c r="F15" s="22">
        <v>324000</v>
      </c>
      <c r="G15" s="22"/>
      <c r="H15" s="12">
        <f t="shared" si="0"/>
        <v>43871</v>
      </c>
    </row>
    <row r="16" spans="2:11" x14ac:dyDescent="0.3">
      <c r="B16" s="6" t="s">
        <v>24</v>
      </c>
      <c r="C16" s="22"/>
      <c r="D16" s="22"/>
      <c r="E16" s="22"/>
      <c r="F16" s="49"/>
      <c r="G16" s="22"/>
      <c r="H16" s="12">
        <f t="shared" si="0"/>
        <v>43871</v>
      </c>
    </row>
    <row r="17" spans="1:8" x14ac:dyDescent="0.3">
      <c r="B17" s="6" t="s">
        <v>21</v>
      </c>
      <c r="C17" s="22"/>
      <c r="D17" s="22"/>
      <c r="E17" s="22"/>
      <c r="F17" s="22"/>
      <c r="G17" s="22"/>
      <c r="H17" s="12">
        <f t="shared" si="0"/>
        <v>43871</v>
      </c>
    </row>
    <row r="18" spans="1:8" x14ac:dyDescent="0.3">
      <c r="B18" s="6" t="s">
        <v>18</v>
      </c>
      <c r="C18" s="22">
        <v>50000</v>
      </c>
      <c r="D18" s="22"/>
      <c r="E18" s="22"/>
      <c r="F18" s="22"/>
      <c r="G18" s="22"/>
      <c r="H18" s="12">
        <f t="shared" si="0"/>
        <v>43871</v>
      </c>
    </row>
    <row r="19" spans="1:8" x14ac:dyDescent="0.3">
      <c r="B19" s="6" t="s">
        <v>16</v>
      </c>
      <c r="C19" s="22">
        <v>108000</v>
      </c>
      <c r="D19" s="22"/>
      <c r="E19" s="22"/>
      <c r="F19" s="22"/>
      <c r="G19" s="22"/>
      <c r="H19" s="12">
        <f t="shared" si="0"/>
        <v>43871</v>
      </c>
    </row>
    <row r="20" spans="1:8" x14ac:dyDescent="0.3">
      <c r="B20" s="50" t="s">
        <v>27</v>
      </c>
      <c r="C20" s="51">
        <f>SUM(Feb10_2020[KSI_AGO])</f>
        <v>1820500</v>
      </c>
      <c r="D20" s="51">
        <f>SUM(Feb10_2020[KSI_PMS])</f>
        <v>1311000</v>
      </c>
      <c r="E20" s="51">
        <f>SUM(Feb10_2020[BUIPE_AGO])</f>
        <v>365500</v>
      </c>
      <c r="F20" s="51">
        <f>SUM(Feb10_2020[BUIPE_PMS])</f>
        <v>1055000</v>
      </c>
      <c r="G20" s="51">
        <f>SUM(Feb10_2020[AKOSOMBO_AGO])</f>
        <v>0</v>
      </c>
      <c r="H20" s="52"/>
    </row>
    <row r="21" spans="1:8" x14ac:dyDescent="0.3">
      <c r="B21" s="8"/>
      <c r="C21" s="24"/>
      <c r="D21" s="24"/>
      <c r="E21" s="24"/>
      <c r="F21" s="24"/>
      <c r="G21" s="24"/>
      <c r="H21"/>
    </row>
    <row r="22" spans="1:8" x14ac:dyDescent="0.3">
      <c r="B22" s="1" t="s">
        <v>6</v>
      </c>
      <c r="C22" s="1" t="s">
        <v>4</v>
      </c>
      <c r="D22" s="5">
        <f>SUMIF(Feb10_2020[[#Headers],[KSI_AGO]:[AKOSOMBO_AGO]],"*"&amp;C22,Feb10_2020[[#Totals],[KSI_AGO]:[AKOSOMBO_AGO]])</f>
        <v>2186000</v>
      </c>
      <c r="E22" s="1" t="s">
        <v>5</v>
      </c>
      <c r="F22" s="5">
        <f>SUMIF(Feb10_2020[[#Headers],[KSI_AGO]:[AKOSOMBO_AGO]],"*"&amp;E22,Feb10_2020[[#Totals],[KSI_AGO]:[AKOSOMBO_AGO]])</f>
        <v>2366000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9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D9" sqref="D9"/>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43872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43872</v>
      </c>
    </row>
    <row r="7" spans="2:11" x14ac:dyDescent="0.3">
      <c r="B7" s="6" t="s">
        <v>37</v>
      </c>
      <c r="C7" s="22"/>
      <c r="D7" s="22"/>
      <c r="E7" s="22"/>
      <c r="F7" s="22"/>
      <c r="G7" s="22"/>
      <c r="H7" s="67">
        <f>$G$3</f>
        <v>43872</v>
      </c>
    </row>
    <row r="8" spans="2:11" x14ac:dyDescent="0.3">
      <c r="B8" s="6" t="s">
        <v>17</v>
      </c>
      <c r="C8" s="22"/>
      <c r="D8" s="22">
        <v>689500</v>
      </c>
      <c r="E8" s="22"/>
      <c r="F8" s="22">
        <v>423000</v>
      </c>
      <c r="G8" s="22"/>
      <c r="H8" s="12">
        <f t="shared" si="0"/>
        <v>43872</v>
      </c>
    </row>
    <row r="9" spans="2:11" ht="15.6" x14ac:dyDescent="0.3">
      <c r="B9" s="34" t="s">
        <v>0</v>
      </c>
      <c r="C9" s="60"/>
      <c r="D9" s="60"/>
      <c r="E9" s="60"/>
      <c r="F9" s="60"/>
      <c r="G9" s="61"/>
      <c r="H9" s="12">
        <f t="shared" si="0"/>
        <v>43872</v>
      </c>
    </row>
    <row r="10" spans="2:11" x14ac:dyDescent="0.3">
      <c r="B10" s="6" t="s">
        <v>25</v>
      </c>
      <c r="C10" s="22"/>
      <c r="D10" s="22">
        <v>428000</v>
      </c>
      <c r="E10" s="22"/>
      <c r="F10" s="22">
        <v>162000</v>
      </c>
      <c r="G10" s="22"/>
      <c r="H10" s="12">
        <f t="shared" si="0"/>
        <v>43872</v>
      </c>
    </row>
    <row r="11" spans="2:11" x14ac:dyDescent="0.3">
      <c r="B11" s="6" t="s">
        <v>15</v>
      </c>
      <c r="C11" s="22">
        <v>162000</v>
      </c>
      <c r="D11" s="22"/>
      <c r="E11" s="22"/>
      <c r="F11" s="48"/>
      <c r="G11" s="22"/>
      <c r="H11" s="12">
        <f t="shared" si="0"/>
        <v>43872</v>
      </c>
    </row>
    <row r="12" spans="2:11" x14ac:dyDescent="0.3">
      <c r="B12" s="6" t="s">
        <v>26</v>
      </c>
      <c r="C12" s="22">
        <v>216000</v>
      </c>
      <c r="D12" s="22"/>
      <c r="E12" s="22"/>
      <c r="F12" s="22"/>
      <c r="G12" s="22"/>
      <c r="H12" s="12">
        <f t="shared" si="0"/>
        <v>43872</v>
      </c>
    </row>
    <row r="13" spans="2:11" x14ac:dyDescent="0.3">
      <c r="B13" s="6" t="s">
        <v>22</v>
      </c>
      <c r="C13" s="23"/>
      <c r="D13" s="23"/>
      <c r="E13" s="23"/>
      <c r="F13" s="22"/>
      <c r="G13" s="23"/>
      <c r="H13" s="12">
        <f t="shared" si="0"/>
        <v>43872</v>
      </c>
      <c r="K13" s="4"/>
    </row>
    <row r="14" spans="2:11" x14ac:dyDescent="0.3">
      <c r="B14" s="6" t="s">
        <v>19</v>
      </c>
      <c r="C14" s="22"/>
      <c r="D14" s="22"/>
      <c r="E14" s="22"/>
      <c r="F14" s="22"/>
      <c r="G14" s="22"/>
      <c r="H14" s="12">
        <f t="shared" si="0"/>
        <v>43872</v>
      </c>
    </row>
    <row r="15" spans="2:11" x14ac:dyDescent="0.3">
      <c r="B15" s="6" t="s">
        <v>14</v>
      </c>
      <c r="C15" s="22">
        <v>478000</v>
      </c>
      <c r="D15" s="22">
        <v>422500</v>
      </c>
      <c r="E15" s="22"/>
      <c r="F15" s="22">
        <v>432000</v>
      </c>
      <c r="G15" s="22"/>
      <c r="H15" s="12">
        <f t="shared" si="0"/>
        <v>43872</v>
      </c>
    </row>
    <row r="16" spans="2:11" x14ac:dyDescent="0.3">
      <c r="B16" s="6" t="s">
        <v>24</v>
      </c>
      <c r="C16" s="22"/>
      <c r="D16" s="22"/>
      <c r="E16" s="22"/>
      <c r="F16" s="49"/>
      <c r="G16" s="22"/>
      <c r="H16" s="12">
        <f t="shared" si="0"/>
        <v>43872</v>
      </c>
    </row>
    <row r="17" spans="1:8" x14ac:dyDescent="0.3">
      <c r="B17" s="6" t="s">
        <v>21</v>
      </c>
      <c r="C17" s="22"/>
      <c r="D17" s="22"/>
      <c r="E17" s="22"/>
      <c r="F17" s="22"/>
      <c r="G17" s="22"/>
      <c r="H17" s="12">
        <f t="shared" si="0"/>
        <v>43872</v>
      </c>
    </row>
    <row r="18" spans="1:8" x14ac:dyDescent="0.3">
      <c r="B18" s="6" t="s">
        <v>18</v>
      </c>
      <c r="C18" s="22">
        <v>108000</v>
      </c>
      <c r="D18" s="22"/>
      <c r="E18" s="22"/>
      <c r="F18" s="22"/>
      <c r="G18" s="22"/>
      <c r="H18" s="12">
        <f t="shared" si="0"/>
        <v>43872</v>
      </c>
    </row>
    <row r="19" spans="1:8" x14ac:dyDescent="0.3">
      <c r="B19" s="6" t="s">
        <v>16</v>
      </c>
      <c r="C19" s="22">
        <v>47000</v>
      </c>
      <c r="D19" s="22"/>
      <c r="E19" s="22"/>
      <c r="F19" s="22"/>
      <c r="G19" s="22"/>
      <c r="H19" s="12">
        <f t="shared" si="0"/>
        <v>43872</v>
      </c>
    </row>
    <row r="20" spans="1:8" x14ac:dyDescent="0.3">
      <c r="B20" s="50" t="s">
        <v>27</v>
      </c>
      <c r="C20" s="51">
        <f>SUM(Feb11_2020[KSI_AGO])</f>
        <v>1011000</v>
      </c>
      <c r="D20" s="51">
        <f>SUM(Feb11_2020[KSI_PMS])</f>
        <v>1540000</v>
      </c>
      <c r="E20" s="51">
        <f>SUM(Feb11_2020[BUIPE_AGO])</f>
        <v>0</v>
      </c>
      <c r="F20" s="51">
        <f>SUM(Feb11_2020[BUIPE_PMS])</f>
        <v>1017000</v>
      </c>
      <c r="G20" s="51">
        <f>SUM(Feb11_2020[AKOSOMBO_AGO])</f>
        <v>0</v>
      </c>
      <c r="H20" s="52"/>
    </row>
    <row r="21" spans="1:8" x14ac:dyDescent="0.3">
      <c r="B21" s="8"/>
      <c r="C21" s="24"/>
      <c r="D21" s="24"/>
      <c r="E21" s="24"/>
      <c r="F21" s="24"/>
      <c r="G21" s="24"/>
      <c r="H21"/>
    </row>
    <row r="22" spans="1:8" x14ac:dyDescent="0.3">
      <c r="B22" s="1" t="s">
        <v>6</v>
      </c>
      <c r="C22" s="1" t="s">
        <v>4</v>
      </c>
      <c r="D22" s="5">
        <f>SUMIF(Feb11_2020[[#Headers],[KSI_AGO]:[AKOSOMBO_AGO]],"*"&amp;C22,Feb11_2020[[#Totals],[KSI_AGO]:[AKOSOMBO_AGO]])</f>
        <v>1011000</v>
      </c>
      <c r="E22" s="1" t="s">
        <v>5</v>
      </c>
      <c r="F22" s="5">
        <f>SUMIF(Feb11_2020[[#Headers],[KSI_AGO]:[AKOSOMBO_AGO]],"*"&amp;E22,Feb11_2020[[#Totals],[KSI_AGO]:[AKOSOMBO_AGO]])</f>
        <v>2557000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A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D19" sqref="D19"/>
    </sheetView>
  </sheetViews>
  <sheetFormatPr defaultColWidth="9.109375" defaultRowHeight="14.4" x14ac:dyDescent="0.3"/>
  <cols>
    <col min="1" max="1" width="6.88671875" style="1" customWidth="1"/>
    <col min="2" max="2" width="26.109375" style="1" customWidth="1"/>
    <col min="3" max="3" width="14.44140625" style="1" customWidth="1"/>
    <col min="4" max="4" width="18.5546875" style="1" customWidth="1"/>
    <col min="5" max="5" width="18.109375" style="1" customWidth="1"/>
    <col min="6" max="6" width="18.5546875" style="1" customWidth="1"/>
    <col min="7" max="7" width="27.5546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43873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513000</v>
      </c>
      <c r="E6" s="45"/>
      <c r="F6" s="45">
        <v>266000</v>
      </c>
      <c r="G6" s="45"/>
      <c r="H6" s="12">
        <f t="shared" ref="H6:H19" si="0">$G$3</f>
        <v>43873</v>
      </c>
    </row>
    <row r="7" spans="2:11" x14ac:dyDescent="0.3">
      <c r="B7" s="6" t="s">
        <v>37</v>
      </c>
      <c r="C7" s="22"/>
      <c r="D7" s="22"/>
      <c r="E7" s="22"/>
      <c r="F7" s="22"/>
      <c r="G7" s="22"/>
      <c r="H7" s="67">
        <f>$G$3</f>
        <v>43873</v>
      </c>
    </row>
    <row r="8" spans="2:11" x14ac:dyDescent="0.3">
      <c r="B8" s="6" t="s">
        <v>17</v>
      </c>
      <c r="C8" s="22">
        <v>412000</v>
      </c>
      <c r="D8" s="22">
        <v>307000</v>
      </c>
      <c r="E8" s="22"/>
      <c r="F8" s="22">
        <v>324000</v>
      </c>
      <c r="G8" s="22"/>
      <c r="H8" s="12">
        <f t="shared" si="0"/>
        <v>43873</v>
      </c>
    </row>
    <row r="9" spans="2:11" ht="15.6" x14ac:dyDescent="0.3">
      <c r="B9" s="34" t="s">
        <v>0</v>
      </c>
      <c r="C9" s="60"/>
      <c r="D9" s="60"/>
      <c r="E9" s="60"/>
      <c r="F9" s="60"/>
      <c r="G9" s="61"/>
      <c r="H9" s="12">
        <f t="shared" si="0"/>
        <v>43873</v>
      </c>
    </row>
    <row r="10" spans="2:11" x14ac:dyDescent="0.3">
      <c r="B10" s="6" t="s">
        <v>25</v>
      </c>
      <c r="C10" s="22"/>
      <c r="D10" s="22">
        <v>887000</v>
      </c>
      <c r="E10" s="22"/>
      <c r="F10" s="22"/>
      <c r="G10" s="22"/>
      <c r="H10" s="12">
        <f t="shared" si="0"/>
        <v>43873</v>
      </c>
    </row>
    <row r="11" spans="2:11" x14ac:dyDescent="0.3">
      <c r="B11" s="6" t="s">
        <v>15</v>
      </c>
      <c r="C11" s="22">
        <v>54000</v>
      </c>
      <c r="D11" s="22"/>
      <c r="E11" s="22"/>
      <c r="F11" s="48"/>
      <c r="G11" s="22"/>
      <c r="H11" s="12">
        <f t="shared" si="0"/>
        <v>43873</v>
      </c>
    </row>
    <row r="12" spans="2:11" x14ac:dyDescent="0.3">
      <c r="B12" s="6" t="s">
        <v>26</v>
      </c>
      <c r="C12" s="22">
        <v>54000</v>
      </c>
      <c r="D12" s="22"/>
      <c r="E12" s="22"/>
      <c r="F12" s="22"/>
      <c r="G12" s="22"/>
      <c r="H12" s="12">
        <f t="shared" si="0"/>
        <v>43873</v>
      </c>
    </row>
    <row r="13" spans="2:11" x14ac:dyDescent="0.3">
      <c r="B13" s="6" t="s">
        <v>22</v>
      </c>
      <c r="C13" s="23"/>
      <c r="D13" s="23"/>
      <c r="E13" s="23"/>
      <c r="F13" s="22"/>
      <c r="G13" s="23"/>
      <c r="H13" s="12">
        <f t="shared" si="0"/>
        <v>43873</v>
      </c>
      <c r="K13" s="4"/>
    </row>
    <row r="14" spans="2:11" x14ac:dyDescent="0.3">
      <c r="B14" s="6" t="s">
        <v>19</v>
      </c>
      <c r="C14" s="22"/>
      <c r="D14" s="22"/>
      <c r="E14" s="22"/>
      <c r="F14" s="22"/>
      <c r="G14" s="22"/>
      <c r="H14" s="12">
        <f t="shared" si="0"/>
        <v>43873</v>
      </c>
    </row>
    <row r="15" spans="2:11" x14ac:dyDescent="0.3">
      <c r="B15" s="6" t="s">
        <v>14</v>
      </c>
      <c r="C15" s="22">
        <v>324000</v>
      </c>
      <c r="D15" s="22"/>
      <c r="E15" s="22"/>
      <c r="F15" s="22">
        <v>477500</v>
      </c>
      <c r="G15" s="22"/>
      <c r="H15" s="12">
        <f t="shared" si="0"/>
        <v>43873</v>
      </c>
    </row>
    <row r="16" spans="2:11" x14ac:dyDescent="0.3">
      <c r="B16" s="6" t="s">
        <v>24</v>
      </c>
      <c r="C16" s="22"/>
      <c r="D16" s="22"/>
      <c r="E16" s="22"/>
      <c r="F16" s="49"/>
      <c r="G16" s="22"/>
      <c r="H16" s="12">
        <f t="shared" si="0"/>
        <v>43873</v>
      </c>
    </row>
    <row r="17" spans="1:8" x14ac:dyDescent="0.3">
      <c r="B17" s="6" t="s">
        <v>21</v>
      </c>
      <c r="C17" s="22"/>
      <c r="D17" s="22"/>
      <c r="E17" s="22"/>
      <c r="F17" s="22"/>
      <c r="G17" s="22"/>
      <c r="H17" s="12">
        <f t="shared" si="0"/>
        <v>43873</v>
      </c>
    </row>
    <row r="18" spans="1:8" x14ac:dyDescent="0.3">
      <c r="B18" s="6" t="s">
        <v>18</v>
      </c>
      <c r="C18" s="22"/>
      <c r="D18" s="22"/>
      <c r="E18" s="22"/>
      <c r="F18" s="22"/>
      <c r="G18" s="22"/>
      <c r="H18" s="12">
        <f t="shared" si="0"/>
        <v>43873</v>
      </c>
    </row>
    <row r="19" spans="1:8" x14ac:dyDescent="0.3">
      <c r="B19" s="6" t="s">
        <v>16</v>
      </c>
      <c r="C19" s="22">
        <v>54000</v>
      </c>
      <c r="D19" s="22"/>
      <c r="E19" s="22"/>
      <c r="F19" s="22"/>
      <c r="G19" s="22"/>
      <c r="H19" s="12">
        <f t="shared" si="0"/>
        <v>43873</v>
      </c>
    </row>
    <row r="20" spans="1:8" x14ac:dyDescent="0.3">
      <c r="B20" s="50" t="s">
        <v>27</v>
      </c>
      <c r="C20" s="51">
        <f>SUM(Feb12_2020[KSI_AGO])</f>
        <v>898000</v>
      </c>
      <c r="D20" s="51">
        <f>SUM(Feb12_2020[KSI_PMS])</f>
        <v>1707000</v>
      </c>
      <c r="E20" s="51">
        <f>SUM(Feb12_2020[BUIPE_AGO])</f>
        <v>0</v>
      </c>
      <c r="F20" s="51">
        <f>SUM(Feb12_2020[BUIPE_PMS])</f>
        <v>1067500</v>
      </c>
      <c r="G20" s="51">
        <f>SUM(Feb12_2020[AKOSOMBO_AGO])</f>
        <v>0</v>
      </c>
      <c r="H20" s="52"/>
    </row>
    <row r="21" spans="1:8" x14ac:dyDescent="0.3">
      <c r="B21" s="8"/>
      <c r="C21" s="24"/>
      <c r="D21" s="24"/>
      <c r="E21" s="24"/>
      <c r="F21" s="24"/>
      <c r="G21" s="24"/>
      <c r="H21"/>
    </row>
    <row r="22" spans="1:8" x14ac:dyDescent="0.3">
      <c r="B22" s="1" t="s">
        <v>6</v>
      </c>
      <c r="C22" s="1" t="s">
        <v>4</v>
      </c>
      <c r="D22" s="5">
        <f>SUMIF(Feb12_2020[[#Headers],[KSI_AGO]:[AKOSOMBO_AGO]],"*"&amp;C22,Feb12_2020[[#Totals],[KSI_AGO]:[AKOSOMBO_AGO]])</f>
        <v>898000</v>
      </c>
      <c r="E22" s="1" t="s">
        <v>5</v>
      </c>
      <c r="F22" s="5">
        <f>SUMIF(Feb12_2020[[#Headers],[KSI_AGO]:[AKOSOMBO_AGO]],"*"&amp;E22,Feb12_2020[[#Totals],[KSI_AGO]:[AKOSOMBO_AGO]])</f>
        <v>2774500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B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F17" sqref="F17"/>
    </sheetView>
  </sheetViews>
  <sheetFormatPr defaultColWidth="9.109375" defaultRowHeight="14.4" x14ac:dyDescent="0.3"/>
  <cols>
    <col min="1" max="1" width="6.88671875" style="1" customWidth="1"/>
    <col min="2" max="2" width="26.109375" style="1" customWidth="1"/>
    <col min="3" max="3" width="16.88671875" style="1" customWidth="1"/>
    <col min="4" max="4" width="15.5546875" style="1" customWidth="1"/>
    <col min="5" max="5" width="18.109375" style="1" customWidth="1"/>
    <col min="6" max="6" width="18.88671875" style="1" customWidth="1"/>
    <col min="7" max="7" width="28.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43874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306000</v>
      </c>
      <c r="E6" s="45"/>
      <c r="F6" s="45">
        <v>212000</v>
      </c>
      <c r="G6" s="45"/>
      <c r="H6" s="12">
        <f t="shared" ref="H6:H19" si="0">$G$3</f>
        <v>43874</v>
      </c>
    </row>
    <row r="7" spans="2:11" x14ac:dyDescent="0.3">
      <c r="B7" s="6" t="s">
        <v>37</v>
      </c>
      <c r="C7" s="22"/>
      <c r="D7" s="22"/>
      <c r="E7" s="22"/>
      <c r="F7" s="22"/>
      <c r="G7" s="22"/>
      <c r="H7" s="67">
        <f>$G$3</f>
        <v>43874</v>
      </c>
    </row>
    <row r="8" spans="2:11" x14ac:dyDescent="0.3">
      <c r="B8" s="6" t="s">
        <v>17</v>
      </c>
      <c r="C8" s="22"/>
      <c r="D8" s="22">
        <v>459000</v>
      </c>
      <c r="E8" s="22"/>
      <c r="F8" s="22">
        <v>482000</v>
      </c>
      <c r="G8" s="22"/>
      <c r="H8" s="12">
        <f t="shared" si="0"/>
        <v>43874</v>
      </c>
    </row>
    <row r="9" spans="2:11" ht="15.6" x14ac:dyDescent="0.3">
      <c r="B9" s="34" t="s">
        <v>0</v>
      </c>
      <c r="C9" s="60"/>
      <c r="D9" s="60"/>
      <c r="E9" s="60"/>
      <c r="F9" s="60"/>
      <c r="G9" s="61"/>
      <c r="H9" s="12">
        <f t="shared" si="0"/>
        <v>43874</v>
      </c>
    </row>
    <row r="10" spans="2:11" x14ac:dyDescent="0.3">
      <c r="B10" s="6" t="s">
        <v>25</v>
      </c>
      <c r="C10" s="22"/>
      <c r="D10" s="22">
        <v>324000</v>
      </c>
      <c r="E10" s="22"/>
      <c r="F10" s="22"/>
      <c r="G10" s="22"/>
      <c r="H10" s="12">
        <f t="shared" si="0"/>
        <v>43874</v>
      </c>
    </row>
    <row r="11" spans="2:11" x14ac:dyDescent="0.3">
      <c r="B11" s="6" t="s">
        <v>15</v>
      </c>
      <c r="C11" s="22"/>
      <c r="D11" s="22"/>
      <c r="E11" s="22"/>
      <c r="F11" s="48"/>
      <c r="G11" s="22"/>
      <c r="H11" s="12">
        <f t="shared" si="0"/>
        <v>43874</v>
      </c>
    </row>
    <row r="12" spans="2:11" x14ac:dyDescent="0.3">
      <c r="B12" s="6" t="s">
        <v>26</v>
      </c>
      <c r="C12" s="22"/>
      <c r="D12" s="22"/>
      <c r="E12" s="22"/>
      <c r="F12" s="22"/>
      <c r="G12" s="22"/>
      <c r="H12" s="12">
        <f t="shared" si="0"/>
        <v>43874</v>
      </c>
    </row>
    <row r="13" spans="2:11" x14ac:dyDescent="0.3">
      <c r="B13" s="6" t="s">
        <v>22</v>
      </c>
      <c r="C13" s="23"/>
      <c r="D13" s="23"/>
      <c r="E13" s="23"/>
      <c r="F13" s="22"/>
      <c r="G13" s="23"/>
      <c r="H13" s="12">
        <f t="shared" si="0"/>
        <v>43874</v>
      </c>
      <c r="K13" s="4"/>
    </row>
    <row r="14" spans="2:11" x14ac:dyDescent="0.3">
      <c r="B14" s="6" t="s">
        <v>19</v>
      </c>
      <c r="C14" s="22"/>
      <c r="D14" s="22"/>
      <c r="E14" s="22"/>
      <c r="F14" s="22"/>
      <c r="G14" s="22"/>
      <c r="H14" s="12">
        <f t="shared" si="0"/>
        <v>43874</v>
      </c>
    </row>
    <row r="15" spans="2:11" x14ac:dyDescent="0.3">
      <c r="B15" s="6" t="s">
        <v>14</v>
      </c>
      <c r="C15" s="22"/>
      <c r="D15" s="22">
        <v>424000</v>
      </c>
      <c r="E15" s="22"/>
      <c r="F15" s="22">
        <v>315000</v>
      </c>
      <c r="G15" s="22"/>
      <c r="H15" s="12">
        <f t="shared" si="0"/>
        <v>43874</v>
      </c>
    </row>
    <row r="16" spans="2:11" x14ac:dyDescent="0.3">
      <c r="B16" s="6" t="s">
        <v>24</v>
      </c>
      <c r="C16" s="22"/>
      <c r="D16" s="22"/>
      <c r="E16" s="22"/>
      <c r="F16" s="49"/>
      <c r="G16" s="22"/>
      <c r="H16" s="12">
        <f t="shared" si="0"/>
        <v>43874</v>
      </c>
    </row>
    <row r="17" spans="1:8" x14ac:dyDescent="0.3">
      <c r="B17" s="6" t="s">
        <v>21</v>
      </c>
      <c r="C17" s="22"/>
      <c r="D17" s="22"/>
      <c r="E17" s="22"/>
      <c r="F17" s="22"/>
      <c r="G17" s="22"/>
      <c r="H17" s="12">
        <f t="shared" si="0"/>
        <v>43874</v>
      </c>
    </row>
    <row r="18" spans="1:8" x14ac:dyDescent="0.3">
      <c r="B18" s="6" t="s">
        <v>18</v>
      </c>
      <c r="C18" s="22"/>
      <c r="D18" s="22"/>
      <c r="E18" s="22"/>
      <c r="F18" s="22"/>
      <c r="G18" s="22"/>
      <c r="H18" s="12">
        <f t="shared" si="0"/>
        <v>43874</v>
      </c>
    </row>
    <row r="19" spans="1:8" x14ac:dyDescent="0.3">
      <c r="B19" s="6" t="s">
        <v>16</v>
      </c>
      <c r="C19" s="22"/>
      <c r="D19" s="22"/>
      <c r="E19" s="22"/>
      <c r="F19" s="22"/>
      <c r="G19" s="22"/>
      <c r="H19" s="12">
        <f t="shared" si="0"/>
        <v>43874</v>
      </c>
    </row>
    <row r="20" spans="1:8" x14ac:dyDescent="0.3">
      <c r="B20" s="50" t="s">
        <v>27</v>
      </c>
      <c r="C20" s="51">
        <f>SUM(Feb13_2020[KSI_AGO])</f>
        <v>0</v>
      </c>
      <c r="D20" s="51">
        <f>SUM(Feb13_2020[KSI_PMS])</f>
        <v>1513000</v>
      </c>
      <c r="E20" s="51">
        <f>SUM(Feb13_2020[BUIPE_AGO])</f>
        <v>0</v>
      </c>
      <c r="F20" s="51">
        <f>SUM(Feb13_2020[BUIPE_PMS])</f>
        <v>1009000</v>
      </c>
      <c r="G20" s="51">
        <f>SUM(Feb13_2020[AKOSOMBO_AGO])</f>
        <v>0</v>
      </c>
      <c r="H20" s="52"/>
    </row>
    <row r="21" spans="1:8" x14ac:dyDescent="0.3">
      <c r="B21" s="8"/>
      <c r="C21" s="24"/>
      <c r="D21" s="24"/>
      <c r="E21" s="24"/>
      <c r="F21" s="24"/>
      <c r="G21" s="24"/>
      <c r="H21"/>
    </row>
    <row r="22" spans="1:8" x14ac:dyDescent="0.3">
      <c r="B22" s="1" t="s">
        <v>6</v>
      </c>
      <c r="C22" s="1" t="s">
        <v>4</v>
      </c>
      <c r="D22" s="5">
        <f>SUMIF(Feb13_2020[[#Headers],[KSI_AGO]:[AKOSOMBO_AGO]],"*"&amp;C22,Feb13_2020[[#Totals],[KSI_AGO]:[AKOSOMBO_AGO]])</f>
        <v>0</v>
      </c>
      <c r="E22" s="1" t="s">
        <v>5</v>
      </c>
      <c r="F22" s="5">
        <f>SUMIF(Feb13_2020[[#Headers],[KSI_AGO]:[AKOSOMBO_AGO]],"*"&amp;E22,Feb13_2020[[#Totals],[KSI_AGO]:[AKOSOMBO_AGO]])</f>
        <v>2522000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C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fitToPage="1"/>
  </sheetPr>
  <dimension ref="A1:K32"/>
  <sheetViews>
    <sheetView zoomScaleNormal="100" workbookViewId="0">
      <pane xSplit="1" ySplit="5" topLeftCell="C6" activePane="bottomRight" state="frozen"/>
      <selection activeCell="C27" sqref="C27"/>
      <selection pane="topRight" activeCell="C27" sqref="C27"/>
      <selection pane="bottomLeft" activeCell="C27" sqref="C27"/>
      <selection pane="bottomRight" activeCell="F7" sqref="F7"/>
    </sheetView>
  </sheetViews>
  <sheetFormatPr defaultColWidth="9.109375" defaultRowHeight="14.4" x14ac:dyDescent="0.3"/>
  <cols>
    <col min="1" max="1" width="6.88671875" style="1" customWidth="1"/>
    <col min="2" max="2" width="26.109375" style="1" customWidth="1"/>
    <col min="3" max="3" width="16.5546875" style="1" customWidth="1"/>
    <col min="4" max="4" width="16" style="1" customWidth="1"/>
    <col min="5" max="5" width="18.44140625" style="1" bestFit="1" customWidth="1"/>
    <col min="6" max="6" width="20" style="1" customWidth="1"/>
    <col min="7" max="7" width="28.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43875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146000</v>
      </c>
      <c r="E6" s="45"/>
      <c r="F6" s="45"/>
      <c r="G6" s="45"/>
      <c r="H6" s="12">
        <f t="shared" ref="H6:H19" si="0">$G$3</f>
        <v>43875</v>
      </c>
    </row>
    <row r="7" spans="2:11" x14ac:dyDescent="0.3">
      <c r="B7" s="6" t="s">
        <v>37</v>
      </c>
      <c r="C7" s="22"/>
      <c r="D7" s="22"/>
      <c r="E7" s="22"/>
      <c r="F7" s="22"/>
      <c r="G7" s="22"/>
      <c r="H7" s="67">
        <f>$G$3</f>
        <v>43875</v>
      </c>
    </row>
    <row r="8" spans="2:11" x14ac:dyDescent="0.3">
      <c r="B8" s="6" t="s">
        <v>17</v>
      </c>
      <c r="C8" s="22"/>
      <c r="D8" s="22">
        <v>324000</v>
      </c>
      <c r="E8" s="22"/>
      <c r="F8" s="22">
        <v>104000</v>
      </c>
      <c r="G8" s="22"/>
      <c r="H8" s="12">
        <f t="shared" si="0"/>
        <v>43875</v>
      </c>
    </row>
    <row r="9" spans="2:11" ht="15.6" x14ac:dyDescent="0.3">
      <c r="B9" s="34" t="s">
        <v>0</v>
      </c>
      <c r="C9" s="60"/>
      <c r="D9" s="60"/>
      <c r="E9" s="60"/>
      <c r="F9" s="60"/>
      <c r="G9" s="61"/>
      <c r="H9" s="12">
        <f t="shared" si="0"/>
        <v>43875</v>
      </c>
    </row>
    <row r="10" spans="2:11" x14ac:dyDescent="0.3">
      <c r="B10" s="6" t="s">
        <v>25</v>
      </c>
      <c r="C10" s="22"/>
      <c r="D10" s="22">
        <v>317000</v>
      </c>
      <c r="E10" s="22"/>
      <c r="F10" s="22"/>
      <c r="G10" s="22"/>
      <c r="H10" s="12">
        <f t="shared" si="0"/>
        <v>43875</v>
      </c>
    </row>
    <row r="11" spans="2:11" x14ac:dyDescent="0.3">
      <c r="B11" s="6" t="s">
        <v>15</v>
      </c>
      <c r="C11" s="22"/>
      <c r="D11" s="22"/>
      <c r="E11" s="22"/>
      <c r="F11" s="48"/>
      <c r="G11" s="22"/>
      <c r="H11" s="12">
        <f t="shared" si="0"/>
        <v>43875</v>
      </c>
    </row>
    <row r="12" spans="2:11" x14ac:dyDescent="0.3">
      <c r="B12" s="6" t="s">
        <v>26</v>
      </c>
      <c r="C12" s="22"/>
      <c r="D12" s="22"/>
      <c r="E12" s="22"/>
      <c r="F12" s="22"/>
      <c r="G12" s="22"/>
      <c r="H12" s="12">
        <f t="shared" si="0"/>
        <v>43875</v>
      </c>
    </row>
    <row r="13" spans="2:11" x14ac:dyDescent="0.3">
      <c r="B13" s="6" t="s">
        <v>22</v>
      </c>
      <c r="C13" s="23"/>
      <c r="D13" s="23"/>
      <c r="E13" s="23"/>
      <c r="F13" s="22"/>
      <c r="G13" s="23"/>
      <c r="H13" s="12">
        <f t="shared" si="0"/>
        <v>43875</v>
      </c>
      <c r="K13" s="4"/>
    </row>
    <row r="14" spans="2:11" x14ac:dyDescent="0.3">
      <c r="B14" s="6" t="s">
        <v>19</v>
      </c>
      <c r="C14" s="22"/>
      <c r="D14" s="22"/>
      <c r="E14" s="22"/>
      <c r="F14" s="22"/>
      <c r="G14" s="22"/>
      <c r="H14" s="12">
        <f t="shared" si="0"/>
        <v>43875</v>
      </c>
    </row>
    <row r="15" spans="2:11" x14ac:dyDescent="0.3">
      <c r="B15" s="6" t="s">
        <v>14</v>
      </c>
      <c r="C15" s="22"/>
      <c r="D15" s="22">
        <v>324000</v>
      </c>
      <c r="E15" s="22"/>
      <c r="F15" s="22">
        <v>911000</v>
      </c>
      <c r="G15" s="22"/>
      <c r="H15" s="12">
        <f t="shared" si="0"/>
        <v>43875</v>
      </c>
    </row>
    <row r="16" spans="2:11" x14ac:dyDescent="0.3">
      <c r="B16" s="6" t="s">
        <v>24</v>
      </c>
      <c r="C16" s="22"/>
      <c r="D16" s="22"/>
      <c r="E16" s="22"/>
      <c r="F16" s="49"/>
      <c r="G16" s="22"/>
      <c r="H16" s="12">
        <f t="shared" si="0"/>
        <v>43875</v>
      </c>
    </row>
    <row r="17" spans="1:8" x14ac:dyDescent="0.3">
      <c r="B17" s="6" t="s">
        <v>21</v>
      </c>
      <c r="C17" s="22"/>
      <c r="D17" s="22"/>
      <c r="E17" s="22"/>
      <c r="F17" s="22"/>
      <c r="G17" s="22"/>
      <c r="H17" s="12">
        <f t="shared" si="0"/>
        <v>43875</v>
      </c>
    </row>
    <row r="18" spans="1:8" x14ac:dyDescent="0.3">
      <c r="B18" s="6" t="s">
        <v>18</v>
      </c>
      <c r="C18" s="22"/>
      <c r="D18" s="22"/>
      <c r="E18" s="22"/>
      <c r="F18" s="22"/>
      <c r="G18" s="22"/>
      <c r="H18" s="12">
        <f t="shared" si="0"/>
        <v>43875</v>
      </c>
    </row>
    <row r="19" spans="1:8" x14ac:dyDescent="0.3">
      <c r="B19" s="6" t="s">
        <v>16</v>
      </c>
      <c r="C19" s="22"/>
      <c r="D19" s="22"/>
      <c r="E19" s="22"/>
      <c r="F19" s="22"/>
      <c r="G19" s="22"/>
      <c r="H19" s="12">
        <f t="shared" si="0"/>
        <v>43875</v>
      </c>
    </row>
    <row r="20" spans="1:8" x14ac:dyDescent="0.3">
      <c r="B20" s="50" t="s">
        <v>27</v>
      </c>
      <c r="C20" s="51">
        <f>SUM(Feb14_2020[KSI_AGO])</f>
        <v>0</v>
      </c>
      <c r="D20" s="51">
        <f>SUM(Feb14_2020[KSI_PMS])</f>
        <v>1111000</v>
      </c>
      <c r="E20" s="51">
        <f>SUM(Feb14_2020[BUIPE_AGO])</f>
        <v>0</v>
      </c>
      <c r="F20" s="51">
        <f>SUM(Feb14_2020[BUIPE_PMS])</f>
        <v>1015000</v>
      </c>
      <c r="G20" s="51">
        <f>SUM(Feb14_2020[AKOSOMBO_AGO])</f>
        <v>0</v>
      </c>
      <c r="H20" s="52"/>
    </row>
    <row r="21" spans="1:8" x14ac:dyDescent="0.3">
      <c r="B21" s="8"/>
      <c r="C21" s="24"/>
      <c r="D21" s="24"/>
      <c r="E21" s="24"/>
      <c r="F21" s="24"/>
      <c r="G21" s="24"/>
      <c r="H21"/>
    </row>
    <row r="22" spans="1:8" x14ac:dyDescent="0.3">
      <c r="B22" s="1" t="s">
        <v>6</v>
      </c>
      <c r="C22" s="1" t="s">
        <v>4</v>
      </c>
      <c r="D22" s="5">
        <f>SUMIF(Feb14_2020[[#Headers],[KSI_AGO]:[AKOSOMBO_AGO]],"*"&amp;C22,Feb14_2020[[#Totals],[KSI_AGO]:[AKOSOMBO_AGO]])</f>
        <v>0</v>
      </c>
      <c r="E22" s="1" t="s">
        <v>5</v>
      </c>
      <c r="F22" s="5">
        <f>SUMIF(Feb14_2020[[#Headers],[KSI_AGO]:[AKOSOMBO_AGO]],"*"&amp;E22,Feb14_2020[[#Totals],[KSI_AGO]:[AKOSOMBO_AGO]])</f>
        <v>2126000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D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F20" sqref="F20"/>
    </sheetView>
  </sheetViews>
  <sheetFormatPr defaultColWidth="9.109375" defaultRowHeight="14.4" x14ac:dyDescent="0.3"/>
  <cols>
    <col min="1" max="1" width="6.88671875" style="1" customWidth="1"/>
    <col min="2" max="2" width="30" style="1" customWidth="1"/>
    <col min="3" max="3" width="15.109375" style="1" customWidth="1"/>
    <col min="4" max="4" width="15.33203125" style="1" customWidth="1"/>
    <col min="5" max="5" width="19.44140625" style="1" customWidth="1"/>
    <col min="6" max="6" width="16.44140625" style="1" customWidth="1"/>
    <col min="7" max="7" width="29.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43878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207000</v>
      </c>
      <c r="E6" s="45"/>
      <c r="F6" s="45"/>
      <c r="G6" s="45"/>
      <c r="H6" s="12">
        <f t="shared" ref="H6:H19" si="0">$G$3</f>
        <v>43878</v>
      </c>
    </row>
    <row r="7" spans="2:11" x14ac:dyDescent="0.3">
      <c r="B7" s="6" t="s">
        <v>37</v>
      </c>
      <c r="C7" s="22"/>
      <c r="D7" s="22"/>
      <c r="E7" s="22"/>
      <c r="F7" s="22"/>
      <c r="G7" s="22"/>
      <c r="H7" s="67">
        <f>$G$3</f>
        <v>43878</v>
      </c>
    </row>
    <row r="8" spans="2:11" x14ac:dyDescent="0.3">
      <c r="B8" s="6" t="s">
        <v>17</v>
      </c>
      <c r="C8" s="22"/>
      <c r="D8" s="22">
        <v>423000</v>
      </c>
      <c r="E8" s="22"/>
      <c r="F8" s="22"/>
      <c r="G8" s="22"/>
      <c r="H8" s="12">
        <f t="shared" si="0"/>
        <v>43878</v>
      </c>
    </row>
    <row r="9" spans="2:11" ht="15.6" x14ac:dyDescent="0.3">
      <c r="B9" s="34" t="s">
        <v>0</v>
      </c>
      <c r="C9" s="60"/>
      <c r="D9" s="60"/>
      <c r="E9" s="60"/>
      <c r="F9" s="60"/>
      <c r="G9" s="61"/>
      <c r="H9" s="12">
        <f t="shared" si="0"/>
        <v>43878</v>
      </c>
    </row>
    <row r="10" spans="2:11" x14ac:dyDescent="0.3">
      <c r="B10" s="6" t="s">
        <v>25</v>
      </c>
      <c r="C10" s="22"/>
      <c r="D10" s="22">
        <v>108000</v>
      </c>
      <c r="E10" s="22"/>
      <c r="F10" s="22">
        <v>50000</v>
      </c>
      <c r="G10" s="22"/>
      <c r="H10" s="12">
        <f t="shared" si="0"/>
        <v>43878</v>
      </c>
    </row>
    <row r="11" spans="2:11" x14ac:dyDescent="0.3">
      <c r="B11" s="6" t="s">
        <v>15</v>
      </c>
      <c r="C11" s="22"/>
      <c r="D11" s="22"/>
      <c r="E11" s="22"/>
      <c r="F11" s="48"/>
      <c r="G11" s="22"/>
      <c r="H11" s="12">
        <f t="shared" si="0"/>
        <v>43878</v>
      </c>
    </row>
    <row r="12" spans="2:11" x14ac:dyDescent="0.3">
      <c r="B12" s="6" t="s">
        <v>26</v>
      </c>
      <c r="C12" s="22"/>
      <c r="D12" s="22"/>
      <c r="E12" s="22"/>
      <c r="F12" s="22"/>
      <c r="G12" s="22"/>
      <c r="H12" s="12">
        <f t="shared" si="0"/>
        <v>43878</v>
      </c>
    </row>
    <row r="13" spans="2:11" x14ac:dyDescent="0.3">
      <c r="B13" s="6" t="s">
        <v>22</v>
      </c>
      <c r="C13" s="23"/>
      <c r="D13" s="23"/>
      <c r="E13" s="23"/>
      <c r="F13" s="22"/>
      <c r="G13" s="23"/>
      <c r="H13" s="12">
        <f t="shared" si="0"/>
        <v>43878</v>
      </c>
      <c r="K13" s="4"/>
    </row>
    <row r="14" spans="2:11" x14ac:dyDescent="0.3">
      <c r="B14" s="6" t="s">
        <v>19</v>
      </c>
      <c r="C14" s="22"/>
      <c r="D14" s="22"/>
      <c r="E14" s="22"/>
      <c r="F14" s="22"/>
      <c r="G14" s="22"/>
      <c r="H14" s="12">
        <f t="shared" si="0"/>
        <v>43878</v>
      </c>
    </row>
    <row r="15" spans="2:11" x14ac:dyDescent="0.3">
      <c r="B15" s="6" t="s">
        <v>14</v>
      </c>
      <c r="C15" s="22"/>
      <c r="D15" s="22">
        <v>207000</v>
      </c>
      <c r="E15" s="22"/>
      <c r="F15" s="22">
        <v>216000</v>
      </c>
      <c r="G15" s="22"/>
      <c r="H15" s="12">
        <f t="shared" si="0"/>
        <v>43878</v>
      </c>
    </row>
    <row r="16" spans="2:11" x14ac:dyDescent="0.3">
      <c r="B16" s="6" t="s">
        <v>24</v>
      </c>
      <c r="C16" s="22"/>
      <c r="D16" s="22"/>
      <c r="E16" s="22"/>
      <c r="F16" s="49"/>
      <c r="G16" s="22"/>
      <c r="H16" s="12">
        <f t="shared" si="0"/>
        <v>43878</v>
      </c>
    </row>
    <row r="17" spans="1:8" x14ac:dyDescent="0.3">
      <c r="B17" s="6" t="s">
        <v>21</v>
      </c>
      <c r="C17" s="22"/>
      <c r="D17" s="22"/>
      <c r="E17" s="22"/>
      <c r="F17" s="22"/>
      <c r="G17" s="22"/>
      <c r="H17" s="12">
        <f t="shared" si="0"/>
        <v>43878</v>
      </c>
    </row>
    <row r="18" spans="1:8" x14ac:dyDescent="0.3">
      <c r="B18" s="6" t="s">
        <v>18</v>
      </c>
      <c r="C18" s="22"/>
      <c r="D18" s="22"/>
      <c r="E18" s="22"/>
      <c r="F18" s="22"/>
      <c r="G18" s="22"/>
      <c r="H18" s="12">
        <f t="shared" si="0"/>
        <v>43878</v>
      </c>
    </row>
    <row r="19" spans="1:8" x14ac:dyDescent="0.3">
      <c r="B19" s="6" t="s">
        <v>16</v>
      </c>
      <c r="C19" s="22"/>
      <c r="D19" s="22"/>
      <c r="E19" s="22"/>
      <c r="F19" s="22"/>
      <c r="G19" s="22"/>
      <c r="H19" s="12">
        <f t="shared" si="0"/>
        <v>43878</v>
      </c>
    </row>
    <row r="20" spans="1:8" x14ac:dyDescent="0.3">
      <c r="B20" s="50" t="s">
        <v>27</v>
      </c>
      <c r="C20" s="51">
        <f>SUM(Feb17_2020[KSI_AGO])</f>
        <v>0</v>
      </c>
      <c r="D20" s="51">
        <f>SUM(Feb17_2020[KSI_PMS])</f>
        <v>945000</v>
      </c>
      <c r="E20" s="51">
        <f>SUM(Feb17_2020[BUIPE_AGO])</f>
        <v>0</v>
      </c>
      <c r="F20" s="51">
        <f>SUM(Feb17_2020[BUIPE_PMS])</f>
        <v>266000</v>
      </c>
      <c r="G20" s="51">
        <f>SUM(Feb17_2020[AKOSOMBO_AGO])</f>
        <v>0</v>
      </c>
      <c r="H20" s="52"/>
    </row>
    <row r="21" spans="1:8" x14ac:dyDescent="0.3">
      <c r="B21" s="8"/>
      <c r="C21" s="24"/>
      <c r="D21" s="24"/>
      <c r="E21" s="24"/>
      <c r="F21" s="24"/>
      <c r="G21" s="24"/>
      <c r="H21"/>
    </row>
    <row r="22" spans="1:8" x14ac:dyDescent="0.3">
      <c r="B22" s="1" t="s">
        <v>6</v>
      </c>
      <c r="C22" s="1" t="s">
        <v>4</v>
      </c>
      <c r="D22" s="5">
        <f>SUMIF(Feb17_2020[[#Headers],[KSI_AGO]:[AKOSOMBO_AGO]],"*"&amp;C22,Feb17_2020[[#Totals],[KSI_AGO]:[AKOSOMBO_AGO]])</f>
        <v>0</v>
      </c>
      <c r="E22" s="1" t="s">
        <v>5</v>
      </c>
      <c r="F22" s="5">
        <f>SUMIF(Feb17_2020[[#Headers],[KSI_AGO]:[AKOSOMBO_AGO]],"*"&amp;E22,Feb17_2020[[#Totals],[KSI_AGO]:[AKOSOMBO_AGO]])</f>
        <v>1211000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E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H12" sqref="H12"/>
    </sheetView>
  </sheetViews>
  <sheetFormatPr defaultColWidth="9.109375" defaultRowHeight="14.4" x14ac:dyDescent="0.3"/>
  <cols>
    <col min="1" max="1" width="6.88671875" style="1" customWidth="1"/>
    <col min="2" max="2" width="26.109375" style="1" customWidth="1"/>
    <col min="3" max="3" width="15.44140625" style="1" customWidth="1"/>
    <col min="4" max="4" width="15.33203125" style="1" customWidth="1"/>
    <col min="5" max="5" width="18.6640625" style="1" customWidth="1"/>
    <col min="6" max="6" width="19.88671875" style="1" customWidth="1"/>
    <col min="7" max="7" width="26.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43879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378000</v>
      </c>
      <c r="E6" s="45"/>
      <c r="F6" s="45"/>
      <c r="G6" s="45"/>
      <c r="H6" s="12">
        <f t="shared" ref="H6:H19" si="0">$G$3</f>
        <v>43879</v>
      </c>
    </row>
    <row r="7" spans="2:11" x14ac:dyDescent="0.3">
      <c r="B7" s="6" t="s">
        <v>37</v>
      </c>
      <c r="C7" s="22"/>
      <c r="D7" s="22"/>
      <c r="E7" s="22"/>
      <c r="F7" s="22"/>
      <c r="G7" s="22"/>
      <c r="H7" s="67">
        <f>$G$3</f>
        <v>43879</v>
      </c>
    </row>
    <row r="8" spans="2:11" x14ac:dyDescent="0.3">
      <c r="B8" s="6" t="s">
        <v>17</v>
      </c>
      <c r="C8" s="22"/>
      <c r="D8" s="22">
        <v>644000</v>
      </c>
      <c r="E8" s="22"/>
      <c r="F8" s="22">
        <v>54000</v>
      </c>
      <c r="G8" s="22"/>
      <c r="H8" s="12">
        <f t="shared" si="0"/>
        <v>43879</v>
      </c>
    </row>
    <row r="9" spans="2:11" ht="15.6" x14ac:dyDescent="0.3">
      <c r="B9" s="34" t="s">
        <v>0</v>
      </c>
      <c r="C9" s="60"/>
      <c r="D9" s="60"/>
      <c r="E9" s="60"/>
      <c r="F9" s="60"/>
      <c r="G9" s="61"/>
      <c r="H9" s="12">
        <f t="shared" si="0"/>
        <v>43879</v>
      </c>
    </row>
    <row r="10" spans="2:11" x14ac:dyDescent="0.3">
      <c r="B10" s="6" t="s">
        <v>25</v>
      </c>
      <c r="C10" s="22"/>
      <c r="D10" s="22">
        <v>265000</v>
      </c>
      <c r="E10" s="22"/>
      <c r="F10" s="22"/>
      <c r="G10" s="22"/>
      <c r="H10" s="12">
        <f t="shared" si="0"/>
        <v>43879</v>
      </c>
    </row>
    <row r="11" spans="2:11" x14ac:dyDescent="0.3">
      <c r="B11" s="6" t="s">
        <v>15</v>
      </c>
      <c r="C11" s="22"/>
      <c r="D11" s="22"/>
      <c r="E11" s="22"/>
      <c r="F11" s="48"/>
      <c r="G11" s="22"/>
      <c r="H11" s="12">
        <f t="shared" si="0"/>
        <v>43879</v>
      </c>
    </row>
    <row r="12" spans="2:11" x14ac:dyDescent="0.3">
      <c r="B12" s="6" t="s">
        <v>26</v>
      </c>
      <c r="C12" s="22"/>
      <c r="D12" s="22"/>
      <c r="E12" s="22"/>
      <c r="F12" s="22"/>
      <c r="G12" s="22"/>
      <c r="H12" s="12">
        <f t="shared" si="0"/>
        <v>43879</v>
      </c>
    </row>
    <row r="13" spans="2:11" x14ac:dyDescent="0.3">
      <c r="B13" s="6" t="s">
        <v>22</v>
      </c>
      <c r="C13" s="23"/>
      <c r="D13" s="23"/>
      <c r="E13" s="23"/>
      <c r="F13" s="22"/>
      <c r="G13" s="23"/>
      <c r="H13" s="12">
        <f t="shared" si="0"/>
        <v>43879</v>
      </c>
      <c r="K13" s="4"/>
    </row>
    <row r="14" spans="2:11" x14ac:dyDescent="0.3">
      <c r="B14" s="6" t="s">
        <v>19</v>
      </c>
      <c r="C14" s="22"/>
      <c r="D14" s="22"/>
      <c r="E14" s="22"/>
      <c r="F14" s="22"/>
      <c r="G14" s="22"/>
      <c r="H14" s="12">
        <f t="shared" si="0"/>
        <v>43879</v>
      </c>
    </row>
    <row r="15" spans="2:11" x14ac:dyDescent="0.3">
      <c r="B15" s="6" t="s">
        <v>14</v>
      </c>
      <c r="C15" s="22"/>
      <c r="D15" s="22">
        <v>531000</v>
      </c>
      <c r="E15" s="22"/>
      <c r="F15" s="22">
        <v>216000</v>
      </c>
      <c r="G15" s="22"/>
      <c r="H15" s="12">
        <f t="shared" si="0"/>
        <v>43879</v>
      </c>
    </row>
    <row r="16" spans="2:11" x14ac:dyDescent="0.3">
      <c r="B16" s="6" t="s">
        <v>24</v>
      </c>
      <c r="C16" s="22"/>
      <c r="D16" s="22"/>
      <c r="E16" s="22"/>
      <c r="F16" s="49"/>
      <c r="G16" s="22"/>
      <c r="H16" s="12">
        <f t="shared" si="0"/>
        <v>43879</v>
      </c>
    </row>
    <row r="17" spans="1:8" x14ac:dyDescent="0.3">
      <c r="B17" s="6" t="s">
        <v>21</v>
      </c>
      <c r="C17" s="22"/>
      <c r="D17" s="22"/>
      <c r="E17" s="22"/>
      <c r="F17" s="22"/>
      <c r="G17" s="22"/>
      <c r="H17" s="12">
        <f t="shared" si="0"/>
        <v>43879</v>
      </c>
    </row>
    <row r="18" spans="1:8" x14ac:dyDescent="0.3">
      <c r="B18" s="6" t="s">
        <v>18</v>
      </c>
      <c r="C18" s="22"/>
      <c r="D18" s="22"/>
      <c r="E18" s="22"/>
      <c r="F18" s="22"/>
      <c r="G18" s="22"/>
      <c r="H18" s="12">
        <f t="shared" si="0"/>
        <v>43879</v>
      </c>
    </row>
    <row r="19" spans="1:8" x14ac:dyDescent="0.3">
      <c r="B19" s="6" t="s">
        <v>16</v>
      </c>
      <c r="C19" s="22"/>
      <c r="D19" s="22"/>
      <c r="E19" s="22"/>
      <c r="F19" s="22"/>
      <c r="G19" s="22"/>
      <c r="H19" s="12">
        <f t="shared" si="0"/>
        <v>43879</v>
      </c>
    </row>
    <row r="20" spans="1:8" x14ac:dyDescent="0.3">
      <c r="B20" s="50" t="s">
        <v>27</v>
      </c>
      <c r="C20" s="51">
        <f>SUM(Feb18_2020[KSI_AGO])</f>
        <v>0</v>
      </c>
      <c r="D20" s="51">
        <f>SUM(Feb18_2020[KSI_PMS])</f>
        <v>1818000</v>
      </c>
      <c r="E20" s="51">
        <f>SUM(Feb18_2020[BUIPE_AGO])</f>
        <v>0</v>
      </c>
      <c r="F20" s="51">
        <f>SUM(Feb18_2020[BUIPE_PMS])</f>
        <v>270000</v>
      </c>
      <c r="G20" s="51">
        <f>SUM(Feb18_2020[AKOSOMBO_AGO])</f>
        <v>0</v>
      </c>
      <c r="H20" s="52"/>
    </row>
    <row r="21" spans="1:8" x14ac:dyDescent="0.3">
      <c r="B21" s="8"/>
      <c r="C21" s="24"/>
      <c r="D21" s="24"/>
      <c r="E21" s="24"/>
      <c r="F21" s="24"/>
      <c r="G21" s="24"/>
      <c r="H21"/>
    </row>
    <row r="22" spans="1:8" x14ac:dyDescent="0.3">
      <c r="B22" s="1" t="s">
        <v>6</v>
      </c>
      <c r="C22" s="1" t="s">
        <v>4</v>
      </c>
      <c r="D22" s="5">
        <f>SUMIF(Feb18_2020[[#Headers],[KSI_AGO]:[AKOSOMBO_AGO]],"*"&amp;C22,Feb18_2020[[#Totals],[KSI_AGO]:[AKOSOMBO_AGO]])</f>
        <v>0</v>
      </c>
      <c r="E22" s="1" t="s">
        <v>5</v>
      </c>
      <c r="F22" s="5">
        <f>SUMIF(Feb18_2020[[#Headers],[KSI_AGO]:[AKOSOMBO_AGO]],"*"&amp;E22,Feb18_2020[[#Totals],[KSI_AGO]:[AKOSOMBO_AGO]])</f>
        <v>2088000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1F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fitToPage="1"/>
  </sheetPr>
  <dimension ref="A1:K32"/>
  <sheetViews>
    <sheetView zoomScaleNormal="100" workbookViewId="0">
      <pane xSplit="1" ySplit="5" topLeftCell="D6" activePane="bottomRight" state="frozen"/>
      <selection activeCell="C27" sqref="C27"/>
      <selection pane="topRight" activeCell="C27" sqref="C27"/>
      <selection pane="bottomLeft" activeCell="C27" sqref="C27"/>
      <selection pane="bottomRight" activeCell="E9" sqref="E9"/>
    </sheetView>
  </sheetViews>
  <sheetFormatPr defaultColWidth="9.109375" defaultRowHeight="14.4" x14ac:dyDescent="0.3"/>
  <cols>
    <col min="1" max="1" width="6.88671875" style="1" customWidth="1"/>
    <col min="2" max="2" width="26.109375" style="1" customWidth="1"/>
    <col min="3" max="3" width="15.5546875" style="1" customWidth="1"/>
    <col min="4" max="4" width="16" style="1" customWidth="1"/>
    <col min="5" max="5" width="17.88671875" style="1" customWidth="1"/>
    <col min="6" max="6" width="18.33203125" style="1" customWidth="1"/>
    <col min="7" max="7" width="27.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43880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352000</v>
      </c>
      <c r="E6" s="45"/>
      <c r="F6" s="45"/>
      <c r="G6" s="45"/>
      <c r="H6" s="12">
        <f t="shared" ref="H6:H19" si="0">$G$3</f>
        <v>43880</v>
      </c>
    </row>
    <row r="7" spans="2:11" x14ac:dyDescent="0.3">
      <c r="B7" s="6" t="s">
        <v>37</v>
      </c>
      <c r="C7" s="22"/>
      <c r="D7" s="22"/>
      <c r="E7" s="22"/>
      <c r="F7" s="22"/>
      <c r="G7" s="22"/>
      <c r="H7" s="67">
        <f>$G$3</f>
        <v>43880</v>
      </c>
    </row>
    <row r="8" spans="2:11" x14ac:dyDescent="0.3">
      <c r="B8" s="6" t="s">
        <v>17</v>
      </c>
      <c r="C8" s="22"/>
      <c r="D8" s="22">
        <v>792000</v>
      </c>
      <c r="E8" s="22"/>
      <c r="F8" s="22"/>
      <c r="G8" s="22"/>
      <c r="H8" s="12">
        <f t="shared" si="0"/>
        <v>43880</v>
      </c>
    </row>
    <row r="9" spans="2:11" ht="15.6" x14ac:dyDescent="0.3">
      <c r="B9" s="34" t="s">
        <v>0</v>
      </c>
      <c r="C9" s="60"/>
      <c r="D9" s="60"/>
      <c r="E9" s="60"/>
      <c r="F9" s="60"/>
      <c r="G9" s="61"/>
      <c r="H9" s="12">
        <f t="shared" si="0"/>
        <v>43880</v>
      </c>
    </row>
    <row r="10" spans="2:11" x14ac:dyDescent="0.3">
      <c r="B10" s="6" t="s">
        <v>25</v>
      </c>
      <c r="C10" s="22"/>
      <c r="D10" s="22">
        <v>50000</v>
      </c>
      <c r="E10" s="22"/>
      <c r="F10" s="22"/>
      <c r="G10" s="22"/>
      <c r="H10" s="12">
        <f t="shared" si="0"/>
        <v>43880</v>
      </c>
    </row>
    <row r="11" spans="2:11" x14ac:dyDescent="0.3">
      <c r="B11" s="6" t="s">
        <v>15</v>
      </c>
      <c r="C11" s="22"/>
      <c r="D11" s="22"/>
      <c r="E11" s="22"/>
      <c r="F11" s="48"/>
      <c r="G11" s="22"/>
      <c r="H11" s="12">
        <f t="shared" si="0"/>
        <v>43880</v>
      </c>
    </row>
    <row r="12" spans="2:11" x14ac:dyDescent="0.3">
      <c r="B12" s="6" t="s">
        <v>26</v>
      </c>
      <c r="C12" s="22"/>
      <c r="D12" s="22"/>
      <c r="E12" s="22"/>
      <c r="F12" s="22"/>
      <c r="G12" s="22"/>
      <c r="H12" s="12">
        <f t="shared" si="0"/>
        <v>43880</v>
      </c>
    </row>
    <row r="13" spans="2:11" x14ac:dyDescent="0.3">
      <c r="B13" s="6" t="s">
        <v>22</v>
      </c>
      <c r="C13" s="23"/>
      <c r="D13" s="23"/>
      <c r="E13" s="23"/>
      <c r="F13" s="22"/>
      <c r="G13" s="23"/>
      <c r="H13" s="12">
        <f t="shared" si="0"/>
        <v>43880</v>
      </c>
      <c r="K13" s="4"/>
    </row>
    <row r="14" spans="2:11" x14ac:dyDescent="0.3">
      <c r="B14" s="6" t="s">
        <v>19</v>
      </c>
      <c r="C14" s="22"/>
      <c r="D14" s="22"/>
      <c r="E14" s="22"/>
      <c r="F14" s="22"/>
      <c r="G14" s="22"/>
      <c r="H14" s="12">
        <f t="shared" si="0"/>
        <v>43880</v>
      </c>
    </row>
    <row r="15" spans="2:11" x14ac:dyDescent="0.3">
      <c r="B15" s="6" t="s">
        <v>14</v>
      </c>
      <c r="C15" s="22"/>
      <c r="D15" s="22">
        <v>738500</v>
      </c>
      <c r="E15" s="22"/>
      <c r="F15" s="22">
        <v>54000</v>
      </c>
      <c r="G15" s="22"/>
      <c r="H15" s="12">
        <f t="shared" si="0"/>
        <v>43880</v>
      </c>
    </row>
    <row r="16" spans="2:11" x14ac:dyDescent="0.3">
      <c r="B16" s="6" t="s">
        <v>24</v>
      </c>
      <c r="C16" s="22"/>
      <c r="D16" s="22"/>
      <c r="E16" s="22"/>
      <c r="F16" s="49"/>
      <c r="G16" s="22"/>
      <c r="H16" s="12">
        <f t="shared" si="0"/>
        <v>43880</v>
      </c>
    </row>
    <row r="17" spans="1:8" x14ac:dyDescent="0.3">
      <c r="B17" s="6" t="s">
        <v>21</v>
      </c>
      <c r="C17" s="22"/>
      <c r="D17" s="22"/>
      <c r="E17" s="22"/>
      <c r="F17" s="22"/>
      <c r="G17" s="22"/>
      <c r="H17" s="12">
        <f t="shared" si="0"/>
        <v>43880</v>
      </c>
    </row>
    <row r="18" spans="1:8" x14ac:dyDescent="0.3">
      <c r="B18" s="6" t="s">
        <v>18</v>
      </c>
      <c r="C18" s="22"/>
      <c r="D18" s="22"/>
      <c r="E18" s="22"/>
      <c r="F18" s="22"/>
      <c r="G18" s="22"/>
      <c r="H18" s="12">
        <f t="shared" si="0"/>
        <v>43880</v>
      </c>
    </row>
    <row r="19" spans="1:8" x14ac:dyDescent="0.3">
      <c r="B19" s="6" t="s">
        <v>16</v>
      </c>
      <c r="C19" s="22"/>
      <c r="D19" s="22"/>
      <c r="E19" s="22"/>
      <c r="F19" s="22"/>
      <c r="G19" s="22"/>
      <c r="H19" s="12">
        <f t="shared" si="0"/>
        <v>43880</v>
      </c>
    </row>
    <row r="20" spans="1:8" x14ac:dyDescent="0.3">
      <c r="B20" s="50" t="s">
        <v>27</v>
      </c>
      <c r="C20" s="51">
        <f>SUM(Feb19_2020[KSI_AGO])</f>
        <v>0</v>
      </c>
      <c r="D20" s="51">
        <f>SUM(Feb19_2020[KSI_PMS])</f>
        <v>1932500</v>
      </c>
      <c r="E20" s="51">
        <f>SUM(Feb19_2020[BUIPE_AGO])</f>
        <v>0</v>
      </c>
      <c r="F20" s="51">
        <f>SUM(Feb19_2020[BUIPE_PMS])</f>
        <v>54000</v>
      </c>
      <c r="G20" s="51">
        <f>SUM(Feb19_2020[AKOSOMBO_AGO])</f>
        <v>0</v>
      </c>
      <c r="H20" s="52"/>
    </row>
    <row r="21" spans="1:8" x14ac:dyDescent="0.3">
      <c r="B21" s="8"/>
      <c r="C21" s="24"/>
      <c r="D21" s="24"/>
      <c r="E21" s="24"/>
      <c r="F21" s="24"/>
      <c r="G21" s="24"/>
      <c r="H21"/>
    </row>
    <row r="22" spans="1:8" x14ac:dyDescent="0.3">
      <c r="B22" s="1" t="s">
        <v>6</v>
      </c>
      <c r="C22" s="1" t="s">
        <v>4</v>
      </c>
      <c r="D22" s="5">
        <f>SUMIF(Feb19_2020[[#Headers],[KSI_AGO]:[AKOSOMBO_AGO]],"*"&amp;C22,Feb19_2020[[#Totals],[KSI_AGO]:[AKOSOMBO_AGO]])</f>
        <v>0</v>
      </c>
      <c r="E22" s="1" t="s">
        <v>5</v>
      </c>
      <c r="F22" s="5">
        <f>SUMIF(Feb19_2020[[#Headers],[KSI_AGO]:[AKOSOMBO_AGO]],"*"&amp;E22,Feb19_2020[[#Totals],[KSI_AGO]:[AKOSOMBO_AGO]])</f>
        <v>1986500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0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D13" sqref="D13"/>
    </sheetView>
  </sheetViews>
  <sheetFormatPr defaultColWidth="9.109375" defaultRowHeight="14.4" x14ac:dyDescent="0.3"/>
  <cols>
    <col min="1" max="1" width="6.88671875" style="1" customWidth="1"/>
    <col min="2" max="2" width="26.109375" style="1" customWidth="1"/>
    <col min="3" max="3" width="14.5546875" style="1" customWidth="1"/>
    <col min="4" max="4" width="15.6640625" style="1" customWidth="1"/>
    <col min="5" max="5" width="18.6640625" style="1" customWidth="1"/>
    <col min="6" max="6" width="20" style="1" customWidth="1"/>
    <col min="7" max="7" width="30"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43881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47000</v>
      </c>
      <c r="E6" s="45"/>
      <c r="F6" s="45"/>
      <c r="G6" s="45"/>
      <c r="H6" s="12">
        <f t="shared" ref="H6:H19" si="0">$G$3</f>
        <v>43881</v>
      </c>
    </row>
    <row r="7" spans="2:11" x14ac:dyDescent="0.3">
      <c r="B7" s="6" t="s">
        <v>37</v>
      </c>
      <c r="C7" s="22"/>
      <c r="D7" s="22"/>
      <c r="E7" s="22"/>
      <c r="F7" s="22"/>
      <c r="G7" s="22"/>
      <c r="H7" s="67">
        <f>$G$3</f>
        <v>43881</v>
      </c>
    </row>
    <row r="8" spans="2:11" x14ac:dyDescent="0.3">
      <c r="B8" s="6" t="s">
        <v>17</v>
      </c>
      <c r="C8" s="22">
        <v>500000</v>
      </c>
      <c r="D8" s="22">
        <v>1440000</v>
      </c>
      <c r="E8" s="22"/>
      <c r="F8" s="22">
        <v>54000</v>
      </c>
      <c r="G8" s="22"/>
      <c r="H8" s="12">
        <f t="shared" si="0"/>
        <v>43881</v>
      </c>
    </row>
    <row r="9" spans="2:11" ht="15.6" x14ac:dyDescent="0.3">
      <c r="B9" s="34" t="s">
        <v>0</v>
      </c>
      <c r="C9" s="60"/>
      <c r="D9" s="60"/>
      <c r="E9" s="60"/>
      <c r="F9" s="60"/>
      <c r="G9" s="61"/>
      <c r="H9" s="12">
        <f t="shared" si="0"/>
        <v>43881</v>
      </c>
    </row>
    <row r="10" spans="2:11" x14ac:dyDescent="0.3">
      <c r="B10" s="6" t="s">
        <v>25</v>
      </c>
      <c r="C10" s="22"/>
      <c r="D10" s="22">
        <v>45000</v>
      </c>
      <c r="E10" s="22"/>
      <c r="F10" s="22">
        <v>95000</v>
      </c>
      <c r="G10" s="22"/>
      <c r="H10" s="12">
        <f t="shared" si="0"/>
        <v>43881</v>
      </c>
    </row>
    <row r="11" spans="2:11" x14ac:dyDescent="0.3">
      <c r="B11" s="6" t="s">
        <v>15</v>
      </c>
      <c r="C11" s="22"/>
      <c r="D11" s="22"/>
      <c r="E11" s="22"/>
      <c r="F11" s="48"/>
      <c r="G11" s="22"/>
      <c r="H11" s="12">
        <f t="shared" si="0"/>
        <v>43881</v>
      </c>
    </row>
    <row r="12" spans="2:11" x14ac:dyDescent="0.3">
      <c r="B12" s="6" t="s">
        <v>26</v>
      </c>
      <c r="C12" s="22"/>
      <c r="D12" s="22"/>
      <c r="E12" s="22"/>
      <c r="F12" s="22"/>
      <c r="G12" s="22"/>
      <c r="H12" s="12">
        <f t="shared" si="0"/>
        <v>43881</v>
      </c>
    </row>
    <row r="13" spans="2:11" x14ac:dyDescent="0.3">
      <c r="B13" s="6" t="s">
        <v>22</v>
      </c>
      <c r="C13" s="23"/>
      <c r="D13" s="23"/>
      <c r="E13" s="23"/>
      <c r="F13" s="22"/>
      <c r="G13" s="23"/>
      <c r="H13" s="12">
        <f t="shared" si="0"/>
        <v>43881</v>
      </c>
      <c r="K13" s="4"/>
    </row>
    <row r="14" spans="2:11" x14ac:dyDescent="0.3">
      <c r="B14" s="6" t="s">
        <v>19</v>
      </c>
      <c r="C14" s="22"/>
      <c r="D14" s="22"/>
      <c r="E14" s="22"/>
      <c r="F14" s="22"/>
      <c r="G14" s="22"/>
      <c r="H14" s="12">
        <f t="shared" si="0"/>
        <v>43881</v>
      </c>
    </row>
    <row r="15" spans="2:11" x14ac:dyDescent="0.3">
      <c r="B15" s="6" t="s">
        <v>14</v>
      </c>
      <c r="C15" s="22"/>
      <c r="D15" s="22"/>
      <c r="E15" s="22"/>
      <c r="F15" s="22">
        <v>54000</v>
      </c>
      <c r="G15" s="22"/>
      <c r="H15" s="12">
        <f t="shared" si="0"/>
        <v>43881</v>
      </c>
    </row>
    <row r="16" spans="2:11" x14ac:dyDescent="0.3">
      <c r="B16" s="6" t="s">
        <v>24</v>
      </c>
      <c r="C16" s="22"/>
      <c r="D16" s="22"/>
      <c r="E16" s="22"/>
      <c r="F16" s="49"/>
      <c r="G16" s="22"/>
      <c r="H16" s="12">
        <f t="shared" si="0"/>
        <v>43881</v>
      </c>
    </row>
    <row r="17" spans="1:8" x14ac:dyDescent="0.3">
      <c r="B17" s="6" t="s">
        <v>21</v>
      </c>
      <c r="C17" s="22"/>
      <c r="D17" s="22"/>
      <c r="E17" s="22"/>
      <c r="F17" s="22"/>
      <c r="G17" s="22"/>
      <c r="H17" s="12">
        <f t="shared" si="0"/>
        <v>43881</v>
      </c>
    </row>
    <row r="18" spans="1:8" x14ac:dyDescent="0.3">
      <c r="B18" s="6" t="s">
        <v>18</v>
      </c>
      <c r="C18" s="22"/>
      <c r="D18" s="22"/>
      <c r="E18" s="22"/>
      <c r="F18" s="22"/>
      <c r="G18" s="22"/>
      <c r="H18" s="12">
        <f t="shared" si="0"/>
        <v>43881</v>
      </c>
    </row>
    <row r="19" spans="1:8" x14ac:dyDescent="0.3">
      <c r="B19" s="6" t="s">
        <v>16</v>
      </c>
      <c r="C19" s="22"/>
      <c r="D19" s="22">
        <v>54000</v>
      </c>
      <c r="E19" s="22"/>
      <c r="F19" s="22"/>
      <c r="G19" s="22"/>
      <c r="H19" s="12">
        <f t="shared" si="0"/>
        <v>43881</v>
      </c>
    </row>
    <row r="20" spans="1:8" x14ac:dyDescent="0.3">
      <c r="B20" s="50" t="s">
        <v>27</v>
      </c>
      <c r="C20" s="51">
        <f>SUM(Feb20_2020[KSI_AGO])</f>
        <v>500000</v>
      </c>
      <c r="D20" s="51">
        <f>SUM(Feb20_2020[KSI_PMS])</f>
        <v>1586000</v>
      </c>
      <c r="E20" s="51">
        <f>SUM(Feb20_2020[BUIPE_AGO])</f>
        <v>0</v>
      </c>
      <c r="F20" s="51">
        <f>SUM(Feb20_2020[BUIPE_PMS])</f>
        <v>203000</v>
      </c>
      <c r="G20" s="51">
        <f>SUM(Feb20_2020[AKOSOMBO_AGO])</f>
        <v>0</v>
      </c>
      <c r="H20" s="52"/>
    </row>
    <row r="21" spans="1:8" x14ac:dyDescent="0.3">
      <c r="B21" s="8"/>
      <c r="C21" s="24"/>
      <c r="D21" s="24"/>
      <c r="E21" s="24"/>
      <c r="F21" s="24"/>
      <c r="G21" s="24"/>
      <c r="H21"/>
    </row>
    <row r="22" spans="1:8" x14ac:dyDescent="0.3">
      <c r="B22" s="1" t="s">
        <v>6</v>
      </c>
      <c r="C22" s="1" t="s">
        <v>4</v>
      </c>
      <c r="D22" s="5">
        <f>SUMIF(Feb20_2020[[#Headers],[KSI_AGO]:[AKOSOMBO_AGO]],"*"&amp;C22,Feb20_2020[[#Totals],[KSI_AGO]:[AKOSOMBO_AGO]])</f>
        <v>500000</v>
      </c>
      <c r="E22" s="1" t="s">
        <v>5</v>
      </c>
      <c r="F22" s="5">
        <f>SUMIF(Feb20_2020[[#Headers],[KSI_AGO]:[AKOSOMBO_AGO]],"*"&amp;E22,Feb20_2020[[#Totals],[KSI_AGO]:[AKOSOMBO_AGO]])</f>
        <v>1789000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1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pageSetUpPr fitToPage="1"/>
  </sheetPr>
  <dimension ref="A1:K32"/>
  <sheetViews>
    <sheetView zoomScaleNormal="100" workbookViewId="0">
      <pane xSplit="1" ySplit="5" topLeftCell="D6" activePane="bottomRight" state="frozen"/>
      <selection activeCell="C27" sqref="C27"/>
      <selection pane="topRight" activeCell="C27" sqref="C27"/>
      <selection pane="bottomLeft" activeCell="C27" sqref="C27"/>
      <selection pane="bottomRight" activeCell="F10" sqref="F10"/>
    </sheetView>
  </sheetViews>
  <sheetFormatPr defaultColWidth="9.109375" defaultRowHeight="14.4" x14ac:dyDescent="0.3"/>
  <cols>
    <col min="1" max="1" width="6.88671875" style="1" customWidth="1"/>
    <col min="2" max="2" width="26.109375" style="1" customWidth="1"/>
    <col min="3" max="3" width="16.109375" style="1" customWidth="1"/>
    <col min="4" max="4" width="15.88671875" style="1" customWidth="1"/>
    <col min="5" max="5" width="20" style="1" customWidth="1"/>
    <col min="6" max="6" width="18.6640625" style="1" customWidth="1"/>
    <col min="7" max="7" width="27.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43882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43882</v>
      </c>
    </row>
    <row r="7" spans="2:11" x14ac:dyDescent="0.3">
      <c r="B7" s="6" t="s">
        <v>37</v>
      </c>
      <c r="C7" s="22"/>
      <c r="D7" s="22"/>
      <c r="E7" s="22"/>
      <c r="F7" s="22"/>
      <c r="G7" s="22"/>
      <c r="H7" s="67">
        <f>$G$3</f>
        <v>43882</v>
      </c>
    </row>
    <row r="8" spans="2:11" x14ac:dyDescent="0.3">
      <c r="B8" s="6" t="s">
        <v>17</v>
      </c>
      <c r="C8" s="22"/>
      <c r="D8" s="22"/>
      <c r="E8" s="22"/>
      <c r="F8" s="22"/>
      <c r="G8" s="22"/>
      <c r="H8" s="12">
        <f t="shared" si="0"/>
        <v>43882</v>
      </c>
    </row>
    <row r="9" spans="2:11" ht="15.6" x14ac:dyDescent="0.3">
      <c r="B9" s="34" t="s">
        <v>0</v>
      </c>
      <c r="C9" s="60"/>
      <c r="D9" s="60"/>
      <c r="E9" s="60"/>
      <c r="F9" s="60"/>
      <c r="G9" s="61"/>
      <c r="H9" s="12">
        <f t="shared" si="0"/>
        <v>43882</v>
      </c>
    </row>
    <row r="10" spans="2:11" x14ac:dyDescent="0.3">
      <c r="B10" s="6" t="s">
        <v>25</v>
      </c>
      <c r="C10" s="22"/>
      <c r="D10" s="22">
        <v>45000</v>
      </c>
      <c r="E10" s="22"/>
      <c r="F10" s="22"/>
      <c r="G10" s="22"/>
      <c r="H10" s="12">
        <f t="shared" si="0"/>
        <v>43882</v>
      </c>
    </row>
    <row r="11" spans="2:11" x14ac:dyDescent="0.3">
      <c r="B11" s="6" t="s">
        <v>15</v>
      </c>
      <c r="C11" s="22">
        <v>50000</v>
      </c>
      <c r="D11" s="22"/>
      <c r="E11" s="22"/>
      <c r="F11" s="48"/>
      <c r="G11" s="22"/>
      <c r="H11" s="12">
        <f t="shared" si="0"/>
        <v>43882</v>
      </c>
    </row>
    <row r="12" spans="2:11" x14ac:dyDescent="0.3">
      <c r="B12" s="6" t="s">
        <v>26</v>
      </c>
      <c r="C12" s="22"/>
      <c r="D12" s="22"/>
      <c r="E12" s="22"/>
      <c r="F12" s="22"/>
      <c r="G12" s="22"/>
      <c r="H12" s="12">
        <f t="shared" si="0"/>
        <v>43882</v>
      </c>
    </row>
    <row r="13" spans="2:11" x14ac:dyDescent="0.3">
      <c r="B13" s="6" t="s">
        <v>22</v>
      </c>
      <c r="C13" s="23"/>
      <c r="D13" s="23"/>
      <c r="E13" s="23"/>
      <c r="F13" s="22"/>
      <c r="G13" s="23"/>
      <c r="H13" s="12">
        <f t="shared" si="0"/>
        <v>43882</v>
      </c>
      <c r="K13" s="4"/>
    </row>
    <row r="14" spans="2:11" x14ac:dyDescent="0.3">
      <c r="B14" s="6" t="s">
        <v>19</v>
      </c>
      <c r="C14" s="22"/>
      <c r="D14" s="22"/>
      <c r="E14" s="22"/>
      <c r="F14" s="22"/>
      <c r="G14" s="22"/>
      <c r="H14" s="12">
        <f t="shared" si="0"/>
        <v>43882</v>
      </c>
    </row>
    <row r="15" spans="2:11" x14ac:dyDescent="0.3">
      <c r="B15" s="6" t="s">
        <v>14</v>
      </c>
      <c r="C15" s="22"/>
      <c r="D15" s="22"/>
      <c r="E15" s="22"/>
      <c r="F15" s="22"/>
      <c r="G15" s="22"/>
      <c r="H15" s="12">
        <f t="shared" si="0"/>
        <v>43882</v>
      </c>
    </row>
    <row r="16" spans="2:11" x14ac:dyDescent="0.3">
      <c r="B16" s="6" t="s">
        <v>24</v>
      </c>
      <c r="C16" s="22"/>
      <c r="D16" s="22"/>
      <c r="E16" s="22"/>
      <c r="F16" s="49"/>
      <c r="G16" s="22"/>
      <c r="H16" s="12">
        <f t="shared" si="0"/>
        <v>43882</v>
      </c>
    </row>
    <row r="17" spans="1:8" x14ac:dyDescent="0.3">
      <c r="B17" s="6" t="s">
        <v>21</v>
      </c>
      <c r="C17" s="22"/>
      <c r="D17" s="22"/>
      <c r="E17" s="22"/>
      <c r="F17" s="22"/>
      <c r="G17" s="22"/>
      <c r="H17" s="12">
        <f t="shared" si="0"/>
        <v>43882</v>
      </c>
    </row>
    <row r="18" spans="1:8" x14ac:dyDescent="0.3">
      <c r="B18" s="6" t="s">
        <v>18</v>
      </c>
      <c r="C18" s="22"/>
      <c r="D18" s="22"/>
      <c r="E18" s="22"/>
      <c r="F18" s="22"/>
      <c r="G18" s="22"/>
      <c r="H18" s="12">
        <f t="shared" si="0"/>
        <v>43882</v>
      </c>
    </row>
    <row r="19" spans="1:8" x14ac:dyDescent="0.3">
      <c r="B19" s="6" t="s">
        <v>16</v>
      </c>
      <c r="C19" s="22"/>
      <c r="D19" s="22">
        <v>1318000</v>
      </c>
      <c r="E19" s="22"/>
      <c r="F19" s="22">
        <v>702000</v>
      </c>
      <c r="G19" s="22"/>
      <c r="H19" s="12">
        <f t="shared" si="0"/>
        <v>43882</v>
      </c>
    </row>
    <row r="20" spans="1:8" x14ac:dyDescent="0.3">
      <c r="B20" s="50" t="s">
        <v>27</v>
      </c>
      <c r="C20" s="51">
        <f>SUM(Feb21_2020[KSI_AGO])</f>
        <v>50000</v>
      </c>
      <c r="D20" s="51">
        <f>SUM(Feb21_2020[KSI_PMS])</f>
        <v>1363000</v>
      </c>
      <c r="E20" s="51">
        <f>SUM(Feb21_2020[BUIPE_AGO])</f>
        <v>0</v>
      </c>
      <c r="F20" s="51">
        <f>SUM(Feb21_2020[BUIPE_PMS])</f>
        <v>702000</v>
      </c>
      <c r="G20" s="51">
        <f>SUM(Feb21_2020[AKOSOMBO_AGO])</f>
        <v>0</v>
      </c>
      <c r="H20" s="52"/>
    </row>
    <row r="21" spans="1:8" x14ac:dyDescent="0.3">
      <c r="B21" s="8"/>
      <c r="C21" s="24"/>
      <c r="D21" s="24"/>
      <c r="E21" s="24"/>
      <c r="F21" s="24"/>
      <c r="G21" s="24"/>
      <c r="H21"/>
    </row>
    <row r="22" spans="1:8" x14ac:dyDescent="0.3">
      <c r="B22" s="1" t="s">
        <v>6</v>
      </c>
      <c r="C22" s="1" t="s">
        <v>4</v>
      </c>
      <c r="D22" s="5">
        <f>SUMIF(Feb21_2020[[#Headers],[KSI_AGO]:[AKOSOMBO_AGO]],"*"&amp;C22,Feb21_2020[[#Totals],[KSI_AGO]:[AKOSOMBO_AGO]])</f>
        <v>50000</v>
      </c>
      <c r="E22" s="1" t="s">
        <v>5</v>
      </c>
      <c r="F22" s="5">
        <f>SUMIF(Feb21_2020[[#Headers],[KSI_AGO]:[AKOSOMBO_AGO]],"*"&amp;E22,Feb21_2020[[#Totals],[KSI_AGO]:[AKOSOMBO_AGO]])</f>
        <v>2065000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2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pageSetUpPr fitToPage="1"/>
  </sheetPr>
  <dimension ref="A1:K32"/>
  <sheetViews>
    <sheetView zoomScaleNormal="100" workbookViewId="0">
      <pane xSplit="1" ySplit="5" topLeftCell="D6" activePane="bottomRight" state="frozen"/>
      <selection activeCell="C27" sqref="C27"/>
      <selection pane="topRight" activeCell="C27" sqref="C27"/>
      <selection pane="bottomLeft" activeCell="C27" sqref="C27"/>
      <selection pane="bottomRight" activeCell="D7" sqref="D7"/>
    </sheetView>
  </sheetViews>
  <sheetFormatPr defaultColWidth="9.109375" defaultRowHeight="14.4" x14ac:dyDescent="0.3"/>
  <cols>
    <col min="1" max="1" width="6.88671875" style="1" customWidth="1"/>
    <col min="2" max="2" width="26.109375" style="1" customWidth="1"/>
    <col min="3" max="3" width="16.5546875" style="1" customWidth="1"/>
    <col min="4" max="4" width="15.88671875" style="1" customWidth="1"/>
    <col min="5" max="5" width="17.44140625" style="1" customWidth="1"/>
    <col min="6" max="6" width="18.44140625" style="1" customWidth="1"/>
    <col min="7" max="7" width="29.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43885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43885</v>
      </c>
    </row>
    <row r="7" spans="2:11" x14ac:dyDescent="0.3">
      <c r="B7" s="6" t="s">
        <v>37</v>
      </c>
      <c r="C7" s="22"/>
      <c r="D7" s="22"/>
      <c r="E7" s="22"/>
      <c r="F7" s="22"/>
      <c r="G7" s="22"/>
      <c r="H7" s="67">
        <f>$G$3</f>
        <v>43885</v>
      </c>
    </row>
    <row r="8" spans="2:11" x14ac:dyDescent="0.3">
      <c r="B8" s="6" t="s">
        <v>17</v>
      </c>
      <c r="C8" s="22"/>
      <c r="D8" s="22"/>
      <c r="E8" s="22"/>
      <c r="F8" s="22"/>
      <c r="G8" s="22"/>
      <c r="H8" s="12">
        <f t="shared" si="0"/>
        <v>43885</v>
      </c>
    </row>
    <row r="9" spans="2:11" ht="15.6" x14ac:dyDescent="0.3">
      <c r="B9" s="34" t="s">
        <v>0</v>
      </c>
      <c r="C9" s="60"/>
      <c r="D9" s="60">
        <v>1206500</v>
      </c>
      <c r="E9" s="60"/>
      <c r="F9" s="60">
        <v>540000</v>
      </c>
      <c r="G9" s="61"/>
      <c r="H9" s="12">
        <f t="shared" si="0"/>
        <v>43885</v>
      </c>
    </row>
    <row r="10" spans="2:11" x14ac:dyDescent="0.3">
      <c r="B10" s="6" t="s">
        <v>25</v>
      </c>
      <c r="C10" s="22"/>
      <c r="D10" s="22"/>
      <c r="E10" s="22"/>
      <c r="F10" s="22"/>
      <c r="G10" s="22"/>
      <c r="H10" s="12">
        <f t="shared" si="0"/>
        <v>43885</v>
      </c>
    </row>
    <row r="11" spans="2:11" x14ac:dyDescent="0.3">
      <c r="B11" s="6" t="s">
        <v>15</v>
      </c>
      <c r="C11" s="22"/>
      <c r="D11" s="22"/>
      <c r="E11" s="22"/>
      <c r="F11" s="48"/>
      <c r="G11" s="22"/>
      <c r="H11" s="12">
        <f t="shared" si="0"/>
        <v>43885</v>
      </c>
    </row>
    <row r="12" spans="2:11" x14ac:dyDescent="0.3">
      <c r="B12" s="6" t="s">
        <v>26</v>
      </c>
      <c r="C12" s="22"/>
      <c r="D12" s="22"/>
      <c r="E12" s="22"/>
      <c r="F12" s="22"/>
      <c r="G12" s="22"/>
      <c r="H12" s="12">
        <f t="shared" si="0"/>
        <v>43885</v>
      </c>
    </row>
    <row r="13" spans="2:11" x14ac:dyDescent="0.3">
      <c r="B13" s="6" t="s">
        <v>22</v>
      </c>
      <c r="C13" s="23"/>
      <c r="D13" s="23"/>
      <c r="E13" s="23"/>
      <c r="F13" s="22"/>
      <c r="G13" s="23"/>
      <c r="H13" s="12">
        <f t="shared" si="0"/>
        <v>43885</v>
      </c>
      <c r="K13" s="4"/>
    </row>
    <row r="14" spans="2:11" x14ac:dyDescent="0.3">
      <c r="B14" s="6" t="s">
        <v>19</v>
      </c>
      <c r="C14" s="22"/>
      <c r="D14" s="22"/>
      <c r="E14" s="22"/>
      <c r="F14" s="22"/>
      <c r="G14" s="22"/>
      <c r="H14" s="12">
        <f t="shared" si="0"/>
        <v>43885</v>
      </c>
    </row>
    <row r="15" spans="2:11" x14ac:dyDescent="0.3">
      <c r="B15" s="6" t="s">
        <v>14</v>
      </c>
      <c r="C15" s="22"/>
      <c r="D15" s="22"/>
      <c r="E15" s="22"/>
      <c r="F15" s="22"/>
      <c r="G15" s="22"/>
      <c r="H15" s="12">
        <f t="shared" si="0"/>
        <v>43885</v>
      </c>
    </row>
    <row r="16" spans="2:11" x14ac:dyDescent="0.3">
      <c r="B16" s="6" t="s">
        <v>24</v>
      </c>
      <c r="C16" s="22"/>
      <c r="D16" s="22"/>
      <c r="E16" s="22"/>
      <c r="F16" s="49"/>
      <c r="G16" s="22"/>
      <c r="H16" s="12">
        <f t="shared" si="0"/>
        <v>43885</v>
      </c>
    </row>
    <row r="17" spans="1:8" x14ac:dyDescent="0.3">
      <c r="B17" s="6" t="s">
        <v>21</v>
      </c>
      <c r="C17" s="22"/>
      <c r="D17" s="22"/>
      <c r="E17" s="22"/>
      <c r="F17" s="22"/>
      <c r="G17" s="22"/>
      <c r="H17" s="12">
        <f t="shared" si="0"/>
        <v>43885</v>
      </c>
    </row>
    <row r="18" spans="1:8" x14ac:dyDescent="0.3">
      <c r="B18" s="6" t="s">
        <v>18</v>
      </c>
      <c r="C18" s="22"/>
      <c r="D18" s="22"/>
      <c r="E18" s="22"/>
      <c r="F18" s="22"/>
      <c r="G18" s="22"/>
      <c r="H18" s="12">
        <f t="shared" si="0"/>
        <v>43885</v>
      </c>
    </row>
    <row r="19" spans="1:8" x14ac:dyDescent="0.3">
      <c r="B19" s="6" t="s">
        <v>16</v>
      </c>
      <c r="C19" s="22"/>
      <c r="D19" s="22">
        <v>476500</v>
      </c>
      <c r="E19" s="22"/>
      <c r="F19" s="22">
        <v>270000</v>
      </c>
      <c r="G19" s="22"/>
      <c r="H19" s="12">
        <f t="shared" si="0"/>
        <v>43885</v>
      </c>
    </row>
    <row r="20" spans="1:8" x14ac:dyDescent="0.3">
      <c r="B20" s="50" t="s">
        <v>27</v>
      </c>
      <c r="C20" s="51">
        <f>SUM(Feb24_2020[KSI_AGO])</f>
        <v>0</v>
      </c>
      <c r="D20" s="51">
        <f>SUM(Feb24_2020[KSI_PMS])</f>
        <v>1683000</v>
      </c>
      <c r="E20" s="51">
        <f>SUM(Feb24_2020[BUIPE_AGO])</f>
        <v>0</v>
      </c>
      <c r="F20" s="51">
        <f>SUM(Feb24_2020[BUIPE_PMS])</f>
        <v>810000</v>
      </c>
      <c r="G20" s="51">
        <f>SUM(Feb24_2020[AKOSOMBO_AGO])</f>
        <v>0</v>
      </c>
      <c r="H20" s="52"/>
    </row>
    <row r="21" spans="1:8" x14ac:dyDescent="0.3">
      <c r="B21" s="8"/>
      <c r="C21" s="24"/>
      <c r="D21" s="24"/>
      <c r="E21" s="24"/>
      <c r="F21" s="24"/>
      <c r="G21" s="24"/>
      <c r="H21"/>
    </row>
    <row r="22" spans="1:8" x14ac:dyDescent="0.3">
      <c r="B22" s="1" t="s">
        <v>6</v>
      </c>
      <c r="C22" s="1" t="s">
        <v>4</v>
      </c>
      <c r="D22" s="5">
        <f>SUMIF(Feb24_2020[[#Headers],[KSI_AGO]:[AKOSOMBO_AGO]],"*"&amp;C22,Feb24_2020[[#Totals],[KSI_AGO]:[AKOSOMBO_AGO]])</f>
        <v>0</v>
      </c>
      <c r="E22" s="1" t="s">
        <v>5</v>
      </c>
      <c r="F22" s="5">
        <f>SUMIF(Feb24_2020[[#Headers],[KSI_AGO]:[AKOSOMBO_AGO]],"*"&amp;E22,Feb24_2020[[#Totals],[KSI_AGO]:[AKOSOMBO_AGO]])</f>
        <v>2493000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3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F16" sqref="F16"/>
    </sheetView>
  </sheetViews>
  <sheetFormatPr defaultColWidth="9.109375" defaultRowHeight="14.4" x14ac:dyDescent="0.3"/>
  <cols>
    <col min="1" max="1" width="6.88671875" style="1" customWidth="1"/>
    <col min="2" max="2" width="26.109375" style="1" customWidth="1"/>
    <col min="3" max="3" width="15.44140625" style="1" customWidth="1"/>
    <col min="4" max="4" width="15.33203125" style="1" customWidth="1"/>
    <col min="5" max="5" width="18.6640625" style="1" customWidth="1"/>
    <col min="6" max="6" width="18.55468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43886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43886</v>
      </c>
    </row>
    <row r="7" spans="2:11" x14ac:dyDescent="0.3">
      <c r="B7" s="6" t="s">
        <v>37</v>
      </c>
      <c r="C7" s="22"/>
      <c r="D7" s="22"/>
      <c r="E7" s="22"/>
      <c r="F7" s="22"/>
      <c r="G7" s="22"/>
      <c r="H7" s="67">
        <f>$G$3</f>
        <v>43886</v>
      </c>
    </row>
    <row r="8" spans="2:11" x14ac:dyDescent="0.3">
      <c r="B8" s="6" t="s">
        <v>17</v>
      </c>
      <c r="C8" s="22">
        <v>810000</v>
      </c>
      <c r="D8" s="22"/>
      <c r="E8" s="22">
        <v>648000</v>
      </c>
      <c r="F8" s="22"/>
      <c r="G8" s="22"/>
      <c r="H8" s="12">
        <f t="shared" si="0"/>
        <v>43886</v>
      </c>
    </row>
    <row r="9" spans="2:11" ht="15.6" x14ac:dyDescent="0.3">
      <c r="B9" s="34" t="s">
        <v>0</v>
      </c>
      <c r="C9" s="60"/>
      <c r="D9" s="60">
        <v>1782000</v>
      </c>
      <c r="E9" s="60"/>
      <c r="F9" s="60">
        <v>270000</v>
      </c>
      <c r="G9" s="61"/>
      <c r="H9" s="12">
        <f t="shared" si="0"/>
        <v>43886</v>
      </c>
    </row>
    <row r="10" spans="2:11" x14ac:dyDescent="0.3">
      <c r="B10" s="6" t="s">
        <v>25</v>
      </c>
      <c r="C10" s="22"/>
      <c r="D10" s="22"/>
      <c r="E10" s="22"/>
      <c r="F10" s="22"/>
      <c r="G10" s="22"/>
      <c r="H10" s="12">
        <f t="shared" si="0"/>
        <v>43886</v>
      </c>
    </row>
    <row r="11" spans="2:11" x14ac:dyDescent="0.3">
      <c r="B11" s="6" t="s">
        <v>15</v>
      </c>
      <c r="C11" s="22">
        <v>54000</v>
      </c>
      <c r="D11" s="22"/>
      <c r="E11" s="22"/>
      <c r="F11" s="48"/>
      <c r="G11" s="22"/>
      <c r="H11" s="12">
        <f t="shared" si="0"/>
        <v>43886</v>
      </c>
    </row>
    <row r="12" spans="2:11" x14ac:dyDescent="0.3">
      <c r="B12" s="6" t="s">
        <v>26</v>
      </c>
      <c r="C12" s="22"/>
      <c r="D12" s="22"/>
      <c r="E12" s="22"/>
      <c r="F12" s="22"/>
      <c r="G12" s="22"/>
      <c r="H12" s="12">
        <f t="shared" si="0"/>
        <v>43886</v>
      </c>
    </row>
    <row r="13" spans="2:11" x14ac:dyDescent="0.3">
      <c r="B13" s="6" t="s">
        <v>22</v>
      </c>
      <c r="C13" s="23"/>
      <c r="D13" s="23"/>
      <c r="E13" s="23"/>
      <c r="F13" s="22"/>
      <c r="G13" s="23"/>
      <c r="H13" s="12">
        <f t="shared" si="0"/>
        <v>43886</v>
      </c>
      <c r="K13" s="4"/>
    </row>
    <row r="14" spans="2:11" x14ac:dyDescent="0.3">
      <c r="B14" s="6" t="s">
        <v>19</v>
      </c>
      <c r="C14" s="22"/>
      <c r="D14" s="22"/>
      <c r="E14" s="22"/>
      <c r="F14" s="22"/>
      <c r="G14" s="22"/>
      <c r="H14" s="12">
        <f t="shared" si="0"/>
        <v>43886</v>
      </c>
    </row>
    <row r="15" spans="2:11" x14ac:dyDescent="0.3">
      <c r="B15" s="6" t="s">
        <v>14</v>
      </c>
      <c r="C15" s="22"/>
      <c r="D15" s="22">
        <v>54000</v>
      </c>
      <c r="E15" s="22"/>
      <c r="F15" s="22"/>
      <c r="G15" s="22"/>
      <c r="H15" s="12">
        <f t="shared" si="0"/>
        <v>43886</v>
      </c>
    </row>
    <row r="16" spans="2:11" x14ac:dyDescent="0.3">
      <c r="B16" s="6" t="s">
        <v>24</v>
      </c>
      <c r="C16" s="22"/>
      <c r="D16" s="22"/>
      <c r="E16" s="22"/>
      <c r="F16" s="49"/>
      <c r="G16" s="22"/>
      <c r="H16" s="12">
        <f t="shared" si="0"/>
        <v>43886</v>
      </c>
    </row>
    <row r="17" spans="1:8" x14ac:dyDescent="0.3">
      <c r="B17" s="6" t="s">
        <v>21</v>
      </c>
      <c r="C17" s="22"/>
      <c r="D17" s="22"/>
      <c r="E17" s="22"/>
      <c r="F17" s="22"/>
      <c r="G17" s="22"/>
      <c r="H17" s="12">
        <f t="shared" si="0"/>
        <v>43886</v>
      </c>
    </row>
    <row r="18" spans="1:8" x14ac:dyDescent="0.3">
      <c r="B18" s="6" t="s">
        <v>18</v>
      </c>
      <c r="C18" s="22"/>
      <c r="D18" s="22"/>
      <c r="E18" s="22"/>
      <c r="F18" s="22"/>
      <c r="G18" s="22"/>
      <c r="H18" s="12">
        <f t="shared" si="0"/>
        <v>43886</v>
      </c>
    </row>
    <row r="19" spans="1:8" x14ac:dyDescent="0.3">
      <c r="B19" s="6" t="s">
        <v>16</v>
      </c>
      <c r="C19" s="22"/>
      <c r="D19" s="22">
        <v>50000</v>
      </c>
      <c r="E19" s="22"/>
      <c r="F19" s="22"/>
      <c r="G19" s="22"/>
      <c r="H19" s="12">
        <f t="shared" si="0"/>
        <v>43886</v>
      </c>
    </row>
    <row r="20" spans="1:8" x14ac:dyDescent="0.3">
      <c r="B20" s="50" t="s">
        <v>27</v>
      </c>
      <c r="C20" s="51">
        <f>SUM(Feb25_2020[KSI_AGO])</f>
        <v>864000</v>
      </c>
      <c r="D20" s="51">
        <f>SUM(Feb25_2020[KSI_PMS])</f>
        <v>1886000</v>
      </c>
      <c r="E20" s="51">
        <f>SUM(Feb25_2020[BUIPE_AGO])</f>
        <v>648000</v>
      </c>
      <c r="F20" s="51">
        <f>SUM(Feb25_2020[BUIPE_PMS])</f>
        <v>270000</v>
      </c>
      <c r="G20" s="51">
        <f>SUM(Feb25_2020[AKOSOMBO_AGO])</f>
        <v>0</v>
      </c>
      <c r="H20" s="52"/>
    </row>
    <row r="21" spans="1:8" x14ac:dyDescent="0.3">
      <c r="B21" s="8"/>
      <c r="C21" s="24"/>
      <c r="D21" s="24"/>
      <c r="E21" s="24"/>
      <c r="F21" s="24"/>
      <c r="G21" s="24"/>
      <c r="H21"/>
    </row>
    <row r="22" spans="1:8" x14ac:dyDescent="0.3">
      <c r="B22" s="1" t="s">
        <v>6</v>
      </c>
      <c r="C22" s="1" t="s">
        <v>4</v>
      </c>
      <c r="D22" s="5">
        <f>SUMIF(Feb25_2020[[#Headers],[KSI_AGO]:[AKOSOMBO_AGO]],"*"&amp;C22,Feb25_2020[[#Totals],[KSI_AGO]:[AKOSOMBO_AGO]])</f>
        <v>1512000</v>
      </c>
      <c r="E22" s="1" t="s">
        <v>5</v>
      </c>
      <c r="F22" s="5">
        <f>SUMIF(Feb25_2020[[#Headers],[KSI_AGO]:[AKOSOMBO_AGO]],"*"&amp;E22,Feb25_2020[[#Totals],[KSI_AGO]:[AKOSOMBO_AGO]])</f>
        <v>2156000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4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G22" sqref="G22"/>
    </sheetView>
  </sheetViews>
  <sheetFormatPr defaultColWidth="14" defaultRowHeight="14.4" x14ac:dyDescent="0.3"/>
  <cols>
    <col min="1" max="1" width="5.5546875" style="1" customWidth="1"/>
    <col min="2" max="2" width="29.6640625" style="1" customWidth="1"/>
    <col min="3" max="3" width="15.5546875" style="1" customWidth="1"/>
    <col min="4" max="4" width="15.44140625" style="1" customWidth="1"/>
    <col min="5" max="5" width="17.6640625" style="1" customWidth="1"/>
    <col min="6" max="6" width="19.5546875" style="1" customWidth="1"/>
    <col min="7" max="7" width="28"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43887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43887</v>
      </c>
    </row>
    <row r="7" spans="2:11" x14ac:dyDescent="0.3">
      <c r="B7" s="6" t="s">
        <v>37</v>
      </c>
      <c r="C7" s="22"/>
      <c r="D7" s="22"/>
      <c r="E7" s="22"/>
      <c r="F7" s="22"/>
      <c r="G7" s="22"/>
      <c r="H7" s="67">
        <f>$G$3</f>
        <v>43887</v>
      </c>
    </row>
    <row r="8" spans="2:11" x14ac:dyDescent="0.3">
      <c r="B8" s="6" t="s">
        <v>17</v>
      </c>
      <c r="C8" s="22">
        <v>1754500</v>
      </c>
      <c r="D8" s="22"/>
      <c r="E8" s="22">
        <v>648000</v>
      </c>
      <c r="F8" s="22"/>
      <c r="G8" s="22"/>
      <c r="H8" s="12">
        <f t="shared" si="0"/>
        <v>43887</v>
      </c>
    </row>
    <row r="9" spans="2:11" ht="15.6" x14ac:dyDescent="0.3">
      <c r="B9" s="34" t="s">
        <v>0</v>
      </c>
      <c r="C9" s="60"/>
      <c r="D9" s="60"/>
      <c r="E9" s="60"/>
      <c r="F9" s="60">
        <v>189500</v>
      </c>
      <c r="G9" s="61"/>
      <c r="H9" s="12">
        <f t="shared" si="0"/>
        <v>43887</v>
      </c>
    </row>
    <row r="10" spans="2:11" x14ac:dyDescent="0.3">
      <c r="B10" s="6" t="s">
        <v>25</v>
      </c>
      <c r="C10" s="22"/>
      <c r="D10" s="22"/>
      <c r="E10" s="22"/>
      <c r="F10" s="22"/>
      <c r="G10" s="22"/>
      <c r="H10" s="12">
        <f t="shared" si="0"/>
        <v>43887</v>
      </c>
    </row>
    <row r="11" spans="2:11" x14ac:dyDescent="0.3">
      <c r="B11" s="6" t="s">
        <v>15</v>
      </c>
      <c r="C11" s="22"/>
      <c r="D11" s="22">
        <v>162000</v>
      </c>
      <c r="E11" s="22"/>
      <c r="F11" s="48">
        <v>324000</v>
      </c>
      <c r="G11" s="22"/>
      <c r="H11" s="12">
        <f t="shared" si="0"/>
        <v>43887</v>
      </c>
    </row>
    <row r="12" spans="2:11" x14ac:dyDescent="0.3">
      <c r="B12" s="6" t="s">
        <v>26</v>
      </c>
      <c r="C12" s="22"/>
      <c r="D12" s="22">
        <v>423000</v>
      </c>
      <c r="E12" s="22"/>
      <c r="F12" s="22"/>
      <c r="G12" s="22"/>
      <c r="H12" s="12">
        <f t="shared" si="0"/>
        <v>43887</v>
      </c>
    </row>
    <row r="13" spans="2:11" x14ac:dyDescent="0.3">
      <c r="B13" s="6" t="s">
        <v>22</v>
      </c>
      <c r="C13" s="23"/>
      <c r="D13" s="23"/>
      <c r="E13" s="23"/>
      <c r="F13" s="22"/>
      <c r="G13" s="23"/>
      <c r="H13" s="12">
        <f t="shared" si="0"/>
        <v>43887</v>
      </c>
      <c r="K13" s="4"/>
    </row>
    <row r="14" spans="2:11" x14ac:dyDescent="0.3">
      <c r="B14" s="6" t="s">
        <v>19</v>
      </c>
      <c r="C14" s="22"/>
      <c r="D14" s="22"/>
      <c r="E14" s="22"/>
      <c r="F14" s="22"/>
      <c r="G14" s="22"/>
      <c r="H14" s="12">
        <f t="shared" si="0"/>
        <v>43887</v>
      </c>
    </row>
    <row r="15" spans="2:11" x14ac:dyDescent="0.3">
      <c r="B15" s="6" t="s">
        <v>14</v>
      </c>
      <c r="C15" s="22"/>
      <c r="D15" s="22"/>
      <c r="E15" s="22"/>
      <c r="F15" s="22"/>
      <c r="G15" s="22"/>
      <c r="H15" s="12">
        <f t="shared" si="0"/>
        <v>43887</v>
      </c>
    </row>
    <row r="16" spans="2:11" x14ac:dyDescent="0.3">
      <c r="B16" s="6" t="s">
        <v>24</v>
      </c>
      <c r="C16" s="22"/>
      <c r="D16" s="22"/>
      <c r="E16" s="22"/>
      <c r="F16" s="49"/>
      <c r="G16" s="22"/>
      <c r="H16" s="12">
        <f t="shared" si="0"/>
        <v>43887</v>
      </c>
    </row>
    <row r="17" spans="1:8" x14ac:dyDescent="0.3">
      <c r="B17" s="6" t="s">
        <v>21</v>
      </c>
      <c r="C17" s="22"/>
      <c r="D17" s="22"/>
      <c r="E17" s="22"/>
      <c r="F17" s="22"/>
      <c r="G17" s="22"/>
      <c r="H17" s="12">
        <f t="shared" si="0"/>
        <v>43887</v>
      </c>
    </row>
    <row r="18" spans="1:8" x14ac:dyDescent="0.3">
      <c r="B18" s="6" t="s">
        <v>18</v>
      </c>
      <c r="C18" s="22"/>
      <c r="D18" s="22"/>
      <c r="E18" s="22"/>
      <c r="F18" s="22"/>
      <c r="G18" s="22"/>
      <c r="H18" s="12">
        <f t="shared" si="0"/>
        <v>43887</v>
      </c>
    </row>
    <row r="19" spans="1:8" x14ac:dyDescent="0.3">
      <c r="B19" s="6" t="s">
        <v>16</v>
      </c>
      <c r="C19" s="22"/>
      <c r="D19" s="22"/>
      <c r="E19" s="22"/>
      <c r="F19" s="22"/>
      <c r="G19" s="22"/>
      <c r="H19" s="12">
        <f t="shared" si="0"/>
        <v>43887</v>
      </c>
    </row>
    <row r="20" spans="1:8" x14ac:dyDescent="0.3">
      <c r="B20" s="50" t="s">
        <v>27</v>
      </c>
      <c r="C20" s="51">
        <f>SUM(Feb26_2020[KSI_AGO])</f>
        <v>1754500</v>
      </c>
      <c r="D20" s="51">
        <f>SUM(Feb26_2020[KSI_PMS])</f>
        <v>585000</v>
      </c>
      <c r="E20" s="51">
        <f>SUM(Feb26_2020[BUIPE_AGO])</f>
        <v>648000</v>
      </c>
      <c r="F20" s="51">
        <f>SUM(Feb26_2020[BUIPE_PMS])</f>
        <v>513500</v>
      </c>
      <c r="G20" s="51">
        <f>SUM(Feb26_2020[AKOSOMBO_AGO])</f>
        <v>0</v>
      </c>
      <c r="H20" s="52"/>
    </row>
    <row r="21" spans="1:8" x14ac:dyDescent="0.3">
      <c r="B21" s="8"/>
      <c r="C21" s="24"/>
      <c r="D21" s="24"/>
      <c r="E21" s="24"/>
      <c r="F21" s="24"/>
      <c r="G21" s="24"/>
      <c r="H21"/>
    </row>
    <row r="22" spans="1:8" x14ac:dyDescent="0.3">
      <c r="B22" s="1" t="s">
        <v>6</v>
      </c>
      <c r="C22" s="1" t="s">
        <v>4</v>
      </c>
      <c r="D22" s="5">
        <f>SUMIF(Feb26_2020[[#Headers],[KSI_AGO]:[AKOSOMBO_AGO]],"*"&amp;C22,Feb26_2020[[#Totals],[KSI_AGO]:[AKOSOMBO_AGO]])</f>
        <v>2402500</v>
      </c>
      <c r="E22" s="1" t="s">
        <v>5</v>
      </c>
      <c r="F22" s="5">
        <f>SUMIF(Feb26_2020[[#Headers],[KSI_AGO]:[AKOSOMBO_AGO]],"*"&amp;E22,Feb26_2020[[#Totals],[KSI_AGO]:[AKOSOMBO_AGO]])</f>
        <v>1098500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5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pageSetUpPr fitToPage="1"/>
  </sheetPr>
  <dimension ref="A1:K32"/>
  <sheetViews>
    <sheetView zoomScaleNormal="100" workbookViewId="0">
      <pane xSplit="1" ySplit="5" topLeftCell="C6" activePane="bottomRight" state="frozen"/>
      <selection activeCell="C27" sqref="C27"/>
      <selection pane="topRight" activeCell="C27" sqref="C27"/>
      <selection pane="bottomLeft" activeCell="C27" sqref="C27"/>
      <selection pane="bottomRight" activeCell="C10" sqref="C10"/>
    </sheetView>
  </sheetViews>
  <sheetFormatPr defaultColWidth="14" defaultRowHeight="14.4" x14ac:dyDescent="0.3"/>
  <cols>
    <col min="1" max="1" width="5.5546875" style="1" customWidth="1"/>
    <col min="2" max="2" width="26.109375" style="1" customWidth="1"/>
    <col min="3" max="3" width="17.5546875" style="1" customWidth="1"/>
    <col min="4" max="4" width="18.33203125" style="1" customWidth="1"/>
    <col min="5" max="5" width="17.33203125" style="1" customWidth="1"/>
    <col min="6" max="6" width="19.5546875" style="1" customWidth="1"/>
    <col min="7" max="7" width="33.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43888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43888</v>
      </c>
    </row>
    <row r="7" spans="2:11" x14ac:dyDescent="0.3">
      <c r="B7" s="6" t="s">
        <v>37</v>
      </c>
      <c r="C7" s="22"/>
      <c r="D7" s="22"/>
      <c r="E7" s="22"/>
      <c r="F7" s="22"/>
      <c r="G7" s="22"/>
      <c r="H7" s="67">
        <f>$G$3</f>
        <v>43888</v>
      </c>
    </row>
    <row r="8" spans="2:11" x14ac:dyDescent="0.3">
      <c r="B8" s="6" t="s">
        <v>17</v>
      </c>
      <c r="C8" s="22">
        <v>1265000</v>
      </c>
      <c r="D8" s="22"/>
      <c r="E8" s="22">
        <v>636000</v>
      </c>
      <c r="F8" s="22"/>
      <c r="G8" s="22"/>
      <c r="H8" s="12">
        <f t="shared" si="0"/>
        <v>43888</v>
      </c>
    </row>
    <row r="9" spans="2:11" ht="15.6" x14ac:dyDescent="0.3">
      <c r="B9" s="34" t="s">
        <v>0</v>
      </c>
      <c r="C9" s="60"/>
      <c r="D9" s="60"/>
      <c r="E9" s="60"/>
      <c r="F9" s="60"/>
      <c r="G9" s="61"/>
      <c r="H9" s="12">
        <f t="shared" si="0"/>
        <v>43888</v>
      </c>
    </row>
    <row r="10" spans="2:11" x14ac:dyDescent="0.3">
      <c r="B10" s="6" t="s">
        <v>25</v>
      </c>
      <c r="C10" s="22"/>
      <c r="D10" s="22"/>
      <c r="E10" s="22"/>
      <c r="F10" s="22"/>
      <c r="G10" s="22"/>
      <c r="H10" s="12">
        <f t="shared" si="0"/>
        <v>43888</v>
      </c>
    </row>
    <row r="11" spans="2:11" x14ac:dyDescent="0.3">
      <c r="B11" s="6" t="s">
        <v>15</v>
      </c>
      <c r="C11" s="22"/>
      <c r="D11" s="22">
        <v>664000</v>
      </c>
      <c r="E11" s="22"/>
      <c r="F11" s="48">
        <v>311500</v>
      </c>
      <c r="G11" s="22"/>
      <c r="H11" s="12">
        <f t="shared" si="0"/>
        <v>43888</v>
      </c>
    </row>
    <row r="12" spans="2:11" x14ac:dyDescent="0.3">
      <c r="B12" s="6" t="s">
        <v>26</v>
      </c>
      <c r="C12" s="22"/>
      <c r="D12" s="22">
        <v>639500</v>
      </c>
      <c r="E12" s="22"/>
      <c r="F12" s="22"/>
      <c r="G12" s="22"/>
      <c r="H12" s="12">
        <f t="shared" si="0"/>
        <v>43888</v>
      </c>
    </row>
    <row r="13" spans="2:11" x14ac:dyDescent="0.3">
      <c r="B13" s="6" t="s">
        <v>22</v>
      </c>
      <c r="C13" s="23"/>
      <c r="D13" s="23"/>
      <c r="E13" s="23"/>
      <c r="F13" s="22"/>
      <c r="G13" s="23"/>
      <c r="H13" s="12">
        <f t="shared" si="0"/>
        <v>43888</v>
      </c>
      <c r="K13" s="4"/>
    </row>
    <row r="14" spans="2:11" x14ac:dyDescent="0.3">
      <c r="B14" s="6" t="s">
        <v>19</v>
      </c>
      <c r="C14" s="22"/>
      <c r="D14" s="22"/>
      <c r="E14" s="22"/>
      <c r="F14" s="22"/>
      <c r="G14" s="22"/>
      <c r="H14" s="12">
        <f t="shared" si="0"/>
        <v>43888</v>
      </c>
    </row>
    <row r="15" spans="2:11" x14ac:dyDescent="0.3">
      <c r="B15" s="6" t="s">
        <v>14</v>
      </c>
      <c r="C15" s="22">
        <v>851000</v>
      </c>
      <c r="D15" s="22"/>
      <c r="E15" s="22">
        <v>212000</v>
      </c>
      <c r="F15" s="22"/>
      <c r="G15" s="22"/>
      <c r="H15" s="12">
        <f t="shared" si="0"/>
        <v>43888</v>
      </c>
    </row>
    <row r="16" spans="2:11" x14ac:dyDescent="0.3">
      <c r="B16" s="6" t="s">
        <v>24</v>
      </c>
      <c r="C16" s="22"/>
      <c r="D16" s="22"/>
      <c r="E16" s="22"/>
      <c r="F16" s="49"/>
      <c r="G16" s="22"/>
      <c r="H16" s="12">
        <f t="shared" si="0"/>
        <v>43888</v>
      </c>
    </row>
    <row r="17" spans="1:8" x14ac:dyDescent="0.3">
      <c r="B17" s="6" t="s">
        <v>21</v>
      </c>
      <c r="C17" s="22"/>
      <c r="D17" s="22"/>
      <c r="E17" s="22"/>
      <c r="F17" s="22"/>
      <c r="G17" s="22"/>
      <c r="H17" s="12">
        <f t="shared" si="0"/>
        <v>43888</v>
      </c>
    </row>
    <row r="18" spans="1:8" x14ac:dyDescent="0.3">
      <c r="B18" s="6" t="s">
        <v>18</v>
      </c>
      <c r="C18" s="22"/>
      <c r="D18" s="22">
        <v>424000</v>
      </c>
      <c r="E18" s="22"/>
      <c r="F18" s="22"/>
      <c r="G18" s="22"/>
      <c r="H18" s="12">
        <f t="shared" si="0"/>
        <v>43888</v>
      </c>
    </row>
    <row r="19" spans="1:8" x14ac:dyDescent="0.3">
      <c r="B19" s="6" t="s">
        <v>16</v>
      </c>
      <c r="C19" s="22"/>
      <c r="D19" s="22"/>
      <c r="E19" s="22"/>
      <c r="F19" s="22"/>
      <c r="G19" s="22"/>
      <c r="H19" s="12">
        <f t="shared" si="0"/>
        <v>43888</v>
      </c>
    </row>
    <row r="20" spans="1:8" x14ac:dyDescent="0.3">
      <c r="B20" s="50" t="s">
        <v>27</v>
      </c>
      <c r="C20" s="51">
        <f>SUM(Feb27_2020[KSI_AGO])</f>
        <v>2116000</v>
      </c>
      <c r="D20" s="51">
        <f>SUM(Feb27_2020[KSI_PMS])</f>
        <v>1727500</v>
      </c>
      <c r="E20" s="51">
        <f>SUM(Feb27_2020[BUIPE_AGO])</f>
        <v>848000</v>
      </c>
      <c r="F20" s="51">
        <f>SUM(Feb27_2020[BUIPE_PMS])</f>
        <v>311500</v>
      </c>
      <c r="G20" s="51">
        <f>SUM(Feb27_2020[AKOSOMBO_AGO])</f>
        <v>0</v>
      </c>
      <c r="H20" s="52"/>
    </row>
    <row r="21" spans="1:8" x14ac:dyDescent="0.3">
      <c r="B21" s="8"/>
      <c r="C21" s="24"/>
      <c r="D21" s="24"/>
      <c r="E21" s="24"/>
      <c r="F21" s="24"/>
      <c r="G21" s="24"/>
      <c r="H21"/>
    </row>
    <row r="22" spans="1:8" x14ac:dyDescent="0.3">
      <c r="B22" s="1" t="s">
        <v>6</v>
      </c>
      <c r="C22" s="1" t="s">
        <v>4</v>
      </c>
      <c r="D22" s="5">
        <f>SUMIF(Feb27_2020[[#Headers],[KSI_AGO]:[AKOSOMBO_AGO]],"*"&amp;C22,Feb27_2020[[#Totals],[KSI_AGO]:[AKOSOMBO_AGO]])</f>
        <v>2964000</v>
      </c>
      <c r="E22" s="1" t="s">
        <v>5</v>
      </c>
      <c r="F22" s="5">
        <f>SUMIF(Feb27_2020[[#Headers],[KSI_AGO]:[AKOSOMBO_AGO]],"*"&amp;E22,Feb27_2020[[#Totals],[KSI_AGO]:[AKOSOMBO_AGO]])</f>
        <v>2039000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6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pageSetUpPr fitToPage="1"/>
  </sheetPr>
  <dimension ref="A1:K32"/>
  <sheetViews>
    <sheetView zoomScaleNormal="100" workbookViewId="0">
      <pane xSplit="1" ySplit="5" topLeftCell="D6" activePane="bottomRight" state="frozen"/>
      <selection activeCell="C27" sqref="C27"/>
      <selection pane="topRight" activeCell="C27" sqref="C27"/>
      <selection pane="bottomLeft" activeCell="C27" sqref="C27"/>
      <selection pane="bottomRight" activeCell="E8" sqref="E8"/>
    </sheetView>
  </sheetViews>
  <sheetFormatPr defaultColWidth="14" defaultRowHeight="14.4" x14ac:dyDescent="0.3"/>
  <cols>
    <col min="1" max="1" width="4.33203125" style="1" customWidth="1"/>
    <col min="2" max="2" width="26.6640625" style="1" customWidth="1"/>
    <col min="3" max="3" width="15.5546875" style="1" customWidth="1"/>
    <col min="4" max="4" width="15" style="1" customWidth="1"/>
    <col min="5" max="5" width="17.6640625" style="1" customWidth="1"/>
    <col min="6" max="6" width="19.109375" style="1" customWidth="1"/>
    <col min="7" max="7" width="29.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43889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50000</v>
      </c>
      <c r="E6" s="45"/>
      <c r="F6" s="45"/>
      <c r="G6" s="45"/>
      <c r="H6" s="12">
        <f t="shared" ref="H6:H19" si="0">$G$3</f>
        <v>43889</v>
      </c>
    </row>
    <row r="7" spans="2:11" x14ac:dyDescent="0.3">
      <c r="B7" s="6" t="s">
        <v>37</v>
      </c>
      <c r="C7" s="22"/>
      <c r="D7" s="22"/>
      <c r="E7" s="22"/>
      <c r="F7" s="22"/>
      <c r="G7" s="22"/>
      <c r="H7" s="67">
        <f>$G$3</f>
        <v>43889</v>
      </c>
    </row>
    <row r="8" spans="2:11" x14ac:dyDescent="0.3">
      <c r="B8" s="6" t="s">
        <v>17</v>
      </c>
      <c r="C8" s="22">
        <v>953000</v>
      </c>
      <c r="D8" s="22"/>
      <c r="E8" s="22">
        <v>528000</v>
      </c>
      <c r="F8" s="22"/>
      <c r="G8" s="22"/>
      <c r="H8" s="12">
        <f t="shared" si="0"/>
        <v>43889</v>
      </c>
    </row>
    <row r="9" spans="2:11" ht="15.6" x14ac:dyDescent="0.3">
      <c r="B9" s="34" t="s">
        <v>0</v>
      </c>
      <c r="C9" s="60"/>
      <c r="D9" s="60"/>
      <c r="E9" s="60"/>
      <c r="F9" s="60"/>
      <c r="G9" s="61"/>
      <c r="H9" s="12">
        <f t="shared" si="0"/>
        <v>43889</v>
      </c>
    </row>
    <row r="10" spans="2:11" x14ac:dyDescent="0.3">
      <c r="B10" s="6" t="s">
        <v>25</v>
      </c>
      <c r="C10" s="22"/>
      <c r="D10" s="22"/>
      <c r="E10" s="22"/>
      <c r="F10" s="22">
        <v>478000</v>
      </c>
      <c r="G10" s="22"/>
      <c r="H10" s="12">
        <f t="shared" si="0"/>
        <v>43889</v>
      </c>
    </row>
    <row r="11" spans="2:11" x14ac:dyDescent="0.3">
      <c r="B11" s="6" t="s">
        <v>15</v>
      </c>
      <c r="C11" s="22"/>
      <c r="D11" s="22">
        <v>968000</v>
      </c>
      <c r="E11" s="22"/>
      <c r="F11" s="48">
        <v>150000</v>
      </c>
      <c r="G11" s="22"/>
      <c r="H11" s="12">
        <f t="shared" si="0"/>
        <v>43889</v>
      </c>
    </row>
    <row r="12" spans="2:11" x14ac:dyDescent="0.3">
      <c r="B12" s="6" t="s">
        <v>26</v>
      </c>
      <c r="C12" s="22"/>
      <c r="D12" s="22">
        <v>108000</v>
      </c>
      <c r="E12" s="22"/>
      <c r="F12" s="22"/>
      <c r="G12" s="22"/>
      <c r="H12" s="12">
        <f t="shared" si="0"/>
        <v>43889</v>
      </c>
    </row>
    <row r="13" spans="2:11" x14ac:dyDescent="0.3">
      <c r="B13" s="6" t="s">
        <v>22</v>
      </c>
      <c r="C13" s="23"/>
      <c r="D13" s="23"/>
      <c r="E13" s="23"/>
      <c r="F13" s="22"/>
      <c r="G13" s="23"/>
      <c r="H13" s="12">
        <f t="shared" si="0"/>
        <v>43889</v>
      </c>
      <c r="K13" s="4"/>
    </row>
    <row r="14" spans="2:11" x14ac:dyDescent="0.3">
      <c r="B14" s="6" t="s">
        <v>19</v>
      </c>
      <c r="C14" s="22"/>
      <c r="D14" s="22"/>
      <c r="E14" s="22"/>
      <c r="F14" s="22"/>
      <c r="G14" s="22"/>
      <c r="H14" s="12">
        <f t="shared" si="0"/>
        <v>43889</v>
      </c>
    </row>
    <row r="15" spans="2:11" x14ac:dyDescent="0.3">
      <c r="B15" s="6" t="s">
        <v>14</v>
      </c>
      <c r="C15" s="22">
        <v>1330000</v>
      </c>
      <c r="D15" s="22"/>
      <c r="E15" s="22">
        <v>158000</v>
      </c>
      <c r="F15" s="22"/>
      <c r="G15" s="22"/>
      <c r="H15" s="12">
        <f t="shared" si="0"/>
        <v>43889</v>
      </c>
    </row>
    <row r="16" spans="2:11" x14ac:dyDescent="0.3">
      <c r="B16" s="6" t="s">
        <v>24</v>
      </c>
      <c r="C16" s="22"/>
      <c r="D16" s="22"/>
      <c r="E16" s="22"/>
      <c r="F16" s="49"/>
      <c r="G16" s="22"/>
      <c r="H16" s="12">
        <f t="shared" si="0"/>
        <v>43889</v>
      </c>
    </row>
    <row r="17" spans="1:8" x14ac:dyDescent="0.3">
      <c r="B17" s="6" t="s">
        <v>21</v>
      </c>
      <c r="C17" s="22"/>
      <c r="D17" s="22"/>
      <c r="E17" s="22"/>
      <c r="F17" s="22"/>
      <c r="G17" s="22"/>
      <c r="H17" s="12">
        <f t="shared" si="0"/>
        <v>43889</v>
      </c>
    </row>
    <row r="18" spans="1:8" x14ac:dyDescent="0.3">
      <c r="B18" s="6" t="s">
        <v>18</v>
      </c>
      <c r="C18" s="22"/>
      <c r="D18" s="22">
        <v>108000</v>
      </c>
      <c r="E18" s="22"/>
      <c r="F18" s="22"/>
      <c r="G18" s="22"/>
      <c r="H18" s="12">
        <f t="shared" si="0"/>
        <v>43889</v>
      </c>
    </row>
    <row r="19" spans="1:8" x14ac:dyDescent="0.3">
      <c r="B19" s="6" t="s">
        <v>16</v>
      </c>
      <c r="C19" s="22"/>
      <c r="D19" s="22"/>
      <c r="E19" s="22"/>
      <c r="F19" s="22"/>
      <c r="G19" s="22"/>
      <c r="H19" s="12">
        <f t="shared" si="0"/>
        <v>43889</v>
      </c>
    </row>
    <row r="20" spans="1:8" x14ac:dyDescent="0.3">
      <c r="B20" s="50" t="s">
        <v>27</v>
      </c>
      <c r="C20" s="51">
        <f>SUM(Feb28_2020[KSI_AGO])</f>
        <v>2283000</v>
      </c>
      <c r="D20" s="51">
        <f>SUM(Feb28_2020[KSI_PMS])</f>
        <v>1234000</v>
      </c>
      <c r="E20" s="51">
        <f>SUM(Feb28_2020[BUIPE_AGO])</f>
        <v>686000</v>
      </c>
      <c r="F20" s="51">
        <f>SUM(Feb28_2020[BUIPE_PMS])</f>
        <v>628000</v>
      </c>
      <c r="G20" s="51">
        <f>SUM(Feb28_2020[AKOSOMBO_AGO])</f>
        <v>0</v>
      </c>
      <c r="H20" s="52"/>
    </row>
    <row r="21" spans="1:8" x14ac:dyDescent="0.3">
      <c r="B21" s="8"/>
      <c r="C21" s="24"/>
      <c r="D21" s="24"/>
      <c r="E21" s="24"/>
      <c r="F21" s="24"/>
      <c r="G21" s="24"/>
      <c r="H21"/>
    </row>
    <row r="22" spans="1:8" x14ac:dyDescent="0.3">
      <c r="B22" s="1" t="s">
        <v>6</v>
      </c>
      <c r="C22" s="1" t="s">
        <v>4</v>
      </c>
      <c r="D22" s="5">
        <f>SUMIF(Feb28_2020[[#Headers],[KSI_AGO]:[AKOSOMBO_AGO]],"*"&amp;C22,Feb28_2020[[#Totals],[KSI_AGO]:[AKOSOMBO_AGO]])</f>
        <v>2969000</v>
      </c>
      <c r="E22" s="1" t="s">
        <v>5</v>
      </c>
      <c r="F22" s="5">
        <f>SUMIF(Feb28_2020[[#Headers],[KSI_AGO]:[AKOSOMBO_AGO]],"*"&amp;E22,Feb28_2020[[#Totals],[KSI_AGO]:[AKOSOMBO_AGO]])</f>
        <v>1862000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7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pageSetUpPr fitToPage="1"/>
  </sheetPr>
  <dimension ref="A1:K32"/>
  <sheetViews>
    <sheetView zoomScaleNormal="100" workbookViewId="0">
      <pane xSplit="1" ySplit="5" topLeftCell="D6" activePane="bottomRight" state="frozen"/>
      <selection activeCell="C27" sqref="C27"/>
      <selection pane="topRight" activeCell="C27" sqref="C27"/>
      <selection pane="bottomLeft" activeCell="C27" sqref="C27"/>
      <selection pane="bottomRight" activeCell="G10" sqref="G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43892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43892</v>
      </c>
    </row>
    <row r="7" spans="2:11" x14ac:dyDescent="0.3">
      <c r="B7" s="6" t="s">
        <v>37</v>
      </c>
      <c r="C7" s="22"/>
      <c r="D7" s="22"/>
      <c r="E7" s="22"/>
      <c r="F7" s="22"/>
      <c r="G7" s="22"/>
      <c r="H7" s="67">
        <f>$G$3</f>
        <v>43892</v>
      </c>
    </row>
    <row r="8" spans="2:11" x14ac:dyDescent="0.3">
      <c r="B8" s="6" t="s">
        <v>17</v>
      </c>
      <c r="C8" s="22"/>
      <c r="D8" s="22">
        <v>162000</v>
      </c>
      <c r="E8" s="22"/>
      <c r="F8" s="22"/>
      <c r="G8" s="22"/>
      <c r="H8" s="12">
        <f t="shared" si="0"/>
        <v>43892</v>
      </c>
    </row>
    <row r="9" spans="2:11" ht="15.6" x14ac:dyDescent="0.3">
      <c r="B9" s="34" t="s">
        <v>0</v>
      </c>
      <c r="C9" s="60"/>
      <c r="D9" s="60"/>
      <c r="E9" s="60"/>
      <c r="F9" s="60"/>
      <c r="G9" s="61"/>
      <c r="H9" s="12">
        <f t="shared" si="0"/>
        <v>43892</v>
      </c>
    </row>
    <row r="10" spans="2:11" x14ac:dyDescent="0.3">
      <c r="B10" s="6" t="s">
        <v>25</v>
      </c>
      <c r="C10" s="22"/>
      <c r="D10" s="22"/>
      <c r="E10" s="22"/>
      <c r="F10" s="22"/>
      <c r="G10" s="22"/>
      <c r="H10" s="12">
        <f t="shared" si="0"/>
        <v>43892</v>
      </c>
    </row>
    <row r="11" spans="2:11" x14ac:dyDescent="0.3">
      <c r="B11" s="6" t="s">
        <v>15</v>
      </c>
      <c r="C11" s="22"/>
      <c r="D11" s="22"/>
      <c r="E11" s="22"/>
      <c r="F11" s="48"/>
      <c r="G11" s="22"/>
      <c r="H11" s="12">
        <f t="shared" si="0"/>
        <v>43892</v>
      </c>
    </row>
    <row r="12" spans="2:11" x14ac:dyDescent="0.3">
      <c r="B12" s="6" t="s">
        <v>26</v>
      </c>
      <c r="C12" s="22"/>
      <c r="D12" s="22"/>
      <c r="E12" s="22"/>
      <c r="F12" s="22"/>
      <c r="G12" s="22"/>
      <c r="H12" s="12">
        <f t="shared" si="0"/>
        <v>43892</v>
      </c>
    </row>
    <row r="13" spans="2:11" x14ac:dyDescent="0.3">
      <c r="B13" s="6" t="s">
        <v>22</v>
      </c>
      <c r="C13" s="23"/>
      <c r="D13" s="23"/>
      <c r="E13" s="23"/>
      <c r="F13" s="22"/>
      <c r="G13" s="23"/>
      <c r="H13" s="12">
        <f t="shared" si="0"/>
        <v>43892</v>
      </c>
      <c r="K13" s="4"/>
    </row>
    <row r="14" spans="2:11" x14ac:dyDescent="0.3">
      <c r="B14" s="6" t="s">
        <v>19</v>
      </c>
      <c r="C14" s="22">
        <v>731500</v>
      </c>
      <c r="D14" s="22"/>
      <c r="E14" s="22">
        <v>270000</v>
      </c>
      <c r="F14" s="22"/>
      <c r="G14" s="22"/>
      <c r="H14" s="12">
        <f t="shared" si="0"/>
        <v>43892</v>
      </c>
    </row>
    <row r="15" spans="2:11" x14ac:dyDescent="0.3">
      <c r="B15" s="6" t="s">
        <v>14</v>
      </c>
      <c r="C15" s="22"/>
      <c r="D15" s="22"/>
      <c r="E15" s="22"/>
      <c r="F15" s="22"/>
      <c r="G15" s="22"/>
      <c r="H15" s="12">
        <f t="shared" si="0"/>
        <v>43892</v>
      </c>
    </row>
    <row r="16" spans="2:11" x14ac:dyDescent="0.3">
      <c r="B16" s="6" t="s">
        <v>24</v>
      </c>
      <c r="C16" s="22"/>
      <c r="D16" s="22"/>
      <c r="E16" s="22"/>
      <c r="F16" s="49"/>
      <c r="G16" s="22"/>
      <c r="H16" s="12">
        <f t="shared" si="0"/>
        <v>43892</v>
      </c>
    </row>
    <row r="17" spans="1:8" x14ac:dyDescent="0.3">
      <c r="B17" s="6" t="s">
        <v>21</v>
      </c>
      <c r="C17" s="22"/>
      <c r="D17" s="22"/>
      <c r="E17" s="22"/>
      <c r="F17" s="22"/>
      <c r="G17" s="22"/>
      <c r="H17" s="12">
        <f t="shared" si="0"/>
        <v>43892</v>
      </c>
    </row>
    <row r="18" spans="1:8" x14ac:dyDescent="0.3">
      <c r="B18" s="6" t="s">
        <v>18</v>
      </c>
      <c r="C18" s="22"/>
      <c r="D18" s="22"/>
      <c r="E18" s="22"/>
      <c r="F18" s="22"/>
      <c r="G18" s="22"/>
      <c r="H18" s="12">
        <f t="shared" si="0"/>
        <v>43892</v>
      </c>
    </row>
    <row r="19" spans="1:8" x14ac:dyDescent="0.3">
      <c r="B19" s="6" t="s">
        <v>16</v>
      </c>
      <c r="C19" s="22">
        <v>162000</v>
      </c>
      <c r="D19" s="22">
        <v>108000</v>
      </c>
      <c r="E19" s="22">
        <v>216000</v>
      </c>
      <c r="F19" s="22"/>
      <c r="G19" s="22"/>
      <c r="H19" s="12">
        <f t="shared" si="0"/>
        <v>43892</v>
      </c>
    </row>
    <row r="20" spans="1:8" x14ac:dyDescent="0.3">
      <c r="B20" s="50" t="s">
        <v>27</v>
      </c>
      <c r="C20" s="51">
        <f>SUM(March02_2020[KSI_AGO])</f>
        <v>893500</v>
      </c>
      <c r="D20" s="51">
        <f>SUM(March02_2020[KSI_PMS])</f>
        <v>270000</v>
      </c>
      <c r="E20" s="51">
        <f>SUM(March02_2020[BUIPE_AGO])</f>
        <v>486000</v>
      </c>
      <c r="F20" s="51">
        <f>SUM(March02_2020[BUIPE_PMS])</f>
        <v>0</v>
      </c>
      <c r="G20" s="51">
        <f>SUM(March02_2020[AKOSOMBO_AGO])</f>
        <v>0</v>
      </c>
      <c r="H20" s="52"/>
    </row>
    <row r="21" spans="1:8" x14ac:dyDescent="0.3">
      <c r="B21" s="8"/>
      <c r="C21" s="24"/>
      <c r="D21" s="24"/>
      <c r="E21" s="24"/>
      <c r="F21" s="24"/>
      <c r="G21" s="24"/>
      <c r="H21"/>
    </row>
    <row r="22" spans="1:8" x14ac:dyDescent="0.3">
      <c r="B22" s="1" t="s">
        <v>6</v>
      </c>
      <c r="C22" s="1" t="s">
        <v>4</v>
      </c>
      <c r="D22" s="5">
        <f>March02_2020[[#Totals],[KSI_AGO]]+March02_2020[[#Totals],[BUIPE_AGO]]+March02_2020[[#Totals],[AKOSOMBO_AGO]]</f>
        <v>1379500</v>
      </c>
      <c r="E22" s="1" t="s">
        <v>5</v>
      </c>
      <c r="F22" s="5">
        <f>SUMIF(March02_2020[[#Headers],[KSI_AGO]:[AKOSOMBO_AGO]],"*"&amp;E22,March02_2020[[#Totals],[KSI_AGO]:[AKOSOMBO_AGO]])</f>
        <v>270000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8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pageSetUpPr fitToPage="1"/>
  </sheetPr>
  <dimension ref="A1:K32"/>
  <sheetViews>
    <sheetView zoomScaleNormal="100" workbookViewId="0">
      <pane xSplit="1" ySplit="5" topLeftCell="B6" activePane="bottomRight" state="frozen"/>
      <selection activeCell="C27" sqref="C27"/>
      <selection pane="topRight" activeCell="C27" sqref="C27"/>
      <selection pane="bottomLeft" activeCell="C27" sqref="C27"/>
      <selection pane="bottomRight" activeCell="E14" sqref="E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43893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43893</v>
      </c>
    </row>
    <row r="7" spans="2:11" x14ac:dyDescent="0.3">
      <c r="B7" s="6" t="s">
        <v>37</v>
      </c>
      <c r="C7" s="22"/>
      <c r="D7" s="22"/>
      <c r="E7" s="22"/>
      <c r="F7" s="22"/>
      <c r="G7" s="22"/>
      <c r="H7" s="67">
        <f>$G$3</f>
        <v>43893</v>
      </c>
    </row>
    <row r="8" spans="2:11" x14ac:dyDescent="0.3">
      <c r="B8" s="6" t="s">
        <v>17</v>
      </c>
      <c r="C8" s="22">
        <v>54000</v>
      </c>
      <c r="D8" s="22">
        <v>914000</v>
      </c>
      <c r="E8" s="22"/>
      <c r="F8" s="22"/>
      <c r="G8" s="22"/>
      <c r="H8" s="12">
        <f t="shared" si="0"/>
        <v>43893</v>
      </c>
    </row>
    <row r="9" spans="2:11" ht="15.6" x14ac:dyDescent="0.3">
      <c r="B9" s="34" t="s">
        <v>0</v>
      </c>
      <c r="C9" s="60"/>
      <c r="D9" s="60"/>
      <c r="E9" s="60"/>
      <c r="F9" s="60"/>
      <c r="G9" s="61"/>
      <c r="H9" s="12">
        <f t="shared" si="0"/>
        <v>43893</v>
      </c>
    </row>
    <row r="10" spans="2:11" x14ac:dyDescent="0.3">
      <c r="B10" s="6" t="s">
        <v>25</v>
      </c>
      <c r="C10" s="22"/>
      <c r="D10" s="22"/>
      <c r="E10" s="22"/>
      <c r="F10" s="22"/>
      <c r="G10" s="22"/>
      <c r="H10" s="12">
        <f t="shared" si="0"/>
        <v>43893</v>
      </c>
    </row>
    <row r="11" spans="2:11" x14ac:dyDescent="0.3">
      <c r="B11" s="6" t="s">
        <v>15</v>
      </c>
      <c r="C11" s="22"/>
      <c r="D11" s="22"/>
      <c r="E11" s="22"/>
      <c r="F11" s="48"/>
      <c r="G11" s="22"/>
      <c r="H11" s="12">
        <f t="shared" si="0"/>
        <v>43893</v>
      </c>
    </row>
    <row r="12" spans="2:11" x14ac:dyDescent="0.3">
      <c r="B12" s="6" t="s">
        <v>26</v>
      </c>
      <c r="C12" s="22"/>
      <c r="D12" s="22"/>
      <c r="E12" s="22"/>
      <c r="F12" s="22"/>
      <c r="G12" s="22"/>
      <c r="H12" s="12">
        <f t="shared" si="0"/>
        <v>43893</v>
      </c>
    </row>
    <row r="13" spans="2:11" x14ac:dyDescent="0.3">
      <c r="B13" s="6" t="s">
        <v>22</v>
      </c>
      <c r="C13" s="23"/>
      <c r="D13" s="23"/>
      <c r="E13" s="23"/>
      <c r="F13" s="22"/>
      <c r="G13" s="23"/>
      <c r="H13" s="12">
        <f t="shared" si="0"/>
        <v>43893</v>
      </c>
      <c r="K13" s="4"/>
    </row>
    <row r="14" spans="2:11" x14ac:dyDescent="0.3">
      <c r="B14" s="6" t="s">
        <v>19</v>
      </c>
      <c r="C14" s="22">
        <v>403000</v>
      </c>
      <c r="D14" s="22"/>
      <c r="E14" s="22">
        <v>424000</v>
      </c>
      <c r="F14" s="22"/>
      <c r="G14" s="22"/>
      <c r="H14" s="12">
        <f t="shared" si="0"/>
        <v>43893</v>
      </c>
    </row>
    <row r="15" spans="2:11" x14ac:dyDescent="0.3">
      <c r="B15" s="6" t="s">
        <v>14</v>
      </c>
      <c r="C15" s="22">
        <v>478000</v>
      </c>
      <c r="D15" s="22"/>
      <c r="E15" s="22">
        <v>270000</v>
      </c>
      <c r="F15" s="22"/>
      <c r="G15" s="22"/>
      <c r="H15" s="12">
        <f t="shared" si="0"/>
        <v>43893</v>
      </c>
    </row>
    <row r="16" spans="2:11" x14ac:dyDescent="0.3">
      <c r="B16" s="6" t="s">
        <v>24</v>
      </c>
      <c r="C16" s="22"/>
      <c r="D16" s="22"/>
      <c r="E16" s="22"/>
      <c r="F16" s="49"/>
      <c r="G16" s="22"/>
      <c r="H16" s="12">
        <f t="shared" si="0"/>
        <v>43893</v>
      </c>
    </row>
    <row r="17" spans="1:8" x14ac:dyDescent="0.3">
      <c r="B17" s="6" t="s">
        <v>21</v>
      </c>
      <c r="C17" s="22"/>
      <c r="D17" s="22"/>
      <c r="E17" s="22"/>
      <c r="F17" s="22"/>
      <c r="G17" s="22"/>
      <c r="H17" s="12">
        <f t="shared" si="0"/>
        <v>43893</v>
      </c>
    </row>
    <row r="18" spans="1:8" x14ac:dyDescent="0.3">
      <c r="B18" s="6" t="s">
        <v>18</v>
      </c>
      <c r="C18" s="22"/>
      <c r="D18" s="22"/>
      <c r="E18" s="22"/>
      <c r="F18" s="22"/>
      <c r="G18" s="22"/>
      <c r="H18" s="12">
        <f t="shared" si="0"/>
        <v>43893</v>
      </c>
    </row>
    <row r="19" spans="1:8" x14ac:dyDescent="0.3">
      <c r="B19" s="6" t="s">
        <v>16</v>
      </c>
      <c r="C19" s="22">
        <v>347000</v>
      </c>
      <c r="D19" s="22"/>
      <c r="E19" s="22">
        <v>324000</v>
      </c>
      <c r="F19" s="22"/>
      <c r="G19" s="22"/>
      <c r="H19" s="12">
        <f t="shared" si="0"/>
        <v>43893</v>
      </c>
    </row>
    <row r="20" spans="1:8" x14ac:dyDescent="0.3">
      <c r="B20" s="50" t="s">
        <v>27</v>
      </c>
      <c r="C20" s="51">
        <f>SUM(March03_2020[KSI_AGO])</f>
        <v>1282000</v>
      </c>
      <c r="D20" s="51">
        <f>SUM(March03_2020[KSI_PMS])</f>
        <v>914000</v>
      </c>
      <c r="E20" s="51">
        <f>SUM(March03_2020[BUIPE_AGO])</f>
        <v>1018000</v>
      </c>
      <c r="F20" s="51">
        <f>SUM(March03_2020[BUIPE_PMS])</f>
        <v>0</v>
      </c>
      <c r="G20" s="51">
        <f>SUM(March03_2020[AKOSOMBO_AGO])</f>
        <v>0</v>
      </c>
      <c r="H20" s="52"/>
    </row>
    <row r="21" spans="1:8" x14ac:dyDescent="0.3">
      <c r="B21" s="8"/>
      <c r="C21" s="24"/>
      <c r="D21" s="24"/>
      <c r="E21" s="24"/>
      <c r="F21" s="24"/>
      <c r="G21" s="24"/>
      <c r="H21"/>
    </row>
    <row r="22" spans="1:8" x14ac:dyDescent="0.3">
      <c r="B22" s="1" t="s">
        <v>6</v>
      </c>
      <c r="C22" s="1" t="s">
        <v>4</v>
      </c>
      <c r="D22" s="5">
        <f>SUMIF(March03_2020[[#Headers],[KSI_AGO]:[AKOSOMBO_AGO]],"*"&amp;C22,March03_2020[[#Totals],[KSI_AGO]:[AKOSOMBO_AGO]])</f>
        <v>2300000</v>
      </c>
      <c r="E22" s="1" t="s">
        <v>5</v>
      </c>
      <c r="F22" s="5">
        <f>SUMIF(March03_2020[[#Headers],[KSI_AGO]:[AKOSOMBO_AGO]],"*"&amp;E22,March03_2020[[#Totals],[KSI_AGO]:[AKOSOMBO_AGO]])</f>
        <v>914000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9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pageSetUpPr fitToPage="1"/>
  </sheetPr>
  <dimension ref="A1:K32"/>
  <sheetViews>
    <sheetView zoomScale="90" zoomScaleNormal="90" workbookViewId="0">
      <pane xSplit="1" ySplit="5" topLeftCell="B6" activePane="bottomRight" state="frozen"/>
      <selection activeCell="C27" sqref="C27"/>
      <selection pane="topRight" activeCell="C27" sqref="C27"/>
      <selection pane="bottomLeft" activeCell="C27" sqref="C27"/>
      <selection pane="bottomRight" activeCell="B10" sqref="B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43894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43894</v>
      </c>
    </row>
    <row r="7" spans="2:11" x14ac:dyDescent="0.3">
      <c r="B7" s="6" t="s">
        <v>37</v>
      </c>
      <c r="C7" s="22"/>
      <c r="D7" s="22"/>
      <c r="E7" s="22"/>
      <c r="F7" s="22"/>
      <c r="G7" s="22"/>
      <c r="H7" s="67">
        <f>$G$3</f>
        <v>43894</v>
      </c>
    </row>
    <row r="8" spans="2:11" x14ac:dyDescent="0.3">
      <c r="B8" s="6" t="s">
        <v>17</v>
      </c>
      <c r="C8" s="22">
        <v>258000</v>
      </c>
      <c r="D8" s="22">
        <v>719000</v>
      </c>
      <c r="E8" s="22"/>
      <c r="F8" s="22"/>
      <c r="G8" s="22"/>
      <c r="H8" s="12">
        <f t="shared" si="0"/>
        <v>43894</v>
      </c>
    </row>
    <row r="9" spans="2:11" ht="15.6" x14ac:dyDescent="0.3">
      <c r="B9" s="34" t="s">
        <v>0</v>
      </c>
      <c r="C9" s="60"/>
      <c r="D9" s="60"/>
      <c r="E9" s="60"/>
      <c r="F9" s="60"/>
      <c r="G9" s="61"/>
      <c r="H9" s="12">
        <f t="shared" si="0"/>
        <v>43894</v>
      </c>
    </row>
    <row r="10" spans="2:11" x14ac:dyDescent="0.3">
      <c r="B10" s="6" t="s">
        <v>25</v>
      </c>
      <c r="C10" s="22">
        <v>266000</v>
      </c>
      <c r="D10" s="22">
        <v>819000</v>
      </c>
      <c r="E10" s="22">
        <v>108000</v>
      </c>
      <c r="F10" s="22"/>
      <c r="G10" s="22"/>
      <c r="H10" s="12">
        <f t="shared" si="0"/>
        <v>43894</v>
      </c>
    </row>
    <row r="11" spans="2:11" x14ac:dyDescent="0.3">
      <c r="B11" s="6" t="s">
        <v>15</v>
      </c>
      <c r="C11" s="22"/>
      <c r="D11" s="22"/>
      <c r="E11" s="22"/>
      <c r="F11" s="48"/>
      <c r="G11" s="22"/>
      <c r="H11" s="12">
        <f t="shared" si="0"/>
        <v>43894</v>
      </c>
    </row>
    <row r="12" spans="2:11" x14ac:dyDescent="0.3">
      <c r="B12" s="6" t="s">
        <v>26</v>
      </c>
      <c r="C12" s="22"/>
      <c r="D12" s="22"/>
      <c r="E12" s="22"/>
      <c r="F12" s="22"/>
      <c r="G12" s="22"/>
      <c r="H12" s="12">
        <f t="shared" si="0"/>
        <v>43894</v>
      </c>
    </row>
    <row r="13" spans="2:11" x14ac:dyDescent="0.3">
      <c r="B13" s="6" t="s">
        <v>22</v>
      </c>
      <c r="C13" s="23"/>
      <c r="D13" s="23"/>
      <c r="E13" s="23"/>
      <c r="F13" s="22"/>
      <c r="G13" s="23"/>
      <c r="H13" s="12">
        <f t="shared" si="0"/>
        <v>43894</v>
      </c>
      <c r="K13" s="4"/>
    </row>
    <row r="14" spans="2:11" x14ac:dyDescent="0.3">
      <c r="B14" s="6" t="s">
        <v>19</v>
      </c>
      <c r="C14" s="22">
        <v>473500</v>
      </c>
      <c r="D14" s="22"/>
      <c r="E14" s="22">
        <v>374000</v>
      </c>
      <c r="F14" s="22"/>
      <c r="G14" s="22"/>
      <c r="H14" s="12">
        <f t="shared" si="0"/>
        <v>43894</v>
      </c>
    </row>
    <row r="15" spans="2:11" x14ac:dyDescent="0.3">
      <c r="B15" s="6" t="s">
        <v>14</v>
      </c>
      <c r="C15" s="22">
        <v>378000</v>
      </c>
      <c r="D15" s="22"/>
      <c r="E15" s="22">
        <v>216000</v>
      </c>
      <c r="F15" s="22"/>
      <c r="G15" s="22"/>
      <c r="H15" s="12">
        <f t="shared" si="0"/>
        <v>43894</v>
      </c>
    </row>
    <row r="16" spans="2:11" x14ac:dyDescent="0.3">
      <c r="B16" s="6" t="s">
        <v>24</v>
      </c>
      <c r="C16" s="22"/>
      <c r="D16" s="22"/>
      <c r="E16" s="22"/>
      <c r="F16" s="49"/>
      <c r="G16" s="22"/>
      <c r="H16" s="12">
        <f t="shared" si="0"/>
        <v>43894</v>
      </c>
    </row>
    <row r="17" spans="1:8" x14ac:dyDescent="0.3">
      <c r="B17" s="6" t="s">
        <v>21</v>
      </c>
      <c r="C17" s="22"/>
      <c r="D17" s="22"/>
      <c r="E17" s="22"/>
      <c r="F17" s="22"/>
      <c r="G17" s="22"/>
      <c r="H17" s="12">
        <f t="shared" si="0"/>
        <v>43894</v>
      </c>
    </row>
    <row r="18" spans="1:8" x14ac:dyDescent="0.3">
      <c r="B18" s="6" t="s">
        <v>18</v>
      </c>
      <c r="C18" s="22"/>
      <c r="D18" s="22"/>
      <c r="E18" s="22"/>
      <c r="F18" s="22"/>
      <c r="G18" s="22"/>
      <c r="H18" s="12">
        <f t="shared" si="0"/>
        <v>43894</v>
      </c>
    </row>
    <row r="19" spans="1:8" x14ac:dyDescent="0.3">
      <c r="B19" s="6" t="s">
        <v>16</v>
      </c>
      <c r="C19" s="22">
        <v>270000</v>
      </c>
      <c r="D19" s="22"/>
      <c r="E19" s="22">
        <v>216000</v>
      </c>
      <c r="F19" s="22"/>
      <c r="G19" s="22"/>
      <c r="H19" s="12">
        <f t="shared" si="0"/>
        <v>43894</v>
      </c>
    </row>
    <row r="20" spans="1:8" x14ac:dyDescent="0.3">
      <c r="B20" s="50" t="s">
        <v>27</v>
      </c>
      <c r="C20" s="51">
        <f>SUM(March04_2020[KSI_AGO])</f>
        <v>1645500</v>
      </c>
      <c r="D20" s="51">
        <f>SUM(March04_2020[KSI_PMS])</f>
        <v>1538000</v>
      </c>
      <c r="E20" s="51">
        <f>SUM(March04_2020[BUIPE_AGO])</f>
        <v>914000</v>
      </c>
      <c r="F20" s="51">
        <f>SUM(March04_2020[BUIPE_PMS])</f>
        <v>0</v>
      </c>
      <c r="G20" s="51">
        <f>SUM(March04_2020[AKOSOMBO_AGO])</f>
        <v>0</v>
      </c>
      <c r="H20" s="52"/>
    </row>
    <row r="21" spans="1:8" x14ac:dyDescent="0.3">
      <c r="B21" s="8"/>
      <c r="C21" s="24"/>
      <c r="D21" s="24"/>
      <c r="E21" s="24"/>
      <c r="F21" s="24"/>
      <c r="G21" s="24"/>
      <c r="H21"/>
    </row>
    <row r="22" spans="1:8" x14ac:dyDescent="0.3">
      <c r="B22" s="1" t="s">
        <v>6</v>
      </c>
      <c r="C22" s="1" t="s">
        <v>4</v>
      </c>
      <c r="D22" s="5">
        <f>SUMIF(March04_2020[[#Headers],[KSI_AGO]:[AKOSOMBO_AGO]],"*"&amp;C22,March04_2020[[#Totals],[KSI_AGO]:[AKOSOMBO_AGO]])</f>
        <v>2559500</v>
      </c>
      <c r="E22" s="1" t="s">
        <v>5</v>
      </c>
      <c r="F22" s="5">
        <f>SUMIF(March04_2020[[#Headers],[KSI_AGO]:[AKOSOMBO_AGO]],"*"&amp;E22,March04_2020[[#Totals],[KSI_AGO]:[AKOSOMBO_AGO]])</f>
        <v>1538000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A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pageSetUpPr fitToPage="1"/>
  </sheetPr>
  <dimension ref="A1:K32"/>
  <sheetViews>
    <sheetView zoomScale="90" zoomScaleNormal="90" workbookViewId="0">
      <pane xSplit="1" ySplit="5" topLeftCell="D6" activePane="bottomRight" state="frozen"/>
      <selection activeCell="C27" sqref="C27"/>
      <selection pane="topRight" activeCell="C27" sqref="C27"/>
      <selection pane="bottomLeft" activeCell="C27" sqref="C27"/>
      <selection pane="bottomRight" activeCell="I12" sqref="I1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43895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43895</v>
      </c>
    </row>
    <row r="7" spans="2:11" x14ac:dyDescent="0.3">
      <c r="B7" s="6" t="s">
        <v>37</v>
      </c>
      <c r="C7" s="22"/>
      <c r="D7" s="22"/>
      <c r="E7" s="22"/>
      <c r="F7" s="22"/>
      <c r="G7" s="22"/>
      <c r="H7" s="67">
        <f>$G$3</f>
        <v>43895</v>
      </c>
    </row>
    <row r="8" spans="2:11" x14ac:dyDescent="0.3">
      <c r="B8" s="6" t="s">
        <v>17</v>
      </c>
      <c r="C8" s="22"/>
      <c r="D8" s="22">
        <v>153000</v>
      </c>
      <c r="E8" s="22"/>
      <c r="F8" s="22"/>
      <c r="G8" s="22"/>
      <c r="H8" s="12">
        <f t="shared" si="0"/>
        <v>43895</v>
      </c>
    </row>
    <row r="9" spans="2:11" ht="15.6" x14ac:dyDescent="0.3">
      <c r="B9" s="34" t="s">
        <v>0</v>
      </c>
      <c r="C9" s="60"/>
      <c r="D9" s="60">
        <v>1758500</v>
      </c>
      <c r="E9" s="60"/>
      <c r="F9" s="60"/>
      <c r="G9" s="61"/>
      <c r="H9" s="12">
        <f t="shared" si="0"/>
        <v>43895</v>
      </c>
    </row>
    <row r="10" spans="2:11" x14ac:dyDescent="0.3">
      <c r="B10" s="6" t="s">
        <v>25</v>
      </c>
      <c r="C10" s="22">
        <v>162000</v>
      </c>
      <c r="D10" s="22">
        <v>90000</v>
      </c>
      <c r="E10" s="22">
        <v>162000</v>
      </c>
      <c r="F10" s="22"/>
      <c r="G10" s="22"/>
      <c r="H10" s="12">
        <f t="shared" si="0"/>
        <v>43895</v>
      </c>
    </row>
    <row r="11" spans="2:11" x14ac:dyDescent="0.3">
      <c r="B11" s="6" t="s">
        <v>15</v>
      </c>
      <c r="C11" s="22"/>
      <c r="D11" s="22"/>
      <c r="E11" s="22"/>
      <c r="F11" s="48"/>
      <c r="G11" s="22"/>
      <c r="H11" s="12">
        <f t="shared" si="0"/>
        <v>43895</v>
      </c>
    </row>
    <row r="12" spans="2:11" x14ac:dyDescent="0.3">
      <c r="B12" s="6" t="s">
        <v>26</v>
      </c>
      <c r="C12" s="22">
        <v>162000</v>
      </c>
      <c r="D12" s="22"/>
      <c r="E12" s="22">
        <v>266000</v>
      </c>
      <c r="F12" s="22"/>
      <c r="G12" s="22"/>
      <c r="H12" s="12">
        <f t="shared" si="0"/>
        <v>43895</v>
      </c>
    </row>
    <row r="13" spans="2:11" x14ac:dyDescent="0.3">
      <c r="B13" s="6" t="s">
        <v>22</v>
      </c>
      <c r="C13" s="23"/>
      <c r="D13" s="23"/>
      <c r="E13" s="23"/>
      <c r="F13" s="22"/>
      <c r="G13" s="23"/>
      <c r="H13" s="12">
        <f t="shared" si="0"/>
        <v>43895</v>
      </c>
      <c r="K13" s="4"/>
    </row>
    <row r="14" spans="2:11" x14ac:dyDescent="0.3">
      <c r="B14" s="6" t="s">
        <v>19</v>
      </c>
      <c r="C14" s="22">
        <v>99500</v>
      </c>
      <c r="D14" s="22"/>
      <c r="E14" s="22">
        <v>378000</v>
      </c>
      <c r="F14" s="22"/>
      <c r="G14" s="22"/>
      <c r="H14" s="12">
        <f t="shared" si="0"/>
        <v>43895</v>
      </c>
    </row>
    <row r="15" spans="2:11" x14ac:dyDescent="0.3">
      <c r="B15" s="6" t="s">
        <v>14</v>
      </c>
      <c r="C15" s="22">
        <v>153000</v>
      </c>
      <c r="D15" s="22"/>
      <c r="E15" s="22">
        <v>324000</v>
      </c>
      <c r="F15" s="22"/>
      <c r="G15" s="22"/>
      <c r="H15" s="12">
        <f t="shared" si="0"/>
        <v>43895</v>
      </c>
    </row>
    <row r="16" spans="2:11" x14ac:dyDescent="0.3">
      <c r="B16" s="6" t="s">
        <v>24</v>
      </c>
      <c r="C16" s="22"/>
      <c r="D16" s="22"/>
      <c r="E16" s="22"/>
      <c r="F16" s="49"/>
      <c r="G16" s="22"/>
      <c r="H16" s="12">
        <f t="shared" si="0"/>
        <v>43895</v>
      </c>
    </row>
    <row r="17" spans="1:8" x14ac:dyDescent="0.3">
      <c r="B17" s="6" t="s">
        <v>21</v>
      </c>
      <c r="C17" s="22"/>
      <c r="D17" s="22"/>
      <c r="E17" s="22"/>
      <c r="F17" s="22"/>
      <c r="G17" s="22"/>
      <c r="H17" s="12">
        <f t="shared" si="0"/>
        <v>43895</v>
      </c>
    </row>
    <row r="18" spans="1:8" x14ac:dyDescent="0.3">
      <c r="B18" s="6" t="s">
        <v>18</v>
      </c>
      <c r="C18" s="22"/>
      <c r="D18" s="22">
        <v>216000</v>
      </c>
      <c r="E18" s="22"/>
      <c r="F18" s="22"/>
      <c r="G18" s="22"/>
      <c r="H18" s="12">
        <f t="shared" si="0"/>
        <v>43895</v>
      </c>
    </row>
    <row r="19" spans="1:8" x14ac:dyDescent="0.3">
      <c r="B19" s="6" t="s">
        <v>16</v>
      </c>
      <c r="C19" s="22">
        <v>1015000</v>
      </c>
      <c r="D19" s="22"/>
      <c r="E19" s="22">
        <v>54000</v>
      </c>
      <c r="F19" s="22"/>
      <c r="G19" s="22"/>
      <c r="H19" s="12">
        <f t="shared" si="0"/>
        <v>43895</v>
      </c>
    </row>
    <row r="20" spans="1:8" x14ac:dyDescent="0.3">
      <c r="B20" s="50" t="s">
        <v>27</v>
      </c>
      <c r="C20" s="51">
        <f>SUM(March05_2020[KSI_AGO])</f>
        <v>1591500</v>
      </c>
      <c r="D20" s="51">
        <f>SUM(March05_2020[KSI_PMS])</f>
        <v>2217500</v>
      </c>
      <c r="E20" s="51">
        <f>SUM(March05_2020[BUIPE_AGO])</f>
        <v>1184000</v>
      </c>
      <c r="F20" s="51">
        <f>SUM(March05_2020[BUIPE_PMS])</f>
        <v>0</v>
      </c>
      <c r="G20" s="51">
        <f>SUM(March05_2020[AKOSOMBO_AGO])</f>
        <v>0</v>
      </c>
      <c r="H20" s="52"/>
    </row>
    <row r="21" spans="1:8" x14ac:dyDescent="0.3">
      <c r="B21" s="8"/>
      <c r="C21" s="24"/>
      <c r="D21" s="24"/>
      <c r="E21" s="24"/>
      <c r="F21" s="24"/>
      <c r="G21" s="24"/>
      <c r="H21"/>
    </row>
    <row r="22" spans="1:8" x14ac:dyDescent="0.3">
      <c r="B22" s="1" t="s">
        <v>6</v>
      </c>
      <c r="C22" s="1" t="s">
        <v>4</v>
      </c>
      <c r="D22" s="5">
        <f>SUMIF(March05_2020[[#Headers],[KSI_AGO]:[AKOSOMBO_AGO]],"*"&amp;C22,March05_2020[[#Totals],[KSI_AGO]:[AKOSOMBO_AGO]])</f>
        <v>2775500</v>
      </c>
      <c r="E22" s="1" t="s">
        <v>5</v>
      </c>
      <c r="F22" s="5">
        <f>SUMIF(March05_2020[[#Headers],[KSI_AGO]:[AKOSOMBO_AGO]],"*"&amp;E22,March05_2020[[#Totals],[KSI_AGO]:[AKOSOMBO_AGO]])</f>
        <v>2217500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B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pageSetUpPr fitToPage="1"/>
  </sheetPr>
  <dimension ref="A1:K32"/>
  <sheetViews>
    <sheetView zoomScaleNormal="100" workbookViewId="0">
      <pane xSplit="1" ySplit="5" topLeftCell="C6" activePane="bottomRight" state="frozen"/>
      <selection activeCell="E3" sqref="E3"/>
      <selection pane="topRight" activeCell="E3" sqref="E3"/>
      <selection pane="bottomLeft" activeCell="E3" sqref="E3"/>
      <selection pane="bottomRight" activeCell="E9" sqref="E9"/>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43899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43899</v>
      </c>
    </row>
    <row r="7" spans="2:11" x14ac:dyDescent="0.3">
      <c r="B7" s="6" t="s">
        <v>37</v>
      </c>
      <c r="C7" s="22"/>
      <c r="D7" s="22"/>
      <c r="E7" s="22"/>
      <c r="F7" s="22"/>
      <c r="G7" s="22"/>
      <c r="H7" s="67">
        <f>$G$3</f>
        <v>43899</v>
      </c>
    </row>
    <row r="8" spans="2:11" x14ac:dyDescent="0.3">
      <c r="B8" s="6" t="s">
        <v>17</v>
      </c>
      <c r="C8" s="22"/>
      <c r="D8" s="22">
        <v>914000</v>
      </c>
      <c r="E8" s="22"/>
      <c r="F8" s="22"/>
      <c r="G8" s="22"/>
      <c r="H8" s="12">
        <f t="shared" si="0"/>
        <v>43899</v>
      </c>
    </row>
    <row r="9" spans="2:11" ht="15.6" x14ac:dyDescent="0.3">
      <c r="B9" s="34" t="s">
        <v>0</v>
      </c>
      <c r="C9" s="60"/>
      <c r="D9" s="60">
        <v>239500</v>
      </c>
      <c r="E9" s="60"/>
      <c r="F9" s="60"/>
      <c r="G9" s="61"/>
      <c r="H9" s="12">
        <f t="shared" si="0"/>
        <v>43899</v>
      </c>
    </row>
    <row r="10" spans="2:11" x14ac:dyDescent="0.3">
      <c r="B10" s="6" t="s">
        <v>25</v>
      </c>
      <c r="C10" s="22"/>
      <c r="D10" s="22"/>
      <c r="E10" s="22">
        <v>54000</v>
      </c>
      <c r="F10" s="22"/>
      <c r="G10" s="22"/>
      <c r="H10" s="12">
        <f t="shared" si="0"/>
        <v>43899</v>
      </c>
    </row>
    <row r="11" spans="2:11" x14ac:dyDescent="0.3">
      <c r="B11" s="6" t="s">
        <v>15</v>
      </c>
      <c r="C11" s="22"/>
      <c r="D11" s="22"/>
      <c r="E11" s="22"/>
      <c r="F11" s="48"/>
      <c r="G11" s="22"/>
      <c r="H11" s="12">
        <f t="shared" si="0"/>
        <v>43899</v>
      </c>
    </row>
    <row r="12" spans="2:11" x14ac:dyDescent="0.3">
      <c r="B12" s="6" t="s">
        <v>26</v>
      </c>
      <c r="C12" s="22">
        <v>252000</v>
      </c>
      <c r="D12" s="22"/>
      <c r="E12" s="22">
        <v>162000</v>
      </c>
      <c r="F12" s="22"/>
      <c r="G12" s="22"/>
      <c r="H12" s="12">
        <f t="shared" si="0"/>
        <v>43899</v>
      </c>
    </row>
    <row r="13" spans="2:11" x14ac:dyDescent="0.3">
      <c r="B13" s="6" t="s">
        <v>22</v>
      </c>
      <c r="C13" s="23"/>
      <c r="D13" s="23"/>
      <c r="E13" s="23"/>
      <c r="F13" s="22"/>
      <c r="G13" s="23"/>
      <c r="H13" s="12">
        <f t="shared" si="0"/>
        <v>43899</v>
      </c>
      <c r="K13" s="4"/>
    </row>
    <row r="14" spans="2:11" x14ac:dyDescent="0.3">
      <c r="B14" s="6" t="s">
        <v>19</v>
      </c>
      <c r="C14" s="22">
        <v>696000</v>
      </c>
      <c r="D14" s="22"/>
      <c r="E14" s="22">
        <v>378000</v>
      </c>
      <c r="F14" s="22"/>
      <c r="G14" s="22"/>
      <c r="H14" s="12">
        <f t="shared" si="0"/>
        <v>43899</v>
      </c>
    </row>
    <row r="15" spans="2:11" x14ac:dyDescent="0.3">
      <c r="B15" s="6" t="s">
        <v>14</v>
      </c>
      <c r="C15" s="22">
        <v>737500</v>
      </c>
      <c r="D15" s="22"/>
      <c r="E15" s="22">
        <v>324000</v>
      </c>
      <c r="F15" s="22"/>
      <c r="G15" s="22"/>
      <c r="H15" s="12">
        <f t="shared" si="0"/>
        <v>43899</v>
      </c>
    </row>
    <row r="16" spans="2:11" x14ac:dyDescent="0.3">
      <c r="B16" s="6" t="s">
        <v>24</v>
      </c>
      <c r="C16" s="22"/>
      <c r="D16" s="22"/>
      <c r="E16" s="22"/>
      <c r="F16" s="49"/>
      <c r="G16" s="22"/>
      <c r="H16" s="12">
        <f t="shared" si="0"/>
        <v>43899</v>
      </c>
    </row>
    <row r="17" spans="1:8" x14ac:dyDescent="0.3">
      <c r="B17" s="6" t="s">
        <v>21</v>
      </c>
      <c r="C17" s="22"/>
      <c r="D17" s="22"/>
      <c r="E17" s="22"/>
      <c r="F17" s="22"/>
      <c r="G17" s="22"/>
      <c r="H17" s="12">
        <f t="shared" si="0"/>
        <v>43899</v>
      </c>
    </row>
    <row r="18" spans="1:8" x14ac:dyDescent="0.3">
      <c r="B18" s="6" t="s">
        <v>18</v>
      </c>
      <c r="C18" s="22"/>
      <c r="D18" s="22"/>
      <c r="E18" s="22"/>
      <c r="F18" s="22"/>
      <c r="G18" s="22"/>
      <c r="H18" s="12">
        <f t="shared" si="0"/>
        <v>43899</v>
      </c>
    </row>
    <row r="19" spans="1:8" x14ac:dyDescent="0.3">
      <c r="B19" s="6" t="s">
        <v>16</v>
      </c>
      <c r="C19" s="22"/>
      <c r="D19" s="22">
        <v>413000</v>
      </c>
      <c r="E19" s="22"/>
      <c r="F19" s="22">
        <v>374000</v>
      </c>
      <c r="G19" s="22"/>
      <c r="H19" s="12">
        <f t="shared" si="0"/>
        <v>43899</v>
      </c>
    </row>
    <row r="20" spans="1:8" x14ac:dyDescent="0.3">
      <c r="B20" s="50" t="s">
        <v>27</v>
      </c>
      <c r="C20" s="51">
        <f>SUM(March09_2020[KSI_AGO])</f>
        <v>1685500</v>
      </c>
      <c r="D20" s="51">
        <f>SUM(March09_2020[KSI_PMS])</f>
        <v>1566500</v>
      </c>
      <c r="E20" s="51">
        <f>SUM(March09_2020[BUIPE_AGO])</f>
        <v>918000</v>
      </c>
      <c r="F20" s="51">
        <f>SUM(March09_2020[BUIPE_PMS])</f>
        <v>374000</v>
      </c>
      <c r="G20" s="51">
        <f>SUM(March09_2020[AKOSOMBO_AGO])</f>
        <v>0</v>
      </c>
      <c r="H20" s="52"/>
    </row>
    <row r="21" spans="1:8" x14ac:dyDescent="0.3">
      <c r="B21" s="8"/>
      <c r="C21" s="24"/>
      <c r="D21" s="24"/>
      <c r="E21" s="24"/>
      <c r="F21" s="24"/>
      <c r="G21" s="24"/>
      <c r="H21"/>
    </row>
    <row r="22" spans="1:8" x14ac:dyDescent="0.3">
      <c r="B22" s="1" t="s">
        <v>6</v>
      </c>
      <c r="C22" s="1" t="s">
        <v>4</v>
      </c>
      <c r="D22" s="5">
        <f>SUMIF(March09_2020[[#Headers],[KSI_AGO]:[AKOSOMBO_AGO]],"*"&amp;C22,March09_2020[[#Totals],[KSI_AGO]:[AKOSOMBO_AGO]])</f>
        <v>2603500</v>
      </c>
      <c r="E22" s="1" t="s">
        <v>5</v>
      </c>
      <c r="F22" s="5">
        <f>SUMIF(March09_2020[[#Headers],[KSI_AGO]:[AKOSOMBO_AGO]],"*"&amp;E22,March09_2020[[#Totals],[KSI_AGO]:[AKOSOMBO_AGO]])</f>
        <v>1940500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C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pageSetUpPr fitToPage="1"/>
  </sheetPr>
  <dimension ref="A1:K32"/>
  <sheetViews>
    <sheetView zoomScale="110" zoomScaleNormal="110" workbookViewId="0">
      <pane xSplit="1" ySplit="5" topLeftCell="F6" activePane="bottomRight" state="frozen"/>
      <selection activeCell="E3" sqref="E3"/>
      <selection pane="topRight" activeCell="E3" sqref="E3"/>
      <selection pane="bottomLeft" activeCell="E3" sqref="E3"/>
      <selection pane="bottomRight" activeCell="K10" sqref="K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43900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43900</v>
      </c>
    </row>
    <row r="7" spans="2:11" x14ac:dyDescent="0.3">
      <c r="B7" s="6" t="s">
        <v>37</v>
      </c>
      <c r="C7" s="22"/>
      <c r="D7" s="22"/>
      <c r="E7" s="22"/>
      <c r="F7" s="22"/>
      <c r="G7" s="22"/>
      <c r="H7" s="67">
        <f>$G$3</f>
        <v>43900</v>
      </c>
    </row>
    <row r="8" spans="2:11" x14ac:dyDescent="0.3">
      <c r="B8" s="6" t="s">
        <v>17</v>
      </c>
      <c r="C8" s="22">
        <v>270000</v>
      </c>
      <c r="D8" s="22">
        <v>531500</v>
      </c>
      <c r="E8" s="22">
        <v>315000</v>
      </c>
      <c r="F8" s="22"/>
      <c r="G8" s="22"/>
      <c r="H8" s="12">
        <f t="shared" si="0"/>
        <v>43900</v>
      </c>
    </row>
    <row r="9" spans="2:11" ht="15.6" x14ac:dyDescent="0.3">
      <c r="B9" s="34" t="s">
        <v>0</v>
      </c>
      <c r="C9" s="60"/>
      <c r="D9" s="60"/>
      <c r="E9" s="60"/>
      <c r="F9" s="60">
        <v>1328000</v>
      </c>
      <c r="G9" s="61"/>
      <c r="H9" s="12">
        <f t="shared" si="0"/>
        <v>43900</v>
      </c>
    </row>
    <row r="10" spans="2:11" x14ac:dyDescent="0.3">
      <c r="B10" s="6" t="s">
        <v>25</v>
      </c>
      <c r="C10" s="22">
        <v>428000</v>
      </c>
      <c r="D10" s="22">
        <v>45000</v>
      </c>
      <c r="E10" s="22"/>
      <c r="F10" s="22"/>
      <c r="G10" s="22"/>
      <c r="H10" s="12">
        <f t="shared" si="0"/>
        <v>43900</v>
      </c>
    </row>
    <row r="11" spans="2:11" x14ac:dyDescent="0.3">
      <c r="B11" s="6" t="s">
        <v>15</v>
      </c>
      <c r="C11" s="22"/>
      <c r="D11" s="22"/>
      <c r="E11" s="22"/>
      <c r="F11" s="48"/>
      <c r="G11" s="22"/>
      <c r="H11" s="12">
        <f t="shared" si="0"/>
        <v>43900</v>
      </c>
    </row>
    <row r="12" spans="2:11" x14ac:dyDescent="0.3">
      <c r="B12" s="6" t="s">
        <v>26</v>
      </c>
      <c r="C12" s="22">
        <v>211500</v>
      </c>
      <c r="D12" s="22"/>
      <c r="E12" s="22"/>
      <c r="F12" s="22"/>
      <c r="G12" s="22"/>
      <c r="H12" s="12">
        <f t="shared" si="0"/>
        <v>43900</v>
      </c>
    </row>
    <row r="13" spans="2:11" x14ac:dyDescent="0.3">
      <c r="B13" s="6" t="s">
        <v>22</v>
      </c>
      <c r="C13" s="23"/>
      <c r="D13" s="23"/>
      <c r="E13" s="23"/>
      <c r="F13" s="22"/>
      <c r="G13" s="23"/>
      <c r="H13" s="12">
        <f t="shared" si="0"/>
        <v>43900</v>
      </c>
      <c r="K13" s="4"/>
    </row>
    <row r="14" spans="2:11" x14ac:dyDescent="0.3">
      <c r="B14" s="6" t="s">
        <v>19</v>
      </c>
      <c r="C14" s="22">
        <v>254000</v>
      </c>
      <c r="D14" s="22"/>
      <c r="E14" s="22"/>
      <c r="F14" s="22"/>
      <c r="G14" s="22"/>
      <c r="H14" s="12">
        <f t="shared" si="0"/>
        <v>43900</v>
      </c>
    </row>
    <row r="15" spans="2:11" x14ac:dyDescent="0.3">
      <c r="B15" s="6" t="s">
        <v>14</v>
      </c>
      <c r="C15" s="22">
        <v>207000</v>
      </c>
      <c r="D15" s="22"/>
      <c r="E15" s="22">
        <v>432000</v>
      </c>
      <c r="F15" s="22"/>
      <c r="G15" s="22"/>
      <c r="H15" s="12">
        <f t="shared" si="0"/>
        <v>43900</v>
      </c>
    </row>
    <row r="16" spans="2:11" x14ac:dyDescent="0.3">
      <c r="B16" s="6" t="s">
        <v>24</v>
      </c>
      <c r="C16" s="22"/>
      <c r="D16" s="22"/>
      <c r="E16" s="22"/>
      <c r="F16" s="49"/>
      <c r="G16" s="22"/>
      <c r="H16" s="12">
        <f t="shared" si="0"/>
        <v>43900</v>
      </c>
    </row>
    <row r="17" spans="1:8" x14ac:dyDescent="0.3">
      <c r="B17" s="6" t="s">
        <v>21</v>
      </c>
      <c r="C17" s="22"/>
      <c r="D17" s="22"/>
      <c r="E17" s="22"/>
      <c r="F17" s="22"/>
      <c r="G17" s="22"/>
      <c r="H17" s="12">
        <f t="shared" si="0"/>
        <v>43900</v>
      </c>
    </row>
    <row r="18" spans="1:8" x14ac:dyDescent="0.3">
      <c r="B18" s="6" t="s">
        <v>18</v>
      </c>
      <c r="C18" s="22">
        <v>108000</v>
      </c>
      <c r="D18" s="22"/>
      <c r="E18" s="22"/>
      <c r="F18" s="22"/>
      <c r="G18" s="22"/>
      <c r="H18" s="12">
        <f t="shared" si="0"/>
        <v>43900</v>
      </c>
    </row>
    <row r="19" spans="1:8" x14ac:dyDescent="0.3">
      <c r="B19" s="6" t="s">
        <v>16</v>
      </c>
      <c r="C19" s="22"/>
      <c r="D19" s="22">
        <v>569000</v>
      </c>
      <c r="E19" s="22"/>
      <c r="F19" s="22"/>
      <c r="G19" s="22"/>
      <c r="H19" s="12">
        <f t="shared" si="0"/>
        <v>43900</v>
      </c>
    </row>
    <row r="20" spans="1:8" x14ac:dyDescent="0.3">
      <c r="B20" s="50" t="s">
        <v>27</v>
      </c>
      <c r="C20" s="51">
        <f>SUM(March10_2020[KSI_AGO])</f>
        <v>1478500</v>
      </c>
      <c r="D20" s="51">
        <f>SUM(March10_2020[KSI_PMS])</f>
        <v>1145500</v>
      </c>
      <c r="E20" s="51">
        <f>SUM(March10_2020[BUIPE_AGO])</f>
        <v>747000</v>
      </c>
      <c r="F20" s="51">
        <f>SUM(March10_2020[BUIPE_PMS])</f>
        <v>1328000</v>
      </c>
      <c r="G20" s="51">
        <f>SUM(March10_2020[AKOSOMBO_AGO])</f>
        <v>0</v>
      </c>
      <c r="H20" s="52"/>
    </row>
    <row r="21" spans="1:8" x14ac:dyDescent="0.3">
      <c r="B21" s="8"/>
      <c r="C21" s="24"/>
      <c r="D21" s="24"/>
      <c r="E21" s="24"/>
      <c r="F21" s="24"/>
      <c r="G21" s="24"/>
      <c r="H21"/>
    </row>
    <row r="22" spans="1:8" x14ac:dyDescent="0.3">
      <c r="B22" s="1" t="s">
        <v>6</v>
      </c>
      <c r="C22" s="1" t="s">
        <v>4</v>
      </c>
      <c r="D22" s="5">
        <f>SUMIF(March10_2020[[#Headers],[KSI_AGO]:[AKOSOMBO_AGO]],"*"&amp;C22,March10_2020[[#Totals],[KSI_AGO]:[AKOSOMBO_AGO]])</f>
        <v>2225500</v>
      </c>
      <c r="E22" s="1" t="s">
        <v>5</v>
      </c>
      <c r="F22" s="5">
        <f>SUMIF(March10_2020[[#Headers],[KSI_AGO]:[AKOSOMBO_AGO]],"*"&amp;E22,March10_2020[[#Totals],[KSI_AGO]:[AKOSOMBO_AGO]])</f>
        <v>2473500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D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pageSetUpPr fitToPage="1"/>
  </sheetPr>
  <dimension ref="A1:K32"/>
  <sheetViews>
    <sheetView zoomScale="90" zoomScaleNormal="90" workbookViewId="0">
      <pane xSplit="1" ySplit="5" topLeftCell="D6" activePane="bottomRight" state="frozen"/>
      <selection activeCell="E3" sqref="E3"/>
      <selection pane="topRight" activeCell="E3" sqref="E3"/>
      <selection pane="bottomLeft" activeCell="E3" sqref="E3"/>
      <selection pane="bottomRight" activeCell="M18" sqref="M18"/>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43901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v>581000</v>
      </c>
      <c r="G6" s="45"/>
      <c r="H6" s="12">
        <f t="shared" ref="H6:H19" si="0">$G$3</f>
        <v>43901</v>
      </c>
    </row>
    <row r="7" spans="2:11" x14ac:dyDescent="0.3">
      <c r="B7" s="6" t="s">
        <v>37</v>
      </c>
      <c r="C7" s="22"/>
      <c r="D7" s="22"/>
      <c r="E7" s="22"/>
      <c r="F7" s="22"/>
      <c r="G7" s="22"/>
      <c r="H7" s="67">
        <f>$G$3</f>
        <v>43901</v>
      </c>
    </row>
    <row r="8" spans="2:11" x14ac:dyDescent="0.3">
      <c r="B8" s="6" t="s">
        <v>17</v>
      </c>
      <c r="C8" s="22">
        <v>477000</v>
      </c>
      <c r="D8" s="22">
        <v>482000</v>
      </c>
      <c r="E8" s="22">
        <v>108000</v>
      </c>
      <c r="F8" s="22"/>
      <c r="G8" s="22"/>
      <c r="H8" s="12">
        <f t="shared" si="0"/>
        <v>43901</v>
      </c>
    </row>
    <row r="9" spans="2:11" ht="15.6" x14ac:dyDescent="0.3">
      <c r="B9" s="34" t="s">
        <v>0</v>
      </c>
      <c r="C9" s="60"/>
      <c r="D9" s="60"/>
      <c r="E9" s="60"/>
      <c r="F9" s="60"/>
      <c r="G9" s="61"/>
      <c r="H9" s="12">
        <f t="shared" si="0"/>
        <v>43901</v>
      </c>
    </row>
    <row r="10" spans="2:11" x14ac:dyDescent="0.3">
      <c r="B10" s="6" t="s">
        <v>25</v>
      </c>
      <c r="C10" s="22">
        <v>479000</v>
      </c>
      <c r="D10" s="22"/>
      <c r="E10" s="22"/>
      <c r="F10" s="22"/>
      <c r="G10" s="22"/>
      <c r="H10" s="12">
        <f t="shared" si="0"/>
        <v>43901</v>
      </c>
    </row>
    <row r="11" spans="2:11" x14ac:dyDescent="0.3">
      <c r="B11" s="6" t="s">
        <v>15</v>
      </c>
      <c r="C11" s="22"/>
      <c r="D11" s="22"/>
      <c r="E11" s="22"/>
      <c r="F11" s="48"/>
      <c r="G11" s="22"/>
      <c r="H11" s="12">
        <f t="shared" si="0"/>
        <v>43901</v>
      </c>
    </row>
    <row r="12" spans="2:11" x14ac:dyDescent="0.3">
      <c r="B12" s="6" t="s">
        <v>26</v>
      </c>
      <c r="C12" s="22">
        <v>266000</v>
      </c>
      <c r="D12" s="22"/>
      <c r="E12" s="22"/>
      <c r="F12" s="22"/>
      <c r="G12" s="22"/>
      <c r="H12" s="12">
        <f t="shared" si="0"/>
        <v>43901</v>
      </c>
    </row>
    <row r="13" spans="2:11" x14ac:dyDescent="0.3">
      <c r="B13" s="6" t="s">
        <v>22</v>
      </c>
      <c r="C13" s="23"/>
      <c r="D13" s="23"/>
      <c r="E13" s="23"/>
      <c r="F13" s="22"/>
      <c r="G13" s="23"/>
      <c r="H13" s="12">
        <f t="shared" si="0"/>
        <v>43901</v>
      </c>
      <c r="K13" s="4"/>
    </row>
    <row r="14" spans="2:11" x14ac:dyDescent="0.3">
      <c r="B14" s="6" t="s">
        <v>19</v>
      </c>
      <c r="C14" s="22">
        <v>586000</v>
      </c>
      <c r="D14" s="22"/>
      <c r="E14" s="22"/>
      <c r="F14" s="22"/>
      <c r="G14" s="22"/>
      <c r="H14" s="12">
        <f t="shared" si="0"/>
        <v>43901</v>
      </c>
    </row>
    <row r="15" spans="2:11" x14ac:dyDescent="0.3">
      <c r="B15" s="6" t="s">
        <v>14</v>
      </c>
      <c r="C15" s="22">
        <v>270000</v>
      </c>
      <c r="D15" s="22">
        <v>582000</v>
      </c>
      <c r="E15" s="22">
        <v>532000</v>
      </c>
      <c r="F15" s="22">
        <v>324000</v>
      </c>
      <c r="G15" s="22"/>
      <c r="H15" s="12">
        <f t="shared" si="0"/>
        <v>43901</v>
      </c>
    </row>
    <row r="16" spans="2:11" x14ac:dyDescent="0.3">
      <c r="B16" s="6" t="s">
        <v>24</v>
      </c>
      <c r="C16" s="22"/>
      <c r="D16" s="22"/>
      <c r="E16" s="22"/>
      <c r="F16" s="49"/>
      <c r="G16" s="22"/>
      <c r="H16" s="12">
        <f t="shared" si="0"/>
        <v>43901</v>
      </c>
    </row>
    <row r="17" spans="1:8" x14ac:dyDescent="0.3">
      <c r="B17" s="6" t="s">
        <v>21</v>
      </c>
      <c r="C17" s="22"/>
      <c r="D17" s="22"/>
      <c r="E17" s="22"/>
      <c r="F17" s="22"/>
      <c r="G17" s="22"/>
      <c r="H17" s="12">
        <f t="shared" si="0"/>
        <v>43901</v>
      </c>
    </row>
    <row r="18" spans="1:8" x14ac:dyDescent="0.3">
      <c r="B18" s="6" t="s">
        <v>18</v>
      </c>
      <c r="C18" s="22">
        <v>108000</v>
      </c>
      <c r="D18" s="22"/>
      <c r="E18" s="22"/>
      <c r="F18" s="22"/>
      <c r="G18" s="22"/>
      <c r="H18" s="12">
        <f t="shared" si="0"/>
        <v>43901</v>
      </c>
    </row>
    <row r="19" spans="1:8" x14ac:dyDescent="0.3">
      <c r="B19" s="6" t="s">
        <v>16</v>
      </c>
      <c r="C19" s="22"/>
      <c r="D19" s="22">
        <v>470000</v>
      </c>
      <c r="E19" s="22"/>
      <c r="F19" s="22">
        <v>54000</v>
      </c>
      <c r="G19" s="22"/>
      <c r="H19" s="12">
        <f t="shared" si="0"/>
        <v>43901</v>
      </c>
    </row>
    <row r="20" spans="1:8" x14ac:dyDescent="0.3">
      <c r="B20" s="50" t="s">
        <v>27</v>
      </c>
      <c r="C20" s="51">
        <f>SUM(March11_2020[KSI_AGO])</f>
        <v>2186000</v>
      </c>
      <c r="D20" s="51">
        <f>SUM(March11_2020[KSI_PMS])</f>
        <v>1534000</v>
      </c>
      <c r="E20" s="51">
        <f>SUM(March11_2020[BUIPE_AGO])</f>
        <v>640000</v>
      </c>
      <c r="F20" s="51">
        <f>SUM(March11_2020[BUIPE_PMS])</f>
        <v>959000</v>
      </c>
      <c r="G20" s="51">
        <f>SUM(March11_2020[AKOSOMBO_AGO])</f>
        <v>0</v>
      </c>
      <c r="H20" s="52"/>
    </row>
    <row r="21" spans="1:8" x14ac:dyDescent="0.3">
      <c r="B21" s="8"/>
      <c r="C21" s="24"/>
      <c r="D21" s="24"/>
      <c r="E21" s="24"/>
      <c r="F21" s="24"/>
      <c r="G21" s="24"/>
      <c r="H21"/>
    </row>
    <row r="22" spans="1:8" x14ac:dyDescent="0.3">
      <c r="B22" s="1" t="s">
        <v>6</v>
      </c>
      <c r="C22" s="1" t="s">
        <v>4</v>
      </c>
      <c r="D22" s="5">
        <f>SUMIF(March11_2020[[#Headers],[KSI_AGO]:[AKOSOMBO_AGO]],"*"&amp;C22,March11_2020[[#Totals],[KSI_AGO]:[AKOSOMBO_AGO]])</f>
        <v>2826000</v>
      </c>
      <c r="E22" s="1" t="s">
        <v>5</v>
      </c>
      <c r="F22" s="5">
        <f>SUMIF(March11_2020[[#Headers],[KSI_AGO]:[AKOSOMBO_AGO]],"*"&amp;E22,March11_2020[[#Totals],[KSI_AGO]:[AKOSOMBO_AGO]])</f>
        <v>2493000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E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pageSetUpPr fitToPage="1"/>
  </sheetPr>
  <dimension ref="A1:K32"/>
  <sheetViews>
    <sheetView zoomScaleNormal="100" workbookViewId="0">
      <pane xSplit="1" ySplit="5" topLeftCell="D6" activePane="bottomRight" state="frozen"/>
      <selection activeCell="E3" sqref="E3"/>
      <selection pane="topRight" activeCell="E3" sqref="E3"/>
      <selection pane="bottomLeft" activeCell="E3" sqref="E3"/>
      <selection pane="bottomRight" activeCell="G10" sqref="G10"/>
    </sheetView>
  </sheetViews>
  <sheetFormatPr defaultColWidth="9.109375" defaultRowHeight="14.4" x14ac:dyDescent="0.3"/>
  <cols>
    <col min="1" max="1" width="6.88671875" style="1" customWidth="1"/>
    <col min="2" max="2" width="26.109375" style="1" customWidth="1"/>
    <col min="3" max="3" width="14.44140625" style="1" customWidth="1"/>
    <col min="4" max="4" width="18.5546875" style="1" customWidth="1"/>
    <col min="5" max="5" width="18.109375" style="1" customWidth="1"/>
    <col min="6" max="6" width="18.5546875" style="1" customWidth="1"/>
    <col min="7" max="7" width="27.5546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43902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43902</v>
      </c>
    </row>
    <row r="7" spans="2:11" x14ac:dyDescent="0.3">
      <c r="B7" s="6" t="s">
        <v>37</v>
      </c>
      <c r="C7" s="22"/>
      <c r="D7" s="22"/>
      <c r="E7" s="22"/>
      <c r="F7" s="22"/>
      <c r="G7" s="22"/>
      <c r="H7" s="67">
        <f>$G$3</f>
        <v>43902</v>
      </c>
    </row>
    <row r="8" spans="2:11" x14ac:dyDescent="0.3">
      <c r="B8" s="6" t="s">
        <v>17</v>
      </c>
      <c r="C8" s="22">
        <v>632500</v>
      </c>
      <c r="D8" s="22">
        <v>295000</v>
      </c>
      <c r="E8" s="22">
        <v>108000</v>
      </c>
      <c r="F8" s="22"/>
      <c r="G8" s="22"/>
      <c r="H8" s="12">
        <f t="shared" si="0"/>
        <v>43902</v>
      </c>
    </row>
    <row r="9" spans="2:11" ht="15.6" x14ac:dyDescent="0.3">
      <c r="B9" s="34" t="s">
        <v>0</v>
      </c>
      <c r="C9" s="60"/>
      <c r="D9" s="60">
        <v>640000</v>
      </c>
      <c r="E9" s="60"/>
      <c r="F9" s="60">
        <v>468000</v>
      </c>
      <c r="G9" s="61"/>
      <c r="H9" s="12">
        <f t="shared" si="0"/>
        <v>43902</v>
      </c>
    </row>
    <row r="10" spans="2:11" x14ac:dyDescent="0.3">
      <c r="B10" s="6" t="s">
        <v>25</v>
      </c>
      <c r="C10" s="22">
        <v>245000</v>
      </c>
      <c r="D10" s="22"/>
      <c r="E10" s="22">
        <v>162000</v>
      </c>
      <c r="F10" s="22"/>
      <c r="G10" s="22"/>
      <c r="H10" s="12">
        <f t="shared" si="0"/>
        <v>43902</v>
      </c>
    </row>
    <row r="11" spans="2:11" x14ac:dyDescent="0.3">
      <c r="B11" s="6" t="s">
        <v>15</v>
      </c>
      <c r="C11" s="22"/>
      <c r="D11" s="22"/>
      <c r="E11" s="22"/>
      <c r="F11" s="48">
        <v>50000</v>
      </c>
      <c r="G11" s="22"/>
      <c r="H11" s="12">
        <f t="shared" si="0"/>
        <v>43902</v>
      </c>
    </row>
    <row r="12" spans="2:11" x14ac:dyDescent="0.3">
      <c r="B12" s="6" t="s">
        <v>26</v>
      </c>
      <c r="C12" s="22"/>
      <c r="D12" s="22">
        <v>108000</v>
      </c>
      <c r="E12" s="22"/>
      <c r="F12" s="22"/>
      <c r="G12" s="22"/>
      <c r="H12" s="12">
        <f t="shared" si="0"/>
        <v>43902</v>
      </c>
    </row>
    <row r="13" spans="2:11" x14ac:dyDescent="0.3">
      <c r="B13" s="6" t="s">
        <v>22</v>
      </c>
      <c r="C13" s="23"/>
      <c r="D13" s="23"/>
      <c r="E13" s="23"/>
      <c r="F13" s="22"/>
      <c r="G13" s="23"/>
      <c r="H13" s="12">
        <f t="shared" si="0"/>
        <v>43902</v>
      </c>
      <c r="K13" s="4"/>
    </row>
    <row r="14" spans="2:11" x14ac:dyDescent="0.3">
      <c r="B14" s="6" t="s">
        <v>19</v>
      </c>
      <c r="C14" s="22">
        <v>478000</v>
      </c>
      <c r="D14" s="22"/>
      <c r="E14" s="22">
        <v>215000</v>
      </c>
      <c r="F14" s="22"/>
      <c r="G14" s="22"/>
      <c r="H14" s="12">
        <f t="shared" si="0"/>
        <v>43902</v>
      </c>
    </row>
    <row r="15" spans="2:11" x14ac:dyDescent="0.3">
      <c r="B15" s="6" t="s">
        <v>14</v>
      </c>
      <c r="C15" s="22">
        <v>216000</v>
      </c>
      <c r="D15" s="22">
        <v>207000</v>
      </c>
      <c r="E15" s="22">
        <v>582000</v>
      </c>
      <c r="F15" s="22">
        <v>414000</v>
      </c>
      <c r="G15" s="22"/>
      <c r="H15" s="12">
        <f t="shared" si="0"/>
        <v>43902</v>
      </c>
    </row>
    <row r="16" spans="2:11" x14ac:dyDescent="0.3">
      <c r="B16" s="6" t="s">
        <v>24</v>
      </c>
      <c r="C16" s="22"/>
      <c r="D16" s="22"/>
      <c r="E16" s="22"/>
      <c r="F16" s="49"/>
      <c r="G16" s="22"/>
      <c r="H16" s="12">
        <f t="shared" si="0"/>
        <v>43902</v>
      </c>
    </row>
    <row r="17" spans="1:8" x14ac:dyDescent="0.3">
      <c r="B17" s="6" t="s">
        <v>21</v>
      </c>
      <c r="C17" s="22"/>
      <c r="D17" s="22"/>
      <c r="E17" s="22"/>
      <c r="F17" s="22"/>
      <c r="G17" s="22"/>
      <c r="H17" s="12">
        <f t="shared" si="0"/>
        <v>43902</v>
      </c>
    </row>
    <row r="18" spans="1:8" x14ac:dyDescent="0.3">
      <c r="B18" s="6" t="s">
        <v>18</v>
      </c>
      <c r="C18" s="22">
        <v>108000</v>
      </c>
      <c r="D18" s="22"/>
      <c r="E18" s="22"/>
      <c r="F18" s="22"/>
      <c r="G18" s="22"/>
      <c r="H18" s="12">
        <f t="shared" si="0"/>
        <v>43902</v>
      </c>
    </row>
    <row r="19" spans="1:8" x14ac:dyDescent="0.3">
      <c r="B19" s="6" t="s">
        <v>16</v>
      </c>
      <c r="C19" s="22"/>
      <c r="D19" s="22">
        <v>162000</v>
      </c>
      <c r="E19" s="22">
        <v>100000</v>
      </c>
      <c r="F19" s="22">
        <v>108000</v>
      </c>
      <c r="G19" s="22"/>
      <c r="H19" s="12">
        <f t="shared" si="0"/>
        <v>43902</v>
      </c>
    </row>
    <row r="20" spans="1:8" x14ac:dyDescent="0.3">
      <c r="B20" s="50" t="s">
        <v>27</v>
      </c>
      <c r="C20" s="51">
        <f>SUM(March12_2020[KSI_AGO])</f>
        <v>1679500</v>
      </c>
      <c r="D20" s="51">
        <f>SUM(March12_2020[KSI_PMS])</f>
        <v>1412000</v>
      </c>
      <c r="E20" s="51">
        <f>SUM(March12_2020[BUIPE_AGO])</f>
        <v>1167000</v>
      </c>
      <c r="F20" s="51">
        <f>SUM(March12_2020[BUIPE_PMS])</f>
        <v>1040000</v>
      </c>
      <c r="G20" s="51">
        <f>SUM(March12_2020[AKOSOMBO_AGO])</f>
        <v>0</v>
      </c>
      <c r="H20" s="52"/>
    </row>
    <row r="21" spans="1:8" x14ac:dyDescent="0.3">
      <c r="B21" s="8"/>
      <c r="C21" s="24"/>
      <c r="D21" s="24"/>
      <c r="E21" s="24"/>
      <c r="F21" s="24"/>
      <c r="G21" s="24"/>
      <c r="H21"/>
    </row>
    <row r="22" spans="1:8" x14ac:dyDescent="0.3">
      <c r="B22" s="1" t="s">
        <v>6</v>
      </c>
      <c r="C22" s="1" t="s">
        <v>4</v>
      </c>
      <c r="D22" s="5">
        <f>SUMIF(March12_2020[[#Headers],[KSI_AGO]:[AKOSOMBO_AGO]],"*"&amp;C22,March12_2020[[#Totals],[KSI_AGO]:[AKOSOMBO_AGO]])</f>
        <v>2846500</v>
      </c>
      <c r="E22" s="1" t="s">
        <v>5</v>
      </c>
      <c r="F22" s="5">
        <f>SUMIF(March12_2020[[#Headers],[KSI_AGO]:[AKOSOMBO_AGO]],"*"&amp;E22,March12_2020[[#Totals],[KSI_AGO]:[AKOSOMBO_AGO]])</f>
        <v>2452000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2F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pageSetUpPr fitToPage="1"/>
  </sheetPr>
  <dimension ref="A1:K32"/>
  <sheetViews>
    <sheetView zoomScale="90" zoomScaleNormal="90" workbookViewId="0">
      <pane xSplit="1" ySplit="5" topLeftCell="D6" activePane="bottomRight" state="frozen"/>
      <selection activeCell="E3" sqref="E3"/>
      <selection pane="topRight" activeCell="E3" sqref="E3"/>
      <selection pane="bottomLeft" activeCell="E3" sqref="E3"/>
      <selection pane="bottomRight" activeCell="F10" sqref="F10"/>
    </sheetView>
  </sheetViews>
  <sheetFormatPr defaultColWidth="9.109375" defaultRowHeight="14.4" x14ac:dyDescent="0.3"/>
  <cols>
    <col min="1" max="1" width="6.88671875" style="1" customWidth="1"/>
    <col min="2" max="2" width="26.109375" style="1" customWidth="1"/>
    <col min="3" max="3" width="16.88671875" style="1" customWidth="1"/>
    <col min="4" max="4" width="15.5546875" style="1" customWidth="1"/>
    <col min="5" max="5" width="18.109375" style="1" customWidth="1"/>
    <col min="6" max="6" width="18.88671875" style="1" customWidth="1"/>
    <col min="7" max="7" width="28.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43903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43903</v>
      </c>
    </row>
    <row r="7" spans="2:11" x14ac:dyDescent="0.3">
      <c r="B7" s="6" t="s">
        <v>37</v>
      </c>
      <c r="C7" s="22"/>
      <c r="D7" s="22"/>
      <c r="E7" s="22"/>
      <c r="F7" s="22"/>
      <c r="G7" s="22"/>
      <c r="H7" s="67">
        <f>$G$3</f>
        <v>43903</v>
      </c>
    </row>
    <row r="8" spans="2:11" x14ac:dyDescent="0.3">
      <c r="B8" s="6" t="s">
        <v>17</v>
      </c>
      <c r="C8" s="22">
        <v>324000</v>
      </c>
      <c r="D8" s="22"/>
      <c r="E8" s="22"/>
      <c r="F8" s="22"/>
      <c r="G8" s="22"/>
      <c r="H8" s="12">
        <f t="shared" si="0"/>
        <v>43903</v>
      </c>
    </row>
    <row r="9" spans="2:11" ht="15.6" x14ac:dyDescent="0.3">
      <c r="B9" s="34" t="s">
        <v>0</v>
      </c>
      <c r="C9" s="60"/>
      <c r="D9" s="60">
        <v>162000</v>
      </c>
      <c r="E9" s="60"/>
      <c r="F9" s="60">
        <v>622000</v>
      </c>
      <c r="G9" s="61"/>
      <c r="H9" s="12">
        <f t="shared" si="0"/>
        <v>43903</v>
      </c>
    </row>
    <row r="10" spans="2:11" x14ac:dyDescent="0.3">
      <c r="B10" s="6" t="s">
        <v>25</v>
      </c>
      <c r="C10" s="22">
        <v>162000</v>
      </c>
      <c r="D10" s="22"/>
      <c r="E10" s="22"/>
      <c r="F10" s="22"/>
      <c r="G10" s="22"/>
      <c r="H10" s="12">
        <f t="shared" si="0"/>
        <v>43903</v>
      </c>
    </row>
    <row r="11" spans="2:11" x14ac:dyDescent="0.3">
      <c r="B11" s="6" t="s">
        <v>15</v>
      </c>
      <c r="C11" s="22"/>
      <c r="D11" s="22"/>
      <c r="E11" s="22"/>
      <c r="F11" s="48"/>
      <c r="G11" s="22"/>
      <c r="H11" s="12">
        <f t="shared" si="0"/>
        <v>43903</v>
      </c>
    </row>
    <row r="12" spans="2:11" x14ac:dyDescent="0.3">
      <c r="B12" s="6" t="s">
        <v>26</v>
      </c>
      <c r="C12" s="22">
        <v>108000</v>
      </c>
      <c r="D12" s="22"/>
      <c r="E12" s="22"/>
      <c r="F12" s="22"/>
      <c r="G12" s="22"/>
      <c r="H12" s="12">
        <f t="shared" si="0"/>
        <v>43903</v>
      </c>
    </row>
    <row r="13" spans="2:11" x14ac:dyDescent="0.3">
      <c r="B13" s="6" t="s">
        <v>22</v>
      </c>
      <c r="C13" s="23"/>
      <c r="D13" s="23"/>
      <c r="E13" s="23"/>
      <c r="F13" s="22"/>
      <c r="G13" s="23"/>
      <c r="H13" s="12">
        <f t="shared" si="0"/>
        <v>43903</v>
      </c>
      <c r="K13" s="4"/>
    </row>
    <row r="14" spans="2:11" x14ac:dyDescent="0.3">
      <c r="B14" s="6" t="s">
        <v>19</v>
      </c>
      <c r="C14" s="22">
        <v>54000</v>
      </c>
      <c r="D14" s="22"/>
      <c r="E14" s="22"/>
      <c r="F14" s="22"/>
      <c r="G14" s="22"/>
      <c r="H14" s="12">
        <f t="shared" si="0"/>
        <v>43903</v>
      </c>
    </row>
    <row r="15" spans="2:11" x14ac:dyDescent="0.3">
      <c r="B15" s="6" t="s">
        <v>14</v>
      </c>
      <c r="C15" s="22">
        <v>265500</v>
      </c>
      <c r="D15" s="22"/>
      <c r="E15" s="22">
        <v>968000</v>
      </c>
      <c r="F15" s="22">
        <v>378000</v>
      </c>
      <c r="G15" s="22"/>
      <c r="H15" s="12">
        <f t="shared" si="0"/>
        <v>43903</v>
      </c>
    </row>
    <row r="16" spans="2:11" x14ac:dyDescent="0.3">
      <c r="B16" s="6" t="s">
        <v>24</v>
      </c>
      <c r="C16" s="22"/>
      <c r="D16" s="22"/>
      <c r="E16" s="22"/>
      <c r="F16" s="49"/>
      <c r="G16" s="22"/>
      <c r="H16" s="12">
        <f t="shared" si="0"/>
        <v>43903</v>
      </c>
    </row>
    <row r="17" spans="1:8" x14ac:dyDescent="0.3">
      <c r="B17" s="6" t="s">
        <v>21</v>
      </c>
      <c r="C17" s="22"/>
      <c r="D17" s="22"/>
      <c r="E17" s="22"/>
      <c r="F17" s="22"/>
      <c r="G17" s="22"/>
      <c r="H17" s="12">
        <f t="shared" si="0"/>
        <v>43903</v>
      </c>
    </row>
    <row r="18" spans="1:8" x14ac:dyDescent="0.3">
      <c r="B18" s="6" t="s">
        <v>18</v>
      </c>
      <c r="C18" s="22">
        <v>162000</v>
      </c>
      <c r="D18" s="22"/>
      <c r="E18" s="22"/>
      <c r="F18" s="22"/>
      <c r="G18" s="22"/>
      <c r="H18" s="12">
        <f t="shared" si="0"/>
        <v>43903</v>
      </c>
    </row>
    <row r="19" spans="1:8" x14ac:dyDescent="0.3">
      <c r="B19" s="6" t="s">
        <v>16</v>
      </c>
      <c r="C19" s="22">
        <v>523000</v>
      </c>
      <c r="D19" s="22"/>
      <c r="E19" s="22">
        <v>45000</v>
      </c>
      <c r="F19" s="22"/>
      <c r="G19" s="22"/>
      <c r="H19" s="12">
        <f t="shared" si="0"/>
        <v>43903</v>
      </c>
    </row>
    <row r="20" spans="1:8" x14ac:dyDescent="0.3">
      <c r="B20" s="50" t="s">
        <v>27</v>
      </c>
      <c r="C20" s="51">
        <f>SUM(March13_2020[KSI_AGO])</f>
        <v>1598500</v>
      </c>
      <c r="D20" s="51">
        <f>SUM(March13_2020[KSI_PMS])</f>
        <v>162000</v>
      </c>
      <c r="E20" s="51">
        <f>SUM(March13_2020[BUIPE_AGO])</f>
        <v>1013000</v>
      </c>
      <c r="F20" s="51">
        <f>SUM(March13_2020[BUIPE_PMS])</f>
        <v>1000000</v>
      </c>
      <c r="G20" s="51">
        <f>SUM(March13_2020[AKOSOMBO_AGO])</f>
        <v>0</v>
      </c>
      <c r="H20" s="52"/>
    </row>
    <row r="21" spans="1:8" x14ac:dyDescent="0.3">
      <c r="B21" s="8"/>
      <c r="C21" s="24"/>
      <c r="D21" s="24"/>
      <c r="E21" s="24"/>
      <c r="F21" s="24"/>
      <c r="G21" s="24"/>
      <c r="H21"/>
    </row>
    <row r="22" spans="1:8" x14ac:dyDescent="0.3">
      <c r="B22" s="1" t="s">
        <v>6</v>
      </c>
      <c r="C22" s="1" t="s">
        <v>4</v>
      </c>
      <c r="D22" s="5">
        <f>SUMIF(March13_2020[[#Headers],[KSI_AGO]:[AKOSOMBO_AGO]],"*"&amp;C22,March13_2020[[#Totals],[KSI_AGO]:[AKOSOMBO_AGO]])</f>
        <v>2611500</v>
      </c>
      <c r="E22" s="1" t="s">
        <v>5</v>
      </c>
      <c r="F22" s="5">
        <f>SUMIF(March13_2020[[#Headers],[KSI_AGO]:[AKOSOMBO_AGO]],"*"&amp;E22,March13_2020[[#Totals],[KSI_AGO]:[AKOSOMBO_AGO]])</f>
        <v>1162000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0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pageSetUpPr fitToPage="1"/>
  </sheetPr>
  <dimension ref="A1:K32"/>
  <sheetViews>
    <sheetView zoomScale="115" zoomScaleNormal="115" workbookViewId="0">
      <pane xSplit="1" ySplit="5" topLeftCell="B9" activePane="bottomRight" state="frozen"/>
      <selection activeCell="E3" sqref="E3"/>
      <selection pane="topRight" activeCell="E3" sqref="E3"/>
      <selection pane="bottomLeft" activeCell="E3" sqref="E3"/>
      <selection pane="bottomRight" activeCell="E16" sqref="E16"/>
    </sheetView>
  </sheetViews>
  <sheetFormatPr defaultColWidth="9.109375" defaultRowHeight="14.4" x14ac:dyDescent="0.3"/>
  <cols>
    <col min="1" max="1" width="6.88671875" style="1" customWidth="1"/>
    <col min="2" max="2" width="26.109375" style="1" customWidth="1"/>
    <col min="3" max="3" width="16.5546875" style="1" customWidth="1"/>
    <col min="4" max="4" width="16" style="1" customWidth="1"/>
    <col min="5" max="5" width="18.44140625" style="1" bestFit="1" customWidth="1"/>
    <col min="6" max="6" width="20" style="1" customWidth="1"/>
    <col min="7" max="7" width="28.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43906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43906</v>
      </c>
    </row>
    <row r="7" spans="2:11" x14ac:dyDescent="0.3">
      <c r="B7" s="6" t="s">
        <v>37</v>
      </c>
      <c r="C7" s="22"/>
      <c r="D7" s="22"/>
      <c r="E7" s="22"/>
      <c r="F7" s="22"/>
      <c r="G7" s="22"/>
      <c r="H7" s="67">
        <f>$G$3</f>
        <v>43906</v>
      </c>
    </row>
    <row r="8" spans="2:11" x14ac:dyDescent="0.3">
      <c r="B8" s="6" t="s">
        <v>17</v>
      </c>
      <c r="C8" s="22">
        <v>371000</v>
      </c>
      <c r="D8" s="22"/>
      <c r="E8" s="22"/>
      <c r="F8" s="22"/>
      <c r="G8" s="22"/>
      <c r="H8" s="12">
        <f t="shared" si="0"/>
        <v>43906</v>
      </c>
    </row>
    <row r="9" spans="2:11" ht="15.6" x14ac:dyDescent="0.3">
      <c r="B9" s="34" t="s">
        <v>0</v>
      </c>
      <c r="C9" s="60"/>
      <c r="D9" s="60">
        <v>698000</v>
      </c>
      <c r="E9" s="60"/>
      <c r="F9" s="60"/>
      <c r="G9" s="61"/>
      <c r="H9" s="12">
        <f t="shared" si="0"/>
        <v>43906</v>
      </c>
    </row>
    <row r="10" spans="2:11" x14ac:dyDescent="0.3">
      <c r="B10" s="6" t="s">
        <v>25</v>
      </c>
      <c r="C10" s="22"/>
      <c r="D10" s="22"/>
      <c r="E10" s="22"/>
      <c r="F10" s="22"/>
      <c r="G10" s="22"/>
      <c r="H10" s="12">
        <f t="shared" si="0"/>
        <v>43906</v>
      </c>
    </row>
    <row r="11" spans="2:11" x14ac:dyDescent="0.3">
      <c r="B11" s="6" t="s">
        <v>15</v>
      </c>
      <c r="C11" s="22"/>
      <c r="D11" s="22"/>
      <c r="E11" s="22"/>
      <c r="F11" s="48"/>
      <c r="G11" s="22"/>
      <c r="H11" s="12">
        <f t="shared" si="0"/>
        <v>43906</v>
      </c>
    </row>
    <row r="12" spans="2:11" x14ac:dyDescent="0.3">
      <c r="B12" s="6" t="s">
        <v>26</v>
      </c>
      <c r="C12" s="22"/>
      <c r="D12" s="22">
        <v>253000</v>
      </c>
      <c r="E12" s="22"/>
      <c r="F12" s="22"/>
      <c r="G12" s="22"/>
      <c r="H12" s="12">
        <f t="shared" si="0"/>
        <v>43906</v>
      </c>
    </row>
    <row r="13" spans="2:11" x14ac:dyDescent="0.3">
      <c r="B13" s="6" t="s">
        <v>22</v>
      </c>
      <c r="C13" s="23"/>
      <c r="D13" s="23"/>
      <c r="E13" s="23"/>
      <c r="F13" s="22"/>
      <c r="G13" s="23"/>
      <c r="H13" s="12">
        <f t="shared" si="0"/>
        <v>43906</v>
      </c>
      <c r="K13" s="4"/>
    </row>
    <row r="14" spans="2:11" x14ac:dyDescent="0.3">
      <c r="B14" s="6" t="s">
        <v>19</v>
      </c>
      <c r="C14" s="22">
        <v>266000</v>
      </c>
      <c r="D14" s="22"/>
      <c r="E14" s="22">
        <v>378000</v>
      </c>
      <c r="F14" s="22"/>
      <c r="G14" s="22"/>
      <c r="H14" s="12">
        <f t="shared" si="0"/>
        <v>43906</v>
      </c>
    </row>
    <row r="15" spans="2:11" x14ac:dyDescent="0.3">
      <c r="B15" s="6" t="s">
        <v>14</v>
      </c>
      <c r="C15" s="22">
        <v>428000</v>
      </c>
      <c r="D15" s="22">
        <v>410000</v>
      </c>
      <c r="E15" s="22">
        <v>108000</v>
      </c>
      <c r="F15" s="22"/>
      <c r="G15" s="22"/>
      <c r="H15" s="12">
        <f t="shared" si="0"/>
        <v>43906</v>
      </c>
    </row>
    <row r="16" spans="2:11" x14ac:dyDescent="0.3">
      <c r="B16" s="6" t="s">
        <v>24</v>
      </c>
      <c r="C16" s="22"/>
      <c r="D16" s="22"/>
      <c r="E16" s="22"/>
      <c r="F16" s="49"/>
      <c r="G16" s="22"/>
      <c r="H16" s="12">
        <f t="shared" si="0"/>
        <v>43906</v>
      </c>
    </row>
    <row r="17" spans="1:8" x14ac:dyDescent="0.3">
      <c r="B17" s="6" t="s">
        <v>21</v>
      </c>
      <c r="C17" s="22"/>
      <c r="D17" s="22"/>
      <c r="E17" s="22"/>
      <c r="F17" s="22"/>
      <c r="G17" s="22"/>
      <c r="H17" s="12">
        <f t="shared" si="0"/>
        <v>43906</v>
      </c>
    </row>
    <row r="18" spans="1:8" x14ac:dyDescent="0.3">
      <c r="B18" s="6" t="s">
        <v>18</v>
      </c>
      <c r="C18" s="22"/>
      <c r="D18" s="22"/>
      <c r="E18" s="22"/>
      <c r="F18" s="22"/>
      <c r="G18" s="22"/>
      <c r="H18" s="12">
        <f t="shared" si="0"/>
        <v>43906</v>
      </c>
    </row>
    <row r="19" spans="1:8" x14ac:dyDescent="0.3">
      <c r="B19" s="6" t="s">
        <v>16</v>
      </c>
      <c r="C19" s="22">
        <v>422500</v>
      </c>
      <c r="D19" s="22">
        <v>270000</v>
      </c>
      <c r="E19" s="22"/>
      <c r="F19" s="22"/>
      <c r="G19" s="22"/>
      <c r="H19" s="12">
        <f t="shared" si="0"/>
        <v>43906</v>
      </c>
    </row>
    <row r="20" spans="1:8" x14ac:dyDescent="0.3">
      <c r="B20" s="50" t="s">
        <v>27</v>
      </c>
      <c r="C20" s="51">
        <f>SUM(March16_2020[KSI_AGO])</f>
        <v>1487500</v>
      </c>
      <c r="D20" s="51">
        <f>SUM(March16_2020[KSI_PMS])</f>
        <v>1631000</v>
      </c>
      <c r="E20" s="51">
        <f>SUM(March16_2020[BUIPE_AGO])</f>
        <v>486000</v>
      </c>
      <c r="F20" s="51">
        <f>SUM(March16_2020[BUIPE_PMS])</f>
        <v>0</v>
      </c>
      <c r="G20" s="51">
        <f>SUM(March16_2020[AKOSOMBO_AGO])</f>
        <v>0</v>
      </c>
      <c r="H20" s="52"/>
    </row>
    <row r="21" spans="1:8" x14ac:dyDescent="0.3">
      <c r="B21" s="8"/>
      <c r="C21" s="24"/>
      <c r="D21" s="24"/>
      <c r="E21" s="24"/>
      <c r="F21" s="24"/>
      <c r="G21" s="24"/>
      <c r="H21"/>
    </row>
    <row r="22" spans="1:8" x14ac:dyDescent="0.3">
      <c r="B22" s="1" t="s">
        <v>6</v>
      </c>
      <c r="C22" s="1" t="s">
        <v>4</v>
      </c>
      <c r="D22" s="5">
        <f>SUMIF(March16_2020[[#Headers],[KSI_AGO]:[AKOSOMBO_AGO]],"*"&amp;C22,March16_2020[[#Totals],[KSI_AGO]:[AKOSOMBO_AGO]])</f>
        <v>1973500</v>
      </c>
      <c r="E22" s="1" t="s">
        <v>5</v>
      </c>
      <c r="F22" s="5">
        <f>SUMIF(March16_2020[[#Headers],[KSI_AGO]:[AKOSOMBO_AGO]],"*"&amp;E22,March16_2020[[#Totals],[KSI_AGO]:[AKOSOMBO_AGO]])</f>
        <v>1631000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1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J22" sqref="J22"/>
    </sheetView>
  </sheetViews>
  <sheetFormatPr defaultColWidth="9.109375" defaultRowHeight="14.4" x14ac:dyDescent="0.3"/>
  <cols>
    <col min="1" max="1" width="6.88671875" style="1" customWidth="1"/>
    <col min="2" max="2" width="30" style="1" customWidth="1"/>
    <col min="3" max="3" width="15.109375" style="1" customWidth="1"/>
    <col min="4" max="4" width="15.33203125" style="1" customWidth="1"/>
    <col min="5" max="5" width="19.44140625" style="1" customWidth="1"/>
    <col min="6" max="6" width="16.44140625" style="1" customWidth="1"/>
    <col min="7" max="7" width="29.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43907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43907</v>
      </c>
    </row>
    <row r="7" spans="2:11" x14ac:dyDescent="0.3">
      <c r="B7" s="6" t="s">
        <v>37</v>
      </c>
      <c r="C7" s="22"/>
      <c r="D7" s="22"/>
      <c r="E7" s="22"/>
      <c r="F7" s="22"/>
      <c r="G7" s="22"/>
      <c r="H7" s="67">
        <f>$G$3</f>
        <v>43907</v>
      </c>
    </row>
    <row r="8" spans="2:11" x14ac:dyDescent="0.3">
      <c r="B8" s="6" t="s">
        <v>17</v>
      </c>
      <c r="C8" s="22">
        <v>517000</v>
      </c>
      <c r="D8" s="22"/>
      <c r="E8" s="22"/>
      <c r="F8" s="22"/>
      <c r="G8" s="22"/>
      <c r="H8" s="12">
        <f t="shared" si="0"/>
        <v>43907</v>
      </c>
    </row>
    <row r="9" spans="2:11" ht="15.6" x14ac:dyDescent="0.3">
      <c r="B9" s="34" t="s">
        <v>0</v>
      </c>
      <c r="C9" s="60"/>
      <c r="D9" s="60">
        <v>162000</v>
      </c>
      <c r="E9" s="60"/>
      <c r="F9" s="60"/>
      <c r="G9" s="61"/>
      <c r="H9" s="12">
        <f t="shared" si="0"/>
        <v>43907</v>
      </c>
    </row>
    <row r="10" spans="2:11" x14ac:dyDescent="0.3">
      <c r="B10" s="6" t="s">
        <v>25</v>
      </c>
      <c r="C10" s="22">
        <v>216000</v>
      </c>
      <c r="D10" s="22"/>
      <c r="E10" s="22"/>
      <c r="F10" s="22"/>
      <c r="G10" s="22"/>
      <c r="H10" s="12">
        <f t="shared" si="0"/>
        <v>43907</v>
      </c>
    </row>
    <row r="11" spans="2:11" x14ac:dyDescent="0.3">
      <c r="B11" s="6" t="s">
        <v>15</v>
      </c>
      <c r="C11" s="22"/>
      <c r="D11" s="22"/>
      <c r="E11" s="22"/>
      <c r="F11" s="48"/>
      <c r="G11" s="22"/>
      <c r="H11" s="12">
        <f t="shared" si="0"/>
        <v>43907</v>
      </c>
    </row>
    <row r="12" spans="2:11" x14ac:dyDescent="0.3">
      <c r="B12" s="6" t="s">
        <v>26</v>
      </c>
      <c r="C12" s="22">
        <v>54000</v>
      </c>
      <c r="D12" s="22">
        <v>460000</v>
      </c>
      <c r="E12" s="22"/>
      <c r="F12" s="22"/>
      <c r="G12" s="22"/>
      <c r="H12" s="12">
        <f t="shared" si="0"/>
        <v>43907</v>
      </c>
    </row>
    <row r="13" spans="2:11" x14ac:dyDescent="0.3">
      <c r="B13" s="6" t="s">
        <v>22</v>
      </c>
      <c r="C13" s="23"/>
      <c r="D13" s="23"/>
      <c r="E13" s="23"/>
      <c r="F13" s="22"/>
      <c r="G13" s="23"/>
      <c r="H13" s="12">
        <f t="shared" si="0"/>
        <v>43907</v>
      </c>
      <c r="K13" s="4"/>
    </row>
    <row r="14" spans="2:11" x14ac:dyDescent="0.3">
      <c r="B14" s="6" t="s">
        <v>19</v>
      </c>
      <c r="C14" s="22">
        <v>324000</v>
      </c>
      <c r="D14" s="22"/>
      <c r="E14" s="22">
        <v>802000</v>
      </c>
      <c r="F14" s="22"/>
      <c r="G14" s="22"/>
      <c r="H14" s="12">
        <f t="shared" si="0"/>
        <v>43907</v>
      </c>
    </row>
    <row r="15" spans="2:11" x14ac:dyDescent="0.3">
      <c r="B15" s="6" t="s">
        <v>14</v>
      </c>
      <c r="C15" s="22">
        <v>47000</v>
      </c>
      <c r="D15" s="22">
        <v>890500</v>
      </c>
      <c r="E15" s="22">
        <v>108000</v>
      </c>
      <c r="F15" s="22"/>
      <c r="G15" s="22"/>
      <c r="H15" s="12">
        <f t="shared" si="0"/>
        <v>43907</v>
      </c>
    </row>
    <row r="16" spans="2:11" x14ac:dyDescent="0.3">
      <c r="B16" s="6" t="s">
        <v>24</v>
      </c>
      <c r="C16" s="22"/>
      <c r="D16" s="22"/>
      <c r="E16" s="22"/>
      <c r="F16" s="49"/>
      <c r="G16" s="22"/>
      <c r="H16" s="12">
        <f t="shared" si="0"/>
        <v>43907</v>
      </c>
    </row>
    <row r="17" spans="1:8" x14ac:dyDescent="0.3">
      <c r="B17" s="6" t="s">
        <v>21</v>
      </c>
      <c r="C17" s="22"/>
      <c r="D17" s="22"/>
      <c r="E17" s="22"/>
      <c r="F17" s="22"/>
      <c r="G17" s="22"/>
      <c r="H17" s="12">
        <f t="shared" si="0"/>
        <v>43907</v>
      </c>
    </row>
    <row r="18" spans="1:8" x14ac:dyDescent="0.3">
      <c r="B18" s="6" t="s">
        <v>18</v>
      </c>
      <c r="C18" s="22">
        <v>108000</v>
      </c>
      <c r="D18" s="22"/>
      <c r="E18" s="22"/>
      <c r="F18" s="22"/>
      <c r="G18" s="22"/>
      <c r="H18" s="12">
        <f t="shared" si="0"/>
        <v>43907</v>
      </c>
    </row>
    <row r="19" spans="1:8" x14ac:dyDescent="0.3">
      <c r="B19" s="6" t="s">
        <v>16</v>
      </c>
      <c r="C19" s="22">
        <v>216000</v>
      </c>
      <c r="D19" s="22">
        <v>378000</v>
      </c>
      <c r="E19" s="22"/>
      <c r="F19" s="22">
        <v>54000</v>
      </c>
      <c r="G19" s="22"/>
      <c r="H19" s="12">
        <f t="shared" si="0"/>
        <v>43907</v>
      </c>
    </row>
    <row r="20" spans="1:8" x14ac:dyDescent="0.3">
      <c r="B20" s="50" t="s">
        <v>27</v>
      </c>
      <c r="C20" s="51">
        <f>SUM(March17_2020[KSI_AGO])</f>
        <v>1482000</v>
      </c>
      <c r="D20" s="51">
        <f>SUM(March17_2020[KSI_PMS])</f>
        <v>1890500</v>
      </c>
      <c r="E20" s="51">
        <f>SUM(March17_2020[BUIPE_AGO])</f>
        <v>910000</v>
      </c>
      <c r="F20" s="51">
        <f>SUM(March17_2020[BUIPE_PMS])</f>
        <v>54000</v>
      </c>
      <c r="G20" s="51">
        <f>SUM(March17_2020[AKOSOMBO_AGO])</f>
        <v>0</v>
      </c>
      <c r="H20" s="52"/>
    </row>
    <row r="21" spans="1:8" x14ac:dyDescent="0.3">
      <c r="B21" s="8"/>
      <c r="C21" s="24"/>
      <c r="D21" s="24"/>
      <c r="E21" s="24"/>
      <c r="F21" s="24"/>
      <c r="G21" s="24"/>
      <c r="H21"/>
    </row>
    <row r="22" spans="1:8" x14ac:dyDescent="0.3">
      <c r="B22" s="1" t="s">
        <v>6</v>
      </c>
      <c r="C22" s="1" t="s">
        <v>4</v>
      </c>
      <c r="D22" s="5">
        <f>SUMIF(March17_2020[[#Headers],[KSI_AGO]:[AKOSOMBO_AGO]],"*"&amp;C22,March17_2020[[#Totals],[KSI_AGO]:[AKOSOMBO_AGO]])</f>
        <v>2392000</v>
      </c>
      <c r="E22" s="1" t="s">
        <v>5</v>
      </c>
      <c r="F22" s="5">
        <f>SUMIF(March17_2020[[#Headers],[KSI_AGO]:[AKOSOMBO_AGO]],"*"&amp;E22,March17_2020[[#Totals],[KSI_AGO]:[AKOSOMBO_AGO]])</f>
        <v>1944500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C6DD70DB-0881-4801-910B-4CCE6B911428}">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F15" sqref="F15"/>
    </sheetView>
  </sheetViews>
  <sheetFormatPr defaultColWidth="9.109375" defaultRowHeight="14.4" x14ac:dyDescent="0.3"/>
  <cols>
    <col min="1" max="1" width="6.88671875" style="1" customWidth="1"/>
    <col min="2" max="2" width="26.109375" style="1" customWidth="1"/>
    <col min="3" max="3" width="15.44140625" style="1" customWidth="1"/>
    <col min="4" max="4" width="15.33203125" style="1" customWidth="1"/>
    <col min="5" max="5" width="18.6640625" style="1" customWidth="1"/>
    <col min="6" max="6" width="19.88671875" style="1" customWidth="1"/>
    <col min="7" max="7" width="26.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43908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43908</v>
      </c>
    </row>
    <row r="7" spans="2:11" x14ac:dyDescent="0.3">
      <c r="B7" s="6" t="s">
        <v>37</v>
      </c>
      <c r="C7" s="22"/>
      <c r="D7" s="22"/>
      <c r="E7" s="22"/>
      <c r="F7" s="22"/>
      <c r="G7" s="22"/>
      <c r="H7" s="67">
        <f>$G$3</f>
        <v>43908</v>
      </c>
    </row>
    <row r="8" spans="2:11" x14ac:dyDescent="0.3">
      <c r="B8" s="6" t="s">
        <v>17</v>
      </c>
      <c r="C8" s="22">
        <v>771500</v>
      </c>
      <c r="D8" s="22"/>
      <c r="E8" s="22"/>
      <c r="F8" s="22"/>
      <c r="G8" s="22"/>
      <c r="H8" s="12">
        <f t="shared" si="0"/>
        <v>43908</v>
      </c>
    </row>
    <row r="9" spans="2:11" ht="15.6" x14ac:dyDescent="0.3">
      <c r="B9" s="34" t="s">
        <v>0</v>
      </c>
      <c r="C9" s="60"/>
      <c r="D9" s="60"/>
      <c r="E9" s="60"/>
      <c r="F9" s="60"/>
      <c r="G9" s="61"/>
      <c r="H9" s="12">
        <f t="shared" si="0"/>
        <v>43908</v>
      </c>
    </row>
    <row r="10" spans="2:11" x14ac:dyDescent="0.3">
      <c r="B10" s="6" t="s">
        <v>25</v>
      </c>
      <c r="C10" s="22">
        <v>324000</v>
      </c>
      <c r="D10" s="22"/>
      <c r="E10" s="22"/>
      <c r="F10" s="22"/>
      <c r="G10" s="22"/>
      <c r="H10" s="12">
        <f t="shared" si="0"/>
        <v>43908</v>
      </c>
    </row>
    <row r="11" spans="2:11" x14ac:dyDescent="0.3">
      <c r="B11" s="6" t="s">
        <v>15</v>
      </c>
      <c r="C11" s="22"/>
      <c r="D11" s="22"/>
      <c r="E11" s="22"/>
      <c r="F11" s="48"/>
      <c r="G11" s="22"/>
      <c r="H11" s="12">
        <f t="shared" si="0"/>
        <v>43908</v>
      </c>
    </row>
    <row r="12" spans="2:11" x14ac:dyDescent="0.3">
      <c r="B12" s="6" t="s">
        <v>26</v>
      </c>
      <c r="C12" s="22">
        <v>108000</v>
      </c>
      <c r="D12" s="22">
        <v>108000</v>
      </c>
      <c r="E12" s="22"/>
      <c r="F12" s="22"/>
      <c r="G12" s="22"/>
      <c r="H12" s="12">
        <f t="shared" si="0"/>
        <v>43908</v>
      </c>
    </row>
    <row r="13" spans="2:11" x14ac:dyDescent="0.3">
      <c r="B13" s="6" t="s">
        <v>22</v>
      </c>
      <c r="C13" s="23"/>
      <c r="D13" s="23"/>
      <c r="E13" s="23"/>
      <c r="F13" s="22"/>
      <c r="G13" s="23"/>
      <c r="H13" s="12">
        <f t="shared" si="0"/>
        <v>43908</v>
      </c>
      <c r="K13" s="4"/>
    </row>
    <row r="14" spans="2:11" x14ac:dyDescent="0.3">
      <c r="B14" s="6" t="s">
        <v>19</v>
      </c>
      <c r="C14" s="22">
        <v>428000</v>
      </c>
      <c r="D14" s="22"/>
      <c r="E14" s="22">
        <v>266000</v>
      </c>
      <c r="F14" s="22"/>
      <c r="G14" s="22"/>
      <c r="H14" s="12">
        <f t="shared" si="0"/>
        <v>43908</v>
      </c>
    </row>
    <row r="15" spans="2:11" x14ac:dyDescent="0.3">
      <c r="B15" s="6" t="s">
        <v>14</v>
      </c>
      <c r="C15" s="22">
        <v>795000</v>
      </c>
      <c r="D15" s="22">
        <v>806000</v>
      </c>
      <c r="E15" s="22"/>
      <c r="F15" s="22"/>
      <c r="G15" s="22"/>
      <c r="H15" s="12">
        <f t="shared" si="0"/>
        <v>43908</v>
      </c>
    </row>
    <row r="16" spans="2:11" x14ac:dyDescent="0.3">
      <c r="B16" s="6" t="s">
        <v>24</v>
      </c>
      <c r="C16" s="22"/>
      <c r="D16" s="22"/>
      <c r="E16" s="22"/>
      <c r="F16" s="49"/>
      <c r="G16" s="22"/>
      <c r="H16" s="12">
        <f t="shared" si="0"/>
        <v>43908</v>
      </c>
    </row>
    <row r="17" spans="1:8" x14ac:dyDescent="0.3">
      <c r="B17" s="6" t="s">
        <v>21</v>
      </c>
      <c r="C17" s="22"/>
      <c r="D17" s="22"/>
      <c r="E17" s="22"/>
      <c r="F17" s="22"/>
      <c r="G17" s="22"/>
      <c r="H17" s="12">
        <f t="shared" si="0"/>
        <v>43908</v>
      </c>
    </row>
    <row r="18" spans="1:8" x14ac:dyDescent="0.3">
      <c r="B18" s="6" t="s">
        <v>18</v>
      </c>
      <c r="C18" s="22"/>
      <c r="D18" s="22"/>
      <c r="E18" s="22"/>
      <c r="F18" s="22"/>
      <c r="G18" s="22"/>
      <c r="H18" s="12">
        <f t="shared" si="0"/>
        <v>43908</v>
      </c>
    </row>
    <row r="19" spans="1:8" x14ac:dyDescent="0.3">
      <c r="B19" s="6" t="s">
        <v>16</v>
      </c>
      <c r="C19" s="22">
        <v>108000</v>
      </c>
      <c r="D19" s="22">
        <v>343000</v>
      </c>
      <c r="E19" s="22"/>
      <c r="F19" s="22"/>
      <c r="G19" s="22"/>
      <c r="H19" s="12">
        <f t="shared" si="0"/>
        <v>43908</v>
      </c>
    </row>
    <row r="20" spans="1:8" x14ac:dyDescent="0.3">
      <c r="B20" s="50" t="s">
        <v>27</v>
      </c>
      <c r="C20" s="51">
        <f>SUM(March18_2020[KSI_AGO])</f>
        <v>2534500</v>
      </c>
      <c r="D20" s="51">
        <f>SUM(March18_2020[KSI_PMS])</f>
        <v>1257000</v>
      </c>
      <c r="E20" s="51">
        <f>SUM(March18_2020[BUIPE_AGO])</f>
        <v>266000</v>
      </c>
      <c r="F20" s="51">
        <f>SUM(March18_2020[BUIPE_PMS])</f>
        <v>0</v>
      </c>
      <c r="G20" s="51">
        <f>SUM(March18_2020[AKOSOMBO_AGO])</f>
        <v>0</v>
      </c>
      <c r="H20" s="52"/>
    </row>
    <row r="21" spans="1:8" x14ac:dyDescent="0.3">
      <c r="B21" s="8"/>
      <c r="C21" s="24"/>
      <c r="D21" s="24"/>
      <c r="E21" s="24"/>
      <c r="F21" s="24"/>
      <c r="G21" s="24"/>
      <c r="H21"/>
    </row>
    <row r="22" spans="1:8" x14ac:dyDescent="0.3">
      <c r="B22" s="1" t="s">
        <v>6</v>
      </c>
      <c r="C22" s="1" t="s">
        <v>4</v>
      </c>
      <c r="D22" s="5">
        <f>SUMIF(March18_2020[[#Headers],[KSI_AGO]:[AKOSOMBO_AGO]],"*"&amp;C22,March18_2020[[#Totals],[KSI_AGO]:[AKOSOMBO_AGO]])</f>
        <v>2800500</v>
      </c>
      <c r="E22" s="1" t="s">
        <v>5</v>
      </c>
      <c r="F22" s="5">
        <f>SUMIF(March18_2020[[#Headers],[KSI_AGO]:[AKOSOMBO_AGO]],"*"&amp;E22,March18_2020[[#Totals],[KSI_AGO]:[AKOSOMBO_AGO]])</f>
        <v>1257000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3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F15" sqref="F15"/>
    </sheetView>
  </sheetViews>
  <sheetFormatPr defaultColWidth="9.109375" defaultRowHeight="14.4" x14ac:dyDescent="0.3"/>
  <cols>
    <col min="1" max="1" width="6.88671875" style="1" customWidth="1"/>
    <col min="2" max="2" width="26.109375" style="1" customWidth="1"/>
    <col min="3" max="3" width="15.5546875" style="1" customWidth="1"/>
    <col min="4" max="4" width="16" style="1" customWidth="1"/>
    <col min="5" max="5" width="17.88671875" style="1" customWidth="1"/>
    <col min="6" max="6" width="18.33203125" style="1" customWidth="1"/>
    <col min="7" max="7" width="27.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43909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43909</v>
      </c>
    </row>
    <row r="7" spans="2:11" x14ac:dyDescent="0.3">
      <c r="B7" s="6" t="s">
        <v>37</v>
      </c>
      <c r="C7" s="22"/>
      <c r="D7" s="22"/>
      <c r="E7" s="22"/>
      <c r="F7" s="22"/>
      <c r="G7" s="22"/>
      <c r="H7" s="67">
        <f>$G$3</f>
        <v>43909</v>
      </c>
    </row>
    <row r="8" spans="2:11" x14ac:dyDescent="0.3">
      <c r="B8" s="6" t="s">
        <v>17</v>
      </c>
      <c r="C8" s="22">
        <v>410000</v>
      </c>
      <c r="D8" s="22"/>
      <c r="E8" s="22"/>
      <c r="F8" s="22"/>
      <c r="G8" s="22"/>
      <c r="H8" s="12">
        <f t="shared" si="0"/>
        <v>43909</v>
      </c>
    </row>
    <row r="9" spans="2:11" ht="15.6" x14ac:dyDescent="0.3">
      <c r="B9" s="34" t="s">
        <v>0</v>
      </c>
      <c r="C9" s="60"/>
      <c r="D9" s="60"/>
      <c r="E9" s="60"/>
      <c r="F9" s="60"/>
      <c r="G9" s="61"/>
      <c r="H9" s="12">
        <f t="shared" si="0"/>
        <v>43909</v>
      </c>
    </row>
    <row r="10" spans="2:11" x14ac:dyDescent="0.3">
      <c r="B10" s="6" t="s">
        <v>25</v>
      </c>
      <c r="C10" s="22"/>
      <c r="D10" s="22"/>
      <c r="E10" s="22"/>
      <c r="F10" s="22"/>
      <c r="G10" s="22"/>
      <c r="H10" s="12">
        <f t="shared" si="0"/>
        <v>43909</v>
      </c>
    </row>
    <row r="11" spans="2:11" x14ac:dyDescent="0.3">
      <c r="B11" s="6" t="s">
        <v>15</v>
      </c>
      <c r="C11" s="22"/>
      <c r="D11" s="22"/>
      <c r="E11" s="22"/>
      <c r="F11" s="48"/>
      <c r="G11" s="22"/>
      <c r="H11" s="12">
        <f t="shared" si="0"/>
        <v>43909</v>
      </c>
    </row>
    <row r="12" spans="2:11" x14ac:dyDescent="0.3">
      <c r="B12" s="6" t="s">
        <v>26</v>
      </c>
      <c r="C12" s="22"/>
      <c r="D12" s="22"/>
      <c r="E12" s="22"/>
      <c r="F12" s="22"/>
      <c r="G12" s="22"/>
      <c r="H12" s="12">
        <f t="shared" si="0"/>
        <v>43909</v>
      </c>
    </row>
    <row r="13" spans="2:11" x14ac:dyDescent="0.3">
      <c r="B13" s="6" t="s">
        <v>22</v>
      </c>
      <c r="C13" s="23"/>
      <c r="D13" s="23"/>
      <c r="E13" s="23"/>
      <c r="F13" s="22"/>
      <c r="G13" s="23"/>
      <c r="H13" s="12">
        <f t="shared" si="0"/>
        <v>43909</v>
      </c>
      <c r="K13" s="4"/>
    </row>
    <row r="14" spans="2:11" x14ac:dyDescent="0.3">
      <c r="B14" s="6" t="s">
        <v>19</v>
      </c>
      <c r="C14" s="22">
        <v>432000</v>
      </c>
      <c r="D14" s="22"/>
      <c r="E14" s="22"/>
      <c r="F14" s="22"/>
      <c r="G14" s="22"/>
      <c r="H14" s="12">
        <f t="shared" si="0"/>
        <v>43909</v>
      </c>
    </row>
    <row r="15" spans="2:11" x14ac:dyDescent="0.3">
      <c r="B15" s="6" t="s">
        <v>14</v>
      </c>
      <c r="C15" s="22">
        <v>683000</v>
      </c>
      <c r="D15" s="22">
        <v>572000</v>
      </c>
      <c r="E15" s="22">
        <v>590000</v>
      </c>
      <c r="F15" s="22"/>
      <c r="G15" s="22"/>
      <c r="H15" s="12">
        <f t="shared" si="0"/>
        <v>43909</v>
      </c>
    </row>
    <row r="16" spans="2:11" x14ac:dyDescent="0.3">
      <c r="B16" s="6" t="s">
        <v>24</v>
      </c>
      <c r="C16" s="22"/>
      <c r="D16" s="22"/>
      <c r="E16" s="22"/>
      <c r="F16" s="49"/>
      <c r="G16" s="22"/>
      <c r="H16" s="12">
        <f t="shared" si="0"/>
        <v>43909</v>
      </c>
    </row>
    <row r="17" spans="1:8" x14ac:dyDescent="0.3">
      <c r="B17" s="6" t="s">
        <v>21</v>
      </c>
      <c r="C17" s="22"/>
      <c r="D17" s="22"/>
      <c r="E17" s="22"/>
      <c r="F17" s="22"/>
      <c r="G17" s="22"/>
      <c r="H17" s="12">
        <f t="shared" si="0"/>
        <v>43909</v>
      </c>
    </row>
    <row r="18" spans="1:8" x14ac:dyDescent="0.3">
      <c r="B18" s="6" t="s">
        <v>18</v>
      </c>
      <c r="C18" s="22"/>
      <c r="D18" s="22"/>
      <c r="E18" s="22"/>
      <c r="F18" s="22"/>
      <c r="G18" s="22"/>
      <c r="H18" s="12">
        <f t="shared" si="0"/>
        <v>43909</v>
      </c>
    </row>
    <row r="19" spans="1:8" x14ac:dyDescent="0.3">
      <c r="B19" s="6" t="s">
        <v>16</v>
      </c>
      <c r="C19" s="22"/>
      <c r="D19" s="22"/>
      <c r="E19" s="22"/>
      <c r="F19" s="22"/>
      <c r="G19" s="22"/>
      <c r="H19" s="12">
        <f t="shared" si="0"/>
        <v>43909</v>
      </c>
    </row>
    <row r="20" spans="1:8" x14ac:dyDescent="0.3">
      <c r="B20" s="50" t="s">
        <v>27</v>
      </c>
      <c r="C20" s="51">
        <f>SUM(March19_2020[KSI_AGO])</f>
        <v>1525000</v>
      </c>
      <c r="D20" s="51">
        <f>SUM(March19_2020[KSI_PMS])</f>
        <v>572000</v>
      </c>
      <c r="E20" s="51">
        <f>SUM(March19_2020[BUIPE_AGO])</f>
        <v>590000</v>
      </c>
      <c r="F20" s="51">
        <f>SUM(March19_2020[BUIPE_PMS])</f>
        <v>0</v>
      </c>
      <c r="G20" s="51">
        <f>SUM(March19_2020[AKOSOMBO_AGO])</f>
        <v>0</v>
      </c>
      <c r="H20" s="52"/>
    </row>
    <row r="21" spans="1:8" x14ac:dyDescent="0.3">
      <c r="B21" s="8"/>
      <c r="C21" s="24"/>
      <c r="D21" s="24"/>
      <c r="E21" s="24"/>
      <c r="F21" s="24"/>
      <c r="G21" s="24"/>
      <c r="H21"/>
    </row>
    <row r="22" spans="1:8" x14ac:dyDescent="0.3">
      <c r="B22" s="1" t="s">
        <v>6</v>
      </c>
      <c r="C22" s="1" t="s">
        <v>4</v>
      </c>
      <c r="D22" s="5">
        <f>SUMIF(March19_2020[[#Headers],[KSI_AGO]:[AKOSOMBO_AGO]],"*"&amp;C22,March19_2020[[#Totals],[KSI_AGO]:[AKOSOMBO_AGO]])</f>
        <v>2115000</v>
      </c>
      <c r="E22" s="1" t="s">
        <v>5</v>
      </c>
      <c r="F22" s="5">
        <f>SUMIF(March19_2020[[#Headers],[KSI_AGO]:[AKOSOMBO_AGO]],"*"&amp;E22,March19_2020[[#Totals],[KSI_AGO]:[AKOSOMBO_AGO]])</f>
        <v>572000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4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F10" sqref="F10"/>
    </sheetView>
  </sheetViews>
  <sheetFormatPr defaultColWidth="9.109375" defaultRowHeight="14.4" x14ac:dyDescent="0.3"/>
  <cols>
    <col min="1" max="1" width="6.88671875" style="1" customWidth="1"/>
    <col min="2" max="2" width="26.109375" style="1" customWidth="1"/>
    <col min="3" max="3" width="14.5546875" style="1" customWidth="1"/>
    <col min="4" max="4" width="15.6640625" style="1" customWidth="1"/>
    <col min="5" max="5" width="18.6640625" style="1" customWidth="1"/>
    <col min="6" max="6" width="20" style="1" customWidth="1"/>
    <col min="7" max="7" width="30"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43910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43910</v>
      </c>
    </row>
    <row r="7" spans="2:11" x14ac:dyDescent="0.3">
      <c r="B7" s="6" t="s">
        <v>37</v>
      </c>
      <c r="C7" s="22"/>
      <c r="D7" s="22"/>
      <c r="E7" s="22"/>
      <c r="F7" s="22"/>
      <c r="G7" s="22"/>
      <c r="H7" s="67">
        <f>$G$3</f>
        <v>43910</v>
      </c>
    </row>
    <row r="8" spans="2:11" x14ac:dyDescent="0.3">
      <c r="B8" s="6" t="s">
        <v>17</v>
      </c>
      <c r="C8" s="22">
        <v>270000</v>
      </c>
      <c r="D8" s="22"/>
      <c r="E8" s="22"/>
      <c r="F8" s="22"/>
      <c r="G8" s="22"/>
      <c r="H8" s="12">
        <f t="shared" si="0"/>
        <v>43910</v>
      </c>
    </row>
    <row r="9" spans="2:11" ht="15.6" x14ac:dyDescent="0.3">
      <c r="B9" s="34" t="s">
        <v>0</v>
      </c>
      <c r="C9" s="60"/>
      <c r="D9" s="60"/>
      <c r="E9" s="60"/>
      <c r="F9" s="60"/>
      <c r="G9" s="61"/>
      <c r="H9" s="12">
        <f t="shared" si="0"/>
        <v>43910</v>
      </c>
    </row>
    <row r="10" spans="2:11" x14ac:dyDescent="0.3">
      <c r="B10" s="6" t="s">
        <v>25</v>
      </c>
      <c r="C10" s="22"/>
      <c r="D10" s="22"/>
      <c r="E10" s="22"/>
      <c r="F10" s="22"/>
      <c r="G10" s="22"/>
      <c r="H10" s="12">
        <f t="shared" si="0"/>
        <v>43910</v>
      </c>
    </row>
    <row r="11" spans="2:11" x14ac:dyDescent="0.3">
      <c r="B11" s="6" t="s">
        <v>15</v>
      </c>
      <c r="C11" s="22"/>
      <c r="D11" s="22"/>
      <c r="E11" s="22"/>
      <c r="F11" s="48"/>
      <c r="G11" s="22"/>
      <c r="H11" s="12">
        <f t="shared" si="0"/>
        <v>43910</v>
      </c>
    </row>
    <row r="12" spans="2:11" x14ac:dyDescent="0.3">
      <c r="B12" s="6" t="s">
        <v>26</v>
      </c>
      <c r="C12" s="22"/>
      <c r="D12" s="22"/>
      <c r="E12" s="22"/>
      <c r="F12" s="22"/>
      <c r="G12" s="22"/>
      <c r="H12" s="12">
        <f t="shared" si="0"/>
        <v>43910</v>
      </c>
    </row>
    <row r="13" spans="2:11" x14ac:dyDescent="0.3">
      <c r="B13" s="6" t="s">
        <v>22</v>
      </c>
      <c r="C13" s="23"/>
      <c r="D13" s="23"/>
      <c r="E13" s="23"/>
      <c r="F13" s="22"/>
      <c r="G13" s="23"/>
      <c r="H13" s="12">
        <f t="shared" si="0"/>
        <v>43910</v>
      </c>
      <c r="K13" s="4"/>
    </row>
    <row r="14" spans="2:11" x14ac:dyDescent="0.3">
      <c r="B14" s="6" t="s">
        <v>19</v>
      </c>
      <c r="C14" s="22">
        <v>261000</v>
      </c>
      <c r="D14" s="22"/>
      <c r="E14" s="22"/>
      <c r="F14" s="22"/>
      <c r="G14" s="22"/>
      <c r="H14" s="12">
        <f t="shared" si="0"/>
        <v>43910</v>
      </c>
    </row>
    <row r="15" spans="2:11" x14ac:dyDescent="0.3">
      <c r="B15" s="6" t="s">
        <v>14</v>
      </c>
      <c r="C15" s="22">
        <v>479000</v>
      </c>
      <c r="D15" s="22">
        <v>689000</v>
      </c>
      <c r="E15" s="22">
        <v>906000</v>
      </c>
      <c r="F15" s="22">
        <v>54000</v>
      </c>
      <c r="G15" s="22"/>
      <c r="H15" s="12">
        <f t="shared" si="0"/>
        <v>43910</v>
      </c>
    </row>
    <row r="16" spans="2:11" x14ac:dyDescent="0.3">
      <c r="B16" s="6" t="s">
        <v>24</v>
      </c>
      <c r="C16" s="22"/>
      <c r="D16" s="22"/>
      <c r="E16" s="22"/>
      <c r="F16" s="49"/>
      <c r="G16" s="22"/>
      <c r="H16" s="12">
        <f t="shared" si="0"/>
        <v>43910</v>
      </c>
    </row>
    <row r="17" spans="1:8" x14ac:dyDescent="0.3">
      <c r="B17" s="6" t="s">
        <v>21</v>
      </c>
      <c r="C17" s="22"/>
      <c r="D17" s="22"/>
      <c r="E17" s="22"/>
      <c r="F17" s="22"/>
      <c r="G17" s="22"/>
      <c r="H17" s="12">
        <f t="shared" si="0"/>
        <v>43910</v>
      </c>
    </row>
    <row r="18" spans="1:8" x14ac:dyDescent="0.3">
      <c r="B18" s="6" t="s">
        <v>18</v>
      </c>
      <c r="C18" s="22"/>
      <c r="D18" s="22"/>
      <c r="E18" s="22"/>
      <c r="F18" s="22"/>
      <c r="G18" s="22"/>
      <c r="H18" s="12">
        <f t="shared" si="0"/>
        <v>43910</v>
      </c>
    </row>
    <row r="19" spans="1:8" x14ac:dyDescent="0.3">
      <c r="B19" s="6" t="s">
        <v>16</v>
      </c>
      <c r="C19" s="22"/>
      <c r="D19" s="22"/>
      <c r="E19" s="22"/>
      <c r="F19" s="22"/>
      <c r="G19" s="22"/>
      <c r="H19" s="12">
        <f t="shared" si="0"/>
        <v>43910</v>
      </c>
    </row>
    <row r="20" spans="1:8" x14ac:dyDescent="0.3">
      <c r="B20" s="50" t="s">
        <v>27</v>
      </c>
      <c r="C20" s="51">
        <f>SUM(March20_2020[KSI_AGO])</f>
        <v>1010000</v>
      </c>
      <c r="D20" s="51">
        <f>SUM(March20_2020[KSI_PMS])</f>
        <v>689000</v>
      </c>
      <c r="E20" s="51">
        <f>SUM(March20_2020[BUIPE_AGO])</f>
        <v>906000</v>
      </c>
      <c r="F20" s="51">
        <f>SUM(March20_2020[BUIPE_PMS])</f>
        <v>54000</v>
      </c>
      <c r="G20" s="51">
        <f>SUM(March20_2020[AKOSOMBO_AGO])</f>
        <v>0</v>
      </c>
      <c r="H20" s="52"/>
    </row>
    <row r="21" spans="1:8" x14ac:dyDescent="0.3">
      <c r="B21" s="8"/>
      <c r="C21" s="24"/>
      <c r="D21" s="24"/>
      <c r="E21" s="24"/>
      <c r="F21" s="24"/>
      <c r="G21" s="24"/>
      <c r="H21"/>
    </row>
    <row r="22" spans="1:8" x14ac:dyDescent="0.3">
      <c r="B22" s="1" t="s">
        <v>6</v>
      </c>
      <c r="C22" s="1" t="s">
        <v>4</v>
      </c>
      <c r="D22" s="5">
        <f>SUMIF(March20_2020[[#Headers],[KSI_AGO]:[AKOSOMBO_AGO]],"*"&amp;C22,March20_2020[[#Totals],[KSI_AGO]:[AKOSOMBO_AGO]])</f>
        <v>1916000</v>
      </c>
      <c r="E22" s="1" t="s">
        <v>5</v>
      </c>
      <c r="F22" s="5">
        <f>SUMIF(March20_2020[[#Headers],[KSI_AGO]:[AKOSOMBO_AGO]],"*"&amp;E22,March20_2020[[#Totals],[KSI_AGO]:[AKOSOMBO_AGO]])</f>
        <v>743000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5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G12" sqref="G12"/>
    </sheetView>
  </sheetViews>
  <sheetFormatPr defaultColWidth="9.109375" defaultRowHeight="14.4" x14ac:dyDescent="0.3"/>
  <cols>
    <col min="1" max="1" width="6.88671875" style="1" customWidth="1"/>
    <col min="2" max="2" width="26.109375" style="1" customWidth="1"/>
    <col min="3" max="3" width="16.109375" style="1" customWidth="1"/>
    <col min="4" max="4" width="15.88671875" style="1" customWidth="1"/>
    <col min="5" max="5" width="20" style="1" customWidth="1"/>
    <col min="6" max="6" width="18.6640625" style="1" customWidth="1"/>
    <col min="7" max="7" width="27.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43913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43913</v>
      </c>
    </row>
    <row r="7" spans="2:11" x14ac:dyDescent="0.3">
      <c r="B7" s="6" t="s">
        <v>37</v>
      </c>
      <c r="C7" s="22"/>
      <c r="D7" s="22"/>
      <c r="E7" s="22"/>
      <c r="F7" s="22"/>
      <c r="G7" s="22"/>
      <c r="H7" s="67">
        <f>$G$3</f>
        <v>43913</v>
      </c>
    </row>
    <row r="8" spans="2:11" x14ac:dyDescent="0.3">
      <c r="B8" s="6" t="s">
        <v>17</v>
      </c>
      <c r="C8" s="22">
        <v>730000</v>
      </c>
      <c r="D8" s="22"/>
      <c r="E8" s="22"/>
      <c r="F8" s="22"/>
      <c r="G8" s="22"/>
      <c r="H8" s="12">
        <f t="shared" si="0"/>
        <v>43913</v>
      </c>
    </row>
    <row r="9" spans="2:11" ht="15.6" x14ac:dyDescent="0.3">
      <c r="B9" s="34" t="s">
        <v>0</v>
      </c>
      <c r="C9" s="60"/>
      <c r="D9" s="60">
        <v>207000</v>
      </c>
      <c r="E9" s="60"/>
      <c r="F9" s="60"/>
      <c r="G9" s="61"/>
      <c r="H9" s="12">
        <f t="shared" si="0"/>
        <v>43913</v>
      </c>
    </row>
    <row r="10" spans="2:11" x14ac:dyDescent="0.3">
      <c r="B10" s="6" t="s">
        <v>25</v>
      </c>
      <c r="C10" s="22"/>
      <c r="D10" s="22"/>
      <c r="E10" s="22"/>
      <c r="F10" s="22"/>
      <c r="G10" s="22"/>
      <c r="H10" s="12">
        <f t="shared" si="0"/>
        <v>43913</v>
      </c>
    </row>
    <row r="11" spans="2:11" x14ac:dyDescent="0.3">
      <c r="B11" s="6" t="s">
        <v>15</v>
      </c>
      <c r="C11" s="22"/>
      <c r="D11" s="22"/>
      <c r="E11" s="22"/>
      <c r="F11" s="48"/>
      <c r="G11" s="22"/>
      <c r="H11" s="12">
        <f t="shared" si="0"/>
        <v>43913</v>
      </c>
    </row>
    <row r="12" spans="2:11" x14ac:dyDescent="0.3">
      <c r="B12" s="6" t="s">
        <v>26</v>
      </c>
      <c r="C12" s="22">
        <v>162000</v>
      </c>
      <c r="D12" s="22"/>
      <c r="E12" s="22"/>
      <c r="F12" s="22"/>
      <c r="G12" s="22"/>
      <c r="H12" s="12">
        <f t="shared" si="0"/>
        <v>43913</v>
      </c>
    </row>
    <row r="13" spans="2:11" x14ac:dyDescent="0.3">
      <c r="B13" s="6" t="s">
        <v>22</v>
      </c>
      <c r="C13" s="23"/>
      <c r="D13" s="23"/>
      <c r="E13" s="23"/>
      <c r="F13" s="22"/>
      <c r="G13" s="23"/>
      <c r="H13" s="12">
        <f t="shared" si="0"/>
        <v>43913</v>
      </c>
      <c r="K13" s="4"/>
    </row>
    <row r="14" spans="2:11" x14ac:dyDescent="0.3">
      <c r="B14" s="6" t="s">
        <v>19</v>
      </c>
      <c r="C14" s="22">
        <v>324000</v>
      </c>
      <c r="D14" s="22"/>
      <c r="E14" s="22"/>
      <c r="F14" s="22"/>
      <c r="G14" s="22"/>
      <c r="H14" s="12">
        <f t="shared" si="0"/>
        <v>43913</v>
      </c>
    </row>
    <row r="15" spans="2:11" x14ac:dyDescent="0.3">
      <c r="B15" s="6" t="s">
        <v>14</v>
      </c>
      <c r="C15" s="22">
        <v>108000</v>
      </c>
      <c r="D15" s="22">
        <v>324000</v>
      </c>
      <c r="E15" s="22"/>
      <c r="F15" s="22"/>
      <c r="G15" s="22"/>
      <c r="H15" s="12">
        <f t="shared" si="0"/>
        <v>43913</v>
      </c>
    </row>
    <row r="16" spans="2:11" x14ac:dyDescent="0.3">
      <c r="B16" s="6" t="s">
        <v>24</v>
      </c>
      <c r="C16" s="22"/>
      <c r="D16" s="22"/>
      <c r="E16" s="22"/>
      <c r="F16" s="49"/>
      <c r="G16" s="22"/>
      <c r="H16" s="12">
        <f t="shared" si="0"/>
        <v>43913</v>
      </c>
    </row>
    <row r="17" spans="1:8" x14ac:dyDescent="0.3">
      <c r="B17" s="6" t="s">
        <v>21</v>
      </c>
      <c r="C17" s="22"/>
      <c r="D17" s="22"/>
      <c r="E17" s="22"/>
      <c r="F17" s="22"/>
      <c r="G17" s="22"/>
      <c r="H17" s="12">
        <f t="shared" si="0"/>
        <v>43913</v>
      </c>
    </row>
    <row r="18" spans="1:8" x14ac:dyDescent="0.3">
      <c r="B18" s="6" t="s">
        <v>18</v>
      </c>
      <c r="C18" s="22"/>
      <c r="D18" s="22"/>
      <c r="E18" s="22"/>
      <c r="F18" s="22"/>
      <c r="G18" s="22"/>
      <c r="H18" s="12">
        <f t="shared" si="0"/>
        <v>43913</v>
      </c>
    </row>
    <row r="19" spans="1:8" x14ac:dyDescent="0.3">
      <c r="B19" s="6" t="s">
        <v>16</v>
      </c>
      <c r="C19" s="22"/>
      <c r="D19" s="22"/>
      <c r="E19" s="22"/>
      <c r="F19" s="22"/>
      <c r="G19" s="22"/>
      <c r="H19" s="12">
        <f t="shared" si="0"/>
        <v>43913</v>
      </c>
    </row>
    <row r="20" spans="1:8" x14ac:dyDescent="0.3">
      <c r="B20" s="50" t="s">
        <v>27</v>
      </c>
      <c r="C20" s="51">
        <f>SUM(March23_2020[KSI_AGO])</f>
        <v>1324000</v>
      </c>
      <c r="D20" s="51">
        <f>SUM(March23_2020[KSI_PMS])</f>
        <v>531000</v>
      </c>
      <c r="E20" s="51">
        <f>SUM(March23_2020[BUIPE_AGO])</f>
        <v>0</v>
      </c>
      <c r="F20" s="51">
        <f>SUM(March23_2020[BUIPE_PMS])</f>
        <v>0</v>
      </c>
      <c r="G20" s="51">
        <f>SUM(March23_2020[AKOSOMBO_AGO])</f>
        <v>0</v>
      </c>
      <c r="H20" s="52"/>
    </row>
    <row r="21" spans="1:8" x14ac:dyDescent="0.3">
      <c r="B21" s="8"/>
      <c r="C21" s="24"/>
      <c r="D21" s="24"/>
      <c r="E21" s="24"/>
      <c r="F21" s="24"/>
      <c r="G21" s="24"/>
      <c r="H21"/>
    </row>
    <row r="22" spans="1:8" x14ac:dyDescent="0.3">
      <c r="B22" s="1" t="s">
        <v>6</v>
      </c>
      <c r="C22" s="1" t="s">
        <v>4</v>
      </c>
      <c r="D22" s="5">
        <f>SUMIF(March23_2020[[#Headers],[KSI_AGO]:[AKOSOMBO_AGO]],"*"&amp;C22,March23_2020[[#Totals],[KSI_AGO]:[AKOSOMBO_AGO]])</f>
        <v>1324000</v>
      </c>
      <c r="E22" s="1" t="s">
        <v>5</v>
      </c>
      <c r="F22" s="5">
        <f>SUMIF(March23_2020[[#Headers],[KSI_AGO]:[AKOSOMBO_AGO]],"*"&amp;E22,March23_2020[[#Totals],[KSI_AGO]:[AKOSOMBO_AGO]])</f>
        <v>531000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6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pageSetUpPr fitToPage="1"/>
  </sheetPr>
  <dimension ref="A1:K32"/>
  <sheetViews>
    <sheetView zoomScale="115" zoomScaleNormal="115" workbookViewId="0">
      <pane xSplit="1" ySplit="5" topLeftCell="B9" activePane="bottomRight" state="frozen"/>
      <selection activeCell="E3" sqref="E3"/>
      <selection pane="topRight" activeCell="E3" sqref="E3"/>
      <selection pane="bottomLeft" activeCell="E3" sqref="E3"/>
      <selection pane="bottomRight" activeCell="D9" sqref="D9"/>
    </sheetView>
  </sheetViews>
  <sheetFormatPr defaultColWidth="9.109375" defaultRowHeight="14.4" x14ac:dyDescent="0.3"/>
  <cols>
    <col min="1" max="1" width="6.88671875" style="1" customWidth="1"/>
    <col min="2" max="2" width="26.109375" style="1" customWidth="1"/>
    <col min="3" max="3" width="16.5546875" style="1" customWidth="1"/>
    <col min="4" max="4" width="15.88671875" style="1" customWidth="1"/>
    <col min="5" max="5" width="17.44140625" style="1" customWidth="1"/>
    <col min="6" max="6" width="18.44140625" style="1" customWidth="1"/>
    <col min="7" max="7" width="29.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43914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43914</v>
      </c>
    </row>
    <row r="7" spans="2:11" x14ac:dyDescent="0.3">
      <c r="B7" s="6" t="s">
        <v>37</v>
      </c>
      <c r="C7" s="22"/>
      <c r="D7" s="22"/>
      <c r="E7" s="22"/>
      <c r="F7" s="22"/>
      <c r="G7" s="22"/>
      <c r="H7" s="67">
        <f>$G$3</f>
        <v>43914</v>
      </c>
    </row>
    <row r="8" spans="2:11" x14ac:dyDescent="0.3">
      <c r="B8" s="6" t="s">
        <v>17</v>
      </c>
      <c r="C8" s="22">
        <v>909500</v>
      </c>
      <c r="D8" s="22"/>
      <c r="E8" s="22"/>
      <c r="F8" s="22"/>
      <c r="G8" s="22"/>
      <c r="H8" s="12">
        <f t="shared" si="0"/>
        <v>43914</v>
      </c>
    </row>
    <row r="9" spans="2:11" ht="15.6" x14ac:dyDescent="0.3">
      <c r="B9" s="34" t="s">
        <v>0</v>
      </c>
      <c r="C9" s="60"/>
      <c r="D9" s="60"/>
      <c r="E9" s="60"/>
      <c r="F9" s="60"/>
      <c r="G9" s="61"/>
      <c r="H9" s="12">
        <f t="shared" si="0"/>
        <v>43914</v>
      </c>
    </row>
    <row r="10" spans="2:11" x14ac:dyDescent="0.3">
      <c r="B10" s="6" t="s">
        <v>25</v>
      </c>
      <c r="C10" s="22">
        <v>216000</v>
      </c>
      <c r="D10" s="22"/>
      <c r="E10" s="22"/>
      <c r="F10" s="22"/>
      <c r="G10" s="22"/>
      <c r="H10" s="12">
        <f t="shared" si="0"/>
        <v>43914</v>
      </c>
    </row>
    <row r="11" spans="2:11" x14ac:dyDescent="0.3">
      <c r="B11" s="6" t="s">
        <v>15</v>
      </c>
      <c r="C11" s="22"/>
      <c r="D11" s="22"/>
      <c r="E11" s="22"/>
      <c r="F11" s="48"/>
      <c r="G11" s="22"/>
      <c r="H11" s="12">
        <f t="shared" si="0"/>
        <v>43914</v>
      </c>
    </row>
    <row r="12" spans="2:11" x14ac:dyDescent="0.3">
      <c r="B12" s="6" t="s">
        <v>26</v>
      </c>
      <c r="C12" s="22">
        <v>90000</v>
      </c>
      <c r="D12" s="22"/>
      <c r="E12" s="22"/>
      <c r="F12" s="22"/>
      <c r="G12" s="22"/>
      <c r="H12" s="12">
        <f t="shared" si="0"/>
        <v>43914</v>
      </c>
    </row>
    <row r="13" spans="2:11" x14ac:dyDescent="0.3">
      <c r="B13" s="6" t="s">
        <v>22</v>
      </c>
      <c r="C13" s="23"/>
      <c r="D13" s="23"/>
      <c r="E13" s="23"/>
      <c r="F13" s="22"/>
      <c r="G13" s="23"/>
      <c r="H13" s="12">
        <f t="shared" si="0"/>
        <v>43914</v>
      </c>
      <c r="K13" s="4"/>
    </row>
    <row r="14" spans="2:11" x14ac:dyDescent="0.3">
      <c r="B14" s="6" t="s">
        <v>19</v>
      </c>
      <c r="C14" s="22"/>
      <c r="D14" s="22"/>
      <c r="E14" s="22"/>
      <c r="F14" s="22"/>
      <c r="G14" s="22"/>
      <c r="H14" s="12">
        <f t="shared" si="0"/>
        <v>43914</v>
      </c>
    </row>
    <row r="15" spans="2:11" x14ac:dyDescent="0.3">
      <c r="B15" s="6" t="s">
        <v>14</v>
      </c>
      <c r="C15" s="22">
        <v>693500</v>
      </c>
      <c r="D15" s="22"/>
      <c r="E15" s="22"/>
      <c r="F15" s="22"/>
      <c r="G15" s="22"/>
      <c r="H15" s="12">
        <f t="shared" si="0"/>
        <v>43914</v>
      </c>
    </row>
    <row r="16" spans="2:11" x14ac:dyDescent="0.3">
      <c r="B16" s="6" t="s">
        <v>24</v>
      </c>
      <c r="C16" s="22"/>
      <c r="D16" s="22"/>
      <c r="E16" s="22"/>
      <c r="F16" s="49"/>
      <c r="G16" s="22"/>
      <c r="H16" s="12">
        <f t="shared" si="0"/>
        <v>43914</v>
      </c>
    </row>
    <row r="17" spans="1:8" x14ac:dyDescent="0.3">
      <c r="B17" s="6" t="s">
        <v>21</v>
      </c>
      <c r="C17" s="22"/>
      <c r="D17" s="22"/>
      <c r="E17" s="22"/>
      <c r="F17" s="22"/>
      <c r="G17" s="22"/>
      <c r="H17" s="12">
        <f t="shared" si="0"/>
        <v>43914</v>
      </c>
    </row>
    <row r="18" spans="1:8" x14ac:dyDescent="0.3">
      <c r="B18" s="6" t="s">
        <v>18</v>
      </c>
      <c r="C18" s="22"/>
      <c r="D18" s="22"/>
      <c r="E18" s="22"/>
      <c r="F18" s="22"/>
      <c r="G18" s="22"/>
      <c r="H18" s="12">
        <f t="shared" si="0"/>
        <v>43914</v>
      </c>
    </row>
    <row r="19" spans="1:8" x14ac:dyDescent="0.3">
      <c r="B19" s="6" t="s">
        <v>16</v>
      </c>
      <c r="C19" s="22"/>
      <c r="D19" s="22"/>
      <c r="E19" s="22"/>
      <c r="F19" s="22"/>
      <c r="G19" s="22"/>
      <c r="H19" s="12">
        <f t="shared" si="0"/>
        <v>43914</v>
      </c>
    </row>
    <row r="20" spans="1:8" x14ac:dyDescent="0.3">
      <c r="B20" s="50" t="s">
        <v>27</v>
      </c>
      <c r="C20" s="51">
        <f>SUM(March24_2020[KSI_AGO])</f>
        <v>1909000</v>
      </c>
      <c r="D20" s="51">
        <f>SUM(March24_2020[KSI_PMS])</f>
        <v>0</v>
      </c>
      <c r="E20" s="51">
        <f>SUM(March24_2020[BUIPE_AGO])</f>
        <v>0</v>
      </c>
      <c r="F20" s="51">
        <f>SUM(March24_2020[BUIPE_PMS])</f>
        <v>0</v>
      </c>
      <c r="G20" s="51">
        <f>SUM(March24_2020[AKOSOMBO_AGO])</f>
        <v>0</v>
      </c>
      <c r="H20" s="52"/>
    </row>
    <row r="21" spans="1:8" x14ac:dyDescent="0.3">
      <c r="B21" s="8"/>
      <c r="C21" s="24"/>
      <c r="D21" s="24"/>
      <c r="E21" s="24"/>
      <c r="F21" s="24"/>
      <c r="G21" s="24"/>
      <c r="H21"/>
    </row>
    <row r="22" spans="1:8" x14ac:dyDescent="0.3">
      <c r="B22" s="1" t="s">
        <v>6</v>
      </c>
      <c r="C22" s="1" t="s">
        <v>4</v>
      </c>
      <c r="D22" s="5">
        <f>SUMIF(March24_2020[[#Headers],[KSI_AGO]:[AKOSOMBO_AGO]],"*"&amp;C22,March24_2020[[#Totals],[KSI_AGO]:[AKOSOMBO_AGO]])</f>
        <v>1909000</v>
      </c>
      <c r="E22" s="1" t="s">
        <v>5</v>
      </c>
      <c r="F22" s="5">
        <f>SUMIF(March24_2020[[#Headers],[KSI_AGO]:[AKOSOMBO_AGO]],"*"&amp;E22,March24_2020[[#Totals],[KSI_AGO]:[AKOSOMBO_AGO]])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7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F14" sqref="F14"/>
    </sheetView>
  </sheetViews>
  <sheetFormatPr defaultColWidth="9.109375" defaultRowHeight="14.4" x14ac:dyDescent="0.3"/>
  <cols>
    <col min="1" max="1" width="6.88671875" style="1" customWidth="1"/>
    <col min="2" max="2" width="26.109375" style="1" customWidth="1"/>
    <col min="3" max="3" width="15.44140625" style="1" customWidth="1"/>
    <col min="4" max="4" width="15.33203125" style="1" customWidth="1"/>
    <col min="5" max="5" width="18.6640625" style="1" customWidth="1"/>
    <col min="6" max="6" width="18.55468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43915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43915</v>
      </c>
    </row>
    <row r="7" spans="2:11" x14ac:dyDescent="0.3">
      <c r="B7" s="6" t="s">
        <v>37</v>
      </c>
      <c r="C7" s="22"/>
      <c r="D7" s="22"/>
      <c r="E7" s="22"/>
      <c r="F7" s="22"/>
      <c r="G7" s="22"/>
      <c r="H7" s="67">
        <f>$G$3</f>
        <v>43915</v>
      </c>
    </row>
    <row r="8" spans="2:11" x14ac:dyDescent="0.3">
      <c r="B8" s="6" t="s">
        <v>17</v>
      </c>
      <c r="C8" s="22">
        <v>730000</v>
      </c>
      <c r="D8" s="22"/>
      <c r="E8" s="22"/>
      <c r="F8" s="22"/>
      <c r="G8" s="22"/>
      <c r="H8" s="12">
        <f t="shared" si="0"/>
        <v>43915</v>
      </c>
    </row>
    <row r="9" spans="2:11" ht="15.6" x14ac:dyDescent="0.3">
      <c r="B9" s="34" t="s">
        <v>0</v>
      </c>
      <c r="C9" s="60"/>
      <c r="D9" s="60"/>
      <c r="E9" s="60"/>
      <c r="F9" s="60"/>
      <c r="G9" s="61"/>
      <c r="H9" s="12">
        <f t="shared" si="0"/>
        <v>43915</v>
      </c>
    </row>
    <row r="10" spans="2:11" x14ac:dyDescent="0.3">
      <c r="B10" s="6" t="s">
        <v>25</v>
      </c>
      <c r="C10" s="22"/>
      <c r="D10" s="22"/>
      <c r="E10" s="22"/>
      <c r="F10" s="22"/>
      <c r="G10" s="22"/>
      <c r="H10" s="12">
        <f t="shared" si="0"/>
        <v>43915</v>
      </c>
    </row>
    <row r="11" spans="2:11" x14ac:dyDescent="0.3">
      <c r="B11" s="6" t="s">
        <v>15</v>
      </c>
      <c r="C11" s="22"/>
      <c r="D11" s="22"/>
      <c r="E11" s="22"/>
      <c r="F11" s="48"/>
      <c r="G11" s="22"/>
      <c r="H11" s="12">
        <f t="shared" si="0"/>
        <v>43915</v>
      </c>
    </row>
    <row r="12" spans="2:11" x14ac:dyDescent="0.3">
      <c r="B12" s="6" t="s">
        <v>26</v>
      </c>
      <c r="C12" s="22"/>
      <c r="D12" s="22"/>
      <c r="E12" s="22"/>
      <c r="F12" s="22"/>
      <c r="G12" s="22"/>
      <c r="H12" s="12">
        <f t="shared" si="0"/>
        <v>43915</v>
      </c>
    </row>
    <row r="13" spans="2:11" x14ac:dyDescent="0.3">
      <c r="B13" s="6" t="s">
        <v>22</v>
      </c>
      <c r="C13" s="23"/>
      <c r="D13" s="23"/>
      <c r="E13" s="23"/>
      <c r="F13" s="22"/>
      <c r="G13" s="23"/>
      <c r="H13" s="12">
        <f t="shared" si="0"/>
        <v>43915</v>
      </c>
      <c r="K13" s="4"/>
    </row>
    <row r="14" spans="2:11" x14ac:dyDescent="0.3">
      <c r="B14" s="6" t="s">
        <v>19</v>
      </c>
      <c r="C14" s="22"/>
      <c r="D14" s="22"/>
      <c r="E14" s="22"/>
      <c r="F14" s="22"/>
      <c r="G14" s="22"/>
      <c r="H14" s="12">
        <f t="shared" si="0"/>
        <v>43915</v>
      </c>
    </row>
    <row r="15" spans="2:11" x14ac:dyDescent="0.3">
      <c r="B15" s="6" t="s">
        <v>14</v>
      </c>
      <c r="C15" s="22">
        <v>864000</v>
      </c>
      <c r="D15" s="22"/>
      <c r="E15" s="22"/>
      <c r="F15" s="22"/>
      <c r="G15" s="22"/>
      <c r="H15" s="12">
        <f t="shared" si="0"/>
        <v>43915</v>
      </c>
    </row>
    <row r="16" spans="2:11" x14ac:dyDescent="0.3">
      <c r="B16" s="6" t="s">
        <v>24</v>
      </c>
      <c r="C16" s="22"/>
      <c r="D16" s="22"/>
      <c r="E16" s="22"/>
      <c r="F16" s="49"/>
      <c r="G16" s="22"/>
      <c r="H16" s="12">
        <f t="shared" si="0"/>
        <v>43915</v>
      </c>
    </row>
    <row r="17" spans="1:8" x14ac:dyDescent="0.3">
      <c r="B17" s="6" t="s">
        <v>21</v>
      </c>
      <c r="C17" s="22"/>
      <c r="D17" s="22"/>
      <c r="E17" s="22"/>
      <c r="F17" s="22"/>
      <c r="G17" s="22"/>
      <c r="H17" s="12">
        <f t="shared" si="0"/>
        <v>43915</v>
      </c>
    </row>
    <row r="18" spans="1:8" x14ac:dyDescent="0.3">
      <c r="B18" s="6" t="s">
        <v>18</v>
      </c>
      <c r="C18" s="22"/>
      <c r="D18" s="22"/>
      <c r="E18" s="22"/>
      <c r="F18" s="22"/>
      <c r="G18" s="22"/>
      <c r="H18" s="12">
        <f t="shared" si="0"/>
        <v>43915</v>
      </c>
    </row>
    <row r="19" spans="1:8" x14ac:dyDescent="0.3">
      <c r="B19" s="6" t="s">
        <v>16</v>
      </c>
      <c r="C19" s="22">
        <v>270000</v>
      </c>
      <c r="D19" s="22"/>
      <c r="E19" s="22">
        <v>540000</v>
      </c>
      <c r="F19" s="22"/>
      <c r="G19" s="22"/>
      <c r="H19" s="12">
        <f t="shared" si="0"/>
        <v>43915</v>
      </c>
    </row>
    <row r="20" spans="1:8" x14ac:dyDescent="0.3">
      <c r="B20" s="50" t="s">
        <v>27</v>
      </c>
      <c r="C20" s="51">
        <f>SUM(March25_2020[KSI_AGO])</f>
        <v>1864000</v>
      </c>
      <c r="D20" s="51">
        <f>SUM(March25_2020[KSI_PMS])</f>
        <v>0</v>
      </c>
      <c r="E20" s="51">
        <f>SUM(March25_2020[BUIPE_AGO])</f>
        <v>540000</v>
      </c>
      <c r="F20" s="51">
        <f>SUM(March25_2020[BUIPE_PMS])</f>
        <v>0</v>
      </c>
      <c r="G20" s="51">
        <f>SUM(March25_2020[AKOSOMBO_AGO])</f>
        <v>0</v>
      </c>
      <c r="H20" s="52"/>
    </row>
    <row r="21" spans="1:8" x14ac:dyDescent="0.3">
      <c r="B21" s="8"/>
      <c r="C21" s="24"/>
      <c r="D21" s="24"/>
      <c r="E21" s="24"/>
      <c r="F21" s="24"/>
      <c r="G21" s="24"/>
      <c r="H21"/>
    </row>
    <row r="22" spans="1:8" x14ac:dyDescent="0.3">
      <c r="B22" s="1" t="s">
        <v>6</v>
      </c>
      <c r="C22" s="1" t="s">
        <v>4</v>
      </c>
      <c r="D22" s="5">
        <f>SUMIF(March25_2020[[#Headers],[KSI_AGO]:[AKOSOMBO_AGO]],"*"&amp;C22,March25_2020[[#Totals],[KSI_AGO]:[AKOSOMBO_AGO]])</f>
        <v>2404000</v>
      </c>
      <c r="E22" s="1" t="s">
        <v>5</v>
      </c>
      <c r="F22" s="5">
        <f>SUMIF(March25_2020[[#Headers],[KSI_AGO]:[AKOSOMBO_AGO]],"*"&amp;E22,March25_2020[[#Totals],[KSI_AGO]:[AKOSOMBO_AGO]])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8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pageSetUpPr fitToPage="1"/>
  </sheetPr>
  <dimension ref="A1:K32"/>
  <sheetViews>
    <sheetView zoomScale="115" zoomScaleNormal="115" workbookViewId="0">
      <pane xSplit="1" ySplit="5" topLeftCell="C6" activePane="bottomRight" state="frozen"/>
      <selection activeCell="E3" sqref="E3"/>
      <selection pane="topRight" activeCell="E3" sqref="E3"/>
      <selection pane="bottomLeft" activeCell="E3" sqref="E3"/>
      <selection pane="bottomRight" activeCell="F18" sqref="F18"/>
    </sheetView>
  </sheetViews>
  <sheetFormatPr defaultColWidth="14" defaultRowHeight="14.4" x14ac:dyDescent="0.3"/>
  <cols>
    <col min="1" max="1" width="5.5546875" style="1" customWidth="1"/>
    <col min="2" max="2" width="26.109375" style="1" customWidth="1"/>
    <col min="3" max="3" width="15" style="1" customWidth="1"/>
    <col min="4" max="4" width="16.88671875" style="1" customWidth="1"/>
    <col min="5" max="5" width="18.109375" style="1" customWidth="1"/>
    <col min="6" max="6" width="19.109375" style="1" customWidth="1"/>
    <col min="7" max="7" width="27.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43916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43916</v>
      </c>
    </row>
    <row r="7" spans="2:11" x14ac:dyDescent="0.3">
      <c r="B7" s="6" t="s">
        <v>37</v>
      </c>
      <c r="C7" s="22"/>
      <c r="D7" s="22"/>
      <c r="E7" s="22"/>
      <c r="F7" s="22"/>
      <c r="G7" s="22"/>
      <c r="H7" s="67">
        <f>$G$3</f>
        <v>43916</v>
      </c>
    </row>
    <row r="8" spans="2:11" x14ac:dyDescent="0.3">
      <c r="B8" s="6" t="s">
        <v>17</v>
      </c>
      <c r="C8" s="22">
        <v>504500</v>
      </c>
      <c r="D8" s="22"/>
      <c r="E8" s="22"/>
      <c r="F8" s="22"/>
      <c r="G8" s="22"/>
      <c r="H8" s="12">
        <f t="shared" si="0"/>
        <v>43916</v>
      </c>
    </row>
    <row r="9" spans="2:11" ht="15.6" x14ac:dyDescent="0.3">
      <c r="B9" s="34" t="s">
        <v>0</v>
      </c>
      <c r="C9" s="60"/>
      <c r="D9" s="60"/>
      <c r="E9" s="60"/>
      <c r="F9" s="60"/>
      <c r="G9" s="61"/>
      <c r="H9" s="12">
        <f t="shared" si="0"/>
        <v>43916</v>
      </c>
    </row>
    <row r="10" spans="2:11" x14ac:dyDescent="0.3">
      <c r="B10" s="6" t="s">
        <v>25</v>
      </c>
      <c r="C10" s="22"/>
      <c r="D10" s="22"/>
      <c r="E10" s="22"/>
      <c r="F10" s="22"/>
      <c r="G10" s="22"/>
      <c r="H10" s="12">
        <f t="shared" si="0"/>
        <v>43916</v>
      </c>
    </row>
    <row r="11" spans="2:11" x14ac:dyDescent="0.3">
      <c r="B11" s="6" t="s">
        <v>15</v>
      </c>
      <c r="C11" s="22"/>
      <c r="D11" s="22"/>
      <c r="E11" s="22"/>
      <c r="F11" s="48"/>
      <c r="G11" s="22"/>
      <c r="H11" s="12">
        <f t="shared" si="0"/>
        <v>43916</v>
      </c>
    </row>
    <row r="12" spans="2:11" x14ac:dyDescent="0.3">
      <c r="B12" s="6" t="s">
        <v>26</v>
      </c>
      <c r="C12" s="22"/>
      <c r="D12" s="22"/>
      <c r="E12" s="22"/>
      <c r="F12" s="22"/>
      <c r="G12" s="22"/>
      <c r="H12" s="12">
        <f t="shared" si="0"/>
        <v>43916</v>
      </c>
    </row>
    <row r="13" spans="2:11" x14ac:dyDescent="0.3">
      <c r="B13" s="6" t="s">
        <v>22</v>
      </c>
      <c r="C13" s="23"/>
      <c r="D13" s="23"/>
      <c r="E13" s="23"/>
      <c r="F13" s="22"/>
      <c r="G13" s="23"/>
      <c r="H13" s="12">
        <f t="shared" si="0"/>
        <v>43916</v>
      </c>
      <c r="K13" s="4"/>
    </row>
    <row r="14" spans="2:11" x14ac:dyDescent="0.3">
      <c r="B14" s="6" t="s">
        <v>19</v>
      </c>
      <c r="C14" s="22">
        <v>378000</v>
      </c>
      <c r="D14" s="22"/>
      <c r="E14" s="22">
        <v>162000</v>
      </c>
      <c r="F14" s="22"/>
      <c r="G14" s="22"/>
      <c r="H14" s="12">
        <f t="shared" si="0"/>
        <v>43916</v>
      </c>
    </row>
    <row r="15" spans="2:11" x14ac:dyDescent="0.3">
      <c r="B15" s="6" t="s">
        <v>14</v>
      </c>
      <c r="C15" s="22">
        <v>351500</v>
      </c>
      <c r="D15" s="22"/>
      <c r="E15" s="22">
        <v>162000</v>
      </c>
      <c r="F15" s="22"/>
      <c r="G15" s="22"/>
      <c r="H15" s="12">
        <f t="shared" si="0"/>
        <v>43916</v>
      </c>
    </row>
    <row r="16" spans="2:11" x14ac:dyDescent="0.3">
      <c r="B16" s="6" t="s">
        <v>24</v>
      </c>
      <c r="C16" s="22"/>
      <c r="D16" s="22"/>
      <c r="E16" s="22"/>
      <c r="F16" s="49"/>
      <c r="G16" s="22"/>
      <c r="H16" s="12">
        <f t="shared" si="0"/>
        <v>43916</v>
      </c>
    </row>
    <row r="17" spans="1:8" x14ac:dyDescent="0.3">
      <c r="B17" s="6" t="s">
        <v>21</v>
      </c>
      <c r="C17" s="22"/>
      <c r="D17" s="22"/>
      <c r="E17" s="22"/>
      <c r="F17" s="22"/>
      <c r="G17" s="22"/>
      <c r="H17" s="12">
        <f t="shared" si="0"/>
        <v>43916</v>
      </c>
    </row>
    <row r="18" spans="1:8" x14ac:dyDescent="0.3">
      <c r="B18" s="6" t="s">
        <v>18</v>
      </c>
      <c r="C18" s="22">
        <v>254000</v>
      </c>
      <c r="D18" s="22"/>
      <c r="E18" s="22">
        <v>54000</v>
      </c>
      <c r="F18" s="22"/>
      <c r="G18" s="22"/>
      <c r="H18" s="12">
        <f t="shared" si="0"/>
        <v>43916</v>
      </c>
    </row>
    <row r="19" spans="1:8" x14ac:dyDescent="0.3">
      <c r="B19" s="6" t="s">
        <v>16</v>
      </c>
      <c r="C19" s="22">
        <v>256000</v>
      </c>
      <c r="D19" s="51"/>
      <c r="E19" s="22">
        <v>324000</v>
      </c>
      <c r="F19" s="22"/>
      <c r="G19" s="22"/>
      <c r="H19" s="12">
        <f t="shared" si="0"/>
        <v>43916</v>
      </c>
    </row>
    <row r="20" spans="1:8" x14ac:dyDescent="0.3">
      <c r="B20" s="50" t="s">
        <v>27</v>
      </c>
      <c r="C20" s="51">
        <f>SUM(March26_2020[KSI_AGO])</f>
        <v>1744000</v>
      </c>
      <c r="D20" s="51">
        <f>SUM(March26_2020[KSI_PMS])</f>
        <v>0</v>
      </c>
      <c r="E20" s="51">
        <f>SUM(March26_2020[BUIPE_AGO])</f>
        <v>702000</v>
      </c>
      <c r="F20" s="51">
        <f>SUM(March26_2020[BUIPE_PMS])</f>
        <v>0</v>
      </c>
      <c r="G20" s="51">
        <f>SUM(March26_2020[AKOSOMBO_AGO])</f>
        <v>0</v>
      </c>
      <c r="H20" s="63"/>
    </row>
    <row r="21" spans="1:8" x14ac:dyDescent="0.3">
      <c r="B21" s="8"/>
      <c r="C21" s="24"/>
      <c r="D21" s="24"/>
      <c r="E21" s="24"/>
      <c r="F21" s="24"/>
      <c r="G21" s="24"/>
      <c r="H21"/>
    </row>
    <row r="22" spans="1:8" x14ac:dyDescent="0.3">
      <c r="B22" s="1" t="s">
        <v>6</v>
      </c>
      <c r="C22" s="1" t="s">
        <v>4</v>
      </c>
      <c r="D22" s="5">
        <f>SUMIF(March26_2020[[#Headers],[KSI_AGO]:[AKOSOMBO_AGO]],"*"&amp;C22,March26_2020[[#Totals],[KSI_AGO]:[AKOSOMBO_AGO]])</f>
        <v>2446000</v>
      </c>
      <c r="E22" s="1" t="s">
        <v>5</v>
      </c>
      <c r="F22" s="5">
        <f>SUMIF(March26_2020[[#Headers],[KSI_AGO]:[AKOSOMBO_AGO]],"*"&amp;E22,March26_2020[[#Totals],[KSI_AGO]:[AKOSOMBO_AGO]])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9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pageSetUpPr fitToPage="1"/>
  </sheetPr>
  <dimension ref="A1:K32"/>
  <sheetViews>
    <sheetView zoomScale="80" zoomScaleNormal="80" workbookViewId="0">
      <pane xSplit="1" ySplit="5" topLeftCell="B6" activePane="bottomRight" state="frozen"/>
      <selection activeCell="E3" sqref="E3"/>
      <selection pane="topRight" activeCell="E3" sqref="E3"/>
      <selection pane="bottomLeft" activeCell="E3" sqref="E3"/>
      <selection pane="bottomRight" activeCell="F7" sqref="F7"/>
    </sheetView>
  </sheetViews>
  <sheetFormatPr defaultColWidth="14" defaultRowHeight="14.4" x14ac:dyDescent="0.3"/>
  <cols>
    <col min="1" max="1" width="5.5546875" style="1" customWidth="1"/>
    <col min="2" max="2" width="26.109375" style="1" customWidth="1"/>
    <col min="3" max="3" width="17.5546875" style="1" customWidth="1"/>
    <col min="4" max="4" width="18.33203125" style="1" customWidth="1"/>
    <col min="5" max="5" width="17.33203125" style="1" customWidth="1"/>
    <col min="6" max="6" width="19.5546875" style="1" customWidth="1"/>
    <col min="7" max="7" width="33.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43917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43917</v>
      </c>
    </row>
    <row r="7" spans="2:11" x14ac:dyDescent="0.3">
      <c r="B7" s="6" t="s">
        <v>37</v>
      </c>
      <c r="C7" s="22"/>
      <c r="D7" s="22"/>
      <c r="E7" s="22"/>
      <c r="F7" s="22"/>
      <c r="G7" s="22"/>
      <c r="H7" s="67">
        <f>$G$3</f>
        <v>43917</v>
      </c>
    </row>
    <row r="8" spans="2:11" x14ac:dyDescent="0.3">
      <c r="B8" s="6" t="s">
        <v>17</v>
      </c>
      <c r="C8" s="22">
        <v>432000</v>
      </c>
      <c r="D8" s="22"/>
      <c r="E8" s="22"/>
      <c r="F8" s="22"/>
      <c r="G8" s="22"/>
      <c r="H8" s="12">
        <f t="shared" si="0"/>
        <v>43917</v>
      </c>
    </row>
    <row r="9" spans="2:11" ht="15.6" x14ac:dyDescent="0.3">
      <c r="B9" s="34" t="s">
        <v>0</v>
      </c>
      <c r="C9" s="60"/>
      <c r="D9" s="60">
        <v>432000</v>
      </c>
      <c r="E9" s="60"/>
      <c r="F9" s="60"/>
      <c r="G9" s="61"/>
      <c r="H9" s="12">
        <f t="shared" si="0"/>
        <v>43917</v>
      </c>
    </row>
    <row r="10" spans="2:11" x14ac:dyDescent="0.3">
      <c r="B10" s="6" t="s">
        <v>25</v>
      </c>
      <c r="C10" s="22"/>
      <c r="D10" s="22"/>
      <c r="E10" s="22"/>
      <c r="F10" s="22"/>
      <c r="G10" s="22"/>
      <c r="H10" s="12">
        <f t="shared" si="0"/>
        <v>43917</v>
      </c>
    </row>
    <row r="11" spans="2:11" x14ac:dyDescent="0.3">
      <c r="B11" s="6" t="s">
        <v>15</v>
      </c>
      <c r="C11" s="22"/>
      <c r="D11" s="22"/>
      <c r="E11" s="22"/>
      <c r="F11" s="48"/>
      <c r="G11" s="22"/>
      <c r="H11" s="12">
        <f t="shared" si="0"/>
        <v>43917</v>
      </c>
    </row>
    <row r="12" spans="2:11" x14ac:dyDescent="0.3">
      <c r="B12" s="6" t="s">
        <v>26</v>
      </c>
      <c r="C12" s="22">
        <v>162000</v>
      </c>
      <c r="D12" s="22"/>
      <c r="E12" s="22"/>
      <c r="F12" s="22"/>
      <c r="G12" s="22"/>
      <c r="H12" s="12">
        <f t="shared" si="0"/>
        <v>43917</v>
      </c>
    </row>
    <row r="13" spans="2:11" x14ac:dyDescent="0.3">
      <c r="B13" s="6" t="s">
        <v>22</v>
      </c>
      <c r="C13" s="23"/>
      <c r="D13" s="23"/>
      <c r="E13" s="23"/>
      <c r="F13" s="22"/>
      <c r="G13" s="23"/>
      <c r="H13" s="12">
        <f t="shared" si="0"/>
        <v>43917</v>
      </c>
      <c r="K13" s="4"/>
    </row>
    <row r="14" spans="2:11" x14ac:dyDescent="0.3">
      <c r="B14" s="6" t="s">
        <v>19</v>
      </c>
      <c r="C14" s="22">
        <v>378000</v>
      </c>
      <c r="D14" s="22"/>
      <c r="E14" s="22">
        <v>432000</v>
      </c>
      <c r="F14" s="22"/>
      <c r="G14" s="22"/>
      <c r="H14" s="12">
        <f t="shared" si="0"/>
        <v>43917</v>
      </c>
    </row>
    <row r="15" spans="2:11" x14ac:dyDescent="0.3">
      <c r="B15" s="6" t="s">
        <v>14</v>
      </c>
      <c r="C15" s="22">
        <v>101000</v>
      </c>
      <c r="D15" s="22"/>
      <c r="E15" s="22">
        <v>428000</v>
      </c>
      <c r="F15" s="22"/>
      <c r="G15" s="22"/>
      <c r="H15" s="12">
        <f t="shared" si="0"/>
        <v>43917</v>
      </c>
    </row>
    <row r="16" spans="2:11" x14ac:dyDescent="0.3">
      <c r="B16" s="6" t="s">
        <v>24</v>
      </c>
      <c r="C16" s="22"/>
      <c r="D16" s="22"/>
      <c r="E16" s="22"/>
      <c r="F16" s="49"/>
      <c r="G16" s="22"/>
      <c r="H16" s="12">
        <f t="shared" si="0"/>
        <v>43917</v>
      </c>
    </row>
    <row r="17" spans="1:8" x14ac:dyDescent="0.3">
      <c r="B17" s="6" t="s">
        <v>21</v>
      </c>
      <c r="C17" s="22"/>
      <c r="D17" s="22"/>
      <c r="E17" s="22"/>
      <c r="F17" s="22"/>
      <c r="G17" s="22"/>
      <c r="H17" s="12">
        <f t="shared" si="0"/>
        <v>43917</v>
      </c>
    </row>
    <row r="18" spans="1:8" x14ac:dyDescent="0.3">
      <c r="B18" s="6" t="s">
        <v>18</v>
      </c>
      <c r="C18" s="22">
        <v>216000</v>
      </c>
      <c r="D18" s="22"/>
      <c r="E18" s="22">
        <v>108000</v>
      </c>
      <c r="F18" s="22"/>
      <c r="G18" s="22"/>
      <c r="H18" s="12">
        <f t="shared" si="0"/>
        <v>43917</v>
      </c>
    </row>
    <row r="19" spans="1:8" x14ac:dyDescent="0.3">
      <c r="B19" s="6" t="s">
        <v>16</v>
      </c>
      <c r="C19" s="22">
        <v>360000</v>
      </c>
      <c r="D19" s="22"/>
      <c r="E19" s="22">
        <v>54000</v>
      </c>
      <c r="F19" s="22"/>
      <c r="G19" s="22"/>
      <c r="H19" s="12">
        <f t="shared" si="0"/>
        <v>43917</v>
      </c>
    </row>
    <row r="20" spans="1:8" x14ac:dyDescent="0.3">
      <c r="B20" s="50" t="s">
        <v>27</v>
      </c>
      <c r="C20" s="51">
        <f>SUM(March27_2020[KSI_AGO])</f>
        <v>1649000</v>
      </c>
      <c r="D20" s="51">
        <f>SUM(March27_2020[KSI_PMS])</f>
        <v>432000</v>
      </c>
      <c r="E20" s="51">
        <f>SUM(March27_2020[BUIPE_AGO])</f>
        <v>1022000</v>
      </c>
      <c r="F20" s="51">
        <f>SUM(March27_2020[BUIPE_PMS])</f>
        <v>0</v>
      </c>
      <c r="G20" s="51">
        <f>SUM(March27_2020[AKOSOMBO_AGO])</f>
        <v>0</v>
      </c>
      <c r="H20" s="52"/>
    </row>
    <row r="21" spans="1:8" x14ac:dyDescent="0.3">
      <c r="B21" s="8"/>
      <c r="C21" s="24"/>
      <c r="D21" s="24"/>
      <c r="E21" s="24"/>
      <c r="F21" s="24"/>
      <c r="G21" s="24"/>
      <c r="H21"/>
    </row>
    <row r="22" spans="1:8" x14ac:dyDescent="0.3">
      <c r="B22" s="1" t="s">
        <v>6</v>
      </c>
      <c r="C22" s="1" t="s">
        <v>4</v>
      </c>
      <c r="D22" s="5">
        <f>SUMIF(March27_2020[[#Headers],[KSI_AGO]:[AKOSOMBO_AGO]],"*"&amp;C22,March27_2020[[#Totals],[KSI_AGO]:[AKOSOMBO_AGO]])</f>
        <v>2671000</v>
      </c>
      <c r="E22" s="1" t="s">
        <v>5</v>
      </c>
      <c r="F22" s="5">
        <f>SUMIF(March27_2020[[#Headers],[KSI_AGO]:[AKOSOMBO_AGO]],"*"&amp;E22,March27_2020[[#Totals],[KSI_AGO]:[AKOSOMBO_AGO]])</f>
        <v>432000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A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pageSetUpPr fitToPage="1"/>
  </sheetPr>
  <dimension ref="A1:K32"/>
  <sheetViews>
    <sheetView zoomScale="115" zoomScaleNormal="115" workbookViewId="0">
      <pane xSplit="1" ySplit="5" topLeftCell="B11" activePane="bottomRight" state="frozen"/>
      <selection activeCell="E3" sqref="E3"/>
      <selection pane="topRight" activeCell="E3" sqref="E3"/>
      <selection pane="bottomLeft" activeCell="E3" sqref="E3"/>
      <selection pane="bottomRight" activeCell="G11" sqref="G11"/>
    </sheetView>
  </sheetViews>
  <sheetFormatPr defaultColWidth="14" defaultRowHeight="14.4" x14ac:dyDescent="0.3"/>
  <cols>
    <col min="1" max="1" width="4.33203125" style="1" customWidth="1"/>
    <col min="2" max="2" width="26.6640625" style="1" customWidth="1"/>
    <col min="3" max="3" width="15.5546875" style="1" customWidth="1"/>
    <col min="4" max="4" width="15" style="1" customWidth="1"/>
    <col min="5" max="5" width="17.6640625" style="1" customWidth="1"/>
    <col min="6" max="6" width="19.109375" style="1" customWidth="1"/>
    <col min="7" max="7" width="29.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43920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43920</v>
      </c>
    </row>
    <row r="7" spans="2:11" x14ac:dyDescent="0.3">
      <c r="B7" s="6" t="s">
        <v>37</v>
      </c>
      <c r="C7" s="22"/>
      <c r="D7" s="22"/>
      <c r="E7" s="22"/>
      <c r="F7" s="22"/>
      <c r="G7" s="22"/>
      <c r="H7" s="67">
        <f>$G$3</f>
        <v>43920</v>
      </c>
    </row>
    <row r="8" spans="2:11" x14ac:dyDescent="0.3">
      <c r="B8" s="6" t="s">
        <v>17</v>
      </c>
      <c r="C8" s="22">
        <v>162000</v>
      </c>
      <c r="D8" s="22"/>
      <c r="E8" s="22"/>
      <c r="F8" s="22"/>
      <c r="G8" s="22"/>
      <c r="H8" s="12">
        <f t="shared" si="0"/>
        <v>43920</v>
      </c>
    </row>
    <row r="9" spans="2:11" ht="15.6" x14ac:dyDescent="0.3">
      <c r="B9" s="34" t="s">
        <v>0</v>
      </c>
      <c r="C9" s="60"/>
      <c r="D9" s="60">
        <v>216000</v>
      </c>
      <c r="E9" s="60"/>
      <c r="F9" s="60"/>
      <c r="G9" s="61"/>
      <c r="H9" s="12">
        <f t="shared" si="0"/>
        <v>43920</v>
      </c>
    </row>
    <row r="10" spans="2:11" x14ac:dyDescent="0.3">
      <c r="B10" s="6" t="s">
        <v>25</v>
      </c>
      <c r="C10" s="22"/>
      <c r="D10" s="22"/>
      <c r="E10" s="22"/>
      <c r="F10" s="22"/>
      <c r="G10" s="22"/>
      <c r="H10" s="12">
        <f t="shared" si="0"/>
        <v>43920</v>
      </c>
    </row>
    <row r="11" spans="2:11" x14ac:dyDescent="0.3">
      <c r="B11" s="6" t="s">
        <v>15</v>
      </c>
      <c r="C11" s="22">
        <v>216000</v>
      </c>
      <c r="D11" s="22"/>
      <c r="E11" s="22">
        <v>216000</v>
      </c>
      <c r="F11" s="48"/>
      <c r="G11" s="22"/>
      <c r="H11" s="12">
        <f t="shared" si="0"/>
        <v>43920</v>
      </c>
    </row>
    <row r="12" spans="2:11" x14ac:dyDescent="0.3">
      <c r="B12" s="6" t="s">
        <v>26</v>
      </c>
      <c r="C12" s="22"/>
      <c r="D12" s="22"/>
      <c r="E12" s="22"/>
      <c r="F12" s="22"/>
      <c r="G12" s="22"/>
      <c r="H12" s="12">
        <f t="shared" si="0"/>
        <v>43920</v>
      </c>
    </row>
    <row r="13" spans="2:11" x14ac:dyDescent="0.3">
      <c r="B13" s="6" t="s">
        <v>22</v>
      </c>
      <c r="C13" s="23"/>
      <c r="D13" s="23"/>
      <c r="E13" s="23"/>
      <c r="F13" s="22"/>
      <c r="G13" s="23"/>
      <c r="H13" s="12">
        <f t="shared" si="0"/>
        <v>43920</v>
      </c>
      <c r="K13" s="4"/>
    </row>
    <row r="14" spans="2:11" x14ac:dyDescent="0.3">
      <c r="B14" s="6" t="s">
        <v>19</v>
      </c>
      <c r="C14" s="22">
        <v>270000</v>
      </c>
      <c r="D14" s="22"/>
      <c r="E14" s="22">
        <v>324000</v>
      </c>
      <c r="F14" s="22"/>
      <c r="G14" s="22"/>
      <c r="H14" s="12">
        <f t="shared" si="0"/>
        <v>43920</v>
      </c>
    </row>
    <row r="15" spans="2:11" x14ac:dyDescent="0.3">
      <c r="B15" s="6" t="s">
        <v>14</v>
      </c>
      <c r="C15" s="22">
        <v>376000</v>
      </c>
      <c r="D15" s="22"/>
      <c r="E15" s="22">
        <v>482000</v>
      </c>
      <c r="F15" s="22"/>
      <c r="G15" s="22"/>
      <c r="H15" s="12">
        <f t="shared" si="0"/>
        <v>43920</v>
      </c>
    </row>
    <row r="16" spans="2:11" x14ac:dyDescent="0.3">
      <c r="B16" s="6" t="s">
        <v>24</v>
      </c>
      <c r="C16" s="22"/>
      <c r="D16" s="22"/>
      <c r="E16" s="22"/>
      <c r="F16" s="49"/>
      <c r="G16" s="22"/>
      <c r="H16" s="12">
        <f t="shared" si="0"/>
        <v>43920</v>
      </c>
    </row>
    <row r="17" spans="1:8" x14ac:dyDescent="0.3">
      <c r="B17" s="6" t="s">
        <v>21</v>
      </c>
      <c r="C17" s="22"/>
      <c r="D17" s="22"/>
      <c r="E17" s="22"/>
      <c r="F17" s="22"/>
      <c r="G17" s="22"/>
      <c r="H17" s="12">
        <f t="shared" si="0"/>
        <v>43920</v>
      </c>
    </row>
    <row r="18" spans="1:8" x14ac:dyDescent="0.3">
      <c r="B18" s="6" t="s">
        <v>18</v>
      </c>
      <c r="C18" s="22">
        <v>162000</v>
      </c>
      <c r="D18" s="22"/>
      <c r="E18" s="22"/>
      <c r="F18" s="22"/>
      <c r="G18" s="22"/>
      <c r="H18" s="12">
        <f t="shared" si="0"/>
        <v>43920</v>
      </c>
    </row>
    <row r="19" spans="1:8" x14ac:dyDescent="0.3">
      <c r="B19" s="6" t="s">
        <v>16</v>
      </c>
      <c r="C19" s="22">
        <v>315000</v>
      </c>
      <c r="D19" s="22"/>
      <c r="E19" s="22"/>
      <c r="F19" s="22"/>
      <c r="G19" s="22"/>
      <c r="H19" s="12">
        <f t="shared" si="0"/>
        <v>43920</v>
      </c>
    </row>
    <row r="20" spans="1:8" x14ac:dyDescent="0.3">
      <c r="B20" s="50" t="s">
        <v>27</v>
      </c>
      <c r="C20" s="51">
        <f>SUM(March30_2020[KSI_AGO])</f>
        <v>1501000</v>
      </c>
      <c r="D20" s="51">
        <f>SUM(March30_2020[KSI_PMS])</f>
        <v>216000</v>
      </c>
      <c r="E20" s="51">
        <f>SUM(March30_2020[BUIPE_AGO])</f>
        <v>1022000</v>
      </c>
      <c r="F20" s="51">
        <f>SUM(March30_2020[BUIPE_PMS])</f>
        <v>0</v>
      </c>
      <c r="G20" s="51">
        <f>SUM(March30_2020[AKOSOMBO_AGO])</f>
        <v>0</v>
      </c>
      <c r="H20" s="52"/>
    </row>
    <row r="21" spans="1:8" x14ac:dyDescent="0.3">
      <c r="B21" s="8"/>
      <c r="C21" s="24"/>
      <c r="D21" s="24"/>
      <c r="E21" s="24"/>
      <c r="F21" s="24"/>
      <c r="G21" s="24"/>
      <c r="H21"/>
    </row>
    <row r="22" spans="1:8" x14ac:dyDescent="0.3">
      <c r="B22" s="1" t="s">
        <v>6</v>
      </c>
      <c r="C22" s="1" t="s">
        <v>4</v>
      </c>
      <c r="D22" s="5">
        <f>SUMIF(March30_2020[[#Headers],[KSI_AGO]:[AKOSOMBO_AGO]],"*"&amp;C22,March30_2020[[#Totals],[KSI_AGO]:[AKOSOMBO_AGO]])</f>
        <v>2523000</v>
      </c>
      <c r="E22" s="1" t="s">
        <v>5</v>
      </c>
      <c r="F22" s="5">
        <f>SUMIF(March30_2020[[#Headers],[KSI_AGO]:[AKOSOMBO_AGO]],"*"&amp;E22,March30_2020[[#Totals],[KSI_AGO]:[AKOSOMBO_AGO]])</f>
        <v>216000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B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H10" sqref="H10"/>
    </sheetView>
  </sheetViews>
  <sheetFormatPr defaultColWidth="14" defaultRowHeight="14.4" x14ac:dyDescent="0.3"/>
  <cols>
    <col min="1" max="1" width="4.33203125" style="1" customWidth="1"/>
    <col min="2" max="2" width="26.6640625" style="1" customWidth="1"/>
    <col min="3" max="3" width="15.5546875" style="1" customWidth="1"/>
    <col min="4" max="4" width="15" style="1" customWidth="1"/>
    <col min="5" max="5" width="17.6640625" style="1" customWidth="1"/>
    <col min="6" max="6" width="19.109375" style="1" customWidth="1"/>
    <col min="7" max="7" width="29.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43921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43921</v>
      </c>
    </row>
    <row r="7" spans="2:11" x14ac:dyDescent="0.3">
      <c r="B7" s="6" t="s">
        <v>37</v>
      </c>
      <c r="C7" s="22"/>
      <c r="D7" s="22"/>
      <c r="E7" s="22"/>
      <c r="F7" s="22"/>
      <c r="G7" s="22"/>
      <c r="H7" s="67">
        <f>$G$3</f>
        <v>43921</v>
      </c>
    </row>
    <row r="8" spans="2:11" x14ac:dyDescent="0.3">
      <c r="B8" s="6" t="s">
        <v>17</v>
      </c>
      <c r="C8" s="22">
        <v>316000</v>
      </c>
      <c r="D8" s="22"/>
      <c r="E8" s="22"/>
      <c r="F8" s="22"/>
      <c r="G8" s="22"/>
      <c r="H8" s="12">
        <f t="shared" si="0"/>
        <v>43921</v>
      </c>
    </row>
    <row r="9" spans="2:11" ht="15.6" x14ac:dyDescent="0.3">
      <c r="B9" s="34" t="s">
        <v>0</v>
      </c>
      <c r="C9" s="60"/>
      <c r="D9" s="60">
        <v>144000</v>
      </c>
      <c r="E9" s="60"/>
      <c r="F9" s="60"/>
      <c r="G9" s="61"/>
      <c r="H9" s="12">
        <f t="shared" si="0"/>
        <v>43921</v>
      </c>
    </row>
    <row r="10" spans="2:11" x14ac:dyDescent="0.3">
      <c r="B10" s="6" t="s">
        <v>25</v>
      </c>
      <c r="C10" s="22"/>
      <c r="D10" s="22"/>
      <c r="E10" s="22"/>
      <c r="F10" s="22"/>
      <c r="G10" s="22"/>
      <c r="H10" s="12">
        <f t="shared" si="0"/>
        <v>43921</v>
      </c>
    </row>
    <row r="11" spans="2:11" x14ac:dyDescent="0.3">
      <c r="B11" s="6" t="s">
        <v>15</v>
      </c>
      <c r="C11" s="22">
        <v>270000</v>
      </c>
      <c r="D11" s="22"/>
      <c r="E11" s="22">
        <v>216000</v>
      </c>
      <c r="F11" s="48"/>
      <c r="G11" s="22"/>
      <c r="H11" s="12">
        <f t="shared" si="0"/>
        <v>43921</v>
      </c>
    </row>
    <row r="12" spans="2:11" x14ac:dyDescent="0.3">
      <c r="B12" s="6" t="s">
        <v>26</v>
      </c>
      <c r="C12" s="22"/>
      <c r="D12" s="22"/>
      <c r="E12" s="22"/>
      <c r="F12" s="22"/>
      <c r="G12" s="22"/>
      <c r="H12" s="12">
        <f t="shared" si="0"/>
        <v>43921</v>
      </c>
    </row>
    <row r="13" spans="2:11" x14ac:dyDescent="0.3">
      <c r="B13" s="6" t="s">
        <v>22</v>
      </c>
      <c r="C13" s="23"/>
      <c r="D13" s="23"/>
      <c r="E13" s="23"/>
      <c r="F13" s="22"/>
      <c r="G13" s="23"/>
      <c r="H13" s="12">
        <f t="shared" si="0"/>
        <v>43921</v>
      </c>
      <c r="K13" s="4"/>
    </row>
    <row r="14" spans="2:11" x14ac:dyDescent="0.3">
      <c r="B14" s="6" t="s">
        <v>19</v>
      </c>
      <c r="C14" s="22">
        <v>378000</v>
      </c>
      <c r="D14" s="22"/>
      <c r="E14" s="22"/>
      <c r="F14" s="22"/>
      <c r="G14" s="22"/>
      <c r="H14" s="12">
        <f t="shared" si="0"/>
        <v>43921</v>
      </c>
    </row>
    <row r="15" spans="2:11" x14ac:dyDescent="0.3">
      <c r="B15" s="6" t="s">
        <v>14</v>
      </c>
      <c r="C15" s="22">
        <v>432000</v>
      </c>
      <c r="D15" s="22"/>
      <c r="E15" s="22">
        <v>478000</v>
      </c>
      <c r="F15" s="22"/>
      <c r="G15" s="22"/>
      <c r="H15" s="12">
        <f t="shared" si="0"/>
        <v>43921</v>
      </c>
    </row>
    <row r="16" spans="2:11" x14ac:dyDescent="0.3">
      <c r="B16" s="6" t="s">
        <v>24</v>
      </c>
      <c r="C16" s="22"/>
      <c r="D16" s="22"/>
      <c r="E16" s="22"/>
      <c r="F16" s="49"/>
      <c r="G16" s="22"/>
      <c r="H16" s="12">
        <f t="shared" si="0"/>
        <v>43921</v>
      </c>
    </row>
    <row r="17" spans="1:8" x14ac:dyDescent="0.3">
      <c r="B17" s="6" t="s">
        <v>21</v>
      </c>
      <c r="C17" s="22"/>
      <c r="D17" s="22"/>
      <c r="E17" s="22"/>
      <c r="F17" s="22"/>
      <c r="G17" s="22"/>
      <c r="H17" s="12">
        <f t="shared" si="0"/>
        <v>43921</v>
      </c>
    </row>
    <row r="18" spans="1:8" x14ac:dyDescent="0.3">
      <c r="B18" s="6" t="s">
        <v>18</v>
      </c>
      <c r="C18" s="22">
        <v>378000</v>
      </c>
      <c r="D18" s="22"/>
      <c r="E18" s="22"/>
      <c r="F18" s="22"/>
      <c r="G18" s="22"/>
      <c r="H18" s="12">
        <f t="shared" si="0"/>
        <v>43921</v>
      </c>
    </row>
    <row r="19" spans="1:8" x14ac:dyDescent="0.3">
      <c r="B19" s="6" t="s">
        <v>16</v>
      </c>
      <c r="C19" s="22">
        <v>482000</v>
      </c>
      <c r="D19" s="22"/>
      <c r="E19" s="22">
        <v>54000</v>
      </c>
      <c r="F19" s="22"/>
      <c r="G19" s="22"/>
      <c r="H19" s="12">
        <f t="shared" si="0"/>
        <v>43921</v>
      </c>
    </row>
    <row r="20" spans="1:8" x14ac:dyDescent="0.3">
      <c r="B20" s="50" t="s">
        <v>27</v>
      </c>
      <c r="C20" s="51">
        <f>SUM(March31_2020[KSI_AGO])</f>
        <v>2256000</v>
      </c>
      <c r="D20" s="51">
        <f>SUM(March31_2020[KSI_PMS])</f>
        <v>144000</v>
      </c>
      <c r="E20" s="51">
        <f>SUM(March31_2020[BUIPE_AGO])</f>
        <v>748000</v>
      </c>
      <c r="F20" s="51">
        <f>SUM(March31_2020[BUIPE_PMS])</f>
        <v>0</v>
      </c>
      <c r="G20" s="51">
        <f>SUM(March31_2020[AKOSOMBO_AGO])</f>
        <v>0</v>
      </c>
      <c r="H20" s="52"/>
    </row>
    <row r="21" spans="1:8" x14ac:dyDescent="0.3">
      <c r="B21" s="8"/>
      <c r="C21" s="24"/>
      <c r="D21" s="24"/>
      <c r="E21" s="24"/>
      <c r="F21" s="24"/>
      <c r="G21" s="24"/>
      <c r="H21"/>
    </row>
    <row r="22" spans="1:8" x14ac:dyDescent="0.3">
      <c r="B22" s="1" t="s">
        <v>6</v>
      </c>
      <c r="C22" s="1" t="s">
        <v>4</v>
      </c>
      <c r="D22" s="5">
        <f>SUMIF(March31_2020[[#Headers],[KSI_AGO]:[AKOSOMBO_AGO]],"*"&amp;C22,March31_2020[[#Totals],[KSI_AGO]:[AKOSOMBO_AGO]])</f>
        <v>3004000</v>
      </c>
      <c r="E22" s="1" t="s">
        <v>5</v>
      </c>
      <c r="F22" s="5">
        <f>SUMIF(March31_2020[[#Headers],[KSI_AGO]:[AKOSOMBO_AGO]],"*"&amp;E22,March31_2020[[#Totals],[KSI_AGO]:[AKOSOMBO_AGO]])</f>
        <v>144000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C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E10" sqref="E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43922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43922</v>
      </c>
    </row>
    <row r="7" spans="2:11" x14ac:dyDescent="0.3">
      <c r="B7" s="6" t="s">
        <v>37</v>
      </c>
      <c r="C7" s="22"/>
      <c r="D7" s="22"/>
      <c r="E7" s="22"/>
      <c r="F7" s="22"/>
      <c r="G7" s="22"/>
      <c r="H7" s="67">
        <f>$G$3</f>
        <v>43922</v>
      </c>
    </row>
    <row r="8" spans="2:11" x14ac:dyDescent="0.3">
      <c r="B8" s="6" t="s">
        <v>17</v>
      </c>
      <c r="C8" s="22"/>
      <c r="D8" s="22"/>
      <c r="E8" s="22"/>
      <c r="F8" s="22"/>
      <c r="G8" s="22"/>
      <c r="H8" s="12">
        <f t="shared" si="0"/>
        <v>43922</v>
      </c>
    </row>
    <row r="9" spans="2:11" ht="15.6" x14ac:dyDescent="0.3">
      <c r="B9" s="34" t="s">
        <v>0</v>
      </c>
      <c r="C9" s="60"/>
      <c r="D9" s="60"/>
      <c r="E9" s="60"/>
      <c r="F9" s="60"/>
      <c r="G9" s="61"/>
      <c r="H9" s="12">
        <f t="shared" si="0"/>
        <v>43922</v>
      </c>
    </row>
    <row r="10" spans="2:11" x14ac:dyDescent="0.3">
      <c r="B10" s="6" t="s">
        <v>25</v>
      </c>
      <c r="C10" s="22"/>
      <c r="D10" s="22"/>
      <c r="E10" s="22"/>
      <c r="F10" s="22"/>
      <c r="G10" s="22"/>
      <c r="H10" s="12">
        <f t="shared" si="0"/>
        <v>43922</v>
      </c>
    </row>
    <row r="11" spans="2:11" x14ac:dyDescent="0.3">
      <c r="B11" s="6" t="s">
        <v>15</v>
      </c>
      <c r="C11" s="22"/>
      <c r="D11" s="22"/>
      <c r="E11" s="22"/>
      <c r="F11" s="48"/>
      <c r="G11" s="22"/>
      <c r="H11" s="12">
        <f t="shared" si="0"/>
        <v>43922</v>
      </c>
    </row>
    <row r="12" spans="2:11" x14ac:dyDescent="0.3">
      <c r="B12" s="6" t="s">
        <v>26</v>
      </c>
      <c r="C12" s="22"/>
      <c r="D12" s="22"/>
      <c r="E12" s="22"/>
      <c r="F12" s="22"/>
      <c r="G12" s="22"/>
      <c r="H12" s="12">
        <f t="shared" si="0"/>
        <v>43922</v>
      </c>
    </row>
    <row r="13" spans="2:11" x14ac:dyDescent="0.3">
      <c r="B13" s="6" t="s">
        <v>22</v>
      </c>
      <c r="C13" s="23"/>
      <c r="D13" s="23"/>
      <c r="E13" s="23"/>
      <c r="F13" s="22"/>
      <c r="G13" s="23"/>
      <c r="H13" s="12">
        <f t="shared" si="0"/>
        <v>43922</v>
      </c>
      <c r="K13" s="4"/>
    </row>
    <row r="14" spans="2:11" x14ac:dyDescent="0.3">
      <c r="B14" s="6" t="s">
        <v>19</v>
      </c>
      <c r="C14" s="22">
        <v>162000</v>
      </c>
      <c r="D14" s="22"/>
      <c r="E14" s="22"/>
      <c r="F14" s="22"/>
      <c r="G14" s="22"/>
      <c r="H14" s="12">
        <f t="shared" si="0"/>
        <v>43922</v>
      </c>
    </row>
    <row r="15" spans="2:11" x14ac:dyDescent="0.3">
      <c r="B15" s="6" t="s">
        <v>14</v>
      </c>
      <c r="C15" s="22">
        <v>153000</v>
      </c>
      <c r="D15" s="22"/>
      <c r="E15" s="22"/>
      <c r="F15" s="22"/>
      <c r="G15" s="22"/>
      <c r="H15" s="12">
        <f t="shared" si="0"/>
        <v>43922</v>
      </c>
    </row>
    <row r="16" spans="2:11" x14ac:dyDescent="0.3">
      <c r="B16" s="6" t="s">
        <v>24</v>
      </c>
      <c r="C16" s="22"/>
      <c r="D16" s="22"/>
      <c r="E16" s="22"/>
      <c r="F16" s="49"/>
      <c r="G16" s="22"/>
      <c r="H16" s="12">
        <f t="shared" si="0"/>
        <v>43922</v>
      </c>
    </row>
    <row r="17" spans="1:8" x14ac:dyDescent="0.3">
      <c r="B17" s="6" t="s">
        <v>21</v>
      </c>
      <c r="C17" s="22"/>
      <c r="D17" s="22"/>
      <c r="E17" s="22"/>
      <c r="F17" s="22"/>
      <c r="G17" s="22"/>
      <c r="H17" s="12">
        <f t="shared" si="0"/>
        <v>43922</v>
      </c>
    </row>
    <row r="18" spans="1:8" x14ac:dyDescent="0.3">
      <c r="B18" s="6" t="s">
        <v>18</v>
      </c>
      <c r="C18" s="22"/>
      <c r="D18" s="22"/>
      <c r="E18" s="22"/>
      <c r="F18" s="22"/>
      <c r="G18" s="22"/>
      <c r="H18" s="12">
        <f t="shared" si="0"/>
        <v>43922</v>
      </c>
    </row>
    <row r="19" spans="1:8" x14ac:dyDescent="0.3">
      <c r="B19" s="6" t="s">
        <v>16</v>
      </c>
      <c r="C19" s="22"/>
      <c r="D19" s="22"/>
      <c r="E19" s="22"/>
      <c r="F19" s="22"/>
      <c r="G19" s="22"/>
      <c r="H19" s="12">
        <f t="shared" si="0"/>
        <v>43922</v>
      </c>
    </row>
    <row r="20" spans="1:8" x14ac:dyDescent="0.3">
      <c r="B20" s="50" t="s">
        <v>27</v>
      </c>
      <c r="C20" s="51">
        <f>SUM(April01_2020[KSI_AGO])</f>
        <v>315000</v>
      </c>
      <c r="D20" s="51">
        <f>SUM(April01_2020[KSI_PMS])</f>
        <v>0</v>
      </c>
      <c r="E20" s="51">
        <f>SUM(April01_2020[BUIPE_AGO])</f>
        <v>0</v>
      </c>
      <c r="F20" s="51">
        <f>SUM(April01_2020[BUIPE_PMS])</f>
        <v>0</v>
      </c>
      <c r="G20" s="51">
        <f>SUM(April01_2020[AKOSOMBO_AGO])</f>
        <v>0</v>
      </c>
      <c r="H20" s="52"/>
    </row>
    <row r="21" spans="1:8" x14ac:dyDescent="0.3">
      <c r="B21" s="8"/>
      <c r="C21" s="24"/>
      <c r="D21" s="24"/>
      <c r="E21" s="24"/>
      <c r="F21" s="24"/>
      <c r="G21" s="24"/>
      <c r="H21"/>
    </row>
    <row r="22" spans="1:8" x14ac:dyDescent="0.3">
      <c r="B22" s="1" t="s">
        <v>6</v>
      </c>
      <c r="C22" s="1" t="s">
        <v>4</v>
      </c>
      <c r="D22" s="5">
        <f>SUMIF(April01_2020[[#Headers],[KSI_AGO]:[AKOSOMBO_AGO]],"*"&amp;C22,April01_2020[[#Totals],[KSI_AGO]:[AKOSOMBO_AGO]])</f>
        <v>315000</v>
      </c>
      <c r="E22" s="1" t="s">
        <v>5</v>
      </c>
      <c r="F22" s="5">
        <f>SUMIF(April01_2020[[#Headers],[KSI_AGO]:[AKOSOMBO_AGO]],"*"&amp;E22,April01_2020[[#Totals],[KSI_AGO]:[AKOSOMBO_AGO]])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D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K22" sqref="K2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43923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43923</v>
      </c>
    </row>
    <row r="7" spans="2:11" x14ac:dyDescent="0.3">
      <c r="B7" s="6" t="s">
        <v>37</v>
      </c>
      <c r="C7" s="22"/>
      <c r="D7" s="22"/>
      <c r="E7" s="22"/>
      <c r="F7" s="22"/>
      <c r="G7" s="22"/>
      <c r="H7" s="67">
        <f>$G$3</f>
        <v>43923</v>
      </c>
    </row>
    <row r="8" spans="2:11" x14ac:dyDescent="0.3">
      <c r="B8" s="6" t="s">
        <v>17</v>
      </c>
      <c r="C8" s="22">
        <v>590000</v>
      </c>
      <c r="D8" s="22"/>
      <c r="E8" s="22"/>
      <c r="F8" s="22"/>
      <c r="G8" s="22"/>
      <c r="H8" s="12">
        <f t="shared" si="0"/>
        <v>43923</v>
      </c>
    </row>
    <row r="9" spans="2:11" ht="15.6" x14ac:dyDescent="0.3">
      <c r="B9" s="34" t="s">
        <v>0</v>
      </c>
      <c r="C9" s="60"/>
      <c r="D9" s="60"/>
      <c r="E9" s="60"/>
      <c r="F9" s="60"/>
      <c r="G9" s="61"/>
      <c r="H9" s="12">
        <f t="shared" si="0"/>
        <v>43923</v>
      </c>
    </row>
    <row r="10" spans="2:11" x14ac:dyDescent="0.3">
      <c r="B10" s="6" t="s">
        <v>25</v>
      </c>
      <c r="C10" s="22"/>
      <c r="D10" s="22"/>
      <c r="E10" s="22"/>
      <c r="F10" s="22"/>
      <c r="G10" s="22"/>
      <c r="H10" s="12">
        <f t="shared" si="0"/>
        <v>43923</v>
      </c>
    </row>
    <row r="11" spans="2:11" x14ac:dyDescent="0.3">
      <c r="B11" s="6" t="s">
        <v>15</v>
      </c>
      <c r="C11" s="22">
        <v>270000</v>
      </c>
      <c r="D11" s="22"/>
      <c r="E11" s="22">
        <v>162000</v>
      </c>
      <c r="F11" s="48"/>
      <c r="G11" s="22"/>
      <c r="H11" s="12">
        <f t="shared" si="0"/>
        <v>43923</v>
      </c>
    </row>
    <row r="12" spans="2:11" x14ac:dyDescent="0.3">
      <c r="B12" s="6" t="s">
        <v>26</v>
      </c>
      <c r="C12" s="22"/>
      <c r="D12" s="22"/>
      <c r="E12" s="22"/>
      <c r="F12" s="22"/>
      <c r="G12" s="22"/>
      <c r="H12" s="12">
        <f t="shared" si="0"/>
        <v>43923</v>
      </c>
    </row>
    <row r="13" spans="2:11" x14ac:dyDescent="0.3">
      <c r="B13" s="6" t="s">
        <v>22</v>
      </c>
      <c r="C13" s="23"/>
      <c r="D13" s="23"/>
      <c r="E13" s="23"/>
      <c r="F13" s="22"/>
      <c r="G13" s="23"/>
      <c r="H13" s="12">
        <f t="shared" si="0"/>
        <v>43923</v>
      </c>
      <c r="K13" s="4"/>
    </row>
    <row r="14" spans="2:11" x14ac:dyDescent="0.3">
      <c r="B14" s="6" t="s">
        <v>19</v>
      </c>
      <c r="C14" s="22">
        <v>482000</v>
      </c>
      <c r="D14" s="22"/>
      <c r="E14" s="22">
        <v>54000</v>
      </c>
      <c r="F14" s="22"/>
      <c r="G14" s="22"/>
      <c r="H14" s="12">
        <f t="shared" si="0"/>
        <v>43923</v>
      </c>
    </row>
    <row r="15" spans="2:11" x14ac:dyDescent="0.3">
      <c r="B15" s="6" t="s">
        <v>14</v>
      </c>
      <c r="C15" s="22">
        <v>524000</v>
      </c>
      <c r="D15" s="22"/>
      <c r="E15" s="22"/>
      <c r="F15" s="22"/>
      <c r="G15" s="22"/>
      <c r="H15" s="12">
        <f t="shared" si="0"/>
        <v>43923</v>
      </c>
    </row>
    <row r="16" spans="2:11" x14ac:dyDescent="0.3">
      <c r="B16" s="6" t="s">
        <v>24</v>
      </c>
      <c r="C16" s="22"/>
      <c r="D16" s="22"/>
      <c r="E16" s="22"/>
      <c r="F16" s="49"/>
      <c r="G16" s="22"/>
      <c r="H16" s="12">
        <f t="shared" si="0"/>
        <v>43923</v>
      </c>
    </row>
    <row r="17" spans="1:8" x14ac:dyDescent="0.3">
      <c r="B17" s="6" t="s">
        <v>21</v>
      </c>
      <c r="C17" s="22"/>
      <c r="D17" s="22"/>
      <c r="E17" s="22"/>
      <c r="F17" s="22"/>
      <c r="G17" s="22"/>
      <c r="H17" s="12">
        <f t="shared" si="0"/>
        <v>43923</v>
      </c>
    </row>
    <row r="18" spans="1:8" x14ac:dyDescent="0.3">
      <c r="B18" s="6" t="s">
        <v>18</v>
      </c>
      <c r="C18" s="22">
        <v>212000</v>
      </c>
      <c r="D18" s="22"/>
      <c r="E18" s="22">
        <v>104000</v>
      </c>
      <c r="F18" s="22"/>
      <c r="G18" s="22"/>
      <c r="H18" s="12">
        <f t="shared" si="0"/>
        <v>43923</v>
      </c>
    </row>
    <row r="19" spans="1:8" x14ac:dyDescent="0.3">
      <c r="B19" s="6" t="s">
        <v>16</v>
      </c>
      <c r="C19" s="22">
        <v>500500</v>
      </c>
      <c r="D19" s="22"/>
      <c r="E19" s="22"/>
      <c r="F19" s="22"/>
      <c r="G19" s="22"/>
      <c r="H19" s="12">
        <f t="shared" si="0"/>
        <v>43923</v>
      </c>
    </row>
    <row r="20" spans="1:8" x14ac:dyDescent="0.3">
      <c r="B20" s="50" t="s">
        <v>27</v>
      </c>
      <c r="C20" s="51">
        <f>SUM(April02_2020[KSI_AGO])</f>
        <v>2578500</v>
      </c>
      <c r="D20" s="51">
        <f>SUM(April02_2020[KSI_PMS])</f>
        <v>0</v>
      </c>
      <c r="E20" s="51">
        <f>SUM(April02_2020[BUIPE_AGO])</f>
        <v>320000</v>
      </c>
      <c r="F20" s="51">
        <f>SUM(April02_2020[BUIPE_PMS])</f>
        <v>0</v>
      </c>
      <c r="G20" s="51">
        <f>SUM(April02_2020[AKOSOMBO_AGO])</f>
        <v>0</v>
      </c>
      <c r="H20" s="52"/>
    </row>
    <row r="21" spans="1:8" x14ac:dyDescent="0.3">
      <c r="B21" s="8"/>
      <c r="C21" s="24"/>
      <c r="D21" s="24"/>
      <c r="E21" s="24"/>
      <c r="F21" s="24"/>
      <c r="G21" s="24"/>
      <c r="H21"/>
    </row>
    <row r="22" spans="1:8" x14ac:dyDescent="0.3">
      <c r="B22" s="1" t="s">
        <v>6</v>
      </c>
      <c r="C22" s="1" t="s">
        <v>4</v>
      </c>
      <c r="D22" s="5">
        <f>SUMIF(April02_2020[[#Headers],[KSI_AGO]:[AKOSOMBO_AGO]],"*"&amp;C22,April02_2020[[#Totals],[KSI_AGO]:[AKOSOMBO_AGO]])</f>
        <v>2898500</v>
      </c>
      <c r="E22" s="1" t="s">
        <v>5</v>
      </c>
      <c r="F22" s="5">
        <f>SUMIF(April02_2020[[#Headers],[KSI_AGO]:[AKOSOMBO_AGO]],"*"&amp;E22,April02_2020[[#Totals],[KSI_AGO]:[AKOSOMBO_AGO]])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E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pageSetUpPr fitToPage="1"/>
  </sheetPr>
  <dimension ref="A1:K32"/>
  <sheetViews>
    <sheetView zoomScaleNormal="100" workbookViewId="0">
      <pane xSplit="1" ySplit="5" topLeftCell="B6" activePane="bottomRight" state="frozen"/>
      <selection activeCell="E3" sqref="E3"/>
      <selection pane="topRight" activeCell="E3" sqref="E3"/>
      <selection pane="bottomLeft" activeCell="E3" sqref="E3"/>
      <selection pane="bottomRight" activeCell="F14" sqref="F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43924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43924</v>
      </c>
    </row>
    <row r="7" spans="2:11" x14ac:dyDescent="0.3">
      <c r="B7" s="6" t="s">
        <v>37</v>
      </c>
      <c r="C7" s="22"/>
      <c r="D7" s="22"/>
      <c r="E7" s="22"/>
      <c r="F7" s="22"/>
      <c r="G7" s="22"/>
      <c r="H7" s="67">
        <f>$G$3</f>
        <v>43924</v>
      </c>
    </row>
    <row r="8" spans="2:11" x14ac:dyDescent="0.3">
      <c r="B8" s="6" t="s">
        <v>17</v>
      </c>
      <c r="C8" s="22">
        <v>270000</v>
      </c>
      <c r="D8" s="22"/>
      <c r="E8" s="22"/>
      <c r="F8" s="22"/>
      <c r="G8" s="22"/>
      <c r="H8" s="12">
        <f t="shared" si="0"/>
        <v>43924</v>
      </c>
    </row>
    <row r="9" spans="2:11" ht="15.6" x14ac:dyDescent="0.3">
      <c r="B9" s="34" t="s">
        <v>0</v>
      </c>
      <c r="C9" s="60"/>
      <c r="D9" s="60"/>
      <c r="E9" s="60"/>
      <c r="F9" s="60"/>
      <c r="G9" s="61"/>
      <c r="H9" s="12">
        <f t="shared" si="0"/>
        <v>43924</v>
      </c>
    </row>
    <row r="10" spans="2:11" x14ac:dyDescent="0.3">
      <c r="B10" s="6" t="s">
        <v>25</v>
      </c>
      <c r="C10" s="22">
        <v>54000</v>
      </c>
      <c r="D10" s="22"/>
      <c r="E10" s="22">
        <v>1071000</v>
      </c>
      <c r="F10" s="22"/>
      <c r="G10" s="22"/>
      <c r="H10" s="12">
        <f t="shared" si="0"/>
        <v>43924</v>
      </c>
    </row>
    <row r="11" spans="2:11" x14ac:dyDescent="0.3">
      <c r="B11" s="6" t="s">
        <v>15</v>
      </c>
      <c r="C11" s="22">
        <v>157500</v>
      </c>
      <c r="D11" s="22"/>
      <c r="E11" s="22"/>
      <c r="F11" s="48"/>
      <c r="G11" s="22"/>
      <c r="H11" s="12">
        <f t="shared" si="0"/>
        <v>43924</v>
      </c>
    </row>
    <row r="12" spans="2:11" x14ac:dyDescent="0.3">
      <c r="B12" s="6" t="s">
        <v>26</v>
      </c>
      <c r="C12" s="22"/>
      <c r="D12" s="22"/>
      <c r="E12" s="22">
        <v>486000</v>
      </c>
      <c r="F12" s="22"/>
      <c r="G12" s="22"/>
      <c r="H12" s="12">
        <f t="shared" si="0"/>
        <v>43924</v>
      </c>
    </row>
    <row r="13" spans="2:11" x14ac:dyDescent="0.3">
      <c r="B13" s="6" t="s">
        <v>22</v>
      </c>
      <c r="C13" s="23"/>
      <c r="D13" s="23"/>
      <c r="E13" s="23"/>
      <c r="F13" s="22"/>
      <c r="G13" s="23"/>
      <c r="H13" s="12">
        <f t="shared" si="0"/>
        <v>43924</v>
      </c>
      <c r="K13" s="4"/>
    </row>
    <row r="14" spans="2:11" x14ac:dyDescent="0.3">
      <c r="B14" s="6" t="s">
        <v>19</v>
      </c>
      <c r="C14" s="22"/>
      <c r="D14" s="22"/>
      <c r="E14" s="22"/>
      <c r="F14" s="22"/>
      <c r="G14" s="22"/>
      <c r="H14" s="12">
        <f t="shared" si="0"/>
        <v>43924</v>
      </c>
    </row>
    <row r="15" spans="2:11" x14ac:dyDescent="0.3">
      <c r="B15" s="6" t="s">
        <v>14</v>
      </c>
      <c r="C15" s="22">
        <v>207000</v>
      </c>
      <c r="D15" s="22"/>
      <c r="E15" s="22"/>
      <c r="F15" s="22"/>
      <c r="G15" s="22"/>
      <c r="H15" s="12">
        <f t="shared" si="0"/>
        <v>43924</v>
      </c>
    </row>
    <row r="16" spans="2:11" x14ac:dyDescent="0.3">
      <c r="B16" s="6" t="s">
        <v>24</v>
      </c>
      <c r="C16" s="22"/>
      <c r="D16" s="22"/>
      <c r="E16" s="22"/>
      <c r="F16" s="49"/>
      <c r="G16" s="22"/>
      <c r="H16" s="12">
        <f t="shared" si="0"/>
        <v>43924</v>
      </c>
    </row>
    <row r="17" spans="1:8" x14ac:dyDescent="0.3">
      <c r="B17" s="6" t="s">
        <v>21</v>
      </c>
      <c r="C17" s="22"/>
      <c r="D17" s="22"/>
      <c r="E17" s="22"/>
      <c r="F17" s="22"/>
      <c r="G17" s="22"/>
      <c r="H17" s="12">
        <f t="shared" si="0"/>
        <v>43924</v>
      </c>
    </row>
    <row r="18" spans="1:8" x14ac:dyDescent="0.3">
      <c r="B18" s="6" t="s">
        <v>18</v>
      </c>
      <c r="C18" s="22">
        <v>162000</v>
      </c>
      <c r="D18" s="22"/>
      <c r="E18" s="22"/>
      <c r="F18" s="22"/>
      <c r="G18" s="22"/>
      <c r="H18" s="12">
        <f t="shared" si="0"/>
        <v>43924</v>
      </c>
    </row>
    <row r="19" spans="1:8" x14ac:dyDescent="0.3">
      <c r="B19" s="6" t="s">
        <v>16</v>
      </c>
      <c r="C19" s="22">
        <v>207000</v>
      </c>
      <c r="D19" s="22"/>
      <c r="E19" s="22"/>
      <c r="F19" s="22"/>
      <c r="G19" s="22"/>
      <c r="H19" s="12">
        <f t="shared" si="0"/>
        <v>43924</v>
      </c>
    </row>
    <row r="20" spans="1:8" x14ac:dyDescent="0.3">
      <c r="B20" s="50" t="s">
        <v>27</v>
      </c>
      <c r="C20" s="51">
        <f>SUM(April03_2020[KSI_AGO])</f>
        <v>1057500</v>
      </c>
      <c r="D20" s="51">
        <f>SUM(April03_2020[KSI_PMS])</f>
        <v>0</v>
      </c>
      <c r="E20" s="51">
        <f>SUM(April03_2020[BUIPE_AGO])</f>
        <v>1557000</v>
      </c>
      <c r="F20" s="51">
        <f>SUM(April03_2020[BUIPE_PMS])</f>
        <v>0</v>
      </c>
      <c r="G20" s="51">
        <f>SUM(April03_2020[AKOSOMBO_AGO])</f>
        <v>0</v>
      </c>
      <c r="H20" s="52"/>
    </row>
    <row r="21" spans="1:8" x14ac:dyDescent="0.3">
      <c r="B21" s="8"/>
      <c r="C21" s="24"/>
      <c r="D21" s="24"/>
      <c r="E21" s="24"/>
      <c r="F21" s="24"/>
      <c r="G21" s="24"/>
      <c r="H21"/>
    </row>
    <row r="22" spans="1:8" x14ac:dyDescent="0.3">
      <c r="B22" s="1" t="s">
        <v>6</v>
      </c>
      <c r="C22" s="1" t="s">
        <v>4</v>
      </c>
      <c r="D22" s="5">
        <f>SUMIF(April03_2020[[#Headers],[KSI_AGO]:[AKOSOMBO_AGO]],"*"&amp;C22,April03_2020[[#Totals],[KSI_AGO]:[AKOSOMBO_AGO]])</f>
        <v>2614500</v>
      </c>
      <c r="E22" s="1" t="s">
        <v>5</v>
      </c>
      <c r="F22" s="5">
        <f>SUMIF(April03_2020[[#Headers],[KSI_AGO]:[AKOSOMBO_AGO]],"*"&amp;E22,April03_2020[[#Totals],[KSI_AGO]:[AKOSOMBO_AGO]])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3F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C10" sqref="C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43927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43927</v>
      </c>
    </row>
    <row r="7" spans="2:11" x14ac:dyDescent="0.3">
      <c r="B7" s="6" t="s">
        <v>37</v>
      </c>
      <c r="C7" s="22"/>
      <c r="D7" s="22"/>
      <c r="E7" s="22"/>
      <c r="F7" s="22"/>
      <c r="G7" s="22"/>
      <c r="H7" s="67">
        <f>$G$3</f>
        <v>43927</v>
      </c>
    </row>
    <row r="8" spans="2:11" x14ac:dyDescent="0.3">
      <c r="B8" s="6" t="s">
        <v>17</v>
      </c>
      <c r="C8" s="22"/>
      <c r="D8" s="22"/>
      <c r="E8" s="22"/>
      <c r="F8" s="22"/>
      <c r="G8" s="22"/>
      <c r="H8" s="12">
        <f t="shared" si="0"/>
        <v>43927</v>
      </c>
    </row>
    <row r="9" spans="2:11" ht="15.6" x14ac:dyDescent="0.3">
      <c r="B9" s="34" t="s">
        <v>0</v>
      </c>
      <c r="C9" s="60"/>
      <c r="D9" s="60"/>
      <c r="E9" s="60"/>
      <c r="F9" s="60"/>
      <c r="G9" s="61"/>
      <c r="H9" s="12">
        <f t="shared" si="0"/>
        <v>43927</v>
      </c>
    </row>
    <row r="10" spans="2:11" x14ac:dyDescent="0.3">
      <c r="B10" s="6" t="s">
        <v>25</v>
      </c>
      <c r="C10" s="22">
        <v>698000</v>
      </c>
      <c r="D10" s="22"/>
      <c r="E10" s="22">
        <v>108000</v>
      </c>
      <c r="F10" s="22"/>
      <c r="G10" s="22"/>
      <c r="H10" s="12">
        <f t="shared" si="0"/>
        <v>43927</v>
      </c>
    </row>
    <row r="11" spans="2:11" x14ac:dyDescent="0.3">
      <c r="B11" s="6" t="s">
        <v>15</v>
      </c>
      <c r="C11" s="22">
        <v>531000</v>
      </c>
      <c r="D11" s="22"/>
      <c r="E11" s="22"/>
      <c r="F11" s="48"/>
      <c r="G11" s="22"/>
      <c r="H11" s="12">
        <f t="shared" si="0"/>
        <v>43927</v>
      </c>
    </row>
    <row r="12" spans="2:11" x14ac:dyDescent="0.3">
      <c r="B12" s="6" t="s">
        <v>26</v>
      </c>
      <c r="C12" s="22">
        <v>374000</v>
      </c>
      <c r="D12" s="22"/>
      <c r="E12" s="22">
        <v>108000</v>
      </c>
      <c r="F12" s="22"/>
      <c r="G12" s="22"/>
      <c r="H12" s="12">
        <f t="shared" si="0"/>
        <v>43927</v>
      </c>
    </row>
    <row r="13" spans="2:11" x14ac:dyDescent="0.3">
      <c r="B13" s="6" t="s">
        <v>22</v>
      </c>
      <c r="C13" s="23"/>
      <c r="D13" s="23"/>
      <c r="E13" s="23"/>
      <c r="F13" s="22"/>
      <c r="G13" s="23"/>
      <c r="H13" s="12">
        <f t="shared" si="0"/>
        <v>43927</v>
      </c>
      <c r="K13" s="4"/>
    </row>
    <row r="14" spans="2:11" x14ac:dyDescent="0.3">
      <c r="B14" s="6" t="s">
        <v>19</v>
      </c>
      <c r="C14" s="22"/>
      <c r="D14" s="22"/>
      <c r="E14" s="22"/>
      <c r="F14" s="22"/>
      <c r="G14" s="22"/>
      <c r="H14" s="12">
        <f t="shared" si="0"/>
        <v>43927</v>
      </c>
    </row>
    <row r="15" spans="2:11" x14ac:dyDescent="0.3">
      <c r="B15" s="6" t="s">
        <v>14</v>
      </c>
      <c r="C15" s="22">
        <v>378000</v>
      </c>
      <c r="D15" s="22"/>
      <c r="E15" s="22"/>
      <c r="F15" s="22"/>
      <c r="G15" s="22"/>
      <c r="H15" s="12">
        <f t="shared" si="0"/>
        <v>43927</v>
      </c>
    </row>
    <row r="16" spans="2:11" x14ac:dyDescent="0.3">
      <c r="B16" s="6" t="s">
        <v>24</v>
      </c>
      <c r="C16" s="22"/>
      <c r="D16" s="22"/>
      <c r="E16" s="22"/>
      <c r="F16" s="49"/>
      <c r="G16" s="22"/>
      <c r="H16" s="12">
        <f t="shared" si="0"/>
        <v>43927</v>
      </c>
    </row>
    <row r="17" spans="1:8" x14ac:dyDescent="0.3">
      <c r="B17" s="6" t="s">
        <v>21</v>
      </c>
      <c r="C17" s="22"/>
      <c r="D17" s="22"/>
      <c r="E17" s="22"/>
      <c r="F17" s="22"/>
      <c r="G17" s="22"/>
      <c r="H17" s="12">
        <f t="shared" si="0"/>
        <v>43927</v>
      </c>
    </row>
    <row r="18" spans="1:8" x14ac:dyDescent="0.3">
      <c r="B18" s="6" t="s">
        <v>18</v>
      </c>
      <c r="C18" s="22">
        <v>54000</v>
      </c>
      <c r="D18" s="22"/>
      <c r="E18" s="22"/>
      <c r="F18" s="22"/>
      <c r="G18" s="22"/>
      <c r="H18" s="12">
        <f t="shared" si="0"/>
        <v>43927</v>
      </c>
    </row>
    <row r="19" spans="1:8" x14ac:dyDescent="0.3">
      <c r="B19" s="6" t="s">
        <v>16</v>
      </c>
      <c r="C19" s="22">
        <v>432000</v>
      </c>
      <c r="D19" s="22">
        <v>104000</v>
      </c>
      <c r="E19" s="22"/>
      <c r="F19" s="22"/>
      <c r="G19" s="22"/>
      <c r="H19" s="12">
        <f t="shared" si="0"/>
        <v>43927</v>
      </c>
    </row>
    <row r="20" spans="1:8" x14ac:dyDescent="0.3">
      <c r="B20" s="50" t="s">
        <v>27</v>
      </c>
      <c r="C20" s="51">
        <f>SUM(April06_2020[KSI_AGO])</f>
        <v>2467000</v>
      </c>
      <c r="D20" s="51">
        <f>SUM(April06_2020[KSI_PMS])</f>
        <v>104000</v>
      </c>
      <c r="E20" s="51">
        <f>SUM(April06_2020[BUIPE_AGO])</f>
        <v>216000</v>
      </c>
      <c r="F20" s="51">
        <f>SUM(April06_2020[BUIPE_PMS])</f>
        <v>0</v>
      </c>
      <c r="G20" s="51">
        <f>SUM(April06_2020[AKOSOMBO_AGO])</f>
        <v>0</v>
      </c>
      <c r="H20" s="52"/>
    </row>
    <row r="21" spans="1:8" x14ac:dyDescent="0.3">
      <c r="B21" s="8"/>
      <c r="C21" s="24"/>
      <c r="D21" s="24"/>
      <c r="E21" s="24"/>
      <c r="F21" s="24"/>
      <c r="G21" s="24"/>
      <c r="H21"/>
    </row>
    <row r="22" spans="1:8" x14ac:dyDescent="0.3">
      <c r="B22" s="1" t="s">
        <v>6</v>
      </c>
      <c r="C22" s="1" t="s">
        <v>4</v>
      </c>
      <c r="D22" s="5">
        <f>SUMIF(April06_2020[[#Headers],[KSI_AGO]:[AKOSOMBO_AGO]],"*"&amp;C22,April06_2020[[#Totals],[KSI_AGO]:[AKOSOMBO_AGO]])</f>
        <v>2683000</v>
      </c>
      <c r="E22" s="1" t="s">
        <v>5</v>
      </c>
      <c r="F22" s="5">
        <f>SUMIF(April06_2020[[#Headers],[KSI_AGO]:[AKOSOMBO_AGO]],"*"&amp;E22,April06_2020[[#Totals],[KSI_AGO]:[AKOSOMBO_AGO]])</f>
        <v>104000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0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pageSetUpPr fitToPage="1"/>
  </sheetPr>
  <dimension ref="A1:K32"/>
  <sheetViews>
    <sheetView zoomScale="115" zoomScaleNormal="115" workbookViewId="0">
      <pane xSplit="1" ySplit="5" topLeftCell="E6" activePane="bottomRight" state="frozen"/>
      <selection activeCell="E3" sqref="E3"/>
      <selection pane="topRight" activeCell="E3" sqref="E3"/>
      <selection pane="bottomLeft" activeCell="E3" sqref="E3"/>
      <selection pane="bottomRight" activeCell="F9" sqref="F9"/>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43928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43928</v>
      </c>
    </row>
    <row r="7" spans="2:11" x14ac:dyDescent="0.3">
      <c r="B7" s="6" t="s">
        <v>37</v>
      </c>
      <c r="C7" s="22"/>
      <c r="D7" s="22"/>
      <c r="E7" s="22"/>
      <c r="F7" s="22"/>
      <c r="G7" s="22"/>
      <c r="H7" s="67">
        <f>$G$3</f>
        <v>43928</v>
      </c>
    </row>
    <row r="8" spans="2:11" x14ac:dyDescent="0.3">
      <c r="B8" s="6" t="s">
        <v>17</v>
      </c>
      <c r="C8" s="22"/>
      <c r="D8" s="22"/>
      <c r="E8" s="22"/>
      <c r="F8" s="22"/>
      <c r="G8" s="22"/>
      <c r="H8" s="12">
        <f t="shared" si="0"/>
        <v>43928</v>
      </c>
    </row>
    <row r="9" spans="2:11" ht="15.6" x14ac:dyDescent="0.3">
      <c r="B9" s="34" t="s">
        <v>0</v>
      </c>
      <c r="C9" s="60"/>
      <c r="D9" s="60">
        <v>149000</v>
      </c>
      <c r="E9" s="60"/>
      <c r="F9" s="60">
        <v>54000</v>
      </c>
      <c r="G9" s="61"/>
      <c r="H9" s="12">
        <f t="shared" si="0"/>
        <v>43928</v>
      </c>
    </row>
    <row r="10" spans="2:11" x14ac:dyDescent="0.3">
      <c r="B10" s="6" t="s">
        <v>25</v>
      </c>
      <c r="C10" s="22">
        <v>583000</v>
      </c>
      <c r="D10" s="22"/>
      <c r="E10" s="22"/>
      <c r="F10" s="22"/>
      <c r="G10" s="22"/>
      <c r="H10" s="12">
        <f t="shared" si="0"/>
        <v>43928</v>
      </c>
    </row>
    <row r="11" spans="2:11" x14ac:dyDescent="0.3">
      <c r="B11" s="6" t="s">
        <v>15</v>
      </c>
      <c r="C11" s="22">
        <v>252000</v>
      </c>
      <c r="D11" s="22">
        <v>432000</v>
      </c>
      <c r="E11" s="22"/>
      <c r="F11" s="48">
        <v>797000</v>
      </c>
      <c r="G11" s="22"/>
      <c r="H11" s="12">
        <f t="shared" si="0"/>
        <v>43928</v>
      </c>
    </row>
    <row r="12" spans="2:11" x14ac:dyDescent="0.3">
      <c r="B12" s="6" t="s">
        <v>26</v>
      </c>
      <c r="C12" s="22">
        <v>477000</v>
      </c>
      <c r="D12" s="22"/>
      <c r="E12" s="22"/>
      <c r="F12" s="22"/>
      <c r="G12" s="22"/>
      <c r="H12" s="12">
        <f t="shared" si="0"/>
        <v>43928</v>
      </c>
    </row>
    <row r="13" spans="2:11" x14ac:dyDescent="0.3">
      <c r="B13" s="6" t="s">
        <v>22</v>
      </c>
      <c r="C13" s="23"/>
      <c r="D13" s="23"/>
      <c r="E13" s="23"/>
      <c r="F13" s="22"/>
      <c r="G13" s="23"/>
      <c r="H13" s="12">
        <f t="shared" si="0"/>
        <v>43928</v>
      </c>
      <c r="K13" s="4"/>
    </row>
    <row r="14" spans="2:11" x14ac:dyDescent="0.3">
      <c r="B14" s="6" t="s">
        <v>19</v>
      </c>
      <c r="C14" s="22"/>
      <c r="D14" s="22"/>
      <c r="E14" s="22"/>
      <c r="F14" s="22"/>
      <c r="G14" s="22"/>
      <c r="H14" s="12">
        <f t="shared" si="0"/>
        <v>43928</v>
      </c>
    </row>
    <row r="15" spans="2:11" x14ac:dyDescent="0.3">
      <c r="B15" s="6" t="s">
        <v>14</v>
      </c>
      <c r="C15" s="22">
        <v>108000</v>
      </c>
      <c r="D15" s="22"/>
      <c r="E15" s="22"/>
      <c r="F15" s="22"/>
      <c r="G15" s="22"/>
      <c r="H15" s="12">
        <f t="shared" si="0"/>
        <v>43928</v>
      </c>
    </row>
    <row r="16" spans="2:11" x14ac:dyDescent="0.3">
      <c r="B16" s="6" t="s">
        <v>24</v>
      </c>
      <c r="C16" s="22"/>
      <c r="D16" s="22"/>
      <c r="E16" s="22"/>
      <c r="F16" s="49"/>
      <c r="G16" s="22"/>
      <c r="H16" s="12">
        <f t="shared" si="0"/>
        <v>43928</v>
      </c>
    </row>
    <row r="17" spans="1:8" x14ac:dyDescent="0.3">
      <c r="B17" s="6" t="s">
        <v>21</v>
      </c>
      <c r="C17" s="22"/>
      <c r="D17" s="22"/>
      <c r="E17" s="22"/>
      <c r="F17" s="22"/>
      <c r="G17" s="22"/>
      <c r="H17" s="12">
        <f t="shared" si="0"/>
        <v>43928</v>
      </c>
    </row>
    <row r="18" spans="1:8" x14ac:dyDescent="0.3">
      <c r="B18" s="6" t="s">
        <v>18</v>
      </c>
      <c r="C18" s="22"/>
      <c r="D18" s="22"/>
      <c r="E18" s="22"/>
      <c r="F18" s="22"/>
      <c r="G18" s="22"/>
      <c r="H18" s="12">
        <f t="shared" si="0"/>
        <v>43928</v>
      </c>
    </row>
    <row r="19" spans="1:8" x14ac:dyDescent="0.3">
      <c r="B19" s="6" t="s">
        <v>16</v>
      </c>
      <c r="C19" s="22">
        <v>594000</v>
      </c>
      <c r="D19" s="22"/>
      <c r="E19" s="22"/>
      <c r="F19" s="22"/>
      <c r="G19" s="22"/>
      <c r="H19" s="12">
        <f t="shared" si="0"/>
        <v>43928</v>
      </c>
    </row>
    <row r="20" spans="1:8" x14ac:dyDescent="0.3">
      <c r="B20" s="50" t="s">
        <v>27</v>
      </c>
      <c r="C20" s="51">
        <f>SUM(April07_2020[KSI_AGO])</f>
        <v>2014000</v>
      </c>
      <c r="D20" s="51">
        <f>SUM(April07_2020[KSI_PMS])</f>
        <v>581000</v>
      </c>
      <c r="E20" s="51">
        <f>SUM(April07_2020[BUIPE_AGO])</f>
        <v>0</v>
      </c>
      <c r="F20" s="51">
        <f>SUM(April07_2020[BUIPE_PMS])</f>
        <v>851000</v>
      </c>
      <c r="G20" s="51">
        <f>SUM(April07_2020[AKOSOMBO_AGO])</f>
        <v>0</v>
      </c>
      <c r="H20" s="52"/>
    </row>
    <row r="21" spans="1:8" x14ac:dyDescent="0.3">
      <c r="B21" s="8"/>
      <c r="C21" s="24"/>
      <c r="D21" s="24"/>
      <c r="E21" s="24"/>
      <c r="F21" s="24"/>
      <c r="G21" s="24"/>
      <c r="H21"/>
    </row>
    <row r="22" spans="1:8" x14ac:dyDescent="0.3">
      <c r="B22" s="1" t="s">
        <v>6</v>
      </c>
      <c r="C22" s="1" t="s">
        <v>4</v>
      </c>
      <c r="D22" s="5">
        <f>SUMIF(April07_2020[[#Headers],[KSI_AGO]:[AKOSOMBO_AGO]],"*"&amp;C22,April07_2020[[#Totals],[KSI_AGO]:[AKOSOMBO_AGO]])</f>
        <v>2014000</v>
      </c>
      <c r="E22" s="1" t="s">
        <v>5</v>
      </c>
      <c r="F22" s="5">
        <f>SUMIF(April07_2020[[#Headers],[KSI_AGO]:[AKOSOMBO_AGO]],"*"&amp;E22,April07_2020[[#Totals],[KSI_AGO]:[AKOSOMBO_AGO]])</f>
        <v>1432000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1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pageSetUpPr fitToPage="1"/>
  </sheetPr>
  <dimension ref="A1:K32"/>
  <sheetViews>
    <sheetView zoomScale="80" zoomScaleNormal="80" workbookViewId="0">
      <pane xSplit="1" ySplit="5" topLeftCell="B6" activePane="bottomRight" state="frozen"/>
      <selection activeCell="E3" sqref="E3"/>
      <selection pane="topRight" activeCell="E3" sqref="E3"/>
      <selection pane="bottomLeft" activeCell="E3" sqref="E3"/>
      <selection pane="bottomRight" activeCell="F19" sqref="F19"/>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43929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43929</v>
      </c>
    </row>
    <row r="7" spans="2:11" x14ac:dyDescent="0.3">
      <c r="B7" s="6" t="s">
        <v>37</v>
      </c>
      <c r="C7" s="22"/>
      <c r="D7" s="22"/>
      <c r="E7" s="22"/>
      <c r="F7" s="22"/>
      <c r="G7" s="22"/>
      <c r="H7" s="67">
        <f>$G$3</f>
        <v>43929</v>
      </c>
    </row>
    <row r="8" spans="2:11" x14ac:dyDescent="0.3">
      <c r="B8" s="6" t="s">
        <v>17</v>
      </c>
      <c r="C8" s="22"/>
      <c r="D8" s="22"/>
      <c r="E8" s="22"/>
      <c r="F8" s="22"/>
      <c r="G8" s="22"/>
      <c r="H8" s="12">
        <f t="shared" si="0"/>
        <v>43929</v>
      </c>
    </row>
    <row r="9" spans="2:11" ht="15.6" x14ac:dyDescent="0.3">
      <c r="B9" s="34" t="s">
        <v>0</v>
      </c>
      <c r="C9" s="60"/>
      <c r="D9" s="60">
        <v>1208000</v>
      </c>
      <c r="E9" s="60"/>
      <c r="F9" s="60">
        <v>1177000</v>
      </c>
      <c r="G9" s="61"/>
      <c r="H9" s="12">
        <f t="shared" si="0"/>
        <v>43929</v>
      </c>
    </row>
    <row r="10" spans="2:11" x14ac:dyDescent="0.3">
      <c r="B10" s="6" t="s">
        <v>25</v>
      </c>
      <c r="C10" s="22">
        <v>752000</v>
      </c>
      <c r="D10" s="22">
        <v>144000</v>
      </c>
      <c r="E10" s="22"/>
      <c r="F10" s="22">
        <v>270000</v>
      </c>
      <c r="G10" s="22"/>
      <c r="H10" s="12">
        <f t="shared" si="0"/>
        <v>43929</v>
      </c>
    </row>
    <row r="11" spans="2:11" x14ac:dyDescent="0.3">
      <c r="B11" s="6" t="s">
        <v>15</v>
      </c>
      <c r="C11" s="22">
        <v>103000</v>
      </c>
      <c r="D11" s="22"/>
      <c r="E11" s="22"/>
      <c r="F11" s="48"/>
      <c r="G11" s="22"/>
      <c r="H11" s="12">
        <f t="shared" si="0"/>
        <v>43929</v>
      </c>
    </row>
    <row r="12" spans="2:11" x14ac:dyDescent="0.3">
      <c r="B12" s="6" t="s">
        <v>26</v>
      </c>
      <c r="C12" s="22">
        <v>486000</v>
      </c>
      <c r="D12" s="22"/>
      <c r="E12" s="22"/>
      <c r="F12" s="22"/>
      <c r="G12" s="22"/>
      <c r="H12" s="12">
        <f t="shared" si="0"/>
        <v>43929</v>
      </c>
    </row>
    <row r="13" spans="2:11" x14ac:dyDescent="0.3">
      <c r="B13" s="6" t="s">
        <v>22</v>
      </c>
      <c r="C13" s="23"/>
      <c r="D13" s="23"/>
      <c r="E13" s="23"/>
      <c r="F13" s="22"/>
      <c r="G13" s="23"/>
      <c r="H13" s="12">
        <f t="shared" si="0"/>
        <v>43929</v>
      </c>
      <c r="K13" s="4"/>
    </row>
    <row r="14" spans="2:11" x14ac:dyDescent="0.3">
      <c r="B14" s="6" t="s">
        <v>19</v>
      </c>
      <c r="C14" s="22"/>
      <c r="D14" s="22"/>
      <c r="E14" s="22"/>
      <c r="F14" s="22"/>
      <c r="G14" s="22"/>
      <c r="H14" s="12">
        <f t="shared" si="0"/>
        <v>43929</v>
      </c>
    </row>
    <row r="15" spans="2:11" x14ac:dyDescent="0.3">
      <c r="B15" s="6" t="s">
        <v>14</v>
      </c>
      <c r="C15" s="22"/>
      <c r="D15" s="22"/>
      <c r="E15" s="22"/>
      <c r="F15" s="22"/>
      <c r="G15" s="22"/>
      <c r="H15" s="12">
        <f t="shared" si="0"/>
        <v>43929</v>
      </c>
    </row>
    <row r="16" spans="2:11" x14ac:dyDescent="0.3">
      <c r="B16" s="6" t="s">
        <v>24</v>
      </c>
      <c r="C16" s="22"/>
      <c r="D16" s="22"/>
      <c r="E16" s="22"/>
      <c r="F16" s="49"/>
      <c r="G16" s="22"/>
      <c r="H16" s="12">
        <f t="shared" si="0"/>
        <v>43929</v>
      </c>
    </row>
    <row r="17" spans="1:8" x14ac:dyDescent="0.3">
      <c r="B17" s="6" t="s">
        <v>21</v>
      </c>
      <c r="C17" s="22"/>
      <c r="D17" s="22"/>
      <c r="E17" s="22"/>
      <c r="F17" s="22"/>
      <c r="G17" s="22"/>
      <c r="H17" s="12">
        <f t="shared" si="0"/>
        <v>43929</v>
      </c>
    </row>
    <row r="18" spans="1:8" x14ac:dyDescent="0.3">
      <c r="B18" s="6" t="s">
        <v>18</v>
      </c>
      <c r="C18" s="22">
        <v>158000</v>
      </c>
      <c r="D18" s="22"/>
      <c r="E18" s="22"/>
      <c r="F18" s="22"/>
      <c r="G18" s="22"/>
      <c r="H18" s="12">
        <f t="shared" si="0"/>
        <v>43929</v>
      </c>
    </row>
    <row r="19" spans="1:8" x14ac:dyDescent="0.3">
      <c r="B19" s="6" t="s">
        <v>16</v>
      </c>
      <c r="C19" s="22">
        <v>216000</v>
      </c>
      <c r="D19" s="22"/>
      <c r="E19" s="22"/>
      <c r="F19" s="22"/>
      <c r="G19" s="22"/>
      <c r="H19" s="12">
        <f t="shared" si="0"/>
        <v>43929</v>
      </c>
    </row>
    <row r="20" spans="1:8" x14ac:dyDescent="0.3">
      <c r="B20" s="50" t="s">
        <v>27</v>
      </c>
      <c r="C20" s="51">
        <f>SUM(April08_2020[KSI_AGO])</f>
        <v>1715000</v>
      </c>
      <c r="D20" s="51">
        <f>SUM(April08_2020[KSI_PMS])</f>
        <v>1352000</v>
      </c>
      <c r="E20" s="51">
        <f>SUM(April08_2020[BUIPE_AGO])</f>
        <v>0</v>
      </c>
      <c r="F20" s="51">
        <f>SUM(April08_2020[BUIPE_PMS])</f>
        <v>1447000</v>
      </c>
      <c r="G20" s="51">
        <f>SUM(April08_2020[AKOSOMBO_AGO])</f>
        <v>0</v>
      </c>
      <c r="H20" s="52"/>
    </row>
    <row r="21" spans="1:8" x14ac:dyDescent="0.3">
      <c r="B21" s="8"/>
      <c r="C21" s="24"/>
      <c r="D21" s="24"/>
      <c r="E21" s="24"/>
      <c r="F21" s="24"/>
      <c r="G21" s="24"/>
      <c r="H21"/>
    </row>
    <row r="22" spans="1:8" x14ac:dyDescent="0.3">
      <c r="B22" s="1" t="s">
        <v>6</v>
      </c>
      <c r="C22" s="1" t="s">
        <v>4</v>
      </c>
      <c r="D22" s="5">
        <f>SUMIF(April08_2020[[#Headers],[KSI_AGO]:[AKOSOMBO_AGO]],"*"&amp;C22,April08_2020[[#Totals],[KSI_AGO]:[AKOSOMBO_AGO]])</f>
        <v>1715000</v>
      </c>
      <c r="E22" s="1" t="s">
        <v>5</v>
      </c>
      <c r="F22" s="5">
        <f>SUMIF(April08_2020[[#Headers],[KSI_AGO]:[AKOSOMBO_AGO]],"*"&amp;E22,April08_2020[[#Totals],[KSI_AGO]:[AKOSOMBO_AGO]])</f>
        <v>2799000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2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pageSetUpPr fitToPage="1"/>
  </sheetPr>
  <dimension ref="A1:K32"/>
  <sheetViews>
    <sheetView zoomScale="90" zoomScaleNormal="90" workbookViewId="0">
      <pane xSplit="1" ySplit="5" topLeftCell="C6" activePane="bottomRight" state="frozen"/>
      <selection activeCell="E3" sqref="E3"/>
      <selection pane="topRight" activeCell="E3" sqref="E3"/>
      <selection pane="bottomLeft" activeCell="E3" sqref="E3"/>
      <selection pane="bottomRight" activeCell="G15" sqref="G15"/>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43930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43930</v>
      </c>
    </row>
    <row r="7" spans="2:11" x14ac:dyDescent="0.3">
      <c r="B7" s="6" t="s">
        <v>37</v>
      </c>
      <c r="C7" s="22"/>
      <c r="D7" s="22"/>
      <c r="E7" s="22"/>
      <c r="F7" s="22"/>
      <c r="G7" s="22"/>
      <c r="H7" s="67">
        <f>$G$3</f>
        <v>43930</v>
      </c>
    </row>
    <row r="8" spans="2:11" x14ac:dyDescent="0.3">
      <c r="B8" s="6" t="s">
        <v>17</v>
      </c>
      <c r="C8" s="22">
        <v>135000</v>
      </c>
      <c r="D8" s="22"/>
      <c r="E8" s="22">
        <v>324000</v>
      </c>
      <c r="F8" s="22"/>
      <c r="G8" s="22"/>
      <c r="H8" s="12">
        <f t="shared" si="0"/>
        <v>43930</v>
      </c>
    </row>
    <row r="9" spans="2:11" ht="15.6" x14ac:dyDescent="0.3">
      <c r="B9" s="34" t="s">
        <v>0</v>
      </c>
      <c r="C9" s="60"/>
      <c r="D9" s="60">
        <v>578000</v>
      </c>
      <c r="E9" s="60"/>
      <c r="F9" s="60">
        <v>216000</v>
      </c>
      <c r="G9" s="61"/>
      <c r="H9" s="12">
        <f t="shared" si="0"/>
        <v>43930</v>
      </c>
    </row>
    <row r="10" spans="2:11" x14ac:dyDescent="0.3">
      <c r="B10" s="6" t="s">
        <v>25</v>
      </c>
      <c r="C10" s="22">
        <v>162000</v>
      </c>
      <c r="D10" s="22">
        <v>216000</v>
      </c>
      <c r="E10" s="22"/>
      <c r="F10" s="22">
        <v>911000</v>
      </c>
      <c r="G10" s="22"/>
      <c r="H10" s="12">
        <f t="shared" si="0"/>
        <v>43930</v>
      </c>
    </row>
    <row r="11" spans="2:11" x14ac:dyDescent="0.3">
      <c r="B11" s="6" t="s">
        <v>15</v>
      </c>
      <c r="C11" s="22"/>
      <c r="D11" s="22">
        <v>522000</v>
      </c>
      <c r="E11" s="22"/>
      <c r="F11" s="48"/>
      <c r="G11" s="22"/>
      <c r="H11" s="12">
        <f t="shared" si="0"/>
        <v>43930</v>
      </c>
    </row>
    <row r="12" spans="2:11" x14ac:dyDescent="0.3">
      <c r="B12" s="6" t="s">
        <v>26</v>
      </c>
      <c r="C12" s="22">
        <v>54000</v>
      </c>
      <c r="D12" s="22"/>
      <c r="E12" s="22"/>
      <c r="F12" s="22"/>
      <c r="G12" s="22"/>
      <c r="H12" s="12">
        <f t="shared" si="0"/>
        <v>43930</v>
      </c>
    </row>
    <row r="13" spans="2:11" x14ac:dyDescent="0.3">
      <c r="B13" s="6" t="s">
        <v>22</v>
      </c>
      <c r="C13" s="23"/>
      <c r="D13" s="23"/>
      <c r="E13" s="23"/>
      <c r="F13" s="22"/>
      <c r="G13" s="23"/>
      <c r="H13" s="12">
        <f t="shared" si="0"/>
        <v>43930</v>
      </c>
      <c r="K13" s="4"/>
    </row>
    <row r="14" spans="2:11" x14ac:dyDescent="0.3">
      <c r="B14" s="6" t="s">
        <v>19</v>
      </c>
      <c r="C14" s="22"/>
      <c r="D14" s="22"/>
      <c r="E14" s="22"/>
      <c r="F14" s="22"/>
      <c r="G14" s="22"/>
      <c r="H14" s="12">
        <f t="shared" si="0"/>
        <v>43930</v>
      </c>
    </row>
    <row r="15" spans="2:11" x14ac:dyDescent="0.3">
      <c r="B15" s="6" t="s">
        <v>14</v>
      </c>
      <c r="C15" s="22">
        <v>486000</v>
      </c>
      <c r="D15" s="22"/>
      <c r="E15" s="22"/>
      <c r="F15" s="22"/>
      <c r="G15" s="22"/>
      <c r="H15" s="12">
        <f t="shared" si="0"/>
        <v>43930</v>
      </c>
    </row>
    <row r="16" spans="2:11" x14ac:dyDescent="0.3">
      <c r="B16" s="6" t="s">
        <v>24</v>
      </c>
      <c r="C16" s="22"/>
      <c r="D16" s="22"/>
      <c r="E16" s="22"/>
      <c r="F16" s="49"/>
      <c r="G16" s="22"/>
      <c r="H16" s="12">
        <f t="shared" si="0"/>
        <v>43930</v>
      </c>
    </row>
    <row r="17" spans="1:8" x14ac:dyDescent="0.3">
      <c r="B17" s="6" t="s">
        <v>21</v>
      </c>
      <c r="C17" s="22"/>
      <c r="D17" s="22"/>
      <c r="E17" s="22"/>
      <c r="F17" s="22"/>
      <c r="G17" s="22"/>
      <c r="H17" s="12">
        <f t="shared" si="0"/>
        <v>43930</v>
      </c>
    </row>
    <row r="18" spans="1:8" x14ac:dyDescent="0.3">
      <c r="B18" s="6" t="s">
        <v>18</v>
      </c>
      <c r="C18" s="22">
        <v>316000</v>
      </c>
      <c r="D18" s="22"/>
      <c r="E18" s="22"/>
      <c r="F18" s="22"/>
      <c r="G18" s="22"/>
      <c r="H18" s="12">
        <f t="shared" si="0"/>
        <v>43930</v>
      </c>
    </row>
    <row r="19" spans="1:8" x14ac:dyDescent="0.3">
      <c r="B19" s="6" t="s">
        <v>16</v>
      </c>
      <c r="C19" s="22">
        <v>54000</v>
      </c>
      <c r="D19" s="22">
        <v>45000</v>
      </c>
      <c r="E19" s="22"/>
      <c r="F19" s="22">
        <v>54000</v>
      </c>
      <c r="G19" s="22"/>
      <c r="H19" s="12">
        <f t="shared" si="0"/>
        <v>43930</v>
      </c>
    </row>
    <row r="20" spans="1:8" x14ac:dyDescent="0.3">
      <c r="B20" s="50" t="s">
        <v>27</v>
      </c>
      <c r="C20" s="51">
        <f>SUM(April09_2020[KSI_AGO])</f>
        <v>1207000</v>
      </c>
      <c r="D20" s="51">
        <f>SUM(April09_2020[KSI_PMS])</f>
        <v>1361000</v>
      </c>
      <c r="E20" s="51">
        <f>SUM(April09_2020[BUIPE_AGO])</f>
        <v>324000</v>
      </c>
      <c r="F20" s="51">
        <f>SUM(April09_2020[BUIPE_PMS])</f>
        <v>1181000</v>
      </c>
      <c r="G20" s="51">
        <f>SUM(April09_2020[AKOSOMBO_AGO])</f>
        <v>0</v>
      </c>
      <c r="H20" s="52"/>
    </row>
    <row r="21" spans="1:8" x14ac:dyDescent="0.3">
      <c r="B21" s="8"/>
      <c r="C21" s="24"/>
      <c r="D21" s="24"/>
      <c r="E21" s="24"/>
      <c r="F21" s="24"/>
      <c r="G21" s="24"/>
      <c r="H21"/>
    </row>
    <row r="22" spans="1:8" x14ac:dyDescent="0.3">
      <c r="B22" s="1" t="s">
        <v>6</v>
      </c>
      <c r="C22" s="1" t="s">
        <v>4</v>
      </c>
      <c r="D22" s="5">
        <f>SUMIF(April09_2020[[#Headers],[KSI_AGO]:[AKOSOMBO_AGO]],"*"&amp;C22,April09_2020[[#Totals],[KSI_AGO]:[AKOSOMBO_AGO]])</f>
        <v>1531000</v>
      </c>
      <c r="E22" s="1" t="s">
        <v>5</v>
      </c>
      <c r="F22" s="5">
        <f>SUMIF(April09_2020[[#Headers],[KSI_AGO]:[AKOSOMBO_AGO]],"*"&amp;E22,April09_2020[[#Totals],[KSI_AGO]:[AKOSOMBO_AGO]])</f>
        <v>2542000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3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G12" sqref="G1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43935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43935</v>
      </c>
    </row>
    <row r="7" spans="2:11" x14ac:dyDescent="0.3">
      <c r="B7" s="6" t="s">
        <v>37</v>
      </c>
      <c r="C7" s="22"/>
      <c r="D7" s="22"/>
      <c r="E7" s="22"/>
      <c r="F7" s="22"/>
      <c r="G7" s="22"/>
      <c r="H7" s="67">
        <f>$G$3</f>
        <v>43935</v>
      </c>
    </row>
    <row r="8" spans="2:11" x14ac:dyDescent="0.3">
      <c r="B8" s="6" t="s">
        <v>17</v>
      </c>
      <c r="C8" s="22">
        <v>1004000</v>
      </c>
      <c r="D8" s="22"/>
      <c r="E8" s="22">
        <v>586000</v>
      </c>
      <c r="F8" s="22">
        <v>270000</v>
      </c>
      <c r="G8" s="22"/>
      <c r="H8" s="12">
        <f t="shared" si="0"/>
        <v>43935</v>
      </c>
    </row>
    <row r="9" spans="2:11" ht="15.6" x14ac:dyDescent="0.3">
      <c r="B9" s="34" t="s">
        <v>0</v>
      </c>
      <c r="C9" s="60"/>
      <c r="D9" s="60">
        <v>482000</v>
      </c>
      <c r="E9" s="60"/>
      <c r="F9" s="60">
        <v>50000</v>
      </c>
      <c r="G9" s="61"/>
      <c r="H9" s="12">
        <f t="shared" si="0"/>
        <v>43935</v>
      </c>
    </row>
    <row r="10" spans="2:11" x14ac:dyDescent="0.3">
      <c r="B10" s="6" t="s">
        <v>25</v>
      </c>
      <c r="C10" s="22"/>
      <c r="D10" s="22">
        <v>104000</v>
      </c>
      <c r="E10" s="22"/>
      <c r="F10" s="22"/>
      <c r="G10" s="22"/>
      <c r="H10" s="12">
        <f t="shared" si="0"/>
        <v>43935</v>
      </c>
    </row>
    <row r="11" spans="2:11" x14ac:dyDescent="0.3">
      <c r="B11" s="6" t="s">
        <v>15</v>
      </c>
      <c r="C11" s="22"/>
      <c r="D11" s="22">
        <v>253000</v>
      </c>
      <c r="E11" s="22"/>
      <c r="F11" s="48"/>
      <c r="G11" s="22"/>
      <c r="H11" s="12">
        <f t="shared" si="0"/>
        <v>43935</v>
      </c>
    </row>
    <row r="12" spans="2:11" x14ac:dyDescent="0.3">
      <c r="B12" s="6" t="s">
        <v>26</v>
      </c>
      <c r="C12" s="22"/>
      <c r="D12" s="22"/>
      <c r="E12" s="22"/>
      <c r="F12" s="22"/>
      <c r="G12" s="22"/>
      <c r="H12" s="12">
        <f t="shared" si="0"/>
        <v>43935</v>
      </c>
    </row>
    <row r="13" spans="2:11" x14ac:dyDescent="0.3">
      <c r="B13" s="6" t="s">
        <v>22</v>
      </c>
      <c r="C13" s="23"/>
      <c r="D13" s="23"/>
      <c r="E13" s="23"/>
      <c r="F13" s="22"/>
      <c r="G13" s="23"/>
      <c r="H13" s="12">
        <f t="shared" si="0"/>
        <v>43935</v>
      </c>
      <c r="K13" s="4"/>
    </row>
    <row r="14" spans="2:11" x14ac:dyDescent="0.3">
      <c r="B14" s="6" t="s">
        <v>19</v>
      </c>
      <c r="C14" s="22"/>
      <c r="D14" s="22">
        <v>266000</v>
      </c>
      <c r="E14" s="22">
        <v>50000</v>
      </c>
      <c r="F14" s="22">
        <v>432000</v>
      </c>
      <c r="G14" s="22"/>
      <c r="H14" s="12">
        <f t="shared" si="0"/>
        <v>43935</v>
      </c>
    </row>
    <row r="15" spans="2:11" x14ac:dyDescent="0.3">
      <c r="B15" s="6" t="s">
        <v>14</v>
      </c>
      <c r="C15" s="22">
        <v>108000</v>
      </c>
      <c r="D15" s="22"/>
      <c r="E15" s="22"/>
      <c r="F15" s="22"/>
      <c r="G15" s="22"/>
      <c r="H15" s="12">
        <f t="shared" si="0"/>
        <v>43935</v>
      </c>
    </row>
    <row r="16" spans="2:11" x14ac:dyDescent="0.3">
      <c r="B16" s="6" t="s">
        <v>24</v>
      </c>
      <c r="C16" s="22"/>
      <c r="D16" s="22"/>
      <c r="E16" s="22"/>
      <c r="F16" s="49"/>
      <c r="G16" s="22"/>
      <c r="H16" s="12">
        <f t="shared" si="0"/>
        <v>43935</v>
      </c>
    </row>
    <row r="17" spans="1:8" x14ac:dyDescent="0.3">
      <c r="B17" s="6" t="s">
        <v>21</v>
      </c>
      <c r="C17" s="22"/>
      <c r="D17" s="22"/>
      <c r="E17" s="22"/>
      <c r="F17" s="22"/>
      <c r="G17" s="22"/>
      <c r="H17" s="12">
        <f t="shared" si="0"/>
        <v>43935</v>
      </c>
    </row>
    <row r="18" spans="1:8" x14ac:dyDescent="0.3">
      <c r="B18" s="6" t="s">
        <v>18</v>
      </c>
      <c r="C18" s="22"/>
      <c r="D18" s="22"/>
      <c r="E18" s="22"/>
      <c r="F18" s="22"/>
      <c r="G18" s="22"/>
      <c r="H18" s="12">
        <f t="shared" si="0"/>
        <v>43935</v>
      </c>
    </row>
    <row r="19" spans="1:8" x14ac:dyDescent="0.3">
      <c r="B19" s="6" t="s">
        <v>16</v>
      </c>
      <c r="C19" s="22"/>
      <c r="D19" s="22"/>
      <c r="E19" s="22"/>
      <c r="F19" s="22"/>
      <c r="G19" s="22"/>
      <c r="H19" s="12">
        <f t="shared" si="0"/>
        <v>43935</v>
      </c>
    </row>
    <row r="20" spans="1:8" x14ac:dyDescent="0.3">
      <c r="B20" s="50" t="s">
        <v>27</v>
      </c>
      <c r="C20" s="51">
        <f>SUM(April14_2020[KSI_AGO])</f>
        <v>1112000</v>
      </c>
      <c r="D20" s="51">
        <f>SUM(April14_2020[KSI_PMS])</f>
        <v>1105000</v>
      </c>
      <c r="E20" s="51">
        <f>SUM(April14_2020[BUIPE_AGO])</f>
        <v>636000</v>
      </c>
      <c r="F20" s="51">
        <f>SUM(April14_2020[BUIPE_PMS])</f>
        <v>752000</v>
      </c>
      <c r="G20" s="51">
        <f>SUM(April14_2020[AKOSOMBO_AGO])</f>
        <v>0</v>
      </c>
      <c r="H20" s="52"/>
    </row>
    <row r="21" spans="1:8" x14ac:dyDescent="0.3">
      <c r="B21" s="8"/>
      <c r="C21" s="24"/>
      <c r="D21" s="24"/>
      <c r="E21" s="24"/>
      <c r="F21" s="24"/>
      <c r="G21" s="24"/>
      <c r="H21"/>
    </row>
    <row r="22" spans="1:8" x14ac:dyDescent="0.3">
      <c r="B22" s="1" t="s">
        <v>6</v>
      </c>
      <c r="C22" s="1" t="s">
        <v>4</v>
      </c>
      <c r="D22" s="5">
        <f>SUMIF(April14_2020[[#Headers],[KSI_AGO]:[AKOSOMBO_AGO]],"*"&amp;C22,April14_2020[[#Totals],[KSI_AGO]:[AKOSOMBO_AGO]])</f>
        <v>1748000</v>
      </c>
      <c r="E22" s="1" t="s">
        <v>5</v>
      </c>
      <c r="F22" s="5">
        <f>SUMIF(April14_2020[[#Headers],[KSI_AGO]:[AKOSOMBO_AGO]],"*"&amp;E22,April14_2020[[#Totals],[KSI_AGO]:[AKOSOMBO_AGO]])</f>
        <v>1857000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4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pageSetUpPr fitToPage="1"/>
  </sheetPr>
  <dimension ref="A1:K32"/>
  <sheetViews>
    <sheetView zoomScale="80" zoomScaleNormal="80" workbookViewId="0">
      <pane xSplit="1" ySplit="5" topLeftCell="B6" activePane="bottomRight" state="frozen"/>
      <selection activeCell="E3" sqref="E3"/>
      <selection pane="topRight" activeCell="E3" sqref="E3"/>
      <selection pane="bottomLeft" activeCell="E3" sqref="E3"/>
      <selection pane="bottomRight" activeCell="F24" sqref="F2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2.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43936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43936</v>
      </c>
    </row>
    <row r="7" spans="2:11" x14ac:dyDescent="0.3">
      <c r="B7" s="6" t="s">
        <v>37</v>
      </c>
      <c r="C7" s="22"/>
      <c r="D7" s="22"/>
      <c r="E7" s="22"/>
      <c r="F7" s="22"/>
      <c r="G7" s="22"/>
      <c r="H7" s="67">
        <f>$G$3</f>
        <v>43936</v>
      </c>
    </row>
    <row r="8" spans="2:11" x14ac:dyDescent="0.3">
      <c r="B8" s="6" t="s">
        <v>17</v>
      </c>
      <c r="C8" s="22">
        <v>730000</v>
      </c>
      <c r="D8" s="22">
        <v>54000</v>
      </c>
      <c r="E8" s="22"/>
      <c r="F8" s="22">
        <v>216000</v>
      </c>
      <c r="G8" s="22"/>
      <c r="H8" s="12">
        <f t="shared" si="0"/>
        <v>43936</v>
      </c>
    </row>
    <row r="9" spans="2:11" ht="15.6" x14ac:dyDescent="0.3">
      <c r="B9" s="34" t="s">
        <v>0</v>
      </c>
      <c r="C9" s="60"/>
      <c r="D9" s="60">
        <v>486000</v>
      </c>
      <c r="E9" s="60"/>
      <c r="F9" s="60"/>
      <c r="G9" s="61"/>
      <c r="H9" s="12">
        <f t="shared" si="0"/>
        <v>43936</v>
      </c>
    </row>
    <row r="10" spans="2:11" x14ac:dyDescent="0.3">
      <c r="B10" s="6" t="s">
        <v>25</v>
      </c>
      <c r="C10" s="22"/>
      <c r="D10" s="22">
        <v>419000</v>
      </c>
      <c r="E10" s="22"/>
      <c r="F10" s="22"/>
      <c r="G10" s="22"/>
      <c r="H10" s="12">
        <f t="shared" si="0"/>
        <v>43936</v>
      </c>
    </row>
    <row r="11" spans="2:11" x14ac:dyDescent="0.3">
      <c r="B11" s="6" t="s">
        <v>15</v>
      </c>
      <c r="C11" s="22"/>
      <c r="D11" s="22"/>
      <c r="E11" s="22"/>
      <c r="F11" s="48"/>
      <c r="G11" s="22"/>
      <c r="H11" s="12">
        <f t="shared" si="0"/>
        <v>43936</v>
      </c>
    </row>
    <row r="12" spans="2:11" x14ac:dyDescent="0.3">
      <c r="B12" s="6" t="s">
        <v>26</v>
      </c>
      <c r="C12" s="22"/>
      <c r="D12" s="22"/>
      <c r="E12" s="22"/>
      <c r="F12" s="22"/>
      <c r="G12" s="22"/>
      <c r="H12" s="12">
        <f t="shared" si="0"/>
        <v>43936</v>
      </c>
    </row>
    <row r="13" spans="2:11" x14ac:dyDescent="0.3">
      <c r="B13" s="6" t="s">
        <v>22</v>
      </c>
      <c r="C13" s="23"/>
      <c r="D13" s="23"/>
      <c r="E13" s="23"/>
      <c r="F13" s="22"/>
      <c r="G13" s="23"/>
      <c r="H13" s="12">
        <f t="shared" si="0"/>
        <v>43936</v>
      </c>
      <c r="K13" s="4"/>
    </row>
    <row r="14" spans="2:11" x14ac:dyDescent="0.3">
      <c r="B14" s="6" t="s">
        <v>19</v>
      </c>
      <c r="C14" s="22"/>
      <c r="D14" s="22">
        <v>263000</v>
      </c>
      <c r="E14" s="22">
        <v>54000</v>
      </c>
      <c r="F14" s="22">
        <v>486000</v>
      </c>
      <c r="G14" s="22"/>
      <c r="H14" s="12">
        <f t="shared" si="0"/>
        <v>43936</v>
      </c>
    </row>
    <row r="15" spans="2:11" x14ac:dyDescent="0.3">
      <c r="B15" s="6" t="s">
        <v>14</v>
      </c>
      <c r="C15" s="22">
        <v>485000</v>
      </c>
      <c r="D15" s="22"/>
      <c r="E15" s="22">
        <v>909000</v>
      </c>
      <c r="F15" s="22"/>
      <c r="G15" s="22"/>
      <c r="H15" s="12">
        <f t="shared" si="0"/>
        <v>43936</v>
      </c>
    </row>
    <row r="16" spans="2:11" x14ac:dyDescent="0.3">
      <c r="B16" s="6" t="s">
        <v>24</v>
      </c>
      <c r="C16" s="22"/>
      <c r="D16" s="22"/>
      <c r="E16" s="22"/>
      <c r="F16" s="49"/>
      <c r="G16" s="22"/>
      <c r="H16" s="12">
        <f t="shared" si="0"/>
        <v>43936</v>
      </c>
    </row>
    <row r="17" spans="1:8" x14ac:dyDescent="0.3">
      <c r="B17" s="6" t="s">
        <v>21</v>
      </c>
      <c r="C17" s="22"/>
      <c r="D17" s="22"/>
      <c r="E17" s="22"/>
      <c r="F17" s="22"/>
      <c r="G17" s="22"/>
      <c r="H17" s="12">
        <f t="shared" si="0"/>
        <v>43936</v>
      </c>
    </row>
    <row r="18" spans="1:8" x14ac:dyDescent="0.3">
      <c r="B18" s="6" t="s">
        <v>18</v>
      </c>
      <c r="C18" s="22">
        <v>108000</v>
      </c>
      <c r="D18" s="22"/>
      <c r="E18" s="22"/>
      <c r="F18" s="22"/>
      <c r="G18" s="22"/>
      <c r="H18" s="12">
        <f t="shared" si="0"/>
        <v>43936</v>
      </c>
    </row>
    <row r="19" spans="1:8" x14ac:dyDescent="0.3">
      <c r="B19" s="6" t="s">
        <v>16</v>
      </c>
      <c r="C19" s="22"/>
      <c r="D19" s="22"/>
      <c r="E19" s="22">
        <v>54000</v>
      </c>
      <c r="F19" s="22"/>
      <c r="G19" s="22"/>
      <c r="H19" s="12">
        <f t="shared" si="0"/>
        <v>43936</v>
      </c>
    </row>
    <row r="20" spans="1:8" x14ac:dyDescent="0.3">
      <c r="B20" s="50" t="s">
        <v>27</v>
      </c>
      <c r="C20" s="51">
        <f>SUM(April15_2020[KSI_AGO])</f>
        <v>1323000</v>
      </c>
      <c r="D20" s="51">
        <f>SUM(April15_2020[KSI_PMS])</f>
        <v>1222000</v>
      </c>
      <c r="E20" s="51">
        <f>SUM(April15_2020[BUIPE_AGO])</f>
        <v>1017000</v>
      </c>
      <c r="F20" s="51">
        <f>SUM(April15_2020[BUIPE_PMS])</f>
        <v>702000</v>
      </c>
      <c r="G20" s="51">
        <f>SUM(April15_2020[AKOSOMBO_AGO])</f>
        <v>0</v>
      </c>
      <c r="H20" s="52"/>
    </row>
    <row r="21" spans="1:8" x14ac:dyDescent="0.3">
      <c r="B21" s="8"/>
      <c r="C21" s="24"/>
      <c r="D21" s="24"/>
      <c r="E21" s="24"/>
      <c r="F21" s="24"/>
      <c r="G21" s="24"/>
      <c r="H21"/>
    </row>
    <row r="22" spans="1:8" x14ac:dyDescent="0.3">
      <c r="B22" s="1" t="s">
        <v>6</v>
      </c>
      <c r="C22" s="1" t="s">
        <v>4</v>
      </c>
      <c r="D22" s="5">
        <f>SUMIF(April15_2020[[#Headers],[KSI_AGO]:[AKOSOMBO_AGO]],"*"&amp;C22,April15_2020[[#Totals],[KSI_AGO]:[AKOSOMBO_AGO]])</f>
        <v>2340000</v>
      </c>
      <c r="E22" s="1" t="s">
        <v>5</v>
      </c>
      <c r="F22" s="5">
        <f>SUMIF(April15_2020[[#Headers],[KSI_AGO]:[AKOSOMBO_AGO]],"*"&amp;E22,April15_2020[[#Totals],[KSI_AGO]:[AKOSOMBO_AGO]])</f>
        <v>1924000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5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pageSetUpPr fitToPage="1"/>
  </sheetPr>
  <dimension ref="A1:K32"/>
  <sheetViews>
    <sheetView zoomScale="80" zoomScaleNormal="80" workbookViewId="0">
      <pane xSplit="1" ySplit="5" topLeftCell="B6" activePane="bottomRight" state="frozen"/>
      <selection activeCell="E3" sqref="E3"/>
      <selection pane="topRight" activeCell="E3" sqref="E3"/>
      <selection pane="bottomLeft" activeCell="E3" sqref="E3"/>
      <selection pane="bottomRight" activeCell="D16" sqref="D1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43937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43937</v>
      </c>
    </row>
    <row r="7" spans="2:11" x14ac:dyDescent="0.3">
      <c r="B7" s="6" t="s">
        <v>37</v>
      </c>
      <c r="C7" s="22"/>
      <c r="D7" s="22"/>
      <c r="E7" s="22"/>
      <c r="F7" s="22"/>
      <c r="G7" s="22"/>
      <c r="H7" s="67">
        <f>$G$3</f>
        <v>43937</v>
      </c>
    </row>
    <row r="8" spans="2:11" x14ac:dyDescent="0.3">
      <c r="B8" s="6" t="s">
        <v>17</v>
      </c>
      <c r="C8" s="22">
        <v>261000</v>
      </c>
      <c r="D8" s="22">
        <v>527000</v>
      </c>
      <c r="E8" s="22">
        <v>45000</v>
      </c>
      <c r="F8" s="22">
        <v>374000</v>
      </c>
      <c r="G8" s="22"/>
      <c r="H8" s="12">
        <f t="shared" si="0"/>
        <v>43937</v>
      </c>
    </row>
    <row r="9" spans="2:11" ht="15.6" x14ac:dyDescent="0.3">
      <c r="B9" s="34" t="s">
        <v>0</v>
      </c>
      <c r="C9" s="60"/>
      <c r="D9" s="60">
        <v>806500</v>
      </c>
      <c r="E9" s="60"/>
      <c r="F9" s="60"/>
      <c r="G9" s="61"/>
      <c r="H9" s="12">
        <f t="shared" si="0"/>
        <v>43937</v>
      </c>
    </row>
    <row r="10" spans="2:11" x14ac:dyDescent="0.3">
      <c r="B10" s="6" t="s">
        <v>25</v>
      </c>
      <c r="C10" s="22">
        <v>50000</v>
      </c>
      <c r="D10" s="22"/>
      <c r="E10" s="22"/>
      <c r="F10" s="22">
        <v>99000</v>
      </c>
      <c r="G10" s="22"/>
      <c r="H10" s="12">
        <f t="shared" si="0"/>
        <v>43937</v>
      </c>
    </row>
    <row r="11" spans="2:11" x14ac:dyDescent="0.3">
      <c r="B11" s="6" t="s">
        <v>15</v>
      </c>
      <c r="C11" s="22"/>
      <c r="D11" s="22">
        <v>54000</v>
      </c>
      <c r="E11" s="22"/>
      <c r="F11" s="48">
        <v>108000</v>
      </c>
      <c r="G11" s="22"/>
      <c r="H11" s="12">
        <f t="shared" si="0"/>
        <v>43937</v>
      </c>
    </row>
    <row r="12" spans="2:11" x14ac:dyDescent="0.3">
      <c r="B12" s="6" t="s">
        <v>26</v>
      </c>
      <c r="C12" s="22"/>
      <c r="D12" s="22"/>
      <c r="E12" s="22"/>
      <c r="F12" s="22"/>
      <c r="G12" s="22"/>
      <c r="H12" s="12">
        <f t="shared" si="0"/>
        <v>43937</v>
      </c>
    </row>
    <row r="13" spans="2:11" x14ac:dyDescent="0.3">
      <c r="B13" s="6" t="s">
        <v>22</v>
      </c>
      <c r="C13" s="23"/>
      <c r="D13" s="23"/>
      <c r="E13" s="23"/>
      <c r="F13" s="22"/>
      <c r="G13" s="23"/>
      <c r="H13" s="12">
        <f t="shared" si="0"/>
        <v>43937</v>
      </c>
      <c r="K13" s="4"/>
    </row>
    <row r="14" spans="2:11" x14ac:dyDescent="0.3">
      <c r="B14" s="6" t="s">
        <v>19</v>
      </c>
      <c r="C14" s="22"/>
      <c r="D14" s="22">
        <v>315000</v>
      </c>
      <c r="E14" s="22"/>
      <c r="F14" s="22">
        <v>54000</v>
      </c>
      <c r="G14" s="22"/>
      <c r="H14" s="12">
        <f t="shared" si="0"/>
        <v>43937</v>
      </c>
    </row>
    <row r="15" spans="2:11" x14ac:dyDescent="0.3">
      <c r="B15" s="6" t="s">
        <v>14</v>
      </c>
      <c r="C15" s="22"/>
      <c r="D15" s="22">
        <v>108000</v>
      </c>
      <c r="E15" s="22"/>
      <c r="F15" s="22"/>
      <c r="G15" s="22"/>
      <c r="H15" s="12">
        <f t="shared" si="0"/>
        <v>43937</v>
      </c>
    </row>
    <row r="16" spans="2:11" x14ac:dyDescent="0.3">
      <c r="B16" s="6" t="s">
        <v>24</v>
      </c>
      <c r="C16" s="22"/>
      <c r="D16" s="22"/>
      <c r="E16" s="22"/>
      <c r="F16" s="49"/>
      <c r="G16" s="22"/>
      <c r="H16" s="12">
        <f t="shared" si="0"/>
        <v>43937</v>
      </c>
    </row>
    <row r="17" spans="1:8" x14ac:dyDescent="0.3">
      <c r="B17" s="6" t="s">
        <v>21</v>
      </c>
      <c r="C17" s="22"/>
      <c r="D17" s="22"/>
      <c r="E17" s="22"/>
      <c r="F17" s="22"/>
      <c r="G17" s="22"/>
      <c r="H17" s="12">
        <f t="shared" si="0"/>
        <v>43937</v>
      </c>
    </row>
    <row r="18" spans="1:8" x14ac:dyDescent="0.3">
      <c r="B18" s="6" t="s">
        <v>18</v>
      </c>
      <c r="C18" s="22">
        <v>54000</v>
      </c>
      <c r="D18" s="22"/>
      <c r="E18" s="22"/>
      <c r="F18" s="22"/>
      <c r="G18" s="22"/>
      <c r="H18" s="12">
        <f t="shared" si="0"/>
        <v>43937</v>
      </c>
    </row>
    <row r="19" spans="1:8" x14ac:dyDescent="0.3">
      <c r="B19" s="6" t="s">
        <v>16</v>
      </c>
      <c r="C19" s="22"/>
      <c r="D19" s="22"/>
      <c r="E19" s="22"/>
      <c r="F19" s="22"/>
      <c r="G19" s="22"/>
      <c r="H19" s="12">
        <f t="shared" si="0"/>
        <v>43937</v>
      </c>
    </row>
    <row r="20" spans="1:8" x14ac:dyDescent="0.3">
      <c r="B20" s="50" t="s">
        <v>27</v>
      </c>
      <c r="C20" s="51">
        <f>SUM(April16_2020[KSI_AGO])</f>
        <v>365000</v>
      </c>
      <c r="D20" s="51">
        <f>SUM(April16_2020[KSI_PMS])</f>
        <v>1810500</v>
      </c>
      <c r="E20" s="51">
        <f>SUM(April16_2020[BUIPE_AGO])</f>
        <v>45000</v>
      </c>
      <c r="F20" s="51">
        <f>SUM(April16_2020[BUIPE_PMS])</f>
        <v>635000</v>
      </c>
      <c r="G20" s="51">
        <f>SUM(April16_2020[AKOSOMBO_AGO])</f>
        <v>0</v>
      </c>
      <c r="H20" s="52"/>
    </row>
    <row r="21" spans="1:8" x14ac:dyDescent="0.3">
      <c r="B21" s="8"/>
      <c r="C21" s="24"/>
      <c r="D21" s="24"/>
      <c r="E21" s="24"/>
      <c r="F21" s="24"/>
      <c r="G21" s="24"/>
      <c r="H21"/>
    </row>
    <row r="22" spans="1:8" x14ac:dyDescent="0.3">
      <c r="B22" s="1" t="s">
        <v>6</v>
      </c>
      <c r="C22" s="1" t="s">
        <v>4</v>
      </c>
      <c r="D22" s="5">
        <f>SUMIF(April16_2020[[#Headers],[KSI_AGO]:[AKOSOMBO_AGO]],"*"&amp;C22,April16_2020[[#Totals],[KSI_AGO]:[AKOSOMBO_AGO]])</f>
        <v>410000</v>
      </c>
      <c r="E22" s="1" t="s">
        <v>5</v>
      </c>
      <c r="F22" s="5">
        <f>SUMIF(April16_2020[[#Headers],[KSI_AGO]:[AKOSOMBO_AGO]],"*"&amp;E22,April16_2020[[#Totals],[KSI_AGO]:[AKOSOMBO_AGO]])</f>
        <v>2445500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6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pageSetUpPr fitToPage="1"/>
  </sheetPr>
  <dimension ref="A1:K32"/>
  <sheetViews>
    <sheetView zoomScale="80" zoomScaleNormal="80" workbookViewId="0">
      <pane xSplit="1" ySplit="5" topLeftCell="B6" activePane="bottomRight" state="frozen"/>
      <selection activeCell="E3" sqref="E3"/>
      <selection pane="topRight" activeCell="E3" sqref="E3"/>
      <selection pane="bottomLeft" activeCell="E3" sqref="E3"/>
      <selection pane="bottomRight" activeCell="F17" sqref="F1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43938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43938</v>
      </c>
    </row>
    <row r="7" spans="2:11" x14ac:dyDescent="0.3">
      <c r="B7" s="6" t="s">
        <v>37</v>
      </c>
      <c r="C7" s="22"/>
      <c r="D7" s="22"/>
      <c r="E7" s="22"/>
      <c r="F7" s="22"/>
      <c r="G7" s="22"/>
      <c r="H7" s="67">
        <f>$G$3</f>
        <v>43938</v>
      </c>
    </row>
    <row r="8" spans="2:11" x14ac:dyDescent="0.3">
      <c r="B8" s="6" t="s">
        <v>17</v>
      </c>
      <c r="C8" s="22"/>
      <c r="D8" s="22">
        <v>152000</v>
      </c>
      <c r="E8" s="22"/>
      <c r="F8" s="22"/>
      <c r="G8" s="22"/>
      <c r="H8" s="12">
        <f t="shared" si="0"/>
        <v>43938</v>
      </c>
    </row>
    <row r="9" spans="2:11" ht="15.6" x14ac:dyDescent="0.3">
      <c r="B9" s="34" t="s">
        <v>0</v>
      </c>
      <c r="C9" s="60"/>
      <c r="D9" s="60">
        <v>216000</v>
      </c>
      <c r="E9" s="60"/>
      <c r="F9" s="60"/>
      <c r="G9" s="61"/>
      <c r="H9" s="12">
        <f t="shared" si="0"/>
        <v>43938</v>
      </c>
    </row>
    <row r="10" spans="2:11" x14ac:dyDescent="0.3">
      <c r="B10" s="6" t="s">
        <v>25</v>
      </c>
      <c r="C10" s="22"/>
      <c r="D10" s="22">
        <v>104000</v>
      </c>
      <c r="E10" s="22"/>
      <c r="F10" s="22">
        <v>540000</v>
      </c>
      <c r="G10" s="22"/>
      <c r="H10" s="12">
        <f t="shared" si="0"/>
        <v>43938</v>
      </c>
    </row>
    <row r="11" spans="2:11" x14ac:dyDescent="0.3">
      <c r="B11" s="6" t="s">
        <v>15</v>
      </c>
      <c r="C11" s="22"/>
      <c r="D11" s="22">
        <v>95000</v>
      </c>
      <c r="E11" s="22"/>
      <c r="F11" s="48">
        <v>427000</v>
      </c>
      <c r="G11" s="22"/>
      <c r="H11" s="12">
        <f t="shared" si="0"/>
        <v>43938</v>
      </c>
    </row>
    <row r="12" spans="2:11" x14ac:dyDescent="0.3">
      <c r="B12" s="6" t="s">
        <v>26</v>
      </c>
      <c r="C12" s="22"/>
      <c r="D12" s="22"/>
      <c r="E12" s="22"/>
      <c r="F12" s="22"/>
      <c r="G12" s="22"/>
      <c r="H12" s="12">
        <f t="shared" si="0"/>
        <v>43938</v>
      </c>
    </row>
    <row r="13" spans="2:11" x14ac:dyDescent="0.3">
      <c r="B13" s="6" t="s">
        <v>22</v>
      </c>
      <c r="C13" s="23"/>
      <c r="D13" s="23"/>
      <c r="E13" s="23"/>
      <c r="F13" s="22"/>
      <c r="G13" s="23"/>
      <c r="H13" s="12">
        <f t="shared" si="0"/>
        <v>43938</v>
      </c>
      <c r="K13" s="4"/>
    </row>
    <row r="14" spans="2:11" x14ac:dyDescent="0.3">
      <c r="B14" s="6" t="s">
        <v>19</v>
      </c>
      <c r="C14" s="22"/>
      <c r="D14" s="22">
        <v>432000</v>
      </c>
      <c r="E14" s="22"/>
      <c r="F14" s="22"/>
      <c r="G14" s="22"/>
      <c r="H14" s="12">
        <f t="shared" si="0"/>
        <v>43938</v>
      </c>
    </row>
    <row r="15" spans="2:11" x14ac:dyDescent="0.3">
      <c r="B15" s="6" t="s">
        <v>14</v>
      </c>
      <c r="C15" s="22"/>
      <c r="D15" s="22">
        <v>270000</v>
      </c>
      <c r="E15" s="22"/>
      <c r="F15" s="22">
        <v>576000</v>
      </c>
      <c r="G15" s="22"/>
      <c r="H15" s="12">
        <f t="shared" si="0"/>
        <v>43938</v>
      </c>
    </row>
    <row r="16" spans="2:11" x14ac:dyDescent="0.3">
      <c r="B16" s="6" t="s">
        <v>24</v>
      </c>
      <c r="C16" s="22"/>
      <c r="D16" s="22"/>
      <c r="E16" s="22"/>
      <c r="F16" s="49"/>
      <c r="G16" s="22"/>
      <c r="H16" s="12">
        <f t="shared" si="0"/>
        <v>43938</v>
      </c>
    </row>
    <row r="17" spans="1:8" x14ac:dyDescent="0.3">
      <c r="B17" s="6" t="s">
        <v>21</v>
      </c>
      <c r="C17" s="22"/>
      <c r="D17" s="22"/>
      <c r="E17" s="22"/>
      <c r="F17" s="22"/>
      <c r="G17" s="22"/>
      <c r="H17" s="12">
        <f t="shared" si="0"/>
        <v>43938</v>
      </c>
    </row>
    <row r="18" spans="1:8" x14ac:dyDescent="0.3">
      <c r="B18" s="6" t="s">
        <v>18</v>
      </c>
      <c r="C18" s="22"/>
      <c r="D18" s="22">
        <v>104000</v>
      </c>
      <c r="E18" s="22"/>
      <c r="F18" s="22"/>
      <c r="G18" s="22"/>
      <c r="H18" s="12">
        <f t="shared" si="0"/>
        <v>43938</v>
      </c>
    </row>
    <row r="19" spans="1:8" x14ac:dyDescent="0.3">
      <c r="B19" s="6" t="s">
        <v>16</v>
      </c>
      <c r="C19" s="22"/>
      <c r="D19" s="22"/>
      <c r="E19" s="22"/>
      <c r="F19" s="22"/>
      <c r="G19" s="22"/>
      <c r="H19" s="12">
        <f t="shared" si="0"/>
        <v>43938</v>
      </c>
    </row>
    <row r="20" spans="1:8" x14ac:dyDescent="0.3">
      <c r="B20" s="50" t="s">
        <v>27</v>
      </c>
      <c r="C20" s="51">
        <f>SUM(April17_2020[KSI_AGO])</f>
        <v>0</v>
      </c>
      <c r="D20" s="51">
        <f>SUM(April17_2020[KSI_PMS])</f>
        <v>1373000</v>
      </c>
      <c r="E20" s="51">
        <f>SUM(April17_2020[BUIPE_AGO])</f>
        <v>0</v>
      </c>
      <c r="F20" s="51">
        <f>SUM(April17_2020[BUIPE_PMS])</f>
        <v>1543000</v>
      </c>
      <c r="G20" s="51">
        <f>SUM(April17_2020[AKOSOMBO_AGO])</f>
        <v>0</v>
      </c>
      <c r="H20" s="52"/>
    </row>
    <row r="21" spans="1:8" x14ac:dyDescent="0.3">
      <c r="B21" s="8"/>
      <c r="C21" s="24"/>
      <c r="D21" s="24"/>
      <c r="E21" s="24"/>
      <c r="F21" s="24"/>
      <c r="G21" s="24"/>
      <c r="H21"/>
    </row>
    <row r="22" spans="1:8" x14ac:dyDescent="0.3">
      <c r="B22" s="1" t="s">
        <v>6</v>
      </c>
      <c r="C22" s="1" t="s">
        <v>4</v>
      </c>
      <c r="D22" s="5">
        <f>SUMIF(April17_2020[[#Headers],[KSI_AGO]:[AKOSOMBO_AGO]],"*"&amp;C22,April17_2020[[#Totals],[KSI_AGO]:[AKOSOMBO_AGO]])</f>
        <v>0</v>
      </c>
      <c r="E22" s="1" t="s">
        <v>5</v>
      </c>
      <c r="F22" s="5">
        <f>SUMIF(April17_2020[[#Headers],[KSI_AGO]:[AKOSOMBO_AGO]],"*"&amp;E22,April17_2020[[#Totals],[KSI_AGO]:[AKOSOMBO_AGO]])</f>
        <v>2916000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7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G14" sqref="G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43941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43941</v>
      </c>
    </row>
    <row r="7" spans="2:11" x14ac:dyDescent="0.3">
      <c r="B7" s="6" t="s">
        <v>37</v>
      </c>
      <c r="C7" s="22"/>
      <c r="D7" s="22"/>
      <c r="E7" s="22"/>
      <c r="F7" s="22"/>
      <c r="G7" s="22"/>
      <c r="H7" s="67">
        <f>$G$3</f>
        <v>43941</v>
      </c>
    </row>
    <row r="8" spans="2:11" x14ac:dyDescent="0.3">
      <c r="B8" s="6" t="s">
        <v>17</v>
      </c>
      <c r="C8" s="22"/>
      <c r="D8" s="22">
        <v>286000</v>
      </c>
      <c r="E8" s="22"/>
      <c r="F8" s="22"/>
      <c r="G8" s="22"/>
      <c r="H8" s="12">
        <f t="shared" si="0"/>
        <v>43941</v>
      </c>
    </row>
    <row r="9" spans="2:11" ht="15.6" x14ac:dyDescent="0.3">
      <c r="B9" s="34" t="s">
        <v>0</v>
      </c>
      <c r="C9" s="60"/>
      <c r="D9" s="60">
        <v>54000</v>
      </c>
      <c r="E9" s="60"/>
      <c r="F9" s="60"/>
      <c r="G9" s="61"/>
      <c r="H9" s="12">
        <f t="shared" si="0"/>
        <v>43941</v>
      </c>
    </row>
    <row r="10" spans="2:11" x14ac:dyDescent="0.3">
      <c r="B10" s="6" t="s">
        <v>25</v>
      </c>
      <c r="C10" s="22"/>
      <c r="D10" s="22">
        <v>162000</v>
      </c>
      <c r="E10" s="22"/>
      <c r="F10" s="22"/>
      <c r="G10" s="22"/>
      <c r="H10" s="12">
        <f t="shared" si="0"/>
        <v>43941</v>
      </c>
    </row>
    <row r="11" spans="2:11" x14ac:dyDescent="0.3">
      <c r="B11" s="6" t="s">
        <v>15</v>
      </c>
      <c r="C11" s="22">
        <v>1001000</v>
      </c>
      <c r="D11" s="22">
        <v>216000</v>
      </c>
      <c r="E11" s="22">
        <v>698000</v>
      </c>
      <c r="F11" s="48"/>
      <c r="G11" s="22"/>
      <c r="H11" s="12">
        <f t="shared" si="0"/>
        <v>43941</v>
      </c>
    </row>
    <row r="12" spans="2:11" x14ac:dyDescent="0.3">
      <c r="B12" s="6" t="s">
        <v>26</v>
      </c>
      <c r="C12" s="22"/>
      <c r="D12" s="22">
        <v>270000</v>
      </c>
      <c r="E12" s="22"/>
      <c r="F12" s="22"/>
      <c r="G12" s="22"/>
      <c r="H12" s="12">
        <f t="shared" si="0"/>
        <v>43941</v>
      </c>
    </row>
    <row r="13" spans="2:11" x14ac:dyDescent="0.3">
      <c r="B13" s="6" t="s">
        <v>22</v>
      </c>
      <c r="C13" s="23"/>
      <c r="D13" s="23"/>
      <c r="E13" s="23"/>
      <c r="F13" s="22"/>
      <c r="G13" s="23"/>
      <c r="H13" s="12">
        <f t="shared" si="0"/>
        <v>43941</v>
      </c>
      <c r="K13" s="4"/>
    </row>
    <row r="14" spans="2:11" x14ac:dyDescent="0.3">
      <c r="B14" s="6" t="s">
        <v>19</v>
      </c>
      <c r="C14" s="22"/>
      <c r="D14" s="22">
        <v>423000</v>
      </c>
      <c r="E14" s="22"/>
      <c r="F14" s="22">
        <v>482000</v>
      </c>
      <c r="G14" s="22"/>
      <c r="H14" s="12">
        <f t="shared" si="0"/>
        <v>43941</v>
      </c>
    </row>
    <row r="15" spans="2:11" x14ac:dyDescent="0.3">
      <c r="B15" s="6" t="s">
        <v>14</v>
      </c>
      <c r="C15" s="22"/>
      <c r="D15" s="22">
        <v>249000</v>
      </c>
      <c r="E15" s="22"/>
      <c r="F15" s="22">
        <v>270000</v>
      </c>
      <c r="G15" s="22"/>
      <c r="H15" s="12">
        <f t="shared" si="0"/>
        <v>43941</v>
      </c>
    </row>
    <row r="16" spans="2:11" x14ac:dyDescent="0.3">
      <c r="B16" s="6" t="s">
        <v>24</v>
      </c>
      <c r="C16" s="22"/>
      <c r="D16" s="22"/>
      <c r="E16" s="22"/>
      <c r="F16" s="49"/>
      <c r="G16" s="22"/>
      <c r="H16" s="12">
        <f t="shared" si="0"/>
        <v>43941</v>
      </c>
    </row>
    <row r="17" spans="1:8" x14ac:dyDescent="0.3">
      <c r="B17" s="6" t="s">
        <v>21</v>
      </c>
      <c r="C17" s="22"/>
      <c r="D17" s="22"/>
      <c r="E17" s="22"/>
      <c r="F17" s="22"/>
      <c r="G17" s="22"/>
      <c r="H17" s="12">
        <f t="shared" si="0"/>
        <v>43941</v>
      </c>
    </row>
    <row r="18" spans="1:8" x14ac:dyDescent="0.3">
      <c r="B18" s="6" t="s">
        <v>18</v>
      </c>
      <c r="C18" s="22"/>
      <c r="D18" s="22">
        <v>270000</v>
      </c>
      <c r="E18" s="22"/>
      <c r="F18" s="22"/>
      <c r="G18" s="22"/>
      <c r="H18" s="12">
        <f t="shared" si="0"/>
        <v>43941</v>
      </c>
    </row>
    <row r="19" spans="1:8" x14ac:dyDescent="0.3">
      <c r="B19" s="6" t="s">
        <v>16</v>
      </c>
      <c r="C19" s="22"/>
      <c r="D19" s="22"/>
      <c r="E19" s="22">
        <v>54000</v>
      </c>
      <c r="F19" s="22"/>
      <c r="G19" s="22"/>
      <c r="H19" s="12">
        <f t="shared" si="0"/>
        <v>43941</v>
      </c>
    </row>
    <row r="20" spans="1:8" x14ac:dyDescent="0.3">
      <c r="B20" s="50" t="s">
        <v>27</v>
      </c>
      <c r="C20" s="51">
        <f>SUM(April20_2020[KSI_AGO])</f>
        <v>1001000</v>
      </c>
      <c r="D20" s="51">
        <f>SUM(April20_2020[KSI_PMS])</f>
        <v>1930000</v>
      </c>
      <c r="E20" s="51">
        <f>SUM(April20_2020[BUIPE_AGO])</f>
        <v>752000</v>
      </c>
      <c r="F20" s="51">
        <f>SUM(April20_2020[BUIPE_PMS])</f>
        <v>752000</v>
      </c>
      <c r="G20" s="51">
        <f>SUM(April20_2020[AKOSOMBO_AGO])</f>
        <v>0</v>
      </c>
      <c r="H20" s="52"/>
    </row>
    <row r="21" spans="1:8" x14ac:dyDescent="0.3">
      <c r="B21" s="8"/>
      <c r="C21" s="24"/>
      <c r="D21" s="24"/>
      <c r="E21" s="24"/>
      <c r="F21" s="24"/>
      <c r="G21" s="24"/>
      <c r="H21"/>
    </row>
    <row r="22" spans="1:8" x14ac:dyDescent="0.3">
      <c r="B22" s="1" t="s">
        <v>6</v>
      </c>
      <c r="C22" s="1" t="s">
        <v>4</v>
      </c>
      <c r="D22" s="5">
        <f>SUMIF(April20_2020[[#Headers],[KSI_AGO]:[AKOSOMBO_AGO]],"*"&amp;C22,April20_2020[[#Totals],[KSI_AGO]:[AKOSOMBO_AGO]])</f>
        <v>1753000</v>
      </c>
      <c r="E22" s="1" t="s">
        <v>5</v>
      </c>
      <c r="F22" s="5">
        <f>SUMIF(April20_2020[[#Headers],[KSI_AGO]:[AKOSOMBO_AGO]],"*"&amp;E22,April20_2020[[#Totals],[KSI_AGO]:[AKOSOMBO_AGO]])</f>
        <v>2682000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8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pageSetUpPr fitToPage="1"/>
  </sheetPr>
  <dimension ref="A1:K32"/>
  <sheetViews>
    <sheetView zoomScale="90" zoomScaleNormal="90" workbookViewId="0">
      <pane xSplit="1" ySplit="5" topLeftCell="D6" activePane="bottomRight" state="frozen"/>
      <selection activeCell="E3" sqref="E3"/>
      <selection pane="topRight" activeCell="E3" sqref="E3"/>
      <selection pane="bottomLeft" activeCell="E3" sqref="E3"/>
      <selection pane="bottomRight" activeCell="F5" sqref="F5"/>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43942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43942</v>
      </c>
    </row>
    <row r="7" spans="2:11" x14ac:dyDescent="0.3">
      <c r="B7" s="6" t="s">
        <v>37</v>
      </c>
      <c r="C7" s="22"/>
      <c r="D7" s="22"/>
      <c r="E7" s="22"/>
      <c r="F7" s="22"/>
      <c r="G7" s="22"/>
      <c r="H7" s="67">
        <f>$G$3</f>
        <v>43942</v>
      </c>
    </row>
    <row r="8" spans="2:11" x14ac:dyDescent="0.3">
      <c r="B8" s="6" t="s">
        <v>17</v>
      </c>
      <c r="C8" s="22"/>
      <c r="D8" s="22"/>
      <c r="E8" s="22"/>
      <c r="F8" s="22"/>
      <c r="G8" s="22"/>
      <c r="H8" s="12">
        <f t="shared" si="0"/>
        <v>43942</v>
      </c>
    </row>
    <row r="9" spans="2:11" ht="15.6" x14ac:dyDescent="0.3">
      <c r="B9" s="34" t="s">
        <v>0</v>
      </c>
      <c r="C9" s="60"/>
      <c r="D9" s="60"/>
      <c r="E9" s="60"/>
      <c r="F9" s="60"/>
      <c r="G9" s="61"/>
      <c r="H9" s="12">
        <f t="shared" si="0"/>
        <v>43942</v>
      </c>
    </row>
    <row r="10" spans="2:11" x14ac:dyDescent="0.3">
      <c r="B10" s="6" t="s">
        <v>25</v>
      </c>
      <c r="C10" s="22"/>
      <c r="D10" s="22">
        <v>216000</v>
      </c>
      <c r="E10" s="22"/>
      <c r="F10" s="22"/>
      <c r="G10" s="22"/>
      <c r="H10" s="12">
        <f t="shared" si="0"/>
        <v>43942</v>
      </c>
    </row>
    <row r="11" spans="2:11" x14ac:dyDescent="0.3">
      <c r="B11" s="6" t="s">
        <v>15</v>
      </c>
      <c r="C11" s="22">
        <v>586000</v>
      </c>
      <c r="D11" s="22">
        <v>162000</v>
      </c>
      <c r="E11" s="22">
        <v>50000</v>
      </c>
      <c r="F11" s="48">
        <v>263000</v>
      </c>
      <c r="G11" s="22"/>
      <c r="H11" s="12">
        <f t="shared" si="0"/>
        <v>43942</v>
      </c>
    </row>
    <row r="12" spans="2:11" x14ac:dyDescent="0.3">
      <c r="B12" s="6" t="s">
        <v>26</v>
      </c>
      <c r="C12" s="22"/>
      <c r="D12" s="22">
        <v>108000</v>
      </c>
      <c r="E12" s="22"/>
      <c r="F12" s="22"/>
      <c r="G12" s="22"/>
      <c r="H12" s="12">
        <f t="shared" si="0"/>
        <v>43942</v>
      </c>
    </row>
    <row r="13" spans="2:11" x14ac:dyDescent="0.3">
      <c r="B13" s="6" t="s">
        <v>22</v>
      </c>
      <c r="C13" s="23"/>
      <c r="D13" s="23"/>
      <c r="E13" s="23"/>
      <c r="F13" s="22"/>
      <c r="G13" s="23"/>
      <c r="H13" s="12">
        <f t="shared" si="0"/>
        <v>43942</v>
      </c>
      <c r="K13" s="4"/>
    </row>
    <row r="14" spans="2:11" x14ac:dyDescent="0.3">
      <c r="B14" s="6" t="s">
        <v>19</v>
      </c>
      <c r="C14" s="22">
        <v>270000</v>
      </c>
      <c r="D14" s="22">
        <v>150000</v>
      </c>
      <c r="E14" s="22"/>
      <c r="F14" s="22">
        <v>1230000</v>
      </c>
      <c r="G14" s="22"/>
      <c r="H14" s="12">
        <f t="shared" si="0"/>
        <v>43942</v>
      </c>
    </row>
    <row r="15" spans="2:11" x14ac:dyDescent="0.3">
      <c r="B15" s="6" t="s">
        <v>14</v>
      </c>
      <c r="C15" s="22"/>
      <c r="D15" s="22">
        <v>212000</v>
      </c>
      <c r="E15" s="22"/>
      <c r="F15" s="22"/>
      <c r="G15" s="22"/>
      <c r="H15" s="12">
        <f t="shared" si="0"/>
        <v>43942</v>
      </c>
    </row>
    <row r="16" spans="2:11" x14ac:dyDescent="0.3">
      <c r="B16" s="6" t="s">
        <v>24</v>
      </c>
      <c r="C16" s="22"/>
      <c r="D16" s="22"/>
      <c r="E16" s="22"/>
      <c r="F16" s="49"/>
      <c r="G16" s="22"/>
      <c r="H16" s="12">
        <f t="shared" si="0"/>
        <v>43942</v>
      </c>
    </row>
    <row r="17" spans="1:8" x14ac:dyDescent="0.3">
      <c r="B17" s="6" t="s">
        <v>21</v>
      </c>
      <c r="C17" s="22"/>
      <c r="D17" s="22"/>
      <c r="E17" s="22"/>
      <c r="F17" s="22"/>
      <c r="G17" s="22"/>
      <c r="H17" s="12">
        <f t="shared" si="0"/>
        <v>43942</v>
      </c>
    </row>
    <row r="18" spans="1:8" x14ac:dyDescent="0.3">
      <c r="B18" s="6" t="s">
        <v>18</v>
      </c>
      <c r="C18" s="22"/>
      <c r="D18" s="22">
        <v>316000</v>
      </c>
      <c r="E18" s="22"/>
      <c r="F18" s="22"/>
      <c r="G18" s="22"/>
      <c r="H18" s="12">
        <f t="shared" si="0"/>
        <v>43942</v>
      </c>
    </row>
    <row r="19" spans="1:8" x14ac:dyDescent="0.3">
      <c r="B19" s="6" t="s">
        <v>16</v>
      </c>
      <c r="C19" s="22"/>
      <c r="D19" s="22"/>
      <c r="E19" s="22"/>
      <c r="F19" s="22"/>
      <c r="G19" s="22"/>
      <c r="H19" s="12">
        <f t="shared" si="0"/>
        <v>43942</v>
      </c>
    </row>
    <row r="20" spans="1:8" x14ac:dyDescent="0.3">
      <c r="B20" s="50" t="s">
        <v>27</v>
      </c>
      <c r="C20" s="51">
        <f>SUM(April21_2020[KSI_AGO])</f>
        <v>856000</v>
      </c>
      <c r="D20" s="51">
        <f>SUM(April21_2020[KSI_PMS])</f>
        <v>1164000</v>
      </c>
      <c r="E20" s="51">
        <f>SUM(April21_2020[BUIPE_AGO])</f>
        <v>50000</v>
      </c>
      <c r="F20" s="51">
        <f>SUM(April21_2020[BUIPE_PMS])</f>
        <v>1493000</v>
      </c>
      <c r="G20" s="51">
        <f>SUM(April21_2020[AKOSOMBO_AGO])</f>
        <v>0</v>
      </c>
      <c r="H20" s="52"/>
    </row>
    <row r="21" spans="1:8" x14ac:dyDescent="0.3">
      <c r="B21" s="8"/>
      <c r="C21" s="24"/>
      <c r="D21" s="24"/>
      <c r="E21" s="24"/>
      <c r="F21" s="24"/>
      <c r="G21" s="24"/>
      <c r="H21"/>
    </row>
    <row r="22" spans="1:8" x14ac:dyDescent="0.3">
      <c r="B22" s="1" t="s">
        <v>6</v>
      </c>
      <c r="C22" s="1" t="s">
        <v>4</v>
      </c>
      <c r="D22" s="5">
        <f>SUMIF(April21_2020[[#Headers],[KSI_AGO]:[AKOSOMBO_AGO]],"*"&amp;C22,April21_2020[[#Totals],[KSI_AGO]:[AKOSOMBO_AGO]])</f>
        <v>906000</v>
      </c>
      <c r="E22" s="1" t="s">
        <v>5</v>
      </c>
      <c r="F22" s="5">
        <f>SUMIF(April21_2020[[#Headers],[KSI_AGO]:[AKOSOMBO_AGO]],"*"&amp;E22,April21_2020[[#Totals],[KSI_AGO]:[AKOSOMBO_AGO]])</f>
        <v>2657000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9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G12" sqref="G1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43943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43943</v>
      </c>
    </row>
    <row r="7" spans="2:11" x14ac:dyDescent="0.3">
      <c r="B7" s="6" t="s">
        <v>37</v>
      </c>
      <c r="C7" s="22"/>
      <c r="D7" s="22"/>
      <c r="E7" s="22"/>
      <c r="F7" s="22"/>
      <c r="G7" s="22"/>
      <c r="H7" s="67">
        <f>$G$3</f>
        <v>43943</v>
      </c>
    </row>
    <row r="8" spans="2:11" x14ac:dyDescent="0.3">
      <c r="B8" s="6" t="s">
        <v>17</v>
      </c>
      <c r="C8" s="22"/>
      <c r="D8" s="22"/>
      <c r="E8" s="22"/>
      <c r="F8" s="22">
        <v>47000</v>
      </c>
      <c r="G8" s="22"/>
      <c r="H8" s="12">
        <f t="shared" si="0"/>
        <v>43943</v>
      </c>
    </row>
    <row r="9" spans="2:11" ht="15.6" x14ac:dyDescent="0.3">
      <c r="B9" s="34" t="s">
        <v>0</v>
      </c>
      <c r="C9" s="60"/>
      <c r="D9" s="60"/>
      <c r="E9" s="60"/>
      <c r="F9" s="60"/>
      <c r="G9" s="61"/>
      <c r="H9" s="12">
        <f t="shared" si="0"/>
        <v>43943</v>
      </c>
    </row>
    <row r="10" spans="2:11" x14ac:dyDescent="0.3">
      <c r="B10" s="6" t="s">
        <v>25</v>
      </c>
      <c r="C10" s="22"/>
      <c r="D10" s="22">
        <v>378000</v>
      </c>
      <c r="E10" s="22"/>
      <c r="F10" s="22"/>
      <c r="G10" s="22"/>
      <c r="H10" s="12">
        <f t="shared" si="0"/>
        <v>43943</v>
      </c>
    </row>
    <row r="11" spans="2:11" x14ac:dyDescent="0.3">
      <c r="B11" s="6" t="s">
        <v>15</v>
      </c>
      <c r="C11" s="22"/>
      <c r="D11" s="22">
        <v>211000</v>
      </c>
      <c r="E11" s="22"/>
      <c r="F11" s="48"/>
      <c r="G11" s="22"/>
      <c r="H11" s="12">
        <f t="shared" si="0"/>
        <v>43943</v>
      </c>
    </row>
    <row r="12" spans="2:11" x14ac:dyDescent="0.3">
      <c r="B12" s="6" t="s">
        <v>26</v>
      </c>
      <c r="C12" s="22">
        <v>54000</v>
      </c>
      <c r="D12" s="22">
        <v>162000</v>
      </c>
      <c r="E12" s="22"/>
      <c r="F12" s="22"/>
      <c r="G12" s="22"/>
      <c r="H12" s="12">
        <f t="shared" si="0"/>
        <v>43943</v>
      </c>
    </row>
    <row r="13" spans="2:11" x14ac:dyDescent="0.3">
      <c r="B13" s="6" t="s">
        <v>22</v>
      </c>
      <c r="C13" s="23"/>
      <c r="D13" s="23"/>
      <c r="E13" s="23"/>
      <c r="F13" s="22"/>
      <c r="G13" s="23"/>
      <c r="H13" s="12">
        <f t="shared" si="0"/>
        <v>43943</v>
      </c>
      <c r="K13" s="4"/>
    </row>
    <row r="14" spans="2:11" x14ac:dyDescent="0.3">
      <c r="B14" s="6" t="s">
        <v>19</v>
      </c>
      <c r="C14" s="22">
        <v>54000</v>
      </c>
      <c r="D14" s="22">
        <v>432000</v>
      </c>
      <c r="E14" s="22"/>
      <c r="F14" s="22">
        <v>644000</v>
      </c>
      <c r="G14" s="22"/>
      <c r="H14" s="12">
        <f t="shared" si="0"/>
        <v>43943</v>
      </c>
    </row>
    <row r="15" spans="2:11" x14ac:dyDescent="0.3">
      <c r="B15" s="6" t="s">
        <v>14</v>
      </c>
      <c r="C15" s="22"/>
      <c r="D15" s="22">
        <v>378000</v>
      </c>
      <c r="E15" s="22"/>
      <c r="F15" s="22"/>
      <c r="G15" s="22"/>
      <c r="H15" s="12">
        <f t="shared" si="0"/>
        <v>43943</v>
      </c>
    </row>
    <row r="16" spans="2:11" x14ac:dyDescent="0.3">
      <c r="B16" s="6" t="s">
        <v>24</v>
      </c>
      <c r="C16" s="22"/>
      <c r="D16" s="22"/>
      <c r="E16" s="22"/>
      <c r="F16" s="49"/>
      <c r="G16" s="22"/>
      <c r="H16" s="12">
        <f t="shared" si="0"/>
        <v>43943</v>
      </c>
    </row>
    <row r="17" spans="1:8" x14ac:dyDescent="0.3">
      <c r="B17" s="6" t="s">
        <v>21</v>
      </c>
      <c r="C17" s="22"/>
      <c r="D17" s="22"/>
      <c r="E17" s="22"/>
      <c r="F17" s="22"/>
      <c r="G17" s="22"/>
      <c r="H17" s="12">
        <f t="shared" si="0"/>
        <v>43943</v>
      </c>
    </row>
    <row r="18" spans="1:8" x14ac:dyDescent="0.3">
      <c r="B18" s="6" t="s">
        <v>18</v>
      </c>
      <c r="C18" s="22"/>
      <c r="D18" s="22">
        <v>153000</v>
      </c>
      <c r="E18" s="22"/>
      <c r="F18" s="22">
        <v>162000</v>
      </c>
      <c r="G18" s="22"/>
      <c r="H18" s="12">
        <f t="shared" si="0"/>
        <v>43943</v>
      </c>
    </row>
    <row r="19" spans="1:8" x14ac:dyDescent="0.3">
      <c r="B19" s="6" t="s">
        <v>16</v>
      </c>
      <c r="C19" s="22"/>
      <c r="D19" s="22"/>
      <c r="E19" s="22"/>
      <c r="F19" s="22"/>
      <c r="G19" s="22"/>
      <c r="H19" s="12">
        <f t="shared" si="0"/>
        <v>43943</v>
      </c>
    </row>
    <row r="20" spans="1:8" x14ac:dyDescent="0.3">
      <c r="B20" s="50" t="s">
        <v>27</v>
      </c>
      <c r="C20" s="51">
        <f>SUM(April22_2020[KSI_AGO])</f>
        <v>108000</v>
      </c>
      <c r="D20" s="51">
        <f>SUM(April22_2020[KSI_PMS])</f>
        <v>1714000</v>
      </c>
      <c r="E20" s="51">
        <f>SUM(April22_2020[BUIPE_AGO])</f>
        <v>0</v>
      </c>
      <c r="F20" s="51">
        <f>SUM(April22_2020[BUIPE_PMS])</f>
        <v>853000</v>
      </c>
      <c r="G20" s="51">
        <f>SUM(April22_2020[AKOSOMBO_AGO])</f>
        <v>0</v>
      </c>
      <c r="H20" s="52"/>
    </row>
    <row r="21" spans="1:8" x14ac:dyDescent="0.3">
      <c r="B21" s="8"/>
      <c r="C21" s="24"/>
      <c r="D21" s="24"/>
      <c r="E21" s="24"/>
      <c r="F21" s="24"/>
      <c r="G21" s="24"/>
      <c r="H21"/>
    </row>
    <row r="22" spans="1:8" x14ac:dyDescent="0.3">
      <c r="B22" s="1" t="s">
        <v>6</v>
      </c>
      <c r="C22" s="1" t="s">
        <v>4</v>
      </c>
      <c r="D22" s="5">
        <f>SUMIF(April22_2020[[#Headers],[KSI_AGO]:[AKOSOMBO_AGO]],"*"&amp;C22,April22_2020[[#Totals],[KSI_AGO]:[AKOSOMBO_AGO]])</f>
        <v>108000</v>
      </c>
      <c r="E22" s="1" t="s">
        <v>5</v>
      </c>
      <c r="F22" s="5">
        <f>SUMIF(April22_2020[[#Headers],[KSI_AGO]:[AKOSOMBO_AGO]],"*"&amp;E22,April22_2020[[#Totals],[KSI_AGO]:[AKOSOMBO_AGO]])</f>
        <v>2567000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A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pageSetUpPr fitToPage="1"/>
  </sheetPr>
  <dimension ref="A1:K32"/>
  <sheetViews>
    <sheetView zoomScaleNormal="100" workbookViewId="0">
      <pane xSplit="1" ySplit="5" topLeftCell="B6" activePane="bottomRight" state="frozen"/>
      <selection activeCell="E3" sqref="E3"/>
      <selection pane="topRight" activeCell="E3" sqref="E3"/>
      <selection pane="bottomLeft" activeCell="E3" sqref="E3"/>
      <selection pane="bottomRight" activeCell="C6" sqref="C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43944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43944</v>
      </c>
    </row>
    <row r="7" spans="2:11" x14ac:dyDescent="0.3">
      <c r="B7" s="6" t="s">
        <v>37</v>
      </c>
      <c r="C7" s="22"/>
      <c r="D7" s="22"/>
      <c r="E7" s="22"/>
      <c r="F7" s="22"/>
      <c r="G7" s="22"/>
      <c r="H7" s="67">
        <f>$G$3</f>
        <v>43944</v>
      </c>
    </row>
    <row r="8" spans="2:11" x14ac:dyDescent="0.3">
      <c r="B8" s="6" t="s">
        <v>17</v>
      </c>
      <c r="C8" s="22"/>
      <c r="D8" s="22"/>
      <c r="E8" s="22">
        <v>411000</v>
      </c>
      <c r="F8" s="22">
        <v>92000</v>
      </c>
      <c r="G8" s="22"/>
      <c r="H8" s="12">
        <f t="shared" si="0"/>
        <v>43944</v>
      </c>
    </row>
    <row r="9" spans="2:11" ht="15.6" x14ac:dyDescent="0.3">
      <c r="B9" s="34" t="s">
        <v>0</v>
      </c>
      <c r="C9" s="60"/>
      <c r="D9" s="60"/>
      <c r="E9" s="60"/>
      <c r="F9" s="60"/>
      <c r="G9" s="61"/>
      <c r="H9" s="12">
        <f t="shared" si="0"/>
        <v>43944</v>
      </c>
    </row>
    <row r="10" spans="2:11" x14ac:dyDescent="0.3">
      <c r="B10" s="6" t="s">
        <v>25</v>
      </c>
      <c r="C10" s="22"/>
      <c r="D10" s="22">
        <v>510000</v>
      </c>
      <c r="E10" s="22"/>
      <c r="F10" s="22"/>
      <c r="G10" s="22"/>
      <c r="H10" s="12">
        <f t="shared" si="0"/>
        <v>43944</v>
      </c>
    </row>
    <row r="11" spans="2:11" x14ac:dyDescent="0.3">
      <c r="B11" s="6" t="s">
        <v>15</v>
      </c>
      <c r="C11" s="22"/>
      <c r="D11" s="22">
        <v>518000</v>
      </c>
      <c r="E11" s="22"/>
      <c r="F11" s="48"/>
      <c r="G11" s="22"/>
      <c r="H11" s="12">
        <f t="shared" si="0"/>
        <v>43944</v>
      </c>
    </row>
    <row r="12" spans="2:11" x14ac:dyDescent="0.3">
      <c r="B12" s="6" t="s">
        <v>26</v>
      </c>
      <c r="C12" s="22"/>
      <c r="D12" s="22">
        <v>266000</v>
      </c>
      <c r="E12" s="22"/>
      <c r="F12" s="22"/>
      <c r="G12" s="22"/>
      <c r="H12" s="12">
        <f t="shared" si="0"/>
        <v>43944</v>
      </c>
    </row>
    <row r="13" spans="2:11" x14ac:dyDescent="0.3">
      <c r="B13" s="6" t="s">
        <v>22</v>
      </c>
      <c r="C13" s="23"/>
      <c r="D13" s="23"/>
      <c r="E13" s="23"/>
      <c r="F13" s="22"/>
      <c r="G13" s="23"/>
      <c r="H13" s="12">
        <f t="shared" si="0"/>
        <v>43944</v>
      </c>
      <c r="K13" s="4"/>
    </row>
    <row r="14" spans="2:11" x14ac:dyDescent="0.3">
      <c r="B14" s="6" t="s">
        <v>19</v>
      </c>
      <c r="C14" s="22">
        <v>270000</v>
      </c>
      <c r="D14" s="22">
        <v>618000</v>
      </c>
      <c r="E14" s="22">
        <v>702000</v>
      </c>
      <c r="F14" s="22">
        <v>50000</v>
      </c>
      <c r="G14" s="22"/>
      <c r="H14" s="12">
        <f t="shared" si="0"/>
        <v>43944</v>
      </c>
    </row>
    <row r="15" spans="2:11" x14ac:dyDescent="0.3">
      <c r="B15" s="6" t="s">
        <v>14</v>
      </c>
      <c r="C15" s="22"/>
      <c r="D15" s="22">
        <v>465000</v>
      </c>
      <c r="E15" s="22"/>
      <c r="F15" s="22"/>
      <c r="G15" s="22"/>
      <c r="H15" s="12">
        <f t="shared" si="0"/>
        <v>43944</v>
      </c>
    </row>
    <row r="16" spans="2:11" x14ac:dyDescent="0.3">
      <c r="B16" s="6" t="s">
        <v>24</v>
      </c>
      <c r="C16" s="22"/>
      <c r="D16" s="22"/>
      <c r="E16" s="22"/>
      <c r="F16" s="49"/>
      <c r="G16" s="22"/>
      <c r="H16" s="12">
        <f t="shared" si="0"/>
        <v>43944</v>
      </c>
    </row>
    <row r="17" spans="1:8" x14ac:dyDescent="0.3">
      <c r="B17" s="6" t="s">
        <v>21</v>
      </c>
      <c r="C17" s="22"/>
      <c r="D17" s="22"/>
      <c r="E17" s="22"/>
      <c r="F17" s="22"/>
      <c r="G17" s="22"/>
      <c r="H17" s="12">
        <f t="shared" si="0"/>
        <v>43944</v>
      </c>
    </row>
    <row r="18" spans="1:8" x14ac:dyDescent="0.3">
      <c r="B18" s="6" t="s">
        <v>18</v>
      </c>
      <c r="C18" s="22"/>
      <c r="D18" s="22"/>
      <c r="E18" s="22"/>
      <c r="F18" s="22">
        <v>54000</v>
      </c>
      <c r="G18" s="22"/>
      <c r="H18" s="12">
        <f t="shared" si="0"/>
        <v>43944</v>
      </c>
    </row>
    <row r="19" spans="1:8" x14ac:dyDescent="0.3">
      <c r="B19" s="6" t="s">
        <v>16</v>
      </c>
      <c r="C19" s="22"/>
      <c r="D19" s="22"/>
      <c r="E19" s="22"/>
      <c r="F19" s="22"/>
      <c r="G19" s="22"/>
      <c r="H19" s="12">
        <f t="shared" si="0"/>
        <v>43944</v>
      </c>
    </row>
    <row r="20" spans="1:8" x14ac:dyDescent="0.3">
      <c r="B20" s="50" t="s">
        <v>27</v>
      </c>
      <c r="C20" s="51">
        <f>SUM(April23_2020[KSI_AGO])</f>
        <v>270000</v>
      </c>
      <c r="D20" s="51">
        <f>SUM(April23_2020[KSI_PMS])</f>
        <v>2377000</v>
      </c>
      <c r="E20" s="51">
        <f>SUM(April23_2020[BUIPE_AGO])</f>
        <v>1113000</v>
      </c>
      <c r="F20" s="51">
        <f>SUM(April23_2020[BUIPE_PMS])</f>
        <v>196000</v>
      </c>
      <c r="G20" s="51">
        <f>SUM(April23_2020[AKOSOMBO_AGO])</f>
        <v>0</v>
      </c>
      <c r="H20" s="52"/>
    </row>
    <row r="21" spans="1:8" x14ac:dyDescent="0.3">
      <c r="B21" s="8"/>
      <c r="C21" s="24"/>
      <c r="D21" s="24"/>
      <c r="E21" s="24"/>
      <c r="F21" s="24"/>
      <c r="G21" s="24"/>
      <c r="H21"/>
    </row>
    <row r="22" spans="1:8" x14ac:dyDescent="0.3">
      <c r="B22" s="1" t="s">
        <v>6</v>
      </c>
      <c r="C22" s="1" t="s">
        <v>4</v>
      </c>
      <c r="D22" s="5">
        <f>SUMIF(April23_2020[[#Headers],[KSI_AGO]:[AKOSOMBO_AGO]],"*"&amp;C22,April23_2020[[#Totals],[KSI_AGO]:[AKOSOMBO_AGO]])</f>
        <v>1383000</v>
      </c>
      <c r="E22" s="1" t="s">
        <v>5</v>
      </c>
      <c r="F22" s="5">
        <f>SUMIF(April23_2020[[#Headers],[KSI_AGO]:[AKOSOMBO_AGO]],"*"&amp;E22,April23_2020[[#Totals],[KSI_AGO]:[AKOSOMBO_AGO]])</f>
        <v>2573000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B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F12" sqref="F1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43945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43945</v>
      </c>
    </row>
    <row r="7" spans="2:11" x14ac:dyDescent="0.3">
      <c r="B7" s="6" t="s">
        <v>37</v>
      </c>
      <c r="C7" s="22"/>
      <c r="D7" s="22"/>
      <c r="E7" s="22"/>
      <c r="F7" s="22"/>
      <c r="G7" s="22"/>
      <c r="H7" s="67">
        <f>$G$3</f>
        <v>43945</v>
      </c>
    </row>
    <row r="8" spans="2:11" x14ac:dyDescent="0.3">
      <c r="B8" s="6" t="s">
        <v>17</v>
      </c>
      <c r="C8" s="22">
        <v>643500</v>
      </c>
      <c r="D8" s="22">
        <v>518000</v>
      </c>
      <c r="E8" s="22">
        <v>536000</v>
      </c>
      <c r="F8" s="22"/>
      <c r="G8" s="22"/>
      <c r="H8" s="12">
        <f t="shared" si="0"/>
        <v>43945</v>
      </c>
    </row>
    <row r="9" spans="2:11" ht="15.6" x14ac:dyDescent="0.3">
      <c r="B9" s="34" t="s">
        <v>0</v>
      </c>
      <c r="C9" s="60"/>
      <c r="D9" s="60"/>
      <c r="E9" s="60"/>
      <c r="F9" s="60"/>
      <c r="G9" s="61"/>
      <c r="H9" s="12">
        <f t="shared" si="0"/>
        <v>43945</v>
      </c>
    </row>
    <row r="10" spans="2:11" x14ac:dyDescent="0.3">
      <c r="B10" s="6" t="s">
        <v>25</v>
      </c>
      <c r="C10" s="22"/>
      <c r="D10" s="22">
        <v>54000</v>
      </c>
      <c r="E10" s="22"/>
      <c r="F10" s="22"/>
      <c r="G10" s="22"/>
      <c r="H10" s="12">
        <f t="shared" si="0"/>
        <v>43945</v>
      </c>
    </row>
    <row r="11" spans="2:11" x14ac:dyDescent="0.3">
      <c r="B11" s="6" t="s">
        <v>15</v>
      </c>
      <c r="C11" s="22"/>
      <c r="D11" s="22">
        <v>315000</v>
      </c>
      <c r="E11" s="22"/>
      <c r="F11" s="48"/>
      <c r="G11" s="22"/>
      <c r="H11" s="12">
        <f t="shared" si="0"/>
        <v>43945</v>
      </c>
    </row>
    <row r="12" spans="2:11" x14ac:dyDescent="0.3">
      <c r="B12" s="6" t="s">
        <v>26</v>
      </c>
      <c r="C12" s="22"/>
      <c r="D12" s="22">
        <v>211500</v>
      </c>
      <c r="E12" s="22"/>
      <c r="F12" s="22"/>
      <c r="G12" s="22"/>
      <c r="H12" s="12">
        <f t="shared" si="0"/>
        <v>43945</v>
      </c>
    </row>
    <row r="13" spans="2:11" x14ac:dyDescent="0.3">
      <c r="B13" s="6" t="s">
        <v>22</v>
      </c>
      <c r="C13" s="23"/>
      <c r="D13" s="23"/>
      <c r="E13" s="23"/>
      <c r="F13" s="22"/>
      <c r="G13" s="23"/>
      <c r="H13" s="12">
        <f t="shared" si="0"/>
        <v>43945</v>
      </c>
      <c r="K13" s="4"/>
    </row>
    <row r="14" spans="2:11" x14ac:dyDescent="0.3">
      <c r="B14" s="6" t="s">
        <v>19</v>
      </c>
      <c r="C14" s="22">
        <v>477000</v>
      </c>
      <c r="D14" s="22">
        <v>108000</v>
      </c>
      <c r="E14" s="22">
        <v>266000</v>
      </c>
      <c r="F14" s="22">
        <v>47000</v>
      </c>
      <c r="G14" s="22"/>
      <c r="H14" s="12">
        <f t="shared" si="0"/>
        <v>43945</v>
      </c>
    </row>
    <row r="15" spans="2:11" x14ac:dyDescent="0.3">
      <c r="B15" s="6" t="s">
        <v>14</v>
      </c>
      <c r="C15" s="22">
        <v>486000</v>
      </c>
      <c r="D15" s="22">
        <v>418000</v>
      </c>
      <c r="E15" s="22"/>
      <c r="F15" s="22"/>
      <c r="G15" s="22"/>
      <c r="H15" s="12">
        <f t="shared" si="0"/>
        <v>43945</v>
      </c>
    </row>
    <row r="16" spans="2:11" x14ac:dyDescent="0.3">
      <c r="B16" s="6" t="s">
        <v>24</v>
      </c>
      <c r="C16" s="22"/>
      <c r="D16" s="22"/>
      <c r="E16" s="22"/>
      <c r="F16" s="49"/>
      <c r="G16" s="22"/>
      <c r="H16" s="12">
        <f t="shared" si="0"/>
        <v>43945</v>
      </c>
    </row>
    <row r="17" spans="1:8" x14ac:dyDescent="0.3">
      <c r="B17" s="6" t="s">
        <v>21</v>
      </c>
      <c r="C17" s="22"/>
      <c r="D17" s="22"/>
      <c r="E17" s="22"/>
      <c r="F17" s="22"/>
      <c r="G17" s="22"/>
      <c r="H17" s="12">
        <f t="shared" si="0"/>
        <v>43945</v>
      </c>
    </row>
    <row r="18" spans="1:8" x14ac:dyDescent="0.3">
      <c r="B18" s="6" t="s">
        <v>18</v>
      </c>
      <c r="C18" s="22"/>
      <c r="D18" s="22">
        <v>153000</v>
      </c>
      <c r="E18" s="22"/>
      <c r="F18" s="22"/>
      <c r="G18" s="22"/>
      <c r="H18" s="12">
        <f t="shared" si="0"/>
        <v>43945</v>
      </c>
    </row>
    <row r="19" spans="1:8" x14ac:dyDescent="0.3">
      <c r="B19" s="6" t="s">
        <v>16</v>
      </c>
      <c r="C19" s="22"/>
      <c r="D19" s="22"/>
      <c r="E19" s="22"/>
      <c r="F19" s="22"/>
      <c r="G19" s="22"/>
      <c r="H19" s="12">
        <f t="shared" si="0"/>
        <v>43945</v>
      </c>
    </row>
    <row r="20" spans="1:8" x14ac:dyDescent="0.3">
      <c r="B20" s="50" t="s">
        <v>27</v>
      </c>
      <c r="C20" s="51">
        <f>SUM(April24_2020[KSI_AGO])</f>
        <v>1606500</v>
      </c>
      <c r="D20" s="51">
        <f>SUM(April24_2020[KSI_PMS])</f>
        <v>1777500</v>
      </c>
      <c r="E20" s="51">
        <f>SUM(April24_2020[BUIPE_AGO])</f>
        <v>802000</v>
      </c>
      <c r="F20" s="51">
        <f>SUM(April24_2020[BUIPE_PMS])</f>
        <v>47000</v>
      </c>
      <c r="G20" s="51">
        <f>SUM(April24_2020[AKOSOMBO_AGO])</f>
        <v>0</v>
      </c>
      <c r="H20" s="52"/>
    </row>
    <row r="21" spans="1:8" x14ac:dyDescent="0.3">
      <c r="B21" s="8"/>
      <c r="C21" s="24"/>
      <c r="D21" s="24"/>
      <c r="E21" s="24"/>
      <c r="F21" s="24"/>
      <c r="G21" s="24"/>
      <c r="H21"/>
    </row>
    <row r="22" spans="1:8" x14ac:dyDescent="0.3">
      <c r="B22" s="1" t="s">
        <v>6</v>
      </c>
      <c r="C22" s="1" t="s">
        <v>4</v>
      </c>
      <c r="D22" s="5">
        <f>SUMIF(April24_2020[[#Headers],[KSI_AGO]:[AKOSOMBO_AGO]],"*"&amp;C22,April24_2020[[#Totals],[KSI_AGO]:[AKOSOMBO_AGO]])</f>
        <v>2408500</v>
      </c>
      <c r="E22" s="1" t="s">
        <v>5</v>
      </c>
      <c r="F22" s="5">
        <f>SUMIF(April24_2020[[#Headers],[KSI_AGO]:[AKOSOMBO_AGO]],"*"&amp;E22,April24_2020[[#Totals],[KSI_AGO]:[AKOSOMBO_AGO]])</f>
        <v>1824500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C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pageSetUpPr fitToPage="1"/>
  </sheetPr>
  <dimension ref="A1:K32"/>
  <sheetViews>
    <sheetView zoomScaleNormal="100" workbookViewId="0">
      <pane xSplit="1" ySplit="5" topLeftCell="B6" activePane="bottomRight" state="frozen"/>
      <selection activeCell="E3" sqref="E3"/>
      <selection pane="topRight" activeCell="E3" sqref="E3"/>
      <selection pane="bottomLeft" activeCell="E3" sqref="E3"/>
      <selection pane="bottomRight" activeCell="G13" sqref="G13"/>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43948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43948</v>
      </c>
    </row>
    <row r="7" spans="2:11" x14ac:dyDescent="0.3">
      <c r="B7" s="6" t="s">
        <v>37</v>
      </c>
      <c r="C7" s="22"/>
      <c r="D7" s="22"/>
      <c r="E7" s="22"/>
      <c r="F7" s="22"/>
      <c r="G7" s="22"/>
      <c r="H7" s="67">
        <f>$G$3</f>
        <v>43948</v>
      </c>
    </row>
    <row r="8" spans="2:11" x14ac:dyDescent="0.3">
      <c r="B8" s="6" t="s">
        <v>17</v>
      </c>
      <c r="C8" s="22">
        <v>1176000</v>
      </c>
      <c r="D8" s="22">
        <v>577000</v>
      </c>
      <c r="E8" s="22">
        <v>50000</v>
      </c>
      <c r="F8" s="22"/>
      <c r="G8" s="22"/>
      <c r="H8" s="12">
        <f t="shared" si="0"/>
        <v>43948</v>
      </c>
    </row>
    <row r="9" spans="2:11" ht="15.6" x14ac:dyDescent="0.3">
      <c r="B9" s="34" t="s">
        <v>0</v>
      </c>
      <c r="C9" s="60"/>
      <c r="D9" s="60"/>
      <c r="E9" s="60"/>
      <c r="F9" s="60"/>
      <c r="G9" s="61"/>
      <c r="H9" s="12">
        <f t="shared" si="0"/>
        <v>43948</v>
      </c>
    </row>
    <row r="10" spans="2:11" x14ac:dyDescent="0.3">
      <c r="B10" s="6" t="s">
        <v>25</v>
      </c>
      <c r="C10" s="22"/>
      <c r="D10" s="22"/>
      <c r="E10" s="22"/>
      <c r="F10" s="22"/>
      <c r="G10" s="22"/>
      <c r="H10" s="12">
        <f t="shared" si="0"/>
        <v>43948</v>
      </c>
    </row>
    <row r="11" spans="2:11" x14ac:dyDescent="0.3">
      <c r="B11" s="6" t="s">
        <v>15</v>
      </c>
      <c r="C11" s="22"/>
      <c r="D11" s="22">
        <v>104000</v>
      </c>
      <c r="E11" s="22"/>
      <c r="F11" s="48"/>
      <c r="G11" s="22"/>
      <c r="H11" s="12">
        <f t="shared" si="0"/>
        <v>43948</v>
      </c>
    </row>
    <row r="12" spans="2:11" x14ac:dyDescent="0.3">
      <c r="B12" s="6" t="s">
        <v>26</v>
      </c>
      <c r="C12" s="22"/>
      <c r="D12" s="22">
        <v>260000</v>
      </c>
      <c r="E12" s="22"/>
      <c r="F12" s="22"/>
      <c r="G12" s="22"/>
      <c r="H12" s="12">
        <f t="shared" si="0"/>
        <v>43948</v>
      </c>
    </row>
    <row r="13" spans="2:11" x14ac:dyDescent="0.3">
      <c r="B13" s="6" t="s">
        <v>22</v>
      </c>
      <c r="C13" s="23"/>
      <c r="D13" s="23"/>
      <c r="E13" s="23"/>
      <c r="F13" s="22"/>
      <c r="G13" s="23"/>
      <c r="H13" s="12">
        <f t="shared" si="0"/>
        <v>43948</v>
      </c>
      <c r="K13" s="4"/>
    </row>
    <row r="14" spans="2:11" x14ac:dyDescent="0.3">
      <c r="B14" s="6" t="s">
        <v>19</v>
      </c>
      <c r="C14" s="22">
        <v>144000</v>
      </c>
      <c r="D14" s="22">
        <v>918000</v>
      </c>
      <c r="E14" s="22"/>
      <c r="F14" s="22"/>
      <c r="G14" s="22"/>
      <c r="H14" s="12">
        <f t="shared" si="0"/>
        <v>43948</v>
      </c>
    </row>
    <row r="15" spans="2:11" x14ac:dyDescent="0.3">
      <c r="B15" s="6" t="s">
        <v>14</v>
      </c>
      <c r="C15" s="22">
        <v>324000</v>
      </c>
      <c r="D15" s="22">
        <v>589000</v>
      </c>
      <c r="E15" s="22"/>
      <c r="F15" s="22"/>
      <c r="G15" s="22"/>
      <c r="H15" s="12">
        <f t="shared" si="0"/>
        <v>43948</v>
      </c>
    </row>
    <row r="16" spans="2:11" x14ac:dyDescent="0.3">
      <c r="B16" s="6" t="s">
        <v>24</v>
      </c>
      <c r="C16" s="22"/>
      <c r="D16" s="22"/>
      <c r="E16" s="22"/>
      <c r="F16" s="49"/>
      <c r="G16" s="22"/>
      <c r="H16" s="12">
        <f t="shared" si="0"/>
        <v>43948</v>
      </c>
    </row>
    <row r="17" spans="1:8" x14ac:dyDescent="0.3">
      <c r="B17" s="6" t="s">
        <v>21</v>
      </c>
      <c r="C17" s="22"/>
      <c r="D17" s="22"/>
      <c r="E17" s="22"/>
      <c r="F17" s="22"/>
      <c r="G17" s="22"/>
      <c r="H17" s="12">
        <f t="shared" si="0"/>
        <v>43948</v>
      </c>
    </row>
    <row r="18" spans="1:8" x14ac:dyDescent="0.3">
      <c r="B18" s="6" t="s">
        <v>18</v>
      </c>
      <c r="C18" s="22"/>
      <c r="D18" s="22"/>
      <c r="E18" s="22"/>
      <c r="F18" s="22"/>
      <c r="G18" s="22"/>
      <c r="H18" s="12">
        <f t="shared" si="0"/>
        <v>43948</v>
      </c>
    </row>
    <row r="19" spans="1:8" x14ac:dyDescent="0.3">
      <c r="B19" s="6" t="s">
        <v>16</v>
      </c>
      <c r="C19" s="22"/>
      <c r="D19" s="22"/>
      <c r="E19" s="22"/>
      <c r="F19" s="22"/>
      <c r="G19" s="22"/>
      <c r="H19" s="12">
        <f t="shared" si="0"/>
        <v>43948</v>
      </c>
    </row>
    <row r="20" spans="1:8" x14ac:dyDescent="0.3">
      <c r="B20" s="50" t="s">
        <v>27</v>
      </c>
      <c r="C20" s="51">
        <f>SUM(April27_2020[KSI_AGO])</f>
        <v>1644000</v>
      </c>
      <c r="D20" s="51">
        <f>SUM(April27_2020[KSI_PMS])</f>
        <v>2448000</v>
      </c>
      <c r="E20" s="51">
        <f>SUM(April27_2020[BUIPE_AGO])</f>
        <v>50000</v>
      </c>
      <c r="F20" s="51">
        <f>SUM(April27_2020[BUIPE_PMS])</f>
        <v>0</v>
      </c>
      <c r="G20" s="51">
        <f>SUM(April27_2020[AKOSOMBO_AGO])</f>
        <v>0</v>
      </c>
      <c r="H20" s="52"/>
    </row>
    <row r="21" spans="1:8" x14ac:dyDescent="0.3">
      <c r="B21" s="8"/>
      <c r="C21" s="24"/>
      <c r="D21" s="24"/>
      <c r="E21" s="24"/>
      <c r="F21" s="24"/>
      <c r="G21" s="24"/>
      <c r="H21"/>
    </row>
    <row r="22" spans="1:8" x14ac:dyDescent="0.3">
      <c r="B22" s="1" t="s">
        <v>6</v>
      </c>
      <c r="C22" s="1" t="s">
        <v>4</v>
      </c>
      <c r="D22" s="5">
        <f>SUMIF(April27_2020[[#Headers],[KSI_AGO]:[AKOSOMBO_AGO]],"*"&amp;C22,April27_2020[[#Totals],[KSI_AGO]:[AKOSOMBO_AGO]])</f>
        <v>1694000</v>
      </c>
      <c r="E22" s="1" t="s">
        <v>5</v>
      </c>
      <c r="F22" s="5">
        <f>SUMIF(April27_2020[[#Headers],[KSI_AGO]:[AKOSOMBO_AGO]],"*"&amp;E22,April27_2020[[#Totals],[KSI_AGO]:[AKOSOMBO_AGO]])</f>
        <v>2448000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D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pageSetUpPr fitToPage="1"/>
  </sheetPr>
  <dimension ref="A1:K32"/>
  <sheetViews>
    <sheetView zoomScale="115" zoomScaleNormal="115" workbookViewId="0">
      <pane xSplit="1" ySplit="5" topLeftCell="B8" activePane="bottomRight" state="frozen"/>
      <selection activeCell="E3" sqref="E3"/>
      <selection pane="topRight" activeCell="E3" sqref="E3"/>
      <selection pane="bottomLeft" activeCell="E3" sqref="E3"/>
      <selection pane="bottomRight" activeCell="I14" sqref="I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43949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43949</v>
      </c>
    </row>
    <row r="7" spans="2:11" x14ac:dyDescent="0.3">
      <c r="B7" s="6" t="s">
        <v>37</v>
      </c>
      <c r="C7" s="22"/>
      <c r="D7" s="22"/>
      <c r="E7" s="22"/>
      <c r="F7" s="22"/>
      <c r="G7" s="22"/>
      <c r="H7" s="67">
        <f>$G$3</f>
        <v>43949</v>
      </c>
    </row>
    <row r="8" spans="2:11" x14ac:dyDescent="0.3">
      <c r="B8" s="6" t="s">
        <v>17</v>
      </c>
      <c r="C8" s="22">
        <v>593000</v>
      </c>
      <c r="D8" s="22">
        <v>465000</v>
      </c>
      <c r="E8" s="22"/>
      <c r="F8" s="22"/>
      <c r="G8" s="22"/>
      <c r="H8" s="12">
        <f t="shared" si="0"/>
        <v>43949</v>
      </c>
    </row>
    <row r="9" spans="2:11" ht="15.6" x14ac:dyDescent="0.3">
      <c r="B9" s="34" t="s">
        <v>0</v>
      </c>
      <c r="C9" s="60"/>
      <c r="D9" s="60"/>
      <c r="E9" s="60"/>
      <c r="F9" s="60"/>
      <c r="G9" s="61"/>
      <c r="H9" s="12">
        <f t="shared" si="0"/>
        <v>43949</v>
      </c>
    </row>
    <row r="10" spans="2:11" x14ac:dyDescent="0.3">
      <c r="B10" s="6" t="s">
        <v>25</v>
      </c>
      <c r="C10" s="22"/>
      <c r="D10" s="22"/>
      <c r="E10" s="22"/>
      <c r="F10" s="22"/>
      <c r="G10" s="22"/>
      <c r="H10" s="12">
        <f t="shared" si="0"/>
        <v>43949</v>
      </c>
    </row>
    <row r="11" spans="2:11" x14ac:dyDescent="0.3">
      <c r="B11" s="6" t="s">
        <v>15</v>
      </c>
      <c r="C11" s="22"/>
      <c r="D11" s="22">
        <v>162000</v>
      </c>
      <c r="E11" s="22"/>
      <c r="F11" s="48"/>
      <c r="G11" s="22"/>
      <c r="H11" s="12">
        <f t="shared" si="0"/>
        <v>43949</v>
      </c>
    </row>
    <row r="12" spans="2:11" x14ac:dyDescent="0.3">
      <c r="B12" s="6" t="s">
        <v>26</v>
      </c>
      <c r="C12" s="22"/>
      <c r="D12" s="22">
        <v>100000</v>
      </c>
      <c r="E12" s="22"/>
      <c r="F12" s="22"/>
      <c r="G12" s="22"/>
      <c r="H12" s="12">
        <f t="shared" si="0"/>
        <v>43949</v>
      </c>
    </row>
    <row r="13" spans="2:11" x14ac:dyDescent="0.3">
      <c r="B13" s="6" t="s">
        <v>22</v>
      </c>
      <c r="C13" s="23"/>
      <c r="D13" s="23"/>
      <c r="E13" s="23"/>
      <c r="F13" s="22"/>
      <c r="G13" s="23"/>
      <c r="H13" s="12">
        <f t="shared" si="0"/>
        <v>43949</v>
      </c>
      <c r="K13" s="4"/>
    </row>
    <row r="14" spans="2:11" x14ac:dyDescent="0.3">
      <c r="B14" s="6" t="s">
        <v>19</v>
      </c>
      <c r="C14" s="22">
        <v>108000</v>
      </c>
      <c r="D14" s="22">
        <v>1080000</v>
      </c>
      <c r="E14" s="22"/>
      <c r="F14" s="22"/>
      <c r="G14" s="22"/>
      <c r="H14" s="12">
        <f t="shared" si="0"/>
        <v>43949</v>
      </c>
    </row>
    <row r="15" spans="2:11" x14ac:dyDescent="0.3">
      <c r="B15" s="6" t="s">
        <v>14</v>
      </c>
      <c r="C15" s="22">
        <v>909000</v>
      </c>
      <c r="D15" s="22">
        <v>516000</v>
      </c>
      <c r="E15" s="22">
        <v>756000</v>
      </c>
      <c r="F15" s="22"/>
      <c r="G15" s="22"/>
      <c r="H15" s="12">
        <f t="shared" si="0"/>
        <v>43949</v>
      </c>
    </row>
    <row r="16" spans="2:11" x14ac:dyDescent="0.3">
      <c r="B16" s="6" t="s">
        <v>24</v>
      </c>
      <c r="C16" s="22"/>
      <c r="D16" s="22"/>
      <c r="E16" s="22"/>
      <c r="F16" s="49"/>
      <c r="G16" s="22"/>
      <c r="H16" s="12">
        <f t="shared" si="0"/>
        <v>43949</v>
      </c>
    </row>
    <row r="17" spans="1:8" x14ac:dyDescent="0.3">
      <c r="B17" s="6" t="s">
        <v>21</v>
      </c>
      <c r="C17" s="22"/>
      <c r="D17" s="22"/>
      <c r="E17" s="22"/>
      <c r="F17" s="22"/>
      <c r="G17" s="22"/>
      <c r="H17" s="12">
        <f t="shared" si="0"/>
        <v>43949</v>
      </c>
    </row>
    <row r="18" spans="1:8" x14ac:dyDescent="0.3">
      <c r="B18" s="6" t="s">
        <v>18</v>
      </c>
      <c r="C18" s="22"/>
      <c r="D18" s="22"/>
      <c r="E18" s="22">
        <v>54000</v>
      </c>
      <c r="F18" s="22"/>
      <c r="G18" s="22"/>
      <c r="H18" s="12">
        <f t="shared" si="0"/>
        <v>43949</v>
      </c>
    </row>
    <row r="19" spans="1:8" x14ac:dyDescent="0.3">
      <c r="B19" s="6" t="s">
        <v>16</v>
      </c>
      <c r="C19" s="22"/>
      <c r="D19" s="22"/>
      <c r="E19" s="22">
        <v>54000</v>
      </c>
      <c r="F19" s="22"/>
      <c r="G19" s="22"/>
      <c r="H19" s="12">
        <f t="shared" si="0"/>
        <v>43949</v>
      </c>
    </row>
    <row r="20" spans="1:8" x14ac:dyDescent="0.3">
      <c r="B20" s="50" t="s">
        <v>27</v>
      </c>
      <c r="C20" s="51">
        <f>SUM(April28_2020[KSI_AGO])</f>
        <v>1610000</v>
      </c>
      <c r="D20" s="51">
        <f>SUM(April28_2020[KSI_PMS])</f>
        <v>2323000</v>
      </c>
      <c r="E20" s="51">
        <f>SUM(April28_2020[BUIPE_AGO])</f>
        <v>864000</v>
      </c>
      <c r="F20" s="51">
        <f>SUM(April28_2020[BUIPE_PMS])</f>
        <v>0</v>
      </c>
      <c r="G20" s="51">
        <f>SUM(April28_2020[AKOSOMBO_AGO])</f>
        <v>0</v>
      </c>
      <c r="H20" s="52"/>
    </row>
    <row r="21" spans="1:8" x14ac:dyDescent="0.3">
      <c r="B21" s="8"/>
      <c r="C21" s="24"/>
      <c r="D21" s="24"/>
      <c r="E21" s="24"/>
      <c r="F21" s="24"/>
      <c r="G21" s="24"/>
      <c r="H21"/>
    </row>
    <row r="22" spans="1:8" x14ac:dyDescent="0.3">
      <c r="B22" s="1" t="s">
        <v>6</v>
      </c>
      <c r="C22" s="1" t="s">
        <v>4</v>
      </c>
      <c r="D22" s="5">
        <f>SUMIF(April28_2020[[#Headers],[KSI_AGO]:[AKOSOMBO_AGO]],"*"&amp;C22,April28_2020[[#Totals],[KSI_AGO]:[AKOSOMBO_AGO]])</f>
        <v>2474000</v>
      </c>
      <c r="E22" s="1" t="s">
        <v>5</v>
      </c>
      <c r="F22" s="5">
        <f>SUMIF(April28_2020[[#Headers],[KSI_AGO]:[AKOSOMBO_AGO]],"*"&amp;E22,April28_2020[[#Totals],[KSI_AGO]:[AKOSOMBO_AGO]])</f>
        <v>2323000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E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pageSetUpPr fitToPage="1"/>
  </sheetPr>
  <dimension ref="A1:K32"/>
  <sheetViews>
    <sheetView zoomScaleNormal="100" workbookViewId="0">
      <pane xSplit="1" ySplit="5" topLeftCell="B6" activePane="bottomRight" state="frozen"/>
      <selection activeCell="E3" sqref="E3"/>
      <selection pane="topRight" activeCell="E3" sqref="E3"/>
      <selection pane="bottomLeft" activeCell="E3" sqref="E3"/>
      <selection pane="bottomRight" activeCell="J25" sqref="J25"/>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43950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43950</v>
      </c>
    </row>
    <row r="7" spans="2:11" x14ac:dyDescent="0.3">
      <c r="B7" s="6" t="s">
        <v>37</v>
      </c>
      <c r="C7" s="22"/>
      <c r="D7" s="22"/>
      <c r="E7" s="22"/>
      <c r="F7" s="22"/>
      <c r="G7" s="22"/>
      <c r="H7" s="67">
        <f>$G$3</f>
        <v>43950</v>
      </c>
    </row>
    <row r="8" spans="2:11" x14ac:dyDescent="0.3">
      <c r="B8" s="6" t="s">
        <v>17</v>
      </c>
      <c r="C8" s="22"/>
      <c r="D8" s="22">
        <v>162000</v>
      </c>
      <c r="E8" s="22"/>
      <c r="F8" s="22"/>
      <c r="G8" s="22"/>
      <c r="H8" s="12">
        <f t="shared" si="0"/>
        <v>43950</v>
      </c>
    </row>
    <row r="9" spans="2:11" ht="15.6" x14ac:dyDescent="0.3">
      <c r="B9" s="34" t="s">
        <v>0</v>
      </c>
      <c r="C9" s="60"/>
      <c r="D9" s="60"/>
      <c r="E9" s="60"/>
      <c r="F9" s="60"/>
      <c r="G9" s="61"/>
      <c r="H9" s="12">
        <f t="shared" si="0"/>
        <v>43950</v>
      </c>
    </row>
    <row r="10" spans="2:11" x14ac:dyDescent="0.3">
      <c r="B10" s="6" t="s">
        <v>25</v>
      </c>
      <c r="C10" s="22"/>
      <c r="D10" s="22"/>
      <c r="E10" s="22"/>
      <c r="F10" s="22"/>
      <c r="G10" s="22"/>
      <c r="H10" s="12">
        <f t="shared" si="0"/>
        <v>43950</v>
      </c>
    </row>
    <row r="11" spans="2:11" x14ac:dyDescent="0.3">
      <c r="B11" s="6" t="s">
        <v>15</v>
      </c>
      <c r="C11" s="22"/>
      <c r="D11" s="22"/>
      <c r="E11" s="22"/>
      <c r="F11" s="48"/>
      <c r="G11" s="22"/>
      <c r="H11" s="12">
        <f t="shared" si="0"/>
        <v>43950</v>
      </c>
    </row>
    <row r="12" spans="2:11" x14ac:dyDescent="0.3">
      <c r="B12" s="6" t="s">
        <v>26</v>
      </c>
      <c r="C12" s="22"/>
      <c r="D12" s="22"/>
      <c r="E12" s="22"/>
      <c r="F12" s="22"/>
      <c r="G12" s="22"/>
      <c r="H12" s="12">
        <f t="shared" si="0"/>
        <v>43950</v>
      </c>
    </row>
    <row r="13" spans="2:11" x14ac:dyDescent="0.3">
      <c r="B13" s="6" t="s">
        <v>22</v>
      </c>
      <c r="C13" s="23"/>
      <c r="D13" s="23"/>
      <c r="E13" s="23"/>
      <c r="F13" s="22"/>
      <c r="G13" s="23"/>
      <c r="H13" s="12">
        <f t="shared" si="0"/>
        <v>43950</v>
      </c>
      <c r="K13" s="4"/>
    </row>
    <row r="14" spans="2:11" x14ac:dyDescent="0.3">
      <c r="B14" s="6" t="s">
        <v>19</v>
      </c>
      <c r="C14" s="22"/>
      <c r="D14" s="22">
        <v>1769000</v>
      </c>
      <c r="E14" s="22"/>
      <c r="F14" s="22"/>
      <c r="G14" s="22"/>
      <c r="H14" s="12">
        <f t="shared" si="0"/>
        <v>43950</v>
      </c>
    </row>
    <row r="15" spans="2:11" x14ac:dyDescent="0.3">
      <c r="B15" s="6" t="s">
        <v>14</v>
      </c>
      <c r="C15" s="22">
        <v>1234000</v>
      </c>
      <c r="D15" s="22">
        <v>108000</v>
      </c>
      <c r="E15" s="22">
        <v>196000</v>
      </c>
      <c r="F15" s="22"/>
      <c r="G15" s="22"/>
      <c r="H15" s="12">
        <f t="shared" si="0"/>
        <v>43950</v>
      </c>
    </row>
    <row r="16" spans="2:11" x14ac:dyDescent="0.3">
      <c r="B16" s="6" t="s">
        <v>24</v>
      </c>
      <c r="C16" s="22"/>
      <c r="D16" s="22"/>
      <c r="E16" s="22"/>
      <c r="F16" s="49"/>
      <c r="G16" s="22"/>
      <c r="H16" s="12">
        <f t="shared" si="0"/>
        <v>43950</v>
      </c>
    </row>
    <row r="17" spans="1:8" x14ac:dyDescent="0.3">
      <c r="B17" s="6" t="s">
        <v>21</v>
      </c>
      <c r="C17" s="22"/>
      <c r="D17" s="22"/>
      <c r="E17" s="22"/>
      <c r="F17" s="22"/>
      <c r="G17" s="22"/>
      <c r="H17" s="12">
        <f t="shared" si="0"/>
        <v>43950</v>
      </c>
    </row>
    <row r="18" spans="1:8" x14ac:dyDescent="0.3">
      <c r="B18" s="6" t="s">
        <v>18</v>
      </c>
      <c r="C18" s="22"/>
      <c r="D18" s="22"/>
      <c r="E18" s="22"/>
      <c r="F18" s="22"/>
      <c r="G18" s="22"/>
      <c r="H18" s="12">
        <f t="shared" si="0"/>
        <v>43950</v>
      </c>
    </row>
    <row r="19" spans="1:8" x14ac:dyDescent="0.3">
      <c r="B19" s="6" t="s">
        <v>16</v>
      </c>
      <c r="C19" s="22">
        <v>796000</v>
      </c>
      <c r="D19" s="22"/>
      <c r="E19" s="22">
        <v>320000</v>
      </c>
      <c r="F19" s="22"/>
      <c r="G19" s="22"/>
      <c r="H19" s="12">
        <f t="shared" si="0"/>
        <v>43950</v>
      </c>
    </row>
    <row r="20" spans="1:8" x14ac:dyDescent="0.3">
      <c r="B20" s="50" t="s">
        <v>27</v>
      </c>
      <c r="C20" s="51">
        <f>SUM(April29_2020[KSI_AGO])</f>
        <v>2030000</v>
      </c>
      <c r="D20" s="51">
        <f>SUM(April29_2020[KSI_PMS])</f>
        <v>2039000</v>
      </c>
      <c r="E20" s="51">
        <f>SUM(April29_2020[BUIPE_AGO])</f>
        <v>516000</v>
      </c>
      <c r="F20" s="51">
        <f>SUM(April29_2020[BUIPE_PMS])</f>
        <v>0</v>
      </c>
      <c r="G20" s="51">
        <f>SUM(April29_2020[AKOSOMBO_AGO])</f>
        <v>0</v>
      </c>
      <c r="H20" s="52"/>
    </row>
    <row r="21" spans="1:8" x14ac:dyDescent="0.3">
      <c r="B21" s="8"/>
      <c r="C21" s="24"/>
      <c r="D21" s="24"/>
      <c r="E21" s="24"/>
      <c r="F21" s="24"/>
      <c r="G21" s="24"/>
      <c r="H21"/>
    </row>
    <row r="22" spans="1:8" x14ac:dyDescent="0.3">
      <c r="B22" s="1" t="s">
        <v>6</v>
      </c>
      <c r="C22" s="1" t="s">
        <v>4</v>
      </c>
      <c r="D22" s="5">
        <f>SUMIF(April29_2020[[#Headers],[KSI_AGO]:[AKOSOMBO_AGO]],"*"&amp;C22,April29_2020[[#Totals],[KSI_AGO]:[AKOSOMBO_AGO]])</f>
        <v>2546000</v>
      </c>
      <c r="E22" s="1" t="s">
        <v>5</v>
      </c>
      <c r="F22" s="5">
        <f>SUMIF(April29_2020[[#Headers],[KSI_AGO]:[AKOSOMBO_AGO]],"*"&amp;E22,April29_2020[[#Totals],[KSI_AGO]:[AKOSOMBO_AGO]])</f>
        <v>2039000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4F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G10" sqref="G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43951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43951</v>
      </c>
    </row>
    <row r="7" spans="2:11" x14ac:dyDescent="0.3">
      <c r="B7" s="6" t="s">
        <v>37</v>
      </c>
      <c r="C7" s="22"/>
      <c r="D7" s="22"/>
      <c r="E7" s="22"/>
      <c r="F7" s="22"/>
      <c r="G7" s="22"/>
      <c r="H7" s="67">
        <f>$G$3</f>
        <v>43951</v>
      </c>
    </row>
    <row r="8" spans="2:11" x14ac:dyDescent="0.3">
      <c r="B8" s="6" t="s">
        <v>17</v>
      </c>
      <c r="C8" s="22"/>
      <c r="D8" s="22">
        <v>50000</v>
      </c>
      <c r="E8" s="22"/>
      <c r="F8" s="22"/>
      <c r="G8" s="22"/>
      <c r="H8" s="12">
        <f t="shared" si="0"/>
        <v>43951</v>
      </c>
    </row>
    <row r="9" spans="2:11" ht="15.6" x14ac:dyDescent="0.3">
      <c r="B9" s="34" t="s">
        <v>0</v>
      </c>
      <c r="C9" s="60"/>
      <c r="D9" s="60"/>
      <c r="E9" s="60"/>
      <c r="F9" s="60"/>
      <c r="G9" s="61"/>
      <c r="H9" s="12">
        <f t="shared" si="0"/>
        <v>43951</v>
      </c>
    </row>
    <row r="10" spans="2:11" x14ac:dyDescent="0.3">
      <c r="B10" s="6" t="s">
        <v>25</v>
      </c>
      <c r="C10" s="22"/>
      <c r="D10" s="22"/>
      <c r="E10" s="22"/>
      <c r="F10" s="22"/>
      <c r="G10" s="22"/>
      <c r="H10" s="12">
        <f t="shared" si="0"/>
        <v>43951</v>
      </c>
    </row>
    <row r="11" spans="2:11" x14ac:dyDescent="0.3">
      <c r="B11" s="6" t="s">
        <v>15</v>
      </c>
      <c r="C11" s="22"/>
      <c r="D11" s="22">
        <v>108000</v>
      </c>
      <c r="E11" s="22"/>
      <c r="F11" s="48"/>
      <c r="G11" s="22"/>
      <c r="H11" s="12">
        <f t="shared" si="0"/>
        <v>43951</v>
      </c>
    </row>
    <row r="12" spans="2:11" x14ac:dyDescent="0.3">
      <c r="B12" s="6" t="s">
        <v>26</v>
      </c>
      <c r="C12" s="22"/>
      <c r="D12" s="22">
        <v>262000</v>
      </c>
      <c r="E12" s="22"/>
      <c r="F12" s="22"/>
      <c r="G12" s="22"/>
      <c r="H12" s="12">
        <f t="shared" si="0"/>
        <v>43951</v>
      </c>
    </row>
    <row r="13" spans="2:11" x14ac:dyDescent="0.3">
      <c r="B13" s="6" t="s">
        <v>22</v>
      </c>
      <c r="C13" s="23"/>
      <c r="D13" s="23"/>
      <c r="E13" s="23"/>
      <c r="F13" s="22"/>
      <c r="G13" s="23"/>
      <c r="H13" s="12">
        <f t="shared" si="0"/>
        <v>43951</v>
      </c>
      <c r="K13" s="4"/>
    </row>
    <row r="14" spans="2:11" x14ac:dyDescent="0.3">
      <c r="B14" s="6" t="s">
        <v>19</v>
      </c>
      <c r="C14" s="22"/>
      <c r="D14" s="22">
        <v>153000</v>
      </c>
      <c r="E14" s="22"/>
      <c r="F14" s="22"/>
      <c r="G14" s="22"/>
      <c r="H14" s="12">
        <f t="shared" si="0"/>
        <v>43951</v>
      </c>
    </row>
    <row r="15" spans="2:11" x14ac:dyDescent="0.3">
      <c r="B15" s="6" t="s">
        <v>14</v>
      </c>
      <c r="C15" s="22">
        <v>799000</v>
      </c>
      <c r="D15" s="22">
        <v>108000</v>
      </c>
      <c r="E15" s="22">
        <v>99000</v>
      </c>
      <c r="F15" s="22"/>
      <c r="G15" s="22"/>
      <c r="H15" s="12">
        <f t="shared" si="0"/>
        <v>43951</v>
      </c>
    </row>
    <row r="16" spans="2:11" x14ac:dyDescent="0.3">
      <c r="B16" s="6" t="s">
        <v>24</v>
      </c>
      <c r="C16" s="22"/>
      <c r="D16" s="22"/>
      <c r="E16" s="22"/>
      <c r="F16" s="49"/>
      <c r="G16" s="22"/>
      <c r="H16" s="12">
        <f t="shared" si="0"/>
        <v>43951</v>
      </c>
    </row>
    <row r="17" spans="1:8" x14ac:dyDescent="0.3">
      <c r="B17" s="6" t="s">
        <v>21</v>
      </c>
      <c r="C17" s="22"/>
      <c r="D17" s="22"/>
      <c r="E17" s="22"/>
      <c r="F17" s="22"/>
      <c r="G17" s="22"/>
      <c r="H17" s="12">
        <f t="shared" si="0"/>
        <v>43951</v>
      </c>
    </row>
    <row r="18" spans="1:8" x14ac:dyDescent="0.3">
      <c r="B18" s="6" t="s">
        <v>18</v>
      </c>
      <c r="C18" s="22"/>
      <c r="D18" s="22"/>
      <c r="E18" s="22"/>
      <c r="F18" s="22"/>
      <c r="G18" s="22"/>
      <c r="H18" s="12">
        <f t="shared" si="0"/>
        <v>43951</v>
      </c>
    </row>
    <row r="19" spans="1:8" x14ac:dyDescent="0.3">
      <c r="B19" s="6" t="s">
        <v>16</v>
      </c>
      <c r="C19" s="22"/>
      <c r="D19" s="22"/>
      <c r="E19" s="22">
        <v>158000</v>
      </c>
      <c r="F19" s="22"/>
      <c r="G19" s="22"/>
      <c r="H19" s="12">
        <f t="shared" si="0"/>
        <v>43951</v>
      </c>
    </row>
    <row r="20" spans="1:8" x14ac:dyDescent="0.3">
      <c r="B20" s="50" t="s">
        <v>27</v>
      </c>
      <c r="C20" s="51">
        <f>SUM(April30_2020[KSI_AGO])</f>
        <v>799000</v>
      </c>
      <c r="D20" s="51">
        <f>SUM(April30_2020[KSI_PMS])</f>
        <v>681000</v>
      </c>
      <c r="E20" s="51">
        <f>SUM(April30_2020[BUIPE_AGO])</f>
        <v>257000</v>
      </c>
      <c r="F20" s="51">
        <f>SUM(April30_2020[BUIPE_PMS])</f>
        <v>0</v>
      </c>
      <c r="G20" s="51">
        <f>SUM(April30_2020[AKOSOMBO_AGO])</f>
        <v>0</v>
      </c>
      <c r="H20" s="52"/>
    </row>
    <row r="21" spans="1:8" x14ac:dyDescent="0.3">
      <c r="B21" s="8"/>
      <c r="C21" s="24"/>
      <c r="D21" s="24"/>
      <c r="E21" s="24"/>
      <c r="F21" s="24"/>
      <c r="G21" s="24"/>
      <c r="H21"/>
    </row>
    <row r="22" spans="1:8" x14ac:dyDescent="0.3">
      <c r="B22" s="1" t="s">
        <v>6</v>
      </c>
      <c r="C22" s="1" t="s">
        <v>4</v>
      </c>
      <c r="D22" s="5">
        <f>SUMIF(April30_2020[[#Headers],[KSI_AGO]:[AKOSOMBO_AGO]],"*"&amp;C22,April30_2020[[#Totals],[KSI_AGO]:[AKOSOMBO_AGO]])</f>
        <v>1056000</v>
      </c>
      <c r="E22" s="1" t="s">
        <v>5</v>
      </c>
      <c r="F22" s="5">
        <f>SUMIF(April30_2020[[#Headers],[KSI_AGO]:[AKOSOMBO_AGO]],"*"&amp;E22,April30_2020[[#Totals],[KSI_AGO]:[AKOSOMBO_AGO]])</f>
        <v>681000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0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B11" sqref="B11"/>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43955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43955</v>
      </c>
    </row>
    <row r="7" spans="2:11" x14ac:dyDescent="0.3">
      <c r="B7" s="6" t="s">
        <v>37</v>
      </c>
      <c r="C7" s="22"/>
      <c r="D7" s="22"/>
      <c r="E7" s="22"/>
      <c r="F7" s="22"/>
      <c r="G7" s="22"/>
      <c r="H7" s="67">
        <f>$G$3</f>
        <v>43955</v>
      </c>
    </row>
    <row r="8" spans="2:11" x14ac:dyDescent="0.3">
      <c r="B8" s="6" t="s">
        <v>17</v>
      </c>
      <c r="C8" s="22"/>
      <c r="D8" s="22">
        <v>162000</v>
      </c>
      <c r="E8" s="22"/>
      <c r="F8" s="22"/>
      <c r="G8" s="22"/>
      <c r="H8" s="12">
        <f t="shared" si="0"/>
        <v>43955</v>
      </c>
    </row>
    <row r="9" spans="2:11" ht="15.6" x14ac:dyDescent="0.3">
      <c r="B9" s="34" t="s">
        <v>0</v>
      </c>
      <c r="C9" s="60"/>
      <c r="D9" s="60"/>
      <c r="E9" s="60"/>
      <c r="F9" s="60"/>
      <c r="G9" s="61"/>
      <c r="H9" s="12">
        <f t="shared" si="0"/>
        <v>43955</v>
      </c>
    </row>
    <row r="10" spans="2:11" x14ac:dyDescent="0.3">
      <c r="B10" s="6" t="s">
        <v>25</v>
      </c>
      <c r="C10" s="22"/>
      <c r="D10" s="22"/>
      <c r="E10" s="22"/>
      <c r="F10" s="22"/>
      <c r="G10" s="22"/>
      <c r="H10" s="12">
        <f t="shared" si="0"/>
        <v>43955</v>
      </c>
    </row>
    <row r="11" spans="2:11" x14ac:dyDescent="0.3">
      <c r="B11" s="6" t="s">
        <v>15</v>
      </c>
      <c r="C11" s="22"/>
      <c r="D11" s="22"/>
      <c r="E11" s="22"/>
      <c r="F11" s="48"/>
      <c r="G11" s="22"/>
      <c r="H11" s="12">
        <f t="shared" si="0"/>
        <v>43955</v>
      </c>
    </row>
    <row r="12" spans="2:11" x14ac:dyDescent="0.3">
      <c r="B12" s="6" t="s">
        <v>26</v>
      </c>
      <c r="C12" s="22">
        <v>135000</v>
      </c>
      <c r="D12" s="22">
        <v>743000</v>
      </c>
      <c r="E12" s="22"/>
      <c r="F12" s="22"/>
      <c r="G12" s="22"/>
      <c r="H12" s="12">
        <f t="shared" si="0"/>
        <v>43955</v>
      </c>
    </row>
    <row r="13" spans="2:11" x14ac:dyDescent="0.3">
      <c r="B13" s="6" t="s">
        <v>22</v>
      </c>
      <c r="C13" s="23"/>
      <c r="D13" s="23"/>
      <c r="E13" s="23"/>
      <c r="F13" s="22"/>
      <c r="G13" s="23"/>
      <c r="H13" s="12">
        <f t="shared" si="0"/>
        <v>43955</v>
      </c>
      <c r="K13" s="4"/>
    </row>
    <row r="14" spans="2:11" x14ac:dyDescent="0.3">
      <c r="B14" s="6" t="s">
        <v>19</v>
      </c>
      <c r="C14" s="22"/>
      <c r="D14" s="22"/>
      <c r="E14" s="22"/>
      <c r="F14" s="22"/>
      <c r="G14" s="22"/>
      <c r="H14" s="12">
        <f t="shared" si="0"/>
        <v>43955</v>
      </c>
    </row>
    <row r="15" spans="2:11" x14ac:dyDescent="0.3">
      <c r="B15" s="6" t="s">
        <v>14</v>
      </c>
      <c r="C15" s="22">
        <v>721000</v>
      </c>
      <c r="D15" s="22"/>
      <c r="E15" s="22"/>
      <c r="F15" s="22">
        <v>519000</v>
      </c>
      <c r="G15" s="22"/>
      <c r="H15" s="12">
        <f t="shared" si="0"/>
        <v>43955</v>
      </c>
    </row>
    <row r="16" spans="2:11" x14ac:dyDescent="0.3">
      <c r="B16" s="6" t="s">
        <v>24</v>
      </c>
      <c r="C16" s="22"/>
      <c r="D16" s="22"/>
      <c r="E16" s="22"/>
      <c r="F16" s="49"/>
      <c r="G16" s="22"/>
      <c r="H16" s="12">
        <f t="shared" si="0"/>
        <v>43955</v>
      </c>
    </row>
    <row r="17" spans="1:8" x14ac:dyDescent="0.3">
      <c r="B17" s="6" t="s">
        <v>21</v>
      </c>
      <c r="C17" s="22"/>
      <c r="D17" s="22"/>
      <c r="E17" s="22"/>
      <c r="F17" s="22"/>
      <c r="G17" s="22"/>
      <c r="H17" s="12">
        <f t="shared" si="0"/>
        <v>43955</v>
      </c>
    </row>
    <row r="18" spans="1:8" x14ac:dyDescent="0.3">
      <c r="B18" s="6" t="s">
        <v>18</v>
      </c>
      <c r="C18" s="22"/>
      <c r="D18" s="22"/>
      <c r="E18" s="22"/>
      <c r="F18" s="22"/>
      <c r="G18" s="22"/>
      <c r="H18" s="12">
        <f t="shared" si="0"/>
        <v>43955</v>
      </c>
    </row>
    <row r="19" spans="1:8" x14ac:dyDescent="0.3">
      <c r="B19" s="6" t="s">
        <v>16</v>
      </c>
      <c r="C19" s="22"/>
      <c r="D19" s="22"/>
      <c r="E19" s="22"/>
      <c r="F19" s="22"/>
      <c r="G19" s="22"/>
      <c r="H19" s="12">
        <f t="shared" si="0"/>
        <v>43955</v>
      </c>
    </row>
    <row r="20" spans="1:8" x14ac:dyDescent="0.3">
      <c r="B20" s="50" t="s">
        <v>27</v>
      </c>
      <c r="C20" s="51">
        <f>SUM(May04_2020[KSI_AGO])</f>
        <v>856000</v>
      </c>
      <c r="D20" s="51">
        <f>SUM(May04_2020[KSI_PMS])</f>
        <v>905000</v>
      </c>
      <c r="E20" s="51">
        <f>SUM(May04_2020[BUIPE_AGO])</f>
        <v>0</v>
      </c>
      <c r="F20" s="51">
        <f>SUM(May04_2020[BUIPE_PMS])</f>
        <v>519000</v>
      </c>
      <c r="G20" s="51">
        <f>SUM(May04_2020[AKOSOMBO_AGO])</f>
        <v>0</v>
      </c>
      <c r="H20" s="52"/>
    </row>
    <row r="21" spans="1:8" x14ac:dyDescent="0.3">
      <c r="B21" s="8"/>
      <c r="C21" s="24"/>
      <c r="D21" s="24"/>
      <c r="E21" s="24"/>
      <c r="F21" s="24"/>
      <c r="G21" s="24"/>
      <c r="H21"/>
    </row>
    <row r="22" spans="1:8" x14ac:dyDescent="0.3">
      <c r="B22" s="1" t="s">
        <v>6</v>
      </c>
      <c r="C22" s="1" t="s">
        <v>4</v>
      </c>
      <c r="D22" s="5">
        <f>May04_2020[[#Totals],[KSI_AGO]]+May04_2020[[#Totals],[BUIPE_AGO]]+May04_2020[[#Totals],[AKOSOMBO_AGO]]</f>
        <v>856000</v>
      </c>
      <c r="E22" s="1" t="s">
        <v>5</v>
      </c>
      <c r="F22" s="5">
        <f>SUMIF(May04_2020[[#Headers],[KSI_AGO]:[AKOSOMBO_AGO]],"*"&amp;E22,May04_2020[[#Totals],[KSI_AGO]:[AKOSOMBO_AGO]])</f>
        <v>1424000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1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pageSetUpPr fitToPage="1"/>
  </sheetPr>
  <dimension ref="A1:K32"/>
  <sheetViews>
    <sheetView zoomScale="115" zoomScaleNormal="115" workbookViewId="0">
      <pane xSplit="1" ySplit="5" topLeftCell="E6" activePane="bottomRight" state="frozen"/>
      <selection activeCell="E3" sqref="E3"/>
      <selection pane="topRight" activeCell="E3" sqref="E3"/>
      <selection pane="bottomLeft" activeCell="E3" sqref="E3"/>
      <selection pane="bottomRight" activeCell="G20" sqref="G2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43956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43956</v>
      </c>
    </row>
    <row r="7" spans="2:11" x14ac:dyDescent="0.3">
      <c r="B7" s="6" t="s">
        <v>37</v>
      </c>
      <c r="C7" s="22"/>
      <c r="D7" s="22"/>
      <c r="E7" s="22"/>
      <c r="F7" s="22"/>
      <c r="G7" s="22"/>
      <c r="H7" s="67">
        <f>$G$3</f>
        <v>43956</v>
      </c>
    </row>
    <row r="8" spans="2:11" x14ac:dyDescent="0.3">
      <c r="B8" s="6" t="s">
        <v>17</v>
      </c>
      <c r="C8" s="22"/>
      <c r="D8" s="22"/>
      <c r="E8" s="22"/>
      <c r="F8" s="22"/>
      <c r="G8" s="22"/>
      <c r="H8" s="12">
        <f t="shared" si="0"/>
        <v>43956</v>
      </c>
    </row>
    <row r="9" spans="2:11" ht="15.6" x14ac:dyDescent="0.3">
      <c r="B9" s="34" t="s">
        <v>0</v>
      </c>
      <c r="C9" s="60"/>
      <c r="D9" s="60"/>
      <c r="E9" s="60"/>
      <c r="F9" s="60"/>
      <c r="G9" s="61"/>
      <c r="H9" s="12">
        <f t="shared" si="0"/>
        <v>43956</v>
      </c>
    </row>
    <row r="10" spans="2:11" x14ac:dyDescent="0.3">
      <c r="B10" s="6" t="s">
        <v>25</v>
      </c>
      <c r="C10" s="22"/>
      <c r="D10" s="22"/>
      <c r="E10" s="22"/>
      <c r="F10" s="22"/>
      <c r="G10" s="22"/>
      <c r="H10" s="12">
        <f t="shared" si="0"/>
        <v>43956</v>
      </c>
    </row>
    <row r="11" spans="2:11" x14ac:dyDescent="0.3">
      <c r="B11" s="6" t="s">
        <v>15</v>
      </c>
      <c r="C11" s="22"/>
      <c r="D11" s="22"/>
      <c r="E11" s="22"/>
      <c r="F11" s="48"/>
      <c r="G11" s="22"/>
      <c r="H11" s="12">
        <f t="shared" si="0"/>
        <v>43956</v>
      </c>
    </row>
    <row r="12" spans="2:11" x14ac:dyDescent="0.3">
      <c r="B12" s="6" t="s">
        <v>26</v>
      </c>
      <c r="C12" s="22"/>
      <c r="D12" s="22"/>
      <c r="E12" s="22"/>
      <c r="F12" s="22"/>
      <c r="G12" s="22"/>
      <c r="H12" s="12">
        <f t="shared" si="0"/>
        <v>43956</v>
      </c>
    </row>
    <row r="13" spans="2:11" x14ac:dyDescent="0.3">
      <c r="B13" s="6" t="s">
        <v>22</v>
      </c>
      <c r="C13" s="23"/>
      <c r="D13" s="23"/>
      <c r="E13" s="23"/>
      <c r="F13" s="22"/>
      <c r="G13" s="23"/>
      <c r="H13" s="12">
        <f t="shared" si="0"/>
        <v>43956</v>
      </c>
      <c r="K13" s="4"/>
    </row>
    <row r="14" spans="2:11" x14ac:dyDescent="0.3">
      <c r="B14" s="6" t="s">
        <v>19</v>
      </c>
      <c r="C14" s="22"/>
      <c r="D14" s="22"/>
      <c r="E14" s="22"/>
      <c r="F14" s="22"/>
      <c r="G14" s="22"/>
      <c r="H14" s="12">
        <f t="shared" si="0"/>
        <v>43956</v>
      </c>
    </row>
    <row r="15" spans="2:11" x14ac:dyDescent="0.3">
      <c r="B15" s="6" t="s">
        <v>14</v>
      </c>
      <c r="C15" s="22">
        <v>1337000</v>
      </c>
      <c r="D15" s="22">
        <v>1540000</v>
      </c>
      <c r="E15" s="22">
        <v>756000</v>
      </c>
      <c r="F15" s="22">
        <v>432000</v>
      </c>
      <c r="G15" s="22"/>
      <c r="H15" s="12">
        <f t="shared" si="0"/>
        <v>43956</v>
      </c>
    </row>
    <row r="16" spans="2:11" x14ac:dyDescent="0.3">
      <c r="B16" s="6" t="s">
        <v>24</v>
      </c>
      <c r="C16" s="22"/>
      <c r="D16" s="22"/>
      <c r="E16" s="22"/>
      <c r="F16" s="49"/>
      <c r="G16" s="22"/>
      <c r="H16" s="12">
        <f t="shared" si="0"/>
        <v>43956</v>
      </c>
    </row>
    <row r="17" spans="1:8" x14ac:dyDescent="0.3">
      <c r="B17" s="6" t="s">
        <v>21</v>
      </c>
      <c r="C17" s="22"/>
      <c r="D17" s="22"/>
      <c r="E17" s="22"/>
      <c r="F17" s="22"/>
      <c r="G17" s="22"/>
      <c r="H17" s="12">
        <f t="shared" si="0"/>
        <v>43956</v>
      </c>
    </row>
    <row r="18" spans="1:8" x14ac:dyDescent="0.3">
      <c r="B18" s="6" t="s">
        <v>18</v>
      </c>
      <c r="C18" s="22"/>
      <c r="D18" s="22"/>
      <c r="E18" s="22"/>
      <c r="F18" s="22"/>
      <c r="G18" s="22"/>
      <c r="H18" s="12">
        <f t="shared" si="0"/>
        <v>43956</v>
      </c>
    </row>
    <row r="19" spans="1:8" x14ac:dyDescent="0.3">
      <c r="B19" s="6" t="s">
        <v>16</v>
      </c>
      <c r="C19" s="22">
        <v>270000</v>
      </c>
      <c r="D19" s="22"/>
      <c r="E19" s="22">
        <v>54000</v>
      </c>
      <c r="F19" s="22"/>
      <c r="G19" s="22"/>
      <c r="H19" s="12">
        <f t="shared" si="0"/>
        <v>43956</v>
      </c>
    </row>
    <row r="20" spans="1:8" x14ac:dyDescent="0.3">
      <c r="B20" s="50" t="s">
        <v>27</v>
      </c>
      <c r="C20" s="51">
        <f>SUM(May05_2020[KSI_AGO])</f>
        <v>1607000</v>
      </c>
      <c r="D20" s="51">
        <f>SUM(May05_2020[KSI_PMS])</f>
        <v>1540000</v>
      </c>
      <c r="E20" s="51">
        <f>SUM(May05_2020[BUIPE_AGO])</f>
        <v>810000</v>
      </c>
      <c r="F20" s="51">
        <f>SUM(May05_2020[BUIPE_PMS])</f>
        <v>432000</v>
      </c>
      <c r="G20" s="51">
        <f>SUM(May05_2020[AKOSOMBO_AGO])</f>
        <v>0</v>
      </c>
      <c r="H20" s="52"/>
    </row>
    <row r="21" spans="1:8" x14ac:dyDescent="0.3">
      <c r="B21" s="8"/>
      <c r="C21" s="24"/>
      <c r="D21" s="24"/>
      <c r="E21" s="24"/>
      <c r="F21" s="24"/>
      <c r="G21" s="24"/>
      <c r="H21"/>
    </row>
    <row r="22" spans="1:8" x14ac:dyDescent="0.3">
      <c r="B22" s="1" t="s">
        <v>6</v>
      </c>
      <c r="C22" s="1" t="s">
        <v>4</v>
      </c>
      <c r="D22" s="5">
        <f>SUMIF(May05_2020[[#Headers],[KSI_AGO]:[AKOSOMBO_AGO]],"*"&amp;C22,May05_2020[[#Totals],[KSI_AGO]:[AKOSOMBO_AGO]])</f>
        <v>2417000</v>
      </c>
      <c r="E22" s="1" t="s">
        <v>5</v>
      </c>
      <c r="F22" s="5">
        <f>SUMIF(May05_2020[[#Headers],[KSI_AGO]:[AKOSOMBO_AGO]],"*"&amp;E22,May05_2020[[#Totals],[KSI_AGO]:[AKOSOMBO_AGO]])</f>
        <v>1972000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2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pageSetUpPr fitToPage="1"/>
  </sheetPr>
  <dimension ref="A1:K32"/>
  <sheetViews>
    <sheetView zoomScale="115" zoomScaleNormal="115" workbookViewId="0">
      <pane xSplit="1" ySplit="5" topLeftCell="C6" activePane="bottomRight" state="frozen"/>
      <selection activeCell="E3" sqref="E3"/>
      <selection pane="topRight" activeCell="E3" sqref="E3"/>
      <selection pane="bottomLeft" activeCell="E3" sqref="E3"/>
      <selection pane="bottomRight" activeCell="G10" sqref="G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43957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43957</v>
      </c>
    </row>
    <row r="7" spans="2:11" x14ac:dyDescent="0.3">
      <c r="B7" s="6" t="s">
        <v>37</v>
      </c>
      <c r="C7" s="22"/>
      <c r="D7" s="22"/>
      <c r="E7" s="22"/>
      <c r="F7" s="22"/>
      <c r="G7" s="22"/>
      <c r="H7" s="67">
        <f>$G$3</f>
        <v>43957</v>
      </c>
    </row>
    <row r="8" spans="2:11" x14ac:dyDescent="0.3">
      <c r="B8" s="6" t="s">
        <v>17</v>
      </c>
      <c r="C8" s="22">
        <v>54000</v>
      </c>
      <c r="D8" s="22">
        <v>50000</v>
      </c>
      <c r="E8" s="22"/>
      <c r="F8" s="22"/>
      <c r="G8" s="22"/>
      <c r="H8" s="12">
        <f t="shared" si="0"/>
        <v>43957</v>
      </c>
    </row>
    <row r="9" spans="2:11" ht="15.6" x14ac:dyDescent="0.3">
      <c r="B9" s="34" t="s">
        <v>0</v>
      </c>
      <c r="C9" s="60"/>
      <c r="D9" s="60"/>
      <c r="E9" s="60"/>
      <c r="F9" s="60"/>
      <c r="G9" s="61"/>
      <c r="H9" s="12">
        <f t="shared" si="0"/>
        <v>43957</v>
      </c>
    </row>
    <row r="10" spans="2:11" x14ac:dyDescent="0.3">
      <c r="B10" s="6" t="s">
        <v>25</v>
      </c>
      <c r="C10" s="22"/>
      <c r="D10" s="22">
        <v>963000</v>
      </c>
      <c r="E10" s="22"/>
      <c r="F10" s="22">
        <v>752000</v>
      </c>
      <c r="G10" s="22"/>
      <c r="H10" s="12">
        <f t="shared" si="0"/>
        <v>43957</v>
      </c>
    </row>
    <row r="11" spans="2:11" x14ac:dyDescent="0.3">
      <c r="B11" s="6" t="s">
        <v>15</v>
      </c>
      <c r="C11" s="22"/>
      <c r="D11" s="22">
        <v>135000</v>
      </c>
      <c r="E11" s="22"/>
      <c r="F11" s="48"/>
      <c r="G11" s="22"/>
      <c r="H11" s="12">
        <f t="shared" si="0"/>
        <v>43957</v>
      </c>
    </row>
    <row r="12" spans="2:11" x14ac:dyDescent="0.3">
      <c r="B12" s="6" t="s">
        <v>26</v>
      </c>
      <c r="C12" s="22"/>
      <c r="D12" s="22"/>
      <c r="E12" s="22"/>
      <c r="F12" s="22"/>
      <c r="G12" s="22"/>
      <c r="H12" s="12">
        <f t="shared" si="0"/>
        <v>43957</v>
      </c>
    </row>
    <row r="13" spans="2:11" x14ac:dyDescent="0.3">
      <c r="B13" s="6" t="s">
        <v>22</v>
      </c>
      <c r="C13" s="23"/>
      <c r="D13" s="23"/>
      <c r="E13" s="23"/>
      <c r="F13" s="22"/>
      <c r="G13" s="23"/>
      <c r="H13" s="12">
        <f t="shared" si="0"/>
        <v>43957</v>
      </c>
      <c r="K13" s="4"/>
    </row>
    <row r="14" spans="2:11" x14ac:dyDescent="0.3">
      <c r="B14" s="6" t="s">
        <v>19</v>
      </c>
      <c r="C14" s="22"/>
      <c r="D14" s="22"/>
      <c r="E14" s="22"/>
      <c r="F14" s="22"/>
      <c r="G14" s="22"/>
      <c r="H14" s="12">
        <f t="shared" si="0"/>
        <v>43957</v>
      </c>
    </row>
    <row r="15" spans="2:11" x14ac:dyDescent="0.3">
      <c r="B15" s="6" t="s">
        <v>14</v>
      </c>
      <c r="C15" s="22">
        <v>1535500</v>
      </c>
      <c r="D15" s="22">
        <v>365000</v>
      </c>
      <c r="E15" s="22">
        <v>100000</v>
      </c>
      <c r="F15" s="22">
        <v>92000</v>
      </c>
      <c r="G15" s="22"/>
      <c r="H15" s="12">
        <f t="shared" si="0"/>
        <v>43957</v>
      </c>
    </row>
    <row r="16" spans="2:11" x14ac:dyDescent="0.3">
      <c r="B16" s="6" t="s">
        <v>24</v>
      </c>
      <c r="C16" s="22"/>
      <c r="D16" s="22"/>
      <c r="E16" s="22"/>
      <c r="F16" s="49"/>
      <c r="G16" s="22"/>
      <c r="H16" s="12">
        <f t="shared" si="0"/>
        <v>43957</v>
      </c>
    </row>
    <row r="17" spans="1:8" x14ac:dyDescent="0.3">
      <c r="B17" s="6" t="s">
        <v>21</v>
      </c>
      <c r="C17" s="22"/>
      <c r="D17" s="22"/>
      <c r="E17" s="22"/>
      <c r="F17" s="22"/>
      <c r="G17" s="22"/>
      <c r="H17" s="12">
        <f t="shared" si="0"/>
        <v>43957</v>
      </c>
    </row>
    <row r="18" spans="1:8" x14ac:dyDescent="0.3">
      <c r="B18" s="6" t="s">
        <v>18</v>
      </c>
      <c r="C18" s="22"/>
      <c r="D18" s="22"/>
      <c r="E18" s="22"/>
      <c r="F18" s="22"/>
      <c r="G18" s="22"/>
      <c r="H18" s="12">
        <f t="shared" si="0"/>
        <v>43957</v>
      </c>
    </row>
    <row r="19" spans="1:8" x14ac:dyDescent="0.3">
      <c r="B19" s="6" t="s">
        <v>16</v>
      </c>
      <c r="C19" s="22"/>
      <c r="D19" s="22"/>
      <c r="E19" s="22"/>
      <c r="F19" s="22"/>
      <c r="G19" s="22"/>
      <c r="H19" s="12">
        <f t="shared" si="0"/>
        <v>43957</v>
      </c>
    </row>
    <row r="20" spans="1:8" x14ac:dyDescent="0.3">
      <c r="B20" s="50" t="s">
        <v>27</v>
      </c>
      <c r="C20" s="51">
        <f>SUM(May06_2020[KSI_AGO])</f>
        <v>1589500</v>
      </c>
      <c r="D20" s="51">
        <f>SUM(May06_2020[KSI_PMS])</f>
        <v>1513000</v>
      </c>
      <c r="E20" s="51">
        <f>SUM(May06_2020[BUIPE_AGO])</f>
        <v>100000</v>
      </c>
      <c r="F20" s="51">
        <f>SUM(May06_2020[BUIPE_PMS])</f>
        <v>844000</v>
      </c>
      <c r="G20" s="51">
        <f>SUM(May06_2020[AKOSOMBO_AGO])</f>
        <v>0</v>
      </c>
      <c r="H20" s="52"/>
    </row>
    <row r="21" spans="1:8" x14ac:dyDescent="0.3">
      <c r="B21" s="8"/>
      <c r="C21" s="24"/>
      <c r="D21" s="24"/>
      <c r="E21" s="24"/>
      <c r="F21" s="24"/>
      <c r="G21" s="24"/>
      <c r="H21"/>
    </row>
    <row r="22" spans="1:8" x14ac:dyDescent="0.3">
      <c r="B22" s="1" t="s">
        <v>6</v>
      </c>
      <c r="C22" s="1" t="s">
        <v>4</v>
      </c>
      <c r="D22" s="5">
        <f>SUMIF(May06_2020[[#Headers],[KSI_AGO]:[AKOSOMBO_AGO]],"*"&amp;C22,May06_2020[[#Totals],[KSI_AGO]:[AKOSOMBO_AGO]])</f>
        <v>1689500</v>
      </c>
      <c r="E22" s="1" t="s">
        <v>5</v>
      </c>
      <c r="F22" s="5">
        <f>SUMIF(May06_2020[[#Headers],[KSI_AGO]:[AKOSOMBO_AGO]],"*"&amp;E22,May06_2020[[#Totals],[KSI_AGO]:[AKOSOMBO_AGO]])</f>
        <v>2357000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3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pageSetUpPr fitToPage="1"/>
  </sheetPr>
  <dimension ref="A1:K32"/>
  <sheetViews>
    <sheetView zoomScale="115" zoomScaleNormal="115" workbookViewId="0">
      <pane xSplit="1" ySplit="5" topLeftCell="C6" activePane="bottomRight" state="frozen"/>
      <selection activeCell="E3" sqref="E3"/>
      <selection pane="topRight" activeCell="E3" sqref="E3"/>
      <selection pane="bottomLeft" activeCell="E3" sqref="E3"/>
      <selection pane="bottomRight" activeCell="F11" sqref="F11"/>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43958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43958</v>
      </c>
    </row>
    <row r="7" spans="2:11" x14ac:dyDescent="0.3">
      <c r="B7" s="6" t="s">
        <v>37</v>
      </c>
      <c r="C7" s="22"/>
      <c r="D7" s="22"/>
      <c r="E7" s="22"/>
      <c r="F7" s="22"/>
      <c r="G7" s="22"/>
      <c r="H7" s="67">
        <f>$G$3</f>
        <v>43958</v>
      </c>
    </row>
    <row r="8" spans="2:11" x14ac:dyDescent="0.3">
      <c r="B8" s="6" t="s">
        <v>17</v>
      </c>
      <c r="C8" s="22"/>
      <c r="D8" s="22"/>
      <c r="E8" s="22"/>
      <c r="F8" s="22"/>
      <c r="G8" s="22"/>
      <c r="H8" s="12">
        <f t="shared" si="0"/>
        <v>43958</v>
      </c>
    </row>
    <row r="9" spans="2:11" ht="15.6" x14ac:dyDescent="0.3">
      <c r="B9" s="34" t="s">
        <v>0</v>
      </c>
      <c r="C9" s="60"/>
      <c r="D9" s="60"/>
      <c r="E9" s="60"/>
      <c r="F9" s="60"/>
      <c r="G9" s="61"/>
      <c r="H9" s="12">
        <f t="shared" si="0"/>
        <v>43958</v>
      </c>
    </row>
    <row r="10" spans="2:11" x14ac:dyDescent="0.3">
      <c r="B10" s="6" t="s">
        <v>25</v>
      </c>
      <c r="C10" s="22"/>
      <c r="D10" s="22">
        <v>1006000</v>
      </c>
      <c r="E10" s="22"/>
      <c r="F10" s="22"/>
      <c r="G10" s="22"/>
      <c r="H10" s="12">
        <f t="shared" si="0"/>
        <v>43958</v>
      </c>
    </row>
    <row r="11" spans="2:11" x14ac:dyDescent="0.3">
      <c r="B11" s="6" t="s">
        <v>15</v>
      </c>
      <c r="C11" s="22"/>
      <c r="D11" s="22"/>
      <c r="E11" s="22"/>
      <c r="F11" s="48"/>
      <c r="G11" s="22"/>
      <c r="H11" s="12">
        <f t="shared" si="0"/>
        <v>43958</v>
      </c>
    </row>
    <row r="12" spans="2:11" x14ac:dyDescent="0.3">
      <c r="B12" s="6" t="s">
        <v>26</v>
      </c>
      <c r="C12" s="22"/>
      <c r="D12" s="22">
        <v>104000</v>
      </c>
      <c r="E12" s="22"/>
      <c r="F12" s="22"/>
      <c r="G12" s="22"/>
      <c r="H12" s="12">
        <f t="shared" si="0"/>
        <v>43958</v>
      </c>
    </row>
    <row r="13" spans="2:11" x14ac:dyDescent="0.3">
      <c r="B13" s="6" t="s">
        <v>22</v>
      </c>
      <c r="C13" s="23"/>
      <c r="D13" s="23"/>
      <c r="E13" s="23"/>
      <c r="F13" s="22"/>
      <c r="G13" s="23"/>
      <c r="H13" s="12">
        <f t="shared" si="0"/>
        <v>43958</v>
      </c>
      <c r="K13" s="4"/>
    </row>
    <row r="14" spans="2:11" x14ac:dyDescent="0.3">
      <c r="B14" s="6" t="s">
        <v>19</v>
      </c>
      <c r="C14" s="22"/>
      <c r="D14" s="22"/>
      <c r="E14" s="22"/>
      <c r="F14" s="22"/>
      <c r="G14" s="22"/>
      <c r="H14" s="12">
        <f t="shared" si="0"/>
        <v>43958</v>
      </c>
    </row>
    <row r="15" spans="2:11" x14ac:dyDescent="0.3">
      <c r="B15" s="6" t="s">
        <v>14</v>
      </c>
      <c r="C15" s="22"/>
      <c r="D15" s="22">
        <v>92000</v>
      </c>
      <c r="E15" s="22"/>
      <c r="F15" s="22"/>
      <c r="G15" s="22"/>
      <c r="H15" s="12">
        <f t="shared" si="0"/>
        <v>43958</v>
      </c>
    </row>
    <row r="16" spans="2:11" x14ac:dyDescent="0.3">
      <c r="B16" s="6" t="s">
        <v>24</v>
      </c>
      <c r="C16" s="22"/>
      <c r="D16" s="22"/>
      <c r="E16" s="22"/>
      <c r="F16" s="49"/>
      <c r="G16" s="22"/>
      <c r="H16" s="12">
        <f t="shared" si="0"/>
        <v>43958</v>
      </c>
    </row>
    <row r="17" spans="1:8" x14ac:dyDescent="0.3">
      <c r="B17" s="6" t="s">
        <v>21</v>
      </c>
      <c r="C17" s="22"/>
      <c r="D17" s="22">
        <v>162000</v>
      </c>
      <c r="E17" s="22"/>
      <c r="F17" s="22"/>
      <c r="G17" s="22"/>
      <c r="H17" s="12">
        <f t="shared" si="0"/>
        <v>43958</v>
      </c>
    </row>
    <row r="18" spans="1:8" x14ac:dyDescent="0.3">
      <c r="B18" s="6" t="s">
        <v>18</v>
      </c>
      <c r="C18" s="22"/>
      <c r="D18" s="22"/>
      <c r="E18" s="22"/>
      <c r="F18" s="22">
        <v>190000</v>
      </c>
      <c r="G18" s="22"/>
      <c r="H18" s="12">
        <f t="shared" si="0"/>
        <v>43958</v>
      </c>
    </row>
    <row r="19" spans="1:8" x14ac:dyDescent="0.3">
      <c r="B19" s="6" t="s">
        <v>16</v>
      </c>
      <c r="C19" s="22"/>
      <c r="D19" s="22"/>
      <c r="E19" s="22"/>
      <c r="F19" s="22"/>
      <c r="G19" s="22"/>
      <c r="H19" s="12">
        <f t="shared" si="0"/>
        <v>43958</v>
      </c>
    </row>
    <row r="20" spans="1:8" x14ac:dyDescent="0.3">
      <c r="B20" s="50" t="s">
        <v>27</v>
      </c>
      <c r="C20" s="51">
        <f>SUM(May07_2020[KSI_AGO])</f>
        <v>0</v>
      </c>
      <c r="D20" s="51">
        <f>SUM(May07_2020[KSI_PMS])</f>
        <v>1364000</v>
      </c>
      <c r="E20" s="51">
        <f>SUM(May07_2020[BUIPE_AGO])</f>
        <v>0</v>
      </c>
      <c r="F20" s="51">
        <f>SUM(May07_2020[BUIPE_PMS])</f>
        <v>190000</v>
      </c>
      <c r="G20" s="51">
        <f>SUM(May07_2020[AKOSOMBO_AGO])</f>
        <v>0</v>
      </c>
      <c r="H20" s="52"/>
    </row>
    <row r="21" spans="1:8" x14ac:dyDescent="0.3">
      <c r="B21" s="8"/>
      <c r="C21" s="24"/>
      <c r="D21" s="24"/>
      <c r="E21" s="24"/>
      <c r="F21" s="24"/>
      <c r="G21" s="24"/>
      <c r="H21"/>
    </row>
    <row r="22" spans="1:8" x14ac:dyDescent="0.3">
      <c r="B22" s="1" t="s">
        <v>6</v>
      </c>
      <c r="C22" s="1" t="s">
        <v>4</v>
      </c>
      <c r="D22" s="5">
        <f>SUMIF(May07_2020[[#Headers],[KSI_AGO]:[AKOSOMBO_AGO]],"*"&amp;C22,May07_2020[[#Totals],[KSI_AGO]:[AKOSOMBO_AGO]])</f>
        <v>0</v>
      </c>
      <c r="E22" s="1" t="s">
        <v>5</v>
      </c>
      <c r="F22" s="5">
        <f>SUMIF(May07_2020[[#Headers],[KSI_AGO]:[AKOSOMBO_AGO]],"*"&amp;E22,May07_2020[[#Totals],[KSI_AGO]:[AKOSOMBO_AGO]])</f>
        <v>1554000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4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pageSetUpPr fitToPage="1"/>
  </sheetPr>
  <dimension ref="A1:K32"/>
  <sheetViews>
    <sheetView zoomScale="115" zoomScaleNormal="115" workbookViewId="0">
      <pane xSplit="1" ySplit="5" topLeftCell="C6" activePane="bottomRight" state="frozen"/>
      <selection activeCell="E3" sqref="E3"/>
      <selection pane="topRight" activeCell="E3" sqref="E3"/>
      <selection pane="bottomLeft" activeCell="E3" sqref="E3"/>
      <selection pane="bottomRight" activeCell="F9" sqref="F9"/>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43959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43959</v>
      </c>
    </row>
    <row r="7" spans="2:11" x14ac:dyDescent="0.3">
      <c r="B7" s="6" t="s">
        <v>37</v>
      </c>
      <c r="C7" s="22"/>
      <c r="D7" s="22"/>
      <c r="E7" s="22"/>
      <c r="F7" s="22"/>
      <c r="G7" s="22"/>
      <c r="H7" s="67">
        <f>$G$3</f>
        <v>43959</v>
      </c>
    </row>
    <row r="8" spans="2:11" x14ac:dyDescent="0.3">
      <c r="B8" s="6" t="s">
        <v>17</v>
      </c>
      <c r="C8" s="22"/>
      <c r="D8" s="22"/>
      <c r="E8" s="22"/>
      <c r="F8" s="22"/>
      <c r="G8" s="22"/>
      <c r="H8" s="12">
        <f t="shared" si="0"/>
        <v>43959</v>
      </c>
    </row>
    <row r="9" spans="2:11" ht="15.6" x14ac:dyDescent="0.3">
      <c r="B9" s="34" t="s">
        <v>0</v>
      </c>
      <c r="C9" s="60"/>
      <c r="D9" s="60">
        <v>1563000</v>
      </c>
      <c r="E9" s="60"/>
      <c r="F9" s="60">
        <v>1134000</v>
      </c>
      <c r="G9" s="61"/>
      <c r="H9" s="12">
        <f t="shared" si="0"/>
        <v>43959</v>
      </c>
    </row>
    <row r="10" spans="2:11" x14ac:dyDescent="0.3">
      <c r="B10" s="6" t="s">
        <v>25</v>
      </c>
      <c r="C10" s="22"/>
      <c r="D10" s="22"/>
      <c r="E10" s="22"/>
      <c r="F10" s="22"/>
      <c r="G10" s="22"/>
      <c r="H10" s="12">
        <f t="shared" si="0"/>
        <v>43959</v>
      </c>
    </row>
    <row r="11" spans="2:11" x14ac:dyDescent="0.3">
      <c r="B11" s="6" t="s">
        <v>15</v>
      </c>
      <c r="C11" s="22"/>
      <c r="D11" s="22"/>
      <c r="E11" s="22"/>
      <c r="F11" s="48"/>
      <c r="G11" s="22"/>
      <c r="H11" s="12">
        <f t="shared" si="0"/>
        <v>43959</v>
      </c>
    </row>
    <row r="12" spans="2:11" x14ac:dyDescent="0.3">
      <c r="B12" s="6" t="s">
        <v>26</v>
      </c>
      <c r="C12" s="22"/>
      <c r="D12" s="22"/>
      <c r="E12" s="22"/>
      <c r="F12" s="22"/>
      <c r="G12" s="22"/>
      <c r="H12" s="12">
        <f t="shared" si="0"/>
        <v>43959</v>
      </c>
    </row>
    <row r="13" spans="2:11" x14ac:dyDescent="0.3">
      <c r="B13" s="6" t="s">
        <v>22</v>
      </c>
      <c r="C13" s="23"/>
      <c r="D13" s="23"/>
      <c r="E13" s="23"/>
      <c r="F13" s="22"/>
      <c r="G13" s="23"/>
      <c r="H13" s="12">
        <f t="shared" si="0"/>
        <v>43959</v>
      </c>
      <c r="K13" s="4"/>
    </row>
    <row r="14" spans="2:11" x14ac:dyDescent="0.3">
      <c r="B14" s="6" t="s">
        <v>19</v>
      </c>
      <c r="C14" s="22"/>
      <c r="D14" s="22"/>
      <c r="E14" s="22"/>
      <c r="F14" s="22"/>
      <c r="G14" s="22"/>
      <c r="H14" s="12">
        <f t="shared" si="0"/>
        <v>43959</v>
      </c>
    </row>
    <row r="15" spans="2:11" x14ac:dyDescent="0.3">
      <c r="B15" s="6" t="s">
        <v>14</v>
      </c>
      <c r="C15" s="22"/>
      <c r="D15" s="22"/>
      <c r="E15" s="22"/>
      <c r="F15" s="22"/>
      <c r="G15" s="22"/>
      <c r="H15" s="12">
        <f t="shared" si="0"/>
        <v>43959</v>
      </c>
    </row>
    <row r="16" spans="2:11" x14ac:dyDescent="0.3">
      <c r="B16" s="6" t="s">
        <v>24</v>
      </c>
      <c r="C16" s="22"/>
      <c r="D16" s="22"/>
      <c r="E16" s="22"/>
      <c r="F16" s="49"/>
      <c r="G16" s="22"/>
      <c r="H16" s="12">
        <f t="shared" si="0"/>
        <v>43959</v>
      </c>
    </row>
    <row r="17" spans="1:8" x14ac:dyDescent="0.3">
      <c r="B17" s="6" t="s">
        <v>21</v>
      </c>
      <c r="C17" s="22"/>
      <c r="D17" s="22"/>
      <c r="E17" s="22"/>
      <c r="F17" s="22"/>
      <c r="G17" s="22"/>
      <c r="H17" s="12">
        <f t="shared" si="0"/>
        <v>43959</v>
      </c>
    </row>
    <row r="18" spans="1:8" x14ac:dyDescent="0.3">
      <c r="B18" s="6" t="s">
        <v>18</v>
      </c>
      <c r="C18" s="22"/>
      <c r="D18" s="22"/>
      <c r="E18" s="22"/>
      <c r="F18" s="22"/>
      <c r="G18" s="22"/>
      <c r="H18" s="12">
        <f t="shared" si="0"/>
        <v>43959</v>
      </c>
    </row>
    <row r="19" spans="1:8" x14ac:dyDescent="0.3">
      <c r="B19" s="6" t="s">
        <v>16</v>
      </c>
      <c r="C19" s="22"/>
      <c r="D19" s="22"/>
      <c r="E19" s="22"/>
      <c r="F19" s="22"/>
      <c r="G19" s="22"/>
      <c r="H19" s="12">
        <f t="shared" si="0"/>
        <v>43959</v>
      </c>
    </row>
    <row r="20" spans="1:8" x14ac:dyDescent="0.3">
      <c r="B20" s="50" t="s">
        <v>27</v>
      </c>
      <c r="C20" s="51">
        <f>SUM(May08_2020[KSI_AGO])</f>
        <v>0</v>
      </c>
      <c r="D20" s="51">
        <f>SUM(May08_2020[KSI_PMS])</f>
        <v>1563000</v>
      </c>
      <c r="E20" s="51">
        <f>SUM(May08_2020[BUIPE_AGO])</f>
        <v>0</v>
      </c>
      <c r="F20" s="51">
        <f>SUM(May08_2020[BUIPE_PMS])</f>
        <v>1134000</v>
      </c>
      <c r="G20" s="51">
        <f>SUM(May08_2020[AKOSOMBO_AGO])</f>
        <v>0</v>
      </c>
      <c r="H20" s="52"/>
    </row>
    <row r="21" spans="1:8" x14ac:dyDescent="0.3">
      <c r="B21" s="8"/>
      <c r="C21" s="24"/>
      <c r="D21" s="24"/>
      <c r="E21" s="24"/>
      <c r="F21" s="24"/>
      <c r="G21" s="24"/>
      <c r="H21"/>
    </row>
    <row r="22" spans="1:8" x14ac:dyDescent="0.3">
      <c r="B22" s="1" t="s">
        <v>6</v>
      </c>
      <c r="C22" s="1" t="s">
        <v>4</v>
      </c>
      <c r="D22" s="5">
        <f>SUMIF(May08_2020[[#Headers],[KSI_AGO]:[AKOSOMBO_AGO]],"*"&amp;C22,May08_2020[[#Totals],[KSI_AGO]:[AKOSOMBO_AGO]])</f>
        <v>0</v>
      </c>
      <c r="E22" s="1" t="s">
        <v>5</v>
      </c>
      <c r="F22" s="5">
        <f>SUMIF(May08_2020[[#Headers],[KSI_AGO]:[AKOSOMBO_AGO]],"*"&amp;E22,May08_2020[[#Totals],[KSI_AGO]:[AKOSOMBO_AGO]])</f>
        <v>2697000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5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H19" sqref="H19"/>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43962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43962</v>
      </c>
    </row>
    <row r="7" spans="2:11" x14ac:dyDescent="0.3">
      <c r="B7" s="6" t="s">
        <v>37</v>
      </c>
      <c r="C7" s="22"/>
      <c r="D7" s="22"/>
      <c r="E7" s="22"/>
      <c r="F7" s="22"/>
      <c r="G7" s="22"/>
      <c r="H7" s="67">
        <f>$G$3</f>
        <v>43962</v>
      </c>
    </row>
    <row r="8" spans="2:11" x14ac:dyDescent="0.3">
      <c r="B8" s="6" t="s">
        <v>17</v>
      </c>
      <c r="C8" s="22"/>
      <c r="D8" s="22"/>
      <c r="E8" s="22"/>
      <c r="F8" s="22"/>
      <c r="G8" s="22"/>
      <c r="H8" s="12">
        <f t="shared" si="0"/>
        <v>43962</v>
      </c>
    </row>
    <row r="9" spans="2:11" ht="15.6" x14ac:dyDescent="0.3">
      <c r="B9" s="34" t="s">
        <v>0</v>
      </c>
      <c r="C9" s="60">
        <v>1080000</v>
      </c>
      <c r="D9" s="60">
        <v>693000</v>
      </c>
      <c r="E9" s="60">
        <v>216000</v>
      </c>
      <c r="F9" s="60">
        <v>884500</v>
      </c>
      <c r="G9" s="61"/>
      <c r="H9" s="12">
        <f t="shared" si="0"/>
        <v>43962</v>
      </c>
    </row>
    <row r="10" spans="2:11" x14ac:dyDescent="0.3">
      <c r="B10" s="6" t="s">
        <v>25</v>
      </c>
      <c r="C10" s="22"/>
      <c r="D10" s="22"/>
      <c r="E10" s="22"/>
      <c r="F10" s="22"/>
      <c r="G10" s="22"/>
      <c r="H10" s="12">
        <f t="shared" si="0"/>
        <v>43962</v>
      </c>
    </row>
    <row r="11" spans="2:11" x14ac:dyDescent="0.3">
      <c r="B11" s="6" t="s">
        <v>15</v>
      </c>
      <c r="C11" s="22"/>
      <c r="D11" s="22"/>
      <c r="E11" s="22"/>
      <c r="F11" s="48"/>
      <c r="G11" s="22"/>
      <c r="H11" s="12">
        <f t="shared" si="0"/>
        <v>43962</v>
      </c>
    </row>
    <row r="12" spans="2:11" x14ac:dyDescent="0.3">
      <c r="B12" s="6" t="s">
        <v>26</v>
      </c>
      <c r="C12" s="22"/>
      <c r="D12" s="22"/>
      <c r="E12" s="22"/>
      <c r="F12" s="22"/>
      <c r="G12" s="22"/>
      <c r="H12" s="12">
        <f t="shared" si="0"/>
        <v>43962</v>
      </c>
    </row>
    <row r="13" spans="2:11" x14ac:dyDescent="0.3">
      <c r="B13" s="6" t="s">
        <v>22</v>
      </c>
      <c r="C13" s="23"/>
      <c r="D13" s="23"/>
      <c r="E13" s="23"/>
      <c r="F13" s="22"/>
      <c r="G13" s="23"/>
      <c r="H13" s="12">
        <f t="shared" si="0"/>
        <v>43962</v>
      </c>
      <c r="K13" s="4"/>
    </row>
    <row r="14" spans="2:11" x14ac:dyDescent="0.3">
      <c r="B14" s="6" t="s">
        <v>19</v>
      </c>
      <c r="C14" s="22"/>
      <c r="D14" s="22"/>
      <c r="E14" s="22"/>
      <c r="F14" s="22"/>
      <c r="G14" s="22"/>
      <c r="H14" s="12">
        <f t="shared" si="0"/>
        <v>43962</v>
      </c>
    </row>
    <row r="15" spans="2:11" x14ac:dyDescent="0.3">
      <c r="B15" s="6" t="s">
        <v>14</v>
      </c>
      <c r="C15" s="22"/>
      <c r="D15" s="22">
        <v>428000</v>
      </c>
      <c r="E15" s="22"/>
      <c r="F15" s="22"/>
      <c r="G15" s="22"/>
      <c r="H15" s="12">
        <f t="shared" si="0"/>
        <v>43962</v>
      </c>
    </row>
    <row r="16" spans="2:11" x14ac:dyDescent="0.3">
      <c r="B16" s="6" t="s">
        <v>24</v>
      </c>
      <c r="C16" s="22"/>
      <c r="D16" s="22"/>
      <c r="E16" s="22"/>
      <c r="F16" s="49"/>
      <c r="G16" s="22"/>
      <c r="H16" s="12">
        <f t="shared" si="0"/>
        <v>43962</v>
      </c>
    </row>
    <row r="17" spans="1:8" x14ac:dyDescent="0.3">
      <c r="B17" s="6" t="s">
        <v>21</v>
      </c>
      <c r="C17" s="22"/>
      <c r="D17" s="22"/>
      <c r="E17" s="22"/>
      <c r="F17" s="22"/>
      <c r="G17" s="22"/>
      <c r="H17" s="12">
        <f t="shared" si="0"/>
        <v>43962</v>
      </c>
    </row>
    <row r="18" spans="1:8" x14ac:dyDescent="0.3">
      <c r="B18" s="6" t="s">
        <v>18</v>
      </c>
      <c r="C18" s="22"/>
      <c r="D18" s="22"/>
      <c r="E18" s="22"/>
      <c r="F18" s="22"/>
      <c r="G18" s="22"/>
      <c r="H18" s="12">
        <f t="shared" si="0"/>
        <v>43962</v>
      </c>
    </row>
    <row r="19" spans="1:8" x14ac:dyDescent="0.3">
      <c r="B19" s="6" t="s">
        <v>16</v>
      </c>
      <c r="C19" s="22"/>
      <c r="D19" s="22"/>
      <c r="E19" s="22"/>
      <c r="F19" s="22"/>
      <c r="G19" s="22"/>
      <c r="H19" s="12">
        <f t="shared" si="0"/>
        <v>43962</v>
      </c>
    </row>
    <row r="20" spans="1:8" x14ac:dyDescent="0.3">
      <c r="B20" s="50" t="s">
        <v>27</v>
      </c>
      <c r="C20" s="51">
        <f>SUM(May11_2020[KSI_AGO])</f>
        <v>1080000</v>
      </c>
      <c r="D20" s="51">
        <f>SUM(May11_2020[KSI_PMS])</f>
        <v>1121000</v>
      </c>
      <c r="E20" s="51">
        <f>SUM(May11_2020[BUIPE_AGO])</f>
        <v>216000</v>
      </c>
      <c r="F20" s="51">
        <f>SUM(May11_2020[BUIPE_PMS])</f>
        <v>884500</v>
      </c>
      <c r="G20" s="51">
        <f>SUM(May11_2020[AKOSOMBO_AGO])</f>
        <v>0</v>
      </c>
      <c r="H20" s="52"/>
    </row>
    <row r="21" spans="1:8" x14ac:dyDescent="0.3">
      <c r="B21" s="8"/>
      <c r="C21" s="24"/>
      <c r="D21" s="24"/>
      <c r="E21" s="24"/>
      <c r="F21" s="24"/>
      <c r="G21" s="24"/>
      <c r="H21"/>
    </row>
    <row r="22" spans="1:8" x14ac:dyDescent="0.3">
      <c r="B22" s="1" t="s">
        <v>6</v>
      </c>
      <c r="C22" s="1" t="s">
        <v>4</v>
      </c>
      <c r="D22" s="5">
        <f>SUMIF(May11_2020[[#Headers],[KSI_AGO]:[AKOSOMBO_AGO]],"*"&amp;C22,May11_2020[[#Totals],[KSI_AGO]:[AKOSOMBO_AGO]])</f>
        <v>1296000</v>
      </c>
      <c r="E22" s="1" t="s">
        <v>5</v>
      </c>
      <c r="F22" s="5">
        <f>SUMIF(May11_2020[[#Headers],[KSI_AGO]:[AKOSOMBO_AGO]],"*"&amp;E22,May11_2020[[#Totals],[KSI_AGO]:[AKOSOMBO_AGO]])</f>
        <v>2005500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6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pageSetUpPr fitToPage="1"/>
  </sheetPr>
  <dimension ref="A1:K32"/>
  <sheetViews>
    <sheetView zoomScale="80" zoomScaleNormal="80" workbookViewId="0">
      <pane xSplit="1" ySplit="5" topLeftCell="B6" activePane="bottomRight" state="frozen"/>
      <selection activeCell="E3" sqref="E3"/>
      <selection pane="topRight" activeCell="E3" sqref="E3"/>
      <selection pane="bottomLeft" activeCell="E3" sqref="E3"/>
      <selection pane="bottomRight" activeCell="E9" sqref="E9"/>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43963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43963</v>
      </c>
    </row>
    <row r="7" spans="2:11" x14ac:dyDescent="0.3">
      <c r="B7" s="6" t="s">
        <v>37</v>
      </c>
      <c r="C7" s="22"/>
      <c r="D7" s="22"/>
      <c r="E7" s="22"/>
      <c r="F7" s="22"/>
      <c r="G7" s="22"/>
      <c r="H7" s="67">
        <f>$G$3</f>
        <v>43963</v>
      </c>
    </row>
    <row r="8" spans="2:11" x14ac:dyDescent="0.3">
      <c r="B8" s="6" t="s">
        <v>17</v>
      </c>
      <c r="C8" s="22"/>
      <c r="D8" s="22"/>
      <c r="E8" s="22"/>
      <c r="F8" s="22"/>
      <c r="G8" s="22"/>
      <c r="H8" s="12">
        <f t="shared" si="0"/>
        <v>43963</v>
      </c>
    </row>
    <row r="9" spans="2:11" ht="15.6" x14ac:dyDescent="0.3">
      <c r="B9" s="34" t="s">
        <v>0</v>
      </c>
      <c r="C9" s="60">
        <v>1221000</v>
      </c>
      <c r="D9" s="60">
        <v>624000</v>
      </c>
      <c r="E9" s="60">
        <v>862000</v>
      </c>
      <c r="F9" s="60">
        <v>324000</v>
      </c>
      <c r="G9" s="61"/>
      <c r="H9" s="12">
        <f t="shared" si="0"/>
        <v>43963</v>
      </c>
    </row>
    <row r="10" spans="2:11" x14ac:dyDescent="0.3">
      <c r="B10" s="6" t="s">
        <v>25</v>
      </c>
      <c r="C10" s="22"/>
      <c r="D10" s="22"/>
      <c r="E10" s="22"/>
      <c r="F10" s="22"/>
      <c r="G10" s="22"/>
      <c r="H10" s="12">
        <f t="shared" si="0"/>
        <v>43963</v>
      </c>
    </row>
    <row r="11" spans="2:11" x14ac:dyDescent="0.3">
      <c r="B11" s="6" t="s">
        <v>15</v>
      </c>
      <c r="C11" s="22"/>
      <c r="D11" s="22"/>
      <c r="E11" s="22"/>
      <c r="F11" s="48"/>
      <c r="G11" s="22"/>
      <c r="H11" s="12">
        <f t="shared" si="0"/>
        <v>43963</v>
      </c>
    </row>
    <row r="12" spans="2:11" x14ac:dyDescent="0.3">
      <c r="B12" s="6" t="s">
        <v>26</v>
      </c>
      <c r="C12" s="22"/>
      <c r="D12" s="22"/>
      <c r="E12" s="22"/>
      <c r="F12" s="22"/>
      <c r="G12" s="22"/>
      <c r="H12" s="12">
        <f t="shared" si="0"/>
        <v>43963</v>
      </c>
    </row>
    <row r="13" spans="2:11" x14ac:dyDescent="0.3">
      <c r="B13" s="6" t="s">
        <v>22</v>
      </c>
      <c r="C13" s="23"/>
      <c r="D13" s="23"/>
      <c r="E13" s="23"/>
      <c r="F13" s="22"/>
      <c r="G13" s="23"/>
      <c r="H13" s="12">
        <f t="shared" si="0"/>
        <v>43963</v>
      </c>
      <c r="K13" s="4"/>
    </row>
    <row r="14" spans="2:11" x14ac:dyDescent="0.3">
      <c r="B14" s="6" t="s">
        <v>19</v>
      </c>
      <c r="C14" s="22"/>
      <c r="D14" s="22"/>
      <c r="E14" s="22"/>
      <c r="F14" s="22"/>
      <c r="G14" s="22"/>
      <c r="H14" s="12">
        <f t="shared" si="0"/>
        <v>43963</v>
      </c>
    </row>
    <row r="15" spans="2:11" x14ac:dyDescent="0.3">
      <c r="B15" s="6" t="s">
        <v>14</v>
      </c>
      <c r="C15" s="22"/>
      <c r="D15" s="22">
        <v>320000</v>
      </c>
      <c r="E15" s="22"/>
      <c r="F15" s="22"/>
      <c r="G15" s="22"/>
      <c r="H15" s="12">
        <f t="shared" si="0"/>
        <v>43963</v>
      </c>
    </row>
    <row r="16" spans="2:11" x14ac:dyDescent="0.3">
      <c r="B16" s="6" t="s">
        <v>24</v>
      </c>
      <c r="C16" s="22"/>
      <c r="D16" s="22"/>
      <c r="E16" s="22"/>
      <c r="F16" s="49"/>
      <c r="G16" s="22"/>
      <c r="H16" s="12">
        <f t="shared" si="0"/>
        <v>43963</v>
      </c>
    </row>
    <row r="17" spans="1:8" x14ac:dyDescent="0.3">
      <c r="B17" s="6" t="s">
        <v>21</v>
      </c>
      <c r="C17" s="22"/>
      <c r="D17" s="22">
        <v>90000</v>
      </c>
      <c r="E17" s="22"/>
      <c r="F17" s="22"/>
      <c r="G17" s="22"/>
      <c r="H17" s="12">
        <f t="shared" si="0"/>
        <v>43963</v>
      </c>
    </row>
    <row r="18" spans="1:8" x14ac:dyDescent="0.3">
      <c r="B18" s="6" t="s">
        <v>18</v>
      </c>
      <c r="C18" s="22"/>
      <c r="D18" s="22"/>
      <c r="E18" s="22"/>
      <c r="F18" s="22"/>
      <c r="G18" s="22"/>
      <c r="H18" s="12">
        <f t="shared" si="0"/>
        <v>43963</v>
      </c>
    </row>
    <row r="19" spans="1:8" x14ac:dyDescent="0.3">
      <c r="B19" s="6" t="s">
        <v>16</v>
      </c>
      <c r="C19" s="22"/>
      <c r="D19" s="22"/>
      <c r="E19" s="22"/>
      <c r="F19" s="22"/>
      <c r="G19" s="22"/>
      <c r="H19" s="12">
        <f t="shared" si="0"/>
        <v>43963</v>
      </c>
    </row>
    <row r="20" spans="1:8" x14ac:dyDescent="0.3">
      <c r="B20" s="50" t="s">
        <v>27</v>
      </c>
      <c r="C20" s="51">
        <f>SUM(May12_2020[KSI_AGO])</f>
        <v>1221000</v>
      </c>
      <c r="D20" s="51">
        <f>SUM(May12_2020[KSI_PMS])</f>
        <v>1034000</v>
      </c>
      <c r="E20" s="51">
        <f>SUM(May12_2020[BUIPE_AGO])</f>
        <v>862000</v>
      </c>
      <c r="F20" s="51">
        <f>SUM(May12_2020[BUIPE_PMS])</f>
        <v>324000</v>
      </c>
      <c r="G20" s="51">
        <f>SUM(May12_2020[AKOSOMBO_AGO])</f>
        <v>0</v>
      </c>
      <c r="H20" s="52"/>
    </row>
    <row r="21" spans="1:8" x14ac:dyDescent="0.3">
      <c r="B21" s="8"/>
      <c r="C21" s="24"/>
      <c r="D21" s="24"/>
      <c r="E21" s="24"/>
      <c r="F21" s="24"/>
      <c r="G21" s="24"/>
      <c r="H21"/>
    </row>
    <row r="22" spans="1:8" x14ac:dyDescent="0.3">
      <c r="B22" s="1" t="s">
        <v>6</v>
      </c>
      <c r="C22" s="1" t="s">
        <v>4</v>
      </c>
      <c r="D22" s="5">
        <f>SUMIF(May12_2020[[#Headers],[KSI_AGO]:[AKOSOMBO_AGO]],"*"&amp;C22,May12_2020[[#Totals],[KSI_AGO]:[AKOSOMBO_AGO]])</f>
        <v>2083000</v>
      </c>
      <c r="E22" s="1" t="s">
        <v>5</v>
      </c>
      <c r="F22" s="5">
        <f>SUMIF(May12_2020[[#Headers],[KSI_AGO]:[AKOSOMBO_AGO]],"*"&amp;E22,May12_2020[[#Totals],[KSI_AGO]:[AKOSOMBO_AGO]])</f>
        <v>1358000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7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F17" sqref="F17"/>
    </sheetView>
  </sheetViews>
  <sheetFormatPr defaultColWidth="9.109375" defaultRowHeight="14.4" x14ac:dyDescent="0.3"/>
  <cols>
    <col min="1" max="1" width="6.88671875" style="1" customWidth="1"/>
    <col min="2" max="2" width="26.109375" style="1" customWidth="1"/>
    <col min="3" max="3" width="14.44140625" style="1" customWidth="1"/>
    <col min="4" max="4" width="18.5546875" style="1" customWidth="1"/>
    <col min="5" max="5" width="18.109375" style="1" customWidth="1"/>
    <col min="6" max="6" width="18.5546875" style="1" customWidth="1"/>
    <col min="7" max="7" width="27.5546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43964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43964</v>
      </c>
    </row>
    <row r="7" spans="2:11" x14ac:dyDescent="0.3">
      <c r="B7" s="6" t="s">
        <v>37</v>
      </c>
      <c r="C7" s="22"/>
      <c r="D7" s="22"/>
      <c r="E7" s="22"/>
      <c r="F7" s="22"/>
      <c r="G7" s="22"/>
      <c r="H7" s="67">
        <f>$G$3</f>
        <v>43964</v>
      </c>
    </row>
    <row r="8" spans="2:11" x14ac:dyDescent="0.3">
      <c r="B8" s="6" t="s">
        <v>17</v>
      </c>
      <c r="C8" s="22">
        <v>162000</v>
      </c>
      <c r="D8" s="22">
        <v>150000</v>
      </c>
      <c r="E8" s="22">
        <v>150000</v>
      </c>
      <c r="F8" s="22"/>
      <c r="G8" s="22">
        <v>516000</v>
      </c>
      <c r="H8" s="12">
        <f t="shared" si="0"/>
        <v>43964</v>
      </c>
    </row>
    <row r="9" spans="2:11" ht="15.6" x14ac:dyDescent="0.3">
      <c r="B9" s="34" t="s">
        <v>0</v>
      </c>
      <c r="C9" s="60">
        <v>747000</v>
      </c>
      <c r="D9" s="60">
        <v>567000</v>
      </c>
      <c r="E9" s="60">
        <v>801000</v>
      </c>
      <c r="F9" s="60"/>
      <c r="G9" s="61"/>
      <c r="H9" s="12">
        <f t="shared" si="0"/>
        <v>43964</v>
      </c>
    </row>
    <row r="10" spans="2:11" x14ac:dyDescent="0.3">
      <c r="B10" s="6" t="s">
        <v>25</v>
      </c>
      <c r="C10" s="22"/>
      <c r="D10" s="22"/>
      <c r="E10" s="22"/>
      <c r="F10" s="22"/>
      <c r="G10" s="22"/>
      <c r="H10" s="12">
        <f t="shared" si="0"/>
        <v>43964</v>
      </c>
    </row>
    <row r="11" spans="2:11" x14ac:dyDescent="0.3">
      <c r="B11" s="6" t="s">
        <v>15</v>
      </c>
      <c r="C11" s="22"/>
      <c r="D11" s="22"/>
      <c r="E11" s="22"/>
      <c r="F11" s="48"/>
      <c r="G11" s="22"/>
      <c r="H11" s="12">
        <f t="shared" si="0"/>
        <v>43964</v>
      </c>
    </row>
    <row r="12" spans="2:11" x14ac:dyDescent="0.3">
      <c r="B12" s="6" t="s">
        <v>26</v>
      </c>
      <c r="C12" s="22"/>
      <c r="D12" s="22"/>
      <c r="E12" s="22"/>
      <c r="F12" s="22"/>
      <c r="G12" s="22"/>
      <c r="H12" s="12">
        <f t="shared" si="0"/>
        <v>43964</v>
      </c>
    </row>
    <row r="13" spans="2:11" x14ac:dyDescent="0.3">
      <c r="B13" s="6" t="s">
        <v>22</v>
      </c>
      <c r="C13" s="23"/>
      <c r="D13" s="23"/>
      <c r="E13" s="23"/>
      <c r="F13" s="22"/>
      <c r="G13" s="23"/>
      <c r="H13" s="12">
        <f t="shared" si="0"/>
        <v>43964</v>
      </c>
      <c r="K13" s="4"/>
    </row>
    <row r="14" spans="2:11" x14ac:dyDescent="0.3">
      <c r="B14" s="6" t="s">
        <v>19</v>
      </c>
      <c r="C14" s="22"/>
      <c r="D14" s="22"/>
      <c r="E14" s="22"/>
      <c r="F14" s="22"/>
      <c r="G14" s="22"/>
      <c r="H14" s="12">
        <f t="shared" si="0"/>
        <v>43964</v>
      </c>
    </row>
    <row r="15" spans="2:11" x14ac:dyDescent="0.3">
      <c r="B15" s="6" t="s">
        <v>14</v>
      </c>
      <c r="C15" s="22"/>
      <c r="D15" s="22">
        <v>752000</v>
      </c>
      <c r="E15" s="22"/>
      <c r="F15" s="22"/>
      <c r="G15" s="22"/>
      <c r="H15" s="12">
        <f t="shared" si="0"/>
        <v>43964</v>
      </c>
    </row>
    <row r="16" spans="2:11" x14ac:dyDescent="0.3">
      <c r="B16" s="6" t="s">
        <v>24</v>
      </c>
      <c r="C16" s="22"/>
      <c r="D16" s="22"/>
      <c r="E16" s="22"/>
      <c r="F16" s="49"/>
      <c r="G16" s="22"/>
      <c r="H16" s="12">
        <f t="shared" si="0"/>
        <v>43964</v>
      </c>
    </row>
    <row r="17" spans="1:8" x14ac:dyDescent="0.3">
      <c r="B17" s="6" t="s">
        <v>21</v>
      </c>
      <c r="C17" s="22"/>
      <c r="D17" s="22"/>
      <c r="E17" s="22"/>
      <c r="F17" s="22"/>
      <c r="G17" s="22"/>
      <c r="H17" s="12">
        <f t="shared" si="0"/>
        <v>43964</v>
      </c>
    </row>
    <row r="18" spans="1:8" x14ac:dyDescent="0.3">
      <c r="B18" s="6" t="s">
        <v>18</v>
      </c>
      <c r="C18" s="22"/>
      <c r="D18" s="22"/>
      <c r="E18" s="22"/>
      <c r="F18" s="22"/>
      <c r="G18" s="22"/>
      <c r="H18" s="12">
        <f t="shared" si="0"/>
        <v>43964</v>
      </c>
    </row>
    <row r="19" spans="1:8" x14ac:dyDescent="0.3">
      <c r="B19" s="6" t="s">
        <v>16</v>
      </c>
      <c r="C19" s="22"/>
      <c r="D19" s="22"/>
      <c r="E19" s="22"/>
      <c r="F19" s="22"/>
      <c r="G19" s="22"/>
      <c r="H19" s="12">
        <f t="shared" si="0"/>
        <v>43964</v>
      </c>
    </row>
    <row r="20" spans="1:8" x14ac:dyDescent="0.3">
      <c r="B20" s="50" t="s">
        <v>27</v>
      </c>
      <c r="C20" s="51">
        <f>SUM(May13_2020[KSI_AGO])</f>
        <v>909000</v>
      </c>
      <c r="D20" s="51">
        <f>SUM(May13_2020[KSI_PMS])</f>
        <v>1469000</v>
      </c>
      <c r="E20" s="51">
        <f>SUM(May13_2020[BUIPE_AGO])</f>
        <v>951000</v>
      </c>
      <c r="F20" s="51">
        <f>SUM(May13_2020[BUIPE_PMS])</f>
        <v>0</v>
      </c>
      <c r="G20" s="51">
        <f>SUM(May13_2020[AKOSOMBO_AGO])</f>
        <v>516000</v>
      </c>
      <c r="H20" s="52"/>
    </row>
    <row r="21" spans="1:8" x14ac:dyDescent="0.3">
      <c r="B21" s="8"/>
      <c r="C21" s="24"/>
      <c r="D21" s="24"/>
      <c r="E21" s="24"/>
      <c r="F21" s="24"/>
      <c r="G21" s="24"/>
      <c r="H21"/>
    </row>
    <row r="22" spans="1:8" x14ac:dyDescent="0.3">
      <c r="B22" s="1" t="s">
        <v>6</v>
      </c>
      <c r="C22" s="1" t="s">
        <v>4</v>
      </c>
      <c r="D22" s="5">
        <f>SUMIF(May13_2020[[#Headers],[KSI_AGO]:[AKOSOMBO_AGO]],"*"&amp;C22,May13_2020[[#Totals],[KSI_AGO]:[AKOSOMBO_AGO]])</f>
        <v>2376000</v>
      </c>
      <c r="E22" s="1" t="s">
        <v>5</v>
      </c>
      <c r="F22" s="5">
        <f>SUMIF(May13_2020[[#Headers],[KSI_AGO]:[AKOSOMBO_AGO]],"*"&amp;E22,May13_2020[[#Totals],[KSI_AGO]:[AKOSOMBO_AGO]])</f>
        <v>1469000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8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0">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C11" sqref="C11"/>
    </sheetView>
  </sheetViews>
  <sheetFormatPr defaultColWidth="9.109375" defaultRowHeight="14.4" x14ac:dyDescent="0.3"/>
  <cols>
    <col min="1" max="1" width="6.88671875" style="1" customWidth="1"/>
    <col min="2" max="2" width="26.109375" style="1" customWidth="1"/>
    <col min="3" max="3" width="16.88671875" style="1" customWidth="1"/>
    <col min="4" max="4" width="15.5546875" style="1" customWidth="1"/>
    <col min="5" max="5" width="18.109375" style="1" customWidth="1"/>
    <col min="6" max="6" width="18.88671875" style="1" customWidth="1"/>
    <col min="7" max="7" width="28.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43965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43965</v>
      </c>
    </row>
    <row r="7" spans="2:11" x14ac:dyDescent="0.3">
      <c r="B7" s="6" t="s">
        <v>37</v>
      </c>
      <c r="C7" s="22"/>
      <c r="D7" s="22"/>
      <c r="E7" s="22"/>
      <c r="F7" s="22"/>
      <c r="G7" s="22"/>
      <c r="H7" s="67">
        <f>$G$3</f>
        <v>43965</v>
      </c>
    </row>
    <row r="8" spans="2:11" x14ac:dyDescent="0.3">
      <c r="B8" s="6" t="s">
        <v>17</v>
      </c>
      <c r="C8" s="22">
        <v>748000</v>
      </c>
      <c r="D8" s="22">
        <v>1111500</v>
      </c>
      <c r="E8" s="22"/>
      <c r="F8" s="22"/>
      <c r="G8" s="22">
        <v>531000</v>
      </c>
      <c r="H8" s="12">
        <f t="shared" si="0"/>
        <v>43965</v>
      </c>
    </row>
    <row r="9" spans="2:11" ht="15.6" x14ac:dyDescent="0.3">
      <c r="B9" s="34" t="s">
        <v>0</v>
      </c>
      <c r="C9" s="60">
        <v>594000</v>
      </c>
      <c r="D9" s="60">
        <v>428000</v>
      </c>
      <c r="E9" s="60">
        <v>594000</v>
      </c>
      <c r="F9" s="60">
        <v>644000</v>
      </c>
      <c r="G9" s="61"/>
      <c r="H9" s="12">
        <f t="shared" si="0"/>
        <v>43965</v>
      </c>
    </row>
    <row r="10" spans="2:11" x14ac:dyDescent="0.3">
      <c r="B10" s="6" t="s">
        <v>25</v>
      </c>
      <c r="C10" s="22"/>
      <c r="D10" s="22"/>
      <c r="E10" s="22"/>
      <c r="F10" s="22">
        <v>47000</v>
      </c>
      <c r="G10" s="22"/>
      <c r="H10" s="12">
        <f t="shared" si="0"/>
        <v>43965</v>
      </c>
    </row>
    <row r="11" spans="2:11" x14ac:dyDescent="0.3">
      <c r="B11" s="6" t="s">
        <v>15</v>
      </c>
      <c r="C11" s="22"/>
      <c r="D11" s="22"/>
      <c r="E11" s="22"/>
      <c r="F11" s="48"/>
      <c r="G11" s="22"/>
      <c r="H11" s="12">
        <f t="shared" si="0"/>
        <v>43965</v>
      </c>
    </row>
    <row r="12" spans="2:11" x14ac:dyDescent="0.3">
      <c r="B12" s="6" t="s">
        <v>26</v>
      </c>
      <c r="C12" s="22"/>
      <c r="D12" s="22"/>
      <c r="E12" s="22"/>
      <c r="F12" s="22"/>
      <c r="G12" s="22"/>
      <c r="H12" s="12">
        <f t="shared" si="0"/>
        <v>43965</v>
      </c>
    </row>
    <row r="13" spans="2:11" x14ac:dyDescent="0.3">
      <c r="B13" s="6" t="s">
        <v>22</v>
      </c>
      <c r="C13" s="23"/>
      <c r="D13" s="23"/>
      <c r="E13" s="23"/>
      <c r="F13" s="22"/>
      <c r="G13" s="23"/>
      <c r="H13" s="12">
        <f t="shared" si="0"/>
        <v>43965</v>
      </c>
      <c r="K13" s="4"/>
    </row>
    <row r="14" spans="2:11" x14ac:dyDescent="0.3">
      <c r="B14" s="6" t="s">
        <v>19</v>
      </c>
      <c r="C14" s="22"/>
      <c r="D14" s="22"/>
      <c r="E14" s="22"/>
      <c r="F14" s="22"/>
      <c r="G14" s="22"/>
      <c r="H14" s="12">
        <f t="shared" si="0"/>
        <v>43965</v>
      </c>
    </row>
    <row r="15" spans="2:11" x14ac:dyDescent="0.3">
      <c r="B15" s="6" t="s">
        <v>14</v>
      </c>
      <c r="C15" s="22"/>
      <c r="D15" s="22"/>
      <c r="E15" s="22"/>
      <c r="F15" s="22"/>
      <c r="G15" s="22"/>
      <c r="H15" s="12">
        <f t="shared" si="0"/>
        <v>43965</v>
      </c>
    </row>
    <row r="16" spans="2:11" x14ac:dyDescent="0.3">
      <c r="B16" s="6" t="s">
        <v>24</v>
      </c>
      <c r="C16" s="22"/>
      <c r="D16" s="22"/>
      <c r="E16" s="22"/>
      <c r="F16" s="49"/>
      <c r="G16" s="22"/>
      <c r="H16" s="12">
        <f t="shared" si="0"/>
        <v>43965</v>
      </c>
    </row>
    <row r="17" spans="1:8" x14ac:dyDescent="0.3">
      <c r="B17" s="6" t="s">
        <v>21</v>
      </c>
      <c r="C17" s="22"/>
      <c r="D17" s="22"/>
      <c r="E17" s="22"/>
      <c r="F17" s="22"/>
      <c r="G17" s="22"/>
      <c r="H17" s="12">
        <f t="shared" si="0"/>
        <v>43965</v>
      </c>
    </row>
    <row r="18" spans="1:8" x14ac:dyDescent="0.3">
      <c r="B18" s="6" t="s">
        <v>18</v>
      </c>
      <c r="C18" s="22"/>
      <c r="D18" s="22"/>
      <c r="E18" s="22"/>
      <c r="F18" s="22"/>
      <c r="G18" s="22"/>
      <c r="H18" s="12">
        <f t="shared" si="0"/>
        <v>43965</v>
      </c>
    </row>
    <row r="19" spans="1:8" x14ac:dyDescent="0.3">
      <c r="B19" s="6" t="s">
        <v>16</v>
      </c>
      <c r="C19" s="22"/>
      <c r="D19" s="22"/>
      <c r="E19" s="22"/>
      <c r="F19" s="22"/>
      <c r="G19" s="22"/>
      <c r="H19" s="12">
        <f t="shared" si="0"/>
        <v>43965</v>
      </c>
    </row>
    <row r="20" spans="1:8" x14ac:dyDescent="0.3">
      <c r="B20" s="50" t="s">
        <v>27</v>
      </c>
      <c r="C20" s="51">
        <f>SUM(May14_2020[KSI_AGO])</f>
        <v>1342000</v>
      </c>
      <c r="D20" s="51">
        <f>SUM(May14_2020[KSI_PMS])</f>
        <v>1539500</v>
      </c>
      <c r="E20" s="51">
        <f>SUM(May14_2020[BUIPE_AGO])</f>
        <v>594000</v>
      </c>
      <c r="F20" s="51">
        <f>SUM(May14_2020[BUIPE_PMS])</f>
        <v>691000</v>
      </c>
      <c r="G20" s="51">
        <f>SUM(May14_2020[AKOSOMBO_AGO])</f>
        <v>531000</v>
      </c>
      <c r="H20" s="52"/>
    </row>
    <row r="21" spans="1:8" x14ac:dyDescent="0.3">
      <c r="B21" s="8"/>
      <c r="C21" s="24"/>
      <c r="D21" s="24"/>
      <c r="E21" s="24"/>
      <c r="F21" s="24"/>
      <c r="G21" s="24"/>
      <c r="H21"/>
    </row>
    <row r="22" spans="1:8" x14ac:dyDescent="0.3">
      <c r="B22" s="1" t="s">
        <v>6</v>
      </c>
      <c r="C22" s="1" t="s">
        <v>4</v>
      </c>
      <c r="D22" s="5">
        <f>SUMIF(May14_2020[[#Headers],[KSI_AGO]:[AKOSOMBO_AGO]],"*"&amp;C22,May14_2020[[#Totals],[KSI_AGO]:[AKOSOMBO_AGO]])</f>
        <v>2467000</v>
      </c>
      <c r="E22" s="1" t="s">
        <v>5</v>
      </c>
      <c r="F22" s="5">
        <f>SUMIF(May14_2020[[#Headers],[KSI_AGO]:[AKOSOMBO_AGO]],"*"&amp;E22,May14_2020[[#Totals],[KSI_AGO]:[AKOSOMBO_AGO]])</f>
        <v>2230500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9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1">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F11" sqref="F11"/>
    </sheetView>
  </sheetViews>
  <sheetFormatPr defaultColWidth="9.109375" defaultRowHeight="14.4" x14ac:dyDescent="0.3"/>
  <cols>
    <col min="1" max="1" width="6.88671875" style="1" customWidth="1"/>
    <col min="2" max="2" width="26.109375" style="1" customWidth="1"/>
    <col min="3" max="3" width="16.5546875" style="1" customWidth="1"/>
    <col min="4" max="4" width="16" style="1" customWidth="1"/>
    <col min="5" max="5" width="18.44140625" style="1" bestFit="1" customWidth="1"/>
    <col min="6" max="6" width="20" style="1" customWidth="1"/>
    <col min="7" max="7" width="28.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43966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43966</v>
      </c>
    </row>
    <row r="7" spans="2:11" x14ac:dyDescent="0.3">
      <c r="B7" s="6" t="s">
        <v>37</v>
      </c>
      <c r="C7" s="22"/>
      <c r="D7" s="22"/>
      <c r="E7" s="22"/>
      <c r="F7" s="22"/>
      <c r="G7" s="22"/>
      <c r="H7" s="67">
        <f>$G$3</f>
        <v>43966</v>
      </c>
    </row>
    <row r="8" spans="2:11" x14ac:dyDescent="0.3">
      <c r="B8" s="6" t="s">
        <v>17</v>
      </c>
      <c r="C8" s="22">
        <v>477000</v>
      </c>
      <c r="D8" s="22">
        <v>734000</v>
      </c>
      <c r="E8" s="22"/>
      <c r="F8" s="22"/>
      <c r="G8" s="22">
        <v>378000</v>
      </c>
      <c r="H8" s="12">
        <f t="shared" si="0"/>
        <v>43966</v>
      </c>
    </row>
    <row r="9" spans="2:11" ht="15.6" x14ac:dyDescent="0.3">
      <c r="B9" s="34" t="s">
        <v>0</v>
      </c>
      <c r="C9" s="60">
        <v>53500</v>
      </c>
      <c r="D9" s="60">
        <v>108000</v>
      </c>
      <c r="E9" s="60">
        <v>374000</v>
      </c>
      <c r="F9" s="60"/>
      <c r="G9" s="61"/>
      <c r="H9" s="12">
        <f t="shared" si="0"/>
        <v>43966</v>
      </c>
    </row>
    <row r="10" spans="2:11" x14ac:dyDescent="0.3">
      <c r="B10" s="6" t="s">
        <v>25</v>
      </c>
      <c r="C10" s="22"/>
      <c r="D10" s="22"/>
      <c r="E10" s="22"/>
      <c r="F10" s="22"/>
      <c r="G10" s="49"/>
      <c r="H10" s="12">
        <f t="shared" si="0"/>
        <v>43966</v>
      </c>
    </row>
    <row r="11" spans="2:11" x14ac:dyDescent="0.3">
      <c r="B11" s="6" t="s">
        <v>15</v>
      </c>
      <c r="C11" s="22"/>
      <c r="D11" s="22">
        <v>47000</v>
      </c>
      <c r="E11" s="22"/>
      <c r="F11" s="48"/>
      <c r="G11" s="22"/>
      <c r="H11" s="12">
        <f t="shared" si="0"/>
        <v>43966</v>
      </c>
    </row>
    <row r="12" spans="2:11" x14ac:dyDescent="0.3">
      <c r="B12" s="6" t="s">
        <v>26</v>
      </c>
      <c r="C12" s="22"/>
      <c r="D12" s="22"/>
      <c r="E12" s="22">
        <v>104000</v>
      </c>
      <c r="F12" s="22"/>
      <c r="G12" s="22"/>
      <c r="H12" s="12">
        <f t="shared" si="0"/>
        <v>43966</v>
      </c>
    </row>
    <row r="13" spans="2:11" x14ac:dyDescent="0.3">
      <c r="B13" s="6" t="s">
        <v>22</v>
      </c>
      <c r="C13" s="23"/>
      <c r="D13" s="23"/>
      <c r="E13" s="23"/>
      <c r="F13" s="22"/>
      <c r="G13" s="23"/>
      <c r="H13" s="12">
        <f t="shared" si="0"/>
        <v>43966</v>
      </c>
      <c r="K13" s="4"/>
    </row>
    <row r="14" spans="2:11" x14ac:dyDescent="0.3">
      <c r="B14" s="6" t="s">
        <v>19</v>
      </c>
      <c r="C14" s="22"/>
      <c r="D14" s="22"/>
      <c r="E14" s="22"/>
      <c r="F14" s="22"/>
      <c r="G14" s="22"/>
      <c r="H14" s="12">
        <f t="shared" si="0"/>
        <v>43966</v>
      </c>
    </row>
    <row r="15" spans="2:11" x14ac:dyDescent="0.3">
      <c r="B15" s="6" t="s">
        <v>14</v>
      </c>
      <c r="C15" s="22"/>
      <c r="D15" s="22"/>
      <c r="E15" s="22">
        <v>756000</v>
      </c>
      <c r="F15" s="22"/>
      <c r="G15" s="22"/>
      <c r="H15" s="12">
        <f t="shared" si="0"/>
        <v>43966</v>
      </c>
    </row>
    <row r="16" spans="2:11" x14ac:dyDescent="0.3">
      <c r="B16" s="6" t="s">
        <v>24</v>
      </c>
      <c r="C16" s="22"/>
      <c r="D16" s="22"/>
      <c r="E16" s="22"/>
      <c r="F16" s="49"/>
      <c r="G16" s="22"/>
      <c r="H16" s="12">
        <f t="shared" si="0"/>
        <v>43966</v>
      </c>
    </row>
    <row r="17" spans="1:8" x14ac:dyDescent="0.3">
      <c r="B17" s="6" t="s">
        <v>21</v>
      </c>
      <c r="C17" s="22"/>
      <c r="D17" s="22">
        <v>45000</v>
      </c>
      <c r="E17" s="22"/>
      <c r="F17" s="22"/>
      <c r="G17" s="22"/>
      <c r="H17" s="12">
        <f t="shared" si="0"/>
        <v>43966</v>
      </c>
    </row>
    <row r="18" spans="1:8" x14ac:dyDescent="0.3">
      <c r="B18" s="6" t="s">
        <v>18</v>
      </c>
      <c r="C18" s="22"/>
      <c r="D18" s="22"/>
      <c r="E18" s="22"/>
      <c r="F18" s="22"/>
      <c r="G18" s="22"/>
      <c r="H18" s="12">
        <f t="shared" si="0"/>
        <v>43966</v>
      </c>
    </row>
    <row r="19" spans="1:8" x14ac:dyDescent="0.3">
      <c r="B19" s="6" t="s">
        <v>16</v>
      </c>
      <c r="C19" s="22"/>
      <c r="D19" s="22"/>
      <c r="E19" s="22"/>
      <c r="F19" s="22"/>
      <c r="G19" s="22"/>
      <c r="H19" s="12">
        <f t="shared" si="0"/>
        <v>43966</v>
      </c>
    </row>
    <row r="20" spans="1:8" x14ac:dyDescent="0.3">
      <c r="B20" s="50" t="s">
        <v>27</v>
      </c>
      <c r="C20" s="51">
        <f>SUM(May15_2020[KSI_AGO])</f>
        <v>530500</v>
      </c>
      <c r="D20" s="51">
        <f>SUM(May15_2020[KSI_PMS])</f>
        <v>934000</v>
      </c>
      <c r="E20" s="51">
        <f>SUM(May15_2020[BUIPE_AGO])</f>
        <v>1234000</v>
      </c>
      <c r="F20" s="51">
        <f>SUM(May15_2020[BUIPE_PMS])</f>
        <v>0</v>
      </c>
      <c r="G20" s="51">
        <f>SUM(May15_2020[AKOSOMBO_AGO])</f>
        <v>378000</v>
      </c>
      <c r="H20" s="63"/>
    </row>
    <row r="21" spans="1:8" x14ac:dyDescent="0.3">
      <c r="B21" s="8"/>
      <c r="C21" s="24"/>
      <c r="D21" s="24"/>
      <c r="E21" s="24"/>
      <c r="F21" s="24"/>
      <c r="G21" s="24"/>
      <c r="H21"/>
    </row>
    <row r="22" spans="1:8" x14ac:dyDescent="0.3">
      <c r="B22" s="1" t="s">
        <v>6</v>
      </c>
      <c r="C22" s="1" t="s">
        <v>4</v>
      </c>
      <c r="D22" s="5">
        <f>SUMIF(May15_2020[[#Headers],[KSI_AGO]:[AKOSOMBO_AGO]],"*"&amp;C22,May15_2020[[#Totals],[KSI_AGO]:[AKOSOMBO_AGO]])</f>
        <v>2142500</v>
      </c>
      <c r="E22" s="1" t="s">
        <v>5</v>
      </c>
      <c r="F22" s="5">
        <f>SUMIF(May15_2020[[#Headers],[KSI_AGO]:[AKOSOMBO_AGO]],"*"&amp;E22,May15_2020[[#Totals],[KSI_AGO]:[AKOSOMBO_AGO]])</f>
        <v>934000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A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2">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M29" sqref="M29"/>
    </sheetView>
  </sheetViews>
  <sheetFormatPr defaultColWidth="9.109375" defaultRowHeight="14.4" x14ac:dyDescent="0.3"/>
  <cols>
    <col min="1" max="1" width="6.88671875" style="1" customWidth="1"/>
    <col min="2" max="2" width="30" style="1" customWidth="1"/>
    <col min="3" max="3" width="15.109375" style="1" customWidth="1"/>
    <col min="4" max="4" width="15.33203125" style="1" customWidth="1"/>
    <col min="5" max="5" width="19.44140625" style="1" customWidth="1"/>
    <col min="6" max="6" width="16.44140625" style="1" customWidth="1"/>
    <col min="7" max="7" width="29.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43969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43969</v>
      </c>
    </row>
    <row r="7" spans="2:11" x14ac:dyDescent="0.3">
      <c r="B7" s="6" t="s">
        <v>37</v>
      </c>
      <c r="C7" s="22"/>
      <c r="D7" s="22"/>
      <c r="E7" s="22"/>
      <c r="F7" s="22"/>
      <c r="G7" s="22"/>
      <c r="H7" s="67">
        <f>$G$3</f>
        <v>43969</v>
      </c>
    </row>
    <row r="8" spans="2:11" x14ac:dyDescent="0.3">
      <c r="B8" s="6" t="s">
        <v>17</v>
      </c>
      <c r="C8" s="22">
        <v>846000</v>
      </c>
      <c r="D8" s="22"/>
      <c r="E8" s="22"/>
      <c r="F8" s="22"/>
      <c r="G8" s="22">
        <v>270000</v>
      </c>
      <c r="H8" s="12">
        <f t="shared" si="0"/>
        <v>43969</v>
      </c>
    </row>
    <row r="9" spans="2:11" ht="15.6" x14ac:dyDescent="0.3">
      <c r="B9" s="34" t="s">
        <v>0</v>
      </c>
      <c r="C9" s="60">
        <v>162000</v>
      </c>
      <c r="D9" s="60"/>
      <c r="E9" s="60">
        <v>108000</v>
      </c>
      <c r="F9" s="60"/>
      <c r="G9" s="61"/>
      <c r="H9" s="12">
        <f t="shared" si="0"/>
        <v>43969</v>
      </c>
    </row>
    <row r="10" spans="2:11" x14ac:dyDescent="0.3">
      <c r="B10" s="6" t="s">
        <v>25</v>
      </c>
      <c r="C10" s="22"/>
      <c r="D10" s="22"/>
      <c r="E10" s="22"/>
      <c r="F10" s="22"/>
      <c r="G10" s="22"/>
      <c r="H10" s="12">
        <f t="shared" si="0"/>
        <v>43969</v>
      </c>
    </row>
    <row r="11" spans="2:11" x14ac:dyDescent="0.3">
      <c r="B11" s="6" t="s">
        <v>15</v>
      </c>
      <c r="C11" s="22"/>
      <c r="D11" s="22"/>
      <c r="E11" s="22"/>
      <c r="F11" s="48"/>
      <c r="G11" s="22"/>
      <c r="H11" s="12">
        <f t="shared" si="0"/>
        <v>43969</v>
      </c>
    </row>
    <row r="12" spans="2:11" x14ac:dyDescent="0.3">
      <c r="B12" s="6" t="s">
        <v>26</v>
      </c>
      <c r="C12" s="22">
        <v>486000</v>
      </c>
      <c r="D12" s="22"/>
      <c r="E12" s="22">
        <v>108000</v>
      </c>
      <c r="F12" s="22"/>
      <c r="G12" s="22"/>
      <c r="H12" s="12">
        <f t="shared" si="0"/>
        <v>43969</v>
      </c>
    </row>
    <row r="13" spans="2:11" x14ac:dyDescent="0.3">
      <c r="B13" s="6" t="s">
        <v>22</v>
      </c>
      <c r="C13" s="23"/>
      <c r="D13" s="23"/>
      <c r="E13" s="23"/>
      <c r="F13" s="22"/>
      <c r="G13" s="23"/>
      <c r="H13" s="12">
        <f t="shared" si="0"/>
        <v>43969</v>
      </c>
      <c r="K13" s="4"/>
    </row>
    <row r="14" spans="2:11" x14ac:dyDescent="0.3">
      <c r="B14" s="6" t="s">
        <v>19</v>
      </c>
      <c r="C14" s="22"/>
      <c r="D14" s="22"/>
      <c r="E14" s="22"/>
      <c r="F14" s="22"/>
      <c r="G14" s="22"/>
      <c r="H14" s="12">
        <f t="shared" si="0"/>
        <v>43969</v>
      </c>
    </row>
    <row r="15" spans="2:11" x14ac:dyDescent="0.3">
      <c r="B15" s="6" t="s">
        <v>14</v>
      </c>
      <c r="C15" s="22"/>
      <c r="D15" s="22"/>
      <c r="E15" s="22">
        <v>108000</v>
      </c>
      <c r="F15" s="22"/>
      <c r="G15" s="22"/>
      <c r="H15" s="12">
        <f t="shared" si="0"/>
        <v>43969</v>
      </c>
    </row>
    <row r="16" spans="2:11" x14ac:dyDescent="0.3">
      <c r="B16" s="6" t="s">
        <v>24</v>
      </c>
      <c r="C16" s="22"/>
      <c r="D16" s="22"/>
      <c r="E16" s="22"/>
      <c r="F16" s="49"/>
      <c r="G16" s="22"/>
      <c r="H16" s="12">
        <f t="shared" si="0"/>
        <v>43969</v>
      </c>
    </row>
    <row r="17" spans="1:8" x14ac:dyDescent="0.3">
      <c r="B17" s="6" t="s">
        <v>21</v>
      </c>
      <c r="C17" s="22"/>
      <c r="D17" s="22"/>
      <c r="E17" s="22"/>
      <c r="F17" s="22"/>
      <c r="G17" s="22"/>
      <c r="H17" s="12">
        <f t="shared" si="0"/>
        <v>43969</v>
      </c>
    </row>
    <row r="18" spans="1:8" x14ac:dyDescent="0.3">
      <c r="B18" s="6" t="s">
        <v>18</v>
      </c>
      <c r="C18" s="22">
        <v>374000</v>
      </c>
      <c r="D18" s="22"/>
      <c r="E18" s="22">
        <v>216000</v>
      </c>
      <c r="F18" s="22"/>
      <c r="G18" s="22"/>
      <c r="H18" s="12">
        <f t="shared" si="0"/>
        <v>43969</v>
      </c>
    </row>
    <row r="19" spans="1:8" x14ac:dyDescent="0.3">
      <c r="B19" s="6" t="s">
        <v>16</v>
      </c>
      <c r="C19" s="22"/>
      <c r="D19" s="22"/>
      <c r="E19" s="22"/>
      <c r="F19" s="22"/>
      <c r="G19" s="22"/>
      <c r="H19" s="12">
        <f t="shared" si="0"/>
        <v>43969</v>
      </c>
    </row>
    <row r="20" spans="1:8" x14ac:dyDescent="0.3">
      <c r="B20" s="50" t="s">
        <v>27</v>
      </c>
      <c r="C20" s="51">
        <f>SUM(May18_2020[KSI_AGO])</f>
        <v>1868000</v>
      </c>
      <c r="D20" s="51">
        <f>SUM(May18_2020[KSI_PMS])</f>
        <v>0</v>
      </c>
      <c r="E20" s="51">
        <f>SUM(May18_2020[BUIPE_AGO])</f>
        <v>540000</v>
      </c>
      <c r="F20" s="51">
        <f>SUM(May18_2020[BUIPE_PMS])</f>
        <v>0</v>
      </c>
      <c r="G20" s="51">
        <f>SUM(May18_2020[AKOSOMBO_AGO])</f>
        <v>270000</v>
      </c>
      <c r="H20" s="52"/>
    </row>
    <row r="21" spans="1:8" x14ac:dyDescent="0.3">
      <c r="B21" s="8"/>
      <c r="C21" s="24"/>
      <c r="D21" s="24"/>
      <c r="E21" s="24"/>
      <c r="F21" s="24"/>
      <c r="G21" s="24"/>
      <c r="H21"/>
    </row>
    <row r="22" spans="1:8" x14ac:dyDescent="0.3">
      <c r="B22" s="1" t="s">
        <v>6</v>
      </c>
      <c r="C22" s="1" t="s">
        <v>4</v>
      </c>
      <c r="D22" s="5">
        <f>SUMIF(May18_2020[[#Headers],[KSI_AGO]:[AKOSOMBO_AGO]],"*"&amp;C22,May18_2020[[#Totals],[KSI_AGO]:[AKOSOMBO_AGO]])</f>
        <v>2678000</v>
      </c>
      <c r="E22" s="1" t="s">
        <v>5</v>
      </c>
      <c r="F22" s="5">
        <f>SUMIF(May18_2020[[#Headers],[KSI_AGO]:[AKOSOMBO_AGO]],"*"&amp;E22,May18_2020[[#Totals],[KSI_AGO]:[AKOSOMBO_AGO]])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B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3">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F10" sqref="F10"/>
    </sheetView>
  </sheetViews>
  <sheetFormatPr defaultColWidth="9.109375" defaultRowHeight="14.4" x14ac:dyDescent="0.3"/>
  <cols>
    <col min="1" max="1" width="6.88671875" style="1" customWidth="1"/>
    <col min="2" max="2" width="26.109375" style="1" customWidth="1"/>
    <col min="3" max="3" width="15.44140625" style="1" customWidth="1"/>
    <col min="4" max="4" width="15.33203125" style="1" customWidth="1"/>
    <col min="5" max="5" width="18.6640625" style="1" customWidth="1"/>
    <col min="6" max="6" width="19.88671875" style="1" customWidth="1"/>
    <col min="7" max="7" width="26.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43970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43970</v>
      </c>
    </row>
    <row r="7" spans="2:11" x14ac:dyDescent="0.3">
      <c r="B7" s="6" t="s">
        <v>37</v>
      </c>
      <c r="C7" s="22"/>
      <c r="D7" s="22"/>
      <c r="E7" s="22"/>
      <c r="F7" s="22"/>
      <c r="G7" s="22"/>
      <c r="H7" s="67">
        <f>$G$3</f>
        <v>43970</v>
      </c>
    </row>
    <row r="8" spans="2:11" x14ac:dyDescent="0.3">
      <c r="B8" s="6" t="s">
        <v>17</v>
      </c>
      <c r="C8" s="22">
        <v>809500</v>
      </c>
      <c r="D8" s="22"/>
      <c r="E8" s="22">
        <v>104000</v>
      </c>
      <c r="F8" s="22"/>
      <c r="G8" s="22"/>
      <c r="H8" s="12">
        <f t="shared" si="0"/>
        <v>43970</v>
      </c>
    </row>
    <row r="9" spans="2:11" ht="15.6" x14ac:dyDescent="0.3">
      <c r="B9" s="34" t="s">
        <v>0</v>
      </c>
      <c r="C9" s="60"/>
      <c r="D9" s="60"/>
      <c r="E9" s="60"/>
      <c r="F9" s="60"/>
      <c r="G9" s="61"/>
      <c r="H9" s="12">
        <f t="shared" si="0"/>
        <v>43970</v>
      </c>
    </row>
    <row r="10" spans="2:11" x14ac:dyDescent="0.3">
      <c r="B10" s="6" t="s">
        <v>25</v>
      </c>
      <c r="C10" s="22"/>
      <c r="D10" s="22"/>
      <c r="E10" s="22"/>
      <c r="F10" s="22"/>
      <c r="G10" s="22"/>
      <c r="H10" s="12">
        <f t="shared" si="0"/>
        <v>43970</v>
      </c>
    </row>
    <row r="11" spans="2:11" x14ac:dyDescent="0.3">
      <c r="B11" s="6" t="s">
        <v>15</v>
      </c>
      <c r="C11" s="22"/>
      <c r="D11" s="22"/>
      <c r="E11" s="22"/>
      <c r="F11" s="48"/>
      <c r="G11" s="22"/>
      <c r="H11" s="12">
        <f t="shared" si="0"/>
        <v>43970</v>
      </c>
    </row>
    <row r="12" spans="2:11" x14ac:dyDescent="0.3">
      <c r="B12" s="6" t="s">
        <v>26</v>
      </c>
      <c r="C12" s="22">
        <v>108000</v>
      </c>
      <c r="D12" s="22"/>
      <c r="E12" s="22"/>
      <c r="F12" s="22"/>
      <c r="G12" s="22"/>
      <c r="H12" s="12">
        <f t="shared" si="0"/>
        <v>43970</v>
      </c>
    </row>
    <row r="13" spans="2:11" x14ac:dyDescent="0.3">
      <c r="B13" s="6" t="s">
        <v>22</v>
      </c>
      <c r="C13" s="23"/>
      <c r="D13" s="23"/>
      <c r="E13" s="23"/>
      <c r="F13" s="22"/>
      <c r="G13" s="23"/>
      <c r="H13" s="12">
        <f t="shared" si="0"/>
        <v>43970</v>
      </c>
      <c r="K13" s="4"/>
    </row>
    <row r="14" spans="2:11" x14ac:dyDescent="0.3">
      <c r="B14" s="6" t="s">
        <v>19</v>
      </c>
      <c r="C14" s="22">
        <v>533000</v>
      </c>
      <c r="D14" s="22"/>
      <c r="E14" s="22">
        <v>747000</v>
      </c>
      <c r="F14" s="22"/>
      <c r="G14" s="22"/>
      <c r="H14" s="12">
        <f t="shared" si="0"/>
        <v>43970</v>
      </c>
    </row>
    <row r="15" spans="2:11" x14ac:dyDescent="0.3">
      <c r="B15" s="6" t="s">
        <v>14</v>
      </c>
      <c r="C15" s="22"/>
      <c r="D15" s="22"/>
      <c r="E15" s="22"/>
      <c r="F15" s="22"/>
      <c r="G15" s="22"/>
      <c r="H15" s="12">
        <f t="shared" si="0"/>
        <v>43970</v>
      </c>
    </row>
    <row r="16" spans="2:11" x14ac:dyDescent="0.3">
      <c r="B16" s="6" t="s">
        <v>24</v>
      </c>
      <c r="C16" s="22"/>
      <c r="D16" s="22"/>
      <c r="E16" s="22"/>
      <c r="F16" s="49"/>
      <c r="G16" s="22"/>
      <c r="H16" s="12">
        <f t="shared" si="0"/>
        <v>43970</v>
      </c>
    </row>
    <row r="17" spans="1:8" x14ac:dyDescent="0.3">
      <c r="B17" s="6" t="s">
        <v>21</v>
      </c>
      <c r="C17" s="22"/>
      <c r="D17" s="22"/>
      <c r="E17" s="22">
        <v>54000</v>
      </c>
      <c r="F17" s="22"/>
      <c r="G17" s="22"/>
      <c r="H17" s="12">
        <f t="shared" si="0"/>
        <v>43970</v>
      </c>
    </row>
    <row r="18" spans="1:8" x14ac:dyDescent="0.3">
      <c r="B18" s="6" t="s">
        <v>18</v>
      </c>
      <c r="C18" s="22"/>
      <c r="D18" s="22"/>
      <c r="E18" s="22">
        <v>162000</v>
      </c>
      <c r="F18" s="22"/>
      <c r="G18" s="22"/>
      <c r="H18" s="12">
        <f t="shared" si="0"/>
        <v>43970</v>
      </c>
    </row>
    <row r="19" spans="1:8" x14ac:dyDescent="0.3">
      <c r="B19" s="6" t="s">
        <v>16</v>
      </c>
      <c r="C19" s="22"/>
      <c r="D19" s="22"/>
      <c r="E19" s="22"/>
      <c r="F19" s="22"/>
      <c r="G19" s="22"/>
      <c r="H19" s="12">
        <f t="shared" si="0"/>
        <v>43970</v>
      </c>
    </row>
    <row r="20" spans="1:8" x14ac:dyDescent="0.3">
      <c r="B20" s="50" t="s">
        <v>27</v>
      </c>
      <c r="C20" s="51">
        <f>SUM(May19_2020[KSI_AGO])</f>
        <v>1450500</v>
      </c>
      <c r="D20" s="51">
        <f>SUM(May19_2020[KSI_PMS])</f>
        <v>0</v>
      </c>
      <c r="E20" s="51">
        <f>SUM(May19_2020[BUIPE_AGO])</f>
        <v>1067000</v>
      </c>
      <c r="F20" s="51">
        <f>SUM(May19_2020[BUIPE_PMS])</f>
        <v>0</v>
      </c>
      <c r="G20" s="51">
        <f>SUM(May19_2020[AKOSOMBO_AGO])</f>
        <v>0</v>
      </c>
      <c r="H20" s="52"/>
    </row>
    <row r="21" spans="1:8" x14ac:dyDescent="0.3">
      <c r="B21" s="8"/>
      <c r="C21" s="24"/>
      <c r="D21" s="24"/>
      <c r="E21" s="24"/>
      <c r="F21" s="24"/>
      <c r="G21" s="24"/>
      <c r="H21"/>
    </row>
    <row r="22" spans="1:8" x14ac:dyDescent="0.3">
      <c r="B22" s="1" t="s">
        <v>6</v>
      </c>
      <c r="C22" s="1" t="s">
        <v>4</v>
      </c>
      <c r="D22" s="5">
        <f>SUMIF(May19_2020[[#Headers],[KSI_AGO]:[AKOSOMBO_AGO]],"*"&amp;C22,May19_2020[[#Totals],[KSI_AGO]:[AKOSOMBO_AGO]])</f>
        <v>2517500</v>
      </c>
      <c r="E22" s="1" t="s">
        <v>5</v>
      </c>
      <c r="F22" s="5">
        <f>SUMIF(May19_2020[[#Headers],[KSI_AGO]:[AKOSOMBO_AGO]],"*"&amp;E22,May19_2020[[#Totals],[KSI_AGO]:[AKOSOMBO_AGO]])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C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4">
    <pageSetUpPr fitToPage="1"/>
  </sheetPr>
  <dimension ref="A1:K32"/>
  <sheetViews>
    <sheetView zoomScale="115" zoomScaleNormal="115" workbookViewId="0">
      <pane xSplit="1" ySplit="5" topLeftCell="E6" activePane="bottomRight" state="frozen"/>
      <selection activeCell="E3" sqref="E3"/>
      <selection pane="topRight" activeCell="E3" sqref="E3"/>
      <selection pane="bottomLeft" activeCell="E3" sqref="E3"/>
      <selection pane="bottomRight" activeCell="G20" sqref="G20"/>
    </sheetView>
  </sheetViews>
  <sheetFormatPr defaultColWidth="9.109375" defaultRowHeight="14.4" x14ac:dyDescent="0.3"/>
  <cols>
    <col min="1" max="1" width="6.88671875" style="1" customWidth="1"/>
    <col min="2" max="2" width="26.109375" style="1" customWidth="1"/>
    <col min="3" max="3" width="15.5546875" style="1" customWidth="1"/>
    <col min="4" max="4" width="16" style="1" customWidth="1"/>
    <col min="5" max="5" width="17.88671875" style="1" customWidth="1"/>
    <col min="6" max="6" width="18.33203125" style="1" customWidth="1"/>
    <col min="7" max="7" width="27.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43971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43971</v>
      </c>
    </row>
    <row r="7" spans="2:11" x14ac:dyDescent="0.3">
      <c r="B7" s="6" t="s">
        <v>37</v>
      </c>
      <c r="C7" s="22"/>
      <c r="D7" s="22"/>
      <c r="E7" s="22"/>
      <c r="F7" s="22"/>
      <c r="G7" s="22"/>
      <c r="H7" s="67">
        <f>$G$3</f>
        <v>43971</v>
      </c>
    </row>
    <row r="8" spans="2:11" x14ac:dyDescent="0.3">
      <c r="B8" s="6" t="s">
        <v>17</v>
      </c>
      <c r="C8" s="22">
        <v>2655000</v>
      </c>
      <c r="D8" s="22"/>
      <c r="E8" s="22">
        <v>45000</v>
      </c>
      <c r="F8" s="22"/>
      <c r="G8" s="22"/>
      <c r="H8" s="12">
        <f t="shared" si="0"/>
        <v>43971</v>
      </c>
    </row>
    <row r="9" spans="2:11" ht="15.6" x14ac:dyDescent="0.3">
      <c r="B9" s="34" t="s">
        <v>0</v>
      </c>
      <c r="C9" s="60">
        <v>142000</v>
      </c>
      <c r="D9" s="60"/>
      <c r="E9" s="60"/>
      <c r="F9" s="60"/>
      <c r="G9" s="61"/>
      <c r="H9" s="12">
        <f t="shared" si="0"/>
        <v>43971</v>
      </c>
    </row>
    <row r="10" spans="2:11" x14ac:dyDescent="0.3">
      <c r="B10" s="6" t="s">
        <v>25</v>
      </c>
      <c r="C10" s="22"/>
      <c r="D10" s="22"/>
      <c r="E10" s="22"/>
      <c r="F10" s="22"/>
      <c r="G10" s="22"/>
      <c r="H10" s="12">
        <f t="shared" si="0"/>
        <v>43971</v>
      </c>
    </row>
    <row r="11" spans="2:11" x14ac:dyDescent="0.3">
      <c r="B11" s="6" t="s">
        <v>15</v>
      </c>
      <c r="C11" s="22"/>
      <c r="D11" s="22"/>
      <c r="E11" s="22"/>
      <c r="F11" s="48"/>
      <c r="G11" s="22"/>
      <c r="H11" s="12">
        <f t="shared" si="0"/>
        <v>43971</v>
      </c>
    </row>
    <row r="12" spans="2:11" x14ac:dyDescent="0.3">
      <c r="B12" s="6" t="s">
        <v>26</v>
      </c>
      <c r="C12" s="22">
        <v>216000</v>
      </c>
      <c r="D12" s="22"/>
      <c r="E12" s="22"/>
      <c r="F12" s="22"/>
      <c r="G12" s="22"/>
      <c r="H12" s="12">
        <f t="shared" si="0"/>
        <v>43971</v>
      </c>
    </row>
    <row r="13" spans="2:11" x14ac:dyDescent="0.3">
      <c r="B13" s="6" t="s">
        <v>22</v>
      </c>
      <c r="C13" s="23"/>
      <c r="D13" s="23"/>
      <c r="E13" s="23"/>
      <c r="F13" s="22"/>
      <c r="G13" s="23"/>
      <c r="H13" s="12">
        <f t="shared" si="0"/>
        <v>43971</v>
      </c>
      <c r="K13" s="4"/>
    </row>
    <row r="14" spans="2:11" x14ac:dyDescent="0.3">
      <c r="B14" s="6" t="s">
        <v>19</v>
      </c>
      <c r="C14" s="22">
        <v>270000</v>
      </c>
      <c r="D14" s="22"/>
      <c r="E14" s="22">
        <v>54000</v>
      </c>
      <c r="F14" s="22"/>
      <c r="G14" s="22"/>
      <c r="H14" s="12">
        <f t="shared" si="0"/>
        <v>43971</v>
      </c>
    </row>
    <row r="15" spans="2:11" x14ac:dyDescent="0.3">
      <c r="B15" s="6" t="s">
        <v>14</v>
      </c>
      <c r="C15" s="22"/>
      <c r="D15" s="22"/>
      <c r="E15" s="22">
        <v>216000</v>
      </c>
      <c r="F15" s="22"/>
      <c r="G15" s="22"/>
      <c r="H15" s="12">
        <f t="shared" si="0"/>
        <v>43971</v>
      </c>
    </row>
    <row r="16" spans="2:11" x14ac:dyDescent="0.3">
      <c r="B16" s="6" t="s">
        <v>24</v>
      </c>
      <c r="C16" s="22"/>
      <c r="D16" s="22"/>
      <c r="E16" s="22"/>
      <c r="F16" s="49"/>
      <c r="G16" s="22"/>
      <c r="H16" s="12">
        <f t="shared" si="0"/>
        <v>43971</v>
      </c>
    </row>
    <row r="17" spans="1:8" x14ac:dyDescent="0.3">
      <c r="B17" s="6" t="s">
        <v>21</v>
      </c>
      <c r="C17" s="22"/>
      <c r="D17" s="22">
        <v>532000</v>
      </c>
      <c r="E17" s="22"/>
      <c r="F17" s="22">
        <v>365000</v>
      </c>
      <c r="G17" s="22"/>
      <c r="H17" s="12">
        <f t="shared" si="0"/>
        <v>43971</v>
      </c>
    </row>
    <row r="18" spans="1:8" x14ac:dyDescent="0.3">
      <c r="B18" s="6" t="s">
        <v>18</v>
      </c>
      <c r="C18" s="22"/>
      <c r="D18" s="22"/>
      <c r="E18" s="22">
        <v>54000</v>
      </c>
      <c r="F18" s="22"/>
      <c r="G18" s="22"/>
      <c r="H18" s="12">
        <f t="shared" si="0"/>
        <v>43971</v>
      </c>
    </row>
    <row r="19" spans="1:8" x14ac:dyDescent="0.3">
      <c r="B19" s="6" t="s">
        <v>16</v>
      </c>
      <c r="C19" s="22">
        <v>590000</v>
      </c>
      <c r="D19" s="22"/>
      <c r="E19" s="22">
        <v>263000</v>
      </c>
      <c r="F19" s="22"/>
      <c r="G19" s="22"/>
      <c r="H19" s="12">
        <f t="shared" si="0"/>
        <v>43971</v>
      </c>
    </row>
    <row r="20" spans="1:8" x14ac:dyDescent="0.3">
      <c r="B20" s="50" t="s">
        <v>27</v>
      </c>
      <c r="C20" s="51">
        <f>SUM(May20_2020[KSI_AGO])</f>
        <v>3873000</v>
      </c>
      <c r="D20" s="51">
        <f>SUM(May20_2020[KSI_PMS])</f>
        <v>532000</v>
      </c>
      <c r="E20" s="51">
        <f>SUM(May20_2020[BUIPE_AGO])</f>
        <v>632000</v>
      </c>
      <c r="F20" s="51">
        <f>SUM(May20_2020[BUIPE_PMS])</f>
        <v>365000</v>
      </c>
      <c r="G20" s="51">
        <f>SUM(May20_2020[AKOSOMBO_AGO])</f>
        <v>0</v>
      </c>
      <c r="H20" s="52"/>
    </row>
    <row r="21" spans="1:8" x14ac:dyDescent="0.3">
      <c r="B21" s="8"/>
      <c r="C21" s="24"/>
      <c r="D21" s="24"/>
      <c r="E21" s="24"/>
      <c r="F21" s="24"/>
      <c r="G21" s="24"/>
      <c r="H21"/>
    </row>
    <row r="22" spans="1:8" x14ac:dyDescent="0.3">
      <c r="B22" s="1" t="s">
        <v>6</v>
      </c>
      <c r="C22" s="1" t="s">
        <v>4</v>
      </c>
      <c r="D22" s="5">
        <f>SUMIF(May20_2020[[#Headers],[KSI_AGO]:[AKOSOMBO_AGO]],"*"&amp;C22,May20_2020[[#Totals],[KSI_AGO]:[AKOSOMBO_AGO]])</f>
        <v>4505000</v>
      </c>
      <c r="E22" s="1" t="s">
        <v>5</v>
      </c>
      <c r="F22" s="5">
        <f>SUMIF(May20_2020[[#Headers],[KSI_AGO]:[AKOSOMBO_AGO]],"*"&amp;E22,May20_2020[[#Totals],[KSI_AGO]:[AKOSOMBO_AGO]])</f>
        <v>897000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D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5">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G20" sqref="G20"/>
    </sheetView>
  </sheetViews>
  <sheetFormatPr defaultColWidth="9.109375" defaultRowHeight="14.4" x14ac:dyDescent="0.3"/>
  <cols>
    <col min="1" max="1" width="6.88671875" style="1" customWidth="1"/>
    <col min="2" max="2" width="26.109375" style="1" customWidth="1"/>
    <col min="3" max="3" width="14.5546875" style="1" customWidth="1"/>
    <col min="4" max="4" width="15.6640625" style="1" customWidth="1"/>
    <col min="5" max="5" width="18.6640625" style="1" customWidth="1"/>
    <col min="6" max="6" width="20" style="1" customWidth="1"/>
    <col min="7" max="7" width="30"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43972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43972</v>
      </c>
    </row>
    <row r="7" spans="2:11" x14ac:dyDescent="0.3">
      <c r="B7" s="6" t="s">
        <v>37</v>
      </c>
      <c r="C7" s="22"/>
      <c r="D7" s="22"/>
      <c r="E7" s="22"/>
      <c r="F7" s="22"/>
      <c r="G7" s="22"/>
      <c r="H7" s="67">
        <f>$G$3</f>
        <v>43972</v>
      </c>
    </row>
    <row r="8" spans="2:11" x14ac:dyDescent="0.3">
      <c r="B8" s="6" t="s">
        <v>17</v>
      </c>
      <c r="C8" s="22">
        <v>216000</v>
      </c>
      <c r="D8" s="22"/>
      <c r="E8" s="22"/>
      <c r="F8" s="22"/>
      <c r="G8" s="22"/>
      <c r="H8" s="12">
        <f t="shared" si="0"/>
        <v>43972</v>
      </c>
    </row>
    <row r="9" spans="2:11" ht="15.6" x14ac:dyDescent="0.3">
      <c r="B9" s="34" t="s">
        <v>0</v>
      </c>
      <c r="C9" s="60"/>
      <c r="D9" s="60"/>
      <c r="E9" s="60">
        <v>45000</v>
      </c>
      <c r="F9" s="60"/>
      <c r="G9" s="61"/>
      <c r="H9" s="12">
        <f t="shared" si="0"/>
        <v>43972</v>
      </c>
    </row>
    <row r="10" spans="2:11" x14ac:dyDescent="0.3">
      <c r="B10" s="6" t="s">
        <v>25</v>
      </c>
      <c r="C10" s="22"/>
      <c r="D10" s="22"/>
      <c r="E10" s="22"/>
      <c r="F10" s="22"/>
      <c r="G10" s="22"/>
      <c r="H10" s="12">
        <f t="shared" si="0"/>
        <v>43972</v>
      </c>
    </row>
    <row r="11" spans="2:11" x14ac:dyDescent="0.3">
      <c r="B11" s="6" t="s">
        <v>15</v>
      </c>
      <c r="C11" s="22"/>
      <c r="D11" s="22"/>
      <c r="E11" s="22"/>
      <c r="F11" s="48"/>
      <c r="G11" s="22"/>
      <c r="H11" s="12">
        <f t="shared" si="0"/>
        <v>43972</v>
      </c>
    </row>
    <row r="12" spans="2:11" x14ac:dyDescent="0.3">
      <c r="B12" s="6" t="s">
        <v>26</v>
      </c>
      <c r="C12" s="22"/>
      <c r="D12" s="22"/>
      <c r="E12" s="22"/>
      <c r="F12" s="22"/>
      <c r="G12" s="22"/>
      <c r="H12" s="12">
        <f t="shared" si="0"/>
        <v>43972</v>
      </c>
    </row>
    <row r="13" spans="2:11" x14ac:dyDescent="0.3">
      <c r="B13" s="6" t="s">
        <v>22</v>
      </c>
      <c r="C13" s="23"/>
      <c r="D13" s="23"/>
      <c r="E13" s="23"/>
      <c r="F13" s="22"/>
      <c r="G13" s="23"/>
      <c r="H13" s="12">
        <f t="shared" si="0"/>
        <v>43972</v>
      </c>
      <c r="K13" s="4"/>
    </row>
    <row r="14" spans="2:11" x14ac:dyDescent="0.3">
      <c r="B14" s="6" t="s">
        <v>19</v>
      </c>
      <c r="C14" s="22">
        <v>162000</v>
      </c>
      <c r="D14" s="22"/>
      <c r="E14" s="22">
        <v>427500</v>
      </c>
      <c r="F14" s="22"/>
      <c r="G14" s="22"/>
      <c r="H14" s="12">
        <f t="shared" si="0"/>
        <v>43972</v>
      </c>
    </row>
    <row r="15" spans="2:11" x14ac:dyDescent="0.3">
      <c r="B15" s="6" t="s">
        <v>14</v>
      </c>
      <c r="C15" s="22">
        <v>324000</v>
      </c>
      <c r="D15" s="22"/>
      <c r="E15" s="22">
        <v>486000</v>
      </c>
      <c r="F15" s="22"/>
      <c r="G15" s="22"/>
      <c r="H15" s="12">
        <f t="shared" si="0"/>
        <v>43972</v>
      </c>
    </row>
    <row r="16" spans="2:11" x14ac:dyDescent="0.3">
      <c r="B16" s="6" t="s">
        <v>24</v>
      </c>
      <c r="C16" s="22"/>
      <c r="D16" s="22"/>
      <c r="E16" s="22"/>
      <c r="F16" s="49"/>
      <c r="G16" s="22"/>
      <c r="H16" s="12">
        <f t="shared" si="0"/>
        <v>43972</v>
      </c>
    </row>
    <row r="17" spans="1:8" x14ac:dyDescent="0.3">
      <c r="B17" s="6" t="s">
        <v>21</v>
      </c>
      <c r="C17" s="22"/>
      <c r="D17" s="22">
        <v>1049000</v>
      </c>
      <c r="E17" s="22"/>
      <c r="F17" s="22"/>
      <c r="G17" s="22"/>
      <c r="H17" s="12">
        <f t="shared" si="0"/>
        <v>43972</v>
      </c>
    </row>
    <row r="18" spans="1:8" x14ac:dyDescent="0.3">
      <c r="B18" s="6" t="s">
        <v>18</v>
      </c>
      <c r="C18" s="22"/>
      <c r="D18" s="22"/>
      <c r="E18" s="22">
        <v>108000</v>
      </c>
      <c r="F18" s="22"/>
      <c r="G18" s="22"/>
      <c r="H18" s="12">
        <f t="shared" si="0"/>
        <v>43972</v>
      </c>
    </row>
    <row r="19" spans="1:8" x14ac:dyDescent="0.3">
      <c r="B19" s="6" t="s">
        <v>16</v>
      </c>
      <c r="C19" s="22">
        <v>158000</v>
      </c>
      <c r="D19" s="22"/>
      <c r="E19" s="22">
        <v>266000</v>
      </c>
      <c r="F19" s="22"/>
      <c r="G19" s="22"/>
      <c r="H19" s="12">
        <f t="shared" si="0"/>
        <v>43972</v>
      </c>
    </row>
    <row r="20" spans="1:8" x14ac:dyDescent="0.3">
      <c r="B20" s="50" t="s">
        <v>27</v>
      </c>
      <c r="C20" s="51">
        <f>SUM(May21_2020[KSI_AGO])</f>
        <v>860000</v>
      </c>
      <c r="D20" s="51">
        <f>SUM(May21_2020[KSI_PMS])</f>
        <v>1049000</v>
      </c>
      <c r="E20" s="51">
        <f>SUM(May21_2020[BUIPE_AGO])</f>
        <v>1332500</v>
      </c>
      <c r="F20" s="51">
        <f>SUM(May21_2020[BUIPE_PMS])</f>
        <v>0</v>
      </c>
      <c r="G20" s="51">
        <f>SUM(May21_2020[AKOSOMBO_AGO])</f>
        <v>0</v>
      </c>
      <c r="H20" s="52"/>
    </row>
    <row r="21" spans="1:8" x14ac:dyDescent="0.3">
      <c r="B21" s="8"/>
      <c r="C21" s="24"/>
      <c r="D21" s="24"/>
      <c r="E21" s="24"/>
      <c r="F21" s="24"/>
      <c r="G21" s="24"/>
      <c r="H21"/>
    </row>
    <row r="22" spans="1:8" x14ac:dyDescent="0.3">
      <c r="B22" s="1" t="s">
        <v>6</v>
      </c>
      <c r="C22" s="1" t="s">
        <v>4</v>
      </c>
      <c r="D22" s="5">
        <f>SUMIF(May21_2020[[#Headers],[KSI_AGO]:[AKOSOMBO_AGO]],"*"&amp;C22,May21_2020[[#Totals],[KSI_AGO]:[AKOSOMBO_AGO]])</f>
        <v>2192500</v>
      </c>
      <c r="E22" s="1" t="s">
        <v>5</v>
      </c>
      <c r="F22" s="5">
        <f>SUMIF(May21_2020[[#Headers],[KSI_AGO]:[AKOSOMBO_AGO]],"*"&amp;E22,May21_2020[[#Totals],[KSI_AGO]:[AKOSOMBO_AGO]])</f>
        <v>1049000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E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6">
    <pageSetUpPr fitToPage="1"/>
  </sheetPr>
  <dimension ref="A1:K32"/>
  <sheetViews>
    <sheetView zoomScale="90" zoomScaleNormal="90" workbookViewId="0">
      <pane xSplit="1" ySplit="5" topLeftCell="B6" activePane="bottomRight" state="frozen"/>
      <selection activeCell="E3" sqref="E3"/>
      <selection pane="topRight" activeCell="E3" sqref="E3"/>
      <selection pane="bottomLeft" activeCell="E3" sqref="E3"/>
      <selection pane="bottomRight" activeCell="H19" sqref="H19"/>
    </sheetView>
  </sheetViews>
  <sheetFormatPr defaultColWidth="9.109375" defaultRowHeight="14.4" x14ac:dyDescent="0.3"/>
  <cols>
    <col min="1" max="1" width="6.88671875" style="1" customWidth="1"/>
    <col min="2" max="2" width="26.109375" style="1" customWidth="1"/>
    <col min="3" max="3" width="16.109375" style="1" customWidth="1"/>
    <col min="4" max="4" width="15.88671875" style="1" customWidth="1"/>
    <col min="5" max="5" width="20" style="1" customWidth="1"/>
    <col min="6" max="6" width="18.6640625" style="1" customWidth="1"/>
    <col min="7" max="7" width="27.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43973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43973</v>
      </c>
    </row>
    <row r="7" spans="2:11" x14ac:dyDescent="0.3">
      <c r="B7" s="6" t="s">
        <v>37</v>
      </c>
      <c r="C7" s="22"/>
      <c r="D7" s="22"/>
      <c r="E7" s="22"/>
      <c r="F7" s="22"/>
      <c r="G7" s="22"/>
      <c r="H7" s="67">
        <f>$G$3</f>
        <v>43973</v>
      </c>
    </row>
    <row r="8" spans="2:11" x14ac:dyDescent="0.3">
      <c r="B8" s="6" t="s">
        <v>17</v>
      </c>
      <c r="C8" s="22">
        <v>324000</v>
      </c>
      <c r="D8" s="22"/>
      <c r="E8" s="22"/>
      <c r="F8" s="22"/>
      <c r="G8" s="22"/>
      <c r="H8" s="12">
        <f t="shared" si="0"/>
        <v>43973</v>
      </c>
    </row>
    <row r="9" spans="2:11" ht="15.6" x14ac:dyDescent="0.3">
      <c r="B9" s="34" t="s">
        <v>0</v>
      </c>
      <c r="C9" s="60"/>
      <c r="D9" s="60">
        <v>629000</v>
      </c>
      <c r="E9" s="60"/>
      <c r="F9" s="60">
        <v>535000</v>
      </c>
      <c r="G9" s="61"/>
      <c r="H9" s="12">
        <f t="shared" si="0"/>
        <v>43973</v>
      </c>
    </row>
    <row r="10" spans="2:11" x14ac:dyDescent="0.3">
      <c r="B10" s="6" t="s">
        <v>25</v>
      </c>
      <c r="C10" s="22"/>
      <c r="D10" s="22"/>
      <c r="E10" s="22"/>
      <c r="F10" s="22"/>
      <c r="G10" s="22"/>
      <c r="H10" s="12">
        <f t="shared" si="0"/>
        <v>43973</v>
      </c>
    </row>
    <row r="11" spans="2:11" x14ac:dyDescent="0.3">
      <c r="B11" s="6" t="s">
        <v>15</v>
      </c>
      <c r="C11" s="22"/>
      <c r="D11" s="22"/>
      <c r="E11" s="22"/>
      <c r="F11" s="48"/>
      <c r="G11" s="22"/>
      <c r="H11" s="12">
        <f t="shared" si="0"/>
        <v>43973</v>
      </c>
    </row>
    <row r="12" spans="2:11" x14ac:dyDescent="0.3">
      <c r="B12" s="6" t="s">
        <v>26</v>
      </c>
      <c r="C12" s="22">
        <v>45000</v>
      </c>
      <c r="D12" s="22"/>
      <c r="E12" s="22"/>
      <c r="F12" s="22"/>
      <c r="G12" s="22"/>
      <c r="H12" s="12">
        <f t="shared" si="0"/>
        <v>43973</v>
      </c>
    </row>
    <row r="13" spans="2:11" x14ac:dyDescent="0.3">
      <c r="B13" s="6" t="s">
        <v>22</v>
      </c>
      <c r="C13" s="23"/>
      <c r="D13" s="23"/>
      <c r="E13" s="23"/>
      <c r="F13" s="22"/>
      <c r="G13" s="23"/>
      <c r="H13" s="12">
        <f t="shared" si="0"/>
        <v>43973</v>
      </c>
      <c r="K13" s="4"/>
    </row>
    <row r="14" spans="2:11" x14ac:dyDescent="0.3">
      <c r="B14" s="6" t="s">
        <v>19</v>
      </c>
      <c r="C14" s="22">
        <v>427000</v>
      </c>
      <c r="D14" s="22"/>
      <c r="E14" s="22">
        <v>270000</v>
      </c>
      <c r="F14" s="22"/>
      <c r="G14" s="22"/>
      <c r="H14" s="12">
        <f t="shared" si="0"/>
        <v>43973</v>
      </c>
    </row>
    <row r="15" spans="2:11" x14ac:dyDescent="0.3">
      <c r="B15" s="6" t="s">
        <v>14</v>
      </c>
      <c r="C15" s="22">
        <v>455000</v>
      </c>
      <c r="D15" s="22">
        <v>50000</v>
      </c>
      <c r="E15" s="22">
        <v>478000</v>
      </c>
      <c r="F15" s="22"/>
      <c r="G15" s="22"/>
      <c r="H15" s="12">
        <f t="shared" si="0"/>
        <v>43973</v>
      </c>
    </row>
    <row r="16" spans="2:11" x14ac:dyDescent="0.3">
      <c r="B16" s="6" t="s">
        <v>24</v>
      </c>
      <c r="C16" s="22"/>
      <c r="D16" s="22"/>
      <c r="E16" s="22"/>
      <c r="F16" s="49"/>
      <c r="G16" s="22"/>
      <c r="H16" s="12">
        <f t="shared" si="0"/>
        <v>43973</v>
      </c>
    </row>
    <row r="17" spans="1:8" x14ac:dyDescent="0.3">
      <c r="B17" s="6" t="s">
        <v>21</v>
      </c>
      <c r="C17" s="22"/>
      <c r="D17" s="22">
        <v>216000</v>
      </c>
      <c r="E17" s="22"/>
      <c r="F17" s="22"/>
      <c r="G17" s="22"/>
      <c r="H17" s="12">
        <f t="shared" si="0"/>
        <v>43973</v>
      </c>
    </row>
    <row r="18" spans="1:8" x14ac:dyDescent="0.3">
      <c r="B18" s="6" t="s">
        <v>18</v>
      </c>
      <c r="C18" s="22"/>
      <c r="D18" s="22"/>
      <c r="E18" s="22"/>
      <c r="F18" s="22"/>
      <c r="G18" s="22"/>
      <c r="H18" s="12">
        <f t="shared" si="0"/>
        <v>43973</v>
      </c>
    </row>
    <row r="19" spans="1:8" x14ac:dyDescent="0.3">
      <c r="B19" s="6" t="s">
        <v>16</v>
      </c>
      <c r="C19" s="22">
        <v>162000</v>
      </c>
      <c r="D19" s="22"/>
      <c r="E19" s="22">
        <v>162000</v>
      </c>
      <c r="F19" s="22"/>
      <c r="G19" s="22"/>
      <c r="H19" s="12">
        <f t="shared" si="0"/>
        <v>43973</v>
      </c>
    </row>
    <row r="20" spans="1:8" x14ac:dyDescent="0.3">
      <c r="B20" s="50" t="s">
        <v>27</v>
      </c>
      <c r="C20" s="51">
        <f>SUM(May22_2020[KSI_AGO])</f>
        <v>1413000</v>
      </c>
      <c r="D20" s="51">
        <f>SUM(May22_2020[KSI_PMS])</f>
        <v>895000</v>
      </c>
      <c r="E20" s="51">
        <f>SUM(May22_2020[BUIPE_AGO])</f>
        <v>910000</v>
      </c>
      <c r="F20" s="51">
        <f>SUM(May22_2020[BUIPE_PMS])</f>
        <v>535000</v>
      </c>
      <c r="G20" s="51">
        <f>SUM(May22_2020[AKOSOMBO_AGO])</f>
        <v>0</v>
      </c>
      <c r="H20" s="52"/>
    </row>
    <row r="21" spans="1:8" x14ac:dyDescent="0.3">
      <c r="B21" s="8"/>
      <c r="C21" s="24"/>
      <c r="D21" s="24"/>
      <c r="E21" s="24"/>
      <c r="F21" s="24"/>
      <c r="G21" s="24"/>
      <c r="H21"/>
    </row>
    <row r="22" spans="1:8" x14ac:dyDescent="0.3">
      <c r="B22" s="1" t="s">
        <v>6</v>
      </c>
      <c r="C22" s="1" t="s">
        <v>4</v>
      </c>
      <c r="D22" s="5">
        <f>SUMIF(May22_2020[[#Headers],[KSI_AGO]:[AKOSOMBO_AGO]],"*"&amp;C22,May22_2020[[#Totals],[KSI_AGO]:[AKOSOMBO_AGO]])</f>
        <v>2323000</v>
      </c>
      <c r="E22" s="1" t="s">
        <v>5</v>
      </c>
      <c r="F22" s="5">
        <f>SUMIF(May22_2020[[#Headers],[KSI_AGO]:[AKOSOMBO_AGO]],"*"&amp;E22,May22_2020[[#Totals],[KSI_AGO]:[AKOSOMBO_AGO]])</f>
        <v>1430000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5F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7">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F8" sqref="F8"/>
    </sheetView>
  </sheetViews>
  <sheetFormatPr defaultColWidth="9.109375" defaultRowHeight="14.4" x14ac:dyDescent="0.3"/>
  <cols>
    <col min="1" max="1" width="6.88671875" style="1" customWidth="1"/>
    <col min="2" max="2" width="26.109375" style="1" customWidth="1"/>
    <col min="3" max="3" width="16.109375" style="1" customWidth="1"/>
    <col min="4" max="4" width="15.88671875" style="1" customWidth="1"/>
    <col min="5" max="5" width="20" style="1" customWidth="1"/>
    <col min="6" max="6" width="18.6640625" style="1" customWidth="1"/>
    <col min="7" max="7" width="27.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43977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43977</v>
      </c>
    </row>
    <row r="7" spans="2:11" x14ac:dyDescent="0.3">
      <c r="B7" s="6" t="s">
        <v>37</v>
      </c>
      <c r="C7" s="22"/>
      <c r="D7" s="22"/>
      <c r="E7" s="22"/>
      <c r="F7" s="22"/>
      <c r="G7" s="22"/>
      <c r="H7" s="67">
        <f>$G$3</f>
        <v>43977</v>
      </c>
    </row>
    <row r="8" spans="2:11" x14ac:dyDescent="0.3">
      <c r="B8" s="6" t="s">
        <v>17</v>
      </c>
      <c r="C8" s="22">
        <v>158000</v>
      </c>
      <c r="D8" s="22"/>
      <c r="E8" s="22"/>
      <c r="F8" s="22"/>
      <c r="G8" s="22"/>
      <c r="H8" s="12">
        <f t="shared" si="0"/>
        <v>43977</v>
      </c>
    </row>
    <row r="9" spans="2:11" ht="15.6" x14ac:dyDescent="0.3">
      <c r="B9" s="34" t="s">
        <v>0</v>
      </c>
      <c r="C9" s="60"/>
      <c r="D9" s="60">
        <v>590000</v>
      </c>
      <c r="E9" s="60"/>
      <c r="F9" s="60">
        <v>486000</v>
      </c>
      <c r="G9" s="61"/>
      <c r="H9" s="12">
        <f t="shared" si="0"/>
        <v>43977</v>
      </c>
    </row>
    <row r="10" spans="2:11" x14ac:dyDescent="0.3">
      <c r="B10" s="6" t="s">
        <v>25</v>
      </c>
      <c r="C10" s="22"/>
      <c r="D10" s="22"/>
      <c r="E10" s="22"/>
      <c r="F10" s="22"/>
      <c r="G10" s="22"/>
      <c r="H10" s="12">
        <f t="shared" si="0"/>
        <v>43977</v>
      </c>
    </row>
    <row r="11" spans="2:11" x14ac:dyDescent="0.3">
      <c r="B11" s="6" t="s">
        <v>15</v>
      </c>
      <c r="C11" s="22"/>
      <c r="D11" s="22"/>
      <c r="E11" s="22"/>
      <c r="F11" s="48"/>
      <c r="G11" s="22"/>
      <c r="H11" s="12">
        <f t="shared" si="0"/>
        <v>43977</v>
      </c>
    </row>
    <row r="12" spans="2:11" x14ac:dyDescent="0.3">
      <c r="B12" s="6" t="s">
        <v>26</v>
      </c>
      <c r="C12" s="22"/>
      <c r="D12" s="22"/>
      <c r="E12" s="22"/>
      <c r="F12" s="22"/>
      <c r="G12" s="22"/>
      <c r="H12" s="12">
        <f t="shared" si="0"/>
        <v>43977</v>
      </c>
    </row>
    <row r="13" spans="2:11" x14ac:dyDescent="0.3">
      <c r="B13" s="6" t="s">
        <v>22</v>
      </c>
      <c r="C13" s="23"/>
      <c r="D13" s="23"/>
      <c r="E13" s="23"/>
      <c r="F13" s="22"/>
      <c r="G13" s="23"/>
      <c r="H13" s="12">
        <f t="shared" si="0"/>
        <v>43977</v>
      </c>
      <c r="K13" s="4"/>
    </row>
    <row r="14" spans="2:11" x14ac:dyDescent="0.3">
      <c r="B14" s="6" t="s">
        <v>19</v>
      </c>
      <c r="C14" s="22">
        <v>262000</v>
      </c>
      <c r="D14" s="22"/>
      <c r="E14" s="22"/>
      <c r="F14" s="22"/>
      <c r="G14" s="22"/>
      <c r="H14" s="12">
        <f t="shared" si="0"/>
        <v>43977</v>
      </c>
    </row>
    <row r="15" spans="2:11" x14ac:dyDescent="0.3">
      <c r="B15" s="6" t="s">
        <v>14</v>
      </c>
      <c r="C15" s="22">
        <v>162000</v>
      </c>
      <c r="D15" s="22">
        <v>683000</v>
      </c>
      <c r="E15" s="22">
        <v>263000</v>
      </c>
      <c r="F15" s="22">
        <v>378000</v>
      </c>
      <c r="G15" s="22"/>
      <c r="H15" s="12">
        <f t="shared" si="0"/>
        <v>43977</v>
      </c>
    </row>
    <row r="16" spans="2:11" x14ac:dyDescent="0.3">
      <c r="B16" s="6" t="s">
        <v>24</v>
      </c>
      <c r="C16" s="22">
        <v>540000</v>
      </c>
      <c r="D16" s="22"/>
      <c r="E16" s="22">
        <v>378000</v>
      </c>
      <c r="F16" s="49"/>
      <c r="G16" s="22"/>
      <c r="H16" s="12">
        <f t="shared" si="0"/>
        <v>43977</v>
      </c>
    </row>
    <row r="17" spans="1:8" x14ac:dyDescent="0.3">
      <c r="B17" s="6" t="s">
        <v>21</v>
      </c>
      <c r="C17" s="22"/>
      <c r="D17" s="22"/>
      <c r="E17" s="22"/>
      <c r="F17" s="22">
        <v>94000</v>
      </c>
      <c r="G17" s="22"/>
      <c r="H17" s="12">
        <f t="shared" si="0"/>
        <v>43977</v>
      </c>
    </row>
    <row r="18" spans="1:8" x14ac:dyDescent="0.3">
      <c r="B18" s="6" t="s">
        <v>18</v>
      </c>
      <c r="C18" s="22"/>
      <c r="D18" s="22"/>
      <c r="E18" s="22"/>
      <c r="F18" s="22"/>
      <c r="G18" s="22"/>
      <c r="H18" s="12">
        <f t="shared" si="0"/>
        <v>43977</v>
      </c>
    </row>
    <row r="19" spans="1:8" x14ac:dyDescent="0.3">
      <c r="B19" s="6" t="s">
        <v>16</v>
      </c>
      <c r="C19" s="22"/>
      <c r="D19" s="22"/>
      <c r="E19" s="22"/>
      <c r="F19" s="22"/>
      <c r="G19" s="22"/>
      <c r="H19" s="12">
        <f t="shared" si="0"/>
        <v>43977</v>
      </c>
    </row>
    <row r="20" spans="1:8" x14ac:dyDescent="0.3">
      <c r="B20" s="50" t="s">
        <v>27</v>
      </c>
      <c r="C20" s="51">
        <f>SUM(May26_2020[KSI_AGO])</f>
        <v>1122000</v>
      </c>
      <c r="D20" s="51">
        <f>SUM(May26_2020[KSI_PMS])</f>
        <v>1273000</v>
      </c>
      <c r="E20" s="51">
        <f>SUM(May26_2020[BUIPE_AGO])</f>
        <v>641000</v>
      </c>
      <c r="F20" s="51">
        <f>SUM(May26_2020[BUIPE_PMS])</f>
        <v>958000</v>
      </c>
      <c r="G20" s="51">
        <f>SUM(May26_2020[AKOSOMBO_AGO])</f>
        <v>0</v>
      </c>
      <c r="H20" s="52"/>
    </row>
    <row r="21" spans="1:8" x14ac:dyDescent="0.3">
      <c r="B21" s="8"/>
      <c r="C21" s="24"/>
      <c r="D21" s="24"/>
      <c r="E21" s="24"/>
      <c r="F21" s="24"/>
      <c r="G21" s="24"/>
      <c r="H21"/>
    </row>
    <row r="22" spans="1:8" x14ac:dyDescent="0.3">
      <c r="B22" s="1" t="s">
        <v>6</v>
      </c>
      <c r="C22" s="1" t="s">
        <v>4</v>
      </c>
      <c r="D22" s="5">
        <f>SUMIF(May26_2020[[#Headers],[KSI_AGO]:[AKOSOMBO_AGO]],"*"&amp;C22,May26_2020[[#Totals],[KSI_AGO]:[AKOSOMBO_AGO]])</f>
        <v>1763000</v>
      </c>
      <c r="E22" s="1" t="s">
        <v>5</v>
      </c>
      <c r="F22" s="5">
        <f>SUMIF(May26_2020[[#Headers],[KSI_AGO]:[AKOSOMBO_AGO]],"*"&amp;E22,May26_2020[[#Totals],[KSI_AGO]:[AKOSOMBO_AGO]])</f>
        <v>2231000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0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98">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H20" sqref="H20"/>
    </sheetView>
  </sheetViews>
  <sheetFormatPr defaultColWidth="9.109375" defaultRowHeight="14.4" x14ac:dyDescent="0.3"/>
  <cols>
    <col min="1" max="1" width="6.88671875" style="1" customWidth="1"/>
    <col min="2" max="2" width="26.109375" style="1" customWidth="1"/>
    <col min="3" max="3" width="16.109375" style="1" customWidth="1"/>
    <col min="4" max="4" width="15.88671875" style="1" customWidth="1"/>
    <col min="5" max="5" width="20" style="1" customWidth="1"/>
    <col min="6" max="6" width="18.6640625" style="1" customWidth="1"/>
    <col min="7" max="7" width="27.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43978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43978</v>
      </c>
    </row>
    <row r="7" spans="2:11" x14ac:dyDescent="0.3">
      <c r="B7" s="6" t="s">
        <v>37</v>
      </c>
      <c r="C7" s="22"/>
      <c r="D7" s="22"/>
      <c r="E7" s="22"/>
      <c r="F7" s="22"/>
      <c r="G7" s="22"/>
      <c r="H7" s="67">
        <f>$G$3</f>
        <v>43978</v>
      </c>
    </row>
    <row r="8" spans="2:11" x14ac:dyDescent="0.3">
      <c r="B8" s="6" t="s">
        <v>17</v>
      </c>
      <c r="C8" s="22"/>
      <c r="D8" s="22"/>
      <c r="E8" s="22"/>
      <c r="F8" s="22"/>
      <c r="G8" s="22"/>
      <c r="H8" s="12">
        <f t="shared" si="0"/>
        <v>43978</v>
      </c>
    </row>
    <row r="9" spans="2:11" ht="15.6" x14ac:dyDescent="0.3">
      <c r="B9" s="34" t="s">
        <v>0</v>
      </c>
      <c r="C9" s="60"/>
      <c r="D9" s="60">
        <v>216000</v>
      </c>
      <c r="E9" s="60"/>
      <c r="F9" s="60">
        <v>432000</v>
      </c>
      <c r="G9" s="61"/>
      <c r="H9" s="12">
        <f t="shared" si="0"/>
        <v>43978</v>
      </c>
    </row>
    <row r="10" spans="2:11" x14ac:dyDescent="0.3">
      <c r="B10" s="6" t="s">
        <v>25</v>
      </c>
      <c r="C10" s="22"/>
      <c r="D10" s="22">
        <v>45000</v>
      </c>
      <c r="E10" s="22"/>
      <c r="F10" s="22"/>
      <c r="G10" s="22"/>
      <c r="H10" s="12">
        <f t="shared" si="0"/>
        <v>43978</v>
      </c>
    </row>
    <row r="11" spans="2:11" x14ac:dyDescent="0.3">
      <c r="B11" s="6" t="s">
        <v>15</v>
      </c>
      <c r="C11" s="22"/>
      <c r="D11" s="22">
        <v>54000</v>
      </c>
      <c r="E11" s="22"/>
      <c r="F11" s="48">
        <v>162000</v>
      </c>
      <c r="G11" s="22"/>
      <c r="H11" s="12">
        <f t="shared" si="0"/>
        <v>43978</v>
      </c>
    </row>
    <row r="12" spans="2:11" x14ac:dyDescent="0.3">
      <c r="B12" s="6" t="s">
        <v>26</v>
      </c>
      <c r="C12" s="22"/>
      <c r="D12" s="22"/>
      <c r="E12" s="22"/>
      <c r="F12" s="22"/>
      <c r="G12" s="22"/>
      <c r="H12" s="12">
        <f t="shared" si="0"/>
        <v>43978</v>
      </c>
    </row>
    <row r="13" spans="2:11" x14ac:dyDescent="0.3">
      <c r="B13" s="6" t="s">
        <v>22</v>
      </c>
      <c r="C13" s="23"/>
      <c r="D13" s="23"/>
      <c r="E13" s="23"/>
      <c r="F13" s="22"/>
      <c r="G13" s="23"/>
      <c r="H13" s="12">
        <f t="shared" si="0"/>
        <v>43978</v>
      </c>
      <c r="K13" s="4"/>
    </row>
    <row r="14" spans="2:11" x14ac:dyDescent="0.3">
      <c r="B14" s="6" t="s">
        <v>19</v>
      </c>
      <c r="C14" s="22"/>
      <c r="D14" s="22"/>
      <c r="E14" s="22"/>
      <c r="F14" s="22"/>
      <c r="G14" s="22"/>
      <c r="H14" s="12">
        <f t="shared" si="0"/>
        <v>43978</v>
      </c>
    </row>
    <row r="15" spans="2:11" x14ac:dyDescent="0.3">
      <c r="B15" s="6" t="s">
        <v>14</v>
      </c>
      <c r="C15" s="22"/>
      <c r="D15" s="22">
        <v>923000</v>
      </c>
      <c r="E15" s="22">
        <v>257000</v>
      </c>
      <c r="F15" s="22">
        <v>482000</v>
      </c>
      <c r="G15" s="22"/>
      <c r="H15" s="12">
        <f t="shared" si="0"/>
        <v>43978</v>
      </c>
    </row>
    <row r="16" spans="2:11" x14ac:dyDescent="0.3">
      <c r="B16" s="6" t="s">
        <v>24</v>
      </c>
      <c r="C16" s="22"/>
      <c r="D16" s="22"/>
      <c r="E16" s="22">
        <v>108000</v>
      </c>
      <c r="F16" s="49"/>
      <c r="G16" s="22"/>
      <c r="H16" s="12">
        <f t="shared" si="0"/>
        <v>43978</v>
      </c>
    </row>
    <row r="17" spans="1:8" x14ac:dyDescent="0.3">
      <c r="B17" s="6" t="s">
        <v>21</v>
      </c>
      <c r="C17" s="22"/>
      <c r="D17" s="22"/>
      <c r="E17" s="22"/>
      <c r="F17" s="22"/>
      <c r="G17" s="22"/>
      <c r="H17" s="12">
        <f t="shared" si="0"/>
        <v>43978</v>
      </c>
    </row>
    <row r="18" spans="1:8" x14ac:dyDescent="0.3">
      <c r="B18" s="6" t="s">
        <v>18</v>
      </c>
      <c r="C18" s="22"/>
      <c r="D18" s="22"/>
      <c r="E18" s="22"/>
      <c r="F18" s="22"/>
      <c r="G18" s="22"/>
      <c r="H18" s="12">
        <f t="shared" si="0"/>
        <v>43978</v>
      </c>
    </row>
    <row r="19" spans="1:8" x14ac:dyDescent="0.3">
      <c r="B19" s="6" t="s">
        <v>16</v>
      </c>
      <c r="C19" s="22"/>
      <c r="D19" s="22"/>
      <c r="E19" s="22"/>
      <c r="F19" s="22"/>
      <c r="G19" s="22"/>
      <c r="H19" s="12">
        <f t="shared" si="0"/>
        <v>43978</v>
      </c>
    </row>
    <row r="20" spans="1:8" x14ac:dyDescent="0.3">
      <c r="B20" s="50" t="s">
        <v>27</v>
      </c>
      <c r="C20" s="51">
        <f>SUM(May27_2020[KSI_AGO])</f>
        <v>0</v>
      </c>
      <c r="D20" s="51">
        <f>SUM(May27_2020[KSI_PMS])</f>
        <v>1238000</v>
      </c>
      <c r="E20" s="51">
        <f>SUM(May27_2020[BUIPE_AGO])</f>
        <v>365000</v>
      </c>
      <c r="F20" s="51">
        <f>SUM(May27_2020[BUIPE_PMS])</f>
        <v>1076000</v>
      </c>
      <c r="G20" s="51">
        <f>SUM(May27_2020[AKOSOMBO_AGO])</f>
        <v>0</v>
      </c>
      <c r="H20" s="52"/>
    </row>
    <row r="21" spans="1:8" x14ac:dyDescent="0.3">
      <c r="B21" s="8"/>
      <c r="C21" s="24"/>
      <c r="D21" s="24"/>
      <c r="E21" s="24"/>
      <c r="F21" s="24"/>
      <c r="G21" s="24"/>
      <c r="H21"/>
    </row>
    <row r="22" spans="1:8" x14ac:dyDescent="0.3">
      <c r="B22" s="1" t="s">
        <v>6</v>
      </c>
      <c r="C22" s="1" t="s">
        <v>4</v>
      </c>
      <c r="D22" s="5">
        <f>SUMIF(May27_2020[[#Headers],[KSI_AGO]:[AKOSOMBO_AGO]],"*"&amp;C22,May27_2020[[#Totals],[KSI_AGO]:[AKOSOMBO_AGO]])</f>
        <v>365000</v>
      </c>
      <c r="E22" s="1" t="s">
        <v>5</v>
      </c>
      <c r="F22" s="5">
        <f>SUMIF(May27_2020[[#Headers],[KSI_AGO]:[AKOSOMBO_AGO]],"*"&amp;E22,May27_2020[[#Totals],[KSI_AGO]:[AKOSOMBO_AGO]])</f>
        <v>2314000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1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99">
    <pageSetUpPr fitToPage="1"/>
  </sheetPr>
  <dimension ref="A1:K32"/>
  <sheetViews>
    <sheetView zoomScale="115" zoomScaleNormal="115" workbookViewId="0">
      <pane xSplit="1" ySplit="5" topLeftCell="E6" activePane="bottomRight" state="frozen"/>
      <selection activeCell="E3" sqref="E3"/>
      <selection pane="topRight" activeCell="E3" sqref="E3"/>
      <selection pane="bottomLeft" activeCell="E3" sqref="E3"/>
      <selection pane="bottomRight" activeCell="G20" sqref="G20"/>
    </sheetView>
  </sheetViews>
  <sheetFormatPr defaultColWidth="9.109375" defaultRowHeight="14.4" x14ac:dyDescent="0.3"/>
  <cols>
    <col min="1" max="1" width="6.88671875" style="1" customWidth="1"/>
    <col min="2" max="2" width="26.109375" style="1" customWidth="1"/>
    <col min="3" max="3" width="16.109375" style="1" customWidth="1"/>
    <col min="4" max="4" width="15.88671875" style="1" customWidth="1"/>
    <col min="5" max="5" width="20" style="1" customWidth="1"/>
    <col min="6" max="6" width="18.6640625" style="1" customWidth="1"/>
    <col min="7" max="7" width="27.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43979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43979</v>
      </c>
    </row>
    <row r="7" spans="2:11" x14ac:dyDescent="0.3">
      <c r="B7" s="6" t="s">
        <v>37</v>
      </c>
      <c r="C7" s="22"/>
      <c r="D7" s="22"/>
      <c r="E7" s="22"/>
      <c r="F7" s="22"/>
      <c r="G7" s="22"/>
      <c r="H7" s="67">
        <f>$G$3</f>
        <v>43979</v>
      </c>
    </row>
    <row r="8" spans="2:11" x14ac:dyDescent="0.3">
      <c r="B8" s="6" t="s">
        <v>17</v>
      </c>
      <c r="C8" s="22">
        <v>374000</v>
      </c>
      <c r="D8" s="22"/>
      <c r="E8" s="22"/>
      <c r="F8" s="22"/>
      <c r="G8" s="22"/>
      <c r="H8" s="12">
        <f t="shared" si="0"/>
        <v>43979</v>
      </c>
    </row>
    <row r="9" spans="2:11" ht="15.6" x14ac:dyDescent="0.3">
      <c r="B9" s="34" t="s">
        <v>0</v>
      </c>
      <c r="C9" s="60"/>
      <c r="D9" s="60"/>
      <c r="E9" s="60"/>
      <c r="F9" s="60"/>
      <c r="G9" s="61"/>
      <c r="H9" s="12">
        <f t="shared" si="0"/>
        <v>43979</v>
      </c>
    </row>
    <row r="10" spans="2:11" x14ac:dyDescent="0.3">
      <c r="B10" s="6" t="s">
        <v>25</v>
      </c>
      <c r="C10" s="22"/>
      <c r="D10" s="22"/>
      <c r="E10" s="22"/>
      <c r="F10" s="22"/>
      <c r="G10" s="22"/>
      <c r="H10" s="12">
        <f t="shared" si="0"/>
        <v>43979</v>
      </c>
    </row>
    <row r="11" spans="2:11" x14ac:dyDescent="0.3">
      <c r="B11" s="6" t="s">
        <v>15</v>
      </c>
      <c r="C11" s="22"/>
      <c r="D11" s="22">
        <v>531000</v>
      </c>
      <c r="E11" s="22"/>
      <c r="F11" s="48">
        <v>639000</v>
      </c>
      <c r="G11" s="22"/>
      <c r="H11" s="12">
        <f t="shared" si="0"/>
        <v>43979</v>
      </c>
    </row>
    <row r="12" spans="2:11" x14ac:dyDescent="0.3">
      <c r="B12" s="6" t="s">
        <v>26</v>
      </c>
      <c r="C12" s="22"/>
      <c r="D12" s="22"/>
      <c r="E12" s="22">
        <v>104000</v>
      </c>
      <c r="F12" s="22"/>
      <c r="G12" s="22"/>
      <c r="H12" s="12">
        <f t="shared" si="0"/>
        <v>43979</v>
      </c>
    </row>
    <row r="13" spans="2:11" x14ac:dyDescent="0.3">
      <c r="B13" s="6" t="s">
        <v>22</v>
      </c>
      <c r="C13" s="23"/>
      <c r="D13" s="23"/>
      <c r="E13" s="23"/>
      <c r="F13" s="22"/>
      <c r="G13" s="23"/>
      <c r="H13" s="12">
        <f t="shared" si="0"/>
        <v>43979</v>
      </c>
      <c r="K13" s="4"/>
    </row>
    <row r="14" spans="2:11" x14ac:dyDescent="0.3">
      <c r="B14" s="6" t="s">
        <v>19</v>
      </c>
      <c r="C14" s="22">
        <v>918000</v>
      </c>
      <c r="D14" s="22"/>
      <c r="E14" s="22"/>
      <c r="F14" s="22"/>
      <c r="G14" s="22"/>
      <c r="H14" s="12">
        <f t="shared" si="0"/>
        <v>43979</v>
      </c>
    </row>
    <row r="15" spans="2:11" x14ac:dyDescent="0.3">
      <c r="B15" s="6" t="s">
        <v>14</v>
      </c>
      <c r="C15" s="22">
        <v>365000</v>
      </c>
      <c r="D15" s="22">
        <v>774000</v>
      </c>
      <c r="E15" s="22">
        <v>324000</v>
      </c>
      <c r="F15" s="22">
        <v>313000</v>
      </c>
      <c r="G15" s="22"/>
      <c r="H15" s="12">
        <f t="shared" si="0"/>
        <v>43979</v>
      </c>
    </row>
    <row r="16" spans="2:11" x14ac:dyDescent="0.3">
      <c r="B16" s="6" t="s">
        <v>24</v>
      </c>
      <c r="C16" s="22"/>
      <c r="D16" s="22"/>
      <c r="E16" s="22"/>
      <c r="F16" s="49"/>
      <c r="G16" s="22"/>
      <c r="H16" s="12">
        <f t="shared" si="0"/>
        <v>43979</v>
      </c>
    </row>
    <row r="17" spans="1:8" x14ac:dyDescent="0.3">
      <c r="B17" s="6" t="s">
        <v>21</v>
      </c>
      <c r="C17" s="22"/>
      <c r="D17" s="22">
        <v>95000</v>
      </c>
      <c r="E17" s="22"/>
      <c r="F17" s="22"/>
      <c r="G17" s="22"/>
      <c r="H17" s="12">
        <f t="shared" si="0"/>
        <v>43979</v>
      </c>
    </row>
    <row r="18" spans="1:8" x14ac:dyDescent="0.3">
      <c r="B18" s="6" t="s">
        <v>18</v>
      </c>
      <c r="C18" s="22"/>
      <c r="D18" s="22"/>
      <c r="E18" s="22"/>
      <c r="F18" s="22"/>
      <c r="G18" s="22"/>
      <c r="H18" s="12">
        <f t="shared" si="0"/>
        <v>43979</v>
      </c>
    </row>
    <row r="19" spans="1:8" x14ac:dyDescent="0.3">
      <c r="B19" s="6" t="s">
        <v>16</v>
      </c>
      <c r="C19" s="22"/>
      <c r="D19" s="22"/>
      <c r="E19" s="22">
        <v>54000</v>
      </c>
      <c r="F19" s="22"/>
      <c r="G19" s="22"/>
      <c r="H19" s="12">
        <f t="shared" si="0"/>
        <v>43979</v>
      </c>
    </row>
    <row r="20" spans="1:8" x14ac:dyDescent="0.3">
      <c r="B20" s="50" t="s">
        <v>27</v>
      </c>
      <c r="C20" s="51">
        <f>SUM(May28_2020[KSI_AGO])</f>
        <v>1657000</v>
      </c>
      <c r="D20" s="51">
        <f>SUM(May28_2020[KSI_PMS])</f>
        <v>1400000</v>
      </c>
      <c r="E20" s="51">
        <f>SUM(May28_2020[BUIPE_AGO])</f>
        <v>482000</v>
      </c>
      <c r="F20" s="51">
        <f>SUM(May28_2020[BUIPE_PMS])</f>
        <v>952000</v>
      </c>
      <c r="G20" s="51">
        <f>SUM(May28_2020[AKOSOMBO_AGO])</f>
        <v>0</v>
      </c>
      <c r="H20" s="52"/>
    </row>
    <row r="21" spans="1:8" x14ac:dyDescent="0.3">
      <c r="B21" s="8"/>
      <c r="C21" s="24"/>
      <c r="D21" s="24"/>
      <c r="E21" s="24"/>
      <c r="F21" s="24"/>
      <c r="G21" s="24"/>
      <c r="H21"/>
    </row>
    <row r="22" spans="1:8" x14ac:dyDescent="0.3">
      <c r="B22" s="1" t="s">
        <v>6</v>
      </c>
      <c r="C22" s="1" t="s">
        <v>4</v>
      </c>
      <c r="D22" s="5">
        <f>SUMIF(May28_2020[[#Headers],[KSI_AGO]:[AKOSOMBO_AGO]],"*"&amp;C22,May28_2020[[#Totals],[KSI_AGO]:[AKOSOMBO_AGO]])</f>
        <v>2139000</v>
      </c>
      <c r="E22" s="1" t="s">
        <v>5</v>
      </c>
      <c r="F22" s="5">
        <f>SUMIF(May28_2020[[#Headers],[KSI_AGO]:[AKOSOMBO_AGO]],"*"&amp;E22,May28_2020[[#Totals],[KSI_AGO]:[AKOSOMBO_AGO]])</f>
        <v>2352000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2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00">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D12" sqref="D12"/>
    </sheetView>
  </sheetViews>
  <sheetFormatPr defaultColWidth="9.109375" defaultRowHeight="14.4" x14ac:dyDescent="0.3"/>
  <cols>
    <col min="1" max="1" width="6.88671875" style="1" customWidth="1"/>
    <col min="2" max="2" width="26.109375" style="1" customWidth="1"/>
    <col min="3" max="3" width="16.109375" style="1" customWidth="1"/>
    <col min="4" max="4" width="15.88671875" style="1" customWidth="1"/>
    <col min="5" max="5" width="20" style="1" customWidth="1"/>
    <col min="6" max="6" width="18.6640625" style="1" customWidth="1"/>
    <col min="7" max="7" width="27.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43980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43980</v>
      </c>
    </row>
    <row r="7" spans="2:11" x14ac:dyDescent="0.3">
      <c r="B7" s="6" t="s">
        <v>37</v>
      </c>
      <c r="C7" s="22"/>
      <c r="D7" s="22"/>
      <c r="E7" s="22"/>
      <c r="F7" s="22"/>
      <c r="G7" s="22"/>
      <c r="H7" s="67">
        <f>$G$3</f>
        <v>43980</v>
      </c>
    </row>
    <row r="8" spans="2:11" x14ac:dyDescent="0.3">
      <c r="B8" s="6" t="s">
        <v>17</v>
      </c>
      <c r="C8" s="22">
        <v>158000</v>
      </c>
      <c r="D8" s="22"/>
      <c r="E8" s="22"/>
      <c r="F8" s="22"/>
      <c r="G8" s="22"/>
      <c r="H8" s="12">
        <f t="shared" si="0"/>
        <v>43980</v>
      </c>
    </row>
    <row r="9" spans="2:11" ht="15.6" x14ac:dyDescent="0.3">
      <c r="B9" s="34" t="s">
        <v>0</v>
      </c>
      <c r="C9" s="60"/>
      <c r="D9" s="60"/>
      <c r="E9" s="60"/>
      <c r="F9" s="60"/>
      <c r="G9" s="61"/>
      <c r="H9" s="12">
        <f t="shared" si="0"/>
        <v>43980</v>
      </c>
    </row>
    <row r="10" spans="2:11" x14ac:dyDescent="0.3">
      <c r="B10" s="6" t="s">
        <v>25</v>
      </c>
      <c r="C10" s="22">
        <v>428000</v>
      </c>
      <c r="D10" s="22"/>
      <c r="E10" s="22">
        <v>420000</v>
      </c>
      <c r="F10" s="22"/>
      <c r="G10" s="22"/>
      <c r="H10" s="12">
        <f t="shared" si="0"/>
        <v>43980</v>
      </c>
    </row>
    <row r="11" spans="2:11" x14ac:dyDescent="0.3">
      <c r="B11" s="6" t="s">
        <v>15</v>
      </c>
      <c r="C11" s="22"/>
      <c r="D11" s="22">
        <v>424000</v>
      </c>
      <c r="E11" s="22"/>
      <c r="F11" s="48">
        <v>54000</v>
      </c>
      <c r="G11" s="22"/>
      <c r="H11" s="12">
        <f t="shared" si="0"/>
        <v>43980</v>
      </c>
    </row>
    <row r="12" spans="2:11" x14ac:dyDescent="0.3">
      <c r="B12" s="6" t="s">
        <v>26</v>
      </c>
      <c r="C12" s="22"/>
      <c r="D12" s="22"/>
      <c r="E12" s="22">
        <v>54000</v>
      </c>
      <c r="F12" s="22"/>
      <c r="G12" s="22"/>
      <c r="H12" s="12">
        <f t="shared" si="0"/>
        <v>43980</v>
      </c>
    </row>
    <row r="13" spans="2:11" x14ac:dyDescent="0.3">
      <c r="B13" s="6" t="s">
        <v>22</v>
      </c>
      <c r="C13" s="23"/>
      <c r="D13" s="23"/>
      <c r="E13" s="23"/>
      <c r="F13" s="22"/>
      <c r="G13" s="23"/>
      <c r="H13" s="12">
        <f t="shared" si="0"/>
        <v>43980</v>
      </c>
      <c r="K13" s="4"/>
    </row>
    <row r="14" spans="2:11" x14ac:dyDescent="0.3">
      <c r="B14" s="6" t="s">
        <v>19</v>
      </c>
      <c r="C14" s="22"/>
      <c r="D14" s="22"/>
      <c r="E14" s="22"/>
      <c r="F14" s="22"/>
      <c r="G14" s="22"/>
      <c r="H14" s="12">
        <f t="shared" si="0"/>
        <v>43980</v>
      </c>
    </row>
    <row r="15" spans="2:11" x14ac:dyDescent="0.3">
      <c r="B15" s="6" t="s">
        <v>14</v>
      </c>
      <c r="C15" s="22">
        <v>780000</v>
      </c>
      <c r="D15" s="22">
        <v>948000</v>
      </c>
      <c r="E15" s="22">
        <v>482000</v>
      </c>
      <c r="F15" s="22">
        <v>690500</v>
      </c>
      <c r="G15" s="22"/>
      <c r="H15" s="12">
        <f t="shared" si="0"/>
        <v>43980</v>
      </c>
    </row>
    <row r="16" spans="2:11" x14ac:dyDescent="0.3">
      <c r="B16" s="6" t="s">
        <v>24</v>
      </c>
      <c r="C16" s="22"/>
      <c r="D16" s="22"/>
      <c r="E16" s="22"/>
      <c r="F16" s="49"/>
      <c r="G16" s="22"/>
      <c r="H16" s="12">
        <f t="shared" si="0"/>
        <v>43980</v>
      </c>
    </row>
    <row r="17" spans="1:8" x14ac:dyDescent="0.3">
      <c r="B17" s="6" t="s">
        <v>21</v>
      </c>
      <c r="C17" s="22"/>
      <c r="D17" s="22">
        <v>54000</v>
      </c>
      <c r="E17" s="22"/>
      <c r="F17" s="22"/>
      <c r="G17" s="22"/>
      <c r="H17" s="12">
        <f t="shared" si="0"/>
        <v>43980</v>
      </c>
    </row>
    <row r="18" spans="1:8" x14ac:dyDescent="0.3">
      <c r="B18" s="6" t="s">
        <v>18</v>
      </c>
      <c r="C18" s="22"/>
      <c r="D18" s="22"/>
      <c r="E18" s="22"/>
      <c r="F18" s="22"/>
      <c r="G18" s="22"/>
      <c r="H18" s="12">
        <f t="shared" si="0"/>
        <v>43980</v>
      </c>
    </row>
    <row r="19" spans="1:8" x14ac:dyDescent="0.3">
      <c r="B19" s="6" t="s">
        <v>16</v>
      </c>
      <c r="C19" s="22"/>
      <c r="D19" s="22"/>
      <c r="E19" s="22">
        <v>54000</v>
      </c>
      <c r="F19" s="22"/>
      <c r="G19" s="22"/>
      <c r="H19" s="12">
        <f t="shared" si="0"/>
        <v>43980</v>
      </c>
    </row>
    <row r="20" spans="1:8" x14ac:dyDescent="0.3">
      <c r="B20" s="50" t="s">
        <v>27</v>
      </c>
      <c r="C20" s="51">
        <f>SUM(May29_2020[KSI_AGO])</f>
        <v>1366000</v>
      </c>
      <c r="D20" s="51">
        <f>SUM(May29_2020[KSI_PMS])</f>
        <v>1426000</v>
      </c>
      <c r="E20" s="51">
        <f>SUM(May29_2020[BUIPE_AGO])</f>
        <v>1010000</v>
      </c>
      <c r="F20" s="51">
        <f>SUM(May29_2020[BUIPE_PMS])</f>
        <v>744500</v>
      </c>
      <c r="G20" s="51">
        <f>SUM(May29_2020[AKOSOMBO_AGO])</f>
        <v>0</v>
      </c>
      <c r="H20" s="52"/>
    </row>
    <row r="21" spans="1:8" x14ac:dyDescent="0.3">
      <c r="B21" s="8"/>
      <c r="C21" s="24"/>
      <c r="D21" s="24"/>
      <c r="E21" s="24"/>
      <c r="F21" s="24"/>
      <c r="G21" s="24"/>
      <c r="H21"/>
    </row>
    <row r="22" spans="1:8" x14ac:dyDescent="0.3">
      <c r="B22" s="1" t="s">
        <v>6</v>
      </c>
      <c r="C22" s="1" t="s">
        <v>4</v>
      </c>
      <c r="D22" s="5">
        <f>SUMIF(May29_2020[[#Headers],[KSI_AGO]:[AKOSOMBO_AGO]],"*"&amp;C22,May29_2020[[#Totals],[KSI_AGO]:[AKOSOMBO_AGO]])</f>
        <v>2376000</v>
      </c>
      <c r="E22" s="1" t="s">
        <v>5</v>
      </c>
      <c r="F22" s="5">
        <f>SUMIF(May29_2020[[#Headers],[KSI_AGO]:[AKOSOMBO_AGO]],"*"&amp;E22,May29_2020[[#Totals],[KSI_AGO]:[AKOSOMBO_AGO]])</f>
        <v>2170500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3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1">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H17" sqref="H1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43984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43984</v>
      </c>
    </row>
    <row r="7" spans="2:11" x14ac:dyDescent="0.3">
      <c r="B7" s="6" t="s">
        <v>37</v>
      </c>
      <c r="C7" s="22"/>
      <c r="D7" s="22"/>
      <c r="E7" s="22"/>
      <c r="F7" s="22"/>
      <c r="G7" s="22"/>
      <c r="H7" s="67">
        <f>$G$3</f>
        <v>43984</v>
      </c>
    </row>
    <row r="8" spans="2:11" x14ac:dyDescent="0.3">
      <c r="B8" s="6" t="s">
        <v>17</v>
      </c>
      <c r="C8" s="22">
        <v>145000</v>
      </c>
      <c r="D8" s="22"/>
      <c r="E8" s="22"/>
      <c r="F8" s="22"/>
      <c r="G8" s="22"/>
      <c r="H8" s="12">
        <f t="shared" si="0"/>
        <v>43984</v>
      </c>
    </row>
    <row r="9" spans="2:11" ht="15.6" x14ac:dyDescent="0.3">
      <c r="B9" s="34" t="s">
        <v>0</v>
      </c>
      <c r="C9" s="60"/>
      <c r="D9" s="60"/>
      <c r="E9" s="60"/>
      <c r="F9" s="60"/>
      <c r="G9" s="61"/>
      <c r="H9" s="12">
        <f t="shared" si="0"/>
        <v>43984</v>
      </c>
    </row>
    <row r="10" spans="2:11" x14ac:dyDescent="0.3">
      <c r="B10" s="6" t="s">
        <v>25</v>
      </c>
      <c r="C10" s="22">
        <v>859000</v>
      </c>
      <c r="D10" s="22">
        <v>855000</v>
      </c>
      <c r="E10" s="22">
        <v>54000</v>
      </c>
      <c r="F10" s="22">
        <v>315000</v>
      </c>
      <c r="G10" s="22"/>
      <c r="H10" s="12">
        <f t="shared" si="0"/>
        <v>43984</v>
      </c>
    </row>
    <row r="11" spans="2:11" x14ac:dyDescent="0.3">
      <c r="B11" s="6" t="s">
        <v>15</v>
      </c>
      <c r="C11" s="22"/>
      <c r="D11" s="22"/>
      <c r="E11" s="22"/>
      <c r="F11" s="48">
        <v>54000</v>
      </c>
      <c r="G11" s="22"/>
      <c r="H11" s="12">
        <f t="shared" si="0"/>
        <v>43984</v>
      </c>
    </row>
    <row r="12" spans="2:11" x14ac:dyDescent="0.3">
      <c r="B12" s="6" t="s">
        <v>26</v>
      </c>
      <c r="C12" s="22"/>
      <c r="D12" s="22"/>
      <c r="E12" s="22"/>
      <c r="F12" s="22"/>
      <c r="G12" s="22"/>
      <c r="H12" s="12">
        <f t="shared" si="0"/>
        <v>43984</v>
      </c>
    </row>
    <row r="13" spans="2:11" x14ac:dyDescent="0.3">
      <c r="B13" s="6" t="s">
        <v>22</v>
      </c>
      <c r="C13" s="23"/>
      <c r="D13" s="23"/>
      <c r="E13" s="23"/>
      <c r="F13" s="22"/>
      <c r="G13" s="23"/>
      <c r="H13" s="12">
        <f t="shared" si="0"/>
        <v>43984</v>
      </c>
      <c r="K13" s="4"/>
    </row>
    <row r="14" spans="2:11" x14ac:dyDescent="0.3">
      <c r="B14" s="6" t="s">
        <v>19</v>
      </c>
      <c r="C14" s="22"/>
      <c r="D14" s="22"/>
      <c r="E14" s="22"/>
      <c r="F14" s="22"/>
      <c r="G14" s="22"/>
      <c r="H14" s="12">
        <f t="shared" si="0"/>
        <v>43984</v>
      </c>
    </row>
    <row r="15" spans="2:11" x14ac:dyDescent="0.3">
      <c r="B15" s="6" t="s">
        <v>14</v>
      </c>
      <c r="C15" s="49">
        <v>423000</v>
      </c>
      <c r="D15" s="22">
        <v>216000</v>
      </c>
      <c r="E15" s="22">
        <v>216000</v>
      </c>
      <c r="F15" s="22">
        <v>533000</v>
      </c>
      <c r="G15" s="22"/>
      <c r="H15" s="12">
        <f t="shared" si="0"/>
        <v>43984</v>
      </c>
    </row>
    <row r="16" spans="2:11" x14ac:dyDescent="0.3">
      <c r="B16" s="6" t="s">
        <v>24</v>
      </c>
      <c r="C16" s="22"/>
      <c r="D16" s="22"/>
      <c r="E16" s="22"/>
      <c r="F16" s="49"/>
      <c r="G16" s="22"/>
      <c r="H16" s="12">
        <f t="shared" si="0"/>
        <v>43984</v>
      </c>
    </row>
    <row r="17" spans="1:8" x14ac:dyDescent="0.3">
      <c r="B17" s="6" t="s">
        <v>21</v>
      </c>
      <c r="C17" s="22"/>
      <c r="D17" s="22"/>
      <c r="E17" s="22"/>
      <c r="F17" s="22"/>
      <c r="G17" s="22"/>
      <c r="H17" s="12">
        <f t="shared" si="0"/>
        <v>43984</v>
      </c>
    </row>
    <row r="18" spans="1:8" x14ac:dyDescent="0.3">
      <c r="B18" s="6" t="s">
        <v>18</v>
      </c>
      <c r="C18" s="22"/>
      <c r="D18" s="22"/>
      <c r="E18" s="22"/>
      <c r="F18" s="22"/>
      <c r="G18" s="22"/>
      <c r="H18" s="12">
        <f t="shared" si="0"/>
        <v>43984</v>
      </c>
    </row>
    <row r="19" spans="1:8" x14ac:dyDescent="0.3">
      <c r="B19" s="6" t="s">
        <v>16</v>
      </c>
      <c r="C19" s="22"/>
      <c r="D19" s="22"/>
      <c r="E19" s="22"/>
      <c r="F19" s="22"/>
      <c r="G19" s="22"/>
      <c r="H19" s="12">
        <f t="shared" si="0"/>
        <v>43984</v>
      </c>
    </row>
    <row r="20" spans="1:8" x14ac:dyDescent="0.3">
      <c r="B20" s="50" t="s">
        <v>27</v>
      </c>
      <c r="C20" s="51">
        <f>SUM(June02_2020[KSI_AGO])</f>
        <v>1427000</v>
      </c>
      <c r="D20" s="51">
        <f>SUM(June02_2020[KSI_PMS])</f>
        <v>1071000</v>
      </c>
      <c r="E20" s="51">
        <f>SUM(June02_2020[BUIPE_AGO])</f>
        <v>270000</v>
      </c>
      <c r="F20" s="51">
        <f>SUM(June02_2020[BUIPE_PMS])</f>
        <v>902000</v>
      </c>
      <c r="G20" s="51">
        <f>SUM(June02_2020[AKOSOMBO_AGO])</f>
        <v>0</v>
      </c>
      <c r="H20" s="63"/>
    </row>
    <row r="21" spans="1:8" x14ac:dyDescent="0.3">
      <c r="B21" s="8"/>
      <c r="C21" s="24"/>
      <c r="D21" s="24"/>
      <c r="E21" s="24"/>
      <c r="F21" s="24"/>
      <c r="G21" s="24"/>
      <c r="H21"/>
    </row>
    <row r="22" spans="1:8" x14ac:dyDescent="0.3">
      <c r="B22" s="1" t="s">
        <v>6</v>
      </c>
      <c r="C22" s="1" t="s">
        <v>4</v>
      </c>
      <c r="D22" s="5">
        <f>June02_2020[[#Totals],[KSI_AGO]]+June02_2020[[#Totals],[BUIPE_AGO]]+June02_2020[[#Totals],[AKOSOMBO_AGO]]</f>
        <v>1697000</v>
      </c>
      <c r="E22" s="1" t="s">
        <v>5</v>
      </c>
      <c r="F22" s="5">
        <f>SUMIF(June02_2020[[#Headers],[KSI_AGO]:[AKOSOMBO_AGO]],"*"&amp;E22,June02_2020[[#Totals],[KSI_AGO]:[AKOSOMBO_AGO]])</f>
        <v>1973000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4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02">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G20" sqref="G2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43985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43985</v>
      </c>
    </row>
    <row r="7" spans="2:11" x14ac:dyDescent="0.3">
      <c r="B7" s="6" t="s">
        <v>37</v>
      </c>
      <c r="C7" s="22"/>
      <c r="D7" s="22"/>
      <c r="E7" s="22"/>
      <c r="F7" s="22"/>
      <c r="G7" s="22"/>
      <c r="H7" s="67">
        <f>$G$3</f>
        <v>43985</v>
      </c>
    </row>
    <row r="8" spans="2:11" x14ac:dyDescent="0.3">
      <c r="B8" s="6" t="s">
        <v>17</v>
      </c>
      <c r="C8" s="22"/>
      <c r="D8" s="22"/>
      <c r="E8" s="22"/>
      <c r="F8" s="22"/>
      <c r="G8" s="22"/>
      <c r="H8" s="12">
        <f t="shared" si="0"/>
        <v>43985</v>
      </c>
    </row>
    <row r="9" spans="2:11" ht="15.6" x14ac:dyDescent="0.3">
      <c r="B9" s="34" t="s">
        <v>0</v>
      </c>
      <c r="C9" s="60"/>
      <c r="D9" s="60"/>
      <c r="E9" s="60"/>
      <c r="F9" s="60"/>
      <c r="G9" s="61"/>
      <c r="H9" s="12">
        <f t="shared" si="0"/>
        <v>43985</v>
      </c>
    </row>
    <row r="10" spans="2:11" x14ac:dyDescent="0.3">
      <c r="B10" s="6" t="s">
        <v>25</v>
      </c>
      <c r="C10" s="22"/>
      <c r="D10" s="22">
        <v>702000</v>
      </c>
      <c r="E10" s="22">
        <v>94000</v>
      </c>
      <c r="F10" s="22">
        <v>103500</v>
      </c>
      <c r="G10" s="22"/>
      <c r="H10" s="12">
        <f t="shared" si="0"/>
        <v>43985</v>
      </c>
    </row>
    <row r="11" spans="2:11" x14ac:dyDescent="0.3">
      <c r="B11" s="6" t="s">
        <v>15</v>
      </c>
      <c r="C11" s="22"/>
      <c r="D11" s="22"/>
      <c r="E11" s="22"/>
      <c r="F11" s="48"/>
      <c r="G11" s="22"/>
      <c r="H11" s="12">
        <f t="shared" si="0"/>
        <v>43985</v>
      </c>
    </row>
    <row r="12" spans="2:11" x14ac:dyDescent="0.3">
      <c r="B12" s="6" t="s">
        <v>26</v>
      </c>
      <c r="C12" s="22"/>
      <c r="D12" s="22"/>
      <c r="E12" s="22"/>
      <c r="F12" s="22"/>
      <c r="G12" s="22"/>
      <c r="H12" s="12">
        <f t="shared" si="0"/>
        <v>43985</v>
      </c>
    </row>
    <row r="13" spans="2:11" x14ac:dyDescent="0.3">
      <c r="B13" s="6" t="s">
        <v>22</v>
      </c>
      <c r="C13" s="23"/>
      <c r="D13" s="23"/>
      <c r="E13" s="23"/>
      <c r="F13" s="22"/>
      <c r="G13" s="23"/>
      <c r="H13" s="12">
        <f t="shared" si="0"/>
        <v>43985</v>
      </c>
      <c r="K13" s="4"/>
    </row>
    <row r="14" spans="2:11" x14ac:dyDescent="0.3">
      <c r="B14" s="6" t="s">
        <v>19</v>
      </c>
      <c r="C14" s="22"/>
      <c r="D14" s="22"/>
      <c r="E14" s="22"/>
      <c r="F14" s="22"/>
      <c r="G14" s="22"/>
      <c r="H14" s="12">
        <f t="shared" si="0"/>
        <v>43985</v>
      </c>
    </row>
    <row r="15" spans="2:11" x14ac:dyDescent="0.3">
      <c r="B15" s="6" t="s">
        <v>14</v>
      </c>
      <c r="C15" s="22">
        <v>535500</v>
      </c>
      <c r="D15" s="22">
        <v>594000</v>
      </c>
      <c r="E15" s="22">
        <v>45000</v>
      </c>
      <c r="F15" s="22">
        <v>756000</v>
      </c>
      <c r="G15" s="22"/>
      <c r="H15" s="12">
        <f t="shared" si="0"/>
        <v>43985</v>
      </c>
    </row>
    <row r="16" spans="2:11" x14ac:dyDescent="0.3">
      <c r="B16" s="6" t="s">
        <v>24</v>
      </c>
      <c r="C16" s="22"/>
      <c r="D16" s="22"/>
      <c r="E16" s="22"/>
      <c r="F16" s="49"/>
      <c r="G16" s="22"/>
      <c r="H16" s="12">
        <f t="shared" si="0"/>
        <v>43985</v>
      </c>
    </row>
    <row r="17" spans="1:8" x14ac:dyDescent="0.3">
      <c r="B17" s="6" t="s">
        <v>21</v>
      </c>
      <c r="C17" s="22"/>
      <c r="D17" s="22">
        <v>54000</v>
      </c>
      <c r="E17" s="22"/>
      <c r="F17" s="22"/>
      <c r="G17" s="22"/>
      <c r="H17" s="12">
        <f t="shared" si="0"/>
        <v>43985</v>
      </c>
    </row>
    <row r="18" spans="1:8" x14ac:dyDescent="0.3">
      <c r="B18" s="6" t="s">
        <v>18</v>
      </c>
      <c r="C18" s="22"/>
      <c r="D18" s="22"/>
      <c r="E18" s="22"/>
      <c r="F18" s="22"/>
      <c r="G18" s="22"/>
      <c r="H18" s="12">
        <f t="shared" si="0"/>
        <v>43985</v>
      </c>
    </row>
    <row r="19" spans="1:8" x14ac:dyDescent="0.3">
      <c r="B19" s="6" t="s">
        <v>16</v>
      </c>
      <c r="C19" s="22"/>
      <c r="D19" s="22"/>
      <c r="E19" s="22"/>
      <c r="F19" s="22"/>
      <c r="G19" s="22"/>
      <c r="H19" s="12">
        <f t="shared" si="0"/>
        <v>43985</v>
      </c>
    </row>
    <row r="20" spans="1:8" x14ac:dyDescent="0.3">
      <c r="B20" s="50" t="s">
        <v>27</v>
      </c>
      <c r="C20" s="51">
        <f>SUM(June03_2020[KSI_AGO])</f>
        <v>535500</v>
      </c>
      <c r="D20" s="51">
        <f>SUM(June03_2020[KSI_PMS])</f>
        <v>1350000</v>
      </c>
      <c r="E20" s="51">
        <f>SUM(June03_2020[BUIPE_AGO])</f>
        <v>139000</v>
      </c>
      <c r="F20" s="51">
        <f>SUM(June03_2020[BUIPE_PMS])</f>
        <v>859500</v>
      </c>
      <c r="G20" s="51">
        <f>SUM(June03_2020[AKOSOMBO_AGO])</f>
        <v>0</v>
      </c>
      <c r="H20" s="52"/>
    </row>
    <row r="21" spans="1:8" x14ac:dyDescent="0.3">
      <c r="B21" s="8"/>
      <c r="C21" s="24"/>
      <c r="D21" s="24"/>
      <c r="E21" s="24"/>
      <c r="F21" s="24"/>
      <c r="G21" s="24"/>
      <c r="H21"/>
    </row>
    <row r="22" spans="1:8" x14ac:dyDescent="0.3">
      <c r="B22" s="1" t="s">
        <v>6</v>
      </c>
      <c r="C22" s="1" t="s">
        <v>4</v>
      </c>
      <c r="D22" s="5">
        <f>SUMIF(June03_2020[[#Headers],[KSI_AGO]:[AKOSOMBO_AGO]],"*"&amp;C22,June03_2020[[#Totals],[KSI_AGO]:[AKOSOMBO_AGO]])</f>
        <v>674500</v>
      </c>
      <c r="E22" s="1" t="s">
        <v>5</v>
      </c>
      <c r="F22" s="5">
        <f>SUMIF(June03_2020[[#Headers],[KSI_AGO]:[AKOSOMBO_AGO]],"*"&amp;E22,June03_2020[[#Totals],[KSI_AGO]:[AKOSOMBO_AGO]])</f>
        <v>2209500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5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3">
    <pageSetUpPr fitToPage="1"/>
  </sheetPr>
  <dimension ref="A1:K32"/>
  <sheetViews>
    <sheetView zoomScale="115" zoomScaleNormal="115" workbookViewId="0">
      <pane xSplit="1" ySplit="5" topLeftCell="E9" activePane="bottomRight" state="frozen"/>
      <selection activeCell="E3" sqref="E3"/>
      <selection pane="topRight" activeCell="E3" sqref="E3"/>
      <selection pane="bottomLeft" activeCell="E3" sqref="E3"/>
      <selection pane="bottomRight" activeCell="G20" sqref="G2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43986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43986</v>
      </c>
    </row>
    <row r="7" spans="2:11" x14ac:dyDescent="0.3">
      <c r="B7" s="6" t="s">
        <v>37</v>
      </c>
      <c r="C7" s="22"/>
      <c r="D7" s="22"/>
      <c r="E7" s="22"/>
      <c r="F7" s="22"/>
      <c r="G7" s="22"/>
      <c r="H7" s="67">
        <f>$G$3</f>
        <v>43986</v>
      </c>
    </row>
    <row r="8" spans="2:11" x14ac:dyDescent="0.3">
      <c r="B8" s="6" t="s">
        <v>17</v>
      </c>
      <c r="C8" s="22"/>
      <c r="D8" s="22"/>
      <c r="E8" s="22"/>
      <c r="F8" s="22"/>
      <c r="G8" s="22"/>
      <c r="H8" s="12">
        <f t="shared" si="0"/>
        <v>43986</v>
      </c>
    </row>
    <row r="9" spans="2:11" ht="15.6" x14ac:dyDescent="0.3">
      <c r="B9" s="34" t="s">
        <v>0</v>
      </c>
      <c r="C9" s="60"/>
      <c r="D9" s="60"/>
      <c r="E9" s="60"/>
      <c r="F9" s="60"/>
      <c r="G9" s="61"/>
      <c r="H9" s="12">
        <f t="shared" si="0"/>
        <v>43986</v>
      </c>
    </row>
    <row r="10" spans="2:11" x14ac:dyDescent="0.3">
      <c r="B10" s="6" t="s">
        <v>25</v>
      </c>
      <c r="C10" s="22"/>
      <c r="D10" s="22">
        <v>104000</v>
      </c>
      <c r="E10" s="22"/>
      <c r="F10" s="22"/>
      <c r="G10" s="22"/>
      <c r="H10" s="12">
        <f t="shared" si="0"/>
        <v>43986</v>
      </c>
    </row>
    <row r="11" spans="2:11" x14ac:dyDescent="0.3">
      <c r="B11" s="6" t="s">
        <v>15</v>
      </c>
      <c r="C11" s="22"/>
      <c r="D11" s="22"/>
      <c r="E11" s="22"/>
      <c r="F11" s="48"/>
      <c r="G11" s="22"/>
      <c r="H11" s="12">
        <f t="shared" si="0"/>
        <v>43986</v>
      </c>
    </row>
    <row r="12" spans="2:11" x14ac:dyDescent="0.3">
      <c r="B12" s="6" t="s">
        <v>26</v>
      </c>
      <c r="C12" s="22"/>
      <c r="D12" s="22">
        <v>963000</v>
      </c>
      <c r="E12" s="22"/>
      <c r="F12" s="22"/>
      <c r="G12" s="22"/>
      <c r="H12" s="12">
        <f t="shared" si="0"/>
        <v>43986</v>
      </c>
    </row>
    <row r="13" spans="2:11" x14ac:dyDescent="0.3">
      <c r="B13" s="6" t="s">
        <v>22</v>
      </c>
      <c r="C13" s="23"/>
      <c r="D13" s="23"/>
      <c r="E13" s="23"/>
      <c r="F13" s="22"/>
      <c r="G13" s="23"/>
      <c r="H13" s="12">
        <f t="shared" si="0"/>
        <v>43986</v>
      </c>
      <c r="K13" s="4"/>
    </row>
    <row r="14" spans="2:11" x14ac:dyDescent="0.3">
      <c r="B14" s="6" t="s">
        <v>19</v>
      </c>
      <c r="C14" s="22"/>
      <c r="D14" s="22">
        <v>567000</v>
      </c>
      <c r="E14" s="22"/>
      <c r="F14" s="22">
        <v>423000</v>
      </c>
      <c r="G14" s="22"/>
      <c r="H14" s="12">
        <f t="shared" si="0"/>
        <v>43986</v>
      </c>
    </row>
    <row r="15" spans="2:11" x14ac:dyDescent="0.3">
      <c r="B15" s="6" t="s">
        <v>14</v>
      </c>
      <c r="C15" s="22">
        <v>108000</v>
      </c>
      <c r="D15" s="22"/>
      <c r="E15" s="22">
        <v>45000</v>
      </c>
      <c r="F15" s="22"/>
      <c r="G15" s="22"/>
      <c r="H15" s="12">
        <f t="shared" si="0"/>
        <v>43986</v>
      </c>
    </row>
    <row r="16" spans="2:11" x14ac:dyDescent="0.3">
      <c r="B16" s="6" t="s">
        <v>24</v>
      </c>
      <c r="C16" s="22"/>
      <c r="D16" s="22"/>
      <c r="E16" s="22"/>
      <c r="F16" s="49"/>
      <c r="G16" s="22"/>
      <c r="H16" s="12">
        <f t="shared" si="0"/>
        <v>43986</v>
      </c>
    </row>
    <row r="17" spans="1:8" x14ac:dyDescent="0.3">
      <c r="B17" s="6" t="s">
        <v>21</v>
      </c>
      <c r="C17" s="22"/>
      <c r="D17" s="22"/>
      <c r="E17" s="22"/>
      <c r="F17" s="22"/>
      <c r="G17" s="22"/>
      <c r="H17" s="12">
        <f t="shared" si="0"/>
        <v>43986</v>
      </c>
    </row>
    <row r="18" spans="1:8" x14ac:dyDescent="0.3">
      <c r="B18" s="6" t="s">
        <v>18</v>
      </c>
      <c r="C18" s="22"/>
      <c r="D18" s="22"/>
      <c r="E18" s="22"/>
      <c r="F18" s="22"/>
      <c r="G18" s="22"/>
      <c r="H18" s="12">
        <f t="shared" si="0"/>
        <v>43986</v>
      </c>
    </row>
    <row r="19" spans="1:8" x14ac:dyDescent="0.3">
      <c r="B19" s="6" t="s">
        <v>16</v>
      </c>
      <c r="C19" s="22"/>
      <c r="D19" s="22"/>
      <c r="E19" s="22"/>
      <c r="F19" s="22"/>
      <c r="G19" s="22"/>
      <c r="H19" s="12">
        <f t="shared" si="0"/>
        <v>43986</v>
      </c>
    </row>
    <row r="20" spans="1:8" x14ac:dyDescent="0.3">
      <c r="B20" s="50" t="s">
        <v>27</v>
      </c>
      <c r="C20" s="51">
        <f>SUM(June04_2020[KSI_AGO])</f>
        <v>108000</v>
      </c>
      <c r="D20" s="51">
        <f>SUM(June04_2020[KSI_PMS])</f>
        <v>1634000</v>
      </c>
      <c r="E20" s="51">
        <f>SUM(June04_2020[BUIPE_AGO])</f>
        <v>45000</v>
      </c>
      <c r="F20" s="51">
        <f>SUM(June04_2020[BUIPE_PMS])</f>
        <v>423000</v>
      </c>
      <c r="G20" s="51">
        <f>SUM(June04_2020[AKOSOMBO_AGO])</f>
        <v>0</v>
      </c>
      <c r="H20" s="52"/>
    </row>
    <row r="21" spans="1:8" x14ac:dyDescent="0.3">
      <c r="B21" s="8"/>
      <c r="C21" s="24"/>
      <c r="D21" s="24"/>
      <c r="E21" s="24"/>
      <c r="F21" s="24"/>
      <c r="G21" s="24"/>
      <c r="H21"/>
    </row>
    <row r="22" spans="1:8" x14ac:dyDescent="0.3">
      <c r="B22" s="1" t="s">
        <v>6</v>
      </c>
      <c r="C22" s="1" t="s">
        <v>4</v>
      </c>
      <c r="D22" s="5">
        <f>SUMIF(June04_2020[[#Headers],[KSI_AGO]:[AKOSOMBO_AGO]],"*"&amp;C22,June04_2020[[#Totals],[KSI_AGO]:[AKOSOMBO_AGO]])</f>
        <v>153000</v>
      </c>
      <c r="E22" s="1" t="s">
        <v>5</v>
      </c>
      <c r="F22" s="5">
        <f>SUMIF(June04_2020[[#Headers],[KSI_AGO]:[AKOSOMBO_AGO]],"*"&amp;E22,June04_2020[[#Totals],[KSI_AGO]:[AKOSOMBO_AGO]])</f>
        <v>2057000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6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04">
    <pageSetUpPr fitToPage="1"/>
  </sheetPr>
  <dimension ref="A1:K32"/>
  <sheetViews>
    <sheetView zoomScale="115" zoomScaleNormal="115" workbookViewId="0">
      <pane xSplit="1" ySplit="5" topLeftCell="E9" activePane="bottomRight" state="frozen"/>
      <selection activeCell="E3" sqref="E3"/>
      <selection pane="topRight" activeCell="E3" sqref="E3"/>
      <selection pane="bottomLeft" activeCell="E3" sqref="E3"/>
      <selection pane="bottomRight" activeCell="G17" sqref="G1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43987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43987</v>
      </c>
    </row>
    <row r="7" spans="2:11" x14ac:dyDescent="0.3">
      <c r="B7" s="6" t="s">
        <v>37</v>
      </c>
      <c r="C7" s="22"/>
      <c r="D7" s="22"/>
      <c r="E7" s="22"/>
      <c r="F7" s="22"/>
      <c r="G7" s="22"/>
      <c r="H7" s="67">
        <f>$G$3</f>
        <v>43987</v>
      </c>
    </row>
    <row r="8" spans="2:11" x14ac:dyDescent="0.3">
      <c r="B8" s="6" t="s">
        <v>17</v>
      </c>
      <c r="C8" s="22"/>
      <c r="D8" s="22"/>
      <c r="E8" s="22"/>
      <c r="F8" s="22"/>
      <c r="G8" s="22"/>
      <c r="H8" s="12">
        <f t="shared" si="0"/>
        <v>43987</v>
      </c>
    </row>
    <row r="9" spans="2:11" ht="15.6" x14ac:dyDescent="0.3">
      <c r="B9" s="34" t="s">
        <v>0</v>
      </c>
      <c r="C9" s="60"/>
      <c r="D9" s="60"/>
      <c r="E9" s="60"/>
      <c r="F9" s="60"/>
      <c r="G9" s="61"/>
      <c r="H9" s="12">
        <f t="shared" si="0"/>
        <v>43987</v>
      </c>
    </row>
    <row r="10" spans="2:11" x14ac:dyDescent="0.3">
      <c r="B10" s="6" t="s">
        <v>25</v>
      </c>
      <c r="C10" s="22"/>
      <c r="D10" s="22">
        <v>639000</v>
      </c>
      <c r="E10" s="22"/>
      <c r="F10" s="22">
        <v>582000</v>
      </c>
      <c r="G10" s="22"/>
      <c r="H10" s="12">
        <f t="shared" si="0"/>
        <v>43987</v>
      </c>
    </row>
    <row r="11" spans="2:11" x14ac:dyDescent="0.3">
      <c r="B11" s="6" t="s">
        <v>15</v>
      </c>
      <c r="C11" s="22">
        <v>54000</v>
      </c>
      <c r="D11" s="22"/>
      <c r="E11" s="22"/>
      <c r="F11" s="48"/>
      <c r="G11" s="22"/>
      <c r="H11" s="12">
        <f t="shared" si="0"/>
        <v>43987</v>
      </c>
    </row>
    <row r="12" spans="2:11" x14ac:dyDescent="0.3">
      <c r="B12" s="6" t="s">
        <v>26</v>
      </c>
      <c r="C12" s="22"/>
      <c r="D12" s="22">
        <v>481000</v>
      </c>
      <c r="E12" s="22"/>
      <c r="F12" s="22"/>
      <c r="G12" s="22"/>
      <c r="H12" s="12">
        <f t="shared" si="0"/>
        <v>43987</v>
      </c>
    </row>
    <row r="13" spans="2:11" x14ac:dyDescent="0.3">
      <c r="B13" s="6" t="s">
        <v>22</v>
      </c>
      <c r="C13" s="23"/>
      <c r="D13" s="23"/>
      <c r="E13" s="23"/>
      <c r="F13" s="22"/>
      <c r="G13" s="23"/>
      <c r="H13" s="12">
        <f t="shared" si="0"/>
        <v>43987</v>
      </c>
      <c r="K13" s="4"/>
    </row>
    <row r="14" spans="2:11" x14ac:dyDescent="0.3">
      <c r="B14" s="6" t="s">
        <v>19</v>
      </c>
      <c r="C14" s="22"/>
      <c r="D14" s="22">
        <v>618000</v>
      </c>
      <c r="E14" s="22"/>
      <c r="F14" s="22">
        <v>378000</v>
      </c>
      <c r="G14" s="22"/>
      <c r="H14" s="12">
        <f t="shared" si="0"/>
        <v>43987</v>
      </c>
    </row>
    <row r="15" spans="2:11" x14ac:dyDescent="0.3">
      <c r="B15" s="6" t="s">
        <v>14</v>
      </c>
      <c r="C15" s="22"/>
      <c r="D15" s="22"/>
      <c r="E15" s="22"/>
      <c r="F15" s="22"/>
      <c r="G15" s="22"/>
      <c r="H15" s="12">
        <f t="shared" si="0"/>
        <v>43987</v>
      </c>
    </row>
    <row r="16" spans="2:11" x14ac:dyDescent="0.3">
      <c r="B16" s="6" t="s">
        <v>24</v>
      </c>
      <c r="C16" s="22"/>
      <c r="D16" s="22"/>
      <c r="E16" s="22"/>
      <c r="F16" s="49"/>
      <c r="G16" s="22"/>
      <c r="H16" s="12">
        <f t="shared" si="0"/>
        <v>43987</v>
      </c>
    </row>
    <row r="17" spans="1:8" x14ac:dyDescent="0.3">
      <c r="B17" s="6" t="s">
        <v>21</v>
      </c>
      <c r="C17" s="22"/>
      <c r="D17" s="22"/>
      <c r="E17" s="22"/>
      <c r="F17" s="22"/>
      <c r="G17" s="22"/>
      <c r="H17" s="12">
        <f t="shared" si="0"/>
        <v>43987</v>
      </c>
    </row>
    <row r="18" spans="1:8" x14ac:dyDescent="0.3">
      <c r="B18" s="6" t="s">
        <v>18</v>
      </c>
      <c r="C18" s="22"/>
      <c r="D18" s="22"/>
      <c r="E18" s="22"/>
      <c r="F18" s="22"/>
      <c r="G18" s="22"/>
      <c r="H18" s="12">
        <f t="shared" si="0"/>
        <v>43987</v>
      </c>
    </row>
    <row r="19" spans="1:8" x14ac:dyDescent="0.3">
      <c r="B19" s="6" t="s">
        <v>16</v>
      </c>
      <c r="C19" s="22"/>
      <c r="D19" s="22"/>
      <c r="E19" s="22"/>
      <c r="F19" s="22"/>
      <c r="G19" s="22"/>
      <c r="H19" s="12">
        <f t="shared" si="0"/>
        <v>43987</v>
      </c>
    </row>
    <row r="20" spans="1:8" x14ac:dyDescent="0.3">
      <c r="B20" s="50" t="s">
        <v>27</v>
      </c>
      <c r="C20" s="51">
        <f>SUM(June05_2020[KSI_AGO])</f>
        <v>54000</v>
      </c>
      <c r="D20" s="51">
        <f>SUM(June05_2020[KSI_PMS])</f>
        <v>1738000</v>
      </c>
      <c r="E20" s="51">
        <f>SUM(June05_2020[BUIPE_AGO])</f>
        <v>0</v>
      </c>
      <c r="F20" s="51">
        <f>SUM(June05_2020[BUIPE_PMS])</f>
        <v>960000</v>
      </c>
      <c r="G20" s="51">
        <f>SUM(June05_2020[AKOSOMBO_AGO])</f>
        <v>0</v>
      </c>
      <c r="H20" s="52"/>
    </row>
    <row r="21" spans="1:8" x14ac:dyDescent="0.3">
      <c r="B21" s="8"/>
      <c r="C21" s="24"/>
      <c r="D21" s="24"/>
      <c r="E21" s="24"/>
      <c r="F21" s="24"/>
      <c r="G21" s="24"/>
      <c r="H21"/>
    </row>
    <row r="22" spans="1:8" x14ac:dyDescent="0.3">
      <c r="B22" s="1" t="s">
        <v>6</v>
      </c>
      <c r="C22" s="1" t="s">
        <v>4</v>
      </c>
      <c r="D22" s="5">
        <f>SUMIF(June05_2020[[#Headers],[KSI_AGO]:[AKOSOMBO_AGO]],"*"&amp;C22,June05_2020[[#Totals],[KSI_AGO]:[AKOSOMBO_AGO]])</f>
        <v>54000</v>
      </c>
      <c r="E22" s="1" t="s">
        <v>5</v>
      </c>
      <c r="F22" s="5">
        <f>SUMIF(June05_2020[[#Headers],[KSI_AGO]:[AKOSOMBO_AGO]],"*"&amp;E22,June05_2020[[#Totals],[KSI_AGO]:[AKOSOMBO_AGO]])</f>
        <v>2698000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7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5">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G13" sqref="G13"/>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43988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43988</v>
      </c>
    </row>
    <row r="7" spans="2:11" x14ac:dyDescent="0.3">
      <c r="B7" s="6" t="s">
        <v>37</v>
      </c>
      <c r="C7" s="22"/>
      <c r="D7" s="22"/>
      <c r="E7" s="22"/>
      <c r="F7" s="22"/>
      <c r="G7" s="22"/>
      <c r="H7" s="67">
        <f>$G$3</f>
        <v>43988</v>
      </c>
    </row>
    <row r="8" spans="2:11" x14ac:dyDescent="0.3">
      <c r="B8" s="6" t="s">
        <v>17</v>
      </c>
      <c r="C8" s="22"/>
      <c r="D8" s="22"/>
      <c r="E8" s="22"/>
      <c r="F8" s="22"/>
      <c r="G8" s="22"/>
      <c r="H8" s="12">
        <f t="shared" si="0"/>
        <v>43988</v>
      </c>
    </row>
    <row r="9" spans="2:11" ht="15.6" x14ac:dyDescent="0.3">
      <c r="B9" s="34" t="s">
        <v>0</v>
      </c>
      <c r="C9" s="60"/>
      <c r="D9" s="60"/>
      <c r="E9" s="60"/>
      <c r="F9" s="60"/>
      <c r="G9" s="61"/>
      <c r="H9" s="12">
        <f t="shared" si="0"/>
        <v>43988</v>
      </c>
    </row>
    <row r="10" spans="2:11" x14ac:dyDescent="0.3">
      <c r="B10" s="6" t="s">
        <v>25</v>
      </c>
      <c r="C10" s="22"/>
      <c r="D10" s="22">
        <v>259000</v>
      </c>
      <c r="E10" s="22"/>
      <c r="F10" s="22">
        <v>432000</v>
      </c>
      <c r="G10" s="22"/>
      <c r="H10" s="12">
        <f t="shared" si="0"/>
        <v>43988</v>
      </c>
    </row>
    <row r="11" spans="2:11" x14ac:dyDescent="0.3">
      <c r="B11" s="6" t="s">
        <v>15</v>
      </c>
      <c r="C11" s="22"/>
      <c r="D11" s="22"/>
      <c r="E11" s="22"/>
      <c r="F11" s="48"/>
      <c r="G11" s="22"/>
      <c r="H11" s="12">
        <f t="shared" si="0"/>
        <v>43988</v>
      </c>
    </row>
    <row r="12" spans="2:11" x14ac:dyDescent="0.3">
      <c r="B12" s="6" t="s">
        <v>26</v>
      </c>
      <c r="C12" s="22"/>
      <c r="D12" s="22">
        <v>261000</v>
      </c>
      <c r="E12" s="22"/>
      <c r="F12" s="22"/>
      <c r="G12" s="22"/>
      <c r="H12" s="12">
        <f t="shared" si="0"/>
        <v>43988</v>
      </c>
    </row>
    <row r="13" spans="2:11" x14ac:dyDescent="0.3">
      <c r="B13" s="6" t="s">
        <v>22</v>
      </c>
      <c r="C13" s="23"/>
      <c r="D13" s="23"/>
      <c r="E13" s="23"/>
      <c r="F13" s="22"/>
      <c r="G13" s="23"/>
      <c r="H13" s="12">
        <f t="shared" si="0"/>
        <v>43988</v>
      </c>
      <c r="K13" s="4"/>
    </row>
    <row r="14" spans="2:11" x14ac:dyDescent="0.3">
      <c r="B14" s="6" t="s">
        <v>19</v>
      </c>
      <c r="C14" s="22"/>
      <c r="D14" s="22">
        <v>324000</v>
      </c>
      <c r="E14" s="22"/>
      <c r="F14" s="22">
        <v>585000</v>
      </c>
      <c r="G14" s="22"/>
      <c r="H14" s="12">
        <f t="shared" si="0"/>
        <v>43988</v>
      </c>
    </row>
    <row r="15" spans="2:11" x14ac:dyDescent="0.3">
      <c r="B15" s="6" t="s">
        <v>14</v>
      </c>
      <c r="C15" s="22"/>
      <c r="D15" s="22">
        <v>261000</v>
      </c>
      <c r="E15" s="22"/>
      <c r="F15" s="22">
        <v>415000</v>
      </c>
      <c r="G15" s="22"/>
      <c r="H15" s="12">
        <f t="shared" si="0"/>
        <v>43988</v>
      </c>
    </row>
    <row r="16" spans="2:11" x14ac:dyDescent="0.3">
      <c r="B16" s="6" t="s">
        <v>24</v>
      </c>
      <c r="C16" s="22"/>
      <c r="D16" s="22"/>
      <c r="E16" s="22"/>
      <c r="F16" s="49"/>
      <c r="G16" s="22"/>
      <c r="H16" s="12">
        <f t="shared" si="0"/>
        <v>43988</v>
      </c>
    </row>
    <row r="17" spans="1:8" x14ac:dyDescent="0.3">
      <c r="B17" s="6" t="s">
        <v>21</v>
      </c>
      <c r="C17" s="22"/>
      <c r="D17" s="22"/>
      <c r="E17" s="22"/>
      <c r="F17" s="22"/>
      <c r="G17" s="22"/>
      <c r="H17" s="12">
        <f t="shared" si="0"/>
        <v>43988</v>
      </c>
    </row>
    <row r="18" spans="1:8" x14ac:dyDescent="0.3">
      <c r="B18" s="6" t="s">
        <v>18</v>
      </c>
      <c r="C18" s="22"/>
      <c r="D18" s="22"/>
      <c r="E18" s="22"/>
      <c r="F18" s="22"/>
      <c r="G18" s="22"/>
      <c r="H18" s="12">
        <f t="shared" si="0"/>
        <v>43988</v>
      </c>
    </row>
    <row r="19" spans="1:8" x14ac:dyDescent="0.3">
      <c r="B19" s="6" t="s">
        <v>16</v>
      </c>
      <c r="C19" s="22"/>
      <c r="D19" s="22"/>
      <c r="E19" s="22"/>
      <c r="F19" s="22"/>
      <c r="G19" s="22"/>
      <c r="H19" s="12">
        <f t="shared" si="0"/>
        <v>43988</v>
      </c>
    </row>
    <row r="20" spans="1:8" x14ac:dyDescent="0.3">
      <c r="B20" s="50" t="s">
        <v>27</v>
      </c>
      <c r="C20" s="51">
        <f>SUM(June06_2020[KSI_AGO])</f>
        <v>0</v>
      </c>
      <c r="D20" s="51">
        <f>SUM(June06_2020[KSI_PMS])</f>
        <v>1105000</v>
      </c>
      <c r="E20" s="51">
        <f>SUM(June06_2020[BUIPE_AGO])</f>
        <v>0</v>
      </c>
      <c r="F20" s="51">
        <f>SUM(June06_2020[BUIPE_PMS])</f>
        <v>1432000</v>
      </c>
      <c r="G20" s="51">
        <f>SUM(June06_2020[AKOSOMBO_AGO])</f>
        <v>0</v>
      </c>
      <c r="H20" s="52"/>
    </row>
    <row r="21" spans="1:8" x14ac:dyDescent="0.3">
      <c r="B21" s="8"/>
      <c r="C21" s="24"/>
      <c r="D21" s="24"/>
      <c r="E21" s="24"/>
      <c r="F21" s="24"/>
      <c r="G21" s="24"/>
      <c r="H21"/>
    </row>
    <row r="22" spans="1:8" x14ac:dyDescent="0.3">
      <c r="B22" s="1" t="s">
        <v>6</v>
      </c>
      <c r="C22" s="1" t="s">
        <v>4</v>
      </c>
      <c r="D22" s="5">
        <f>SUMIF(June06_2020[[#Headers],[KSI_AGO]:[AKOSOMBO_AGO]],"*"&amp;C22,June06_2020[[#Totals],[KSI_AGO]:[AKOSOMBO_AGO]])</f>
        <v>0</v>
      </c>
      <c r="E22" s="1" t="s">
        <v>5</v>
      </c>
      <c r="F22" s="5">
        <f>SUMIF(June06_2020[[#Headers],[KSI_AGO]:[AKOSOMBO_AGO]],"*"&amp;E22,June06_2020[[#Totals],[KSI_AGO]:[AKOSOMBO_AGO]])</f>
        <v>2537000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8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06">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C14" sqref="C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43990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43990</v>
      </c>
    </row>
    <row r="7" spans="2:11" x14ac:dyDescent="0.3">
      <c r="B7" s="6" t="s">
        <v>37</v>
      </c>
      <c r="C7" s="22"/>
      <c r="D7" s="22"/>
      <c r="E7" s="22"/>
      <c r="F7" s="22"/>
      <c r="G7" s="22"/>
      <c r="H7" s="67">
        <f>$G$3</f>
        <v>43990</v>
      </c>
    </row>
    <row r="8" spans="2:11" x14ac:dyDescent="0.3">
      <c r="B8" s="6" t="s">
        <v>17</v>
      </c>
      <c r="C8" s="22"/>
      <c r="D8" s="22"/>
      <c r="E8" s="22"/>
      <c r="F8" s="22"/>
      <c r="G8" s="22"/>
      <c r="H8" s="12">
        <f t="shared" si="0"/>
        <v>43990</v>
      </c>
    </row>
    <row r="9" spans="2:11" ht="15.6" x14ac:dyDescent="0.3">
      <c r="B9" s="34" t="s">
        <v>0</v>
      </c>
      <c r="C9" s="60"/>
      <c r="D9" s="60"/>
      <c r="E9" s="60"/>
      <c r="F9" s="60"/>
      <c r="G9" s="61"/>
      <c r="H9" s="12">
        <f t="shared" si="0"/>
        <v>43990</v>
      </c>
    </row>
    <row r="10" spans="2:11" x14ac:dyDescent="0.3">
      <c r="B10" s="6" t="s">
        <v>25</v>
      </c>
      <c r="C10" s="22"/>
      <c r="D10" s="22">
        <v>477000</v>
      </c>
      <c r="E10" s="22"/>
      <c r="F10" s="22">
        <v>324000</v>
      </c>
      <c r="G10" s="22"/>
      <c r="H10" s="12">
        <f t="shared" si="0"/>
        <v>43990</v>
      </c>
    </row>
    <row r="11" spans="2:11" x14ac:dyDescent="0.3">
      <c r="B11" s="6" t="s">
        <v>15</v>
      </c>
      <c r="C11" s="22"/>
      <c r="D11" s="22"/>
      <c r="E11" s="22"/>
      <c r="F11" s="48"/>
      <c r="G11" s="22"/>
      <c r="H11" s="12">
        <f t="shared" si="0"/>
        <v>43990</v>
      </c>
    </row>
    <row r="12" spans="2:11" x14ac:dyDescent="0.3">
      <c r="B12" s="6" t="s">
        <v>26</v>
      </c>
      <c r="C12" s="22"/>
      <c r="D12" s="22">
        <v>148500</v>
      </c>
      <c r="E12" s="22"/>
      <c r="F12" s="22"/>
      <c r="G12" s="22"/>
      <c r="H12" s="12">
        <f t="shared" si="0"/>
        <v>43990</v>
      </c>
    </row>
    <row r="13" spans="2:11" x14ac:dyDescent="0.3">
      <c r="B13" s="6" t="s">
        <v>22</v>
      </c>
      <c r="C13" s="23"/>
      <c r="D13" s="23">
        <v>216000</v>
      </c>
      <c r="E13" s="23"/>
      <c r="F13" s="22"/>
      <c r="G13" s="23"/>
      <c r="H13" s="12">
        <f t="shared" si="0"/>
        <v>43990</v>
      </c>
      <c r="K13" s="4"/>
    </row>
    <row r="14" spans="2:11" x14ac:dyDescent="0.3">
      <c r="B14" s="6" t="s">
        <v>19</v>
      </c>
      <c r="C14" s="22"/>
      <c r="D14" s="22">
        <v>629500</v>
      </c>
      <c r="E14" s="22"/>
      <c r="F14" s="22">
        <v>378000</v>
      </c>
      <c r="G14" s="22"/>
      <c r="H14" s="12">
        <f t="shared" si="0"/>
        <v>43990</v>
      </c>
    </row>
    <row r="15" spans="2:11" x14ac:dyDescent="0.3">
      <c r="B15" s="6" t="s">
        <v>14</v>
      </c>
      <c r="C15" s="22"/>
      <c r="D15" s="22">
        <v>432000</v>
      </c>
      <c r="E15" s="22"/>
      <c r="F15" s="22">
        <v>317000</v>
      </c>
      <c r="G15" s="22"/>
      <c r="H15" s="12">
        <f t="shared" si="0"/>
        <v>43990</v>
      </c>
    </row>
    <row r="16" spans="2:11" x14ac:dyDescent="0.3">
      <c r="B16" s="6" t="s">
        <v>24</v>
      </c>
      <c r="C16" s="22"/>
      <c r="D16" s="22"/>
      <c r="E16" s="22"/>
      <c r="F16" s="49"/>
      <c r="G16" s="22"/>
      <c r="H16" s="12">
        <f t="shared" si="0"/>
        <v>43990</v>
      </c>
    </row>
    <row r="17" spans="1:8" x14ac:dyDescent="0.3">
      <c r="B17" s="6" t="s">
        <v>21</v>
      </c>
      <c r="C17" s="22"/>
      <c r="D17" s="22"/>
      <c r="E17" s="22"/>
      <c r="F17" s="22"/>
      <c r="G17" s="22"/>
      <c r="H17" s="12">
        <f t="shared" si="0"/>
        <v>43990</v>
      </c>
    </row>
    <row r="18" spans="1:8" x14ac:dyDescent="0.3">
      <c r="B18" s="6" t="s">
        <v>18</v>
      </c>
      <c r="C18" s="22"/>
      <c r="D18" s="22"/>
      <c r="E18" s="22"/>
      <c r="F18" s="22"/>
      <c r="G18" s="22"/>
      <c r="H18" s="12">
        <f t="shared" si="0"/>
        <v>43990</v>
      </c>
    </row>
    <row r="19" spans="1:8" x14ac:dyDescent="0.3">
      <c r="B19" s="6" t="s">
        <v>16</v>
      </c>
      <c r="C19" s="22"/>
      <c r="D19" s="22"/>
      <c r="E19" s="22"/>
      <c r="F19" s="22"/>
      <c r="G19" s="22"/>
      <c r="H19" s="12">
        <f t="shared" si="0"/>
        <v>43990</v>
      </c>
    </row>
    <row r="20" spans="1:8" x14ac:dyDescent="0.3">
      <c r="B20" s="50" t="s">
        <v>27</v>
      </c>
      <c r="C20" s="51">
        <f>SUM(June08_2020[KSI_AGO])</f>
        <v>0</v>
      </c>
      <c r="D20" s="51">
        <f>SUM(June08_2020[KSI_PMS])</f>
        <v>1903000</v>
      </c>
      <c r="E20" s="51">
        <f>SUM(June08_2020[BUIPE_AGO])</f>
        <v>0</v>
      </c>
      <c r="F20" s="51">
        <f>SUM(June08_2020[BUIPE_PMS])</f>
        <v>1019000</v>
      </c>
      <c r="G20" s="51">
        <f>SUM(June08_2020[AKOSOMBO_AGO])</f>
        <v>0</v>
      </c>
      <c r="H20" s="52"/>
    </row>
    <row r="21" spans="1:8" x14ac:dyDescent="0.3">
      <c r="B21" s="8"/>
      <c r="C21" s="24"/>
      <c r="D21" s="24"/>
      <c r="E21" s="24"/>
      <c r="F21" s="24"/>
      <c r="G21" s="24"/>
      <c r="H21"/>
    </row>
    <row r="22" spans="1:8" x14ac:dyDescent="0.3">
      <c r="B22" s="1" t="s">
        <v>6</v>
      </c>
      <c r="C22" s="1" t="s">
        <v>4</v>
      </c>
      <c r="D22" s="5">
        <f>SUMIF(June08_2020[[#Headers],[KSI_AGO]:[AKOSOMBO_AGO]],"*"&amp;C22,June08_2020[[#Totals],[KSI_AGO]:[AKOSOMBO_AGO]])</f>
        <v>0</v>
      </c>
      <c r="E22" s="1" t="s">
        <v>5</v>
      </c>
      <c r="F22" s="5">
        <f>SUMIF(June08_2020[[#Headers],[KSI_AGO]:[AKOSOMBO_AGO]],"*"&amp;E22,June08_2020[[#Totals],[KSI_AGO]:[AKOSOMBO_AGO]])</f>
        <v>2922000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9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7">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B20" sqref="B2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43991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43991</v>
      </c>
    </row>
    <row r="7" spans="2:11" x14ac:dyDescent="0.3">
      <c r="B7" s="6" t="s">
        <v>37</v>
      </c>
      <c r="C7" s="22"/>
      <c r="D7" s="22"/>
      <c r="E7" s="22"/>
      <c r="F7" s="22"/>
      <c r="G7" s="22"/>
      <c r="H7" s="67">
        <f>$G$3</f>
        <v>43991</v>
      </c>
    </row>
    <row r="8" spans="2:11" x14ac:dyDescent="0.3">
      <c r="B8" s="6" t="s">
        <v>17</v>
      </c>
      <c r="C8" s="22"/>
      <c r="D8" s="22"/>
      <c r="E8" s="22">
        <v>898000</v>
      </c>
      <c r="F8" s="22"/>
      <c r="G8" s="22"/>
      <c r="H8" s="12">
        <f t="shared" si="0"/>
        <v>43991</v>
      </c>
    </row>
    <row r="9" spans="2:11" ht="15.6" x14ac:dyDescent="0.3">
      <c r="B9" s="34" t="s">
        <v>0</v>
      </c>
      <c r="C9" s="60"/>
      <c r="D9" s="60"/>
      <c r="E9" s="60"/>
      <c r="F9" s="60"/>
      <c r="G9" s="61"/>
      <c r="H9" s="12">
        <f t="shared" si="0"/>
        <v>43991</v>
      </c>
    </row>
    <row r="10" spans="2:11" x14ac:dyDescent="0.3">
      <c r="B10" s="6" t="s">
        <v>25</v>
      </c>
      <c r="C10" s="22"/>
      <c r="D10" s="22">
        <v>414000</v>
      </c>
      <c r="E10" s="22"/>
      <c r="F10" s="22">
        <v>266000</v>
      </c>
      <c r="G10" s="22"/>
      <c r="H10" s="12">
        <f t="shared" si="0"/>
        <v>43991</v>
      </c>
    </row>
    <row r="11" spans="2:11" x14ac:dyDescent="0.3">
      <c r="B11" s="6" t="s">
        <v>15</v>
      </c>
      <c r="C11" s="22"/>
      <c r="D11" s="22"/>
      <c r="E11" s="22"/>
      <c r="F11" s="48"/>
      <c r="G11" s="22"/>
      <c r="H11" s="12">
        <f t="shared" si="0"/>
        <v>43991</v>
      </c>
    </row>
    <row r="12" spans="2:11" x14ac:dyDescent="0.3">
      <c r="B12" s="6" t="s">
        <v>26</v>
      </c>
      <c r="C12" s="22"/>
      <c r="D12" s="22"/>
      <c r="E12" s="22"/>
      <c r="F12" s="22"/>
      <c r="G12" s="22"/>
      <c r="H12" s="12">
        <f t="shared" si="0"/>
        <v>43991</v>
      </c>
    </row>
    <row r="13" spans="2:11" x14ac:dyDescent="0.3">
      <c r="B13" s="6" t="s">
        <v>22</v>
      </c>
      <c r="C13" s="23"/>
      <c r="D13" s="23">
        <v>513000</v>
      </c>
      <c r="E13" s="23"/>
      <c r="F13" s="22"/>
      <c r="G13" s="23"/>
      <c r="H13" s="12">
        <f t="shared" si="0"/>
        <v>43991</v>
      </c>
      <c r="K13" s="4"/>
    </row>
    <row r="14" spans="2:11" x14ac:dyDescent="0.3">
      <c r="B14" s="6" t="s">
        <v>19</v>
      </c>
      <c r="C14" s="22"/>
      <c r="D14" s="22">
        <v>536000</v>
      </c>
      <c r="E14" s="22"/>
      <c r="F14" s="22">
        <v>104000</v>
      </c>
      <c r="G14" s="22"/>
      <c r="H14" s="12">
        <f t="shared" si="0"/>
        <v>43991</v>
      </c>
    </row>
    <row r="15" spans="2:11" x14ac:dyDescent="0.3">
      <c r="B15" s="6" t="s">
        <v>14</v>
      </c>
      <c r="C15" s="22"/>
      <c r="D15" s="22">
        <v>423000</v>
      </c>
      <c r="E15" s="22"/>
      <c r="F15" s="22">
        <v>432000</v>
      </c>
      <c r="G15" s="22"/>
      <c r="H15" s="12">
        <f t="shared" si="0"/>
        <v>43991</v>
      </c>
    </row>
    <row r="16" spans="2:11" x14ac:dyDescent="0.3">
      <c r="B16" s="6" t="s">
        <v>24</v>
      </c>
      <c r="C16" s="22"/>
      <c r="D16" s="22"/>
      <c r="E16" s="22"/>
      <c r="F16" s="49"/>
      <c r="G16" s="22"/>
      <c r="H16" s="12">
        <f t="shared" si="0"/>
        <v>43991</v>
      </c>
    </row>
    <row r="17" spans="1:8" x14ac:dyDescent="0.3">
      <c r="B17" s="6" t="s">
        <v>21</v>
      </c>
      <c r="C17" s="22"/>
      <c r="D17" s="22"/>
      <c r="E17" s="22"/>
      <c r="F17" s="22"/>
      <c r="G17" s="22"/>
      <c r="H17" s="12">
        <f t="shared" si="0"/>
        <v>43991</v>
      </c>
    </row>
    <row r="18" spans="1:8" x14ac:dyDescent="0.3">
      <c r="B18" s="6" t="s">
        <v>18</v>
      </c>
      <c r="C18" s="22"/>
      <c r="D18" s="22"/>
      <c r="E18" s="22"/>
      <c r="F18" s="22"/>
      <c r="G18" s="22"/>
      <c r="H18" s="12">
        <f t="shared" si="0"/>
        <v>43991</v>
      </c>
    </row>
    <row r="19" spans="1:8" x14ac:dyDescent="0.3">
      <c r="B19" s="6" t="s">
        <v>16</v>
      </c>
      <c r="C19" s="22"/>
      <c r="D19" s="22"/>
      <c r="E19" s="22"/>
      <c r="F19" s="22"/>
      <c r="G19" s="22"/>
      <c r="H19" s="12">
        <f t="shared" si="0"/>
        <v>43991</v>
      </c>
    </row>
    <row r="20" spans="1:8" x14ac:dyDescent="0.3">
      <c r="B20" s="50" t="s">
        <v>27</v>
      </c>
      <c r="C20" s="51">
        <f>SUM(June09_2020[KSI_AGO])</f>
        <v>0</v>
      </c>
      <c r="D20" s="51">
        <f>SUM(June09_2020[KSI_PMS])</f>
        <v>1886000</v>
      </c>
      <c r="E20" s="51">
        <f>SUM(June09_2020[BUIPE_AGO])</f>
        <v>898000</v>
      </c>
      <c r="F20" s="51">
        <f>SUM(June09_2020[BUIPE_PMS])</f>
        <v>802000</v>
      </c>
      <c r="G20" s="51">
        <f>SUM(June09_2020[AKOSOMBO_AGO])</f>
        <v>0</v>
      </c>
      <c r="H20" s="52"/>
    </row>
    <row r="21" spans="1:8" x14ac:dyDescent="0.3">
      <c r="B21" s="8"/>
      <c r="C21" s="24"/>
      <c r="D21" s="24"/>
      <c r="E21" s="24"/>
      <c r="F21" s="24"/>
      <c r="G21" s="24"/>
      <c r="H21"/>
    </row>
    <row r="22" spans="1:8" x14ac:dyDescent="0.3">
      <c r="B22" s="1" t="s">
        <v>6</v>
      </c>
      <c r="C22" s="1" t="s">
        <v>4</v>
      </c>
      <c r="D22" s="5">
        <f>SUMIF(June09_2020[[#Headers],[KSI_AGO]:[AKOSOMBO_AGO]],"*"&amp;C22,June09_2020[[#Totals],[KSI_AGO]:[AKOSOMBO_AGO]])</f>
        <v>898000</v>
      </c>
      <c r="E22" s="1" t="s">
        <v>5</v>
      </c>
      <c r="F22" s="5">
        <f>SUMIF(June09_2020[[#Headers],[KSI_AGO]:[AKOSOMBO_AGO]],"*"&amp;E22,June09_2020[[#Totals],[KSI_AGO]:[AKOSOMBO_AGO]])</f>
        <v>2688000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A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08">
    <pageSetUpPr fitToPage="1"/>
  </sheetPr>
  <dimension ref="A1:K32"/>
  <sheetViews>
    <sheetView zoomScaleNormal="100" workbookViewId="0">
      <pane xSplit="1" ySplit="5" topLeftCell="B6" activePane="bottomRight" state="frozen"/>
      <selection activeCell="E3" sqref="E3"/>
      <selection pane="topRight" activeCell="E3" sqref="E3"/>
      <selection pane="bottomLeft" activeCell="E3" sqref="E3"/>
      <selection pane="bottomRight" activeCell="E17" sqref="E17"/>
    </sheetView>
  </sheetViews>
  <sheetFormatPr defaultColWidth="9.109375" defaultRowHeight="14.4" x14ac:dyDescent="0.3"/>
  <cols>
    <col min="1" max="1" width="6.88671875" style="1" customWidth="1"/>
    <col min="2" max="2" width="26.109375" style="1" customWidth="1"/>
    <col min="3" max="3" width="14.44140625" style="1" customWidth="1"/>
    <col min="4" max="4" width="18.5546875" style="1" customWidth="1"/>
    <col min="5" max="5" width="18.109375" style="1" customWidth="1"/>
    <col min="6" max="6" width="18.5546875" style="1" customWidth="1"/>
    <col min="7" max="7" width="27.5546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43992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43992</v>
      </c>
    </row>
    <row r="7" spans="2:11" x14ac:dyDescent="0.3">
      <c r="B7" s="6" t="s">
        <v>37</v>
      </c>
      <c r="C7" s="22"/>
      <c r="D7" s="22"/>
      <c r="E7" s="22"/>
      <c r="F7" s="22"/>
      <c r="G7" s="22"/>
      <c r="H7" s="67">
        <f>$G$3</f>
        <v>43992</v>
      </c>
    </row>
    <row r="8" spans="2:11" x14ac:dyDescent="0.3">
      <c r="B8" s="6" t="s">
        <v>17</v>
      </c>
      <c r="C8" s="22"/>
      <c r="D8" s="22"/>
      <c r="E8" s="22">
        <v>50000</v>
      </c>
      <c r="F8" s="22"/>
      <c r="G8" s="22"/>
      <c r="H8" s="12">
        <f t="shared" si="0"/>
        <v>43992</v>
      </c>
    </row>
    <row r="9" spans="2:11" ht="15.6" x14ac:dyDescent="0.3">
      <c r="B9" s="34" t="s">
        <v>0</v>
      </c>
      <c r="C9" s="60"/>
      <c r="D9" s="60"/>
      <c r="E9" s="60"/>
      <c r="F9" s="60"/>
      <c r="G9" s="61"/>
      <c r="H9" s="12">
        <f t="shared" si="0"/>
        <v>43992</v>
      </c>
    </row>
    <row r="10" spans="2:11" x14ac:dyDescent="0.3">
      <c r="B10" s="6" t="s">
        <v>25</v>
      </c>
      <c r="C10" s="22"/>
      <c r="D10" s="22">
        <v>365000</v>
      </c>
      <c r="E10" s="22"/>
      <c r="F10" s="22">
        <v>259000</v>
      </c>
      <c r="G10" s="22"/>
      <c r="H10" s="12">
        <f t="shared" si="0"/>
        <v>43992</v>
      </c>
    </row>
    <row r="11" spans="2:11" x14ac:dyDescent="0.3">
      <c r="B11" s="6" t="s">
        <v>15</v>
      </c>
      <c r="C11" s="22"/>
      <c r="D11" s="22"/>
      <c r="E11" s="22"/>
      <c r="F11" s="48">
        <v>45000</v>
      </c>
      <c r="G11" s="22"/>
      <c r="H11" s="12">
        <f t="shared" si="0"/>
        <v>43992</v>
      </c>
    </row>
    <row r="12" spans="2:11" x14ac:dyDescent="0.3">
      <c r="B12" s="6" t="s">
        <v>26</v>
      </c>
      <c r="C12" s="22"/>
      <c r="D12" s="22"/>
      <c r="E12" s="22"/>
      <c r="F12" s="22"/>
      <c r="G12" s="22"/>
      <c r="H12" s="12">
        <f t="shared" si="0"/>
        <v>43992</v>
      </c>
    </row>
    <row r="13" spans="2:11" x14ac:dyDescent="0.3">
      <c r="B13" s="6" t="s">
        <v>22</v>
      </c>
      <c r="C13" s="23"/>
      <c r="D13" s="23">
        <v>200000</v>
      </c>
      <c r="E13" s="23"/>
      <c r="F13" s="22"/>
      <c r="G13" s="23"/>
      <c r="H13" s="12">
        <f t="shared" si="0"/>
        <v>43992</v>
      </c>
      <c r="K13" s="4"/>
    </row>
    <row r="14" spans="2:11" x14ac:dyDescent="0.3">
      <c r="B14" s="6" t="s">
        <v>19</v>
      </c>
      <c r="C14" s="22"/>
      <c r="D14" s="22">
        <v>639500</v>
      </c>
      <c r="E14" s="22"/>
      <c r="F14" s="22">
        <v>108000</v>
      </c>
      <c r="G14" s="22"/>
      <c r="H14" s="12">
        <f t="shared" si="0"/>
        <v>43992</v>
      </c>
    </row>
    <row r="15" spans="2:11" x14ac:dyDescent="0.3">
      <c r="B15" s="6" t="s">
        <v>14</v>
      </c>
      <c r="C15" s="22"/>
      <c r="D15" s="22">
        <v>162000</v>
      </c>
      <c r="E15" s="22"/>
      <c r="F15" s="22">
        <v>270000</v>
      </c>
      <c r="G15" s="22"/>
      <c r="H15" s="12">
        <f t="shared" si="0"/>
        <v>43992</v>
      </c>
    </row>
    <row r="16" spans="2:11" x14ac:dyDescent="0.3">
      <c r="B16" s="6" t="s">
        <v>24</v>
      </c>
      <c r="C16" s="22"/>
      <c r="D16" s="22"/>
      <c r="E16" s="22"/>
      <c r="F16" s="49"/>
      <c r="G16" s="22"/>
      <c r="H16" s="12">
        <f t="shared" si="0"/>
        <v>43992</v>
      </c>
    </row>
    <row r="17" spans="1:8" x14ac:dyDescent="0.3">
      <c r="B17" s="6" t="s">
        <v>21</v>
      </c>
      <c r="C17" s="22"/>
      <c r="D17" s="22"/>
      <c r="E17" s="22"/>
      <c r="F17" s="22"/>
      <c r="G17" s="22"/>
      <c r="H17" s="12">
        <f t="shared" si="0"/>
        <v>43992</v>
      </c>
    </row>
    <row r="18" spans="1:8" x14ac:dyDescent="0.3">
      <c r="B18" s="6" t="s">
        <v>18</v>
      </c>
      <c r="C18" s="22"/>
      <c r="D18" s="22">
        <v>419000</v>
      </c>
      <c r="E18" s="22"/>
      <c r="F18" s="22">
        <v>428000</v>
      </c>
      <c r="G18" s="22"/>
      <c r="H18" s="12">
        <f t="shared" si="0"/>
        <v>43992</v>
      </c>
    </row>
    <row r="19" spans="1:8" x14ac:dyDescent="0.3">
      <c r="B19" s="6" t="s">
        <v>16</v>
      </c>
      <c r="C19" s="22"/>
      <c r="D19" s="22"/>
      <c r="E19" s="22"/>
      <c r="F19" s="22"/>
      <c r="G19" s="22"/>
      <c r="H19" s="12">
        <f t="shared" si="0"/>
        <v>43992</v>
      </c>
    </row>
    <row r="20" spans="1:8" x14ac:dyDescent="0.3">
      <c r="B20" s="50" t="s">
        <v>27</v>
      </c>
      <c r="C20" s="51">
        <f>SUM(June10_2020[KSI_AGO])</f>
        <v>0</v>
      </c>
      <c r="D20" s="51">
        <f>SUM(June10_2020[KSI_PMS])</f>
        <v>1785500</v>
      </c>
      <c r="E20" s="51">
        <f>SUM(June10_2020[BUIPE_AGO])</f>
        <v>50000</v>
      </c>
      <c r="F20" s="51">
        <f>SUM(June10_2020[BUIPE_PMS])</f>
        <v>1110000</v>
      </c>
      <c r="G20" s="51">
        <f>SUM(June10_2020[AKOSOMBO_AGO])</f>
        <v>0</v>
      </c>
      <c r="H20" s="52"/>
    </row>
    <row r="21" spans="1:8" x14ac:dyDescent="0.3">
      <c r="B21" s="8"/>
      <c r="C21" s="24"/>
      <c r="D21" s="24"/>
      <c r="E21" s="24"/>
      <c r="F21" s="24"/>
      <c r="G21" s="24"/>
      <c r="H21"/>
    </row>
    <row r="22" spans="1:8" x14ac:dyDescent="0.3">
      <c r="B22" s="1" t="s">
        <v>6</v>
      </c>
      <c r="C22" s="1" t="s">
        <v>4</v>
      </c>
      <c r="D22" s="5">
        <f>SUMIF(June10_2020[[#Headers],[KSI_AGO]:[AKOSOMBO_AGO]],"*"&amp;C22,June10_2020[[#Totals],[KSI_AGO]:[AKOSOMBO_AGO]])</f>
        <v>50000</v>
      </c>
      <c r="E22" s="1" t="s">
        <v>5</v>
      </c>
      <c r="F22" s="5">
        <f>SUMIF(June10_2020[[#Headers],[KSI_AGO]:[AKOSOMBO_AGO]],"*"&amp;E22,June10_2020[[#Totals],[KSI_AGO]:[AKOSOMBO_AGO]])</f>
        <v>2895500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B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09">
    <pageSetUpPr fitToPage="1"/>
  </sheetPr>
  <dimension ref="A1:K32"/>
  <sheetViews>
    <sheetView zoomScale="115" zoomScaleNormal="115" workbookViewId="0">
      <pane xSplit="1" ySplit="5" topLeftCell="C9" activePane="bottomRight" state="frozen"/>
      <selection activeCell="E3" sqref="E3"/>
      <selection pane="topRight" activeCell="E3" sqref="E3"/>
      <selection pane="bottomLeft" activeCell="E3" sqref="E3"/>
      <selection pane="bottomRight" activeCell="D11" sqref="D11"/>
    </sheetView>
  </sheetViews>
  <sheetFormatPr defaultColWidth="9.109375" defaultRowHeight="14.4" x14ac:dyDescent="0.3"/>
  <cols>
    <col min="1" max="1" width="6.88671875" style="1" customWidth="1"/>
    <col min="2" max="2" width="26.109375" style="1" customWidth="1"/>
    <col min="3" max="3" width="16.88671875" style="1" customWidth="1"/>
    <col min="4" max="4" width="15.88671875" style="1" customWidth="1"/>
    <col min="5" max="5" width="18.109375" style="1" customWidth="1"/>
    <col min="6" max="6" width="18.88671875" style="1" customWidth="1"/>
    <col min="7" max="7" width="28.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43993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43993</v>
      </c>
    </row>
    <row r="7" spans="2:11" x14ac:dyDescent="0.3">
      <c r="B7" s="6" t="s">
        <v>37</v>
      </c>
      <c r="C7" s="22"/>
      <c r="D7" s="22"/>
      <c r="E7" s="22"/>
      <c r="F7" s="22"/>
      <c r="G7" s="22"/>
      <c r="H7" s="67">
        <f>$G$3</f>
        <v>43993</v>
      </c>
    </row>
    <row r="8" spans="2:11" x14ac:dyDescent="0.3">
      <c r="B8" s="6" t="s">
        <v>17</v>
      </c>
      <c r="C8" s="22"/>
      <c r="D8" s="22">
        <v>162000</v>
      </c>
      <c r="E8" s="22"/>
      <c r="F8" s="22">
        <v>428000</v>
      </c>
      <c r="G8" s="22"/>
      <c r="H8" s="12">
        <f t="shared" si="0"/>
        <v>43993</v>
      </c>
    </row>
    <row r="9" spans="2:11" ht="15.6" x14ac:dyDescent="0.3">
      <c r="B9" s="34" t="s">
        <v>0</v>
      </c>
      <c r="C9" s="60"/>
      <c r="D9" s="60"/>
      <c r="E9" s="60"/>
      <c r="F9" s="60"/>
      <c r="G9" s="61"/>
      <c r="H9" s="12">
        <f t="shared" si="0"/>
        <v>43993</v>
      </c>
    </row>
    <row r="10" spans="2:11" x14ac:dyDescent="0.3">
      <c r="B10" s="6" t="s">
        <v>25</v>
      </c>
      <c r="C10" s="22"/>
      <c r="D10" s="22">
        <v>216000</v>
      </c>
      <c r="E10" s="22"/>
      <c r="F10" s="22">
        <v>108000</v>
      </c>
      <c r="G10" s="22"/>
      <c r="H10" s="12">
        <f t="shared" si="0"/>
        <v>43993</v>
      </c>
    </row>
    <row r="11" spans="2:11" x14ac:dyDescent="0.3">
      <c r="B11" s="6" t="s">
        <v>15</v>
      </c>
      <c r="C11" s="22"/>
      <c r="D11" s="22"/>
      <c r="E11" s="22"/>
      <c r="F11" s="48"/>
      <c r="G11" s="22"/>
      <c r="H11" s="12">
        <f t="shared" si="0"/>
        <v>43993</v>
      </c>
    </row>
    <row r="12" spans="2:11" x14ac:dyDescent="0.3">
      <c r="B12" s="6" t="s">
        <v>26</v>
      </c>
      <c r="C12" s="22"/>
      <c r="D12" s="22"/>
      <c r="E12" s="22"/>
      <c r="F12" s="22"/>
      <c r="G12" s="22"/>
      <c r="H12" s="12">
        <f t="shared" si="0"/>
        <v>43993</v>
      </c>
    </row>
    <row r="13" spans="2:11" x14ac:dyDescent="0.3">
      <c r="B13" s="6" t="s">
        <v>22</v>
      </c>
      <c r="C13" s="23"/>
      <c r="D13" s="23">
        <v>369500</v>
      </c>
      <c r="E13" s="23"/>
      <c r="F13" s="22"/>
      <c r="G13" s="23"/>
      <c r="H13" s="12">
        <f t="shared" si="0"/>
        <v>43993</v>
      </c>
      <c r="K13" s="4"/>
    </row>
    <row r="14" spans="2:11" x14ac:dyDescent="0.3">
      <c r="B14" s="6" t="s">
        <v>19</v>
      </c>
      <c r="C14" s="22"/>
      <c r="D14" s="22">
        <v>627500</v>
      </c>
      <c r="E14" s="22"/>
      <c r="F14" s="22"/>
      <c r="G14" s="22"/>
      <c r="H14" s="12">
        <f t="shared" si="0"/>
        <v>43993</v>
      </c>
    </row>
    <row r="15" spans="2:11" x14ac:dyDescent="0.3">
      <c r="B15" s="6" t="s">
        <v>14</v>
      </c>
      <c r="C15" s="22"/>
      <c r="D15" s="22">
        <v>643500</v>
      </c>
      <c r="E15" s="22"/>
      <c r="F15" s="22"/>
      <c r="G15" s="22"/>
      <c r="H15" s="12">
        <f t="shared" si="0"/>
        <v>43993</v>
      </c>
    </row>
    <row r="16" spans="2:11" x14ac:dyDescent="0.3">
      <c r="B16" s="6" t="s">
        <v>24</v>
      </c>
      <c r="C16" s="22"/>
      <c r="D16" s="22"/>
      <c r="E16" s="22"/>
      <c r="F16" s="49"/>
      <c r="G16" s="22"/>
      <c r="H16" s="12">
        <f t="shared" si="0"/>
        <v>43993</v>
      </c>
    </row>
    <row r="17" spans="1:8" x14ac:dyDescent="0.3">
      <c r="B17" s="6" t="s">
        <v>21</v>
      </c>
      <c r="C17" s="22"/>
      <c r="D17" s="22"/>
      <c r="E17" s="22"/>
      <c r="F17" s="22"/>
      <c r="G17" s="22"/>
      <c r="H17" s="12">
        <f t="shared" si="0"/>
        <v>43993</v>
      </c>
    </row>
    <row r="18" spans="1:8" x14ac:dyDescent="0.3">
      <c r="B18" s="6" t="s">
        <v>18</v>
      </c>
      <c r="C18" s="22"/>
      <c r="D18" s="22">
        <v>207000</v>
      </c>
      <c r="E18" s="22"/>
      <c r="F18" s="22">
        <v>54000</v>
      </c>
      <c r="G18" s="22"/>
      <c r="H18" s="12">
        <f t="shared" si="0"/>
        <v>43993</v>
      </c>
    </row>
    <row r="19" spans="1:8" x14ac:dyDescent="0.3">
      <c r="B19" s="6" t="s">
        <v>16</v>
      </c>
      <c r="C19" s="22"/>
      <c r="D19" s="22"/>
      <c r="E19" s="22"/>
      <c r="F19" s="22"/>
      <c r="G19" s="22"/>
      <c r="H19" s="12">
        <f t="shared" si="0"/>
        <v>43993</v>
      </c>
    </row>
    <row r="20" spans="1:8" x14ac:dyDescent="0.3">
      <c r="B20" s="50" t="s">
        <v>27</v>
      </c>
      <c r="C20" s="51">
        <f>SUM(June11_2020[KSI_AGO])</f>
        <v>0</v>
      </c>
      <c r="D20" s="51">
        <f>SUM(June11_2020[KSI_PMS])</f>
        <v>2225500</v>
      </c>
      <c r="E20" s="51">
        <f>SUM(June11_2020[BUIPE_AGO])</f>
        <v>0</v>
      </c>
      <c r="F20" s="51">
        <f>SUM(June11_2020[BUIPE_PMS])</f>
        <v>590000</v>
      </c>
      <c r="G20" s="51">
        <f>SUM(June11_2020[AKOSOMBO_AGO])</f>
        <v>0</v>
      </c>
      <c r="H20" s="52"/>
    </row>
    <row r="21" spans="1:8" x14ac:dyDescent="0.3">
      <c r="B21" s="8"/>
      <c r="C21" s="24"/>
      <c r="D21" s="24"/>
      <c r="E21" s="24"/>
      <c r="F21" s="24"/>
      <c r="G21" s="24"/>
      <c r="H21"/>
    </row>
    <row r="22" spans="1:8" x14ac:dyDescent="0.3">
      <c r="B22" s="1" t="s">
        <v>6</v>
      </c>
      <c r="C22" s="1" t="s">
        <v>4</v>
      </c>
      <c r="D22" s="5">
        <f>SUMIF(June11_2020[[#Headers],[KSI_AGO]:[AKOSOMBO_AGO]],"*"&amp;C22,June11_2020[[#Totals],[KSI_AGO]:[AKOSOMBO_AGO]])</f>
        <v>0</v>
      </c>
      <c r="E22" s="1" t="s">
        <v>5</v>
      </c>
      <c r="F22" s="5">
        <f>SUMIF(June11_2020[[#Headers],[KSI_AGO]:[AKOSOMBO_AGO]],"*"&amp;E22,June11_2020[[#Totals],[KSI_AGO]:[AKOSOMBO_AGO]])</f>
        <v>2815500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C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10">
    <pageSetUpPr fitToPage="1"/>
  </sheetPr>
  <dimension ref="A1:K32"/>
  <sheetViews>
    <sheetView zoomScale="115" zoomScaleNormal="115" workbookViewId="0">
      <pane xSplit="1" ySplit="5" topLeftCell="B9" activePane="bottomRight" state="frozen"/>
      <selection activeCell="E3" sqref="E3"/>
      <selection pane="topRight" activeCell="E3" sqref="E3"/>
      <selection pane="bottomLeft" activeCell="E3" sqref="E3"/>
      <selection pane="bottomRight" activeCell="F16" sqref="F16"/>
    </sheetView>
  </sheetViews>
  <sheetFormatPr defaultColWidth="9.109375" defaultRowHeight="14.4" x14ac:dyDescent="0.3"/>
  <cols>
    <col min="1" max="1" width="6.88671875" style="1" customWidth="1"/>
    <col min="2" max="2" width="26.109375" style="1" customWidth="1"/>
    <col min="3" max="3" width="16.5546875" style="1" customWidth="1"/>
    <col min="4" max="4" width="16" style="1" customWidth="1"/>
    <col min="5" max="5" width="18.44140625" style="1" bestFit="1" customWidth="1"/>
    <col min="6" max="6" width="20" style="1" customWidth="1"/>
    <col min="7" max="7" width="28.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43994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43994</v>
      </c>
    </row>
    <row r="7" spans="2:11" x14ac:dyDescent="0.3">
      <c r="B7" s="6" t="s">
        <v>37</v>
      </c>
      <c r="C7" s="22"/>
      <c r="D7" s="22"/>
      <c r="E7" s="22"/>
      <c r="F7" s="22"/>
      <c r="G7" s="22"/>
      <c r="H7" s="67">
        <f>$G$3</f>
        <v>43994</v>
      </c>
    </row>
    <row r="8" spans="2:11" x14ac:dyDescent="0.3">
      <c r="B8" s="6" t="s">
        <v>17</v>
      </c>
      <c r="C8" s="22"/>
      <c r="D8" s="22">
        <v>378000</v>
      </c>
      <c r="E8" s="22"/>
      <c r="F8" s="22"/>
      <c r="G8" s="22"/>
      <c r="H8" s="12">
        <f t="shared" si="0"/>
        <v>43994</v>
      </c>
    </row>
    <row r="9" spans="2:11" ht="15.6" x14ac:dyDescent="0.3">
      <c r="B9" s="34" t="s">
        <v>0</v>
      </c>
      <c r="C9" s="60"/>
      <c r="D9" s="60"/>
      <c r="E9" s="60"/>
      <c r="F9" s="60"/>
      <c r="G9" s="61"/>
      <c r="H9" s="12">
        <f t="shared" si="0"/>
        <v>43994</v>
      </c>
    </row>
    <row r="10" spans="2:11" x14ac:dyDescent="0.3">
      <c r="B10" s="6" t="s">
        <v>25</v>
      </c>
      <c r="C10" s="22"/>
      <c r="D10" s="22">
        <v>312000</v>
      </c>
      <c r="E10" s="22"/>
      <c r="F10" s="22"/>
      <c r="G10" s="22"/>
      <c r="H10" s="12">
        <f t="shared" si="0"/>
        <v>43994</v>
      </c>
    </row>
    <row r="11" spans="2:11" x14ac:dyDescent="0.3">
      <c r="B11" s="6" t="s">
        <v>15</v>
      </c>
      <c r="C11" s="22"/>
      <c r="D11" s="22"/>
      <c r="E11" s="22"/>
      <c r="F11" s="48"/>
      <c r="G11" s="22"/>
      <c r="H11" s="12">
        <f t="shared" si="0"/>
        <v>43994</v>
      </c>
    </row>
    <row r="12" spans="2:11" x14ac:dyDescent="0.3">
      <c r="B12" s="6" t="s">
        <v>26</v>
      </c>
      <c r="C12" s="22"/>
      <c r="D12" s="22"/>
      <c r="E12" s="22"/>
      <c r="F12" s="22"/>
      <c r="G12" s="22"/>
      <c r="H12" s="12">
        <f t="shared" si="0"/>
        <v>43994</v>
      </c>
    </row>
    <row r="13" spans="2:11" x14ac:dyDescent="0.3">
      <c r="B13" s="6" t="s">
        <v>22</v>
      </c>
      <c r="C13" s="23"/>
      <c r="D13" s="23">
        <v>207000</v>
      </c>
      <c r="E13" s="23"/>
      <c r="F13" s="22"/>
      <c r="G13" s="23"/>
      <c r="H13" s="12">
        <f t="shared" si="0"/>
        <v>43994</v>
      </c>
      <c r="K13" s="4"/>
    </row>
    <row r="14" spans="2:11" x14ac:dyDescent="0.3">
      <c r="B14" s="6" t="s">
        <v>19</v>
      </c>
      <c r="C14" s="22"/>
      <c r="D14" s="22"/>
      <c r="E14" s="22"/>
      <c r="F14" s="22"/>
      <c r="G14" s="22"/>
      <c r="H14" s="12">
        <f t="shared" si="0"/>
        <v>43994</v>
      </c>
    </row>
    <row r="15" spans="2:11" x14ac:dyDescent="0.3">
      <c r="B15" s="6" t="s">
        <v>14</v>
      </c>
      <c r="C15" s="22"/>
      <c r="D15" s="22">
        <v>414500</v>
      </c>
      <c r="E15" s="22"/>
      <c r="F15" s="22"/>
      <c r="G15" s="22"/>
      <c r="H15" s="12">
        <f t="shared" si="0"/>
        <v>43994</v>
      </c>
    </row>
    <row r="16" spans="2:11" x14ac:dyDescent="0.3">
      <c r="B16" s="6" t="s">
        <v>24</v>
      </c>
      <c r="C16" s="22"/>
      <c r="D16" s="22"/>
      <c r="E16" s="22"/>
      <c r="F16" s="49"/>
      <c r="G16" s="22"/>
      <c r="H16" s="12">
        <f t="shared" si="0"/>
        <v>43994</v>
      </c>
    </row>
    <row r="17" spans="1:8" x14ac:dyDescent="0.3">
      <c r="B17" s="6" t="s">
        <v>21</v>
      </c>
      <c r="C17" s="22"/>
      <c r="D17" s="22"/>
      <c r="E17" s="22"/>
      <c r="F17" s="22"/>
      <c r="G17" s="22"/>
      <c r="H17" s="12">
        <f t="shared" si="0"/>
        <v>43994</v>
      </c>
    </row>
    <row r="18" spans="1:8" x14ac:dyDescent="0.3">
      <c r="B18" s="6" t="s">
        <v>18</v>
      </c>
      <c r="C18" s="22"/>
      <c r="D18" s="22"/>
      <c r="E18" s="22"/>
      <c r="F18" s="22"/>
      <c r="G18" s="22"/>
      <c r="H18" s="12">
        <f t="shared" si="0"/>
        <v>43994</v>
      </c>
    </row>
    <row r="19" spans="1:8" x14ac:dyDescent="0.3">
      <c r="B19" s="6" t="s">
        <v>16</v>
      </c>
      <c r="C19" s="22"/>
      <c r="D19" s="22"/>
      <c r="E19" s="22"/>
      <c r="F19" s="22"/>
      <c r="G19" s="22"/>
      <c r="H19" s="12">
        <f t="shared" si="0"/>
        <v>43994</v>
      </c>
    </row>
    <row r="20" spans="1:8" x14ac:dyDescent="0.3">
      <c r="B20" s="50" t="s">
        <v>27</v>
      </c>
      <c r="C20" s="51">
        <f>SUM(June12_2020[KSI_AGO])</f>
        <v>0</v>
      </c>
      <c r="D20" s="51">
        <f>SUM(June12_2020[KSI_PMS])</f>
        <v>1311500</v>
      </c>
      <c r="E20" s="51">
        <f>SUM(June12_2020[BUIPE_AGO])</f>
        <v>0</v>
      </c>
      <c r="F20" s="51">
        <f>SUM(June12_2020[BUIPE_PMS])</f>
        <v>0</v>
      </c>
      <c r="G20" s="51">
        <f>SUM(June12_2020[AKOSOMBO_AGO])</f>
        <v>0</v>
      </c>
      <c r="H20" s="52"/>
    </row>
    <row r="21" spans="1:8" x14ac:dyDescent="0.3">
      <c r="B21" s="8"/>
      <c r="C21" s="24"/>
      <c r="D21" s="24"/>
      <c r="E21" s="24"/>
      <c r="F21" s="24"/>
      <c r="G21" s="24"/>
      <c r="H21"/>
    </row>
    <row r="22" spans="1:8" x14ac:dyDescent="0.3">
      <c r="B22" s="1" t="s">
        <v>6</v>
      </c>
      <c r="C22" s="1" t="s">
        <v>4</v>
      </c>
      <c r="D22" s="5">
        <f>SUMIF(June12_2020[[#Headers],[KSI_AGO]:[AKOSOMBO_AGO]],"*"&amp;C22,June12_2020[[#Totals],[KSI_AGO]:[AKOSOMBO_AGO]])</f>
        <v>0</v>
      </c>
      <c r="E22" s="1" t="s">
        <v>5</v>
      </c>
      <c r="F22" s="5">
        <f>SUMIF(June12_2020[[#Headers],[KSI_AGO]:[AKOSOMBO_AGO]],"*"&amp;E22,June12_2020[[#Totals],[KSI_AGO]:[AKOSOMBO_AGO]])</f>
        <v>1311500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D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1">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G17" sqref="G17"/>
    </sheetView>
  </sheetViews>
  <sheetFormatPr defaultColWidth="9.109375" defaultRowHeight="14.4" x14ac:dyDescent="0.3"/>
  <cols>
    <col min="1" max="1" width="6.88671875" style="1" customWidth="1"/>
    <col min="2" max="2" width="30" style="1" customWidth="1"/>
    <col min="3" max="3" width="15.109375" style="1" customWidth="1"/>
    <col min="4" max="4" width="15.33203125" style="1" customWidth="1"/>
    <col min="5" max="5" width="19.44140625" style="1" customWidth="1"/>
    <col min="6" max="6" width="16.44140625" style="1" customWidth="1"/>
    <col min="7" max="7" width="29.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43995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43995</v>
      </c>
    </row>
    <row r="7" spans="2:11" x14ac:dyDescent="0.3">
      <c r="B7" s="6" t="s">
        <v>37</v>
      </c>
      <c r="C7" s="22"/>
      <c r="D7" s="22"/>
      <c r="E7" s="22"/>
      <c r="F7" s="22"/>
      <c r="G7" s="22"/>
      <c r="H7" s="67">
        <f>$G$3</f>
        <v>43995</v>
      </c>
    </row>
    <row r="8" spans="2:11" x14ac:dyDescent="0.3">
      <c r="B8" s="6" t="s">
        <v>17</v>
      </c>
      <c r="C8" s="22"/>
      <c r="D8" s="22">
        <v>594000</v>
      </c>
      <c r="E8" s="22"/>
      <c r="F8" s="22">
        <v>108000</v>
      </c>
      <c r="G8" s="22"/>
      <c r="H8" s="12">
        <f t="shared" si="0"/>
        <v>43995</v>
      </c>
    </row>
    <row r="9" spans="2:11" ht="15.6" x14ac:dyDescent="0.3">
      <c r="B9" s="34" t="s">
        <v>0</v>
      </c>
      <c r="C9" s="60"/>
      <c r="D9" s="60"/>
      <c r="E9" s="60"/>
      <c r="F9" s="60"/>
      <c r="G9" s="61"/>
      <c r="H9" s="12">
        <f t="shared" si="0"/>
        <v>43995</v>
      </c>
    </row>
    <row r="10" spans="2:11" x14ac:dyDescent="0.3">
      <c r="B10" s="6" t="s">
        <v>25</v>
      </c>
      <c r="C10" s="22"/>
      <c r="D10" s="22">
        <v>266000</v>
      </c>
      <c r="E10" s="22"/>
      <c r="F10" s="22"/>
      <c r="G10" s="22"/>
      <c r="H10" s="12">
        <f t="shared" si="0"/>
        <v>43995</v>
      </c>
    </row>
    <row r="11" spans="2:11" x14ac:dyDescent="0.3">
      <c r="B11" s="6" t="s">
        <v>15</v>
      </c>
      <c r="C11" s="22"/>
      <c r="D11" s="22"/>
      <c r="E11" s="22"/>
      <c r="F11" s="48"/>
      <c r="G11" s="22"/>
      <c r="H11" s="12">
        <f t="shared" si="0"/>
        <v>43995</v>
      </c>
    </row>
    <row r="12" spans="2:11" x14ac:dyDescent="0.3">
      <c r="B12" s="6" t="s">
        <v>26</v>
      </c>
      <c r="C12" s="22"/>
      <c r="D12" s="22"/>
      <c r="E12" s="22"/>
      <c r="F12" s="22"/>
      <c r="G12" s="22"/>
      <c r="H12" s="12">
        <f t="shared" si="0"/>
        <v>43995</v>
      </c>
    </row>
    <row r="13" spans="2:11" x14ac:dyDescent="0.3">
      <c r="B13" s="6" t="s">
        <v>22</v>
      </c>
      <c r="C13" s="23"/>
      <c r="D13" s="23">
        <v>643000</v>
      </c>
      <c r="E13" s="23"/>
      <c r="F13" s="22"/>
      <c r="G13" s="23"/>
      <c r="H13" s="12">
        <f t="shared" si="0"/>
        <v>43995</v>
      </c>
      <c r="K13" s="4"/>
    </row>
    <row r="14" spans="2:11" x14ac:dyDescent="0.3">
      <c r="B14" s="6" t="s">
        <v>19</v>
      </c>
      <c r="C14" s="22">
        <v>810000</v>
      </c>
      <c r="D14" s="22">
        <v>269500</v>
      </c>
      <c r="E14" s="22">
        <v>810000</v>
      </c>
      <c r="F14" s="22"/>
      <c r="G14" s="22"/>
      <c r="H14" s="12">
        <f t="shared" si="0"/>
        <v>43995</v>
      </c>
    </row>
    <row r="15" spans="2:11" x14ac:dyDescent="0.3">
      <c r="B15" s="6" t="s">
        <v>14</v>
      </c>
      <c r="C15" s="22"/>
      <c r="D15" s="22">
        <v>162000</v>
      </c>
      <c r="E15" s="22"/>
      <c r="F15" s="22">
        <v>54000</v>
      </c>
      <c r="G15" s="22"/>
      <c r="H15" s="12">
        <f t="shared" si="0"/>
        <v>43995</v>
      </c>
    </row>
    <row r="16" spans="2:11" x14ac:dyDescent="0.3">
      <c r="B16" s="6" t="s">
        <v>24</v>
      </c>
      <c r="C16" s="22"/>
      <c r="D16" s="22"/>
      <c r="E16" s="22"/>
      <c r="F16" s="49"/>
      <c r="G16" s="22"/>
      <c r="H16" s="12">
        <f t="shared" si="0"/>
        <v>43995</v>
      </c>
    </row>
    <row r="17" spans="1:8" x14ac:dyDescent="0.3">
      <c r="B17" s="6" t="s">
        <v>21</v>
      </c>
      <c r="C17" s="22"/>
      <c r="D17" s="22"/>
      <c r="E17" s="22"/>
      <c r="F17" s="22"/>
      <c r="G17" s="22"/>
      <c r="H17" s="12">
        <f t="shared" si="0"/>
        <v>43995</v>
      </c>
    </row>
    <row r="18" spans="1:8" x14ac:dyDescent="0.3">
      <c r="B18" s="6" t="s">
        <v>18</v>
      </c>
      <c r="C18" s="22"/>
      <c r="D18" s="22">
        <v>261000</v>
      </c>
      <c r="E18" s="22"/>
      <c r="F18" s="22">
        <v>108000</v>
      </c>
      <c r="G18" s="22"/>
      <c r="H18" s="12">
        <f t="shared" si="0"/>
        <v>43995</v>
      </c>
    </row>
    <row r="19" spans="1:8" x14ac:dyDescent="0.3">
      <c r="B19" s="6" t="s">
        <v>16</v>
      </c>
      <c r="C19" s="22">
        <v>639000</v>
      </c>
      <c r="D19" s="22"/>
      <c r="E19" s="22">
        <v>432000</v>
      </c>
      <c r="F19" s="22"/>
      <c r="G19" s="22"/>
      <c r="H19" s="12">
        <f t="shared" si="0"/>
        <v>43995</v>
      </c>
    </row>
    <row r="20" spans="1:8" x14ac:dyDescent="0.3">
      <c r="B20" s="50" t="s">
        <v>27</v>
      </c>
      <c r="C20" s="51">
        <f>SUM(June13_2020[KSI_AGO])</f>
        <v>1449000</v>
      </c>
      <c r="D20" s="51">
        <f>SUM(June13_2020[KSI_PMS])</f>
        <v>2195500</v>
      </c>
      <c r="E20" s="51">
        <f>SUM(June13_2020[BUIPE_AGO])</f>
        <v>1242000</v>
      </c>
      <c r="F20" s="51">
        <f>SUM(June13_2020[BUIPE_PMS])</f>
        <v>270000</v>
      </c>
      <c r="G20" s="51">
        <f>SUM(June13_2020[AKOSOMBO_AGO])</f>
        <v>0</v>
      </c>
      <c r="H20" s="52"/>
    </row>
    <row r="21" spans="1:8" x14ac:dyDescent="0.3">
      <c r="B21" s="8"/>
      <c r="C21" s="24"/>
      <c r="D21" s="24"/>
      <c r="E21" s="24"/>
      <c r="F21" s="24"/>
      <c r="G21" s="24"/>
      <c r="H21"/>
    </row>
    <row r="22" spans="1:8" x14ac:dyDescent="0.3">
      <c r="B22" s="1" t="s">
        <v>6</v>
      </c>
      <c r="C22" s="1" t="s">
        <v>4</v>
      </c>
      <c r="D22" s="5">
        <f>SUMIF(June13_2020[[#Headers],[KSI_AGO]:[AKOSOMBO_AGO]],"*"&amp;C22,June13_2020[[#Totals],[KSI_AGO]:[AKOSOMBO_AGO]])</f>
        <v>2691000</v>
      </c>
      <c r="E22" s="1" t="s">
        <v>5</v>
      </c>
      <c r="F22" s="5">
        <f>SUMIF(June13_2020[[#Headers],[KSI_AGO]:[AKOSOMBO_AGO]],"*"&amp;E22,June13_2020[[#Totals],[KSI_AGO]:[AKOSOMBO_AGO]])</f>
        <v>2465500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E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2">
    <pageSetUpPr fitToPage="1"/>
  </sheetPr>
  <dimension ref="A1:K32"/>
  <sheetViews>
    <sheetView zoomScale="115" zoomScaleNormal="115" workbookViewId="0">
      <pane xSplit="1" ySplit="5" topLeftCell="B6" activePane="bottomRight" state="frozen"/>
      <selection activeCell="E3" sqref="E3"/>
      <selection pane="topRight" activeCell="E3" sqref="E3"/>
      <selection pane="bottomLeft" activeCell="E3" sqref="E3"/>
      <selection pane="bottomRight" activeCell="E13" sqref="E13"/>
    </sheetView>
  </sheetViews>
  <sheetFormatPr defaultColWidth="9.109375" defaultRowHeight="14.4" x14ac:dyDescent="0.3"/>
  <cols>
    <col min="1" max="1" width="6.88671875" style="1" customWidth="1"/>
    <col min="2" max="2" width="26.109375" style="1" customWidth="1"/>
    <col min="3" max="3" width="15.44140625" style="1" customWidth="1"/>
    <col min="4" max="4" width="15.33203125" style="1" customWidth="1"/>
    <col min="5" max="5" width="18.6640625" style="1" customWidth="1"/>
    <col min="6" max="6" width="19.88671875" style="1" customWidth="1"/>
    <col min="7" max="7" width="26.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43997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43997</v>
      </c>
    </row>
    <row r="7" spans="2:11" x14ac:dyDescent="0.3">
      <c r="B7" s="6" t="s">
        <v>37</v>
      </c>
      <c r="C7" s="22"/>
      <c r="D7" s="22"/>
      <c r="E7" s="22"/>
      <c r="F7" s="22"/>
      <c r="G7" s="22"/>
      <c r="H7" s="67">
        <f>$G$3</f>
        <v>43997</v>
      </c>
    </row>
    <row r="8" spans="2:11" x14ac:dyDescent="0.3">
      <c r="B8" s="6" t="s">
        <v>17</v>
      </c>
      <c r="C8" s="22"/>
      <c r="D8" s="22">
        <v>108000</v>
      </c>
      <c r="E8" s="22">
        <v>50000</v>
      </c>
      <c r="F8" s="22">
        <v>432000</v>
      </c>
      <c r="G8" s="22"/>
      <c r="H8" s="12">
        <f t="shared" si="0"/>
        <v>43997</v>
      </c>
    </row>
    <row r="9" spans="2:11" ht="15.6" x14ac:dyDescent="0.3">
      <c r="B9" s="34" t="s">
        <v>0</v>
      </c>
      <c r="C9" s="60"/>
      <c r="D9" s="60"/>
      <c r="E9" s="60"/>
      <c r="F9" s="60"/>
      <c r="G9" s="61"/>
      <c r="H9" s="12">
        <f t="shared" si="0"/>
        <v>43997</v>
      </c>
    </row>
    <row r="10" spans="2:11" x14ac:dyDescent="0.3">
      <c r="B10" s="6" t="s">
        <v>25</v>
      </c>
      <c r="C10" s="22"/>
      <c r="D10" s="22"/>
      <c r="E10" s="22"/>
      <c r="F10" s="22"/>
      <c r="G10" s="22"/>
      <c r="H10" s="12">
        <f t="shared" si="0"/>
        <v>43997</v>
      </c>
    </row>
    <row r="11" spans="2:11" x14ac:dyDescent="0.3">
      <c r="B11" s="6" t="s">
        <v>15</v>
      </c>
      <c r="C11" s="22"/>
      <c r="D11" s="22"/>
      <c r="E11" s="22"/>
      <c r="F11" s="48">
        <v>45000</v>
      </c>
      <c r="G11" s="22"/>
      <c r="H11" s="12">
        <f t="shared" si="0"/>
        <v>43997</v>
      </c>
    </row>
    <row r="12" spans="2:11" x14ac:dyDescent="0.3">
      <c r="B12" s="6" t="s">
        <v>26</v>
      </c>
      <c r="C12" s="22"/>
      <c r="D12" s="22"/>
      <c r="E12" s="22"/>
      <c r="F12" s="22"/>
      <c r="G12" s="22"/>
      <c r="H12" s="12">
        <f t="shared" si="0"/>
        <v>43997</v>
      </c>
    </row>
    <row r="13" spans="2:11" x14ac:dyDescent="0.3">
      <c r="B13" s="6" t="s">
        <v>22</v>
      </c>
      <c r="C13" s="23"/>
      <c r="D13" s="23"/>
      <c r="E13" s="23"/>
      <c r="F13" s="22"/>
      <c r="G13" s="23"/>
      <c r="H13" s="12">
        <f t="shared" si="0"/>
        <v>43997</v>
      </c>
      <c r="K13" s="4"/>
    </row>
    <row r="14" spans="2:11" x14ac:dyDescent="0.3">
      <c r="B14" s="6" t="s">
        <v>19</v>
      </c>
      <c r="C14" s="22">
        <v>135000</v>
      </c>
      <c r="D14" s="22">
        <v>108000</v>
      </c>
      <c r="E14" s="22">
        <v>45000</v>
      </c>
      <c r="F14" s="22"/>
      <c r="G14" s="22"/>
      <c r="H14" s="12">
        <f t="shared" si="0"/>
        <v>43997</v>
      </c>
    </row>
    <row r="15" spans="2:11" x14ac:dyDescent="0.3">
      <c r="B15" s="6" t="s">
        <v>14</v>
      </c>
      <c r="C15" s="22"/>
      <c r="D15" s="22"/>
      <c r="E15" s="22">
        <v>95000</v>
      </c>
      <c r="F15" s="22"/>
      <c r="G15" s="22"/>
      <c r="H15" s="12">
        <f t="shared" si="0"/>
        <v>43997</v>
      </c>
    </row>
    <row r="16" spans="2:11" x14ac:dyDescent="0.3">
      <c r="B16" s="6" t="s">
        <v>24</v>
      </c>
      <c r="C16" s="22"/>
      <c r="D16" s="22"/>
      <c r="E16" s="22"/>
      <c r="F16" s="49"/>
      <c r="G16" s="22"/>
      <c r="H16" s="12">
        <f t="shared" si="0"/>
        <v>43997</v>
      </c>
    </row>
    <row r="17" spans="1:8" x14ac:dyDescent="0.3">
      <c r="B17" s="6" t="s">
        <v>21</v>
      </c>
      <c r="C17" s="22"/>
      <c r="D17" s="22"/>
      <c r="E17" s="22"/>
      <c r="F17" s="22"/>
      <c r="G17" s="22"/>
      <c r="H17" s="12">
        <f t="shared" si="0"/>
        <v>43997</v>
      </c>
    </row>
    <row r="18" spans="1:8" x14ac:dyDescent="0.3">
      <c r="B18" s="6" t="s">
        <v>18</v>
      </c>
      <c r="C18" s="22"/>
      <c r="D18" s="22"/>
      <c r="E18" s="22"/>
      <c r="F18" s="22">
        <v>108000</v>
      </c>
      <c r="G18" s="22"/>
      <c r="H18" s="12">
        <f t="shared" si="0"/>
        <v>43997</v>
      </c>
    </row>
    <row r="19" spans="1:8" x14ac:dyDescent="0.3">
      <c r="B19" s="6" t="s">
        <v>16</v>
      </c>
      <c r="C19" s="22">
        <v>647500</v>
      </c>
      <c r="D19" s="22"/>
      <c r="E19" s="22">
        <v>749000</v>
      </c>
      <c r="F19" s="22"/>
      <c r="G19" s="22"/>
      <c r="H19" s="12">
        <f t="shared" si="0"/>
        <v>43997</v>
      </c>
    </row>
    <row r="20" spans="1:8" x14ac:dyDescent="0.3">
      <c r="B20" s="50" t="s">
        <v>27</v>
      </c>
      <c r="C20" s="51">
        <f>SUM(June15_2020[KSI_AGO])</f>
        <v>782500</v>
      </c>
      <c r="D20" s="51">
        <f>SUM(June15_2020[KSI_PMS])</f>
        <v>216000</v>
      </c>
      <c r="E20" s="51">
        <f>SUM(June15_2020[BUIPE_AGO])</f>
        <v>939000</v>
      </c>
      <c r="F20" s="51">
        <f>SUM(June15_2020[BUIPE_PMS])</f>
        <v>585000</v>
      </c>
      <c r="G20" s="51">
        <f>SUM(June15_2020[AKOSOMBO_AGO])</f>
        <v>0</v>
      </c>
      <c r="H20" s="52"/>
    </row>
    <row r="21" spans="1:8" x14ac:dyDescent="0.3">
      <c r="B21" s="8"/>
      <c r="C21" s="24"/>
      <c r="D21" s="24"/>
      <c r="E21" s="24"/>
      <c r="F21" s="24"/>
      <c r="G21" s="24"/>
      <c r="H21"/>
    </row>
    <row r="22" spans="1:8" x14ac:dyDescent="0.3">
      <c r="B22" s="1" t="s">
        <v>6</v>
      </c>
      <c r="C22" s="1" t="s">
        <v>4</v>
      </c>
      <c r="D22" s="5">
        <f>SUMIF(June15_2020[[#Headers],[KSI_AGO]:[AKOSOMBO_AGO]],"*"&amp;C22,June15_2020[[#Totals],[KSI_AGO]:[AKOSOMBO_AGO]])</f>
        <v>1721500</v>
      </c>
      <c r="E22" s="1" t="s">
        <v>5</v>
      </c>
      <c r="F22" s="5">
        <f>SUMIF(June15_2020[[#Headers],[KSI_AGO]:[AKOSOMBO_AGO]],"*"&amp;E22,June15_2020[[#Totals],[KSI_AGO]:[AKOSOMBO_AGO]])</f>
        <v>801000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6F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3">
    <pageSetUpPr fitToPage="1"/>
  </sheetPr>
  <dimension ref="A1:K32"/>
  <sheetViews>
    <sheetView topLeftCell="E1" zoomScale="115" zoomScaleNormal="115" workbookViewId="0">
      <selection activeCell="G20" sqref="G20"/>
    </sheetView>
  </sheetViews>
  <sheetFormatPr defaultColWidth="9.109375" defaultRowHeight="14.4" x14ac:dyDescent="0.3"/>
  <cols>
    <col min="1" max="1" width="6.88671875" style="1" customWidth="1"/>
    <col min="2" max="2" width="26.109375" style="1" customWidth="1"/>
    <col min="3" max="3" width="15.5546875" style="1" customWidth="1"/>
    <col min="4" max="4" width="16" style="1" customWidth="1"/>
    <col min="5" max="5" width="17.88671875" style="1" customWidth="1"/>
    <col min="6" max="6" width="18.33203125" style="1" customWidth="1"/>
    <col min="7" max="7" width="27.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43998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43998</v>
      </c>
    </row>
    <row r="7" spans="2:11" x14ac:dyDescent="0.3">
      <c r="B7" s="6" t="s">
        <v>37</v>
      </c>
      <c r="C7" s="22"/>
      <c r="D7" s="22"/>
      <c r="E7" s="22"/>
      <c r="F7" s="22"/>
      <c r="G7" s="22"/>
      <c r="H7" s="67">
        <f>$G$3</f>
        <v>43998</v>
      </c>
    </row>
    <row r="8" spans="2:11" x14ac:dyDescent="0.3">
      <c r="B8" s="6" t="s">
        <v>17</v>
      </c>
      <c r="C8" s="22"/>
      <c r="D8" s="22">
        <v>50000</v>
      </c>
      <c r="E8" s="22">
        <v>45000</v>
      </c>
      <c r="F8" s="22"/>
      <c r="G8" s="22"/>
      <c r="H8" s="12">
        <f t="shared" si="0"/>
        <v>43998</v>
      </c>
    </row>
    <row r="9" spans="2:11" ht="15.6" x14ac:dyDescent="0.3">
      <c r="B9" s="34" t="s">
        <v>0</v>
      </c>
      <c r="C9" s="60"/>
      <c r="D9" s="60"/>
      <c r="E9" s="60"/>
      <c r="F9" s="60"/>
      <c r="G9" s="61"/>
      <c r="H9" s="12">
        <f t="shared" si="0"/>
        <v>43998</v>
      </c>
    </row>
    <row r="10" spans="2:11" x14ac:dyDescent="0.3">
      <c r="B10" s="6" t="s">
        <v>25</v>
      </c>
      <c r="C10" s="22"/>
      <c r="D10" s="22"/>
      <c r="E10" s="22"/>
      <c r="F10" s="22"/>
      <c r="G10" s="22"/>
      <c r="H10" s="12">
        <f t="shared" si="0"/>
        <v>43998</v>
      </c>
    </row>
    <row r="11" spans="2:11" x14ac:dyDescent="0.3">
      <c r="B11" s="6" t="s">
        <v>15</v>
      </c>
      <c r="C11" s="22">
        <v>270000</v>
      </c>
      <c r="D11" s="22">
        <v>45000</v>
      </c>
      <c r="E11" s="22"/>
      <c r="F11" s="48"/>
      <c r="G11" s="22"/>
      <c r="H11" s="12">
        <f t="shared" si="0"/>
        <v>43998</v>
      </c>
    </row>
    <row r="12" spans="2:11" x14ac:dyDescent="0.3">
      <c r="B12" s="6" t="s">
        <v>26</v>
      </c>
      <c r="C12" s="22">
        <v>789500</v>
      </c>
      <c r="D12" s="22"/>
      <c r="E12" s="22">
        <v>106000</v>
      </c>
      <c r="F12" s="22"/>
      <c r="G12" s="22"/>
      <c r="H12" s="12">
        <f t="shared" si="0"/>
        <v>43998</v>
      </c>
    </row>
    <row r="13" spans="2:11" x14ac:dyDescent="0.3">
      <c r="B13" s="6" t="s">
        <v>22</v>
      </c>
      <c r="C13" s="23"/>
      <c r="D13" s="23">
        <v>153000</v>
      </c>
      <c r="E13" s="23"/>
      <c r="F13" s="22"/>
      <c r="G13" s="23"/>
      <c r="H13" s="12">
        <f t="shared" si="0"/>
        <v>43998</v>
      </c>
      <c r="K13" s="4"/>
    </row>
    <row r="14" spans="2:11" x14ac:dyDescent="0.3">
      <c r="B14" s="6" t="s">
        <v>19</v>
      </c>
      <c r="C14" s="22"/>
      <c r="D14" s="22">
        <v>216000</v>
      </c>
      <c r="E14" s="22">
        <v>144000</v>
      </c>
      <c r="F14" s="22"/>
      <c r="G14" s="22"/>
      <c r="H14" s="12">
        <f t="shared" si="0"/>
        <v>43998</v>
      </c>
    </row>
    <row r="15" spans="2:11" x14ac:dyDescent="0.3">
      <c r="B15" s="6" t="s">
        <v>14</v>
      </c>
      <c r="C15" s="22">
        <v>54000</v>
      </c>
      <c r="D15" s="22"/>
      <c r="E15" s="22">
        <v>320000</v>
      </c>
      <c r="F15" s="22">
        <v>54000</v>
      </c>
      <c r="G15" s="22"/>
      <c r="H15" s="12">
        <f t="shared" si="0"/>
        <v>43998</v>
      </c>
    </row>
    <row r="16" spans="2:11" x14ac:dyDescent="0.3">
      <c r="B16" s="6" t="s">
        <v>24</v>
      </c>
      <c r="C16" s="22"/>
      <c r="D16" s="22"/>
      <c r="E16" s="22"/>
      <c r="F16" s="49"/>
      <c r="G16" s="22"/>
      <c r="H16" s="12">
        <f t="shared" si="0"/>
        <v>43998</v>
      </c>
    </row>
    <row r="17" spans="1:8" x14ac:dyDescent="0.3">
      <c r="B17" s="6" t="s">
        <v>21</v>
      </c>
      <c r="C17" s="22"/>
      <c r="D17" s="22"/>
      <c r="E17" s="22"/>
      <c r="F17" s="22"/>
      <c r="G17" s="22"/>
      <c r="H17" s="12">
        <f t="shared" si="0"/>
        <v>43998</v>
      </c>
    </row>
    <row r="18" spans="1:8" x14ac:dyDescent="0.3">
      <c r="B18" s="6" t="s">
        <v>18</v>
      </c>
      <c r="C18" s="22">
        <v>416500</v>
      </c>
      <c r="D18" s="22">
        <v>211500</v>
      </c>
      <c r="E18" s="22">
        <v>108000</v>
      </c>
      <c r="F18" s="22">
        <v>54000</v>
      </c>
      <c r="G18" s="22"/>
      <c r="H18" s="12">
        <f t="shared" si="0"/>
        <v>43998</v>
      </c>
    </row>
    <row r="19" spans="1:8" x14ac:dyDescent="0.3">
      <c r="B19" s="6" t="s">
        <v>16</v>
      </c>
      <c r="C19" s="22"/>
      <c r="D19" s="22"/>
      <c r="E19" s="22"/>
      <c r="F19" s="22"/>
      <c r="G19" s="22"/>
      <c r="H19" s="12">
        <f t="shared" si="0"/>
        <v>43998</v>
      </c>
    </row>
    <row r="20" spans="1:8" x14ac:dyDescent="0.3">
      <c r="B20" s="50" t="s">
        <v>27</v>
      </c>
      <c r="C20" s="51">
        <f>SUM(June16_2020[KSI_AGO])</f>
        <v>1530000</v>
      </c>
      <c r="D20" s="51">
        <f>SUM(June16_2020[KSI_PMS])</f>
        <v>675500</v>
      </c>
      <c r="E20" s="51">
        <f>SUM(June16_2020[BUIPE_AGO])</f>
        <v>723000</v>
      </c>
      <c r="F20" s="51">
        <f>SUM(June16_2020[BUIPE_PMS])</f>
        <v>108000</v>
      </c>
      <c r="G20" s="51">
        <f>SUM(June16_2020[AKOSOMBO_AGO])</f>
        <v>0</v>
      </c>
      <c r="H20" s="52"/>
    </row>
    <row r="21" spans="1:8" x14ac:dyDescent="0.3">
      <c r="B21" s="8"/>
      <c r="C21" s="24"/>
      <c r="D21" s="24"/>
      <c r="E21" s="24"/>
      <c r="F21" s="24"/>
      <c r="G21" s="24"/>
      <c r="H21"/>
    </row>
    <row r="22" spans="1:8" x14ac:dyDescent="0.3">
      <c r="B22" s="1" t="s">
        <v>6</v>
      </c>
      <c r="C22" s="1" t="s">
        <v>4</v>
      </c>
      <c r="D22" s="5">
        <f>SUMIF(June16_2020[[#Headers],[KSI_AGO]:[AKOSOMBO_AGO]],"*"&amp;C22,June16_2020[[#Totals],[KSI_AGO]:[AKOSOMBO_AGO]])</f>
        <v>2253000</v>
      </c>
      <c r="E22" s="1" t="s">
        <v>5</v>
      </c>
      <c r="F22" s="5">
        <f>SUMIF(June16_2020[[#Headers],[KSI_AGO]:[AKOSOMBO_AGO]],"*"&amp;E22,June16_2020[[#Totals],[KSI_AGO]:[AKOSOMBO_AGO]])</f>
        <v>783500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0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4">
    <pageSetUpPr fitToPage="1"/>
  </sheetPr>
  <dimension ref="A1:K32"/>
  <sheetViews>
    <sheetView zoomScale="90" zoomScaleNormal="90" workbookViewId="0">
      <selection activeCell="F5" sqref="F5"/>
    </sheetView>
  </sheetViews>
  <sheetFormatPr defaultColWidth="9.109375" defaultRowHeight="14.4" x14ac:dyDescent="0.3"/>
  <cols>
    <col min="1" max="1" width="6.88671875" style="1" customWidth="1"/>
    <col min="2" max="2" width="26.109375" style="1" customWidth="1"/>
    <col min="3" max="3" width="14.5546875" style="1" customWidth="1"/>
    <col min="4" max="4" width="15.6640625" style="1" customWidth="1"/>
    <col min="5" max="5" width="18.6640625" style="1" customWidth="1"/>
    <col min="6" max="6" width="20" style="1" customWidth="1"/>
    <col min="7" max="7" width="30"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43999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43999</v>
      </c>
    </row>
    <row r="7" spans="2:11" x14ac:dyDescent="0.3">
      <c r="B7" s="6" t="s">
        <v>37</v>
      </c>
      <c r="C7" s="22"/>
      <c r="D7" s="22"/>
      <c r="E7" s="22"/>
      <c r="F7" s="22"/>
      <c r="G7" s="22"/>
      <c r="H7" s="67">
        <f>$G$3</f>
        <v>43999</v>
      </c>
    </row>
    <row r="8" spans="2:11" x14ac:dyDescent="0.3">
      <c r="B8" s="6" t="s">
        <v>17</v>
      </c>
      <c r="C8" s="22"/>
      <c r="D8" s="22"/>
      <c r="E8" s="22"/>
      <c r="F8" s="22"/>
      <c r="G8" s="22"/>
      <c r="H8" s="12">
        <f t="shared" si="0"/>
        <v>43999</v>
      </c>
    </row>
    <row r="9" spans="2:11" ht="15.6" x14ac:dyDescent="0.3">
      <c r="B9" s="34" t="s">
        <v>0</v>
      </c>
      <c r="C9" s="60"/>
      <c r="D9" s="60">
        <v>540000</v>
      </c>
      <c r="E9" s="60"/>
      <c r="F9" s="60">
        <v>1436500</v>
      </c>
      <c r="G9" s="61"/>
      <c r="H9" s="12">
        <f t="shared" si="0"/>
        <v>43999</v>
      </c>
    </row>
    <row r="10" spans="2:11" x14ac:dyDescent="0.3">
      <c r="B10" s="6" t="s">
        <v>25</v>
      </c>
      <c r="C10" s="22"/>
      <c r="D10" s="22"/>
      <c r="E10" s="22"/>
      <c r="F10" s="22"/>
      <c r="G10" s="22"/>
      <c r="H10" s="12">
        <f t="shared" si="0"/>
        <v>43999</v>
      </c>
    </row>
    <row r="11" spans="2:11" x14ac:dyDescent="0.3">
      <c r="B11" s="6" t="s">
        <v>15</v>
      </c>
      <c r="C11" s="22">
        <v>374000</v>
      </c>
      <c r="D11" s="22"/>
      <c r="E11" s="22">
        <v>270000</v>
      </c>
      <c r="F11" s="48"/>
      <c r="G11" s="22"/>
      <c r="H11" s="12">
        <f t="shared" si="0"/>
        <v>43999</v>
      </c>
    </row>
    <row r="12" spans="2:11" x14ac:dyDescent="0.3">
      <c r="B12" s="6" t="s">
        <v>26</v>
      </c>
      <c r="C12" s="22">
        <v>432000</v>
      </c>
      <c r="D12" s="22">
        <v>54000</v>
      </c>
      <c r="E12" s="22">
        <v>108000</v>
      </c>
      <c r="F12" s="22"/>
      <c r="G12" s="22"/>
      <c r="H12" s="12">
        <f t="shared" si="0"/>
        <v>43999</v>
      </c>
    </row>
    <row r="13" spans="2:11" x14ac:dyDescent="0.3">
      <c r="B13" s="6" t="s">
        <v>22</v>
      </c>
      <c r="C13" s="23"/>
      <c r="D13" s="23">
        <v>50000</v>
      </c>
      <c r="E13" s="23"/>
      <c r="F13" s="22"/>
      <c r="G13" s="23"/>
      <c r="H13" s="12">
        <f t="shared" si="0"/>
        <v>43999</v>
      </c>
      <c r="K13" s="4"/>
    </row>
    <row r="14" spans="2:11" x14ac:dyDescent="0.3">
      <c r="B14" s="6" t="s">
        <v>19</v>
      </c>
      <c r="C14" s="22"/>
      <c r="D14" s="22"/>
      <c r="E14" s="22"/>
      <c r="F14" s="22"/>
      <c r="G14" s="22"/>
      <c r="H14" s="12">
        <f t="shared" si="0"/>
        <v>43999</v>
      </c>
    </row>
    <row r="15" spans="2:11" x14ac:dyDescent="0.3">
      <c r="B15" s="6" t="s">
        <v>14</v>
      </c>
      <c r="C15" s="22"/>
      <c r="D15" s="22"/>
      <c r="E15" s="22"/>
      <c r="F15" s="22"/>
      <c r="G15" s="22"/>
      <c r="H15" s="12">
        <f t="shared" si="0"/>
        <v>43999</v>
      </c>
    </row>
    <row r="16" spans="2:11" x14ac:dyDescent="0.3">
      <c r="B16" s="6" t="s">
        <v>24</v>
      </c>
      <c r="C16" s="22">
        <v>270000</v>
      </c>
      <c r="D16" s="22"/>
      <c r="E16" s="22">
        <v>162000</v>
      </c>
      <c r="F16" s="49"/>
      <c r="G16" s="22"/>
      <c r="H16" s="12">
        <f t="shared" si="0"/>
        <v>43999</v>
      </c>
    </row>
    <row r="17" spans="1:8" x14ac:dyDescent="0.3">
      <c r="B17" s="6" t="s">
        <v>21</v>
      </c>
      <c r="C17" s="22"/>
      <c r="D17" s="22"/>
      <c r="E17" s="22"/>
      <c r="F17" s="22"/>
      <c r="G17" s="22"/>
      <c r="H17" s="12">
        <f t="shared" si="0"/>
        <v>43999</v>
      </c>
    </row>
    <row r="18" spans="1:8" x14ac:dyDescent="0.3">
      <c r="B18" s="6" t="s">
        <v>18</v>
      </c>
      <c r="C18" s="22">
        <v>293000</v>
      </c>
      <c r="D18" s="22">
        <v>108000</v>
      </c>
      <c r="E18" s="22">
        <v>211500</v>
      </c>
      <c r="F18" s="22"/>
      <c r="G18" s="22"/>
      <c r="H18" s="12">
        <f t="shared" si="0"/>
        <v>43999</v>
      </c>
    </row>
    <row r="19" spans="1:8" x14ac:dyDescent="0.3">
      <c r="B19" s="6" t="s">
        <v>16</v>
      </c>
      <c r="C19" s="22"/>
      <c r="D19" s="22"/>
      <c r="E19" s="22"/>
      <c r="F19" s="22"/>
      <c r="G19" s="22"/>
      <c r="H19" s="12">
        <f t="shared" si="0"/>
        <v>43999</v>
      </c>
    </row>
    <row r="20" spans="1:8" x14ac:dyDescent="0.3">
      <c r="B20" s="50" t="s">
        <v>27</v>
      </c>
      <c r="C20" s="51">
        <f>SUM(June17_2020[KSI_AGO])</f>
        <v>1369000</v>
      </c>
      <c r="D20" s="51">
        <f>SUM(June17_2020[KSI_PMS])</f>
        <v>752000</v>
      </c>
      <c r="E20" s="51">
        <f>SUM(June17_2020[BUIPE_AGO])</f>
        <v>751500</v>
      </c>
      <c r="F20" s="51">
        <f>SUM(June17_2020[BUIPE_PMS])</f>
        <v>1436500</v>
      </c>
      <c r="G20" s="51">
        <f>SUM(June17_2020[AKOSOMBO_AGO])</f>
        <v>0</v>
      </c>
      <c r="H20" s="52"/>
    </row>
    <row r="21" spans="1:8" x14ac:dyDescent="0.3">
      <c r="B21" s="8"/>
      <c r="C21" s="24"/>
      <c r="D21" s="24"/>
      <c r="E21" s="24"/>
      <c r="F21" s="24"/>
      <c r="G21" s="24"/>
      <c r="H21"/>
    </row>
    <row r="22" spans="1:8" x14ac:dyDescent="0.3">
      <c r="B22" s="1" t="s">
        <v>6</v>
      </c>
      <c r="C22" s="1" t="s">
        <v>4</v>
      </c>
      <c r="D22" s="5">
        <f>SUMIF(June17_2020[[#Headers],[KSI_AGO]:[AKOSOMBO_AGO]],"*"&amp;C22,June17_2020[[#Totals],[KSI_AGO]:[AKOSOMBO_AGO]])</f>
        <v>2120500</v>
      </c>
      <c r="E22" s="1" t="s">
        <v>5</v>
      </c>
      <c r="F22" s="5">
        <f>SUMIF(June17_2020[[#Headers],[KSI_AGO]:[AKOSOMBO_AGO]],"*"&amp;E22,June17_2020[[#Totals],[KSI_AGO]:[AKOSOMBO_AGO]])</f>
        <v>2188500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1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5">
    <pageSetUpPr fitToPage="1"/>
  </sheetPr>
  <dimension ref="A1:K32"/>
  <sheetViews>
    <sheetView zoomScale="90" zoomScaleNormal="90" workbookViewId="0">
      <selection activeCell="G9" sqref="G9"/>
    </sheetView>
  </sheetViews>
  <sheetFormatPr defaultColWidth="9.109375" defaultRowHeight="14.4" x14ac:dyDescent="0.3"/>
  <cols>
    <col min="1" max="1" width="6.88671875" style="1" customWidth="1"/>
    <col min="2" max="2" width="26.109375" style="1" customWidth="1"/>
    <col min="3" max="3" width="16.109375" style="1" customWidth="1"/>
    <col min="4" max="4" width="15.88671875" style="1" customWidth="1"/>
    <col min="5" max="5" width="20" style="1" customWidth="1"/>
    <col min="6" max="6" width="18.6640625" style="1" customWidth="1"/>
    <col min="7" max="7" width="27.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44000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44000</v>
      </c>
    </row>
    <row r="7" spans="2:11" x14ac:dyDescent="0.3">
      <c r="B7" s="6" t="s">
        <v>37</v>
      </c>
      <c r="C7" s="22"/>
      <c r="D7" s="22"/>
      <c r="E7" s="22"/>
      <c r="F7" s="22"/>
      <c r="G7" s="22"/>
      <c r="H7" s="67">
        <f>$G$3</f>
        <v>44000</v>
      </c>
    </row>
    <row r="8" spans="2:11" x14ac:dyDescent="0.3">
      <c r="B8" s="6" t="s">
        <v>17</v>
      </c>
      <c r="C8" s="22"/>
      <c r="D8" s="22"/>
      <c r="E8" s="22"/>
      <c r="F8" s="22">
        <v>54000</v>
      </c>
      <c r="G8" s="22"/>
      <c r="H8" s="12">
        <f t="shared" si="0"/>
        <v>44000</v>
      </c>
    </row>
    <row r="9" spans="2:11" ht="15.6" x14ac:dyDescent="0.3">
      <c r="B9" s="34" t="s">
        <v>0</v>
      </c>
      <c r="C9" s="60">
        <v>527000</v>
      </c>
      <c r="D9" s="60">
        <v>626000</v>
      </c>
      <c r="E9" s="60">
        <v>594000</v>
      </c>
      <c r="F9" s="60">
        <v>526000</v>
      </c>
      <c r="G9" s="61"/>
      <c r="H9" s="12">
        <f t="shared" si="0"/>
        <v>44000</v>
      </c>
    </row>
    <row r="10" spans="2:11" x14ac:dyDescent="0.3">
      <c r="B10" s="6" t="s">
        <v>25</v>
      </c>
      <c r="C10" s="22"/>
      <c r="D10" s="22"/>
      <c r="E10" s="22"/>
      <c r="F10" s="22"/>
      <c r="G10" s="22"/>
      <c r="H10" s="12">
        <f t="shared" si="0"/>
        <v>44000</v>
      </c>
    </row>
    <row r="11" spans="2:11" x14ac:dyDescent="0.3">
      <c r="B11" s="6" t="s">
        <v>15</v>
      </c>
      <c r="C11" s="22"/>
      <c r="D11" s="22"/>
      <c r="E11" s="22">
        <v>54000</v>
      </c>
      <c r="F11" s="48"/>
      <c r="G11" s="22"/>
      <c r="H11" s="12">
        <f t="shared" si="0"/>
        <v>44000</v>
      </c>
    </row>
    <row r="12" spans="2:11" x14ac:dyDescent="0.3">
      <c r="B12" s="6" t="s">
        <v>26</v>
      </c>
      <c r="C12" s="22"/>
      <c r="D12" s="22">
        <v>571500</v>
      </c>
      <c r="E12" s="22"/>
      <c r="F12" s="22"/>
      <c r="G12" s="22"/>
      <c r="H12" s="12">
        <f t="shared" si="0"/>
        <v>44000</v>
      </c>
    </row>
    <row r="13" spans="2:11" x14ac:dyDescent="0.3">
      <c r="B13" s="6" t="s">
        <v>22</v>
      </c>
      <c r="C13" s="23"/>
      <c r="D13" s="23">
        <v>158000</v>
      </c>
      <c r="E13" s="23"/>
      <c r="F13" s="22"/>
      <c r="G13" s="23"/>
      <c r="H13" s="12">
        <f t="shared" si="0"/>
        <v>44000</v>
      </c>
      <c r="K13" s="4"/>
    </row>
    <row r="14" spans="2:11" x14ac:dyDescent="0.3">
      <c r="B14" s="6" t="s">
        <v>19</v>
      </c>
      <c r="C14" s="22"/>
      <c r="D14" s="22"/>
      <c r="E14" s="22"/>
      <c r="F14" s="22"/>
      <c r="G14" s="22"/>
      <c r="H14" s="12">
        <f t="shared" si="0"/>
        <v>44000</v>
      </c>
    </row>
    <row r="15" spans="2:11" x14ac:dyDescent="0.3">
      <c r="B15" s="6" t="s">
        <v>14</v>
      </c>
      <c r="C15" s="22"/>
      <c r="D15" s="22"/>
      <c r="E15" s="22">
        <v>212000</v>
      </c>
      <c r="F15" s="22"/>
      <c r="G15" s="22"/>
      <c r="H15" s="12">
        <f t="shared" si="0"/>
        <v>44000</v>
      </c>
    </row>
    <row r="16" spans="2:11" x14ac:dyDescent="0.3">
      <c r="B16" s="6" t="s">
        <v>24</v>
      </c>
      <c r="C16" s="22">
        <v>108000</v>
      </c>
      <c r="D16" s="22"/>
      <c r="E16" s="22"/>
      <c r="F16" s="49"/>
      <c r="G16" s="22"/>
      <c r="H16" s="12">
        <f t="shared" si="0"/>
        <v>44000</v>
      </c>
    </row>
    <row r="17" spans="1:8" x14ac:dyDescent="0.3">
      <c r="B17" s="6" t="s">
        <v>21</v>
      </c>
      <c r="C17" s="22"/>
      <c r="D17" s="22"/>
      <c r="E17" s="22"/>
      <c r="F17" s="22"/>
      <c r="G17" s="22"/>
      <c r="H17" s="12">
        <f t="shared" si="0"/>
        <v>44000</v>
      </c>
    </row>
    <row r="18" spans="1:8" x14ac:dyDescent="0.3">
      <c r="B18" s="6" t="s">
        <v>18</v>
      </c>
      <c r="C18" s="22">
        <v>45000</v>
      </c>
      <c r="D18" s="22">
        <v>54000</v>
      </c>
      <c r="E18" s="22"/>
      <c r="F18" s="22"/>
      <c r="G18" s="22"/>
      <c r="H18" s="12">
        <f t="shared" si="0"/>
        <v>44000</v>
      </c>
    </row>
    <row r="19" spans="1:8" x14ac:dyDescent="0.3">
      <c r="B19" s="6" t="s">
        <v>16</v>
      </c>
      <c r="C19" s="22"/>
      <c r="D19" s="22"/>
      <c r="E19" s="22"/>
      <c r="F19" s="22"/>
      <c r="G19" s="22"/>
      <c r="H19" s="12">
        <f t="shared" si="0"/>
        <v>44000</v>
      </c>
    </row>
    <row r="20" spans="1:8" x14ac:dyDescent="0.3">
      <c r="B20" s="50" t="s">
        <v>27</v>
      </c>
      <c r="C20" s="51">
        <f>SUM(June18_2020[KSI_AGO])</f>
        <v>680000</v>
      </c>
      <c r="D20" s="51">
        <f>SUM(June18_2020[KSI_PMS])</f>
        <v>1409500</v>
      </c>
      <c r="E20" s="51">
        <f>SUM(June18_2020[BUIPE_AGO])</f>
        <v>860000</v>
      </c>
      <c r="F20" s="51">
        <f>SUM(June18_2020[BUIPE_PMS])</f>
        <v>580000</v>
      </c>
      <c r="G20" s="51">
        <f>SUM(June18_2020[AKOSOMBO_AGO])</f>
        <v>0</v>
      </c>
      <c r="H20" s="52"/>
    </row>
    <row r="21" spans="1:8" x14ac:dyDescent="0.3">
      <c r="B21" s="8"/>
      <c r="C21" s="24"/>
      <c r="D21" s="24"/>
      <c r="E21" s="24"/>
      <c r="F21" s="24"/>
      <c r="G21" s="24"/>
      <c r="H21"/>
    </row>
    <row r="22" spans="1:8" x14ac:dyDescent="0.3">
      <c r="B22" s="1" t="s">
        <v>6</v>
      </c>
      <c r="C22" s="1" t="s">
        <v>4</v>
      </c>
      <c r="D22" s="5">
        <f>SUMIF(June18_2020[[#Headers],[KSI_AGO]:[AKOSOMBO_AGO]],"*"&amp;C22,June18_2020[[#Totals],[KSI_AGO]:[AKOSOMBO_AGO]])</f>
        <v>1540000</v>
      </c>
      <c r="E22" s="1" t="s">
        <v>5</v>
      </c>
      <c r="F22" s="5">
        <f>SUMIF(June18_2020[[#Headers],[KSI_AGO]:[AKOSOMBO_AGO]],"*"&amp;E22,June18_2020[[#Totals],[KSI_AGO]:[AKOSOMBO_AGO]])</f>
        <v>1989500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2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6">
    <pageSetUpPr fitToPage="1"/>
  </sheetPr>
  <dimension ref="A1:K32"/>
  <sheetViews>
    <sheetView zoomScale="80" zoomScaleNormal="80" workbookViewId="0">
      <selection activeCell="G8" sqref="G8"/>
    </sheetView>
  </sheetViews>
  <sheetFormatPr defaultColWidth="9.109375" defaultRowHeight="14.4" x14ac:dyDescent="0.3"/>
  <cols>
    <col min="1" max="1" width="6.88671875" style="1" customWidth="1"/>
    <col min="2" max="2" width="26.109375" style="1" customWidth="1"/>
    <col min="3" max="3" width="16.5546875" style="1" customWidth="1"/>
    <col min="4" max="4" width="15.88671875" style="1" customWidth="1"/>
    <col min="5" max="5" width="17.44140625" style="1" customWidth="1"/>
    <col min="6" max="6" width="18.44140625" style="1" customWidth="1"/>
    <col min="7" max="7" width="29.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44001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44001</v>
      </c>
    </row>
    <row r="7" spans="2:11" x14ac:dyDescent="0.3">
      <c r="B7" s="6" t="s">
        <v>37</v>
      </c>
      <c r="C7" s="22"/>
      <c r="D7" s="22"/>
      <c r="E7" s="22"/>
      <c r="F7" s="22"/>
      <c r="G7" s="22"/>
      <c r="H7" s="67">
        <f>$G$3</f>
        <v>44001</v>
      </c>
    </row>
    <row r="8" spans="2:11" x14ac:dyDescent="0.3">
      <c r="B8" s="6" t="s">
        <v>17</v>
      </c>
      <c r="C8" s="22"/>
      <c r="D8" s="22">
        <v>535500</v>
      </c>
      <c r="E8" s="22"/>
      <c r="F8" s="22">
        <v>313000</v>
      </c>
      <c r="G8" s="22"/>
      <c r="H8" s="12">
        <f t="shared" si="0"/>
        <v>44001</v>
      </c>
    </row>
    <row r="9" spans="2:11" ht="15.6" x14ac:dyDescent="0.3">
      <c r="B9" s="34" t="s">
        <v>0</v>
      </c>
      <c r="C9" s="60">
        <v>578000</v>
      </c>
      <c r="D9" s="60">
        <v>785000</v>
      </c>
      <c r="E9" s="60">
        <v>860000</v>
      </c>
      <c r="F9" s="60"/>
      <c r="G9" s="61"/>
      <c r="H9" s="12">
        <f t="shared" si="0"/>
        <v>44001</v>
      </c>
    </row>
    <row r="10" spans="2:11" x14ac:dyDescent="0.3">
      <c r="B10" s="6" t="s">
        <v>25</v>
      </c>
      <c r="C10" s="22"/>
      <c r="D10" s="22"/>
      <c r="E10" s="22"/>
      <c r="F10" s="22"/>
      <c r="G10" s="22"/>
      <c r="H10" s="12">
        <f t="shared" si="0"/>
        <v>44001</v>
      </c>
    </row>
    <row r="11" spans="2:11" x14ac:dyDescent="0.3">
      <c r="B11" s="6" t="s">
        <v>15</v>
      </c>
      <c r="C11" s="22"/>
      <c r="D11" s="22"/>
      <c r="E11" s="22"/>
      <c r="F11" s="48"/>
      <c r="G11" s="22"/>
      <c r="H11" s="12">
        <f t="shared" si="0"/>
        <v>44001</v>
      </c>
    </row>
    <row r="12" spans="2:11" x14ac:dyDescent="0.3">
      <c r="B12" s="6" t="s">
        <v>26</v>
      </c>
      <c r="C12" s="22"/>
      <c r="D12" s="22">
        <v>482000</v>
      </c>
      <c r="E12" s="22">
        <v>54000</v>
      </c>
      <c r="F12" s="22"/>
      <c r="G12" s="22"/>
      <c r="H12" s="12">
        <f t="shared" si="0"/>
        <v>44001</v>
      </c>
    </row>
    <row r="13" spans="2:11" x14ac:dyDescent="0.3">
      <c r="B13" s="6" t="s">
        <v>22</v>
      </c>
      <c r="C13" s="23"/>
      <c r="D13" s="23"/>
      <c r="E13" s="23"/>
      <c r="F13" s="22"/>
      <c r="G13" s="23"/>
      <c r="H13" s="12">
        <f t="shared" si="0"/>
        <v>44001</v>
      </c>
      <c r="K13" s="4"/>
    </row>
    <row r="14" spans="2:11" x14ac:dyDescent="0.3">
      <c r="B14" s="6" t="s">
        <v>19</v>
      </c>
      <c r="C14" s="22"/>
      <c r="D14" s="22"/>
      <c r="E14" s="22"/>
      <c r="F14" s="22"/>
      <c r="G14" s="22"/>
      <c r="H14" s="12">
        <f t="shared" si="0"/>
        <v>44001</v>
      </c>
    </row>
    <row r="15" spans="2:11" x14ac:dyDescent="0.3">
      <c r="B15" s="6" t="s">
        <v>14</v>
      </c>
      <c r="C15" s="22"/>
      <c r="D15" s="22"/>
      <c r="E15" s="22"/>
      <c r="F15" s="22"/>
      <c r="G15" s="22"/>
      <c r="H15" s="12">
        <f t="shared" si="0"/>
        <v>44001</v>
      </c>
    </row>
    <row r="16" spans="2:11" x14ac:dyDescent="0.3">
      <c r="B16" s="6" t="s">
        <v>24</v>
      </c>
      <c r="C16" s="22">
        <v>257000</v>
      </c>
      <c r="D16" s="22"/>
      <c r="E16" s="22"/>
      <c r="F16" s="49"/>
      <c r="G16" s="22"/>
      <c r="H16" s="12">
        <f t="shared" si="0"/>
        <v>44001</v>
      </c>
    </row>
    <row r="17" spans="1:8" x14ac:dyDescent="0.3">
      <c r="B17" s="6" t="s">
        <v>21</v>
      </c>
      <c r="C17" s="22"/>
      <c r="D17" s="22"/>
      <c r="E17" s="22"/>
      <c r="F17" s="22"/>
      <c r="G17" s="22"/>
      <c r="H17" s="12">
        <f t="shared" si="0"/>
        <v>44001</v>
      </c>
    </row>
    <row r="18" spans="1:8" x14ac:dyDescent="0.3">
      <c r="B18" s="6" t="s">
        <v>18</v>
      </c>
      <c r="C18" s="22"/>
      <c r="D18" s="22">
        <v>299000</v>
      </c>
      <c r="E18" s="22"/>
      <c r="F18" s="22"/>
      <c r="G18" s="22"/>
      <c r="H18" s="12">
        <f t="shared" si="0"/>
        <v>44001</v>
      </c>
    </row>
    <row r="19" spans="1:8" x14ac:dyDescent="0.3">
      <c r="B19" s="6" t="s">
        <v>16</v>
      </c>
      <c r="C19" s="22"/>
      <c r="D19" s="22"/>
      <c r="E19" s="22"/>
      <c r="F19" s="22"/>
      <c r="G19" s="22"/>
      <c r="H19" s="12">
        <f t="shared" si="0"/>
        <v>44001</v>
      </c>
    </row>
    <row r="20" spans="1:8" x14ac:dyDescent="0.3">
      <c r="B20" s="50" t="s">
        <v>27</v>
      </c>
      <c r="C20" s="51">
        <f>SUM(June19_2020[KSI_AGO])</f>
        <v>835000</v>
      </c>
      <c r="D20" s="51">
        <f>SUM(June19_2020[KSI_PMS])</f>
        <v>2101500</v>
      </c>
      <c r="E20" s="51">
        <f>SUM(June19_2020[BUIPE_AGO])</f>
        <v>914000</v>
      </c>
      <c r="F20" s="51">
        <f>SUM(June19_2020[BUIPE_PMS])</f>
        <v>313000</v>
      </c>
      <c r="G20" s="51">
        <f>SUM(June19_2020[AKOSOMBO_AGO])</f>
        <v>0</v>
      </c>
      <c r="H20" s="52"/>
    </row>
    <row r="21" spans="1:8" x14ac:dyDescent="0.3">
      <c r="B21" s="8"/>
      <c r="C21" s="24"/>
      <c r="D21" s="24"/>
      <c r="E21" s="24"/>
      <c r="F21" s="24"/>
      <c r="G21" s="24"/>
      <c r="H21"/>
    </row>
    <row r="22" spans="1:8" x14ac:dyDescent="0.3">
      <c r="B22" s="1" t="s">
        <v>6</v>
      </c>
      <c r="C22" s="1" t="s">
        <v>4</v>
      </c>
      <c r="D22" s="5">
        <f>SUMIF(June19_2020[[#Headers],[KSI_AGO]:[AKOSOMBO_AGO]],"*"&amp;C22,June19_2020[[#Totals],[KSI_AGO]:[AKOSOMBO_AGO]])</f>
        <v>1749000</v>
      </c>
      <c r="E22" s="1" t="s">
        <v>5</v>
      </c>
      <c r="F22" s="5">
        <f>SUMIF(June19_2020[[#Headers],[KSI_AGO]:[AKOSOMBO_AGO]],"*"&amp;E22,June19_2020[[#Totals],[KSI_AGO]:[AKOSOMBO_AGO]])</f>
        <v>2414500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3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17">
    <pageSetUpPr fitToPage="1"/>
  </sheetPr>
  <dimension ref="A1:K32"/>
  <sheetViews>
    <sheetView zoomScale="80" zoomScaleNormal="80" workbookViewId="0">
      <selection activeCell="F13" sqref="F13"/>
    </sheetView>
  </sheetViews>
  <sheetFormatPr defaultColWidth="9.109375" defaultRowHeight="14.4" x14ac:dyDescent="0.3"/>
  <cols>
    <col min="1" max="1" width="6.88671875" style="1" customWidth="1"/>
    <col min="2" max="2" width="26.109375" style="1" customWidth="1"/>
    <col min="3" max="3" width="15.44140625" style="1" customWidth="1"/>
    <col min="4" max="4" width="15.33203125" style="1" customWidth="1"/>
    <col min="5" max="5" width="18.6640625" style="1" customWidth="1"/>
    <col min="6" max="6" width="18.55468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44002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44002</v>
      </c>
    </row>
    <row r="7" spans="2:11" x14ac:dyDescent="0.3">
      <c r="B7" s="6" t="s">
        <v>37</v>
      </c>
      <c r="C7" s="22"/>
      <c r="D7" s="22"/>
      <c r="E7" s="22"/>
      <c r="F7" s="22"/>
      <c r="G7" s="22"/>
      <c r="H7" s="67">
        <f>$G$3</f>
        <v>44002</v>
      </c>
    </row>
    <row r="8" spans="2:11" x14ac:dyDescent="0.3">
      <c r="B8" s="6" t="s">
        <v>17</v>
      </c>
      <c r="C8" s="22"/>
      <c r="D8" s="22"/>
      <c r="E8" s="22">
        <v>50000</v>
      </c>
      <c r="F8" s="22"/>
      <c r="G8" s="22"/>
      <c r="H8" s="12">
        <f t="shared" si="0"/>
        <v>44002</v>
      </c>
    </row>
    <row r="9" spans="2:11" ht="15.6" x14ac:dyDescent="0.3">
      <c r="B9" s="34" t="s">
        <v>0</v>
      </c>
      <c r="C9" s="60">
        <v>638000</v>
      </c>
      <c r="D9" s="60"/>
      <c r="E9" s="60">
        <v>324000</v>
      </c>
      <c r="F9" s="60"/>
      <c r="G9" s="61"/>
      <c r="H9" s="12">
        <f t="shared" si="0"/>
        <v>44002</v>
      </c>
    </row>
    <row r="10" spans="2:11" x14ac:dyDescent="0.3">
      <c r="B10" s="6" t="s">
        <v>25</v>
      </c>
      <c r="C10" s="22"/>
      <c r="D10" s="22"/>
      <c r="E10" s="22"/>
      <c r="F10" s="22"/>
      <c r="G10" s="22"/>
      <c r="H10" s="12">
        <f t="shared" si="0"/>
        <v>44002</v>
      </c>
    </row>
    <row r="11" spans="2:11" x14ac:dyDescent="0.3">
      <c r="B11" s="6" t="s">
        <v>15</v>
      </c>
      <c r="C11" s="22"/>
      <c r="D11" s="22"/>
      <c r="E11" s="22"/>
      <c r="F11" s="48"/>
      <c r="G11" s="22"/>
      <c r="H11" s="12">
        <f t="shared" si="0"/>
        <v>44002</v>
      </c>
    </row>
    <row r="12" spans="2:11" x14ac:dyDescent="0.3">
      <c r="B12" s="6" t="s">
        <v>26</v>
      </c>
      <c r="C12" s="22"/>
      <c r="D12" s="22">
        <v>54000</v>
      </c>
      <c r="E12" s="22"/>
      <c r="F12" s="22"/>
      <c r="G12" s="22"/>
      <c r="H12" s="12">
        <f t="shared" si="0"/>
        <v>44002</v>
      </c>
    </row>
    <row r="13" spans="2:11" x14ac:dyDescent="0.3">
      <c r="B13" s="6" t="s">
        <v>22</v>
      </c>
      <c r="C13" s="23"/>
      <c r="D13" s="23"/>
      <c r="E13" s="23"/>
      <c r="F13" s="22"/>
      <c r="G13" s="23"/>
      <c r="H13" s="12">
        <f t="shared" si="0"/>
        <v>44002</v>
      </c>
      <c r="K13" s="4"/>
    </row>
    <row r="14" spans="2:11" x14ac:dyDescent="0.3">
      <c r="B14" s="6" t="s">
        <v>19</v>
      </c>
      <c r="C14" s="22"/>
      <c r="D14" s="22"/>
      <c r="E14" s="22"/>
      <c r="F14" s="22"/>
      <c r="G14" s="22"/>
      <c r="H14" s="12">
        <f t="shared" si="0"/>
        <v>44002</v>
      </c>
    </row>
    <row r="15" spans="2:11" x14ac:dyDescent="0.3">
      <c r="B15" s="6" t="s">
        <v>14</v>
      </c>
      <c r="C15" s="22">
        <v>302000</v>
      </c>
      <c r="D15" s="22"/>
      <c r="E15" s="22">
        <v>208000</v>
      </c>
      <c r="F15" s="22"/>
      <c r="G15" s="22"/>
      <c r="H15" s="12">
        <f t="shared" si="0"/>
        <v>44002</v>
      </c>
    </row>
    <row r="16" spans="2:11" x14ac:dyDescent="0.3">
      <c r="B16" s="6" t="s">
        <v>24</v>
      </c>
      <c r="C16" s="22">
        <v>324000</v>
      </c>
      <c r="D16" s="22"/>
      <c r="E16" s="22">
        <v>108000</v>
      </c>
      <c r="F16" s="49"/>
      <c r="G16" s="22"/>
      <c r="H16" s="12">
        <f t="shared" si="0"/>
        <v>44002</v>
      </c>
    </row>
    <row r="17" spans="1:8" x14ac:dyDescent="0.3">
      <c r="B17" s="6" t="s">
        <v>21</v>
      </c>
      <c r="C17" s="22"/>
      <c r="D17" s="22"/>
      <c r="E17" s="22"/>
      <c r="F17" s="22"/>
      <c r="G17" s="22"/>
      <c r="H17" s="12">
        <f t="shared" si="0"/>
        <v>44002</v>
      </c>
    </row>
    <row r="18" spans="1:8" x14ac:dyDescent="0.3">
      <c r="B18" s="6" t="s">
        <v>18</v>
      </c>
      <c r="C18" s="22"/>
      <c r="D18" s="22">
        <v>54000</v>
      </c>
      <c r="E18" s="22"/>
      <c r="F18" s="22"/>
      <c r="G18" s="22"/>
      <c r="H18" s="12">
        <f t="shared" si="0"/>
        <v>44002</v>
      </c>
    </row>
    <row r="19" spans="1:8" x14ac:dyDescent="0.3">
      <c r="B19" s="6" t="s">
        <v>16</v>
      </c>
      <c r="C19" s="22"/>
      <c r="D19" s="22"/>
      <c r="E19" s="22"/>
      <c r="F19" s="22"/>
      <c r="G19" s="22"/>
      <c r="H19" s="12">
        <f t="shared" si="0"/>
        <v>44002</v>
      </c>
    </row>
    <row r="20" spans="1:8" x14ac:dyDescent="0.3">
      <c r="B20" s="50" t="s">
        <v>27</v>
      </c>
      <c r="C20" s="51">
        <f>SUM(June20_2020[KSI_AGO])</f>
        <v>1264000</v>
      </c>
      <c r="D20" s="51">
        <f>SUM(June20_2020[KSI_PMS])</f>
        <v>108000</v>
      </c>
      <c r="E20" s="51">
        <f>SUM(June20_2020[BUIPE_AGO])</f>
        <v>690000</v>
      </c>
      <c r="F20" s="51">
        <f>SUM(June20_2020[BUIPE_PMS])</f>
        <v>0</v>
      </c>
      <c r="G20" s="51">
        <f>SUM(June20_2020[AKOSOMBO_AGO])</f>
        <v>0</v>
      </c>
      <c r="H20" s="52"/>
    </row>
    <row r="21" spans="1:8" x14ac:dyDescent="0.3">
      <c r="B21" s="8"/>
      <c r="C21" s="24"/>
      <c r="D21" s="24"/>
      <c r="E21" s="24"/>
      <c r="F21" s="24"/>
      <c r="G21" s="24"/>
      <c r="H21"/>
    </row>
    <row r="22" spans="1:8" x14ac:dyDescent="0.3">
      <c r="B22" s="1" t="s">
        <v>6</v>
      </c>
      <c r="C22" s="1" t="s">
        <v>4</v>
      </c>
      <c r="D22" s="5">
        <f>SUMIF(June20_2020[[#Headers],[KSI_AGO]:[AKOSOMBO_AGO]],"*"&amp;C22,June20_2020[[#Totals],[KSI_AGO]:[AKOSOMBO_AGO]])</f>
        <v>1954000</v>
      </c>
      <c r="E22" s="1" t="s">
        <v>5</v>
      </c>
      <c r="F22" s="5">
        <f>SUMIF(June20_2020[[#Headers],[KSI_AGO]:[AKOSOMBO_AGO]],"*"&amp;E22,June20_2020[[#Totals],[KSI_AGO]:[AKOSOMBO_AGO]])</f>
        <v>108000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4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18">
    <pageSetUpPr fitToPage="1"/>
  </sheetPr>
  <dimension ref="A1:K32"/>
  <sheetViews>
    <sheetView zoomScale="80" zoomScaleNormal="80" workbookViewId="0">
      <selection activeCell="E19" sqref="E19"/>
    </sheetView>
  </sheetViews>
  <sheetFormatPr defaultColWidth="14" defaultRowHeight="14.4" x14ac:dyDescent="0.3"/>
  <cols>
    <col min="1" max="1" width="5.5546875" style="1" customWidth="1"/>
    <col min="2" max="2" width="26.109375" style="1" customWidth="1"/>
    <col min="3" max="3" width="15" style="1" customWidth="1"/>
    <col min="4" max="4" width="16.88671875" style="1" customWidth="1"/>
    <col min="5" max="5" width="18.109375" style="1" customWidth="1"/>
    <col min="6" max="6" width="19.109375" style="1" customWidth="1"/>
    <col min="7" max="7" width="27.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44004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44004</v>
      </c>
    </row>
    <row r="7" spans="2:11" x14ac:dyDescent="0.3">
      <c r="B7" s="6" t="s">
        <v>37</v>
      </c>
      <c r="C7" s="22"/>
      <c r="D7" s="22"/>
      <c r="E7" s="22"/>
      <c r="F7" s="22"/>
      <c r="G7" s="22"/>
      <c r="H7" s="67">
        <f>$G$3</f>
        <v>44004</v>
      </c>
    </row>
    <row r="8" spans="2:11" x14ac:dyDescent="0.3">
      <c r="B8" s="6" t="s">
        <v>17</v>
      </c>
      <c r="C8" s="22"/>
      <c r="D8" s="22">
        <v>108000</v>
      </c>
      <c r="E8" s="22">
        <v>108000</v>
      </c>
      <c r="F8" s="22"/>
      <c r="G8" s="22"/>
      <c r="H8" s="12">
        <f t="shared" si="0"/>
        <v>44004</v>
      </c>
    </row>
    <row r="9" spans="2:11" ht="15.6" x14ac:dyDescent="0.3">
      <c r="B9" s="34" t="s">
        <v>0</v>
      </c>
      <c r="C9" s="60">
        <v>622000</v>
      </c>
      <c r="D9" s="60">
        <v>45000</v>
      </c>
      <c r="E9" s="60">
        <v>216000</v>
      </c>
      <c r="F9" s="60"/>
      <c r="G9" s="61"/>
      <c r="H9" s="12">
        <f t="shared" si="0"/>
        <v>44004</v>
      </c>
    </row>
    <row r="10" spans="2:11" x14ac:dyDescent="0.3">
      <c r="B10" s="6" t="s">
        <v>25</v>
      </c>
      <c r="C10" s="22"/>
      <c r="D10" s="22"/>
      <c r="E10" s="22"/>
      <c r="F10" s="22"/>
      <c r="G10" s="22"/>
      <c r="H10" s="12">
        <f t="shared" si="0"/>
        <v>44004</v>
      </c>
    </row>
    <row r="11" spans="2:11" x14ac:dyDescent="0.3">
      <c r="B11" s="6" t="s">
        <v>15</v>
      </c>
      <c r="C11" s="22"/>
      <c r="D11" s="22"/>
      <c r="E11" s="22"/>
      <c r="F11" s="48"/>
      <c r="G11" s="22"/>
      <c r="H11" s="12">
        <f t="shared" si="0"/>
        <v>44004</v>
      </c>
    </row>
    <row r="12" spans="2:11" x14ac:dyDescent="0.3">
      <c r="B12" s="6" t="s">
        <v>26</v>
      </c>
      <c r="C12" s="22"/>
      <c r="D12" s="22"/>
      <c r="E12" s="22"/>
      <c r="F12" s="22"/>
      <c r="G12" s="22"/>
      <c r="H12" s="12">
        <f t="shared" si="0"/>
        <v>44004</v>
      </c>
    </row>
    <row r="13" spans="2:11" x14ac:dyDescent="0.3">
      <c r="B13" s="6" t="s">
        <v>22</v>
      </c>
      <c r="C13" s="23"/>
      <c r="D13" s="23"/>
      <c r="E13" s="23"/>
      <c r="F13" s="22"/>
      <c r="G13" s="23"/>
      <c r="H13" s="12">
        <f t="shared" si="0"/>
        <v>44004</v>
      </c>
      <c r="K13" s="4"/>
    </row>
    <row r="14" spans="2:11" x14ac:dyDescent="0.3">
      <c r="B14" s="6" t="s">
        <v>19</v>
      </c>
      <c r="C14" s="22"/>
      <c r="D14" s="22"/>
      <c r="E14" s="22"/>
      <c r="F14" s="22"/>
      <c r="G14" s="22"/>
      <c r="H14" s="12">
        <f t="shared" si="0"/>
        <v>44004</v>
      </c>
    </row>
    <row r="15" spans="2:11" x14ac:dyDescent="0.3">
      <c r="B15" s="6" t="s">
        <v>14</v>
      </c>
      <c r="C15" s="22">
        <v>315000</v>
      </c>
      <c r="D15" s="22"/>
      <c r="E15" s="22"/>
      <c r="F15" s="22"/>
      <c r="G15" s="22"/>
      <c r="H15" s="12">
        <f t="shared" si="0"/>
        <v>44004</v>
      </c>
    </row>
    <row r="16" spans="2:11" x14ac:dyDescent="0.3">
      <c r="B16" s="6" t="s">
        <v>24</v>
      </c>
      <c r="C16" s="22">
        <v>424000</v>
      </c>
      <c r="D16" s="22"/>
      <c r="E16" s="22">
        <v>216000</v>
      </c>
      <c r="F16" s="49"/>
      <c r="G16" s="22"/>
      <c r="H16" s="12">
        <f t="shared" si="0"/>
        <v>44004</v>
      </c>
    </row>
    <row r="17" spans="1:8" x14ac:dyDescent="0.3">
      <c r="B17" s="6" t="s">
        <v>21</v>
      </c>
      <c r="C17" s="22"/>
      <c r="D17" s="22"/>
      <c r="E17" s="22"/>
      <c r="F17" s="22"/>
      <c r="G17" s="22"/>
      <c r="H17" s="12">
        <f t="shared" si="0"/>
        <v>44004</v>
      </c>
    </row>
    <row r="18" spans="1:8" x14ac:dyDescent="0.3">
      <c r="B18" s="6" t="s">
        <v>18</v>
      </c>
      <c r="C18" s="22"/>
      <c r="D18" s="22"/>
      <c r="E18" s="22"/>
      <c r="F18" s="22"/>
      <c r="G18" s="22"/>
      <c r="H18" s="12">
        <f t="shared" si="0"/>
        <v>44004</v>
      </c>
    </row>
    <row r="19" spans="1:8" x14ac:dyDescent="0.3">
      <c r="B19" s="6" t="s">
        <v>16</v>
      </c>
      <c r="C19" s="22"/>
      <c r="D19" s="51"/>
      <c r="E19" s="22"/>
      <c r="F19" s="22"/>
      <c r="G19" s="22"/>
      <c r="H19" s="12">
        <f t="shared" si="0"/>
        <v>44004</v>
      </c>
    </row>
    <row r="20" spans="1:8" x14ac:dyDescent="0.3">
      <c r="B20" s="50" t="s">
        <v>27</v>
      </c>
      <c r="C20" s="51">
        <f>SUM(June22_2020[KSI_AGO])</f>
        <v>1361000</v>
      </c>
      <c r="D20" s="51">
        <f>SUM(June22_2020[KSI_PMS])</f>
        <v>153000</v>
      </c>
      <c r="E20" s="51">
        <f>SUM(June22_2020[BUIPE_AGO])</f>
        <v>540000</v>
      </c>
      <c r="F20" s="51">
        <f>SUM(June22_2020[BUIPE_PMS])</f>
        <v>0</v>
      </c>
      <c r="G20" s="51">
        <f>SUM(June22_2020[AKOSOMBO_AGO])</f>
        <v>0</v>
      </c>
      <c r="H20" s="63"/>
    </row>
    <row r="21" spans="1:8" x14ac:dyDescent="0.3">
      <c r="B21" s="8"/>
      <c r="C21" s="24"/>
      <c r="D21" s="24"/>
      <c r="E21" s="24"/>
      <c r="F21" s="24"/>
      <c r="G21" s="24"/>
      <c r="H21"/>
    </row>
    <row r="22" spans="1:8" x14ac:dyDescent="0.3">
      <c r="B22" s="1" t="s">
        <v>6</v>
      </c>
      <c r="C22" s="1" t="s">
        <v>4</v>
      </c>
      <c r="D22" s="5">
        <f>SUMIF(June22_2020[[#Headers],[KSI_AGO]:[AKOSOMBO_AGO]],"*"&amp;C22,June22_2020[[#Totals],[KSI_AGO]:[AKOSOMBO_AGO]])</f>
        <v>1901000</v>
      </c>
      <c r="E22" s="1" t="s">
        <v>5</v>
      </c>
      <c r="F22" s="5">
        <f>SUMIF(June22_2020[[#Headers],[KSI_AGO]:[AKOSOMBO_AGO]],"*"&amp;E22,June22_2020[[#Totals],[KSI_AGO]:[AKOSOMBO_AGO]])</f>
        <v>153000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5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19">
    <pageSetUpPr fitToPage="1"/>
  </sheetPr>
  <dimension ref="A1:K32"/>
  <sheetViews>
    <sheetView zoomScale="80" zoomScaleNormal="80" workbookViewId="0">
      <selection activeCell="F11" sqref="F11"/>
    </sheetView>
  </sheetViews>
  <sheetFormatPr defaultColWidth="14" defaultRowHeight="14.4" x14ac:dyDescent="0.3"/>
  <cols>
    <col min="1" max="1" width="5.5546875" style="1" customWidth="1"/>
    <col min="2" max="2" width="26.109375" style="1" customWidth="1"/>
    <col min="3" max="3" width="17.5546875" style="1" customWidth="1"/>
    <col min="4" max="4" width="18.33203125" style="1" customWidth="1"/>
    <col min="5" max="5" width="17.33203125" style="1" customWidth="1"/>
    <col min="6" max="6" width="19.5546875" style="1" customWidth="1"/>
    <col min="7" max="7" width="33.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44005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44005</v>
      </c>
    </row>
    <row r="7" spans="2:11" x14ac:dyDescent="0.3">
      <c r="B7" s="6" t="s">
        <v>37</v>
      </c>
      <c r="C7" s="22"/>
      <c r="D7" s="22"/>
      <c r="E7" s="22"/>
      <c r="F7" s="22"/>
      <c r="G7" s="22"/>
      <c r="H7" s="67">
        <f>$G$3</f>
        <v>44005</v>
      </c>
    </row>
    <row r="8" spans="2:11" x14ac:dyDescent="0.3">
      <c r="B8" s="6" t="s">
        <v>17</v>
      </c>
      <c r="C8" s="22"/>
      <c r="D8" s="22"/>
      <c r="E8" s="22">
        <v>108000</v>
      </c>
      <c r="F8" s="22"/>
      <c r="G8" s="22"/>
      <c r="H8" s="12">
        <f t="shared" si="0"/>
        <v>44005</v>
      </c>
    </row>
    <row r="9" spans="2:11" ht="15.6" x14ac:dyDescent="0.3">
      <c r="B9" s="34" t="s">
        <v>0</v>
      </c>
      <c r="C9" s="60">
        <v>733500</v>
      </c>
      <c r="D9" s="60"/>
      <c r="E9" s="60">
        <v>108000</v>
      </c>
      <c r="F9" s="60"/>
      <c r="G9" s="61"/>
      <c r="H9" s="12">
        <f t="shared" si="0"/>
        <v>44005</v>
      </c>
    </row>
    <row r="10" spans="2:11" x14ac:dyDescent="0.3">
      <c r="B10" s="6" t="s">
        <v>25</v>
      </c>
      <c r="C10" s="22"/>
      <c r="D10" s="22"/>
      <c r="E10" s="22"/>
      <c r="F10" s="22"/>
      <c r="G10" s="22"/>
      <c r="H10" s="12">
        <f t="shared" si="0"/>
        <v>44005</v>
      </c>
    </row>
    <row r="11" spans="2:11" x14ac:dyDescent="0.3">
      <c r="B11" s="6" t="s">
        <v>15</v>
      </c>
      <c r="C11" s="22"/>
      <c r="D11" s="22"/>
      <c r="E11" s="22"/>
      <c r="F11" s="48"/>
      <c r="G11" s="22"/>
      <c r="H11" s="12">
        <f t="shared" si="0"/>
        <v>44005</v>
      </c>
    </row>
    <row r="12" spans="2:11" x14ac:dyDescent="0.3">
      <c r="B12" s="6" t="s">
        <v>26</v>
      </c>
      <c r="C12" s="22"/>
      <c r="D12" s="22"/>
      <c r="E12" s="22"/>
      <c r="F12" s="22"/>
      <c r="G12" s="22"/>
      <c r="H12" s="12">
        <f t="shared" si="0"/>
        <v>44005</v>
      </c>
    </row>
    <row r="13" spans="2:11" x14ac:dyDescent="0.3">
      <c r="B13" s="6" t="s">
        <v>22</v>
      </c>
      <c r="C13" s="23"/>
      <c r="D13" s="23"/>
      <c r="E13" s="23"/>
      <c r="F13" s="22"/>
      <c r="G13" s="23"/>
      <c r="H13" s="12">
        <f t="shared" si="0"/>
        <v>44005</v>
      </c>
      <c r="K13" s="4"/>
    </row>
    <row r="14" spans="2:11" x14ac:dyDescent="0.3">
      <c r="B14" s="6" t="s">
        <v>19</v>
      </c>
      <c r="C14" s="22"/>
      <c r="D14" s="22"/>
      <c r="E14" s="22"/>
      <c r="F14" s="22"/>
      <c r="G14" s="22"/>
      <c r="H14" s="12">
        <f t="shared" si="0"/>
        <v>44005</v>
      </c>
    </row>
    <row r="15" spans="2:11" x14ac:dyDescent="0.3">
      <c r="B15" s="6" t="s">
        <v>14</v>
      </c>
      <c r="C15" s="22">
        <v>309500</v>
      </c>
      <c r="D15" s="22"/>
      <c r="E15" s="22">
        <v>108000</v>
      </c>
      <c r="F15" s="22"/>
      <c r="G15" s="22"/>
      <c r="H15" s="12">
        <f t="shared" si="0"/>
        <v>44005</v>
      </c>
    </row>
    <row r="16" spans="2:11" x14ac:dyDescent="0.3">
      <c r="B16" s="6" t="s">
        <v>24</v>
      </c>
      <c r="C16" s="22">
        <v>477000</v>
      </c>
      <c r="D16" s="22"/>
      <c r="E16" s="22">
        <v>99000</v>
      </c>
      <c r="F16" s="49"/>
      <c r="G16" s="22"/>
      <c r="H16" s="12">
        <f t="shared" si="0"/>
        <v>44005</v>
      </c>
    </row>
    <row r="17" spans="1:8" x14ac:dyDescent="0.3">
      <c r="B17" s="6" t="s">
        <v>21</v>
      </c>
      <c r="C17" s="22"/>
      <c r="D17" s="22"/>
      <c r="E17" s="22"/>
      <c r="F17" s="22"/>
      <c r="G17" s="22"/>
      <c r="H17" s="12">
        <f t="shared" si="0"/>
        <v>44005</v>
      </c>
    </row>
    <row r="18" spans="1:8" x14ac:dyDescent="0.3">
      <c r="B18" s="6" t="s">
        <v>18</v>
      </c>
      <c r="C18" s="22"/>
      <c r="D18" s="22"/>
      <c r="E18" s="22"/>
      <c r="F18" s="22"/>
      <c r="G18" s="22"/>
      <c r="H18" s="12">
        <f t="shared" si="0"/>
        <v>44005</v>
      </c>
    </row>
    <row r="19" spans="1:8" x14ac:dyDescent="0.3">
      <c r="B19" s="6" t="s">
        <v>16</v>
      </c>
      <c r="C19" s="22"/>
      <c r="D19" s="22"/>
      <c r="E19" s="22"/>
      <c r="F19" s="22"/>
      <c r="G19" s="22"/>
      <c r="H19" s="12">
        <f t="shared" si="0"/>
        <v>44005</v>
      </c>
    </row>
    <row r="20" spans="1:8" x14ac:dyDescent="0.3">
      <c r="B20" s="50" t="s">
        <v>27</v>
      </c>
      <c r="C20" s="51">
        <f>SUM(June23_2020[KSI_AGO])</f>
        <v>1520000</v>
      </c>
      <c r="D20" s="51">
        <f>SUM(June23_2020[KSI_PMS])</f>
        <v>0</v>
      </c>
      <c r="E20" s="51">
        <f>SUM(June23_2020[BUIPE_AGO])</f>
        <v>423000</v>
      </c>
      <c r="F20" s="51">
        <f>SUM(June23_2020[BUIPE_PMS])</f>
        <v>0</v>
      </c>
      <c r="G20" s="51">
        <f>SUM(June23_2020[AKOSOMBO_AGO])</f>
        <v>0</v>
      </c>
      <c r="H20" s="52"/>
    </row>
    <row r="21" spans="1:8" x14ac:dyDescent="0.3">
      <c r="B21" s="8"/>
      <c r="C21" s="24"/>
      <c r="D21" s="24"/>
      <c r="E21" s="24"/>
      <c r="F21" s="24"/>
      <c r="G21" s="24"/>
      <c r="H21"/>
    </row>
    <row r="22" spans="1:8" x14ac:dyDescent="0.3">
      <c r="B22" s="1" t="s">
        <v>6</v>
      </c>
      <c r="C22" s="1" t="s">
        <v>4</v>
      </c>
      <c r="D22" s="5">
        <f>SUMIF(June23_2020[[#Headers],[KSI_AGO]:[AKOSOMBO_AGO]],"*"&amp;C22,June23_2020[[#Totals],[KSI_AGO]:[AKOSOMBO_AGO]])</f>
        <v>1943000</v>
      </c>
      <c r="E22" s="1" t="s">
        <v>5</v>
      </c>
      <c r="F22" s="5">
        <f>SUMIF(June23_2020[[#Headers],[KSI_AGO]:[AKOSOMBO_AGO]],"*"&amp;E22,June23_2020[[#Totals],[KSI_AGO]:[AKOSOMBO_AGO]])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6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20">
    <pageSetUpPr fitToPage="1"/>
  </sheetPr>
  <dimension ref="A1:K32"/>
  <sheetViews>
    <sheetView zoomScale="80" zoomScaleNormal="80" workbookViewId="0">
      <selection activeCell="G16" sqref="G16"/>
    </sheetView>
  </sheetViews>
  <sheetFormatPr defaultColWidth="14" defaultRowHeight="14.4" x14ac:dyDescent="0.3"/>
  <cols>
    <col min="1" max="1" width="4.33203125" style="1" customWidth="1"/>
    <col min="2" max="2" width="26.6640625" style="1" customWidth="1"/>
    <col min="3" max="3" width="15.5546875" style="1" customWidth="1"/>
    <col min="4" max="4" width="15" style="1" customWidth="1"/>
    <col min="5" max="5" width="17.6640625" style="1" customWidth="1"/>
    <col min="6" max="6" width="19.109375" style="1" customWidth="1"/>
    <col min="7" max="7" width="29.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44006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44006</v>
      </c>
    </row>
    <row r="7" spans="2:11" x14ac:dyDescent="0.3">
      <c r="B7" s="6" t="s">
        <v>37</v>
      </c>
      <c r="C7" s="22"/>
      <c r="D7" s="22"/>
      <c r="E7" s="22"/>
      <c r="F7" s="22"/>
      <c r="G7" s="22"/>
      <c r="H7" s="67">
        <f>$G$3</f>
        <v>44006</v>
      </c>
    </row>
    <row r="8" spans="2:11" x14ac:dyDescent="0.3">
      <c r="B8" s="6" t="s">
        <v>17</v>
      </c>
      <c r="C8" s="22"/>
      <c r="D8" s="22"/>
      <c r="E8" s="22">
        <v>54000</v>
      </c>
      <c r="F8" s="22"/>
      <c r="G8" s="22"/>
      <c r="H8" s="12">
        <f t="shared" si="0"/>
        <v>44006</v>
      </c>
    </row>
    <row r="9" spans="2:11" ht="15.6" x14ac:dyDescent="0.3">
      <c r="B9" s="34" t="s">
        <v>0</v>
      </c>
      <c r="C9" s="60">
        <v>901000</v>
      </c>
      <c r="D9" s="60"/>
      <c r="E9" s="60">
        <v>324000</v>
      </c>
      <c r="F9" s="60"/>
      <c r="G9" s="61"/>
      <c r="H9" s="12">
        <f t="shared" si="0"/>
        <v>44006</v>
      </c>
    </row>
    <row r="10" spans="2:11" x14ac:dyDescent="0.3">
      <c r="B10" s="6" t="s">
        <v>25</v>
      </c>
      <c r="C10" s="22">
        <v>270000</v>
      </c>
      <c r="D10" s="22"/>
      <c r="E10" s="22"/>
      <c r="F10" s="22"/>
      <c r="G10" s="22"/>
      <c r="H10" s="12">
        <f t="shared" si="0"/>
        <v>44006</v>
      </c>
    </row>
    <row r="11" spans="2:11" x14ac:dyDescent="0.3">
      <c r="B11" s="6" t="s">
        <v>15</v>
      </c>
      <c r="C11" s="22"/>
      <c r="D11" s="22"/>
      <c r="E11" s="22"/>
      <c r="F11" s="48"/>
      <c r="G11" s="22"/>
      <c r="H11" s="12">
        <f t="shared" si="0"/>
        <v>44006</v>
      </c>
    </row>
    <row r="12" spans="2:11" x14ac:dyDescent="0.3">
      <c r="B12" s="6" t="s">
        <v>26</v>
      </c>
      <c r="C12" s="22"/>
      <c r="D12" s="22">
        <v>1387000</v>
      </c>
      <c r="E12" s="22"/>
      <c r="F12" s="22"/>
      <c r="G12" s="22"/>
      <c r="H12" s="12">
        <f t="shared" si="0"/>
        <v>44006</v>
      </c>
    </row>
    <row r="13" spans="2:11" x14ac:dyDescent="0.3">
      <c r="B13" s="6" t="s">
        <v>22</v>
      </c>
      <c r="C13" s="23"/>
      <c r="D13" s="23"/>
      <c r="E13" s="23"/>
      <c r="F13" s="22"/>
      <c r="G13" s="23"/>
      <c r="H13" s="12">
        <f t="shared" si="0"/>
        <v>44006</v>
      </c>
      <c r="K13" s="4"/>
    </row>
    <row r="14" spans="2:11" x14ac:dyDescent="0.3">
      <c r="B14" s="6" t="s">
        <v>19</v>
      </c>
      <c r="C14" s="22"/>
      <c r="D14" s="22"/>
      <c r="E14" s="22"/>
      <c r="F14" s="22"/>
      <c r="G14" s="22"/>
      <c r="H14" s="12">
        <f t="shared" si="0"/>
        <v>44006</v>
      </c>
    </row>
    <row r="15" spans="2:11" x14ac:dyDescent="0.3">
      <c r="B15" s="6" t="s">
        <v>14</v>
      </c>
      <c r="C15" s="22"/>
      <c r="D15" s="22"/>
      <c r="E15" s="22"/>
      <c r="F15" s="22"/>
      <c r="G15" s="22"/>
      <c r="H15" s="12">
        <f t="shared" si="0"/>
        <v>44006</v>
      </c>
    </row>
    <row r="16" spans="2:11" x14ac:dyDescent="0.3">
      <c r="B16" s="6" t="s">
        <v>24</v>
      </c>
      <c r="C16" s="22">
        <v>540000</v>
      </c>
      <c r="D16" s="22"/>
      <c r="E16" s="22">
        <v>216000</v>
      </c>
      <c r="F16" s="49"/>
      <c r="G16" s="22"/>
      <c r="H16" s="12">
        <f t="shared" si="0"/>
        <v>44006</v>
      </c>
    </row>
    <row r="17" spans="1:8" x14ac:dyDescent="0.3">
      <c r="B17" s="6" t="s">
        <v>21</v>
      </c>
      <c r="C17" s="22"/>
      <c r="D17" s="22"/>
      <c r="E17" s="22"/>
      <c r="F17" s="22"/>
      <c r="G17" s="22"/>
      <c r="H17" s="12">
        <f t="shared" si="0"/>
        <v>44006</v>
      </c>
    </row>
    <row r="18" spans="1:8" x14ac:dyDescent="0.3">
      <c r="B18" s="6" t="s">
        <v>18</v>
      </c>
      <c r="C18" s="22"/>
      <c r="D18" s="22"/>
      <c r="E18" s="22"/>
      <c r="F18" s="22"/>
      <c r="G18" s="22"/>
      <c r="H18" s="12">
        <f t="shared" si="0"/>
        <v>44006</v>
      </c>
    </row>
    <row r="19" spans="1:8" x14ac:dyDescent="0.3">
      <c r="B19" s="6" t="s">
        <v>16</v>
      </c>
      <c r="C19" s="22"/>
      <c r="D19" s="22"/>
      <c r="E19" s="22"/>
      <c r="F19" s="22"/>
      <c r="G19" s="22"/>
      <c r="H19" s="12">
        <f t="shared" si="0"/>
        <v>44006</v>
      </c>
    </row>
    <row r="20" spans="1:8" x14ac:dyDescent="0.3">
      <c r="B20" s="50" t="s">
        <v>27</v>
      </c>
      <c r="C20" s="51">
        <f>SUM(June24_2020[KSI_AGO])</f>
        <v>1711000</v>
      </c>
      <c r="D20" s="51">
        <f>SUM(June24_2020[KSI_PMS])</f>
        <v>1387000</v>
      </c>
      <c r="E20" s="51">
        <f>SUM(June24_2020[BUIPE_AGO])</f>
        <v>594000</v>
      </c>
      <c r="F20" s="51">
        <f>SUM(June24_2020[BUIPE_PMS])</f>
        <v>0</v>
      </c>
      <c r="G20" s="51">
        <f>SUM(June24_2020[AKOSOMBO_AGO])</f>
        <v>0</v>
      </c>
      <c r="H20" s="52"/>
    </row>
    <row r="21" spans="1:8" x14ac:dyDescent="0.3">
      <c r="B21" s="8"/>
      <c r="C21" s="24"/>
      <c r="D21" s="24"/>
      <c r="E21" s="24"/>
      <c r="F21" s="24"/>
      <c r="G21" s="24"/>
      <c r="H21"/>
    </row>
    <row r="22" spans="1:8" x14ac:dyDescent="0.3">
      <c r="B22" s="1" t="s">
        <v>6</v>
      </c>
      <c r="C22" s="1" t="s">
        <v>4</v>
      </c>
      <c r="D22" s="5">
        <f>SUMIF(June24_2020[[#Headers],[KSI_AGO]:[AKOSOMBO_AGO]],"*"&amp;C22,June24_2020[[#Totals],[KSI_AGO]:[AKOSOMBO_AGO]])</f>
        <v>2305000</v>
      </c>
      <c r="E22" s="1" t="s">
        <v>5</v>
      </c>
      <c r="F22" s="5">
        <f>SUMIF(June24_2020[[#Headers],[KSI_AGO]:[AKOSOMBO_AGO]],"*"&amp;E22,June24_2020[[#Totals],[KSI_AGO]:[AKOSOMBO_AGO]])</f>
        <v>1387000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7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21">
    <pageSetUpPr fitToPage="1"/>
  </sheetPr>
  <dimension ref="A1:K32"/>
  <sheetViews>
    <sheetView zoomScale="104" zoomScaleNormal="80" workbookViewId="0">
      <selection activeCell="D10" sqref="D10"/>
    </sheetView>
  </sheetViews>
  <sheetFormatPr defaultColWidth="14" defaultRowHeight="14.4" x14ac:dyDescent="0.3"/>
  <cols>
    <col min="1" max="1" width="4.33203125" style="1" customWidth="1"/>
    <col min="2" max="2" width="26.6640625" style="1" customWidth="1"/>
    <col min="3" max="3" width="15.5546875" style="1" customWidth="1"/>
    <col min="4" max="4" width="15" style="1" customWidth="1"/>
    <col min="5" max="5" width="17.6640625" style="1" customWidth="1"/>
    <col min="6" max="6" width="19.109375" style="1" customWidth="1"/>
    <col min="7" max="7" width="29.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44007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44007</v>
      </c>
    </row>
    <row r="7" spans="2:11" x14ac:dyDescent="0.3">
      <c r="B7" s="6" t="s">
        <v>37</v>
      </c>
      <c r="C7" s="22"/>
      <c r="D7" s="22"/>
      <c r="E7" s="22"/>
      <c r="F7" s="22"/>
      <c r="G7" s="22"/>
      <c r="H7" s="67">
        <f>$G$3</f>
        <v>44007</v>
      </c>
    </row>
    <row r="8" spans="2:11" x14ac:dyDescent="0.3">
      <c r="B8" s="6" t="s">
        <v>17</v>
      </c>
      <c r="C8" s="22"/>
      <c r="D8" s="22"/>
      <c r="E8" s="22">
        <v>216000</v>
      </c>
      <c r="F8" s="22"/>
      <c r="G8" s="22"/>
      <c r="H8" s="12">
        <f t="shared" si="0"/>
        <v>44007</v>
      </c>
    </row>
    <row r="9" spans="2:11" ht="15.6" x14ac:dyDescent="0.3">
      <c r="B9" s="34" t="s">
        <v>0</v>
      </c>
      <c r="C9" s="60">
        <v>486000</v>
      </c>
      <c r="D9" s="60"/>
      <c r="E9" s="60">
        <v>216000</v>
      </c>
      <c r="F9" s="60"/>
      <c r="G9" s="61"/>
      <c r="H9" s="12">
        <f t="shared" si="0"/>
        <v>44007</v>
      </c>
    </row>
    <row r="10" spans="2:11" x14ac:dyDescent="0.3">
      <c r="B10" s="6" t="s">
        <v>25</v>
      </c>
      <c r="C10" s="22">
        <v>162000</v>
      </c>
      <c r="D10" s="22"/>
      <c r="E10" s="22"/>
      <c r="F10" s="22"/>
      <c r="G10" s="22"/>
      <c r="H10" s="12">
        <f t="shared" si="0"/>
        <v>44007</v>
      </c>
    </row>
    <row r="11" spans="2:11" x14ac:dyDescent="0.3">
      <c r="B11" s="6" t="s">
        <v>15</v>
      </c>
      <c r="C11" s="22"/>
      <c r="D11" s="22"/>
      <c r="E11" s="22"/>
      <c r="F11" s="48"/>
      <c r="G11" s="22"/>
      <c r="H11" s="12">
        <f t="shared" si="0"/>
        <v>44007</v>
      </c>
    </row>
    <row r="12" spans="2:11" x14ac:dyDescent="0.3">
      <c r="B12" s="6" t="s">
        <v>26</v>
      </c>
      <c r="C12" s="22">
        <v>54000</v>
      </c>
      <c r="D12" s="22"/>
      <c r="E12" s="22"/>
      <c r="F12" s="22"/>
      <c r="G12" s="22"/>
      <c r="H12" s="12">
        <f t="shared" si="0"/>
        <v>44007</v>
      </c>
    </row>
    <row r="13" spans="2:11" x14ac:dyDescent="0.3">
      <c r="B13" s="6" t="s">
        <v>22</v>
      </c>
      <c r="C13" s="23"/>
      <c r="D13" s="23"/>
      <c r="E13" s="23"/>
      <c r="F13" s="22"/>
      <c r="G13" s="23"/>
      <c r="H13" s="12">
        <f t="shared" si="0"/>
        <v>44007</v>
      </c>
      <c r="K13" s="4"/>
    </row>
    <row r="14" spans="2:11" x14ac:dyDescent="0.3">
      <c r="B14" s="6" t="s">
        <v>19</v>
      </c>
      <c r="C14" s="22"/>
      <c r="D14" s="22"/>
      <c r="E14" s="22"/>
      <c r="F14" s="22"/>
      <c r="G14" s="22"/>
      <c r="H14" s="12">
        <f t="shared" si="0"/>
        <v>44007</v>
      </c>
    </row>
    <row r="15" spans="2:11" x14ac:dyDescent="0.3">
      <c r="B15" s="6" t="s">
        <v>14</v>
      </c>
      <c r="C15" s="22"/>
      <c r="D15" s="22"/>
      <c r="E15" s="22"/>
      <c r="F15" s="22"/>
      <c r="G15" s="22"/>
      <c r="H15" s="12">
        <f t="shared" si="0"/>
        <v>44007</v>
      </c>
    </row>
    <row r="16" spans="2:11" x14ac:dyDescent="0.3">
      <c r="B16" s="6" t="s">
        <v>24</v>
      </c>
      <c r="C16" s="22">
        <v>153000</v>
      </c>
      <c r="D16" s="22"/>
      <c r="E16" s="22">
        <v>1130000</v>
      </c>
      <c r="F16" s="49"/>
      <c r="G16" s="22"/>
      <c r="H16" s="12">
        <f t="shared" si="0"/>
        <v>44007</v>
      </c>
    </row>
    <row r="17" spans="1:8" x14ac:dyDescent="0.3">
      <c r="B17" s="6" t="s">
        <v>21</v>
      </c>
      <c r="C17" s="22"/>
      <c r="D17" s="22"/>
      <c r="E17" s="22"/>
      <c r="F17" s="22"/>
      <c r="G17" s="22"/>
      <c r="H17" s="12">
        <f t="shared" si="0"/>
        <v>44007</v>
      </c>
    </row>
    <row r="18" spans="1:8" x14ac:dyDescent="0.3">
      <c r="B18" s="6" t="s">
        <v>18</v>
      </c>
      <c r="C18" s="22"/>
      <c r="D18" s="22"/>
      <c r="E18" s="22"/>
      <c r="F18" s="22"/>
      <c r="G18" s="22"/>
      <c r="H18" s="12">
        <f t="shared" si="0"/>
        <v>44007</v>
      </c>
    </row>
    <row r="19" spans="1:8" x14ac:dyDescent="0.3">
      <c r="B19" s="6" t="s">
        <v>16</v>
      </c>
      <c r="C19" s="22"/>
      <c r="D19" s="22"/>
      <c r="E19" s="22"/>
      <c r="F19" s="22"/>
      <c r="G19" s="22"/>
      <c r="H19" s="12">
        <f t="shared" si="0"/>
        <v>44007</v>
      </c>
    </row>
    <row r="20" spans="1:8" x14ac:dyDescent="0.3">
      <c r="B20" s="50" t="s">
        <v>27</v>
      </c>
      <c r="C20" s="51">
        <f>SUM(June25_2020[KSI_AGO])</f>
        <v>855000</v>
      </c>
      <c r="D20" s="51">
        <f>SUM(June25_2020[KSI_PMS])</f>
        <v>0</v>
      </c>
      <c r="E20" s="51">
        <f>SUM(June25_2020[BUIPE_AGO])</f>
        <v>1562000</v>
      </c>
      <c r="F20" s="51">
        <f>SUM(June25_2020[BUIPE_PMS])</f>
        <v>0</v>
      </c>
      <c r="G20" s="51">
        <f>SUM(June25_2020[AKOSOMBO_AGO])</f>
        <v>0</v>
      </c>
      <c r="H20" s="52"/>
    </row>
    <row r="21" spans="1:8" x14ac:dyDescent="0.3">
      <c r="B21" s="8"/>
      <c r="C21" s="24"/>
      <c r="D21" s="24"/>
      <c r="E21" s="24"/>
      <c r="F21" s="24"/>
      <c r="G21" s="24"/>
      <c r="H21"/>
    </row>
    <row r="22" spans="1:8" x14ac:dyDescent="0.3">
      <c r="B22" s="1" t="s">
        <v>6</v>
      </c>
      <c r="C22" s="1" t="s">
        <v>4</v>
      </c>
      <c r="D22" s="5">
        <f>SUMIF(June25_2020[[#Headers],[KSI_AGO]:[AKOSOMBO_AGO]],"*"&amp;C22,June25_2020[[#Totals],[KSI_AGO]:[AKOSOMBO_AGO]])</f>
        <v>2417000</v>
      </c>
      <c r="E22" s="1" t="s">
        <v>5</v>
      </c>
      <c r="F22" s="5">
        <f>SUMIF(June25_2020[[#Headers],[KSI_AGO]:[AKOSOMBO_AGO]],"*"&amp;E22,June25_2020[[#Totals],[KSI_AGO]:[AKOSOMBO_AGO]])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8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22">
    <pageSetUpPr fitToPage="1"/>
  </sheetPr>
  <dimension ref="A1:K32"/>
  <sheetViews>
    <sheetView zoomScale="115" zoomScaleNormal="115" workbookViewId="0">
      <selection activeCell="C12" sqref="C12"/>
    </sheetView>
  </sheetViews>
  <sheetFormatPr defaultColWidth="14" defaultRowHeight="14.4" x14ac:dyDescent="0.3"/>
  <cols>
    <col min="1" max="1" width="4.33203125" style="1" customWidth="1"/>
    <col min="2" max="2" width="26.6640625" style="1" customWidth="1"/>
    <col min="3" max="3" width="15.5546875" style="1" customWidth="1"/>
    <col min="4" max="4" width="15" style="1" customWidth="1"/>
    <col min="5" max="5" width="17.6640625" style="1" customWidth="1"/>
    <col min="6" max="6" width="19.109375" style="1" customWidth="1"/>
    <col min="7" max="7" width="29.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44008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44008</v>
      </c>
    </row>
    <row r="7" spans="2:11" x14ac:dyDescent="0.3">
      <c r="B7" s="6" t="s">
        <v>37</v>
      </c>
      <c r="C7" s="22"/>
      <c r="D7" s="22"/>
      <c r="E7" s="22"/>
      <c r="F7" s="22"/>
      <c r="G7" s="22"/>
      <c r="H7" s="67">
        <f>$G$3</f>
        <v>44008</v>
      </c>
    </row>
    <row r="8" spans="2:11" x14ac:dyDescent="0.3">
      <c r="B8" s="6" t="s">
        <v>17</v>
      </c>
      <c r="C8" s="22"/>
      <c r="D8" s="22"/>
      <c r="E8" s="22">
        <v>360000</v>
      </c>
      <c r="F8" s="22"/>
      <c r="G8" s="22"/>
      <c r="H8" s="12">
        <f t="shared" si="0"/>
        <v>44008</v>
      </c>
    </row>
    <row r="9" spans="2:11" ht="15.6" x14ac:dyDescent="0.3">
      <c r="B9" s="34" t="s">
        <v>0</v>
      </c>
      <c r="C9" s="60"/>
      <c r="D9" s="60"/>
      <c r="E9" s="60">
        <v>162000</v>
      </c>
      <c r="F9" s="60"/>
      <c r="G9" s="61"/>
      <c r="H9" s="12">
        <f t="shared" si="0"/>
        <v>44008</v>
      </c>
    </row>
    <row r="10" spans="2:11" x14ac:dyDescent="0.3">
      <c r="B10" s="6" t="s">
        <v>25</v>
      </c>
      <c r="C10" s="22"/>
      <c r="D10" s="22"/>
      <c r="E10" s="22">
        <v>199000</v>
      </c>
      <c r="F10" s="22"/>
      <c r="G10" s="22"/>
      <c r="H10" s="12">
        <f t="shared" si="0"/>
        <v>44008</v>
      </c>
    </row>
    <row r="11" spans="2:11" x14ac:dyDescent="0.3">
      <c r="B11" s="6" t="s">
        <v>15</v>
      </c>
      <c r="C11" s="22"/>
      <c r="D11" s="22"/>
      <c r="E11" s="22">
        <v>54000</v>
      </c>
      <c r="F11" s="48"/>
      <c r="G11" s="22"/>
      <c r="H11" s="12">
        <f t="shared" si="0"/>
        <v>44008</v>
      </c>
    </row>
    <row r="12" spans="2:11" x14ac:dyDescent="0.3">
      <c r="B12" s="6" t="s">
        <v>26</v>
      </c>
      <c r="C12" s="22"/>
      <c r="D12" s="22"/>
      <c r="E12" s="22"/>
      <c r="F12" s="22"/>
      <c r="G12" s="22"/>
      <c r="H12" s="12">
        <f t="shared" si="0"/>
        <v>44008</v>
      </c>
    </row>
    <row r="13" spans="2:11" x14ac:dyDescent="0.3">
      <c r="B13" s="6" t="s">
        <v>22</v>
      </c>
      <c r="C13" s="23"/>
      <c r="D13" s="23"/>
      <c r="E13" s="23"/>
      <c r="F13" s="22"/>
      <c r="G13" s="23"/>
      <c r="H13" s="12">
        <f t="shared" si="0"/>
        <v>44008</v>
      </c>
      <c r="K13" s="4"/>
    </row>
    <row r="14" spans="2:11" x14ac:dyDescent="0.3">
      <c r="B14" s="6" t="s">
        <v>19</v>
      </c>
      <c r="C14" s="22"/>
      <c r="D14" s="22"/>
      <c r="E14" s="22"/>
      <c r="F14" s="22"/>
      <c r="G14" s="22"/>
      <c r="H14" s="12">
        <f t="shared" si="0"/>
        <v>44008</v>
      </c>
    </row>
    <row r="15" spans="2:11" x14ac:dyDescent="0.3">
      <c r="B15" s="6" t="s">
        <v>14</v>
      </c>
      <c r="C15" s="22"/>
      <c r="D15" s="22"/>
      <c r="E15" s="22"/>
      <c r="F15" s="22"/>
      <c r="G15" s="22"/>
      <c r="H15" s="12">
        <f t="shared" si="0"/>
        <v>44008</v>
      </c>
    </row>
    <row r="16" spans="2:11" x14ac:dyDescent="0.3">
      <c r="B16" s="6" t="s">
        <v>24</v>
      </c>
      <c r="C16" s="22">
        <v>1180000</v>
      </c>
      <c r="D16" s="22"/>
      <c r="E16" s="22">
        <v>270000</v>
      </c>
      <c r="F16" s="49"/>
      <c r="G16" s="22"/>
      <c r="H16" s="12">
        <f t="shared" si="0"/>
        <v>44008</v>
      </c>
    </row>
    <row r="17" spans="1:8" x14ac:dyDescent="0.3">
      <c r="B17" s="6" t="s">
        <v>21</v>
      </c>
      <c r="C17" s="22"/>
      <c r="D17" s="22"/>
      <c r="E17" s="22"/>
      <c r="F17" s="22"/>
      <c r="G17" s="22"/>
      <c r="H17" s="12">
        <f t="shared" si="0"/>
        <v>44008</v>
      </c>
    </row>
    <row r="18" spans="1:8" x14ac:dyDescent="0.3">
      <c r="B18" s="6" t="s">
        <v>18</v>
      </c>
      <c r="C18" s="22"/>
      <c r="D18" s="22"/>
      <c r="E18" s="22">
        <v>50000</v>
      </c>
      <c r="F18" s="22"/>
      <c r="G18" s="22"/>
      <c r="H18" s="12">
        <f t="shared" si="0"/>
        <v>44008</v>
      </c>
    </row>
    <row r="19" spans="1:8" x14ac:dyDescent="0.3">
      <c r="B19" s="6" t="s">
        <v>16</v>
      </c>
      <c r="C19" s="22"/>
      <c r="D19" s="22"/>
      <c r="E19" s="22"/>
      <c r="F19" s="22"/>
      <c r="G19" s="22"/>
      <c r="H19" s="12">
        <f t="shared" si="0"/>
        <v>44008</v>
      </c>
    </row>
    <row r="20" spans="1:8" x14ac:dyDescent="0.3">
      <c r="B20" s="50" t="s">
        <v>27</v>
      </c>
      <c r="C20" s="51">
        <f>SUM(June26_2020[KSI_AGO])</f>
        <v>1180000</v>
      </c>
      <c r="D20" s="51">
        <f>SUM(June26_2020[KSI_PMS])</f>
        <v>0</v>
      </c>
      <c r="E20" s="51">
        <f>SUM(June26_2020[BUIPE_AGO])</f>
        <v>1095000</v>
      </c>
      <c r="F20" s="51">
        <f>SUM(June26_2020[BUIPE_PMS])</f>
        <v>0</v>
      </c>
      <c r="G20" s="51">
        <f>SUM(June26_2020[AKOSOMBO_AGO])</f>
        <v>0</v>
      </c>
      <c r="H20" s="52"/>
    </row>
    <row r="21" spans="1:8" x14ac:dyDescent="0.3">
      <c r="B21" s="8"/>
      <c r="C21" s="24"/>
      <c r="D21" s="24"/>
      <c r="E21" s="24"/>
      <c r="F21" s="24"/>
      <c r="G21" s="24"/>
      <c r="H21"/>
    </row>
    <row r="22" spans="1:8" x14ac:dyDescent="0.3">
      <c r="B22" s="1" t="s">
        <v>6</v>
      </c>
      <c r="C22" s="1" t="s">
        <v>4</v>
      </c>
      <c r="D22" s="5">
        <f>SUMIF(June26_2020[[#Headers],[KSI_AGO]:[AKOSOMBO_AGO]],"*"&amp;C22,June26_2020[[#Totals],[KSI_AGO]:[AKOSOMBO_AGO]])</f>
        <v>2275000</v>
      </c>
      <c r="E22" s="1" t="s">
        <v>5</v>
      </c>
      <c r="F22" s="5">
        <f>SUMIF(June26_2020[[#Headers],[KSI_AGO]:[AKOSOMBO_AGO]],"*"&amp;E22,June26_2020[[#Totals],[KSI_AGO]:[AKOSOMBO_AGO]])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9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23">
    <pageSetUpPr fitToPage="1"/>
  </sheetPr>
  <dimension ref="A1:K32"/>
  <sheetViews>
    <sheetView zoomScale="90" zoomScaleNormal="90" workbookViewId="0">
      <selection activeCell="E13" sqref="E13"/>
    </sheetView>
  </sheetViews>
  <sheetFormatPr defaultColWidth="14" defaultRowHeight="14.4" x14ac:dyDescent="0.3"/>
  <cols>
    <col min="1" max="1" width="4.33203125" style="1" customWidth="1"/>
    <col min="2" max="2" width="26.6640625" style="1" customWidth="1"/>
    <col min="3" max="3" width="15.5546875" style="1" customWidth="1"/>
    <col min="4" max="4" width="15" style="1" customWidth="1"/>
    <col min="5" max="5" width="17.6640625" style="1" customWidth="1"/>
    <col min="6" max="6" width="19.109375" style="1" customWidth="1"/>
    <col min="7" max="7" width="29.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44011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44011</v>
      </c>
    </row>
    <row r="7" spans="2:11" x14ac:dyDescent="0.3">
      <c r="B7" s="6" t="s">
        <v>37</v>
      </c>
      <c r="C7" s="22"/>
      <c r="D7" s="22"/>
      <c r="E7" s="22"/>
      <c r="F7" s="22"/>
      <c r="G7" s="22"/>
      <c r="H7" s="67">
        <f>$G$3</f>
        <v>44011</v>
      </c>
    </row>
    <row r="8" spans="2:11" x14ac:dyDescent="0.3">
      <c r="B8" s="6" t="s">
        <v>17</v>
      </c>
      <c r="C8" s="22"/>
      <c r="D8" s="22"/>
      <c r="E8" s="22">
        <v>54000</v>
      </c>
      <c r="F8" s="22"/>
      <c r="G8" s="22"/>
      <c r="H8" s="12">
        <f t="shared" si="0"/>
        <v>44011</v>
      </c>
    </row>
    <row r="9" spans="2:11" ht="15.6" x14ac:dyDescent="0.3">
      <c r="B9" s="34" t="s">
        <v>0</v>
      </c>
      <c r="C9" s="60"/>
      <c r="D9" s="60">
        <v>644000</v>
      </c>
      <c r="E9" s="60">
        <v>162000</v>
      </c>
      <c r="F9" s="60">
        <v>270000</v>
      </c>
      <c r="G9" s="61"/>
      <c r="H9" s="12">
        <f t="shared" si="0"/>
        <v>44011</v>
      </c>
    </row>
    <row r="10" spans="2:11" x14ac:dyDescent="0.3">
      <c r="B10" s="6" t="s">
        <v>25</v>
      </c>
      <c r="C10" s="22"/>
      <c r="D10" s="22"/>
      <c r="E10" s="22"/>
      <c r="F10" s="22">
        <v>162000</v>
      </c>
      <c r="G10" s="22"/>
      <c r="H10" s="12">
        <f t="shared" si="0"/>
        <v>44011</v>
      </c>
    </row>
    <row r="11" spans="2:11" x14ac:dyDescent="0.3">
      <c r="B11" s="6" t="s">
        <v>15</v>
      </c>
      <c r="C11" s="22"/>
      <c r="D11" s="22"/>
      <c r="E11" s="22">
        <v>108000</v>
      </c>
      <c r="F11" s="48"/>
      <c r="G11" s="22"/>
      <c r="H11" s="12">
        <f t="shared" si="0"/>
        <v>44011</v>
      </c>
    </row>
    <row r="12" spans="2:11" x14ac:dyDescent="0.3">
      <c r="B12" s="6" t="s">
        <v>26</v>
      </c>
      <c r="C12" s="22"/>
      <c r="D12" s="22"/>
      <c r="E12" s="22"/>
      <c r="F12" s="22"/>
      <c r="G12" s="22"/>
      <c r="H12" s="12">
        <f t="shared" si="0"/>
        <v>44011</v>
      </c>
    </row>
    <row r="13" spans="2:11" x14ac:dyDescent="0.3">
      <c r="B13" s="6" t="s">
        <v>22</v>
      </c>
      <c r="C13" s="23"/>
      <c r="D13" s="23"/>
      <c r="E13" s="23"/>
      <c r="F13" s="22"/>
      <c r="G13" s="23"/>
      <c r="H13" s="12">
        <f t="shared" si="0"/>
        <v>44011</v>
      </c>
      <c r="K13" s="4"/>
    </row>
    <row r="14" spans="2:11" x14ac:dyDescent="0.3">
      <c r="B14" s="6" t="s">
        <v>19</v>
      </c>
      <c r="C14" s="22"/>
      <c r="D14" s="22"/>
      <c r="E14" s="22"/>
      <c r="F14" s="22"/>
      <c r="G14" s="22"/>
      <c r="H14" s="12">
        <f t="shared" si="0"/>
        <v>44011</v>
      </c>
    </row>
    <row r="15" spans="2:11" x14ac:dyDescent="0.3">
      <c r="B15" s="6" t="s">
        <v>14</v>
      </c>
      <c r="C15" s="22"/>
      <c r="D15" s="22"/>
      <c r="E15" s="22"/>
      <c r="F15" s="22"/>
      <c r="G15" s="22"/>
      <c r="H15" s="12">
        <f t="shared" si="0"/>
        <v>44011</v>
      </c>
    </row>
    <row r="16" spans="2:11" x14ac:dyDescent="0.3">
      <c r="B16" s="6" t="s">
        <v>24</v>
      </c>
      <c r="C16" s="22"/>
      <c r="D16" s="22"/>
      <c r="E16" s="22">
        <v>162000</v>
      </c>
      <c r="F16" s="49"/>
      <c r="G16" s="22"/>
      <c r="H16" s="12">
        <f t="shared" si="0"/>
        <v>44011</v>
      </c>
    </row>
    <row r="17" spans="1:8" x14ac:dyDescent="0.3">
      <c r="B17" s="6" t="s">
        <v>21</v>
      </c>
      <c r="C17" s="22"/>
      <c r="D17" s="22"/>
      <c r="E17" s="22"/>
      <c r="F17" s="22"/>
      <c r="G17" s="22"/>
      <c r="H17" s="12">
        <f t="shared" si="0"/>
        <v>44011</v>
      </c>
    </row>
    <row r="18" spans="1:8" x14ac:dyDescent="0.3">
      <c r="B18" s="6" t="s">
        <v>18</v>
      </c>
      <c r="C18" s="22"/>
      <c r="D18" s="22"/>
      <c r="E18" s="22"/>
      <c r="F18" s="22"/>
      <c r="G18" s="22"/>
      <c r="H18" s="12">
        <f t="shared" si="0"/>
        <v>44011</v>
      </c>
    </row>
    <row r="19" spans="1:8" x14ac:dyDescent="0.3">
      <c r="B19" s="6" t="s">
        <v>16</v>
      </c>
      <c r="C19" s="22"/>
      <c r="D19" s="22"/>
      <c r="E19" s="22"/>
      <c r="F19" s="22"/>
      <c r="G19" s="22"/>
      <c r="H19" s="12">
        <f t="shared" si="0"/>
        <v>44011</v>
      </c>
    </row>
    <row r="20" spans="1:8" x14ac:dyDescent="0.3">
      <c r="B20" s="50" t="s">
        <v>27</v>
      </c>
      <c r="C20" s="51">
        <f>SUM(June29_2020[KSI_AGO])</f>
        <v>0</v>
      </c>
      <c r="D20" s="51">
        <f>SUM(June29_2020[KSI_PMS])</f>
        <v>644000</v>
      </c>
      <c r="E20" s="51">
        <f>SUM(June29_2020[BUIPE_AGO])</f>
        <v>486000</v>
      </c>
      <c r="F20" s="51">
        <f>SUM(June29_2020[BUIPE_PMS])</f>
        <v>432000</v>
      </c>
      <c r="G20" s="51">
        <f>SUM(June29_2020[AKOSOMBO_AGO])</f>
        <v>0</v>
      </c>
      <c r="H20" s="52"/>
    </row>
    <row r="21" spans="1:8" x14ac:dyDescent="0.3">
      <c r="B21" s="8"/>
      <c r="C21" s="24"/>
      <c r="D21" s="24"/>
      <c r="E21" s="24"/>
      <c r="F21" s="24"/>
      <c r="G21" s="24"/>
      <c r="H21"/>
    </row>
    <row r="22" spans="1:8" x14ac:dyDescent="0.3">
      <c r="B22" s="1" t="s">
        <v>6</v>
      </c>
      <c r="C22" s="1" t="s">
        <v>4</v>
      </c>
      <c r="D22" s="5">
        <f>SUMIF(June29_2020[[#Headers],[KSI_AGO]:[AKOSOMBO_AGO]],"*"&amp;C22,June29_2020[[#Totals],[KSI_AGO]:[AKOSOMBO_AGO]])</f>
        <v>486000</v>
      </c>
      <c r="E22" s="1" t="s">
        <v>5</v>
      </c>
      <c r="F22" s="5">
        <f>SUMIF(June29_2020[[#Headers],[KSI_AGO]:[AKOSOMBO_AGO]],"*"&amp;E22,June29_2020[[#Totals],[KSI_AGO]:[AKOSOMBO_AGO]])</f>
        <v>1076000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A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24">
    <pageSetUpPr fitToPage="1"/>
  </sheetPr>
  <dimension ref="A1:K32"/>
  <sheetViews>
    <sheetView zoomScale="80" zoomScaleNormal="80" workbookViewId="0">
      <selection activeCell="E15" sqref="E15"/>
    </sheetView>
  </sheetViews>
  <sheetFormatPr defaultColWidth="14" defaultRowHeight="14.4" x14ac:dyDescent="0.3"/>
  <cols>
    <col min="1" max="1" width="4.33203125" style="1" customWidth="1"/>
    <col min="2" max="2" width="26.6640625" style="1" customWidth="1"/>
    <col min="3" max="3" width="15.5546875" style="1" customWidth="1"/>
    <col min="4" max="4" width="15" style="1" customWidth="1"/>
    <col min="5" max="5" width="17.6640625" style="1" customWidth="1"/>
    <col min="6" max="6" width="19.109375" style="1" customWidth="1"/>
    <col min="7" max="7" width="29.109375" style="1" customWidth="1"/>
    <col min="8" max="16384" width="14"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44012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44012</v>
      </c>
    </row>
    <row r="7" spans="2:11" x14ac:dyDescent="0.3">
      <c r="B7" s="6" t="s">
        <v>37</v>
      </c>
      <c r="C7" s="22"/>
      <c r="D7" s="22"/>
      <c r="E7" s="22"/>
      <c r="F7" s="22"/>
      <c r="G7" s="22"/>
      <c r="H7" s="67">
        <f>$G$3</f>
        <v>44012</v>
      </c>
    </row>
    <row r="8" spans="2:11" x14ac:dyDescent="0.3">
      <c r="B8" s="6" t="s">
        <v>17</v>
      </c>
      <c r="C8" s="22"/>
      <c r="D8" s="22"/>
      <c r="E8" s="22"/>
      <c r="F8" s="22"/>
      <c r="G8" s="22"/>
      <c r="H8" s="12">
        <f t="shared" si="0"/>
        <v>44012</v>
      </c>
    </row>
    <row r="9" spans="2:11" ht="15.6" x14ac:dyDescent="0.3">
      <c r="B9" s="34" t="s">
        <v>0</v>
      </c>
      <c r="C9" s="60"/>
      <c r="D9" s="60">
        <v>573000</v>
      </c>
      <c r="E9" s="60"/>
      <c r="F9" s="60">
        <v>477000</v>
      </c>
      <c r="G9" s="61"/>
      <c r="H9" s="12">
        <f t="shared" si="0"/>
        <v>44012</v>
      </c>
    </row>
    <row r="10" spans="2:11" x14ac:dyDescent="0.3">
      <c r="B10" s="6" t="s">
        <v>25</v>
      </c>
      <c r="C10" s="22"/>
      <c r="D10" s="22"/>
      <c r="E10" s="22"/>
      <c r="F10" s="22">
        <v>216000</v>
      </c>
      <c r="G10" s="22"/>
      <c r="H10" s="12">
        <f t="shared" si="0"/>
        <v>44012</v>
      </c>
    </row>
    <row r="11" spans="2:11" x14ac:dyDescent="0.3">
      <c r="B11" s="6" t="s">
        <v>15</v>
      </c>
      <c r="C11" s="22"/>
      <c r="D11" s="22"/>
      <c r="E11" s="22"/>
      <c r="F11" s="48"/>
      <c r="G11" s="22"/>
      <c r="H11" s="12">
        <f t="shared" si="0"/>
        <v>44012</v>
      </c>
    </row>
    <row r="12" spans="2:11" x14ac:dyDescent="0.3">
      <c r="B12" s="6" t="s">
        <v>26</v>
      </c>
      <c r="C12" s="22"/>
      <c r="D12" s="22"/>
      <c r="E12" s="22"/>
      <c r="F12" s="22"/>
      <c r="G12" s="22"/>
      <c r="H12" s="12">
        <f t="shared" si="0"/>
        <v>44012</v>
      </c>
    </row>
    <row r="13" spans="2:11" x14ac:dyDescent="0.3">
      <c r="B13" s="6" t="s">
        <v>22</v>
      </c>
      <c r="C13" s="23"/>
      <c r="D13" s="23"/>
      <c r="E13" s="23"/>
      <c r="F13" s="22"/>
      <c r="G13" s="23"/>
      <c r="H13" s="12">
        <f t="shared" si="0"/>
        <v>44012</v>
      </c>
      <c r="K13" s="4"/>
    </row>
    <row r="14" spans="2:11" x14ac:dyDescent="0.3">
      <c r="B14" s="6" t="s">
        <v>19</v>
      </c>
      <c r="C14" s="22"/>
      <c r="D14" s="22"/>
      <c r="E14" s="22"/>
      <c r="F14" s="22"/>
      <c r="G14" s="22"/>
      <c r="H14" s="12">
        <f t="shared" si="0"/>
        <v>44012</v>
      </c>
    </row>
    <row r="15" spans="2:11" x14ac:dyDescent="0.3">
      <c r="B15" s="6" t="s">
        <v>14</v>
      </c>
      <c r="C15" s="22">
        <v>536000</v>
      </c>
      <c r="D15" s="22"/>
      <c r="E15" s="22"/>
      <c r="F15" s="22"/>
      <c r="G15" s="22"/>
      <c r="H15" s="12">
        <f t="shared" si="0"/>
        <v>44012</v>
      </c>
    </row>
    <row r="16" spans="2:11" x14ac:dyDescent="0.3">
      <c r="B16" s="6" t="s">
        <v>24</v>
      </c>
      <c r="C16" s="22"/>
      <c r="D16" s="22"/>
      <c r="E16" s="22"/>
      <c r="F16" s="49"/>
      <c r="G16" s="22"/>
      <c r="H16" s="12">
        <f t="shared" si="0"/>
        <v>44012</v>
      </c>
    </row>
    <row r="17" spans="1:8" x14ac:dyDescent="0.3">
      <c r="B17" s="6" t="s">
        <v>21</v>
      </c>
      <c r="C17" s="22"/>
      <c r="D17" s="22"/>
      <c r="E17" s="22"/>
      <c r="F17" s="22"/>
      <c r="G17" s="22"/>
      <c r="H17" s="12">
        <f t="shared" si="0"/>
        <v>44012</v>
      </c>
    </row>
    <row r="18" spans="1:8" x14ac:dyDescent="0.3">
      <c r="B18" s="6" t="s">
        <v>18</v>
      </c>
      <c r="C18" s="22"/>
      <c r="D18" s="22"/>
      <c r="E18" s="22"/>
      <c r="F18" s="22"/>
      <c r="G18" s="22"/>
      <c r="H18" s="12">
        <f t="shared" si="0"/>
        <v>44012</v>
      </c>
    </row>
    <row r="19" spans="1:8" x14ac:dyDescent="0.3">
      <c r="B19" s="6" t="s">
        <v>16</v>
      </c>
      <c r="C19" s="22"/>
      <c r="D19" s="22"/>
      <c r="E19" s="22"/>
      <c r="F19" s="22"/>
      <c r="G19" s="22"/>
      <c r="H19" s="12">
        <f t="shared" si="0"/>
        <v>44012</v>
      </c>
    </row>
    <row r="20" spans="1:8" x14ac:dyDescent="0.3">
      <c r="B20" s="50" t="s">
        <v>27</v>
      </c>
      <c r="C20" s="51">
        <f>SUM(June30_2020[KSI_AGO])</f>
        <v>536000</v>
      </c>
      <c r="D20" s="51">
        <f>SUM(June30_2020[KSI_PMS])</f>
        <v>573000</v>
      </c>
      <c r="E20" s="51">
        <f>SUM(June30_2020[BUIPE_AGO])</f>
        <v>0</v>
      </c>
      <c r="F20" s="51">
        <f>SUM(June30_2020[BUIPE_PMS])</f>
        <v>693000</v>
      </c>
      <c r="G20" s="51">
        <f>SUM(June30_2020[AKOSOMBO_AGO])</f>
        <v>0</v>
      </c>
      <c r="H20" s="52"/>
    </row>
    <row r="21" spans="1:8" x14ac:dyDescent="0.3">
      <c r="B21" s="8"/>
      <c r="C21" s="24"/>
      <c r="D21" s="24"/>
      <c r="E21" s="24"/>
      <c r="F21" s="24"/>
      <c r="G21" s="24"/>
      <c r="H21"/>
    </row>
    <row r="22" spans="1:8" x14ac:dyDescent="0.3">
      <c r="B22" s="1" t="s">
        <v>6</v>
      </c>
      <c r="C22" s="1" t="s">
        <v>4</v>
      </c>
      <c r="D22" s="5">
        <f>SUMIF(June30_2020[[#Headers],[KSI_AGO]:[AKOSOMBO_AGO]],"*"&amp;C22,June30_2020[[#Totals],[KSI_AGO]:[AKOSOMBO_AGO]])</f>
        <v>536000</v>
      </c>
      <c r="E22" s="1" t="s">
        <v>5</v>
      </c>
      <c r="F22" s="5">
        <f>SUMIF(June30_2020[[#Headers],[KSI_AGO]:[AKOSOMBO_AGO]],"*"&amp;E22,June30_2020[[#Totals],[KSI_AGO]:[AKOSOMBO_AGO]])</f>
        <v>1266000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7B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Sheet125">
    <pageSetUpPr fitToPage="1"/>
  </sheetPr>
  <dimension ref="A1:K31"/>
  <sheetViews>
    <sheetView zoomScale="90" zoomScaleNormal="90" workbookViewId="0">
      <selection activeCell="I24" sqref="I24"/>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44014</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44014</v>
      </c>
    </row>
    <row r="7" spans="2:11" x14ac:dyDescent="0.3">
      <c r="B7" s="6" t="s">
        <v>17</v>
      </c>
      <c r="C7" s="22">
        <v>270000</v>
      </c>
      <c r="D7" s="22">
        <v>108000</v>
      </c>
      <c r="E7" s="22">
        <v>162000</v>
      </c>
      <c r="F7" s="22"/>
      <c r="G7" s="26"/>
      <c r="H7" s="12">
        <f t="shared" si="0"/>
        <v>44014</v>
      </c>
    </row>
    <row r="8" spans="2:11" ht="15.6" x14ac:dyDescent="0.3">
      <c r="B8" s="34" t="s">
        <v>0</v>
      </c>
      <c r="C8" s="57"/>
      <c r="D8" s="57">
        <v>54000</v>
      </c>
      <c r="E8" s="57"/>
      <c r="F8" s="57">
        <v>108000</v>
      </c>
      <c r="G8" s="35"/>
      <c r="H8" s="12">
        <f t="shared" si="0"/>
        <v>44014</v>
      </c>
    </row>
    <row r="9" spans="2:11" x14ac:dyDescent="0.3">
      <c r="B9" s="6" t="s">
        <v>25</v>
      </c>
      <c r="C9" s="22"/>
      <c r="D9" s="22"/>
      <c r="E9" s="22"/>
      <c r="F9" s="22">
        <v>108000</v>
      </c>
      <c r="G9" s="26"/>
      <c r="H9" s="12">
        <f t="shared" si="0"/>
        <v>44014</v>
      </c>
    </row>
    <row r="10" spans="2:11" x14ac:dyDescent="0.3">
      <c r="B10" s="6" t="s">
        <v>15</v>
      </c>
      <c r="C10" s="22"/>
      <c r="D10" s="22">
        <v>369000</v>
      </c>
      <c r="E10" s="22"/>
      <c r="F10" s="22">
        <v>108000</v>
      </c>
      <c r="G10" s="26"/>
      <c r="H10" s="12">
        <f t="shared" si="0"/>
        <v>44014</v>
      </c>
    </row>
    <row r="11" spans="2:11" x14ac:dyDescent="0.3">
      <c r="B11" s="6" t="s">
        <v>26</v>
      </c>
      <c r="C11" s="22"/>
      <c r="D11" s="22"/>
      <c r="E11" s="22"/>
      <c r="F11" s="22"/>
      <c r="G11" s="26"/>
      <c r="H11" s="12">
        <f t="shared" si="0"/>
        <v>44014</v>
      </c>
    </row>
    <row r="12" spans="2:11" x14ac:dyDescent="0.3">
      <c r="B12" s="6" t="s">
        <v>22</v>
      </c>
      <c r="C12" s="23"/>
      <c r="D12" s="23"/>
      <c r="E12" s="23"/>
      <c r="F12" s="22"/>
      <c r="G12" s="23"/>
      <c r="H12" s="12">
        <f t="shared" si="0"/>
        <v>44014</v>
      </c>
      <c r="K12" s="4"/>
    </row>
    <row r="13" spans="2:11" x14ac:dyDescent="0.3">
      <c r="B13" s="6" t="s">
        <v>19</v>
      </c>
      <c r="C13" s="62">
        <v>324000</v>
      </c>
      <c r="D13" s="62">
        <v>54000</v>
      </c>
      <c r="E13" s="62">
        <v>216000</v>
      </c>
      <c r="F13" s="62"/>
      <c r="G13" s="36"/>
      <c r="H13" s="12">
        <f t="shared" si="0"/>
        <v>44014</v>
      </c>
    </row>
    <row r="14" spans="2:11" x14ac:dyDescent="0.3">
      <c r="B14" s="6" t="s">
        <v>14</v>
      </c>
      <c r="C14" s="48">
        <v>955000</v>
      </c>
      <c r="D14" s="48">
        <v>427500</v>
      </c>
      <c r="E14" s="22">
        <v>486000</v>
      </c>
      <c r="F14" s="48">
        <v>108000</v>
      </c>
      <c r="G14" s="26"/>
      <c r="H14" s="12">
        <f t="shared" si="0"/>
        <v>44014</v>
      </c>
    </row>
    <row r="15" spans="2:11" x14ac:dyDescent="0.3">
      <c r="B15" s="6" t="s">
        <v>24</v>
      </c>
      <c r="C15" s="23"/>
      <c r="D15" s="23"/>
      <c r="E15" s="23"/>
      <c r="F15" s="22"/>
      <c r="G15" s="29"/>
      <c r="H15" s="12">
        <f t="shared" si="0"/>
        <v>44014</v>
      </c>
    </row>
    <row r="16" spans="2:11" x14ac:dyDescent="0.3">
      <c r="B16" s="6" t="s">
        <v>21</v>
      </c>
      <c r="C16" s="22"/>
      <c r="D16" s="22"/>
      <c r="E16" s="22"/>
      <c r="F16" s="49"/>
      <c r="G16" s="26"/>
      <c r="H16" s="12">
        <f t="shared" si="0"/>
        <v>44014</v>
      </c>
    </row>
    <row r="17" spans="1:8" x14ac:dyDescent="0.3">
      <c r="B17" s="6" t="s">
        <v>18</v>
      </c>
      <c r="C17" s="26"/>
      <c r="D17" s="26"/>
      <c r="E17" s="26"/>
      <c r="F17" s="26"/>
      <c r="G17" s="26"/>
      <c r="H17" s="12">
        <f t="shared" si="0"/>
        <v>44014</v>
      </c>
    </row>
    <row r="18" spans="1:8" x14ac:dyDescent="0.3">
      <c r="B18" s="6" t="s">
        <v>16</v>
      </c>
      <c r="C18" s="26"/>
      <c r="D18" s="26"/>
      <c r="E18" s="26"/>
      <c r="F18" s="26"/>
      <c r="G18" s="26"/>
      <c r="H18" s="12">
        <f t="shared" si="0"/>
        <v>44014</v>
      </c>
    </row>
    <row r="19" spans="1:8" x14ac:dyDescent="0.3">
      <c r="B19" s="50" t="s">
        <v>27</v>
      </c>
      <c r="C19" s="51">
        <f>SUBTOTAL(109,July02_2020[KSI_AGO])</f>
        <v>1549000</v>
      </c>
      <c r="D19" s="51">
        <f>SUBTOTAL(109,July02_2020[KSI_PMS])</f>
        <v>1012500</v>
      </c>
      <c r="E19" s="51">
        <f>SUBTOTAL(109,July02_2020[BUIPE_AGO])</f>
        <v>864000</v>
      </c>
      <c r="F19" s="51">
        <f>SUBTOTAL(109,July02_2020[BUIPE_PMS])</f>
        <v>432000</v>
      </c>
      <c r="G19" s="51">
        <f>SUBTOTAL(109,July02_2020[AKOSOMBO_AGO])</f>
        <v>0</v>
      </c>
      <c r="H19" s="63"/>
    </row>
    <row r="20" spans="1:8" x14ac:dyDescent="0.3">
      <c r="B20" s="8"/>
      <c r="C20" s="24"/>
      <c r="D20" s="24"/>
      <c r="E20" s="24"/>
      <c r="F20" s="24"/>
      <c r="G20" s="24"/>
      <c r="H20"/>
    </row>
    <row r="21" spans="1:8" x14ac:dyDescent="0.3">
      <c r="B21" s="1" t="s">
        <v>6</v>
      </c>
      <c r="C21" s="1" t="s">
        <v>4</v>
      </c>
      <c r="D21" s="5">
        <f>SUMIF(July02_2020[[#Headers],[KSI_AGO]:[AKOSOMBO_AGO]],"*"&amp;C21,July02_2020[[#Totals],[KSI_AGO]:[AKOSOMBO_AGO]])</f>
        <v>2413000</v>
      </c>
      <c r="E21" s="1" t="s">
        <v>5</v>
      </c>
      <c r="F21" s="5">
        <f>SUMIF(July02_2020[[#Headers],[KSI_AGO]:[AKOSOMBO_AGO]],"*"&amp;E21,July02_2020[[#Totals],[KSI_AGO]:[AKOSOMBO_AGO]])</f>
        <v>1444500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7C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126">
    <pageSetUpPr fitToPage="1"/>
  </sheetPr>
  <dimension ref="A1:K31"/>
  <sheetViews>
    <sheetView workbookViewId="0">
      <pane xSplit="1" ySplit="5" topLeftCell="B6" activePane="bottomRight" state="frozen"/>
      <selection activeCell="E3" sqref="E3"/>
      <selection pane="topRight" activeCell="E3" sqref="E3"/>
      <selection pane="bottomLeft" activeCell="E3" sqref="E3"/>
      <selection pane="bottomRight" activeCell="D18" sqref="D18"/>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44015</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44015</v>
      </c>
    </row>
    <row r="7" spans="2:11" x14ac:dyDescent="0.3">
      <c r="B7" s="6" t="s">
        <v>17</v>
      </c>
      <c r="C7" s="26">
        <v>320000</v>
      </c>
      <c r="D7" s="26">
        <v>293000</v>
      </c>
      <c r="E7" s="26">
        <v>261000</v>
      </c>
      <c r="F7" s="26">
        <v>54000</v>
      </c>
      <c r="G7" s="26"/>
      <c r="H7" s="12">
        <f t="shared" si="0"/>
        <v>44015</v>
      </c>
    </row>
    <row r="8" spans="2:11" ht="15.6" x14ac:dyDescent="0.3">
      <c r="B8" s="34" t="s">
        <v>0</v>
      </c>
      <c r="C8" s="35"/>
      <c r="D8" s="35"/>
      <c r="E8" s="35"/>
      <c r="F8" s="35">
        <v>270000</v>
      </c>
      <c r="G8" s="35"/>
      <c r="H8" s="12">
        <f t="shared" si="0"/>
        <v>44015</v>
      </c>
    </row>
    <row r="9" spans="2:11" x14ac:dyDescent="0.3">
      <c r="B9" s="6" t="s">
        <v>25</v>
      </c>
      <c r="C9" s="26"/>
      <c r="D9" s="26"/>
      <c r="E9" s="26"/>
      <c r="F9" s="26">
        <v>50000</v>
      </c>
      <c r="G9" s="26"/>
      <c r="H9" s="12">
        <f t="shared" si="0"/>
        <v>44015</v>
      </c>
    </row>
    <row r="10" spans="2:11" x14ac:dyDescent="0.3">
      <c r="B10" s="6" t="s">
        <v>15</v>
      </c>
      <c r="C10" s="26">
        <v>54000</v>
      </c>
      <c r="D10" s="26">
        <v>247500</v>
      </c>
      <c r="E10" s="26"/>
      <c r="F10" s="26">
        <v>50000</v>
      </c>
      <c r="G10" s="26"/>
      <c r="H10" s="12">
        <f t="shared" si="0"/>
        <v>44015</v>
      </c>
    </row>
    <row r="11" spans="2:11" x14ac:dyDescent="0.3">
      <c r="B11" s="6" t="s">
        <v>26</v>
      </c>
      <c r="C11" s="26"/>
      <c r="D11" s="26"/>
      <c r="E11" s="26"/>
      <c r="F11" s="26"/>
      <c r="G11" s="26"/>
      <c r="H11" s="12">
        <f t="shared" si="0"/>
        <v>44015</v>
      </c>
    </row>
    <row r="12" spans="2:11" x14ac:dyDescent="0.3">
      <c r="B12" s="6" t="s">
        <v>22</v>
      </c>
      <c r="C12" s="23"/>
      <c r="D12" s="23"/>
      <c r="E12" s="23"/>
      <c r="F12" s="22"/>
      <c r="G12" s="23"/>
      <c r="H12" s="12">
        <f t="shared" si="0"/>
        <v>44015</v>
      </c>
      <c r="K12" s="4"/>
    </row>
    <row r="13" spans="2:11" x14ac:dyDescent="0.3">
      <c r="B13" s="6" t="s">
        <v>19</v>
      </c>
      <c r="C13" s="26">
        <v>585000</v>
      </c>
      <c r="D13" s="26"/>
      <c r="E13" s="26">
        <v>153000</v>
      </c>
      <c r="F13" s="26"/>
      <c r="G13" s="26"/>
      <c r="H13" s="12">
        <f t="shared" si="0"/>
        <v>44015</v>
      </c>
    </row>
    <row r="14" spans="2:11" x14ac:dyDescent="0.3">
      <c r="B14" s="6" t="s">
        <v>14</v>
      </c>
      <c r="C14" s="27">
        <v>423000</v>
      </c>
      <c r="D14" s="27">
        <v>311000</v>
      </c>
      <c r="E14" s="26">
        <v>162000</v>
      </c>
      <c r="F14" s="27">
        <v>54000</v>
      </c>
      <c r="G14" s="26"/>
      <c r="H14" s="12">
        <f t="shared" si="0"/>
        <v>44015</v>
      </c>
    </row>
    <row r="15" spans="2:11" x14ac:dyDescent="0.3">
      <c r="B15" s="6" t="s">
        <v>24</v>
      </c>
      <c r="C15" s="29"/>
      <c r="D15" s="29"/>
      <c r="E15" s="29"/>
      <c r="F15" s="26"/>
      <c r="G15" s="29"/>
      <c r="H15" s="12">
        <f t="shared" si="0"/>
        <v>44015</v>
      </c>
    </row>
    <row r="16" spans="2:11" x14ac:dyDescent="0.3">
      <c r="B16" s="6" t="s">
        <v>21</v>
      </c>
      <c r="C16" s="26"/>
      <c r="D16" s="26"/>
      <c r="E16" s="26"/>
      <c r="F16" s="28"/>
      <c r="G16" s="26"/>
      <c r="H16" s="12">
        <f t="shared" si="0"/>
        <v>44015</v>
      </c>
    </row>
    <row r="17" spans="1:8" x14ac:dyDescent="0.3">
      <c r="B17" s="6" t="s">
        <v>18</v>
      </c>
      <c r="C17" s="26"/>
      <c r="D17" s="26"/>
      <c r="E17" s="26"/>
      <c r="F17" s="26"/>
      <c r="G17" s="26"/>
      <c r="H17" s="12">
        <f t="shared" si="0"/>
        <v>44015</v>
      </c>
    </row>
    <row r="18" spans="1:8" x14ac:dyDescent="0.3">
      <c r="B18" s="6" t="s">
        <v>16</v>
      </c>
      <c r="C18" s="26"/>
      <c r="D18" s="26"/>
      <c r="E18" s="26"/>
      <c r="F18" s="26"/>
      <c r="G18" s="26"/>
      <c r="H18" s="12">
        <f t="shared" si="0"/>
        <v>44015</v>
      </c>
    </row>
    <row r="19" spans="1:8" x14ac:dyDescent="0.3">
      <c r="B19" s="30" t="s">
        <v>27</v>
      </c>
      <c r="C19" s="31">
        <f>SUBTOTAL(109,July03_2020[KSI_AGO])</f>
        <v>1382000</v>
      </c>
      <c r="D19" s="31">
        <f>SUBTOTAL(109,July03_2020[KSI_PMS])</f>
        <v>851500</v>
      </c>
      <c r="E19" s="31">
        <f>SUBTOTAL(109,July03_2020[BUIPE_AGO])</f>
        <v>576000</v>
      </c>
      <c r="F19" s="31">
        <f>SUBTOTAL(109,July03_2020[BUIPE_PMS])</f>
        <v>478000</v>
      </c>
      <c r="G19" s="31">
        <f>SUBTOTAL(109,July03_2020[AKOSOMBO_AGO])</f>
        <v>0</v>
      </c>
      <c r="H19" s="32"/>
    </row>
    <row r="20" spans="1:8" x14ac:dyDescent="0.3">
      <c r="B20" s="8"/>
      <c r="C20" s="24"/>
      <c r="D20" s="24"/>
      <c r="E20" s="24"/>
      <c r="F20" s="24"/>
      <c r="G20" s="24"/>
      <c r="H20"/>
    </row>
    <row r="21" spans="1:8" x14ac:dyDescent="0.3">
      <c r="B21" s="1" t="s">
        <v>6</v>
      </c>
      <c r="C21" s="1" t="s">
        <v>4</v>
      </c>
      <c r="D21" s="5">
        <f>SUMIF(July03_2020[[#Headers],[KSI_AGO]:[AKOSOMBO_AGO]],"*"&amp;C21,July03_2020[[#Totals],[KSI_AGO]:[AKOSOMBO_AGO]])</f>
        <v>1958000</v>
      </c>
      <c r="E21" s="1" t="s">
        <v>5</v>
      </c>
      <c r="F21" s="5">
        <f>SUMIF(July03_2020[[#Headers],[KSI_AGO]:[AKOSOMBO_AGO]],"*"&amp;E21,July03_2020[[#Totals],[KSI_AGO]:[AKOSOMBO_AGO]])</f>
        <v>1329500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7D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Sheet127">
    <pageSetUpPr fitToPage="1"/>
  </sheetPr>
  <dimension ref="A1:K31"/>
  <sheetViews>
    <sheetView workbookViewId="0">
      <pane xSplit="1" ySplit="5" topLeftCell="B6" activePane="bottomRight" state="frozen"/>
      <selection activeCell="B7" sqref="B7"/>
      <selection pane="topRight" activeCell="B7" sqref="B7"/>
      <selection pane="bottomLeft" activeCell="B7" sqref="B7"/>
      <selection pane="bottomRight" activeCell="D13" sqref="D13"/>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44018</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44018</v>
      </c>
    </row>
    <row r="7" spans="2:11" x14ac:dyDescent="0.3">
      <c r="B7" s="6" t="s">
        <v>17</v>
      </c>
      <c r="C7" s="26">
        <v>428000</v>
      </c>
      <c r="D7" s="26">
        <v>362000</v>
      </c>
      <c r="E7" s="26">
        <v>270000</v>
      </c>
      <c r="F7" s="26">
        <v>54000</v>
      </c>
      <c r="G7" s="26"/>
      <c r="H7" s="12">
        <f t="shared" si="0"/>
        <v>44018</v>
      </c>
    </row>
    <row r="8" spans="2:11" ht="15.6" x14ac:dyDescent="0.3">
      <c r="B8" s="34" t="s">
        <v>0</v>
      </c>
      <c r="C8" s="35"/>
      <c r="D8" s="35"/>
      <c r="E8" s="35"/>
      <c r="F8" s="35">
        <v>162000</v>
      </c>
      <c r="G8" s="35"/>
      <c r="H8" s="12">
        <f t="shared" si="0"/>
        <v>44018</v>
      </c>
    </row>
    <row r="9" spans="2:11" x14ac:dyDescent="0.3">
      <c r="B9" s="6" t="s">
        <v>25</v>
      </c>
      <c r="C9" s="26"/>
      <c r="D9" s="26"/>
      <c r="E9" s="26"/>
      <c r="F9" s="26"/>
      <c r="G9" s="26"/>
      <c r="H9" s="12">
        <f t="shared" si="0"/>
        <v>44018</v>
      </c>
    </row>
    <row r="10" spans="2:11" x14ac:dyDescent="0.3">
      <c r="B10" s="6" t="s">
        <v>15</v>
      </c>
      <c r="C10" s="26"/>
      <c r="D10" s="26">
        <v>265500</v>
      </c>
      <c r="E10" s="26"/>
      <c r="F10" s="26"/>
      <c r="G10" s="26"/>
      <c r="H10" s="12">
        <f t="shared" si="0"/>
        <v>44018</v>
      </c>
    </row>
    <row r="11" spans="2:11" x14ac:dyDescent="0.3">
      <c r="B11" s="6" t="s">
        <v>26</v>
      </c>
      <c r="C11" s="26">
        <v>54000</v>
      </c>
      <c r="D11" s="26"/>
      <c r="E11" s="26"/>
      <c r="F11" s="26"/>
      <c r="G11" s="26"/>
      <c r="H11" s="12">
        <f t="shared" si="0"/>
        <v>44018</v>
      </c>
    </row>
    <row r="12" spans="2:11" x14ac:dyDescent="0.3">
      <c r="B12" s="6" t="s">
        <v>22</v>
      </c>
      <c r="C12" s="23"/>
      <c r="D12" s="23"/>
      <c r="E12" s="23"/>
      <c r="F12" s="22"/>
      <c r="G12" s="23"/>
      <c r="H12" s="12">
        <f t="shared" si="0"/>
        <v>44018</v>
      </c>
      <c r="K12" s="4"/>
    </row>
    <row r="13" spans="2:11" x14ac:dyDescent="0.3">
      <c r="B13" s="6" t="s">
        <v>19</v>
      </c>
      <c r="C13" s="26">
        <v>482000</v>
      </c>
      <c r="D13" s="26"/>
      <c r="E13" s="26">
        <v>378000</v>
      </c>
      <c r="F13" s="26"/>
      <c r="G13" s="26"/>
      <c r="H13" s="12">
        <f t="shared" si="0"/>
        <v>44018</v>
      </c>
    </row>
    <row r="14" spans="2:11" x14ac:dyDescent="0.3">
      <c r="B14" s="6" t="s">
        <v>14</v>
      </c>
      <c r="C14" s="27">
        <v>324000</v>
      </c>
      <c r="D14" s="27">
        <v>370000</v>
      </c>
      <c r="E14" s="26">
        <v>209000</v>
      </c>
      <c r="F14" s="27">
        <v>54000</v>
      </c>
      <c r="G14" s="26"/>
      <c r="H14" s="12">
        <f t="shared" si="0"/>
        <v>44018</v>
      </c>
    </row>
    <row r="15" spans="2:11" x14ac:dyDescent="0.3">
      <c r="B15" s="6" t="s">
        <v>24</v>
      </c>
      <c r="C15" s="29"/>
      <c r="D15" s="29"/>
      <c r="E15" s="29"/>
      <c r="F15" s="26"/>
      <c r="G15" s="29"/>
      <c r="H15" s="12">
        <f t="shared" si="0"/>
        <v>44018</v>
      </c>
    </row>
    <row r="16" spans="2:11" x14ac:dyDescent="0.3">
      <c r="B16" s="6" t="s">
        <v>21</v>
      </c>
      <c r="C16" s="26"/>
      <c r="D16" s="26"/>
      <c r="E16" s="26"/>
      <c r="F16" s="28"/>
      <c r="G16" s="26"/>
      <c r="H16" s="12">
        <f t="shared" si="0"/>
        <v>44018</v>
      </c>
    </row>
    <row r="17" spans="1:8" x14ac:dyDescent="0.3">
      <c r="B17" s="6" t="s">
        <v>18</v>
      </c>
      <c r="C17" s="26"/>
      <c r="D17" s="26"/>
      <c r="E17" s="26"/>
      <c r="F17" s="26"/>
      <c r="G17" s="26"/>
      <c r="H17" s="12">
        <f t="shared" si="0"/>
        <v>44018</v>
      </c>
    </row>
    <row r="18" spans="1:8" x14ac:dyDescent="0.3">
      <c r="B18" s="6" t="s">
        <v>16</v>
      </c>
      <c r="C18" s="26"/>
      <c r="D18" s="26"/>
      <c r="E18" s="26"/>
      <c r="F18" s="26"/>
      <c r="G18" s="26"/>
      <c r="H18" s="12">
        <f t="shared" si="0"/>
        <v>44018</v>
      </c>
    </row>
    <row r="19" spans="1:8" x14ac:dyDescent="0.3">
      <c r="B19" s="30" t="s">
        <v>27</v>
      </c>
      <c r="C19" s="31">
        <f>SUBTOTAL(109,July06_2020[KSI_AGO])</f>
        <v>1288000</v>
      </c>
      <c r="D19" s="31">
        <f>SUBTOTAL(109,July06_2020[KSI_PMS])</f>
        <v>997500</v>
      </c>
      <c r="E19" s="31">
        <f>SUBTOTAL(109,July06_2020[BUIPE_AGO])</f>
        <v>857000</v>
      </c>
      <c r="F19" s="31">
        <f>SUBTOTAL(109,July06_2020[BUIPE_PMS])</f>
        <v>270000</v>
      </c>
      <c r="G19" s="31">
        <f>SUBTOTAL(109,July06_2020[AKOSOMBO_AGO])</f>
        <v>0</v>
      </c>
      <c r="H19" s="32"/>
    </row>
    <row r="20" spans="1:8" x14ac:dyDescent="0.3">
      <c r="B20" s="8"/>
      <c r="C20" s="24"/>
      <c r="D20" s="24"/>
      <c r="E20" s="24"/>
      <c r="F20" s="24"/>
      <c r="G20" s="24"/>
      <c r="H20"/>
    </row>
    <row r="21" spans="1:8" x14ac:dyDescent="0.3">
      <c r="B21" s="1" t="s">
        <v>6</v>
      </c>
      <c r="C21" s="1" t="s">
        <v>4</v>
      </c>
      <c r="D21" s="5">
        <f>SUMIF(July06_2020[[#Headers],[KSI_AGO]:[AKOSOMBO_AGO]],"*"&amp;C21,July06_2020[[#Totals],[KSI_AGO]:[AKOSOMBO_AGO]])</f>
        <v>2145000</v>
      </c>
      <c r="E21" s="1" t="s">
        <v>5</v>
      </c>
      <c r="F21" s="5">
        <f>SUMIF(July06_2020[[#Headers],[KSI_AGO]:[AKOSOMBO_AGO]],"*"&amp;E21,July06_2020[[#Totals],[KSI_AGO]:[AKOSOMBO_AGO]])</f>
        <v>1267500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7E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Sheet128">
    <pageSetUpPr fitToPage="1"/>
  </sheetPr>
  <dimension ref="A1:K31"/>
  <sheetViews>
    <sheetView workbookViewId="0">
      <pane xSplit="1" ySplit="5" topLeftCell="B6" activePane="bottomRight" state="frozen"/>
      <selection activeCell="B7" sqref="B7"/>
      <selection pane="topRight" activeCell="B7" sqref="B7"/>
      <selection pane="bottomLeft" activeCell="B7" sqref="B7"/>
      <selection pane="bottomRight" activeCell="E12" sqref="E12"/>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44019</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44019</v>
      </c>
    </row>
    <row r="7" spans="2:11" x14ac:dyDescent="0.3">
      <c r="B7" s="6" t="s">
        <v>17</v>
      </c>
      <c r="C7" s="26">
        <v>735500</v>
      </c>
      <c r="D7" s="26">
        <v>162000</v>
      </c>
      <c r="E7" s="26">
        <v>324000</v>
      </c>
      <c r="F7" s="26">
        <v>162000</v>
      </c>
      <c r="G7" s="26"/>
      <c r="H7" s="12">
        <f t="shared" si="0"/>
        <v>44019</v>
      </c>
    </row>
    <row r="8" spans="2:11" ht="15.6" x14ac:dyDescent="0.3">
      <c r="B8" s="34" t="s">
        <v>0</v>
      </c>
      <c r="C8" s="35"/>
      <c r="D8" s="35"/>
      <c r="E8" s="35"/>
      <c r="F8" s="35">
        <v>270000</v>
      </c>
      <c r="G8" s="35"/>
      <c r="H8" s="12">
        <f t="shared" si="0"/>
        <v>44019</v>
      </c>
    </row>
    <row r="9" spans="2:11" x14ac:dyDescent="0.3">
      <c r="B9" s="6" t="s">
        <v>25</v>
      </c>
      <c r="C9" s="26"/>
      <c r="D9" s="26"/>
      <c r="E9" s="26"/>
      <c r="F9" s="26"/>
      <c r="G9" s="26"/>
      <c r="H9" s="12">
        <f t="shared" si="0"/>
        <v>44019</v>
      </c>
    </row>
    <row r="10" spans="2:11" x14ac:dyDescent="0.3">
      <c r="B10" s="6" t="s">
        <v>15</v>
      </c>
      <c r="C10" s="26"/>
      <c r="D10" s="26">
        <v>311000</v>
      </c>
      <c r="E10" s="26"/>
      <c r="F10" s="26">
        <v>50000</v>
      </c>
      <c r="G10" s="26"/>
      <c r="H10" s="12">
        <f t="shared" si="0"/>
        <v>44019</v>
      </c>
    </row>
    <row r="11" spans="2:11" x14ac:dyDescent="0.3">
      <c r="B11" s="6" t="s">
        <v>26</v>
      </c>
      <c r="C11" s="26"/>
      <c r="D11" s="26"/>
      <c r="E11" s="26"/>
      <c r="F11" s="26"/>
      <c r="G11" s="26"/>
      <c r="H11" s="12">
        <f t="shared" si="0"/>
        <v>44019</v>
      </c>
    </row>
    <row r="12" spans="2:11" x14ac:dyDescent="0.3">
      <c r="B12" s="6" t="s">
        <v>22</v>
      </c>
      <c r="C12" s="23"/>
      <c r="D12" s="23"/>
      <c r="E12" s="23"/>
      <c r="F12" s="22"/>
      <c r="G12" s="23"/>
      <c r="H12" s="12">
        <f t="shared" si="0"/>
        <v>44019</v>
      </c>
      <c r="K12" s="4"/>
    </row>
    <row r="13" spans="2:11" x14ac:dyDescent="0.3">
      <c r="B13" s="6" t="s">
        <v>19</v>
      </c>
      <c r="C13" s="26">
        <v>377000</v>
      </c>
      <c r="D13" s="26"/>
      <c r="E13" s="26">
        <v>162000</v>
      </c>
      <c r="F13" s="26"/>
      <c r="G13" s="26"/>
      <c r="H13" s="12">
        <f t="shared" si="0"/>
        <v>44019</v>
      </c>
    </row>
    <row r="14" spans="2:11" x14ac:dyDescent="0.3">
      <c r="B14" s="6" t="s">
        <v>14</v>
      </c>
      <c r="C14" s="27">
        <v>486000</v>
      </c>
      <c r="D14" s="27">
        <v>316000</v>
      </c>
      <c r="E14" s="26">
        <v>378000</v>
      </c>
      <c r="F14" s="27">
        <v>108000</v>
      </c>
      <c r="G14" s="26"/>
      <c r="H14" s="12">
        <f t="shared" si="0"/>
        <v>44019</v>
      </c>
    </row>
    <row r="15" spans="2:11" x14ac:dyDescent="0.3">
      <c r="B15" s="6" t="s">
        <v>24</v>
      </c>
      <c r="C15" s="29"/>
      <c r="D15" s="29"/>
      <c r="E15" s="29"/>
      <c r="F15" s="26"/>
      <c r="G15" s="29"/>
      <c r="H15" s="12">
        <f t="shared" si="0"/>
        <v>44019</v>
      </c>
    </row>
    <row r="16" spans="2:11" x14ac:dyDescent="0.3">
      <c r="B16" s="6" t="s">
        <v>21</v>
      </c>
      <c r="C16" s="26"/>
      <c r="D16" s="26"/>
      <c r="E16" s="26"/>
      <c r="F16" s="28"/>
      <c r="G16" s="26"/>
      <c r="H16" s="12">
        <f t="shared" si="0"/>
        <v>44019</v>
      </c>
    </row>
    <row r="17" spans="1:8" x14ac:dyDescent="0.3">
      <c r="B17" s="6" t="s">
        <v>18</v>
      </c>
      <c r="C17" s="26"/>
      <c r="D17" s="26"/>
      <c r="E17" s="26"/>
      <c r="F17" s="26"/>
      <c r="G17" s="26"/>
      <c r="H17" s="12">
        <f t="shared" si="0"/>
        <v>44019</v>
      </c>
    </row>
    <row r="18" spans="1:8" x14ac:dyDescent="0.3">
      <c r="B18" s="6" t="s">
        <v>16</v>
      </c>
      <c r="C18" s="26"/>
      <c r="D18" s="26"/>
      <c r="E18" s="26"/>
      <c r="F18" s="26"/>
      <c r="G18" s="26"/>
      <c r="H18" s="12">
        <f t="shared" si="0"/>
        <v>44019</v>
      </c>
    </row>
    <row r="19" spans="1:8" x14ac:dyDescent="0.3">
      <c r="B19" s="30" t="s">
        <v>27</v>
      </c>
      <c r="C19" s="31">
        <f>SUBTOTAL(109,July07_2020[KSI_AGO])</f>
        <v>1598500</v>
      </c>
      <c r="D19" s="31">
        <f>SUBTOTAL(109,July07_2020[KSI_PMS])</f>
        <v>789000</v>
      </c>
      <c r="E19" s="31">
        <f>SUBTOTAL(109,July07_2020[BUIPE_AGO])</f>
        <v>864000</v>
      </c>
      <c r="F19" s="31">
        <f>SUBTOTAL(109,July07_2020[BUIPE_PMS])</f>
        <v>590000</v>
      </c>
      <c r="G19" s="31">
        <f>SUBTOTAL(109,July07_2020[AKOSOMBO_AGO])</f>
        <v>0</v>
      </c>
      <c r="H19" s="32"/>
    </row>
    <row r="20" spans="1:8" x14ac:dyDescent="0.3">
      <c r="B20" s="8"/>
      <c r="C20" s="24"/>
      <c r="D20" s="24"/>
      <c r="E20" s="24"/>
      <c r="F20" s="24"/>
      <c r="G20" s="24"/>
      <c r="H20"/>
    </row>
    <row r="21" spans="1:8" x14ac:dyDescent="0.3">
      <c r="B21" s="1" t="s">
        <v>6</v>
      </c>
      <c r="C21" s="1" t="s">
        <v>4</v>
      </c>
      <c r="D21" s="5">
        <f>SUMIF(July07_2020[[#Headers],[KSI_AGO]:[AKOSOMBO_AGO]],"*"&amp;C21,July07_2020[[#Totals],[KSI_AGO]:[AKOSOMBO_AGO]])</f>
        <v>2462500</v>
      </c>
      <c r="E21" s="1" t="s">
        <v>5</v>
      </c>
      <c r="F21" s="5">
        <f>SUMIF(July07_2020[[#Headers],[KSI_AGO]:[AKOSOMBO_AGO]],"*"&amp;E21,July07_2020[[#Totals],[KSI_AGO]:[AKOSOMBO_AGO]])</f>
        <v>1379000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7F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29">
    <pageSetUpPr fitToPage="1"/>
  </sheetPr>
  <dimension ref="A1:K31"/>
  <sheetViews>
    <sheetView workbookViewId="0">
      <pane xSplit="1" ySplit="5" topLeftCell="B6" activePane="bottomRight" state="frozen"/>
      <selection activeCell="B7" sqref="B7"/>
      <selection pane="topRight" activeCell="B7" sqref="B7"/>
      <selection pane="bottomLeft" activeCell="B7" sqref="B7"/>
      <selection pane="bottomRight" activeCell="D16" sqref="D16"/>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44020</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44020</v>
      </c>
    </row>
    <row r="7" spans="2:11" x14ac:dyDescent="0.3">
      <c r="B7" s="6" t="s">
        <v>17</v>
      </c>
      <c r="C7" s="26">
        <v>702000</v>
      </c>
      <c r="D7" s="26">
        <v>99000</v>
      </c>
      <c r="E7" s="26">
        <v>376000</v>
      </c>
      <c r="F7" s="26">
        <v>108000</v>
      </c>
      <c r="G7" s="26"/>
      <c r="H7" s="12">
        <f t="shared" si="0"/>
        <v>44020</v>
      </c>
    </row>
    <row r="8" spans="2:11" ht="15.6" x14ac:dyDescent="0.3">
      <c r="B8" s="34" t="s">
        <v>0</v>
      </c>
      <c r="C8" s="35"/>
      <c r="D8" s="35"/>
      <c r="E8" s="35"/>
      <c r="F8" s="35">
        <v>432000</v>
      </c>
      <c r="G8" s="35"/>
      <c r="H8" s="12">
        <f t="shared" si="0"/>
        <v>44020</v>
      </c>
    </row>
    <row r="9" spans="2:11" x14ac:dyDescent="0.3">
      <c r="B9" s="6" t="s">
        <v>25</v>
      </c>
      <c r="C9" s="26"/>
      <c r="D9" s="26">
        <v>108000</v>
      </c>
      <c r="E9" s="26"/>
      <c r="F9" s="26">
        <v>162000</v>
      </c>
      <c r="G9" s="26"/>
      <c r="H9" s="12">
        <f t="shared" si="0"/>
        <v>44020</v>
      </c>
    </row>
    <row r="10" spans="2:11" x14ac:dyDescent="0.3">
      <c r="B10" s="6" t="s">
        <v>15</v>
      </c>
      <c r="C10" s="26"/>
      <c r="D10" s="26">
        <v>99000</v>
      </c>
      <c r="E10" s="26"/>
      <c r="F10" s="26">
        <v>95000</v>
      </c>
      <c r="G10" s="26"/>
      <c r="H10" s="12">
        <f t="shared" si="0"/>
        <v>44020</v>
      </c>
    </row>
    <row r="11" spans="2:11" x14ac:dyDescent="0.3">
      <c r="B11" s="6" t="s">
        <v>26</v>
      </c>
      <c r="C11" s="26"/>
      <c r="D11" s="26"/>
      <c r="E11" s="26"/>
      <c r="F11" s="26"/>
      <c r="G11" s="26"/>
      <c r="H11" s="12">
        <f t="shared" si="0"/>
        <v>44020</v>
      </c>
    </row>
    <row r="12" spans="2:11" x14ac:dyDescent="0.3">
      <c r="B12" s="6" t="s">
        <v>22</v>
      </c>
      <c r="C12" s="23"/>
      <c r="D12" s="23"/>
      <c r="E12" s="23"/>
      <c r="F12" s="22"/>
      <c r="G12" s="23"/>
      <c r="H12" s="12">
        <f t="shared" si="0"/>
        <v>44020</v>
      </c>
      <c r="K12" s="4"/>
    </row>
    <row r="13" spans="2:11" x14ac:dyDescent="0.3">
      <c r="B13" s="6" t="s">
        <v>19</v>
      </c>
      <c r="C13" s="26">
        <v>216000</v>
      </c>
      <c r="D13" s="26"/>
      <c r="E13" s="26"/>
      <c r="F13" s="26"/>
      <c r="G13" s="26"/>
      <c r="H13" s="12">
        <f t="shared" si="0"/>
        <v>44020</v>
      </c>
    </row>
    <row r="14" spans="2:11" x14ac:dyDescent="0.3">
      <c r="B14" s="6" t="s">
        <v>14</v>
      </c>
      <c r="C14" s="27">
        <v>799000</v>
      </c>
      <c r="D14" s="27">
        <v>54000</v>
      </c>
      <c r="E14" s="26">
        <v>477000</v>
      </c>
      <c r="F14" s="27">
        <v>153000</v>
      </c>
      <c r="G14" s="26"/>
      <c r="H14" s="12">
        <f t="shared" si="0"/>
        <v>44020</v>
      </c>
    </row>
    <row r="15" spans="2:11" x14ac:dyDescent="0.3">
      <c r="B15" s="6" t="s">
        <v>24</v>
      </c>
      <c r="C15" s="29"/>
      <c r="D15" s="29"/>
      <c r="E15" s="29"/>
      <c r="F15" s="26"/>
      <c r="G15" s="29"/>
      <c r="H15" s="12">
        <f t="shared" si="0"/>
        <v>44020</v>
      </c>
    </row>
    <row r="16" spans="2:11" x14ac:dyDescent="0.3">
      <c r="B16" s="6" t="s">
        <v>21</v>
      </c>
      <c r="C16" s="26"/>
      <c r="D16" s="26">
        <v>108000</v>
      </c>
      <c r="E16" s="26"/>
      <c r="F16" s="28"/>
      <c r="G16" s="26"/>
      <c r="H16" s="12">
        <f t="shared" si="0"/>
        <v>44020</v>
      </c>
    </row>
    <row r="17" spans="1:8" x14ac:dyDescent="0.3">
      <c r="B17" s="6" t="s">
        <v>18</v>
      </c>
      <c r="C17" s="26"/>
      <c r="D17" s="26"/>
      <c r="E17" s="26"/>
      <c r="F17" s="26"/>
      <c r="G17" s="26"/>
      <c r="H17" s="12">
        <f t="shared" si="0"/>
        <v>44020</v>
      </c>
    </row>
    <row r="18" spans="1:8" x14ac:dyDescent="0.3">
      <c r="B18" s="6" t="s">
        <v>16</v>
      </c>
      <c r="C18" s="26"/>
      <c r="D18" s="26"/>
      <c r="E18" s="26"/>
      <c r="F18" s="26"/>
      <c r="G18" s="26"/>
      <c r="H18" s="12">
        <f t="shared" si="0"/>
        <v>44020</v>
      </c>
    </row>
    <row r="19" spans="1:8" x14ac:dyDescent="0.3">
      <c r="B19" s="30" t="s">
        <v>27</v>
      </c>
      <c r="C19" s="31">
        <f>SUBTOTAL(109,July08_2020[KSI_AGO])</f>
        <v>1717000</v>
      </c>
      <c r="D19" s="31">
        <f>SUBTOTAL(109,July08_2020[KSI_PMS])</f>
        <v>468000</v>
      </c>
      <c r="E19" s="31">
        <f>SUBTOTAL(109,July08_2020[BUIPE_AGO])</f>
        <v>853000</v>
      </c>
      <c r="F19" s="31">
        <f>SUBTOTAL(109,July08_2020[BUIPE_PMS])</f>
        <v>950000</v>
      </c>
      <c r="G19" s="31">
        <f>SUBTOTAL(109,July08_2020[AKOSOMBO_AGO])</f>
        <v>0</v>
      </c>
      <c r="H19" s="32"/>
    </row>
    <row r="20" spans="1:8" x14ac:dyDescent="0.3">
      <c r="B20" s="8"/>
      <c r="C20" s="24"/>
      <c r="D20" s="24"/>
      <c r="E20" s="24"/>
      <c r="F20" s="24"/>
      <c r="G20" s="24"/>
      <c r="H20"/>
    </row>
    <row r="21" spans="1:8" x14ac:dyDescent="0.3">
      <c r="B21" s="1" t="s">
        <v>6</v>
      </c>
      <c r="C21" s="1" t="s">
        <v>4</v>
      </c>
      <c r="D21" s="5">
        <f>SUMIF(July08_2020[[#Headers],[KSI_AGO]:[AKOSOMBO_AGO]],"*"&amp;C21,July08_2020[[#Totals],[KSI_AGO]:[AKOSOMBO_AGO]])</f>
        <v>2570000</v>
      </c>
      <c r="E21" s="1" t="s">
        <v>5</v>
      </c>
      <c r="F21" s="5">
        <f>SUMIF(July08_2020[[#Headers],[KSI_AGO]:[AKOSOMBO_AGO]],"*"&amp;E21,July08_2020[[#Totals],[KSI_AGO]:[AKOSOMBO_AGO]])</f>
        <v>1418000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0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Sheet130">
    <pageSetUpPr fitToPage="1"/>
  </sheetPr>
  <dimension ref="A1:K31"/>
  <sheetViews>
    <sheetView zoomScaleNormal="100" workbookViewId="0">
      <pane xSplit="1" ySplit="5" topLeftCell="B6" activePane="bottomRight" state="frozen"/>
      <selection activeCell="B7" sqref="B7"/>
      <selection pane="topRight" activeCell="B7" sqref="B7"/>
      <selection pane="bottomLeft" activeCell="B7" sqref="B7"/>
      <selection pane="bottomRight" activeCell="F13" sqref="F13"/>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44021</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44021</v>
      </c>
    </row>
    <row r="7" spans="2:11" x14ac:dyDescent="0.3">
      <c r="B7" s="6" t="s">
        <v>17</v>
      </c>
      <c r="C7" s="26">
        <v>689000</v>
      </c>
      <c r="D7" s="26">
        <v>54000</v>
      </c>
      <c r="E7" s="26">
        <v>261000</v>
      </c>
      <c r="F7" s="26">
        <v>108000</v>
      </c>
      <c r="G7" s="26"/>
      <c r="H7" s="12">
        <f t="shared" si="0"/>
        <v>44021</v>
      </c>
    </row>
    <row r="8" spans="2:11" ht="15.6" x14ac:dyDescent="0.3">
      <c r="B8" s="34" t="s">
        <v>0</v>
      </c>
      <c r="C8" s="35"/>
      <c r="D8" s="35"/>
      <c r="E8" s="35"/>
      <c r="F8" s="35">
        <v>270000</v>
      </c>
      <c r="G8" s="35"/>
      <c r="H8" s="12">
        <f t="shared" si="0"/>
        <v>44021</v>
      </c>
    </row>
    <row r="9" spans="2:11" x14ac:dyDescent="0.3">
      <c r="B9" s="6" t="s">
        <v>25</v>
      </c>
      <c r="C9" s="26">
        <v>414000</v>
      </c>
      <c r="D9" s="26">
        <v>108000</v>
      </c>
      <c r="E9" s="26"/>
      <c r="F9" s="26">
        <v>108000</v>
      </c>
      <c r="G9" s="26"/>
      <c r="H9" s="12">
        <f t="shared" si="0"/>
        <v>44021</v>
      </c>
    </row>
    <row r="10" spans="2:11" x14ac:dyDescent="0.3">
      <c r="B10" s="6" t="s">
        <v>15</v>
      </c>
      <c r="C10" s="26"/>
      <c r="D10" s="26">
        <v>162000</v>
      </c>
      <c r="E10" s="26"/>
      <c r="F10" s="26">
        <v>108000</v>
      </c>
      <c r="G10" s="26"/>
      <c r="H10" s="12">
        <f t="shared" si="0"/>
        <v>44021</v>
      </c>
    </row>
    <row r="11" spans="2:11" x14ac:dyDescent="0.3">
      <c r="B11" s="6" t="s">
        <v>26</v>
      </c>
      <c r="C11" s="26"/>
      <c r="D11" s="26">
        <v>108000</v>
      </c>
      <c r="E11" s="26"/>
      <c r="F11" s="26"/>
      <c r="G11" s="26"/>
      <c r="H11" s="12">
        <f t="shared" si="0"/>
        <v>44021</v>
      </c>
    </row>
    <row r="12" spans="2:11" x14ac:dyDescent="0.3">
      <c r="B12" s="6" t="s">
        <v>22</v>
      </c>
      <c r="C12" s="23"/>
      <c r="D12" s="23"/>
      <c r="E12" s="23"/>
      <c r="F12" s="22"/>
      <c r="G12" s="23"/>
      <c r="H12" s="12">
        <f t="shared" si="0"/>
        <v>44021</v>
      </c>
      <c r="K12" s="4"/>
    </row>
    <row r="13" spans="2:11" x14ac:dyDescent="0.3">
      <c r="B13" s="6" t="s">
        <v>19</v>
      </c>
      <c r="C13" s="26"/>
      <c r="D13" s="26">
        <v>432000</v>
      </c>
      <c r="E13" s="26"/>
      <c r="F13" s="26"/>
      <c r="G13" s="26"/>
      <c r="H13" s="12">
        <f t="shared" si="0"/>
        <v>44021</v>
      </c>
    </row>
    <row r="14" spans="2:11" x14ac:dyDescent="0.3">
      <c r="B14" s="6" t="s">
        <v>14</v>
      </c>
      <c r="C14" s="27">
        <v>572500</v>
      </c>
      <c r="D14" s="27">
        <v>203000</v>
      </c>
      <c r="E14" s="26">
        <v>486000</v>
      </c>
      <c r="F14" s="27">
        <v>54000</v>
      </c>
      <c r="G14" s="26"/>
      <c r="H14" s="12">
        <f t="shared" si="0"/>
        <v>44021</v>
      </c>
    </row>
    <row r="15" spans="2:11" x14ac:dyDescent="0.3">
      <c r="B15" s="6" t="s">
        <v>24</v>
      </c>
      <c r="C15" s="29">
        <v>108000</v>
      </c>
      <c r="D15" s="29"/>
      <c r="E15" s="29">
        <v>54000</v>
      </c>
      <c r="F15" s="26"/>
      <c r="G15" s="29"/>
      <c r="H15" s="12">
        <f t="shared" si="0"/>
        <v>44021</v>
      </c>
    </row>
    <row r="16" spans="2:11" x14ac:dyDescent="0.3">
      <c r="B16" s="6" t="s">
        <v>21</v>
      </c>
      <c r="C16" s="26"/>
      <c r="D16" s="26">
        <v>104000</v>
      </c>
      <c r="E16" s="26"/>
      <c r="F16" s="28"/>
      <c r="G16" s="26"/>
      <c r="H16" s="12">
        <f t="shared" si="0"/>
        <v>44021</v>
      </c>
    </row>
    <row r="17" spans="1:8" x14ac:dyDescent="0.3">
      <c r="B17" s="6" t="s">
        <v>18</v>
      </c>
      <c r="C17" s="26"/>
      <c r="D17" s="26"/>
      <c r="E17" s="26"/>
      <c r="F17" s="26"/>
      <c r="G17" s="26"/>
      <c r="H17" s="12">
        <f t="shared" si="0"/>
        <v>44021</v>
      </c>
    </row>
    <row r="18" spans="1:8" x14ac:dyDescent="0.3">
      <c r="B18" s="6" t="s">
        <v>16</v>
      </c>
      <c r="C18" s="26"/>
      <c r="D18" s="26"/>
      <c r="E18" s="26"/>
      <c r="F18" s="26"/>
      <c r="G18" s="26"/>
      <c r="H18" s="12">
        <f t="shared" si="0"/>
        <v>44021</v>
      </c>
    </row>
    <row r="19" spans="1:8" x14ac:dyDescent="0.3">
      <c r="B19" s="30" t="s">
        <v>27</v>
      </c>
      <c r="C19" s="31">
        <f>SUBTOTAL(109,July09_2020[KSI_AGO])</f>
        <v>1783500</v>
      </c>
      <c r="D19" s="31">
        <f>SUBTOTAL(109,July09_2020[KSI_PMS])</f>
        <v>1171000</v>
      </c>
      <c r="E19" s="31">
        <f>SUBTOTAL(109,July09_2020[BUIPE_AGO])</f>
        <v>801000</v>
      </c>
      <c r="F19" s="31">
        <f>SUBTOTAL(109,July09_2020[BUIPE_PMS])</f>
        <v>648000</v>
      </c>
      <c r="G19" s="31">
        <f>SUBTOTAL(109,July09_2020[AKOSOMBO_AGO])</f>
        <v>0</v>
      </c>
      <c r="H19" s="32"/>
    </row>
    <row r="20" spans="1:8" x14ac:dyDescent="0.3">
      <c r="B20" s="8"/>
      <c r="C20" s="24"/>
      <c r="D20" s="24"/>
      <c r="E20" s="24"/>
      <c r="F20" s="24"/>
      <c r="G20" s="24"/>
      <c r="H20"/>
    </row>
    <row r="21" spans="1:8" x14ac:dyDescent="0.3">
      <c r="B21" s="1" t="s">
        <v>6</v>
      </c>
      <c r="C21" s="1" t="s">
        <v>4</v>
      </c>
      <c r="D21" s="5">
        <f>SUMIF(July09_2020[[#Headers],[KSI_AGO]:[AKOSOMBO_AGO]],"*"&amp;C21,July09_2020[[#Totals],[KSI_AGO]:[AKOSOMBO_AGO]])</f>
        <v>2584500</v>
      </c>
      <c r="E21" s="1" t="s">
        <v>5</v>
      </c>
      <c r="F21" s="5">
        <f>SUMIF(July09_2020[[#Headers],[KSI_AGO]:[AKOSOMBO_AGO]],"*"&amp;E21,July09_2020[[#Totals],[KSI_AGO]:[AKOSOMBO_AGO]])</f>
        <v>1819000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1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codeName="Sheet131">
    <pageSetUpPr fitToPage="1"/>
  </sheetPr>
  <dimension ref="A1:K31"/>
  <sheetViews>
    <sheetView zoomScaleNormal="100" workbookViewId="0">
      <pane xSplit="1" ySplit="5" topLeftCell="B6" activePane="bottomRight" state="frozen"/>
      <selection activeCell="B7" sqref="B7"/>
      <selection pane="topRight" activeCell="B7" sqref="B7"/>
      <selection pane="bottomLeft" activeCell="B7" sqref="B7"/>
      <selection pane="bottomRight" activeCell="F17" sqref="F17"/>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44022</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44022</v>
      </c>
    </row>
    <row r="7" spans="2:11" x14ac:dyDescent="0.3">
      <c r="B7" s="6" t="s">
        <v>17</v>
      </c>
      <c r="C7" s="26">
        <v>54000</v>
      </c>
      <c r="D7" s="26">
        <v>270000</v>
      </c>
      <c r="E7" s="26">
        <v>209000</v>
      </c>
      <c r="F7" s="26">
        <v>162000</v>
      </c>
      <c r="G7" s="26"/>
      <c r="H7" s="12">
        <f t="shared" si="0"/>
        <v>44022</v>
      </c>
    </row>
    <row r="8" spans="2:11" ht="15.6" x14ac:dyDescent="0.3">
      <c r="B8" s="34" t="s">
        <v>0</v>
      </c>
      <c r="C8" s="35">
        <v>478000</v>
      </c>
      <c r="D8" s="35"/>
      <c r="E8" s="35"/>
      <c r="F8" s="35">
        <v>324000</v>
      </c>
      <c r="G8" s="35">
        <v>150000</v>
      </c>
      <c r="H8" s="12">
        <f t="shared" si="0"/>
        <v>44022</v>
      </c>
    </row>
    <row r="9" spans="2:11" x14ac:dyDescent="0.3">
      <c r="B9" s="6" t="s">
        <v>25</v>
      </c>
      <c r="C9" s="26">
        <v>162000</v>
      </c>
      <c r="D9" s="26">
        <v>266000</v>
      </c>
      <c r="E9" s="26">
        <v>216000</v>
      </c>
      <c r="F9" s="26">
        <v>216000</v>
      </c>
      <c r="G9" s="26">
        <v>270000</v>
      </c>
      <c r="H9" s="12">
        <f t="shared" si="0"/>
        <v>44022</v>
      </c>
    </row>
    <row r="10" spans="2:11" x14ac:dyDescent="0.3">
      <c r="B10" s="6" t="s">
        <v>15</v>
      </c>
      <c r="C10" s="26"/>
      <c r="D10" s="26">
        <v>45000</v>
      </c>
      <c r="E10" s="26"/>
      <c r="F10" s="26">
        <v>378000</v>
      </c>
      <c r="G10" s="26"/>
      <c r="H10" s="12">
        <f t="shared" si="0"/>
        <v>44022</v>
      </c>
    </row>
    <row r="11" spans="2:11" x14ac:dyDescent="0.3">
      <c r="B11" s="6" t="s">
        <v>26</v>
      </c>
      <c r="C11" s="26"/>
      <c r="D11" s="26">
        <v>103000</v>
      </c>
      <c r="E11" s="26">
        <v>54000</v>
      </c>
      <c r="F11" s="26"/>
      <c r="G11" s="26"/>
      <c r="H11" s="12">
        <f t="shared" si="0"/>
        <v>44022</v>
      </c>
    </row>
    <row r="12" spans="2:11" x14ac:dyDescent="0.3">
      <c r="B12" s="6" t="s">
        <v>22</v>
      </c>
      <c r="C12" s="23"/>
      <c r="D12" s="23"/>
      <c r="E12" s="23"/>
      <c r="F12" s="22"/>
      <c r="G12" s="23"/>
      <c r="H12" s="12">
        <f t="shared" si="0"/>
        <v>44022</v>
      </c>
      <c r="K12" s="4"/>
    </row>
    <row r="13" spans="2:11" x14ac:dyDescent="0.3">
      <c r="B13" s="6" t="s">
        <v>19</v>
      </c>
      <c r="C13" s="26"/>
      <c r="D13" s="26">
        <v>554000</v>
      </c>
      <c r="E13" s="26"/>
      <c r="F13" s="26"/>
      <c r="G13" s="26"/>
      <c r="H13" s="12">
        <f t="shared" si="0"/>
        <v>44022</v>
      </c>
    </row>
    <row r="14" spans="2:11" x14ac:dyDescent="0.3">
      <c r="B14" s="6" t="s">
        <v>14</v>
      </c>
      <c r="C14" s="27">
        <v>99000</v>
      </c>
      <c r="D14" s="27"/>
      <c r="E14" s="26">
        <v>432000</v>
      </c>
      <c r="F14" s="27">
        <v>108000</v>
      </c>
      <c r="G14" s="26"/>
      <c r="H14" s="12">
        <f t="shared" si="0"/>
        <v>44022</v>
      </c>
    </row>
    <row r="15" spans="2:11" x14ac:dyDescent="0.3">
      <c r="B15" s="6" t="s">
        <v>24</v>
      </c>
      <c r="C15" s="29">
        <v>428000</v>
      </c>
      <c r="D15" s="29"/>
      <c r="E15" s="29">
        <v>108000</v>
      </c>
      <c r="F15" s="26"/>
      <c r="G15" s="29"/>
      <c r="H15" s="12">
        <f t="shared" si="0"/>
        <v>44022</v>
      </c>
    </row>
    <row r="16" spans="2:11" x14ac:dyDescent="0.3">
      <c r="B16" s="6" t="s">
        <v>21</v>
      </c>
      <c r="C16" s="26"/>
      <c r="D16" s="26">
        <v>54000</v>
      </c>
      <c r="E16" s="26"/>
      <c r="F16" s="28"/>
      <c r="G16" s="26"/>
      <c r="H16" s="12">
        <f t="shared" si="0"/>
        <v>44022</v>
      </c>
    </row>
    <row r="17" spans="1:8" x14ac:dyDescent="0.3">
      <c r="B17" s="6" t="s">
        <v>18</v>
      </c>
      <c r="C17" s="26"/>
      <c r="D17" s="26"/>
      <c r="E17" s="26"/>
      <c r="F17" s="26"/>
      <c r="G17" s="26"/>
      <c r="H17" s="12">
        <f t="shared" si="0"/>
        <v>44022</v>
      </c>
    </row>
    <row r="18" spans="1:8" x14ac:dyDescent="0.3">
      <c r="B18" s="6" t="s">
        <v>16</v>
      </c>
      <c r="C18" s="26"/>
      <c r="D18" s="26"/>
      <c r="E18" s="26"/>
      <c r="F18" s="26"/>
      <c r="G18" s="26"/>
      <c r="H18" s="12">
        <f t="shared" si="0"/>
        <v>44022</v>
      </c>
    </row>
    <row r="19" spans="1:8" x14ac:dyDescent="0.3">
      <c r="B19" s="30" t="s">
        <v>27</v>
      </c>
      <c r="C19" s="31">
        <f>SUBTOTAL(109,July10_2020[KSI_AGO])</f>
        <v>1221000</v>
      </c>
      <c r="D19" s="31">
        <f>SUBTOTAL(109,July10_2020[KSI_PMS])</f>
        <v>1292000</v>
      </c>
      <c r="E19" s="31">
        <f>SUBTOTAL(109,July10_2020[BUIPE_AGO])</f>
        <v>1019000</v>
      </c>
      <c r="F19" s="31">
        <f>SUBTOTAL(109,July10_2020[BUIPE_PMS])</f>
        <v>1188000</v>
      </c>
      <c r="G19" s="31">
        <f>SUBTOTAL(109,July10_2020[AKOSOMBO_AGO])</f>
        <v>420000</v>
      </c>
      <c r="H19" s="32"/>
    </row>
    <row r="20" spans="1:8" x14ac:dyDescent="0.3">
      <c r="B20" s="8"/>
      <c r="C20" s="24"/>
      <c r="D20" s="24"/>
      <c r="E20" s="24"/>
      <c r="F20" s="24"/>
      <c r="G20" s="24"/>
      <c r="H20"/>
    </row>
    <row r="21" spans="1:8" x14ac:dyDescent="0.3">
      <c r="B21" s="1" t="s">
        <v>6</v>
      </c>
      <c r="C21" s="1" t="s">
        <v>4</v>
      </c>
      <c r="D21" s="5">
        <f>SUMIF(July10_2020[[#Headers],[KSI_AGO]:[AKOSOMBO_AGO]],"*"&amp;C21,July10_2020[[#Totals],[KSI_AGO]:[AKOSOMBO_AGO]])</f>
        <v>2660000</v>
      </c>
      <c r="E21" s="1" t="s">
        <v>5</v>
      </c>
      <c r="F21" s="5">
        <f>SUMIF(July10_2020[[#Headers],[KSI_AGO]:[AKOSOMBO_AGO]],"*"&amp;E21,July10_2020[[#Totals],[KSI_AGO]:[AKOSOMBO_AGO]])</f>
        <v>2480000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2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codeName="Sheet132">
    <pageSetUpPr fitToPage="1"/>
  </sheetPr>
  <dimension ref="A1:K31"/>
  <sheetViews>
    <sheetView workbookViewId="0">
      <pane xSplit="1" ySplit="5" topLeftCell="B6" activePane="bottomRight" state="frozen"/>
      <selection activeCell="B7" sqref="B7"/>
      <selection pane="topRight" activeCell="B7" sqref="B7"/>
      <selection pane="bottomLeft" activeCell="B7" sqref="B7"/>
      <selection pane="bottomRight" activeCell="E9" sqref="E9"/>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44023</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44023</v>
      </c>
    </row>
    <row r="7" spans="2:11" x14ac:dyDescent="0.3">
      <c r="B7" s="6" t="s">
        <v>17</v>
      </c>
      <c r="C7" s="26">
        <v>162000</v>
      </c>
      <c r="D7" s="26">
        <v>378000</v>
      </c>
      <c r="E7" s="26"/>
      <c r="F7" s="26">
        <v>54000</v>
      </c>
      <c r="G7" s="26"/>
      <c r="H7" s="12">
        <f t="shared" si="0"/>
        <v>44023</v>
      </c>
    </row>
    <row r="8" spans="2:11" ht="15.6" x14ac:dyDescent="0.3">
      <c r="B8" s="34" t="s">
        <v>0</v>
      </c>
      <c r="C8" s="35">
        <v>486000</v>
      </c>
      <c r="D8" s="35"/>
      <c r="E8" s="35">
        <v>324000</v>
      </c>
      <c r="F8" s="35">
        <v>320000</v>
      </c>
      <c r="G8" s="35">
        <v>633000</v>
      </c>
      <c r="H8" s="12">
        <f t="shared" si="0"/>
        <v>44023</v>
      </c>
    </row>
    <row r="9" spans="2:11" x14ac:dyDescent="0.3">
      <c r="B9" s="6" t="s">
        <v>25</v>
      </c>
      <c r="C9" s="26">
        <v>270000</v>
      </c>
      <c r="D9" s="26">
        <v>216000</v>
      </c>
      <c r="E9" s="26">
        <v>54000</v>
      </c>
      <c r="F9" s="26">
        <v>162000</v>
      </c>
      <c r="G9" s="26"/>
      <c r="H9" s="12">
        <f t="shared" si="0"/>
        <v>44023</v>
      </c>
    </row>
    <row r="10" spans="2:11" x14ac:dyDescent="0.3">
      <c r="B10" s="6" t="s">
        <v>15</v>
      </c>
      <c r="C10" s="26"/>
      <c r="D10" s="26"/>
      <c r="E10" s="26"/>
      <c r="F10" s="26">
        <v>162000</v>
      </c>
      <c r="G10" s="26"/>
      <c r="H10" s="12">
        <f t="shared" si="0"/>
        <v>44023</v>
      </c>
    </row>
    <row r="11" spans="2:11" x14ac:dyDescent="0.3">
      <c r="B11" s="6" t="s">
        <v>26</v>
      </c>
      <c r="C11" s="26"/>
      <c r="D11" s="26">
        <v>54000</v>
      </c>
      <c r="E11" s="26"/>
      <c r="F11" s="26"/>
      <c r="G11" s="26"/>
      <c r="H11" s="12">
        <f t="shared" si="0"/>
        <v>44023</v>
      </c>
    </row>
    <row r="12" spans="2:11" x14ac:dyDescent="0.3">
      <c r="B12" s="6" t="s">
        <v>22</v>
      </c>
      <c r="C12" s="23"/>
      <c r="D12" s="23"/>
      <c r="E12" s="23"/>
      <c r="F12" s="22"/>
      <c r="G12" s="23"/>
      <c r="H12" s="12">
        <f t="shared" si="0"/>
        <v>44023</v>
      </c>
      <c r="K12" s="4"/>
    </row>
    <row r="13" spans="2:11" x14ac:dyDescent="0.3">
      <c r="B13" s="6" t="s">
        <v>19</v>
      </c>
      <c r="C13" s="26"/>
      <c r="D13" s="26"/>
      <c r="E13" s="26"/>
      <c r="F13" s="26"/>
      <c r="G13" s="26"/>
      <c r="H13" s="12">
        <f t="shared" si="0"/>
        <v>44023</v>
      </c>
    </row>
    <row r="14" spans="2:11" x14ac:dyDescent="0.3">
      <c r="B14" s="6" t="s">
        <v>14</v>
      </c>
      <c r="C14" s="27">
        <v>54000</v>
      </c>
      <c r="D14" s="27">
        <v>211500</v>
      </c>
      <c r="E14" s="26">
        <v>108000</v>
      </c>
      <c r="F14" s="27">
        <v>162000</v>
      </c>
      <c r="G14" s="26"/>
      <c r="H14" s="12">
        <f t="shared" si="0"/>
        <v>44023</v>
      </c>
    </row>
    <row r="15" spans="2:11" x14ac:dyDescent="0.3">
      <c r="B15" s="6" t="s">
        <v>24</v>
      </c>
      <c r="C15" s="29">
        <v>216000</v>
      </c>
      <c r="D15" s="29"/>
      <c r="E15" s="29">
        <v>212000</v>
      </c>
      <c r="F15" s="26"/>
      <c r="G15" s="29"/>
      <c r="H15" s="12">
        <f t="shared" si="0"/>
        <v>44023</v>
      </c>
    </row>
    <row r="16" spans="2:11" x14ac:dyDescent="0.3">
      <c r="B16" s="6" t="s">
        <v>21</v>
      </c>
      <c r="C16" s="26"/>
      <c r="D16" s="26">
        <v>104000</v>
      </c>
      <c r="E16" s="26"/>
      <c r="F16" s="28"/>
      <c r="G16" s="26"/>
      <c r="H16" s="12">
        <f t="shared" si="0"/>
        <v>44023</v>
      </c>
    </row>
    <row r="17" spans="1:8" x14ac:dyDescent="0.3">
      <c r="B17" s="6" t="s">
        <v>18</v>
      </c>
      <c r="C17" s="26"/>
      <c r="D17" s="26"/>
      <c r="E17" s="26"/>
      <c r="F17" s="26"/>
      <c r="G17" s="26"/>
      <c r="H17" s="12">
        <f t="shared" si="0"/>
        <v>44023</v>
      </c>
    </row>
    <row r="18" spans="1:8" x14ac:dyDescent="0.3">
      <c r="B18" s="6" t="s">
        <v>16</v>
      </c>
      <c r="C18" s="26"/>
      <c r="D18" s="26">
        <v>216000</v>
      </c>
      <c r="E18" s="26"/>
      <c r="F18" s="26">
        <v>162000</v>
      </c>
      <c r="G18" s="26"/>
      <c r="H18" s="12">
        <f t="shared" si="0"/>
        <v>44023</v>
      </c>
    </row>
    <row r="19" spans="1:8" x14ac:dyDescent="0.3">
      <c r="B19" s="30" t="s">
        <v>27</v>
      </c>
      <c r="C19" s="31">
        <f>SUBTOTAL(109,July11_2020[KSI_AGO])</f>
        <v>1188000</v>
      </c>
      <c r="D19" s="31">
        <f>SUBTOTAL(109,July11_2020[KSI_PMS])</f>
        <v>1179500</v>
      </c>
      <c r="E19" s="31">
        <f>SUBTOTAL(109,July11_2020[BUIPE_AGO])</f>
        <v>698000</v>
      </c>
      <c r="F19" s="31">
        <f>SUBTOTAL(109,July11_2020[BUIPE_PMS])</f>
        <v>1022000</v>
      </c>
      <c r="G19" s="31">
        <f>SUBTOTAL(109,July11_2020[AKOSOMBO_AGO])</f>
        <v>633000</v>
      </c>
      <c r="H19" s="32"/>
    </row>
    <row r="20" spans="1:8" x14ac:dyDescent="0.3">
      <c r="B20" s="8"/>
      <c r="C20" s="24"/>
      <c r="D20" s="24"/>
      <c r="E20" s="24"/>
      <c r="F20" s="24"/>
      <c r="G20" s="24"/>
      <c r="H20"/>
    </row>
    <row r="21" spans="1:8" x14ac:dyDescent="0.3">
      <c r="B21" s="1" t="s">
        <v>6</v>
      </c>
      <c r="C21" s="1" t="s">
        <v>4</v>
      </c>
      <c r="D21" s="5">
        <f>SUMIF(July11_2020[[#Headers],[KSI_AGO]:[AKOSOMBO_AGO]],"*"&amp;C21,July11_2020[[#Totals],[KSI_AGO]:[AKOSOMBO_AGO]])</f>
        <v>2519000</v>
      </c>
      <c r="E21" s="1" t="s">
        <v>5</v>
      </c>
      <c r="F21" s="5">
        <f>SUMIF(July11_2020[[#Headers],[KSI_AGO]:[AKOSOMBO_AGO]],"*"&amp;E21,July11_2020[[#Totals],[KSI_AGO]:[AKOSOMBO_AGO]])</f>
        <v>2201500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3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codeName="Sheet133">
    <pageSetUpPr fitToPage="1"/>
  </sheetPr>
  <dimension ref="A1:K31"/>
  <sheetViews>
    <sheetView workbookViewId="0">
      <pane xSplit="1" ySplit="5" topLeftCell="B6" activePane="bottomRight" state="frozen"/>
      <selection activeCell="B7" sqref="B7"/>
      <selection pane="topRight" activeCell="B7" sqref="B7"/>
      <selection pane="bottomLeft" activeCell="B7" sqref="B7"/>
      <selection pane="bottomRight" activeCell="F14" sqref="F14"/>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44025</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44025</v>
      </c>
    </row>
    <row r="7" spans="2:11" x14ac:dyDescent="0.3">
      <c r="B7" s="6" t="s">
        <v>17</v>
      </c>
      <c r="C7" s="26">
        <v>260000</v>
      </c>
      <c r="D7" s="26">
        <v>215500</v>
      </c>
      <c r="E7" s="26"/>
      <c r="F7" s="26"/>
      <c r="G7" s="26"/>
      <c r="H7" s="12">
        <f t="shared" si="0"/>
        <v>44025</v>
      </c>
    </row>
    <row r="8" spans="2:11" ht="15.6" x14ac:dyDescent="0.3">
      <c r="B8" s="34" t="s">
        <v>0</v>
      </c>
      <c r="C8" s="35">
        <v>428000</v>
      </c>
      <c r="D8" s="35"/>
      <c r="E8" s="35">
        <v>432000</v>
      </c>
      <c r="F8" s="35">
        <v>428000</v>
      </c>
      <c r="G8" s="35">
        <v>162000</v>
      </c>
      <c r="H8" s="12">
        <f t="shared" si="0"/>
        <v>44025</v>
      </c>
    </row>
    <row r="9" spans="2:11" x14ac:dyDescent="0.3">
      <c r="B9" s="6" t="s">
        <v>25</v>
      </c>
      <c r="C9" s="26">
        <v>161500</v>
      </c>
      <c r="D9" s="26">
        <v>216000</v>
      </c>
      <c r="E9" s="26">
        <v>108000</v>
      </c>
      <c r="F9" s="26">
        <v>158000</v>
      </c>
      <c r="G9" s="26"/>
      <c r="H9" s="12">
        <f t="shared" si="0"/>
        <v>44025</v>
      </c>
    </row>
    <row r="10" spans="2:11" x14ac:dyDescent="0.3">
      <c r="B10" s="6" t="s">
        <v>15</v>
      </c>
      <c r="C10" s="26"/>
      <c r="D10" s="26"/>
      <c r="E10" s="26"/>
      <c r="F10" s="26">
        <v>216000</v>
      </c>
      <c r="G10" s="26"/>
      <c r="H10" s="12">
        <f t="shared" si="0"/>
        <v>44025</v>
      </c>
    </row>
    <row r="11" spans="2:11" x14ac:dyDescent="0.3">
      <c r="B11" s="6" t="s">
        <v>26</v>
      </c>
      <c r="C11" s="26"/>
      <c r="D11" s="26"/>
      <c r="E11" s="26"/>
      <c r="F11" s="26"/>
      <c r="G11" s="26"/>
      <c r="H11" s="12">
        <f t="shared" si="0"/>
        <v>44025</v>
      </c>
    </row>
    <row r="12" spans="2:11" x14ac:dyDescent="0.3">
      <c r="B12" s="6" t="s">
        <v>22</v>
      </c>
      <c r="C12" s="23"/>
      <c r="D12" s="23"/>
      <c r="E12" s="23"/>
      <c r="F12" s="23"/>
      <c r="G12" s="23"/>
      <c r="H12" s="12">
        <f t="shared" si="0"/>
        <v>44025</v>
      </c>
      <c r="K12" s="4"/>
    </row>
    <row r="13" spans="2:11" x14ac:dyDescent="0.3">
      <c r="B13" s="6" t="s">
        <v>19</v>
      </c>
      <c r="C13" s="26"/>
      <c r="D13" s="26"/>
      <c r="E13" s="26"/>
      <c r="F13" s="26"/>
      <c r="G13" s="26"/>
      <c r="H13" s="12">
        <f t="shared" si="0"/>
        <v>44025</v>
      </c>
    </row>
    <row r="14" spans="2:11" x14ac:dyDescent="0.3">
      <c r="B14" s="6" t="s">
        <v>14</v>
      </c>
      <c r="C14" s="27">
        <v>216000</v>
      </c>
      <c r="D14" s="27">
        <v>468000</v>
      </c>
      <c r="E14" s="26"/>
      <c r="F14" s="27"/>
      <c r="G14" s="26"/>
      <c r="H14" s="12">
        <f t="shared" si="0"/>
        <v>44025</v>
      </c>
    </row>
    <row r="15" spans="2:11" x14ac:dyDescent="0.3">
      <c r="B15" s="6" t="s">
        <v>24</v>
      </c>
      <c r="C15" s="29">
        <v>207000</v>
      </c>
      <c r="D15" s="29"/>
      <c r="E15" s="29">
        <v>630000</v>
      </c>
      <c r="F15" s="29"/>
      <c r="G15" s="29"/>
      <c r="H15" s="12">
        <f t="shared" si="0"/>
        <v>44025</v>
      </c>
    </row>
    <row r="16" spans="2:11" x14ac:dyDescent="0.3">
      <c r="B16" s="6" t="s">
        <v>21</v>
      </c>
      <c r="C16" s="26"/>
      <c r="D16" s="26"/>
      <c r="E16" s="26"/>
      <c r="F16" s="26"/>
      <c r="G16" s="26"/>
      <c r="H16" s="12">
        <f t="shared" si="0"/>
        <v>44025</v>
      </c>
    </row>
    <row r="17" spans="1:8" x14ac:dyDescent="0.3">
      <c r="B17" s="6" t="s">
        <v>18</v>
      </c>
      <c r="C17" s="26"/>
      <c r="D17" s="26"/>
      <c r="E17" s="26"/>
      <c r="F17" s="26"/>
      <c r="G17" s="26"/>
      <c r="H17" s="12">
        <f t="shared" si="0"/>
        <v>44025</v>
      </c>
    </row>
    <row r="18" spans="1:8" x14ac:dyDescent="0.3">
      <c r="B18" s="6" t="s">
        <v>16</v>
      </c>
      <c r="C18" s="26"/>
      <c r="D18" s="26">
        <v>216000</v>
      </c>
      <c r="E18" s="26"/>
      <c r="F18" s="26">
        <v>215000</v>
      </c>
      <c r="G18" s="26"/>
      <c r="H18" s="12">
        <f t="shared" si="0"/>
        <v>44025</v>
      </c>
    </row>
    <row r="19" spans="1:8" x14ac:dyDescent="0.3">
      <c r="B19" s="37" t="s">
        <v>27</v>
      </c>
      <c r="C19" s="38">
        <f>SUBTOTAL(109,July13_2020[KSI_AGO])</f>
        <v>1272500</v>
      </c>
      <c r="D19" s="38">
        <f>SUBTOTAL(109,July13_2020[KSI_PMS])</f>
        <v>1115500</v>
      </c>
      <c r="E19" s="38">
        <f>SUBTOTAL(109,July13_2020[BUIPE_AGO])</f>
        <v>1170000</v>
      </c>
      <c r="F19" s="38">
        <f>SUBTOTAL(109,July13_2020[BUIPE_PMS])</f>
        <v>1017000</v>
      </c>
      <c r="G19" s="38">
        <f>SUBTOTAL(109,July13_2020[AKOSOMBO_AGO])</f>
        <v>162000</v>
      </c>
      <c r="H19" s="39"/>
    </row>
    <row r="20" spans="1:8" x14ac:dyDescent="0.3">
      <c r="B20" s="8"/>
      <c r="C20" s="24"/>
      <c r="D20" s="24"/>
      <c r="E20" s="24"/>
      <c r="F20" s="24"/>
      <c r="G20" s="24"/>
      <c r="H20"/>
    </row>
    <row r="21" spans="1:8" x14ac:dyDescent="0.3">
      <c r="B21" s="1" t="s">
        <v>6</v>
      </c>
      <c r="C21" s="1" t="s">
        <v>4</v>
      </c>
      <c r="D21" s="5">
        <f>SUMIF(July13_2020[[#Headers],[KSI_AGO]:[AKOSOMBO_AGO]],"*"&amp;C21,July13_2020[[#Totals],[KSI_AGO]:[AKOSOMBO_AGO]])</f>
        <v>2604500</v>
      </c>
      <c r="E21" s="1" t="s">
        <v>5</v>
      </c>
      <c r="F21" s="5">
        <f>SUMIF(July13_2020[[#Headers],[KSI_AGO]:[AKOSOMBO_AGO]],"*"&amp;E21,July13_2020[[#Totals],[KSI_AGO]:[AKOSOMBO_AGO]])</f>
        <v>2132500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4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codeName="Sheet134">
    <pageSetUpPr fitToPage="1"/>
  </sheetPr>
  <dimension ref="A1:K31"/>
  <sheetViews>
    <sheetView zoomScaleNormal="100" workbookViewId="0">
      <pane xSplit="1" ySplit="5" topLeftCell="B6" activePane="bottomRight" state="frozen"/>
      <selection activeCell="B7" sqref="B7"/>
      <selection pane="topRight" activeCell="B7" sqref="B7"/>
      <selection pane="bottomLeft" activeCell="B7" sqref="B7"/>
      <selection pane="bottomRight" activeCell="E15" sqref="E15"/>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44026</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44026</v>
      </c>
    </row>
    <row r="7" spans="2:11" x14ac:dyDescent="0.3">
      <c r="B7" s="6" t="s">
        <v>17</v>
      </c>
      <c r="C7" s="26"/>
      <c r="D7" s="26">
        <v>252000</v>
      </c>
      <c r="E7" s="26"/>
      <c r="F7" s="26"/>
      <c r="G7" s="26"/>
      <c r="H7" s="12">
        <f t="shared" si="0"/>
        <v>44026</v>
      </c>
    </row>
    <row r="8" spans="2:11" ht="15.6" x14ac:dyDescent="0.3">
      <c r="B8" s="34" t="s">
        <v>0</v>
      </c>
      <c r="C8" s="35">
        <v>1116000</v>
      </c>
      <c r="D8" s="35"/>
      <c r="E8" s="35">
        <v>54000</v>
      </c>
      <c r="F8" s="35">
        <v>54000</v>
      </c>
      <c r="G8" s="35">
        <v>54000</v>
      </c>
      <c r="H8" s="12">
        <f t="shared" si="0"/>
        <v>44026</v>
      </c>
    </row>
    <row r="9" spans="2:11" x14ac:dyDescent="0.3">
      <c r="B9" s="6" t="s">
        <v>25</v>
      </c>
      <c r="C9" s="26">
        <v>54000</v>
      </c>
      <c r="D9" s="26">
        <v>304000</v>
      </c>
      <c r="E9" s="26"/>
      <c r="F9" s="26"/>
      <c r="G9" s="26">
        <v>47000</v>
      </c>
      <c r="H9" s="12">
        <f t="shared" si="0"/>
        <v>44026</v>
      </c>
    </row>
    <row r="10" spans="2:11" x14ac:dyDescent="0.3">
      <c r="B10" s="6" t="s">
        <v>15</v>
      </c>
      <c r="C10" s="26"/>
      <c r="D10" s="26"/>
      <c r="E10" s="26"/>
      <c r="F10" s="26">
        <v>378000</v>
      </c>
      <c r="G10" s="26"/>
      <c r="H10" s="12">
        <f t="shared" si="0"/>
        <v>44026</v>
      </c>
    </row>
    <row r="11" spans="2:11" x14ac:dyDescent="0.3">
      <c r="B11" s="6" t="s">
        <v>26</v>
      </c>
      <c r="C11" s="26"/>
      <c r="D11" s="26">
        <v>54000</v>
      </c>
      <c r="E11" s="26"/>
      <c r="F11" s="26"/>
      <c r="G11" s="26"/>
      <c r="H11" s="12">
        <f t="shared" si="0"/>
        <v>44026</v>
      </c>
    </row>
    <row r="12" spans="2:11" x14ac:dyDescent="0.3">
      <c r="B12" s="6" t="s">
        <v>22</v>
      </c>
      <c r="C12" s="23"/>
      <c r="D12" s="23"/>
      <c r="E12" s="23"/>
      <c r="F12" s="23"/>
      <c r="G12" s="23"/>
      <c r="H12" s="12">
        <f t="shared" si="0"/>
        <v>44026</v>
      </c>
      <c r="K12" s="4"/>
    </row>
    <row r="13" spans="2:11" x14ac:dyDescent="0.3">
      <c r="B13" s="6" t="s">
        <v>19</v>
      </c>
      <c r="C13" s="26"/>
      <c r="D13" s="26"/>
      <c r="E13" s="26"/>
      <c r="F13" s="26"/>
      <c r="G13" s="26"/>
      <c r="H13" s="12">
        <f t="shared" si="0"/>
        <v>44026</v>
      </c>
    </row>
    <row r="14" spans="2:11" x14ac:dyDescent="0.3">
      <c r="B14" s="6" t="s">
        <v>14</v>
      </c>
      <c r="C14" s="27"/>
      <c r="D14" s="27">
        <v>428000</v>
      </c>
      <c r="E14" s="26">
        <v>162000</v>
      </c>
      <c r="F14" s="27">
        <v>378000</v>
      </c>
      <c r="G14" s="26"/>
      <c r="H14" s="12">
        <f t="shared" si="0"/>
        <v>44026</v>
      </c>
    </row>
    <row r="15" spans="2:11" x14ac:dyDescent="0.3">
      <c r="B15" s="6" t="s">
        <v>24</v>
      </c>
      <c r="C15" s="29">
        <v>427500</v>
      </c>
      <c r="D15" s="29"/>
      <c r="E15" s="29">
        <v>486000</v>
      </c>
      <c r="F15" s="29"/>
      <c r="G15" s="29"/>
      <c r="H15" s="12">
        <f t="shared" si="0"/>
        <v>44026</v>
      </c>
    </row>
    <row r="16" spans="2:11" x14ac:dyDescent="0.3">
      <c r="B16" s="6" t="s">
        <v>21</v>
      </c>
      <c r="C16" s="26"/>
      <c r="D16" s="26">
        <v>54000</v>
      </c>
      <c r="E16" s="26"/>
      <c r="F16" s="26"/>
      <c r="G16" s="26"/>
      <c r="H16" s="12">
        <f t="shared" si="0"/>
        <v>44026</v>
      </c>
    </row>
    <row r="17" spans="1:8" x14ac:dyDescent="0.3">
      <c r="B17" s="6" t="s">
        <v>18</v>
      </c>
      <c r="C17" s="26"/>
      <c r="D17" s="26"/>
      <c r="E17" s="26"/>
      <c r="F17" s="26"/>
      <c r="G17" s="26"/>
      <c r="H17" s="12">
        <f t="shared" si="0"/>
        <v>44026</v>
      </c>
    </row>
    <row r="18" spans="1:8" x14ac:dyDescent="0.3">
      <c r="B18" s="6" t="s">
        <v>16</v>
      </c>
      <c r="C18" s="26"/>
      <c r="D18" s="26">
        <v>324000</v>
      </c>
      <c r="E18" s="26"/>
      <c r="F18" s="26">
        <v>108000</v>
      </c>
      <c r="G18" s="26"/>
      <c r="H18" s="12">
        <f t="shared" si="0"/>
        <v>44026</v>
      </c>
    </row>
    <row r="19" spans="1:8" x14ac:dyDescent="0.3">
      <c r="B19" s="37" t="s">
        <v>27</v>
      </c>
      <c r="C19" s="38">
        <f>SUBTOTAL(109,July14_2020[KSI_AGO])</f>
        <v>1597500</v>
      </c>
      <c r="D19" s="38">
        <f>SUBTOTAL(109,July14_2020[KSI_PMS])</f>
        <v>1416000</v>
      </c>
      <c r="E19" s="38">
        <f>SUBTOTAL(109,July14_2020[BUIPE_AGO])</f>
        <v>702000</v>
      </c>
      <c r="F19" s="38">
        <f>SUBTOTAL(109,July14_2020[BUIPE_PMS])</f>
        <v>918000</v>
      </c>
      <c r="G19" s="38">
        <f>SUBTOTAL(109,July14_2020[AKOSOMBO_AGO])</f>
        <v>101000</v>
      </c>
      <c r="H19" s="39"/>
    </row>
    <row r="20" spans="1:8" x14ac:dyDescent="0.3">
      <c r="B20" s="8"/>
      <c r="C20" s="24"/>
      <c r="D20" s="24"/>
      <c r="E20" s="24"/>
      <c r="F20" s="24"/>
      <c r="G20" s="24"/>
      <c r="H20"/>
    </row>
    <row r="21" spans="1:8" x14ac:dyDescent="0.3">
      <c r="B21" s="1" t="s">
        <v>6</v>
      </c>
      <c r="C21" s="1" t="s">
        <v>4</v>
      </c>
      <c r="D21" s="5">
        <f>SUMIF(July14_2020[[#Headers],[KSI_AGO]:[AKOSOMBO_AGO]],"*"&amp;C21,July14_2020[[#Totals],[KSI_AGO]:[AKOSOMBO_AGO]])</f>
        <v>2400500</v>
      </c>
      <c r="E21" s="1" t="s">
        <v>5</v>
      </c>
      <c r="F21" s="5">
        <f>SUMIF(July14_2020[[#Headers],[KSI_AGO]:[AKOSOMBO_AGO]],"*"&amp;E21,July14_2020[[#Totals],[KSI_AGO]:[AKOSOMBO_AGO]])</f>
        <v>2334000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5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codeName="Sheet135">
    <pageSetUpPr fitToPage="1"/>
  </sheetPr>
  <dimension ref="A1:K31"/>
  <sheetViews>
    <sheetView zoomScaleNormal="100" workbookViewId="0">
      <pane xSplit="1" ySplit="5" topLeftCell="B7" activePane="bottomRight" state="frozen"/>
      <selection activeCell="B7" sqref="B7"/>
      <selection pane="topRight" activeCell="B7" sqref="B7"/>
      <selection pane="bottomLeft" activeCell="B7" sqref="B7"/>
      <selection pane="bottomRight" activeCell="E11" sqref="E11"/>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44027</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44027</v>
      </c>
    </row>
    <row r="7" spans="2:11" x14ac:dyDescent="0.3">
      <c r="B7" s="6" t="s">
        <v>17</v>
      </c>
      <c r="C7" s="26">
        <v>54000</v>
      </c>
      <c r="D7" s="26">
        <v>302000</v>
      </c>
      <c r="E7" s="26"/>
      <c r="F7" s="26">
        <v>54000</v>
      </c>
      <c r="G7" s="26"/>
      <c r="H7" s="12">
        <f t="shared" si="0"/>
        <v>44027</v>
      </c>
    </row>
    <row r="8" spans="2:11" ht="15.6" x14ac:dyDescent="0.3">
      <c r="B8" s="34" t="s">
        <v>0</v>
      </c>
      <c r="C8" s="35">
        <v>486000</v>
      </c>
      <c r="D8" s="35"/>
      <c r="E8" s="35">
        <v>145000</v>
      </c>
      <c r="F8" s="35">
        <v>162000</v>
      </c>
      <c r="G8" s="35"/>
      <c r="H8" s="12">
        <f t="shared" si="0"/>
        <v>44027</v>
      </c>
    </row>
    <row r="9" spans="2:11" x14ac:dyDescent="0.3">
      <c r="B9" s="6" t="s">
        <v>25</v>
      </c>
      <c r="C9" s="26">
        <v>162000</v>
      </c>
      <c r="D9" s="26">
        <v>208000</v>
      </c>
      <c r="E9" s="26">
        <v>50000</v>
      </c>
      <c r="F9" s="26">
        <v>270000</v>
      </c>
      <c r="G9" s="26">
        <v>90000</v>
      </c>
      <c r="H9" s="12">
        <f t="shared" si="0"/>
        <v>44027</v>
      </c>
    </row>
    <row r="10" spans="2:11" x14ac:dyDescent="0.3">
      <c r="B10" s="6" t="s">
        <v>15</v>
      </c>
      <c r="C10" s="26"/>
      <c r="D10" s="26"/>
      <c r="E10" s="26"/>
      <c r="F10" s="36">
        <v>265500</v>
      </c>
      <c r="G10" s="26"/>
      <c r="H10" s="12">
        <f t="shared" si="0"/>
        <v>44027</v>
      </c>
    </row>
    <row r="11" spans="2:11" x14ac:dyDescent="0.3">
      <c r="B11" s="6" t="s">
        <v>26</v>
      </c>
      <c r="C11" s="26"/>
      <c r="D11" s="26"/>
      <c r="E11" s="26"/>
      <c r="F11" s="26"/>
      <c r="G11" s="26"/>
      <c r="H11" s="12">
        <f t="shared" si="0"/>
        <v>44027</v>
      </c>
    </row>
    <row r="12" spans="2:11" x14ac:dyDescent="0.3">
      <c r="B12" s="6" t="s">
        <v>22</v>
      </c>
      <c r="C12" s="23"/>
      <c r="D12" s="23"/>
      <c r="E12" s="23"/>
      <c r="F12" s="23"/>
      <c r="G12" s="23"/>
      <c r="H12" s="12">
        <f t="shared" si="0"/>
        <v>44027</v>
      </c>
      <c r="K12" s="4"/>
    </row>
    <row r="13" spans="2:11" x14ac:dyDescent="0.3">
      <c r="B13" s="6" t="s">
        <v>19</v>
      </c>
      <c r="C13" s="26"/>
      <c r="D13" s="26"/>
      <c r="E13" s="26"/>
      <c r="F13" s="26"/>
      <c r="G13" s="26"/>
      <c r="H13" s="12">
        <f t="shared" si="0"/>
        <v>44027</v>
      </c>
    </row>
    <row r="14" spans="2:11" x14ac:dyDescent="0.3">
      <c r="B14" s="6" t="s">
        <v>14</v>
      </c>
      <c r="C14" s="27">
        <v>423000</v>
      </c>
      <c r="D14" s="27">
        <v>261000</v>
      </c>
      <c r="E14" s="26">
        <v>422500</v>
      </c>
      <c r="F14" s="40">
        <v>320000</v>
      </c>
      <c r="G14" s="36">
        <v>378000</v>
      </c>
      <c r="H14" s="12">
        <f t="shared" si="0"/>
        <v>44027</v>
      </c>
    </row>
    <row r="15" spans="2:11" x14ac:dyDescent="0.3">
      <c r="B15" s="6" t="s">
        <v>24</v>
      </c>
      <c r="C15" s="29">
        <v>536000</v>
      </c>
      <c r="D15" s="29"/>
      <c r="E15" s="29"/>
      <c r="F15" s="29"/>
      <c r="G15" s="29"/>
      <c r="H15" s="12">
        <f t="shared" si="0"/>
        <v>44027</v>
      </c>
    </row>
    <row r="16" spans="2:11" x14ac:dyDescent="0.3">
      <c r="B16" s="6" t="s">
        <v>21</v>
      </c>
      <c r="C16" s="26"/>
      <c r="D16" s="26">
        <v>54000</v>
      </c>
      <c r="E16" s="26"/>
      <c r="F16" s="26"/>
      <c r="G16" s="26"/>
      <c r="H16" s="12">
        <f t="shared" si="0"/>
        <v>44027</v>
      </c>
    </row>
    <row r="17" spans="1:8" x14ac:dyDescent="0.3">
      <c r="B17" s="6" t="s">
        <v>18</v>
      </c>
      <c r="C17" s="26"/>
      <c r="D17" s="26"/>
      <c r="E17" s="26"/>
      <c r="F17" s="26"/>
      <c r="G17" s="26"/>
      <c r="H17" s="12">
        <f t="shared" si="0"/>
        <v>44027</v>
      </c>
    </row>
    <row r="18" spans="1:8" x14ac:dyDescent="0.3">
      <c r="B18" s="6" t="s">
        <v>16</v>
      </c>
      <c r="C18" s="26"/>
      <c r="D18" s="26">
        <v>306000</v>
      </c>
      <c r="E18" s="26"/>
      <c r="F18" s="26">
        <v>216000</v>
      </c>
      <c r="G18" s="26"/>
      <c r="H18" s="12">
        <f t="shared" si="0"/>
        <v>44027</v>
      </c>
    </row>
    <row r="19" spans="1:8" x14ac:dyDescent="0.3">
      <c r="B19" s="37" t="s">
        <v>27</v>
      </c>
      <c r="C19" s="38">
        <f>SUBTOTAL(109,July15_2020[KSI_AGO])</f>
        <v>1661000</v>
      </c>
      <c r="D19" s="38">
        <f>SUBTOTAL(109,July15_2020[KSI_PMS])</f>
        <v>1131000</v>
      </c>
      <c r="E19" s="38">
        <f>SUBTOTAL(109,July15_2020[BUIPE_AGO])</f>
        <v>617500</v>
      </c>
      <c r="F19" s="38">
        <f>SUBTOTAL(109,July15_2020[BUIPE_PMS])</f>
        <v>1287500</v>
      </c>
      <c r="G19" s="38">
        <f>SUBTOTAL(109,July15_2020[AKOSOMBO_AGO])</f>
        <v>468000</v>
      </c>
      <c r="H19" s="39"/>
    </row>
    <row r="20" spans="1:8" x14ac:dyDescent="0.3">
      <c r="B20" s="8"/>
      <c r="C20" s="24"/>
      <c r="D20" s="24"/>
      <c r="E20" s="24"/>
      <c r="F20" s="24"/>
      <c r="G20" s="24"/>
      <c r="H20"/>
    </row>
    <row r="21" spans="1:8" x14ac:dyDescent="0.3">
      <c r="B21" s="1" t="s">
        <v>6</v>
      </c>
      <c r="C21" s="1" t="s">
        <v>4</v>
      </c>
      <c r="D21" s="5">
        <f>SUMIF(July15_2020[[#Headers],[KSI_AGO]:[AKOSOMBO_AGO]],"*"&amp;C21,July15_2020[[#Totals],[KSI_AGO]:[AKOSOMBO_AGO]])</f>
        <v>2746500</v>
      </c>
      <c r="E21" s="1" t="s">
        <v>5</v>
      </c>
      <c r="F21" s="5">
        <f>SUMIF(July15_2020[[#Headers],[KSI_AGO]:[AKOSOMBO_AGO]],"*"&amp;E21,July15_2020[[#Totals],[KSI_AGO]:[AKOSOMBO_AGO]])</f>
        <v>2418500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6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codeName="Sheet136">
    <pageSetUpPr fitToPage="1"/>
  </sheetPr>
  <dimension ref="A1:K31"/>
  <sheetViews>
    <sheetView zoomScaleNormal="100" workbookViewId="0">
      <pane xSplit="2" ySplit="5" topLeftCell="E6" activePane="bottomRight" state="frozen"/>
      <selection pane="topRight" activeCell="C1" sqref="C1"/>
      <selection pane="bottomLeft" activeCell="A6" sqref="A6"/>
      <selection pane="bottomRight" activeCell="F16" sqref="F16"/>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44028</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44028</v>
      </c>
    </row>
    <row r="7" spans="2:11" x14ac:dyDescent="0.3">
      <c r="B7" s="6" t="s">
        <v>17</v>
      </c>
      <c r="C7" s="26"/>
      <c r="D7" s="26">
        <v>405500</v>
      </c>
      <c r="E7" s="26"/>
      <c r="F7" s="26">
        <v>54000</v>
      </c>
      <c r="G7" s="26"/>
      <c r="H7" s="12">
        <f t="shared" si="0"/>
        <v>44028</v>
      </c>
    </row>
    <row r="8" spans="2:11" ht="15.6" x14ac:dyDescent="0.3">
      <c r="B8" s="34" t="s">
        <v>0</v>
      </c>
      <c r="C8" s="35">
        <v>474500</v>
      </c>
      <c r="D8" s="35"/>
      <c r="E8" s="35"/>
      <c r="F8" s="35"/>
      <c r="G8" s="35">
        <v>50000</v>
      </c>
      <c r="H8" s="12">
        <f t="shared" si="0"/>
        <v>44028</v>
      </c>
    </row>
    <row r="9" spans="2:11" x14ac:dyDescent="0.3">
      <c r="B9" s="6" t="s">
        <v>25</v>
      </c>
      <c r="C9" s="26"/>
      <c r="D9" s="26">
        <v>311000</v>
      </c>
      <c r="E9" s="26"/>
      <c r="F9" s="26">
        <v>212000</v>
      </c>
      <c r="G9" s="26"/>
      <c r="H9" s="12">
        <f t="shared" si="0"/>
        <v>44028</v>
      </c>
    </row>
    <row r="10" spans="2:11" x14ac:dyDescent="0.3">
      <c r="B10" s="6" t="s">
        <v>15</v>
      </c>
      <c r="C10" s="26"/>
      <c r="D10" s="26"/>
      <c r="E10" s="26">
        <v>324000</v>
      </c>
      <c r="F10" s="36">
        <v>162000</v>
      </c>
      <c r="G10" s="26"/>
      <c r="H10" s="12">
        <f t="shared" si="0"/>
        <v>44028</v>
      </c>
    </row>
    <row r="11" spans="2:11" x14ac:dyDescent="0.3">
      <c r="B11" s="6" t="s">
        <v>26</v>
      </c>
      <c r="C11" s="26">
        <v>148500</v>
      </c>
      <c r="D11" s="26"/>
      <c r="E11" s="26">
        <v>374000</v>
      </c>
      <c r="F11" s="26"/>
      <c r="G11" s="26"/>
      <c r="H11" s="12">
        <f t="shared" si="0"/>
        <v>44028</v>
      </c>
    </row>
    <row r="12" spans="2:11" x14ac:dyDescent="0.3">
      <c r="B12" s="6" t="s">
        <v>22</v>
      </c>
      <c r="C12" s="23"/>
      <c r="D12" s="23"/>
      <c r="E12" s="23"/>
      <c r="F12" s="23"/>
      <c r="G12" s="23"/>
      <c r="H12" s="12">
        <f t="shared" si="0"/>
        <v>44028</v>
      </c>
      <c r="K12" s="4"/>
    </row>
    <row r="13" spans="2:11" x14ac:dyDescent="0.3">
      <c r="B13" s="6" t="s">
        <v>19</v>
      </c>
      <c r="C13" s="26">
        <v>268000</v>
      </c>
      <c r="D13" s="26"/>
      <c r="E13" s="26">
        <v>432000</v>
      </c>
      <c r="F13" s="26"/>
      <c r="G13" s="26"/>
      <c r="H13" s="12">
        <f t="shared" si="0"/>
        <v>44028</v>
      </c>
    </row>
    <row r="14" spans="2:11" x14ac:dyDescent="0.3">
      <c r="B14" s="6" t="s">
        <v>14</v>
      </c>
      <c r="C14" s="27"/>
      <c r="D14" s="27">
        <v>540000</v>
      </c>
      <c r="E14" s="26">
        <v>45000</v>
      </c>
      <c r="F14" s="40">
        <v>154000</v>
      </c>
      <c r="G14" s="36">
        <v>377500</v>
      </c>
      <c r="H14" s="12">
        <f t="shared" si="0"/>
        <v>44028</v>
      </c>
    </row>
    <row r="15" spans="2:11" x14ac:dyDescent="0.3">
      <c r="B15" s="6" t="s">
        <v>24</v>
      </c>
      <c r="C15" s="29">
        <v>360000</v>
      </c>
      <c r="D15" s="29"/>
      <c r="E15" s="29"/>
      <c r="F15" s="29"/>
      <c r="G15" s="29"/>
      <c r="H15" s="12">
        <f t="shared" si="0"/>
        <v>44028</v>
      </c>
    </row>
    <row r="16" spans="2:11" x14ac:dyDescent="0.3">
      <c r="B16" s="6" t="s">
        <v>21</v>
      </c>
      <c r="C16" s="26"/>
      <c r="D16" s="26"/>
      <c r="E16" s="26"/>
      <c r="F16" s="26"/>
      <c r="G16" s="26"/>
      <c r="H16" s="12">
        <f t="shared" si="0"/>
        <v>44028</v>
      </c>
    </row>
    <row r="17" spans="1:8" x14ac:dyDescent="0.3">
      <c r="B17" s="6" t="s">
        <v>18</v>
      </c>
      <c r="C17" s="26"/>
      <c r="D17" s="26"/>
      <c r="E17" s="26"/>
      <c r="F17" s="26"/>
      <c r="G17" s="26"/>
      <c r="H17" s="12">
        <f t="shared" si="0"/>
        <v>44028</v>
      </c>
    </row>
    <row r="18" spans="1:8" x14ac:dyDescent="0.3">
      <c r="B18" s="6" t="s">
        <v>16</v>
      </c>
      <c r="C18" s="26"/>
      <c r="D18" s="26">
        <v>373500</v>
      </c>
      <c r="E18" s="26"/>
      <c r="F18" s="26">
        <v>162000</v>
      </c>
      <c r="G18" s="26"/>
      <c r="H18" s="12">
        <f t="shared" si="0"/>
        <v>44028</v>
      </c>
    </row>
    <row r="19" spans="1:8" x14ac:dyDescent="0.3">
      <c r="B19" s="37" t="s">
        <v>27</v>
      </c>
      <c r="C19" s="38">
        <f>SUBTOTAL(109,July16_2020[KSI_AGO])</f>
        <v>1251000</v>
      </c>
      <c r="D19" s="38">
        <f>SUBTOTAL(109,July16_2020[KSI_PMS])</f>
        <v>1630000</v>
      </c>
      <c r="E19" s="38">
        <f>SUBTOTAL(109,July16_2020[BUIPE_AGO])</f>
        <v>1175000</v>
      </c>
      <c r="F19" s="38">
        <f>SUBTOTAL(109,July16_2020[BUIPE_PMS])</f>
        <v>744000</v>
      </c>
      <c r="G19" s="38">
        <f>SUBTOTAL(109,July16_2020[AKOSOMBO_AGO])</f>
        <v>427500</v>
      </c>
      <c r="H19" s="39"/>
    </row>
    <row r="20" spans="1:8" x14ac:dyDescent="0.3">
      <c r="B20" s="8"/>
      <c r="C20" s="24"/>
      <c r="D20" s="24"/>
      <c r="E20" s="24"/>
      <c r="F20" s="24"/>
      <c r="G20" s="24"/>
      <c r="H20"/>
    </row>
    <row r="21" spans="1:8" x14ac:dyDescent="0.3">
      <c r="B21" s="1" t="s">
        <v>6</v>
      </c>
      <c r="C21" s="1" t="s">
        <v>4</v>
      </c>
      <c r="D21" s="5">
        <f>SUMIF(July16_2020[[#Headers],[KSI_AGO]:[AKOSOMBO_AGO]],"*"&amp;C21,July16_2020[[#Totals],[KSI_AGO]:[AKOSOMBO_AGO]])</f>
        <v>2853500</v>
      </c>
      <c r="E21" s="1" t="s">
        <v>5</v>
      </c>
      <c r="F21" s="5">
        <f>SUMIF(July16_2020[[#Headers],[KSI_AGO]:[AKOSOMBO_AGO]],"*"&amp;E21,July16_2020[[#Totals],[KSI_AGO]:[AKOSOMBO_AGO]])</f>
        <v>2374000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7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codeName="Sheet137">
    <pageSetUpPr fitToPage="1"/>
  </sheetPr>
  <dimension ref="A1:K31"/>
  <sheetViews>
    <sheetView zoomScaleNormal="100" workbookViewId="0">
      <pane xSplit="2" ySplit="5" topLeftCell="C6" activePane="bottomRight" state="frozen"/>
      <selection pane="topRight" activeCell="C1" sqref="C1"/>
      <selection pane="bottomLeft" activeCell="A6" sqref="A6"/>
      <selection pane="bottomRight" activeCell="G19" sqref="G19"/>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44029</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44029</v>
      </c>
    </row>
    <row r="7" spans="2:11" x14ac:dyDescent="0.3">
      <c r="B7" s="6" t="s">
        <v>17</v>
      </c>
      <c r="C7" s="26"/>
      <c r="D7" s="26"/>
      <c r="E7" s="26"/>
      <c r="F7" s="26"/>
      <c r="G7" s="26"/>
      <c r="H7" s="12">
        <f t="shared" si="0"/>
        <v>44029</v>
      </c>
    </row>
    <row r="8" spans="2:11" ht="15.6" x14ac:dyDescent="0.3">
      <c r="B8" s="34" t="s">
        <v>0</v>
      </c>
      <c r="C8" s="35">
        <v>432000</v>
      </c>
      <c r="D8" s="35"/>
      <c r="E8" s="35"/>
      <c r="F8" s="35"/>
      <c r="G8" s="35">
        <v>99500</v>
      </c>
      <c r="H8" s="12">
        <f t="shared" si="0"/>
        <v>44029</v>
      </c>
    </row>
    <row r="9" spans="2:11" x14ac:dyDescent="0.3">
      <c r="B9" s="6" t="s">
        <v>25</v>
      </c>
      <c r="C9" s="26"/>
      <c r="D9" s="26">
        <v>320000</v>
      </c>
      <c r="E9" s="26"/>
      <c r="F9" s="26">
        <v>594000</v>
      </c>
      <c r="G9" s="26">
        <v>45000</v>
      </c>
      <c r="H9" s="12">
        <f t="shared" si="0"/>
        <v>44029</v>
      </c>
    </row>
    <row r="10" spans="2:11" x14ac:dyDescent="0.3">
      <c r="B10" s="6" t="s">
        <v>15</v>
      </c>
      <c r="C10" s="26"/>
      <c r="D10" s="26"/>
      <c r="E10" s="26">
        <v>378000</v>
      </c>
      <c r="F10" s="36"/>
      <c r="G10" s="26"/>
      <c r="H10" s="12">
        <f t="shared" si="0"/>
        <v>44029</v>
      </c>
    </row>
    <row r="11" spans="2:11" x14ac:dyDescent="0.3">
      <c r="B11" s="6" t="s">
        <v>26</v>
      </c>
      <c r="C11" s="26">
        <v>162000</v>
      </c>
      <c r="D11" s="26"/>
      <c r="E11" s="26"/>
      <c r="F11" s="26"/>
      <c r="G11" s="26"/>
      <c r="H11" s="12">
        <f t="shared" si="0"/>
        <v>44029</v>
      </c>
    </row>
    <row r="12" spans="2:11" x14ac:dyDescent="0.3">
      <c r="B12" s="6" t="s">
        <v>22</v>
      </c>
      <c r="C12" s="23"/>
      <c r="D12" s="23"/>
      <c r="E12" s="23"/>
      <c r="F12" s="23"/>
      <c r="G12" s="23"/>
      <c r="H12" s="12">
        <f t="shared" si="0"/>
        <v>44029</v>
      </c>
      <c r="K12" s="4"/>
    </row>
    <row r="13" spans="2:11" x14ac:dyDescent="0.3">
      <c r="B13" s="6" t="s">
        <v>19</v>
      </c>
      <c r="C13" s="26">
        <v>315000</v>
      </c>
      <c r="D13" s="26"/>
      <c r="E13" s="26">
        <v>324000</v>
      </c>
      <c r="F13" s="26"/>
      <c r="G13" s="26"/>
      <c r="H13" s="12">
        <f t="shared" si="0"/>
        <v>44029</v>
      </c>
    </row>
    <row r="14" spans="2:11" x14ac:dyDescent="0.3">
      <c r="B14" s="6" t="s">
        <v>14</v>
      </c>
      <c r="C14" s="27">
        <v>216000</v>
      </c>
      <c r="D14" s="27">
        <v>481500</v>
      </c>
      <c r="E14" s="26">
        <v>324000</v>
      </c>
      <c r="F14" s="40">
        <v>108000</v>
      </c>
      <c r="G14" s="36">
        <v>108000</v>
      </c>
      <c r="H14" s="12">
        <f t="shared" si="0"/>
        <v>44029</v>
      </c>
    </row>
    <row r="15" spans="2:11" x14ac:dyDescent="0.3">
      <c r="B15" s="6" t="s">
        <v>24</v>
      </c>
      <c r="C15" s="29"/>
      <c r="D15" s="29"/>
      <c r="E15" s="29"/>
      <c r="F15" s="29"/>
      <c r="G15" s="29"/>
      <c r="H15" s="12">
        <f t="shared" si="0"/>
        <v>44029</v>
      </c>
    </row>
    <row r="16" spans="2:11" x14ac:dyDescent="0.3">
      <c r="B16" s="6" t="s">
        <v>21</v>
      </c>
      <c r="C16" s="26"/>
      <c r="D16" s="26"/>
      <c r="E16" s="26"/>
      <c r="F16" s="26"/>
      <c r="G16" s="26"/>
      <c r="H16" s="12">
        <f t="shared" si="0"/>
        <v>44029</v>
      </c>
    </row>
    <row r="17" spans="1:8" x14ac:dyDescent="0.3">
      <c r="B17" s="6" t="s">
        <v>18</v>
      </c>
      <c r="C17" s="26"/>
      <c r="D17" s="26"/>
      <c r="E17" s="26"/>
      <c r="F17" s="26"/>
      <c r="G17" s="26"/>
      <c r="H17" s="12">
        <f t="shared" si="0"/>
        <v>44029</v>
      </c>
    </row>
    <row r="18" spans="1:8" x14ac:dyDescent="0.3">
      <c r="B18" s="6" t="s">
        <v>16</v>
      </c>
      <c r="C18" s="26">
        <v>157000</v>
      </c>
      <c r="D18" s="26">
        <v>635000</v>
      </c>
      <c r="E18" s="26">
        <v>324000</v>
      </c>
      <c r="F18" s="26"/>
      <c r="G18" s="26"/>
      <c r="H18" s="12">
        <f t="shared" si="0"/>
        <v>44029</v>
      </c>
    </row>
    <row r="19" spans="1:8" x14ac:dyDescent="0.3">
      <c r="B19" s="37" t="s">
        <v>27</v>
      </c>
      <c r="C19" s="38">
        <f>SUBTOTAL(109,July17_2020[KSI_AGO])</f>
        <v>1282000</v>
      </c>
      <c r="D19" s="38">
        <f>SUBTOTAL(109,July17_2020[KSI_PMS])</f>
        <v>1436500</v>
      </c>
      <c r="E19" s="38">
        <f>SUBTOTAL(109,July17_2020[BUIPE_AGO])</f>
        <v>1350000</v>
      </c>
      <c r="F19" s="38">
        <f>SUBTOTAL(109,July17_2020[BUIPE_PMS])</f>
        <v>702000</v>
      </c>
      <c r="G19" s="38">
        <f>SUBTOTAL(109,July17_2020[AKOSOMBO_AGO])</f>
        <v>252500</v>
      </c>
      <c r="H19" s="39"/>
    </row>
    <row r="20" spans="1:8" x14ac:dyDescent="0.3">
      <c r="B20" s="8"/>
      <c r="C20" s="24"/>
      <c r="D20" s="24"/>
      <c r="E20" s="24"/>
      <c r="F20" s="24"/>
      <c r="G20" s="24"/>
      <c r="H20"/>
    </row>
    <row r="21" spans="1:8" x14ac:dyDescent="0.3">
      <c r="B21" s="1" t="s">
        <v>6</v>
      </c>
      <c r="C21" s="1" t="s">
        <v>4</v>
      </c>
      <c r="D21" s="5">
        <f>SUMIF(July17_2020[[#Headers],[KSI_AGO]:[AKOSOMBO_AGO]],"*"&amp;C21,July17_2020[[#Totals],[KSI_AGO]:[AKOSOMBO_AGO]])</f>
        <v>2884500</v>
      </c>
      <c r="E21" s="1" t="s">
        <v>5</v>
      </c>
      <c r="F21" s="5">
        <f>SUMIF(July17_2020[[#Headers],[KSI_AGO]:[AKOSOMBO_AGO]],"*"&amp;E21,July17_2020[[#Totals],[KSI_AGO]:[AKOSOMBO_AGO]])</f>
        <v>2138500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8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codeName="Sheet138">
    <pageSetUpPr fitToPage="1"/>
  </sheetPr>
  <dimension ref="A1:K31"/>
  <sheetViews>
    <sheetView zoomScaleNormal="100" workbookViewId="0">
      <pane xSplit="2" ySplit="5" topLeftCell="C6" activePane="bottomRight" state="frozen"/>
      <selection pane="topRight" activeCell="C1" sqref="C1"/>
      <selection pane="bottomLeft" activeCell="A6" sqref="A6"/>
      <selection pane="bottomRight" activeCell="C10" sqref="C10"/>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44032</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44032</v>
      </c>
    </row>
    <row r="7" spans="2:11" x14ac:dyDescent="0.3">
      <c r="B7" s="6" t="s">
        <v>17</v>
      </c>
      <c r="C7" s="26">
        <v>108000</v>
      </c>
      <c r="D7" s="26"/>
      <c r="E7" s="41">
        <v>378000</v>
      </c>
      <c r="F7" s="26"/>
      <c r="G7" s="26"/>
      <c r="H7" s="12">
        <f t="shared" si="0"/>
        <v>44032</v>
      </c>
    </row>
    <row r="8" spans="2:11" ht="15.6" x14ac:dyDescent="0.3">
      <c r="B8" s="34" t="s">
        <v>0</v>
      </c>
      <c r="C8" s="35">
        <v>270000</v>
      </c>
      <c r="D8" s="35"/>
      <c r="E8" s="35"/>
      <c r="F8" s="35"/>
      <c r="G8" s="35">
        <v>50000</v>
      </c>
      <c r="H8" s="12">
        <f t="shared" si="0"/>
        <v>44032</v>
      </c>
    </row>
    <row r="9" spans="2:11" x14ac:dyDescent="0.3">
      <c r="B9" s="6" t="s">
        <v>25</v>
      </c>
      <c r="C9" s="26"/>
      <c r="D9" s="26">
        <v>477500</v>
      </c>
      <c r="E9" s="26"/>
      <c r="F9" s="26"/>
      <c r="G9" s="26">
        <v>47000</v>
      </c>
      <c r="H9" s="12">
        <f t="shared" si="0"/>
        <v>44032</v>
      </c>
    </row>
    <row r="10" spans="2:11" x14ac:dyDescent="0.3">
      <c r="B10" s="6" t="s">
        <v>15</v>
      </c>
      <c r="C10" s="26"/>
      <c r="D10" s="26"/>
      <c r="E10" s="26">
        <v>324000</v>
      </c>
      <c r="F10" s="36"/>
      <c r="G10" s="26"/>
      <c r="H10" s="12">
        <f t="shared" si="0"/>
        <v>44032</v>
      </c>
    </row>
    <row r="11" spans="2:11" x14ac:dyDescent="0.3">
      <c r="B11" s="6" t="s">
        <v>26</v>
      </c>
      <c r="C11" s="26">
        <v>162000</v>
      </c>
      <c r="D11" s="26"/>
      <c r="E11" s="26">
        <v>162000</v>
      </c>
      <c r="F11" s="26"/>
      <c r="G11" s="26"/>
      <c r="H11" s="12">
        <f t="shared" si="0"/>
        <v>44032</v>
      </c>
    </row>
    <row r="12" spans="2:11" x14ac:dyDescent="0.3">
      <c r="B12" s="6" t="s">
        <v>22</v>
      </c>
      <c r="C12" s="23"/>
      <c r="D12" s="23"/>
      <c r="E12" s="23"/>
      <c r="F12" s="23"/>
      <c r="G12" s="23"/>
      <c r="H12" s="12">
        <f t="shared" si="0"/>
        <v>44032</v>
      </c>
      <c r="K12" s="4"/>
    </row>
    <row r="13" spans="2:11" x14ac:dyDescent="0.3">
      <c r="B13" s="6" t="s">
        <v>19</v>
      </c>
      <c r="C13" s="26">
        <v>153000</v>
      </c>
      <c r="D13" s="26"/>
      <c r="E13" s="41">
        <v>162000</v>
      </c>
      <c r="F13" s="26"/>
      <c r="G13" s="26"/>
      <c r="H13" s="12">
        <f t="shared" si="0"/>
        <v>44032</v>
      </c>
    </row>
    <row r="14" spans="2:11" x14ac:dyDescent="0.3">
      <c r="B14" s="6" t="s">
        <v>14</v>
      </c>
      <c r="C14" s="27">
        <v>360000</v>
      </c>
      <c r="D14" s="27">
        <v>712000</v>
      </c>
      <c r="E14" s="26">
        <v>216000</v>
      </c>
      <c r="F14" s="40"/>
      <c r="G14" s="36">
        <v>135000</v>
      </c>
      <c r="H14" s="12">
        <f t="shared" si="0"/>
        <v>44032</v>
      </c>
    </row>
    <row r="15" spans="2:11" x14ac:dyDescent="0.3">
      <c r="B15" s="6" t="s">
        <v>24</v>
      </c>
      <c r="C15" s="29"/>
      <c r="D15" s="29"/>
      <c r="E15" s="29"/>
      <c r="F15" s="29"/>
      <c r="G15" s="29"/>
      <c r="H15" s="12">
        <f t="shared" si="0"/>
        <v>44032</v>
      </c>
    </row>
    <row r="16" spans="2:11" x14ac:dyDescent="0.3">
      <c r="B16" s="6" t="s">
        <v>21</v>
      </c>
      <c r="C16" s="26"/>
      <c r="D16" s="26">
        <v>689000</v>
      </c>
      <c r="E16" s="26"/>
      <c r="F16" s="26">
        <v>266000</v>
      </c>
      <c r="G16" s="26"/>
      <c r="H16" s="12">
        <f t="shared" si="0"/>
        <v>44032</v>
      </c>
    </row>
    <row r="17" spans="1:8" x14ac:dyDescent="0.3">
      <c r="B17" s="6" t="s">
        <v>18</v>
      </c>
      <c r="C17" s="26"/>
      <c r="D17" s="26"/>
      <c r="E17" s="26"/>
      <c r="F17" s="26"/>
      <c r="G17" s="26"/>
      <c r="H17" s="12">
        <f t="shared" si="0"/>
        <v>44032</v>
      </c>
    </row>
    <row r="18" spans="1:8" x14ac:dyDescent="0.3">
      <c r="B18" s="6" t="s">
        <v>16</v>
      </c>
      <c r="C18" s="26">
        <v>261000</v>
      </c>
      <c r="D18" s="26">
        <v>369000</v>
      </c>
      <c r="E18" s="26">
        <v>270000</v>
      </c>
      <c r="F18" s="26"/>
      <c r="G18" s="26"/>
      <c r="H18" s="12">
        <f t="shared" si="0"/>
        <v>44032</v>
      </c>
    </row>
    <row r="19" spans="1:8" x14ac:dyDescent="0.3">
      <c r="B19" s="37" t="s">
        <v>27</v>
      </c>
      <c r="C19" s="38">
        <f>SUBTOTAL(109,July20_2020[KSI_AGO])</f>
        <v>1314000</v>
      </c>
      <c r="D19" s="38">
        <f>SUBTOTAL(109,July20_2020[KSI_PMS])</f>
        <v>2247500</v>
      </c>
      <c r="E19" s="38">
        <f>SUBTOTAL(109,July20_2020[BUIPE_AGO])</f>
        <v>1512000</v>
      </c>
      <c r="F19" s="38">
        <f>SUBTOTAL(109,July20_2020[BUIPE_PMS])</f>
        <v>266000</v>
      </c>
      <c r="G19" s="38">
        <f>SUBTOTAL(109,July20_2020[AKOSOMBO_AGO])</f>
        <v>232000</v>
      </c>
      <c r="H19" s="39"/>
    </row>
    <row r="20" spans="1:8" x14ac:dyDescent="0.3">
      <c r="B20" s="8"/>
      <c r="C20" s="24"/>
      <c r="D20" s="24"/>
      <c r="E20" s="24"/>
      <c r="F20" s="24"/>
      <c r="G20" s="24"/>
      <c r="H20"/>
    </row>
    <row r="21" spans="1:8" x14ac:dyDescent="0.3">
      <c r="B21" s="1" t="s">
        <v>6</v>
      </c>
      <c r="C21" s="1" t="s">
        <v>4</v>
      </c>
      <c r="D21" s="5">
        <f>SUMIF(July20_2020[[#Headers],[KSI_AGO]:[AKOSOMBO_AGO]],"*"&amp;C21,July20_2020[[#Totals],[KSI_AGO]:[AKOSOMBO_AGO]])</f>
        <v>3058000</v>
      </c>
      <c r="E21" s="1" t="s">
        <v>5</v>
      </c>
      <c r="F21" s="5">
        <f>SUMIF(July20_2020[[#Headers],[KSI_AGO]:[AKOSOMBO_AGO]],"*"&amp;E21,July20_2020[[#Totals],[KSI_AGO]:[AKOSOMBO_AGO]])</f>
        <v>2513500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9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codeName="Sheet139">
    <pageSetUpPr fitToPage="1"/>
  </sheetPr>
  <dimension ref="A1:K31"/>
  <sheetViews>
    <sheetView zoomScaleNormal="100" workbookViewId="0">
      <pane xSplit="2" ySplit="5" topLeftCell="C6" activePane="bottomRight" state="frozen"/>
      <selection pane="topRight" activeCell="C1" sqref="C1"/>
      <selection pane="bottomLeft" activeCell="A6" sqref="A6"/>
      <selection pane="bottomRight" activeCell="D16" sqref="D16"/>
    </sheetView>
  </sheetViews>
  <sheetFormatPr defaultColWidth="9.109375" defaultRowHeight="14.4" x14ac:dyDescent="0.3"/>
  <cols>
    <col min="1" max="1" width="6.88671875" style="1" customWidth="1"/>
    <col min="2" max="2" width="18" style="1" customWidth="1"/>
    <col min="3" max="3" width="15.33203125" style="1" customWidth="1"/>
    <col min="4" max="4" width="18.6640625" style="1" customWidth="1"/>
    <col min="5" max="5" width="18.44140625" style="1" bestFit="1" customWidth="1"/>
    <col min="6" max="6" width="18.109375" style="1" customWidth="1"/>
    <col min="7" max="7" width="23.3320312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44033</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44033</v>
      </c>
    </row>
    <row r="7" spans="2:11" x14ac:dyDescent="0.3">
      <c r="B7" s="6" t="s">
        <v>17</v>
      </c>
      <c r="C7" s="26">
        <v>212000</v>
      </c>
      <c r="D7" s="26"/>
      <c r="E7" s="36">
        <v>748000</v>
      </c>
      <c r="F7" s="26"/>
      <c r="G7" s="26"/>
      <c r="H7" s="12">
        <f t="shared" si="0"/>
        <v>44033</v>
      </c>
    </row>
    <row r="8" spans="2:11" ht="15.6" x14ac:dyDescent="0.3">
      <c r="B8" s="34" t="s">
        <v>0</v>
      </c>
      <c r="C8" s="35">
        <v>216000</v>
      </c>
      <c r="D8" s="35"/>
      <c r="E8" s="42"/>
      <c r="F8" s="35"/>
      <c r="G8" s="35"/>
      <c r="H8" s="12">
        <f t="shared" si="0"/>
        <v>44033</v>
      </c>
    </row>
    <row r="9" spans="2:11" x14ac:dyDescent="0.3">
      <c r="B9" s="6" t="s">
        <v>25</v>
      </c>
      <c r="C9" s="26">
        <v>216000</v>
      </c>
      <c r="D9" s="26">
        <v>311000</v>
      </c>
      <c r="E9" s="36">
        <v>54000</v>
      </c>
      <c r="F9" s="26"/>
      <c r="G9" s="26"/>
      <c r="H9" s="12">
        <f t="shared" si="0"/>
        <v>44033</v>
      </c>
    </row>
    <row r="10" spans="2:11" x14ac:dyDescent="0.3">
      <c r="B10" s="6" t="s">
        <v>15</v>
      </c>
      <c r="C10" s="26"/>
      <c r="D10" s="26"/>
      <c r="E10" s="36">
        <v>154000</v>
      </c>
      <c r="F10" s="36"/>
      <c r="G10" s="26"/>
      <c r="H10" s="12">
        <f t="shared" si="0"/>
        <v>44033</v>
      </c>
    </row>
    <row r="11" spans="2:11" x14ac:dyDescent="0.3">
      <c r="B11" s="6" t="s">
        <v>26</v>
      </c>
      <c r="C11" s="26">
        <v>54000</v>
      </c>
      <c r="D11" s="26"/>
      <c r="E11" s="36"/>
      <c r="F11" s="26"/>
      <c r="G11" s="26"/>
      <c r="H11" s="12">
        <f t="shared" si="0"/>
        <v>44033</v>
      </c>
    </row>
    <row r="12" spans="2:11" x14ac:dyDescent="0.3">
      <c r="B12" s="6" t="s">
        <v>22</v>
      </c>
      <c r="C12" s="23"/>
      <c r="D12" s="23"/>
      <c r="E12" s="43"/>
      <c r="F12" s="23"/>
      <c r="G12" s="23"/>
      <c r="H12" s="12">
        <f t="shared" si="0"/>
        <v>44033</v>
      </c>
      <c r="K12" s="4"/>
    </row>
    <row r="13" spans="2:11" x14ac:dyDescent="0.3">
      <c r="B13" s="6" t="s">
        <v>19</v>
      </c>
      <c r="C13" s="26">
        <v>212000</v>
      </c>
      <c r="D13" s="26">
        <v>315000</v>
      </c>
      <c r="E13" s="36"/>
      <c r="F13" s="26"/>
      <c r="G13" s="26"/>
      <c r="H13" s="12">
        <f t="shared" si="0"/>
        <v>44033</v>
      </c>
    </row>
    <row r="14" spans="2:11" x14ac:dyDescent="0.3">
      <c r="B14" s="6" t="s">
        <v>14</v>
      </c>
      <c r="C14" s="27">
        <v>324000</v>
      </c>
      <c r="D14" s="27">
        <v>633000</v>
      </c>
      <c r="E14" s="36"/>
      <c r="F14" s="40"/>
      <c r="G14" s="36"/>
      <c r="H14" s="12">
        <f t="shared" si="0"/>
        <v>44033</v>
      </c>
    </row>
    <row r="15" spans="2:11" x14ac:dyDescent="0.3">
      <c r="B15" s="6" t="s">
        <v>24</v>
      </c>
      <c r="C15" s="29"/>
      <c r="D15" s="29"/>
      <c r="E15" s="44"/>
      <c r="F15" s="29"/>
      <c r="G15" s="29"/>
      <c r="H15" s="12">
        <f t="shared" si="0"/>
        <v>44033</v>
      </c>
    </row>
    <row r="16" spans="2:11" x14ac:dyDescent="0.3">
      <c r="B16" s="6" t="s">
        <v>21</v>
      </c>
      <c r="C16" s="26"/>
      <c r="D16" s="26">
        <v>423000</v>
      </c>
      <c r="E16" s="26"/>
      <c r="F16" s="26"/>
      <c r="G16" s="26"/>
      <c r="H16" s="12">
        <f t="shared" si="0"/>
        <v>44033</v>
      </c>
    </row>
    <row r="17" spans="1:8" x14ac:dyDescent="0.3">
      <c r="B17" s="6" t="s">
        <v>18</v>
      </c>
      <c r="C17" s="26"/>
      <c r="D17" s="26"/>
      <c r="E17" s="26"/>
      <c r="F17" s="26"/>
      <c r="G17" s="26"/>
      <c r="H17" s="12">
        <f t="shared" si="0"/>
        <v>44033</v>
      </c>
    </row>
    <row r="18" spans="1:8" x14ac:dyDescent="0.3">
      <c r="B18" s="6" t="s">
        <v>16</v>
      </c>
      <c r="C18" s="26">
        <v>108000</v>
      </c>
      <c r="D18" s="26"/>
      <c r="E18" s="26">
        <v>378000</v>
      </c>
      <c r="F18" s="26"/>
      <c r="G18" s="26"/>
      <c r="H18" s="12">
        <f t="shared" si="0"/>
        <v>44033</v>
      </c>
    </row>
    <row r="19" spans="1:8" x14ac:dyDescent="0.3">
      <c r="B19" s="37" t="s">
        <v>27</v>
      </c>
      <c r="C19" s="38">
        <f>SUBTOTAL(109,July21_2020[KSI_AGO])</f>
        <v>1342000</v>
      </c>
      <c r="D19" s="38">
        <f>SUBTOTAL(109,July21_2020[KSI_PMS])</f>
        <v>1682000</v>
      </c>
      <c r="E19" s="38">
        <f>SUBTOTAL(109,July21_2020[BUIPE_AGO])</f>
        <v>1334000</v>
      </c>
      <c r="F19" s="38">
        <f>SUBTOTAL(109,July21_2020[BUIPE_PMS])</f>
        <v>0</v>
      </c>
      <c r="G19" s="38">
        <f>SUBTOTAL(109,July21_2020[AKOSOMBO_AGO])</f>
        <v>0</v>
      </c>
      <c r="H19" s="39"/>
    </row>
    <row r="20" spans="1:8" x14ac:dyDescent="0.3">
      <c r="B20" s="8"/>
      <c r="C20" s="24"/>
      <c r="D20" s="24"/>
      <c r="E20" s="24"/>
      <c r="F20" s="24"/>
      <c r="G20" s="24"/>
      <c r="H20"/>
    </row>
    <row r="21" spans="1:8" x14ac:dyDescent="0.3">
      <c r="B21" s="1" t="s">
        <v>6</v>
      </c>
      <c r="C21" s="1" t="s">
        <v>4</v>
      </c>
      <c r="D21" s="5">
        <f>SUMIF(July21_2020[[#Headers],[KSI_AGO]:[AKOSOMBO_AGO]],"*"&amp;C21,July21_2020[[#Totals],[KSI_AGO]:[AKOSOMBO_AGO]])</f>
        <v>2676000</v>
      </c>
      <c r="E21" s="1" t="s">
        <v>5</v>
      </c>
      <c r="F21" s="5">
        <f>SUMIF(July21_2020[[#Headers],[KSI_AGO]:[AKOSOMBO_AGO]],"*"&amp;E21,July21_2020[[#Totals],[KSI_AGO]:[AKOSOMBO_AGO]])</f>
        <v>1682000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A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codeName="Sheet140">
    <pageSetUpPr fitToPage="1"/>
  </sheetPr>
  <dimension ref="A1:K31"/>
  <sheetViews>
    <sheetView zoomScaleNormal="100" workbookViewId="0">
      <pane xSplit="2" ySplit="5" topLeftCell="C6" activePane="bottomRight" state="frozen"/>
      <selection pane="topRight" activeCell="C1" sqref="C1"/>
      <selection pane="bottomLeft" activeCell="A6" sqref="A6"/>
      <selection pane="bottomRight" activeCell="D9" sqref="D9"/>
    </sheetView>
  </sheetViews>
  <sheetFormatPr defaultColWidth="9.109375" defaultRowHeight="14.4" x14ac:dyDescent="0.3"/>
  <cols>
    <col min="1" max="1" width="6.88671875" style="1" customWidth="1"/>
    <col min="2" max="2" width="18" style="1" customWidth="1"/>
    <col min="3" max="3" width="15.33203125" style="1" customWidth="1"/>
    <col min="4" max="4" width="18.6640625" style="1" customWidth="1"/>
    <col min="5" max="5" width="18.44140625" style="1" bestFit="1" customWidth="1"/>
    <col min="6" max="6" width="18.109375" style="1" customWidth="1"/>
    <col min="7" max="7" width="25.8867187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44034</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44034</v>
      </c>
    </row>
    <row r="7" spans="2:11" x14ac:dyDescent="0.3">
      <c r="B7" s="6" t="s">
        <v>17</v>
      </c>
      <c r="C7" s="26">
        <v>54000</v>
      </c>
      <c r="D7" s="26"/>
      <c r="E7" s="36">
        <v>473000</v>
      </c>
      <c r="F7" s="26"/>
      <c r="G7" s="26"/>
      <c r="H7" s="12">
        <f t="shared" si="0"/>
        <v>44034</v>
      </c>
    </row>
    <row r="8" spans="2:11" ht="15.6" x14ac:dyDescent="0.3">
      <c r="B8" s="34" t="s">
        <v>0</v>
      </c>
      <c r="C8" s="35">
        <v>162000</v>
      </c>
      <c r="D8" s="35"/>
      <c r="E8" s="42"/>
      <c r="F8" s="35"/>
      <c r="G8" s="35"/>
      <c r="H8" s="12">
        <f t="shared" si="0"/>
        <v>44034</v>
      </c>
    </row>
    <row r="9" spans="2:11" x14ac:dyDescent="0.3">
      <c r="B9" s="6" t="s">
        <v>25</v>
      </c>
      <c r="C9" s="26">
        <v>324000</v>
      </c>
      <c r="D9" s="26">
        <v>108000</v>
      </c>
      <c r="E9" s="36">
        <v>424000</v>
      </c>
      <c r="F9" s="26"/>
      <c r="G9" s="26"/>
      <c r="H9" s="12">
        <f t="shared" si="0"/>
        <v>44034</v>
      </c>
    </row>
    <row r="10" spans="2:11" x14ac:dyDescent="0.3">
      <c r="B10" s="6" t="s">
        <v>15</v>
      </c>
      <c r="C10" s="26"/>
      <c r="D10" s="26"/>
      <c r="E10" s="36"/>
      <c r="F10" s="36"/>
      <c r="G10" s="26"/>
      <c r="H10" s="12">
        <f t="shared" si="0"/>
        <v>44034</v>
      </c>
    </row>
    <row r="11" spans="2:11" x14ac:dyDescent="0.3">
      <c r="B11" s="6" t="s">
        <v>26</v>
      </c>
      <c r="C11" s="26"/>
      <c r="D11" s="26"/>
      <c r="E11" s="36"/>
      <c r="F11" s="26"/>
      <c r="G11" s="26"/>
      <c r="H11" s="12">
        <f t="shared" si="0"/>
        <v>44034</v>
      </c>
    </row>
    <row r="12" spans="2:11" x14ac:dyDescent="0.3">
      <c r="B12" s="6" t="s">
        <v>22</v>
      </c>
      <c r="C12" s="23"/>
      <c r="D12" s="23">
        <v>184500</v>
      </c>
      <c r="E12" s="43"/>
      <c r="F12" s="23"/>
      <c r="G12" s="23"/>
      <c r="H12" s="12">
        <f t="shared" si="0"/>
        <v>44034</v>
      </c>
      <c r="K12" s="4"/>
    </row>
    <row r="13" spans="2:11" x14ac:dyDescent="0.3">
      <c r="B13" s="6" t="s">
        <v>19</v>
      </c>
      <c r="C13" s="26">
        <v>204500</v>
      </c>
      <c r="D13" s="26"/>
      <c r="E13" s="36"/>
      <c r="F13" s="26"/>
      <c r="G13" s="26"/>
      <c r="H13" s="12">
        <f t="shared" si="0"/>
        <v>44034</v>
      </c>
    </row>
    <row r="14" spans="2:11" x14ac:dyDescent="0.3">
      <c r="B14" s="6" t="s">
        <v>14</v>
      </c>
      <c r="C14" s="27">
        <v>212000</v>
      </c>
      <c r="D14" s="27">
        <v>526500</v>
      </c>
      <c r="E14" s="36"/>
      <c r="F14" s="40"/>
      <c r="G14" s="36"/>
      <c r="H14" s="12">
        <f t="shared" si="0"/>
        <v>44034</v>
      </c>
    </row>
    <row r="15" spans="2:11" x14ac:dyDescent="0.3">
      <c r="B15" s="6" t="s">
        <v>24</v>
      </c>
      <c r="C15" s="29"/>
      <c r="D15" s="29"/>
      <c r="E15" s="44"/>
      <c r="F15" s="29"/>
      <c r="G15" s="29"/>
      <c r="H15" s="12">
        <f t="shared" si="0"/>
        <v>44034</v>
      </c>
    </row>
    <row r="16" spans="2:11" x14ac:dyDescent="0.3">
      <c r="B16" s="6" t="s">
        <v>21</v>
      </c>
      <c r="C16" s="26"/>
      <c r="D16" s="26">
        <v>486000</v>
      </c>
      <c r="E16" s="26"/>
      <c r="F16" s="26"/>
      <c r="G16" s="26"/>
      <c r="H16" s="12">
        <f t="shared" si="0"/>
        <v>44034</v>
      </c>
    </row>
    <row r="17" spans="1:8" x14ac:dyDescent="0.3">
      <c r="B17" s="6" t="s">
        <v>18</v>
      </c>
      <c r="C17" s="26"/>
      <c r="D17" s="26"/>
      <c r="E17" s="26"/>
      <c r="F17" s="26"/>
      <c r="G17" s="26"/>
      <c r="H17" s="12">
        <f t="shared" si="0"/>
        <v>44034</v>
      </c>
    </row>
    <row r="18" spans="1:8" x14ac:dyDescent="0.3">
      <c r="B18" s="6" t="s">
        <v>16</v>
      </c>
      <c r="C18" s="26">
        <v>49500</v>
      </c>
      <c r="D18" s="26"/>
      <c r="E18" s="26">
        <v>378000</v>
      </c>
      <c r="F18" s="26"/>
      <c r="G18" s="26"/>
      <c r="H18" s="12">
        <f t="shared" si="0"/>
        <v>44034</v>
      </c>
    </row>
    <row r="19" spans="1:8" x14ac:dyDescent="0.3">
      <c r="B19" s="37" t="s">
        <v>27</v>
      </c>
      <c r="C19" s="38">
        <f>SUBTOTAL(109,July22_2020[KSI_AGO])</f>
        <v>1006000</v>
      </c>
      <c r="D19" s="38">
        <f>SUBTOTAL(109,July22_2020[KSI_PMS])</f>
        <v>1305000</v>
      </c>
      <c r="E19" s="38">
        <f>SUBTOTAL(109,July22_2020[BUIPE_AGO])</f>
        <v>1275000</v>
      </c>
      <c r="F19" s="38">
        <f>SUBTOTAL(109,July22_2020[BUIPE_PMS])</f>
        <v>0</v>
      </c>
      <c r="G19" s="38">
        <f>SUBTOTAL(109,July22_2020[AKOSOMBO_AGO])</f>
        <v>0</v>
      </c>
      <c r="H19" s="39"/>
    </row>
    <row r="20" spans="1:8" x14ac:dyDescent="0.3">
      <c r="B20" s="8"/>
      <c r="C20" s="24"/>
      <c r="D20" s="24"/>
      <c r="E20" s="24"/>
      <c r="F20" s="24"/>
      <c r="G20" s="24"/>
      <c r="H20"/>
    </row>
    <row r="21" spans="1:8" x14ac:dyDescent="0.3">
      <c r="B21" s="1" t="s">
        <v>6</v>
      </c>
      <c r="C21" s="1" t="s">
        <v>4</v>
      </c>
      <c r="D21" s="5">
        <f>SUMIF(July22_2020[[#Headers],[KSI_AGO]:[AKOSOMBO_AGO]],"*"&amp;C21,July22_2020[[#Totals],[KSI_AGO]:[AKOSOMBO_AGO]])</f>
        <v>2281000</v>
      </c>
      <c r="E21" s="1" t="s">
        <v>5</v>
      </c>
      <c r="F21" s="5">
        <f>SUMIF(July22_2020[[#Headers],[KSI_AGO]:[AKOSOMBO_AGO]],"*"&amp;E21,July22_2020[[#Totals],[KSI_AGO]:[AKOSOMBO_AGO]])</f>
        <v>1305000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B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codeName="Sheet141">
    <pageSetUpPr fitToPage="1"/>
  </sheetPr>
  <dimension ref="A1:K31"/>
  <sheetViews>
    <sheetView zoomScale="85" zoomScaleNormal="85" workbookViewId="0">
      <pane xSplit="2" ySplit="5" topLeftCell="C6" activePane="bottomRight" state="frozen"/>
      <selection activeCell="G23" sqref="G23"/>
      <selection pane="topRight" activeCell="G23" sqref="G23"/>
      <selection pane="bottomLeft" activeCell="G23" sqref="G23"/>
      <selection pane="bottomRight" activeCell="F11" sqref="F11"/>
    </sheetView>
  </sheetViews>
  <sheetFormatPr defaultColWidth="9.109375" defaultRowHeight="14.4" x14ac:dyDescent="0.3"/>
  <cols>
    <col min="1" max="1" width="6.88671875" style="1" customWidth="1"/>
    <col min="2" max="2" width="18" style="1" customWidth="1"/>
    <col min="3" max="3" width="15.33203125" style="1" customWidth="1"/>
    <col min="4" max="4" width="18.6640625" style="1" customWidth="1"/>
    <col min="5" max="5" width="18.44140625" style="1" bestFit="1" customWidth="1"/>
    <col min="6" max="6" width="18.109375" style="1" customWidth="1"/>
    <col min="7" max="7" width="25.8867187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44035</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44035</v>
      </c>
    </row>
    <row r="7" spans="2:11" x14ac:dyDescent="0.3">
      <c r="B7" s="6" t="s">
        <v>17</v>
      </c>
      <c r="C7" s="26">
        <v>45000</v>
      </c>
      <c r="D7" s="26"/>
      <c r="E7" s="36">
        <v>532000</v>
      </c>
      <c r="F7" s="26"/>
      <c r="G7" s="26"/>
      <c r="H7" s="12">
        <f t="shared" si="0"/>
        <v>44035</v>
      </c>
    </row>
    <row r="8" spans="2:11" ht="15.6" x14ac:dyDescent="0.3">
      <c r="B8" s="34" t="s">
        <v>0</v>
      </c>
      <c r="C8" s="35">
        <v>324000</v>
      </c>
      <c r="D8" s="35"/>
      <c r="E8" s="42"/>
      <c r="F8" s="35"/>
      <c r="G8" s="35"/>
      <c r="H8" s="12">
        <f t="shared" si="0"/>
        <v>44035</v>
      </c>
    </row>
    <row r="9" spans="2:11" x14ac:dyDescent="0.3">
      <c r="B9" s="6" t="s">
        <v>25</v>
      </c>
      <c r="C9" s="26">
        <v>45000</v>
      </c>
      <c r="D9" s="26"/>
      <c r="E9" s="36">
        <v>216000</v>
      </c>
      <c r="F9" s="26"/>
      <c r="G9" s="26"/>
      <c r="H9" s="12">
        <f t="shared" si="0"/>
        <v>44035</v>
      </c>
    </row>
    <row r="10" spans="2:11" x14ac:dyDescent="0.3">
      <c r="B10" s="6" t="s">
        <v>15</v>
      </c>
      <c r="C10" s="26"/>
      <c r="D10" s="26"/>
      <c r="E10" s="36"/>
      <c r="F10" s="36"/>
      <c r="G10" s="26"/>
      <c r="H10" s="12">
        <f t="shared" si="0"/>
        <v>44035</v>
      </c>
    </row>
    <row r="11" spans="2:11" x14ac:dyDescent="0.3">
      <c r="B11" s="6" t="s">
        <v>26</v>
      </c>
      <c r="C11" s="26"/>
      <c r="D11" s="26"/>
      <c r="E11" s="36"/>
      <c r="F11" s="26"/>
      <c r="G11" s="26"/>
      <c r="H11" s="12">
        <f t="shared" si="0"/>
        <v>44035</v>
      </c>
    </row>
    <row r="12" spans="2:11" x14ac:dyDescent="0.3">
      <c r="B12" s="6" t="s">
        <v>22</v>
      </c>
      <c r="C12" s="23"/>
      <c r="D12" s="23"/>
      <c r="E12" s="43"/>
      <c r="F12" s="23"/>
      <c r="G12" s="23"/>
      <c r="H12" s="12">
        <f t="shared" si="0"/>
        <v>44035</v>
      </c>
      <c r="K12" s="4"/>
    </row>
    <row r="13" spans="2:11" x14ac:dyDescent="0.3">
      <c r="B13" s="6" t="s">
        <v>19</v>
      </c>
      <c r="C13" s="26"/>
      <c r="D13" s="26"/>
      <c r="E13" s="36"/>
      <c r="F13" s="26"/>
      <c r="G13" s="26"/>
      <c r="H13" s="12">
        <f t="shared" si="0"/>
        <v>44035</v>
      </c>
    </row>
    <row r="14" spans="2:11" x14ac:dyDescent="0.3">
      <c r="B14" s="6" t="s">
        <v>14</v>
      </c>
      <c r="C14" s="27"/>
      <c r="D14" s="27"/>
      <c r="E14" s="36">
        <v>208000</v>
      </c>
      <c r="F14" s="40"/>
      <c r="G14" s="36"/>
      <c r="H14" s="12">
        <f t="shared" si="0"/>
        <v>44035</v>
      </c>
    </row>
    <row r="15" spans="2:11" x14ac:dyDescent="0.3">
      <c r="B15" s="6" t="s">
        <v>24</v>
      </c>
      <c r="C15" s="29"/>
      <c r="D15" s="29"/>
      <c r="E15" s="44"/>
      <c r="F15" s="29"/>
      <c r="G15" s="29"/>
      <c r="H15" s="12">
        <f t="shared" si="0"/>
        <v>44035</v>
      </c>
    </row>
    <row r="16" spans="2:11" x14ac:dyDescent="0.3">
      <c r="B16" s="6" t="s">
        <v>21</v>
      </c>
      <c r="C16" s="26"/>
      <c r="D16" s="26"/>
      <c r="E16" s="26"/>
      <c r="F16" s="26"/>
      <c r="G16" s="26"/>
      <c r="H16" s="12">
        <f t="shared" si="0"/>
        <v>44035</v>
      </c>
    </row>
    <row r="17" spans="1:8" x14ac:dyDescent="0.3">
      <c r="B17" s="6" t="s">
        <v>18</v>
      </c>
      <c r="C17" s="26"/>
      <c r="D17" s="26"/>
      <c r="E17" s="26"/>
      <c r="F17" s="26"/>
      <c r="G17" s="26"/>
      <c r="H17" s="12">
        <f t="shared" si="0"/>
        <v>44035</v>
      </c>
    </row>
    <row r="18" spans="1:8" x14ac:dyDescent="0.3">
      <c r="B18" s="6" t="s">
        <v>16</v>
      </c>
      <c r="C18" s="26"/>
      <c r="D18" s="26"/>
      <c r="E18" s="26"/>
      <c r="F18" s="26"/>
      <c r="G18" s="26"/>
      <c r="H18" s="12">
        <f t="shared" si="0"/>
        <v>44035</v>
      </c>
    </row>
    <row r="19" spans="1:8" x14ac:dyDescent="0.3">
      <c r="B19" s="37" t="s">
        <v>27</v>
      </c>
      <c r="C19" s="38">
        <f>SUBTOTAL(109,July23_2020[KSI_AGO])</f>
        <v>414000</v>
      </c>
      <c r="D19" s="38">
        <f>SUBTOTAL(109,July23_2020[KSI_PMS])</f>
        <v>0</v>
      </c>
      <c r="E19" s="38">
        <f>SUBTOTAL(109,July23_2020[BUIPE_AGO])</f>
        <v>956000</v>
      </c>
      <c r="F19" s="38">
        <f>SUBTOTAL(109,July23_2020[BUIPE_PMS])</f>
        <v>0</v>
      </c>
      <c r="G19" s="38">
        <f>SUBTOTAL(109,July23_2020[AKOSOMBO_AGO])</f>
        <v>0</v>
      </c>
      <c r="H19" s="39"/>
    </row>
    <row r="20" spans="1:8" x14ac:dyDescent="0.3">
      <c r="B20" s="8"/>
      <c r="C20" s="24"/>
      <c r="D20" s="24"/>
      <c r="E20" s="24"/>
      <c r="F20" s="24"/>
      <c r="G20" s="24"/>
      <c r="H20"/>
    </row>
    <row r="21" spans="1:8" x14ac:dyDescent="0.3">
      <c r="B21" s="1" t="s">
        <v>6</v>
      </c>
      <c r="C21" s="1" t="s">
        <v>4</v>
      </c>
      <c r="D21" s="5">
        <f>SUMIF(July23_2020[[#Headers],[KSI_AGO]:[AKOSOMBO_AGO]],"*"&amp;C21,July23_2020[[#Totals],[KSI_AGO]:[AKOSOMBO_AGO]])</f>
        <v>1370000</v>
      </c>
      <c r="E21" s="1" t="s">
        <v>5</v>
      </c>
      <c r="F21" s="5">
        <f>SUMIF(July23_2020[[#Headers],[KSI_AGO]:[AKOSOMBO_AGO]],"*"&amp;E21,July23_2020[[#Totals],[KSI_AGO]:[AKOSOMBO_AGO]])</f>
        <v>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C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codeName="Sheet142">
    <pageSetUpPr fitToPage="1"/>
  </sheetPr>
  <dimension ref="A1:K31"/>
  <sheetViews>
    <sheetView zoomScaleNormal="100" workbookViewId="0">
      <pane xSplit="2" ySplit="5" topLeftCell="C6" activePane="bottomRight" state="frozen"/>
      <selection activeCell="G23" sqref="G23"/>
      <selection pane="topRight" activeCell="G23" sqref="G23"/>
      <selection pane="bottomLeft" activeCell="G23" sqref="G23"/>
      <selection pane="bottomRight" activeCell="G12" sqref="G12"/>
    </sheetView>
  </sheetViews>
  <sheetFormatPr defaultColWidth="9.109375" defaultRowHeight="14.4" x14ac:dyDescent="0.3"/>
  <cols>
    <col min="1" max="1" width="6.88671875" style="1" customWidth="1"/>
    <col min="2" max="2" width="18" style="1" customWidth="1"/>
    <col min="3" max="3" width="15.33203125" style="1" customWidth="1"/>
    <col min="4" max="4" width="18.6640625" style="1" customWidth="1"/>
    <col min="5" max="5" width="18.44140625" style="1" bestFit="1" customWidth="1"/>
    <col min="6" max="6" width="18.109375" style="1" customWidth="1"/>
    <col min="7" max="7" width="25.8867187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44036</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44036</v>
      </c>
    </row>
    <row r="7" spans="2:11" x14ac:dyDescent="0.3">
      <c r="B7" s="6" t="s">
        <v>17</v>
      </c>
      <c r="C7" s="26">
        <v>162000</v>
      </c>
      <c r="D7" s="26">
        <v>47000</v>
      </c>
      <c r="E7" s="36">
        <v>270000</v>
      </c>
      <c r="F7" s="26"/>
      <c r="G7" s="26"/>
      <c r="H7" s="12">
        <f t="shared" si="0"/>
        <v>44036</v>
      </c>
    </row>
    <row r="8" spans="2:11" ht="15.6" x14ac:dyDescent="0.3">
      <c r="B8" s="34" t="s">
        <v>0</v>
      </c>
      <c r="C8" s="35">
        <v>162000</v>
      </c>
      <c r="D8" s="35"/>
      <c r="E8" s="42">
        <v>45000</v>
      </c>
      <c r="F8" s="35"/>
      <c r="G8" s="35"/>
      <c r="H8" s="12">
        <f t="shared" si="0"/>
        <v>44036</v>
      </c>
    </row>
    <row r="9" spans="2:11" x14ac:dyDescent="0.3">
      <c r="B9" s="6" t="s">
        <v>25</v>
      </c>
      <c r="C9" s="26">
        <v>153000</v>
      </c>
      <c r="D9" s="26"/>
      <c r="E9" s="36"/>
      <c r="F9" s="26">
        <v>162000</v>
      </c>
      <c r="G9" s="26"/>
      <c r="H9" s="12">
        <f t="shared" si="0"/>
        <v>44036</v>
      </c>
    </row>
    <row r="10" spans="2:11" x14ac:dyDescent="0.3">
      <c r="B10" s="6" t="s">
        <v>15</v>
      </c>
      <c r="C10" s="26"/>
      <c r="D10" s="26"/>
      <c r="E10" s="36"/>
      <c r="F10" s="36"/>
      <c r="G10" s="26"/>
      <c r="H10" s="12">
        <f t="shared" si="0"/>
        <v>44036</v>
      </c>
    </row>
    <row r="11" spans="2:11" x14ac:dyDescent="0.3">
      <c r="B11" s="6" t="s">
        <v>26</v>
      </c>
      <c r="C11" s="26"/>
      <c r="D11" s="26">
        <v>50000</v>
      </c>
      <c r="E11" s="36"/>
      <c r="F11" s="26"/>
      <c r="G11" s="26"/>
      <c r="H11" s="12">
        <f t="shared" si="0"/>
        <v>44036</v>
      </c>
    </row>
    <row r="12" spans="2:11" x14ac:dyDescent="0.3">
      <c r="B12" s="6" t="s">
        <v>22</v>
      </c>
      <c r="C12" s="23"/>
      <c r="D12" s="23"/>
      <c r="E12" s="43"/>
      <c r="F12" s="23"/>
      <c r="G12" s="23"/>
      <c r="H12" s="12">
        <f t="shared" si="0"/>
        <v>44036</v>
      </c>
      <c r="K12" s="4"/>
    </row>
    <row r="13" spans="2:11" x14ac:dyDescent="0.3">
      <c r="B13" s="6" t="s">
        <v>19</v>
      </c>
      <c r="C13" s="26">
        <v>108000</v>
      </c>
      <c r="D13" s="26">
        <v>360000</v>
      </c>
      <c r="E13" s="36">
        <v>324000</v>
      </c>
      <c r="F13" s="26"/>
      <c r="G13" s="26"/>
      <c r="H13" s="12">
        <f t="shared" si="0"/>
        <v>44036</v>
      </c>
    </row>
    <row r="14" spans="2:11" x14ac:dyDescent="0.3">
      <c r="B14" s="6" t="s">
        <v>14</v>
      </c>
      <c r="C14" s="27">
        <v>216000</v>
      </c>
      <c r="D14" s="27">
        <v>486000</v>
      </c>
      <c r="E14" s="36">
        <v>216000</v>
      </c>
      <c r="F14" s="40"/>
      <c r="G14" s="36"/>
      <c r="H14" s="12">
        <f t="shared" si="0"/>
        <v>44036</v>
      </c>
    </row>
    <row r="15" spans="2:11" x14ac:dyDescent="0.3">
      <c r="B15" s="6" t="s">
        <v>24</v>
      </c>
      <c r="C15" s="29">
        <v>216000</v>
      </c>
      <c r="D15" s="29"/>
      <c r="E15" s="44"/>
      <c r="F15" s="29"/>
      <c r="G15" s="29"/>
      <c r="H15" s="12">
        <f t="shared" si="0"/>
        <v>44036</v>
      </c>
    </row>
    <row r="16" spans="2:11" x14ac:dyDescent="0.3">
      <c r="B16" s="6" t="s">
        <v>21</v>
      </c>
      <c r="C16" s="26"/>
      <c r="D16" s="26">
        <v>324000</v>
      </c>
      <c r="E16" s="26"/>
      <c r="F16" s="26">
        <v>324000</v>
      </c>
      <c r="G16" s="26"/>
      <c r="H16" s="12">
        <f t="shared" si="0"/>
        <v>44036</v>
      </c>
    </row>
    <row r="17" spans="1:8" x14ac:dyDescent="0.3">
      <c r="B17" s="6" t="s">
        <v>18</v>
      </c>
      <c r="C17" s="26"/>
      <c r="D17" s="26"/>
      <c r="E17" s="26"/>
      <c r="F17" s="26"/>
      <c r="G17" s="26"/>
      <c r="H17" s="12">
        <f t="shared" si="0"/>
        <v>44036</v>
      </c>
    </row>
    <row r="18" spans="1:8" x14ac:dyDescent="0.3">
      <c r="B18" s="6" t="s">
        <v>16</v>
      </c>
      <c r="C18" s="26">
        <v>104000</v>
      </c>
      <c r="D18" s="26"/>
      <c r="E18" s="26"/>
      <c r="F18" s="26"/>
      <c r="G18" s="26"/>
      <c r="H18" s="12">
        <f t="shared" si="0"/>
        <v>44036</v>
      </c>
    </row>
    <row r="19" spans="1:8" x14ac:dyDescent="0.3">
      <c r="B19" s="37" t="s">
        <v>27</v>
      </c>
      <c r="C19" s="38">
        <f>SUBTOTAL(109,July24_2020[KSI_AGO])</f>
        <v>1121000</v>
      </c>
      <c r="D19" s="38">
        <f>SUBTOTAL(109,July24_2020[KSI_PMS])</f>
        <v>1267000</v>
      </c>
      <c r="E19" s="38">
        <f>SUBTOTAL(109,July24_2020[BUIPE_AGO])</f>
        <v>855000</v>
      </c>
      <c r="F19" s="38">
        <f>SUBTOTAL(109,July24_2020[BUIPE_PMS])</f>
        <v>486000</v>
      </c>
      <c r="G19" s="38">
        <f>SUBTOTAL(109,July24_2020[AKOSOMBO_AGO])</f>
        <v>0</v>
      </c>
      <c r="H19" s="39"/>
    </row>
    <row r="20" spans="1:8" x14ac:dyDescent="0.3">
      <c r="B20" s="8"/>
      <c r="C20" s="24"/>
      <c r="D20" s="24"/>
      <c r="E20" s="24"/>
      <c r="F20" s="24"/>
      <c r="G20" s="24"/>
      <c r="H20"/>
    </row>
    <row r="21" spans="1:8" x14ac:dyDescent="0.3">
      <c r="B21" s="1" t="s">
        <v>6</v>
      </c>
      <c r="C21" s="1" t="s">
        <v>4</v>
      </c>
      <c r="D21" s="5">
        <f>SUMIF(July24_2020[[#Headers],[KSI_AGO]:[AKOSOMBO_AGO]],"*"&amp;C21,July24_2020[[#Totals],[KSI_AGO]:[AKOSOMBO_AGO]])</f>
        <v>1976000</v>
      </c>
      <c r="E21" s="1" t="s">
        <v>5</v>
      </c>
      <c r="F21" s="5">
        <f>SUMIF(July24_2020[[#Headers],[KSI_AGO]:[AKOSOMBO_AGO]],"*"&amp;E21,July24_2020[[#Totals],[KSI_AGO]:[AKOSOMBO_AGO]])</f>
        <v>1753000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D00-000000000000}">
      <formula1>INDIRECT("BDC_List[BDC List]")</formula1>
    </dataValidation>
  </dataValidations>
  <pageMargins left="0.7" right="0.7" top="0.75" bottom="0.75" header="0.3" footer="0.3"/>
  <pageSetup scale="79" fitToHeight="0" orientation="landscape" r:id="rId1"/>
  <tableParts count="1">
    <tablePart r:id="rId2"/>
  </tableParts>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codeName="Sheet143"/>
  <dimension ref="A1:K31"/>
  <sheetViews>
    <sheetView workbookViewId="0">
      <selection activeCell="E13" sqref="E13"/>
    </sheetView>
  </sheetViews>
  <sheetFormatPr defaultColWidth="9.109375" defaultRowHeight="14.4" x14ac:dyDescent="0.3"/>
  <cols>
    <col min="1" max="1" width="6.88671875" style="1" customWidth="1"/>
    <col min="2" max="2" width="18" style="1" customWidth="1"/>
    <col min="3" max="3" width="15.33203125" style="1" customWidth="1"/>
    <col min="4" max="4" width="18.6640625" style="1" customWidth="1"/>
    <col min="5" max="5" width="18.44140625" style="1" bestFit="1" customWidth="1"/>
    <col min="6" max="6" width="18.109375" style="1" customWidth="1"/>
    <col min="7" max="7" width="25.8867187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44037</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44037</v>
      </c>
    </row>
    <row r="7" spans="2:11" x14ac:dyDescent="0.3">
      <c r="B7" s="6" t="s">
        <v>17</v>
      </c>
      <c r="C7" s="26">
        <v>208000</v>
      </c>
      <c r="D7" s="26">
        <v>45000</v>
      </c>
      <c r="E7" s="36">
        <v>320000</v>
      </c>
      <c r="F7" s="26"/>
      <c r="G7" s="26"/>
      <c r="H7" s="12">
        <f t="shared" si="0"/>
        <v>44037</v>
      </c>
    </row>
    <row r="8" spans="2:11" ht="15.6" x14ac:dyDescent="0.3">
      <c r="B8" s="34" t="s">
        <v>0</v>
      </c>
      <c r="C8" s="35">
        <v>162000</v>
      </c>
      <c r="D8" s="35"/>
      <c r="E8" s="42"/>
      <c r="F8" s="35">
        <v>50000</v>
      </c>
      <c r="G8" s="35"/>
      <c r="H8" s="12">
        <f t="shared" si="0"/>
        <v>44037</v>
      </c>
    </row>
    <row r="9" spans="2:11" x14ac:dyDescent="0.3">
      <c r="B9" s="6" t="s">
        <v>25</v>
      </c>
      <c r="C9" s="26">
        <v>45000</v>
      </c>
      <c r="D9" s="26">
        <v>377500</v>
      </c>
      <c r="E9" s="36"/>
      <c r="F9" s="26"/>
      <c r="G9" s="26"/>
      <c r="H9" s="12">
        <f t="shared" si="0"/>
        <v>44037</v>
      </c>
    </row>
    <row r="10" spans="2:11" x14ac:dyDescent="0.3">
      <c r="B10" s="6" t="s">
        <v>15</v>
      </c>
      <c r="C10" s="26"/>
      <c r="D10" s="26"/>
      <c r="E10" s="41">
        <v>47000</v>
      </c>
      <c r="F10" s="36"/>
      <c r="G10" s="26"/>
      <c r="H10" s="12">
        <f t="shared" si="0"/>
        <v>44037</v>
      </c>
    </row>
    <row r="11" spans="2:11" x14ac:dyDescent="0.3">
      <c r="B11" s="6" t="s">
        <v>26</v>
      </c>
      <c r="C11" s="26">
        <v>54000</v>
      </c>
      <c r="D11" s="26"/>
      <c r="E11" s="36">
        <v>54000</v>
      </c>
      <c r="F11" s="26"/>
      <c r="G11" s="26"/>
      <c r="H11" s="12">
        <f t="shared" si="0"/>
        <v>44037</v>
      </c>
    </row>
    <row r="12" spans="2:11" x14ac:dyDescent="0.3">
      <c r="B12" s="6" t="s">
        <v>22</v>
      </c>
      <c r="C12" s="23"/>
      <c r="D12" s="23">
        <v>314000</v>
      </c>
      <c r="E12" s="43"/>
      <c r="F12" s="23"/>
      <c r="G12" s="23"/>
      <c r="H12" s="12">
        <f t="shared" si="0"/>
        <v>44037</v>
      </c>
      <c r="K12" s="4"/>
    </row>
    <row r="13" spans="2:11" x14ac:dyDescent="0.3">
      <c r="B13" s="6" t="s">
        <v>19</v>
      </c>
      <c r="C13" s="26">
        <v>54000</v>
      </c>
      <c r="D13" s="26">
        <v>269000</v>
      </c>
      <c r="E13" s="36">
        <v>378000</v>
      </c>
      <c r="F13" s="26"/>
      <c r="G13" s="26"/>
      <c r="H13" s="12">
        <f t="shared" si="0"/>
        <v>44037</v>
      </c>
    </row>
    <row r="14" spans="2:11" x14ac:dyDescent="0.3">
      <c r="B14" s="6" t="s">
        <v>14</v>
      </c>
      <c r="C14" s="27">
        <v>485500</v>
      </c>
      <c r="D14" s="27">
        <v>216000</v>
      </c>
      <c r="E14" s="41">
        <v>320000</v>
      </c>
      <c r="F14" s="40">
        <v>50000</v>
      </c>
      <c r="G14" s="36"/>
      <c r="H14" s="12">
        <f t="shared" si="0"/>
        <v>44037</v>
      </c>
    </row>
    <row r="15" spans="2:11" x14ac:dyDescent="0.3">
      <c r="B15" s="6" t="s">
        <v>24</v>
      </c>
      <c r="C15" s="29"/>
      <c r="D15" s="29"/>
      <c r="E15" s="44"/>
      <c r="F15" s="29"/>
      <c r="G15" s="29"/>
      <c r="H15" s="12">
        <f t="shared" si="0"/>
        <v>44037</v>
      </c>
    </row>
    <row r="16" spans="2:11" x14ac:dyDescent="0.3">
      <c r="B16" s="6" t="s">
        <v>21</v>
      </c>
      <c r="C16" s="26"/>
      <c r="D16" s="26">
        <v>54000</v>
      </c>
      <c r="E16" s="26"/>
      <c r="F16" s="26"/>
      <c r="G16" s="26"/>
      <c r="H16" s="12">
        <f t="shared" si="0"/>
        <v>44037</v>
      </c>
    </row>
    <row r="17" spans="1:8" x14ac:dyDescent="0.3">
      <c r="B17" s="6" t="s">
        <v>18</v>
      </c>
      <c r="C17" s="26">
        <v>158000</v>
      </c>
      <c r="D17" s="26"/>
      <c r="E17" s="26">
        <v>216000</v>
      </c>
      <c r="F17" s="26"/>
      <c r="G17" s="26"/>
      <c r="H17" s="12">
        <f t="shared" si="0"/>
        <v>44037</v>
      </c>
    </row>
    <row r="18" spans="1:8" x14ac:dyDescent="0.3">
      <c r="B18" s="6" t="s">
        <v>16</v>
      </c>
      <c r="C18" s="26">
        <v>154000</v>
      </c>
      <c r="D18" s="26"/>
      <c r="E18" s="26">
        <v>270000</v>
      </c>
      <c r="F18" s="26"/>
      <c r="G18" s="26"/>
      <c r="H18" s="12">
        <f t="shared" si="0"/>
        <v>44037</v>
      </c>
    </row>
    <row r="19" spans="1:8" x14ac:dyDescent="0.3">
      <c r="B19" s="37" t="s">
        <v>27</v>
      </c>
      <c r="C19" s="38">
        <f>SUBTOTAL(109,July25_2020[KSI_AGO])</f>
        <v>1320500</v>
      </c>
      <c r="D19" s="38">
        <f>SUBTOTAL(109,July25_2020[KSI_PMS])</f>
        <v>1275500</v>
      </c>
      <c r="E19" s="38">
        <f>SUBTOTAL(109,July25_2020[BUIPE_AGO])</f>
        <v>1605000</v>
      </c>
      <c r="F19" s="51">
        <f>SUBTOTAL(109,July25_2020[BUIPE_PMS])</f>
        <v>100000</v>
      </c>
      <c r="G19" s="38">
        <f>SUBTOTAL(109,July25_2020[AKOSOMBO_AGO])</f>
        <v>0</v>
      </c>
      <c r="H19" s="39"/>
    </row>
    <row r="20" spans="1:8" x14ac:dyDescent="0.3">
      <c r="B20" s="8"/>
      <c r="C20" s="24"/>
      <c r="D20" s="24"/>
      <c r="E20" s="24"/>
      <c r="F20" s="24"/>
      <c r="G20" s="24"/>
      <c r="H20"/>
    </row>
    <row r="21" spans="1:8" x14ac:dyDescent="0.3">
      <c r="B21" s="1" t="s">
        <v>6</v>
      </c>
      <c r="C21" s="1" t="s">
        <v>4</v>
      </c>
      <c r="D21" s="5">
        <f>SUMIF(July25_2020[[#Headers],[KSI_AGO]:[AKOSOMBO_AGO]],"*"&amp;C21,July25_2020[[#Totals],[KSI_AGO]:[AKOSOMBO_AGO]])</f>
        <v>2925500</v>
      </c>
      <c r="E21" s="1" t="s">
        <v>5</v>
      </c>
      <c r="F21" s="5">
        <f>SUMIF(July25_2020[[#Headers],[KSI_AGO]:[AKOSOMBO_AGO]],"*"&amp;E21,July25_2020[[#Totals],[KSI_AGO]:[AKOSOMBO_AGO]])</f>
        <v>1375500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E00-000000000000}">
      <formula1>INDIRECT("BDC_List[BDC List]")</formula1>
    </dataValidation>
  </dataValidations>
  <pageMargins left="0.7" right="0.7" top="0.75" bottom="0.75" header="0.3" footer="0.3"/>
  <legacyDrawing r:id="rId1"/>
  <tableParts count="1">
    <tablePart r:id="rId2"/>
  </tableParts>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codeName="Sheet144"/>
  <dimension ref="A1:K31"/>
  <sheetViews>
    <sheetView workbookViewId="0">
      <selection activeCell="C15" sqref="C15"/>
    </sheetView>
  </sheetViews>
  <sheetFormatPr defaultColWidth="9.109375" defaultRowHeight="14.4" x14ac:dyDescent="0.3"/>
  <cols>
    <col min="1" max="1" width="6.88671875" style="1" customWidth="1"/>
    <col min="2" max="2" width="18" style="1" customWidth="1"/>
    <col min="3" max="3" width="18.44140625" style="1" customWidth="1"/>
    <col min="4" max="4" width="18.6640625" style="1" customWidth="1"/>
    <col min="5" max="5" width="18.44140625" style="1" bestFit="1" customWidth="1"/>
    <col min="6" max="6" width="18.109375" style="1" customWidth="1"/>
    <col min="7" max="7" width="25.8867187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44039</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44039</v>
      </c>
    </row>
    <row r="7" spans="2:11" x14ac:dyDescent="0.3">
      <c r="B7" s="6" t="s">
        <v>17</v>
      </c>
      <c r="C7" s="26">
        <v>270000</v>
      </c>
      <c r="D7" s="26"/>
      <c r="E7" s="36"/>
      <c r="F7" s="26"/>
      <c r="G7" s="26"/>
      <c r="H7" s="12">
        <f t="shared" si="0"/>
        <v>44039</v>
      </c>
    </row>
    <row r="8" spans="2:11" ht="15.6" x14ac:dyDescent="0.3">
      <c r="B8" s="34" t="s">
        <v>0</v>
      </c>
      <c r="C8" s="35">
        <v>378000</v>
      </c>
      <c r="D8" s="35"/>
      <c r="E8" s="42"/>
      <c r="F8" s="35"/>
      <c r="G8" s="35"/>
      <c r="H8" s="12">
        <f t="shared" si="0"/>
        <v>44039</v>
      </c>
    </row>
    <row r="9" spans="2:11" x14ac:dyDescent="0.3">
      <c r="B9" s="6" t="s">
        <v>25</v>
      </c>
      <c r="C9" s="26">
        <v>378000</v>
      </c>
      <c r="D9" s="26"/>
      <c r="E9" s="36"/>
      <c r="F9" s="26"/>
      <c r="G9" s="26"/>
      <c r="H9" s="12">
        <f t="shared" si="0"/>
        <v>44039</v>
      </c>
    </row>
    <row r="10" spans="2:11" x14ac:dyDescent="0.3">
      <c r="B10" s="6" t="s">
        <v>15</v>
      </c>
      <c r="C10" s="26"/>
      <c r="D10" s="26"/>
      <c r="E10" s="36"/>
      <c r="F10" s="36"/>
      <c r="G10" s="26"/>
      <c r="H10" s="12">
        <f t="shared" si="0"/>
        <v>44039</v>
      </c>
    </row>
    <row r="11" spans="2:11" x14ac:dyDescent="0.3">
      <c r="B11" s="6" t="s">
        <v>26</v>
      </c>
      <c r="C11" s="26"/>
      <c r="D11" s="26"/>
      <c r="E11" s="36"/>
      <c r="F11" s="26"/>
      <c r="G11" s="26"/>
      <c r="H11" s="12">
        <f t="shared" si="0"/>
        <v>44039</v>
      </c>
    </row>
    <row r="12" spans="2:11" x14ac:dyDescent="0.3">
      <c r="B12" s="6" t="s">
        <v>22</v>
      </c>
      <c r="C12" s="23"/>
      <c r="D12" s="23">
        <v>54000</v>
      </c>
      <c r="E12" s="43"/>
      <c r="F12" s="23"/>
      <c r="G12" s="23"/>
      <c r="H12" s="12">
        <f t="shared" si="0"/>
        <v>44039</v>
      </c>
      <c r="K12" s="4"/>
    </row>
    <row r="13" spans="2:11" x14ac:dyDescent="0.3">
      <c r="B13" s="6" t="s">
        <v>19</v>
      </c>
      <c r="C13" s="26">
        <v>162000</v>
      </c>
      <c r="D13" s="26">
        <v>1183500</v>
      </c>
      <c r="E13" s="36"/>
      <c r="F13" s="26"/>
      <c r="G13" s="26"/>
      <c r="H13" s="12">
        <f t="shared" si="0"/>
        <v>44039</v>
      </c>
    </row>
    <row r="14" spans="2:11" x14ac:dyDescent="0.3">
      <c r="B14" s="6" t="s">
        <v>14</v>
      </c>
      <c r="C14" s="27">
        <v>540000</v>
      </c>
      <c r="D14" s="27"/>
      <c r="E14" s="36"/>
      <c r="F14" s="40"/>
      <c r="G14" s="36"/>
      <c r="H14" s="12">
        <f t="shared" si="0"/>
        <v>44039</v>
      </c>
    </row>
    <row r="15" spans="2:11" x14ac:dyDescent="0.3">
      <c r="B15" s="6" t="s">
        <v>24</v>
      </c>
      <c r="C15" s="29"/>
      <c r="D15" s="29"/>
      <c r="E15" s="44"/>
      <c r="F15" s="29"/>
      <c r="G15" s="29"/>
      <c r="H15" s="12">
        <f t="shared" si="0"/>
        <v>44039</v>
      </c>
    </row>
    <row r="16" spans="2:11" x14ac:dyDescent="0.3">
      <c r="B16" s="6" t="s">
        <v>21</v>
      </c>
      <c r="C16" s="26"/>
      <c r="D16" s="26">
        <v>50000</v>
      </c>
      <c r="E16" s="26"/>
      <c r="F16" s="26"/>
      <c r="G16" s="26"/>
      <c r="H16" s="12">
        <f t="shared" si="0"/>
        <v>44039</v>
      </c>
    </row>
    <row r="17" spans="1:8" x14ac:dyDescent="0.3">
      <c r="B17" s="6" t="s">
        <v>18</v>
      </c>
      <c r="C17" s="26">
        <v>202500</v>
      </c>
      <c r="D17" s="26"/>
      <c r="E17" s="26"/>
      <c r="F17" s="26"/>
      <c r="G17" s="26"/>
      <c r="H17" s="12">
        <f t="shared" si="0"/>
        <v>44039</v>
      </c>
    </row>
    <row r="18" spans="1:8" x14ac:dyDescent="0.3">
      <c r="B18" s="6" t="s">
        <v>16</v>
      </c>
      <c r="C18" s="26">
        <v>260500</v>
      </c>
      <c r="D18" s="26"/>
      <c r="E18" s="26"/>
      <c r="F18" s="26"/>
      <c r="G18" s="26"/>
      <c r="H18" s="12">
        <f t="shared" si="0"/>
        <v>44039</v>
      </c>
    </row>
    <row r="19" spans="1:8" x14ac:dyDescent="0.3">
      <c r="B19" s="37" t="s">
        <v>27</v>
      </c>
      <c r="C19" s="38">
        <f>SUBTOTAL(109,July27_2020[KSI_AGO])</f>
        <v>2191000</v>
      </c>
      <c r="D19" s="38">
        <f>SUBTOTAL(109,July27_2020[KSI_PMS])</f>
        <v>1287500</v>
      </c>
      <c r="E19" s="38">
        <f>SUBTOTAL(109,July27_2020[BUIPE_AGO])</f>
        <v>0</v>
      </c>
      <c r="F19" s="38">
        <f>SUBTOTAL(109,July27_2020[BUIPE_PMS])</f>
        <v>0</v>
      </c>
      <c r="G19" s="38">
        <f>SUBTOTAL(109,July27_2020[AKOSOMBO_AGO])</f>
        <v>0</v>
      </c>
      <c r="H19" s="39"/>
    </row>
    <row r="20" spans="1:8" x14ac:dyDescent="0.3">
      <c r="B20" s="8"/>
      <c r="C20" s="24"/>
      <c r="D20" s="24"/>
      <c r="E20" s="24"/>
      <c r="F20" s="24"/>
      <c r="G20" s="24"/>
      <c r="H20"/>
    </row>
    <row r="21" spans="1:8" x14ac:dyDescent="0.3">
      <c r="B21" s="1" t="s">
        <v>6</v>
      </c>
      <c r="C21" s="1" t="s">
        <v>4</v>
      </c>
      <c r="D21" s="5">
        <f>SUMIF(July27_2020[[#Headers],[KSI_AGO]:[AKOSOMBO_AGO]],"*"&amp;C21,July27_2020[[#Totals],[KSI_AGO]:[AKOSOMBO_AGO]])</f>
        <v>2191000</v>
      </c>
      <c r="E21" s="1" t="s">
        <v>5</v>
      </c>
      <c r="F21" s="5">
        <f>SUMIF(July27_2020[[#Headers],[KSI_AGO]:[AKOSOMBO_AGO]],"*"&amp;E21,July27_2020[[#Totals],[KSI_AGO]:[AKOSOMBO_AGO]])</f>
        <v>1287500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8F00-000000000000}">
      <formula1>INDIRECT("BDC_List[BDC List]")</formula1>
    </dataValidation>
  </dataValidations>
  <pageMargins left="0.7" right="0.7" top="0.75" bottom="0.75" header="0.3" footer="0.3"/>
  <tableParts count="1">
    <tablePart r:id="rId1"/>
  </tableParts>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codeName="Sheet145"/>
  <dimension ref="A1:K31"/>
  <sheetViews>
    <sheetView workbookViewId="0">
      <selection activeCell="D16" sqref="D16"/>
    </sheetView>
  </sheetViews>
  <sheetFormatPr defaultColWidth="9.109375" defaultRowHeight="14.4" x14ac:dyDescent="0.3"/>
  <cols>
    <col min="1" max="1" width="6.88671875" style="1" customWidth="1"/>
    <col min="2" max="2" width="18" style="1" customWidth="1"/>
    <col min="3" max="3" width="15.33203125" style="1" customWidth="1"/>
    <col min="4" max="4" width="18.6640625" style="1" customWidth="1"/>
    <col min="5" max="5" width="18.44140625" style="1" bestFit="1" customWidth="1"/>
    <col min="6" max="6" width="18.109375" style="1" customWidth="1"/>
    <col min="7" max="7" width="25.8867187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44040</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44040</v>
      </c>
    </row>
    <row r="7" spans="2:11" x14ac:dyDescent="0.3">
      <c r="B7" s="6" t="s">
        <v>17</v>
      </c>
      <c r="C7" s="26">
        <v>212000</v>
      </c>
      <c r="D7" s="26"/>
      <c r="E7" s="36">
        <v>162000</v>
      </c>
      <c r="F7" s="26"/>
      <c r="G7" s="26"/>
      <c r="H7" s="12">
        <f t="shared" si="0"/>
        <v>44040</v>
      </c>
    </row>
    <row r="8" spans="2:11" ht="15.6" x14ac:dyDescent="0.3">
      <c r="B8" s="34" t="s">
        <v>0</v>
      </c>
      <c r="C8" s="35">
        <v>324000</v>
      </c>
      <c r="D8" s="35"/>
      <c r="E8" s="42"/>
      <c r="F8" s="35"/>
      <c r="G8" s="35"/>
      <c r="H8" s="12">
        <f t="shared" si="0"/>
        <v>44040</v>
      </c>
    </row>
    <row r="9" spans="2:11" x14ac:dyDescent="0.3">
      <c r="B9" s="6" t="s">
        <v>25</v>
      </c>
      <c r="C9" s="26">
        <v>216000</v>
      </c>
      <c r="D9" s="26">
        <v>576000</v>
      </c>
      <c r="E9" s="36"/>
      <c r="F9" s="26"/>
      <c r="G9" s="26"/>
      <c r="H9" s="12">
        <f t="shared" si="0"/>
        <v>44040</v>
      </c>
    </row>
    <row r="10" spans="2:11" x14ac:dyDescent="0.3">
      <c r="B10" s="6" t="s">
        <v>15</v>
      </c>
      <c r="C10" s="26"/>
      <c r="D10" s="26"/>
      <c r="E10" s="36"/>
      <c r="F10" s="36"/>
      <c r="G10" s="26"/>
      <c r="H10" s="12">
        <f t="shared" si="0"/>
        <v>44040</v>
      </c>
    </row>
    <row r="11" spans="2:11" x14ac:dyDescent="0.3">
      <c r="B11" s="6" t="s">
        <v>26</v>
      </c>
      <c r="C11" s="26"/>
      <c r="D11" s="26"/>
      <c r="E11" s="36"/>
      <c r="F11" s="26"/>
      <c r="G11" s="26"/>
      <c r="H11" s="12">
        <f t="shared" si="0"/>
        <v>44040</v>
      </c>
    </row>
    <row r="12" spans="2:11" x14ac:dyDescent="0.3">
      <c r="B12" s="6" t="s">
        <v>22</v>
      </c>
      <c r="C12" s="23"/>
      <c r="D12" s="23">
        <v>481500</v>
      </c>
      <c r="E12" s="43"/>
      <c r="F12" s="23"/>
      <c r="G12" s="23"/>
      <c r="H12" s="12">
        <f t="shared" si="0"/>
        <v>44040</v>
      </c>
      <c r="K12" s="4"/>
    </row>
    <row r="13" spans="2:11" x14ac:dyDescent="0.3">
      <c r="B13" s="6" t="s">
        <v>19</v>
      </c>
      <c r="C13" s="26">
        <v>216000</v>
      </c>
      <c r="D13" s="26">
        <v>54000</v>
      </c>
      <c r="E13" s="36">
        <v>270000</v>
      </c>
      <c r="F13" s="26"/>
      <c r="G13" s="26"/>
      <c r="H13" s="12">
        <f t="shared" si="0"/>
        <v>44040</v>
      </c>
    </row>
    <row r="14" spans="2:11" x14ac:dyDescent="0.3">
      <c r="B14" s="6" t="s">
        <v>14</v>
      </c>
      <c r="C14" s="27">
        <v>270000</v>
      </c>
      <c r="D14" s="27">
        <v>54000</v>
      </c>
      <c r="E14" s="36">
        <v>162000</v>
      </c>
      <c r="F14" s="40"/>
      <c r="G14" s="36"/>
      <c r="H14" s="12">
        <f t="shared" si="0"/>
        <v>44040</v>
      </c>
    </row>
    <row r="15" spans="2:11" x14ac:dyDescent="0.3">
      <c r="B15" s="6" t="s">
        <v>24</v>
      </c>
      <c r="C15" s="29"/>
      <c r="D15" s="29"/>
      <c r="E15" s="44"/>
      <c r="F15" s="29"/>
      <c r="G15" s="29"/>
      <c r="H15" s="12">
        <f t="shared" si="0"/>
        <v>44040</v>
      </c>
    </row>
    <row r="16" spans="2:11" x14ac:dyDescent="0.3">
      <c r="B16" s="6" t="s">
        <v>21</v>
      </c>
      <c r="C16" s="26"/>
      <c r="D16" s="26"/>
      <c r="E16" s="26"/>
      <c r="F16" s="26">
        <v>270000</v>
      </c>
      <c r="G16" s="26"/>
      <c r="H16" s="12">
        <f t="shared" si="0"/>
        <v>44040</v>
      </c>
    </row>
    <row r="17" spans="1:8" x14ac:dyDescent="0.3">
      <c r="B17" s="6" t="s">
        <v>18</v>
      </c>
      <c r="C17" s="26">
        <v>45000</v>
      </c>
      <c r="D17" s="26"/>
      <c r="E17" s="26">
        <v>212000</v>
      </c>
      <c r="F17" s="26"/>
      <c r="G17" s="26"/>
      <c r="H17" s="12">
        <f t="shared" si="0"/>
        <v>44040</v>
      </c>
    </row>
    <row r="18" spans="1:8" x14ac:dyDescent="0.3">
      <c r="B18" s="6" t="s">
        <v>16</v>
      </c>
      <c r="C18" s="26">
        <v>108000</v>
      </c>
      <c r="D18" s="26"/>
      <c r="E18" s="26">
        <v>209000</v>
      </c>
      <c r="F18" s="26"/>
      <c r="G18" s="26"/>
      <c r="H18" s="12">
        <f t="shared" si="0"/>
        <v>44040</v>
      </c>
    </row>
    <row r="19" spans="1:8" x14ac:dyDescent="0.3">
      <c r="B19" s="37" t="s">
        <v>27</v>
      </c>
      <c r="C19" s="38">
        <f>SUBTOTAL(109,July28_2020[KSI_AGO])</f>
        <v>1391000</v>
      </c>
      <c r="D19" s="38">
        <f>SUBTOTAL(109,July28_2020[KSI_PMS])</f>
        <v>1165500</v>
      </c>
      <c r="E19" s="38">
        <f>SUBTOTAL(109,July28_2020[BUIPE_AGO])</f>
        <v>1015000</v>
      </c>
      <c r="F19" s="38">
        <f>SUBTOTAL(109,July28_2020[BUIPE_PMS])</f>
        <v>270000</v>
      </c>
      <c r="G19" s="38">
        <f>SUBTOTAL(109,July28_2020[AKOSOMBO_AGO])</f>
        <v>0</v>
      </c>
      <c r="H19" s="39"/>
    </row>
    <row r="20" spans="1:8" x14ac:dyDescent="0.3">
      <c r="B20" s="8"/>
      <c r="C20" s="24"/>
      <c r="D20" s="24"/>
      <c r="E20" s="24"/>
      <c r="F20" s="24"/>
      <c r="G20" s="24"/>
      <c r="H20"/>
    </row>
    <row r="21" spans="1:8" x14ac:dyDescent="0.3">
      <c r="B21" s="1" t="s">
        <v>6</v>
      </c>
      <c r="C21" s="1" t="s">
        <v>4</v>
      </c>
      <c r="D21" s="5">
        <f>SUMIF(July28_2020[[#Headers],[KSI_AGO]:[AKOSOMBO_AGO]],"*"&amp;C21,July28_2020[[#Totals],[KSI_AGO]:[AKOSOMBO_AGO]])</f>
        <v>2406000</v>
      </c>
      <c r="E21" s="1" t="s">
        <v>5</v>
      </c>
      <c r="F21" s="5">
        <f>SUMIF(July28_2020[[#Headers],[KSI_AGO]:[AKOSOMBO_AGO]],"*"&amp;E21,July28_2020[[#Totals],[KSI_AGO]:[AKOSOMBO_AGO]])</f>
        <v>1435500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9000-000000000000}">
      <formula1>INDIRECT("BDC_List[BDC List]")</formula1>
    </dataValidation>
  </dataValidations>
  <pageMargins left="0.7" right="0.7" top="0.75" bottom="0.75" header="0.3" footer="0.3"/>
  <tableParts count="1">
    <tablePart r:id="rId1"/>
  </tableParts>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codeName="Sheet146"/>
  <dimension ref="A1:K31"/>
  <sheetViews>
    <sheetView workbookViewId="0">
      <selection activeCell="C17" sqref="C17"/>
    </sheetView>
  </sheetViews>
  <sheetFormatPr defaultColWidth="9.109375" defaultRowHeight="14.4" x14ac:dyDescent="0.3"/>
  <cols>
    <col min="1" max="1" width="6.88671875" style="1" customWidth="1"/>
    <col min="2" max="2" width="18" style="1" customWidth="1"/>
    <col min="3" max="3" width="15.33203125" style="1" customWidth="1"/>
    <col min="4" max="4" width="18.6640625" style="1" customWidth="1"/>
    <col min="5" max="5" width="18.44140625" style="1" bestFit="1" customWidth="1"/>
    <col min="6" max="6" width="18.109375" style="1" customWidth="1"/>
    <col min="7" max="7" width="25.8867187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44041</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44041</v>
      </c>
    </row>
    <row r="7" spans="2:11" x14ac:dyDescent="0.3">
      <c r="B7" s="6" t="s">
        <v>17</v>
      </c>
      <c r="C7" s="26">
        <v>647000</v>
      </c>
      <c r="D7" s="26"/>
      <c r="E7" s="36"/>
      <c r="F7" s="26"/>
      <c r="G7" s="26"/>
      <c r="H7" s="12">
        <f t="shared" si="0"/>
        <v>44041</v>
      </c>
    </row>
    <row r="8" spans="2:11" ht="15.6" x14ac:dyDescent="0.3">
      <c r="B8" s="34" t="s">
        <v>0</v>
      </c>
      <c r="C8" s="35"/>
      <c r="D8" s="35"/>
      <c r="E8" s="42"/>
      <c r="F8" s="35"/>
      <c r="G8" s="35"/>
      <c r="H8" s="12">
        <f t="shared" si="0"/>
        <v>44041</v>
      </c>
    </row>
    <row r="9" spans="2:11" x14ac:dyDescent="0.3">
      <c r="B9" s="6" t="s">
        <v>25</v>
      </c>
      <c r="C9" s="26">
        <v>324000</v>
      </c>
      <c r="D9" s="26"/>
      <c r="E9" s="36"/>
      <c r="F9" s="26"/>
      <c r="G9" s="26"/>
      <c r="H9" s="12">
        <f t="shared" si="0"/>
        <v>44041</v>
      </c>
    </row>
    <row r="10" spans="2:11" x14ac:dyDescent="0.3">
      <c r="B10" s="6" t="s">
        <v>15</v>
      </c>
      <c r="C10" s="26"/>
      <c r="D10" s="26"/>
      <c r="E10" s="36"/>
      <c r="F10" s="36"/>
      <c r="G10" s="26"/>
      <c r="H10" s="12">
        <f t="shared" si="0"/>
        <v>44041</v>
      </c>
    </row>
    <row r="11" spans="2:11" x14ac:dyDescent="0.3">
      <c r="B11" s="6" t="s">
        <v>26</v>
      </c>
      <c r="C11" s="26"/>
      <c r="D11" s="26"/>
      <c r="E11" s="36"/>
      <c r="F11" s="26"/>
      <c r="G11" s="26"/>
      <c r="H11" s="12">
        <f t="shared" si="0"/>
        <v>44041</v>
      </c>
    </row>
    <row r="12" spans="2:11" x14ac:dyDescent="0.3">
      <c r="B12" s="6" t="s">
        <v>22</v>
      </c>
      <c r="C12" s="23"/>
      <c r="D12" s="23">
        <v>54000</v>
      </c>
      <c r="E12" s="43"/>
      <c r="F12" s="23"/>
      <c r="G12" s="23"/>
      <c r="H12" s="12">
        <f t="shared" si="0"/>
        <v>44041</v>
      </c>
      <c r="K12" s="4"/>
    </row>
    <row r="13" spans="2:11" x14ac:dyDescent="0.3">
      <c r="B13" s="6" t="s">
        <v>19</v>
      </c>
      <c r="C13" s="26">
        <v>432000</v>
      </c>
      <c r="D13" s="26">
        <v>774000</v>
      </c>
      <c r="E13" s="36"/>
      <c r="F13" s="26">
        <v>108000</v>
      </c>
      <c r="G13" s="26"/>
      <c r="H13" s="12">
        <f t="shared" si="0"/>
        <v>44041</v>
      </c>
    </row>
    <row r="14" spans="2:11" x14ac:dyDescent="0.3">
      <c r="B14" s="6" t="s">
        <v>14</v>
      </c>
      <c r="C14" s="27">
        <v>527000</v>
      </c>
      <c r="D14" s="27"/>
      <c r="E14" s="36"/>
      <c r="F14" s="40"/>
      <c r="G14" s="36"/>
      <c r="H14" s="12">
        <f t="shared" si="0"/>
        <v>44041</v>
      </c>
    </row>
    <row r="15" spans="2:11" x14ac:dyDescent="0.3">
      <c r="B15" s="6" t="s">
        <v>24</v>
      </c>
      <c r="C15" s="29"/>
      <c r="D15" s="29"/>
      <c r="E15" s="44"/>
      <c r="F15" s="29"/>
      <c r="G15" s="29"/>
      <c r="H15" s="12">
        <f t="shared" si="0"/>
        <v>44041</v>
      </c>
    </row>
    <row r="16" spans="2:11" x14ac:dyDescent="0.3">
      <c r="B16" s="6" t="s">
        <v>21</v>
      </c>
      <c r="C16" s="26"/>
      <c r="D16" s="26"/>
      <c r="E16" s="26"/>
      <c r="F16" s="26"/>
      <c r="G16" s="26"/>
      <c r="H16" s="12">
        <f t="shared" si="0"/>
        <v>44041</v>
      </c>
    </row>
    <row r="17" spans="1:8" x14ac:dyDescent="0.3">
      <c r="B17" s="6" t="s">
        <v>18</v>
      </c>
      <c r="C17" s="26">
        <v>162000</v>
      </c>
      <c r="D17" s="26"/>
      <c r="E17" s="26"/>
      <c r="F17" s="26"/>
      <c r="G17" s="26"/>
      <c r="H17" s="12">
        <f t="shared" si="0"/>
        <v>44041</v>
      </c>
    </row>
    <row r="18" spans="1:8" x14ac:dyDescent="0.3">
      <c r="B18" s="6" t="s">
        <v>16</v>
      </c>
      <c r="C18" s="26">
        <v>261000</v>
      </c>
      <c r="D18" s="26"/>
      <c r="E18" s="26"/>
      <c r="F18" s="26">
        <v>54000</v>
      </c>
      <c r="G18" s="26"/>
      <c r="H18" s="12">
        <f t="shared" si="0"/>
        <v>44041</v>
      </c>
    </row>
    <row r="19" spans="1:8" x14ac:dyDescent="0.3">
      <c r="B19" s="37" t="s">
        <v>27</v>
      </c>
      <c r="C19" s="38">
        <f>SUBTOTAL(109,July29_2020[KSI_AGO])</f>
        <v>2353000</v>
      </c>
      <c r="D19" s="38">
        <f>SUBTOTAL(109,July29_2020[KSI_PMS])</f>
        <v>828000</v>
      </c>
      <c r="E19" s="38">
        <f>SUBTOTAL(109,July29_2020[BUIPE_AGO])</f>
        <v>0</v>
      </c>
      <c r="F19" s="38">
        <f>SUBTOTAL(109,July29_2020[BUIPE_PMS])</f>
        <v>162000</v>
      </c>
      <c r="G19" s="38">
        <f>SUBTOTAL(109,July29_2020[AKOSOMBO_AGO])</f>
        <v>0</v>
      </c>
      <c r="H19" s="39"/>
    </row>
    <row r="20" spans="1:8" x14ac:dyDescent="0.3">
      <c r="B20" s="8"/>
      <c r="C20" s="24"/>
      <c r="D20" s="24"/>
      <c r="E20" s="24"/>
      <c r="F20" s="24"/>
      <c r="G20" s="24"/>
      <c r="H20"/>
    </row>
    <row r="21" spans="1:8" x14ac:dyDescent="0.3">
      <c r="B21" s="1" t="s">
        <v>6</v>
      </c>
      <c r="C21" s="1" t="s">
        <v>4</v>
      </c>
      <c r="D21" s="5">
        <f>SUMIF(July29_2020[[#Headers],[KSI_AGO]:[AKOSOMBO_AGO]],"*"&amp;C21,July29_2020[[#Totals],[KSI_AGO]:[AKOSOMBO_AGO]])</f>
        <v>2353000</v>
      </c>
      <c r="E21" s="1" t="s">
        <v>5</v>
      </c>
      <c r="F21" s="5">
        <f>SUMIF(July29_2020[[#Headers],[KSI_AGO]:[AKOSOMBO_AGO]],"*"&amp;E21,July29_2020[[#Totals],[KSI_AGO]:[AKOSOMBO_AGO]])</f>
        <v>990000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9100-000000000000}">
      <formula1>INDIRECT("BDC_List[BDC List]")</formula1>
    </dataValidation>
  </dataValidations>
  <pageMargins left="0.7" right="0.7" top="0.75" bottom="0.75" header="0.3" footer="0.3"/>
  <legacyDrawing r:id="rId1"/>
  <tableParts count="1">
    <tablePart r:id="rId2"/>
  </tableParts>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codeName="Sheet147"/>
  <dimension ref="A1:K31"/>
  <sheetViews>
    <sheetView workbookViewId="0">
      <selection activeCell="C12" sqref="C12"/>
    </sheetView>
  </sheetViews>
  <sheetFormatPr defaultColWidth="9.109375" defaultRowHeight="14.4" x14ac:dyDescent="0.3"/>
  <cols>
    <col min="1" max="1" width="6.88671875" style="1" customWidth="1"/>
    <col min="2" max="2" width="18" style="1" customWidth="1"/>
    <col min="3" max="3" width="15.33203125" style="1" customWidth="1"/>
    <col min="4" max="4" width="18.6640625" style="1" customWidth="1"/>
    <col min="5" max="5" width="18.44140625" style="1" bestFit="1" customWidth="1"/>
    <col min="6" max="6" width="18.109375" style="1" customWidth="1"/>
    <col min="7" max="7" width="25.88671875" style="1" customWidth="1"/>
    <col min="8" max="8" width="14.55468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44042</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26"/>
      <c r="D6" s="26"/>
      <c r="E6" s="26"/>
      <c r="F6" s="26"/>
      <c r="G6" s="26"/>
      <c r="H6" s="12">
        <f t="shared" ref="H6:H18" si="0">$G$3</f>
        <v>44042</v>
      </c>
    </row>
    <row r="7" spans="2:11" x14ac:dyDescent="0.3">
      <c r="B7" s="6" t="s">
        <v>17</v>
      </c>
      <c r="C7" s="26">
        <v>1234500</v>
      </c>
      <c r="D7" s="26"/>
      <c r="E7" s="36"/>
      <c r="F7" s="26"/>
      <c r="G7" s="26"/>
      <c r="H7" s="12">
        <f t="shared" si="0"/>
        <v>44042</v>
      </c>
    </row>
    <row r="8" spans="2:11" ht="15.6" x14ac:dyDescent="0.3">
      <c r="B8" s="34" t="s">
        <v>0</v>
      </c>
      <c r="C8" s="35"/>
      <c r="D8" s="35"/>
      <c r="E8" s="42"/>
      <c r="F8" s="35"/>
      <c r="G8" s="35"/>
      <c r="H8" s="12">
        <f t="shared" si="0"/>
        <v>44042</v>
      </c>
    </row>
    <row r="9" spans="2:11" x14ac:dyDescent="0.3">
      <c r="B9" s="6" t="s">
        <v>25</v>
      </c>
      <c r="C9" s="26">
        <v>54000</v>
      </c>
      <c r="D9" s="26"/>
      <c r="E9" s="36"/>
      <c r="F9" s="26"/>
      <c r="G9" s="26"/>
      <c r="H9" s="12">
        <f t="shared" si="0"/>
        <v>44042</v>
      </c>
    </row>
    <row r="10" spans="2:11" x14ac:dyDescent="0.3">
      <c r="B10" s="6" t="s">
        <v>15</v>
      </c>
      <c r="C10" s="26"/>
      <c r="D10" s="26"/>
      <c r="E10" s="36"/>
      <c r="F10" s="36"/>
      <c r="G10" s="26"/>
      <c r="H10" s="12">
        <f t="shared" si="0"/>
        <v>44042</v>
      </c>
    </row>
    <row r="11" spans="2:11" x14ac:dyDescent="0.3">
      <c r="B11" s="6" t="s">
        <v>26</v>
      </c>
      <c r="C11" s="26"/>
      <c r="D11" s="26"/>
      <c r="E11" s="36"/>
      <c r="F11" s="26"/>
      <c r="G11" s="26"/>
      <c r="H11" s="12">
        <f t="shared" si="0"/>
        <v>44042</v>
      </c>
    </row>
    <row r="12" spans="2:11" x14ac:dyDescent="0.3">
      <c r="B12" s="6" t="s">
        <v>22</v>
      </c>
      <c r="C12" s="23"/>
      <c r="D12" s="23">
        <v>54000</v>
      </c>
      <c r="E12" s="43"/>
      <c r="F12" s="23"/>
      <c r="G12" s="23"/>
      <c r="H12" s="12">
        <f t="shared" si="0"/>
        <v>44042</v>
      </c>
      <c r="K12" s="4"/>
    </row>
    <row r="13" spans="2:11" x14ac:dyDescent="0.3">
      <c r="B13" s="6" t="s">
        <v>19</v>
      </c>
      <c r="C13" s="26"/>
      <c r="D13" s="26">
        <v>270000</v>
      </c>
      <c r="E13" s="36"/>
      <c r="F13" s="26">
        <v>590000</v>
      </c>
      <c r="G13" s="26"/>
      <c r="H13" s="12">
        <f t="shared" si="0"/>
        <v>44042</v>
      </c>
    </row>
    <row r="14" spans="2:11" x14ac:dyDescent="0.3">
      <c r="B14" s="6" t="s">
        <v>14</v>
      </c>
      <c r="C14" s="27">
        <v>1269500</v>
      </c>
      <c r="D14" s="27"/>
      <c r="E14" s="36"/>
      <c r="F14" s="40"/>
      <c r="G14" s="36"/>
      <c r="H14" s="12">
        <f t="shared" si="0"/>
        <v>44042</v>
      </c>
    </row>
    <row r="15" spans="2:11" x14ac:dyDescent="0.3">
      <c r="B15" s="6" t="s">
        <v>24</v>
      </c>
      <c r="C15" s="29"/>
      <c r="D15" s="29"/>
      <c r="E15" s="44"/>
      <c r="F15" s="29"/>
      <c r="G15" s="29"/>
      <c r="H15" s="12">
        <f t="shared" si="0"/>
        <v>44042</v>
      </c>
    </row>
    <row r="16" spans="2:11" x14ac:dyDescent="0.3">
      <c r="B16" s="6" t="s">
        <v>21</v>
      </c>
      <c r="C16" s="26"/>
      <c r="D16" s="26"/>
      <c r="E16" s="26"/>
      <c r="F16" s="26">
        <v>478000</v>
      </c>
      <c r="G16" s="26"/>
      <c r="H16" s="12">
        <f t="shared" si="0"/>
        <v>44042</v>
      </c>
    </row>
    <row r="17" spans="1:8" x14ac:dyDescent="0.3">
      <c r="B17" s="6" t="s">
        <v>18</v>
      </c>
      <c r="C17" s="26">
        <v>108000</v>
      </c>
      <c r="D17" s="26"/>
      <c r="E17" s="26"/>
      <c r="F17" s="26"/>
      <c r="G17" s="26"/>
      <c r="H17" s="12">
        <f t="shared" si="0"/>
        <v>44042</v>
      </c>
    </row>
    <row r="18" spans="1:8" x14ac:dyDescent="0.3">
      <c r="B18" s="6" t="s">
        <v>16</v>
      </c>
      <c r="C18" s="26">
        <v>378000</v>
      </c>
      <c r="D18" s="26"/>
      <c r="E18" s="26"/>
      <c r="F18" s="26"/>
      <c r="G18" s="26"/>
      <c r="H18" s="12">
        <f t="shared" si="0"/>
        <v>44042</v>
      </c>
    </row>
    <row r="19" spans="1:8" x14ac:dyDescent="0.3">
      <c r="B19" s="50" t="s">
        <v>27</v>
      </c>
      <c r="C19" s="51">
        <f>SUBTOTAL(109,July30_2020[KSI_AGO])</f>
        <v>3044000</v>
      </c>
      <c r="D19" s="51">
        <f>SUBTOTAL(109,July30_2020[KSI_PMS])</f>
        <v>324000</v>
      </c>
      <c r="E19" s="51">
        <f>SUBTOTAL(109,July30_2020[BUIPE_AGO])</f>
        <v>0</v>
      </c>
      <c r="F19" s="51">
        <f>SUBTOTAL(109,July30_2020[BUIPE_PMS])</f>
        <v>1068000</v>
      </c>
      <c r="G19" s="51">
        <f>SUBTOTAL(109,July30_2020[AKOSOMBO_AGO])</f>
        <v>0</v>
      </c>
      <c r="H19" s="63"/>
    </row>
    <row r="20" spans="1:8" x14ac:dyDescent="0.3">
      <c r="B20" s="8"/>
      <c r="C20" s="24"/>
      <c r="D20" s="24"/>
      <c r="E20" s="24"/>
      <c r="F20" s="24"/>
      <c r="G20" s="24"/>
      <c r="H20"/>
    </row>
    <row r="21" spans="1:8" x14ac:dyDescent="0.3">
      <c r="B21" s="1" t="s">
        <v>6</v>
      </c>
      <c r="C21" s="1" t="s">
        <v>4</v>
      </c>
      <c r="D21" s="5">
        <f>SUMIF(July30_2020[[#Headers],[KSI_AGO]:[AKOSOMBO_AGO]],"*"&amp;C21,July30_2020[[#Totals],[KSI_AGO]:[AKOSOMBO_AGO]])</f>
        <v>3044000</v>
      </c>
      <c r="E21" s="1" t="s">
        <v>5</v>
      </c>
      <c r="F21" s="5">
        <f>SUMIF(July30_2020[[#Headers],[KSI_AGO]:[AKOSOMBO_AGO]],"*"&amp;E21,July30_2020[[#Totals],[KSI_AGO]:[AKOSOMBO_AGO]])</f>
        <v>1392000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9200-000000000000}">
      <formula1>INDIRECT("BDC_List[BDC List]")</formula1>
    </dataValidation>
  </dataValidations>
  <pageMargins left="0.7" right="0.7" top="0.75" bottom="0.75" header="0.3" footer="0.3"/>
  <tableParts count="1">
    <tablePart r:id="rId1"/>
  </tableParts>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codeName="Sheet148"/>
  <dimension ref="A1:K31"/>
  <sheetViews>
    <sheetView workbookViewId="0">
      <selection activeCell="G6" sqref="G6"/>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7.5546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44048</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8" si="0">$G$3</f>
        <v>44048</v>
      </c>
    </row>
    <row r="7" spans="2:11" x14ac:dyDescent="0.3">
      <c r="B7" s="6" t="s">
        <v>17</v>
      </c>
      <c r="C7" s="22">
        <v>478000</v>
      </c>
      <c r="D7" s="22"/>
      <c r="E7" s="22">
        <v>54000</v>
      </c>
      <c r="F7" s="22"/>
      <c r="G7" s="22"/>
      <c r="H7" s="12">
        <f t="shared" si="0"/>
        <v>44048</v>
      </c>
    </row>
    <row r="8" spans="2:11" ht="15.6" x14ac:dyDescent="0.3">
      <c r="B8" s="34" t="s">
        <v>0</v>
      </c>
      <c r="C8" s="46"/>
      <c r="D8" s="46"/>
      <c r="E8" s="46"/>
      <c r="F8" s="46"/>
      <c r="G8" s="47"/>
      <c r="H8" s="12">
        <f t="shared" si="0"/>
        <v>44048</v>
      </c>
    </row>
    <row r="9" spans="2:11" x14ac:dyDescent="0.3">
      <c r="B9" s="6" t="s">
        <v>25</v>
      </c>
      <c r="C9" s="22"/>
      <c r="D9" s="22">
        <v>756000</v>
      </c>
      <c r="E9" s="22"/>
      <c r="F9" s="22">
        <v>90000</v>
      </c>
      <c r="G9" s="22"/>
      <c r="H9" s="12">
        <f t="shared" si="0"/>
        <v>44048</v>
      </c>
    </row>
    <row r="10" spans="2:11" x14ac:dyDescent="0.3">
      <c r="B10" s="6" t="s">
        <v>15</v>
      </c>
      <c r="C10" s="22"/>
      <c r="D10" s="22"/>
      <c r="E10" s="22"/>
      <c r="F10" s="48"/>
      <c r="G10" s="22"/>
      <c r="H10" s="12">
        <f t="shared" si="0"/>
        <v>44048</v>
      </c>
    </row>
    <row r="11" spans="2:11" x14ac:dyDescent="0.3">
      <c r="B11" s="6" t="s">
        <v>26</v>
      </c>
      <c r="C11" s="22">
        <v>319500</v>
      </c>
      <c r="D11" s="22">
        <v>158000</v>
      </c>
      <c r="E11" s="22"/>
      <c r="F11" s="22"/>
      <c r="G11" s="22"/>
      <c r="H11" s="12">
        <f t="shared" si="0"/>
        <v>44048</v>
      </c>
    </row>
    <row r="12" spans="2:11" x14ac:dyDescent="0.3">
      <c r="B12" s="6" t="s">
        <v>22</v>
      </c>
      <c r="C12" s="23"/>
      <c r="D12" s="23"/>
      <c r="E12" s="23"/>
      <c r="F12" s="22"/>
      <c r="G12" s="23"/>
      <c r="H12" s="12">
        <f t="shared" si="0"/>
        <v>44048</v>
      </c>
      <c r="K12" s="4"/>
    </row>
    <row r="13" spans="2:11" x14ac:dyDescent="0.3">
      <c r="B13" s="6" t="s">
        <v>19</v>
      </c>
      <c r="C13" s="22">
        <v>316000</v>
      </c>
      <c r="D13" s="22"/>
      <c r="E13" s="22"/>
      <c r="F13" s="22"/>
      <c r="G13" s="22"/>
      <c r="H13" s="12">
        <f t="shared" si="0"/>
        <v>44048</v>
      </c>
    </row>
    <row r="14" spans="2:11" x14ac:dyDescent="0.3">
      <c r="B14" s="6" t="s">
        <v>14</v>
      </c>
      <c r="C14" s="22">
        <v>527000</v>
      </c>
      <c r="D14" s="22"/>
      <c r="E14" s="22">
        <v>54000</v>
      </c>
      <c r="F14" s="22"/>
      <c r="G14" s="22"/>
      <c r="H14" s="12">
        <f t="shared" si="0"/>
        <v>44048</v>
      </c>
    </row>
    <row r="15" spans="2:11" x14ac:dyDescent="0.3">
      <c r="B15" s="6" t="s">
        <v>24</v>
      </c>
      <c r="C15" s="22"/>
      <c r="D15" s="22"/>
      <c r="E15" s="22"/>
      <c r="F15" s="49"/>
      <c r="G15" s="22"/>
      <c r="H15" s="12">
        <f t="shared" si="0"/>
        <v>44048</v>
      </c>
    </row>
    <row r="16" spans="2:11" x14ac:dyDescent="0.3">
      <c r="B16" s="6" t="s">
        <v>21</v>
      </c>
      <c r="C16" s="22"/>
      <c r="D16" s="22"/>
      <c r="E16" s="22"/>
      <c r="F16" s="22"/>
      <c r="G16" s="22"/>
      <c r="H16" s="12">
        <f t="shared" si="0"/>
        <v>44048</v>
      </c>
    </row>
    <row r="17" spans="1:8" x14ac:dyDescent="0.3">
      <c r="B17" s="6" t="s">
        <v>18</v>
      </c>
      <c r="C17" s="22"/>
      <c r="D17" s="22"/>
      <c r="E17" s="22"/>
      <c r="F17" s="22"/>
      <c r="G17" s="22"/>
      <c r="H17" s="12">
        <f t="shared" si="0"/>
        <v>44048</v>
      </c>
    </row>
    <row r="18" spans="1:8" x14ac:dyDescent="0.3">
      <c r="B18" s="6" t="s">
        <v>16</v>
      </c>
      <c r="C18" s="22">
        <v>539500</v>
      </c>
      <c r="D18" s="22"/>
      <c r="E18" s="22">
        <v>162000</v>
      </c>
      <c r="F18" s="22"/>
      <c r="G18" s="22"/>
      <c r="H18" s="12">
        <f t="shared" si="0"/>
        <v>44048</v>
      </c>
    </row>
    <row r="19" spans="1:8" x14ac:dyDescent="0.3">
      <c r="B19" s="50" t="s">
        <v>27</v>
      </c>
      <c r="C19" s="51">
        <f>SUBTOTAL(109,August05_2020[KSI_AGO])</f>
        <v>2180000</v>
      </c>
      <c r="D19" s="51">
        <f>SUBTOTAL(109,August05_2020[KSI_PMS])</f>
        <v>914000</v>
      </c>
      <c r="E19" s="51">
        <f>SUBTOTAL(109,August05_2020[BUIPE_AGO])</f>
        <v>270000</v>
      </c>
      <c r="F19" s="51">
        <f>SUBTOTAL(109,August05_2020[BUIPE_PMS])</f>
        <v>90000</v>
      </c>
      <c r="G19" s="51">
        <f>SUBTOTAL(109,August05_2020[AKOSOMBO_AGO])</f>
        <v>0</v>
      </c>
      <c r="H19" s="52"/>
    </row>
    <row r="20" spans="1:8" x14ac:dyDescent="0.3">
      <c r="B20" s="8"/>
      <c r="C20" s="24"/>
      <c r="D20" s="24"/>
      <c r="E20" s="24"/>
      <c r="F20" s="24"/>
      <c r="G20" s="24"/>
      <c r="H20"/>
    </row>
    <row r="21" spans="1:8" x14ac:dyDescent="0.3">
      <c r="B21" s="1" t="s">
        <v>6</v>
      </c>
      <c r="C21" s="1" t="s">
        <v>4</v>
      </c>
      <c r="D21" s="5">
        <f>SUMIF(August05_2020[[#Headers],[KSI_AGO]:[AKOSOMBO_AGO]],"*"&amp;C21,August05_2020[[#Totals],[KSI_AGO]:[AKOSOMBO_AGO]])</f>
        <v>2450000</v>
      </c>
      <c r="E21" s="1" t="s">
        <v>5</v>
      </c>
      <c r="F21" s="5">
        <f>SUMIF(August05_2020[[#Headers],[KSI_AGO]:[AKOSOMBO_AGO]],"*"&amp;E21,August05_2020[[#Totals],[KSI_AGO]:[AKOSOMBO_AGO]])</f>
        <v>1004000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9300-000000000000}">
      <formula1>INDIRECT("BDC_List[BDC List]")</formula1>
    </dataValidation>
  </dataValidations>
  <pageMargins left="0.7" right="0.7" top="0.75" bottom="0.75" header="0.3" footer="0.3"/>
  <tableParts count="1">
    <tablePart r:id="rId1"/>
  </tableParts>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codeName="Sheet149"/>
  <dimension ref="A1:K31"/>
  <sheetViews>
    <sheetView workbookViewId="0">
      <selection activeCell="D9" sqref="D9"/>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44049</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8" si="0">$G$3</f>
        <v>44049</v>
      </c>
    </row>
    <row r="7" spans="2:11" x14ac:dyDescent="0.3">
      <c r="B7" s="6" t="s">
        <v>17</v>
      </c>
      <c r="C7" s="22">
        <v>796500</v>
      </c>
      <c r="D7" s="22"/>
      <c r="E7" s="22">
        <v>54000</v>
      </c>
      <c r="F7" s="22"/>
      <c r="G7" s="22">
        <v>524000</v>
      </c>
      <c r="H7" s="12">
        <f t="shared" si="0"/>
        <v>44049</v>
      </c>
    </row>
    <row r="8" spans="2:11" ht="15.6" x14ac:dyDescent="0.3">
      <c r="B8" s="34" t="s">
        <v>0</v>
      </c>
      <c r="C8" s="46"/>
      <c r="D8" s="46"/>
      <c r="E8" s="46"/>
      <c r="F8" s="46"/>
      <c r="G8" s="47"/>
      <c r="H8" s="12">
        <f t="shared" si="0"/>
        <v>44049</v>
      </c>
    </row>
    <row r="9" spans="2:11" x14ac:dyDescent="0.3">
      <c r="B9" s="6" t="s">
        <v>25</v>
      </c>
      <c r="C9" s="22"/>
      <c r="D9" s="22"/>
      <c r="E9" s="22"/>
      <c r="F9" s="22">
        <v>90000</v>
      </c>
      <c r="G9" s="22"/>
      <c r="H9" s="12">
        <f t="shared" si="0"/>
        <v>44049</v>
      </c>
    </row>
    <row r="10" spans="2:11" x14ac:dyDescent="0.3">
      <c r="B10" s="6" t="s">
        <v>15</v>
      </c>
      <c r="C10" s="22"/>
      <c r="D10" s="22"/>
      <c r="E10" s="22"/>
      <c r="F10" s="48">
        <v>802000</v>
      </c>
      <c r="G10" s="22"/>
      <c r="H10" s="12">
        <f t="shared" si="0"/>
        <v>44049</v>
      </c>
    </row>
    <row r="11" spans="2:11" x14ac:dyDescent="0.3">
      <c r="B11" s="6" t="s">
        <v>26</v>
      </c>
      <c r="C11" s="22">
        <v>162000</v>
      </c>
      <c r="D11" s="22"/>
      <c r="E11" s="22"/>
      <c r="F11" s="22"/>
      <c r="G11" s="22"/>
      <c r="H11" s="12">
        <f t="shared" si="0"/>
        <v>44049</v>
      </c>
    </row>
    <row r="12" spans="2:11" x14ac:dyDescent="0.3">
      <c r="B12" s="6" t="s">
        <v>22</v>
      </c>
      <c r="C12" s="23"/>
      <c r="D12" s="23"/>
      <c r="E12" s="23"/>
      <c r="F12" s="22"/>
      <c r="G12" s="23"/>
      <c r="H12" s="12">
        <f t="shared" si="0"/>
        <v>44049</v>
      </c>
      <c r="K12" s="4"/>
    </row>
    <row r="13" spans="2:11" x14ac:dyDescent="0.3">
      <c r="B13" s="6" t="s">
        <v>19</v>
      </c>
      <c r="C13" s="22">
        <v>315000</v>
      </c>
      <c r="D13" s="22"/>
      <c r="E13" s="22"/>
      <c r="F13" s="22"/>
      <c r="G13" s="22"/>
      <c r="H13" s="12">
        <f t="shared" si="0"/>
        <v>44049</v>
      </c>
    </row>
    <row r="14" spans="2:11" x14ac:dyDescent="0.3">
      <c r="B14" s="6" t="s">
        <v>14</v>
      </c>
      <c r="C14" s="22">
        <v>432000</v>
      </c>
      <c r="D14" s="22"/>
      <c r="E14" s="22">
        <v>216000</v>
      </c>
      <c r="F14" s="22"/>
      <c r="G14" s="22"/>
      <c r="H14" s="12">
        <f t="shared" si="0"/>
        <v>44049</v>
      </c>
    </row>
    <row r="15" spans="2:11" x14ac:dyDescent="0.3">
      <c r="B15" s="6" t="s">
        <v>24</v>
      </c>
      <c r="C15" s="22"/>
      <c r="D15" s="22"/>
      <c r="E15" s="22"/>
      <c r="F15" s="49"/>
      <c r="G15" s="22"/>
      <c r="H15" s="12">
        <f t="shared" si="0"/>
        <v>44049</v>
      </c>
    </row>
    <row r="16" spans="2:11" x14ac:dyDescent="0.3">
      <c r="B16" s="6" t="s">
        <v>21</v>
      </c>
      <c r="C16" s="22"/>
      <c r="D16" s="22"/>
      <c r="E16" s="22"/>
      <c r="F16" s="22"/>
      <c r="G16" s="22"/>
      <c r="H16" s="12">
        <f t="shared" si="0"/>
        <v>44049</v>
      </c>
    </row>
    <row r="17" spans="1:8" x14ac:dyDescent="0.3">
      <c r="B17" s="6" t="s">
        <v>18</v>
      </c>
      <c r="C17" s="22"/>
      <c r="D17" s="22"/>
      <c r="E17" s="22"/>
      <c r="F17" s="22"/>
      <c r="G17" s="22"/>
      <c r="H17" s="12">
        <f t="shared" si="0"/>
        <v>44049</v>
      </c>
    </row>
    <row r="18" spans="1:8" x14ac:dyDescent="0.3">
      <c r="B18" s="6" t="s">
        <v>16</v>
      </c>
      <c r="C18" s="22">
        <v>324000</v>
      </c>
      <c r="D18" s="22"/>
      <c r="E18" s="22">
        <v>108000</v>
      </c>
      <c r="F18" s="22"/>
      <c r="G18" s="22"/>
      <c r="H18" s="12">
        <f t="shared" si="0"/>
        <v>44049</v>
      </c>
    </row>
    <row r="19" spans="1:8" x14ac:dyDescent="0.3">
      <c r="B19" s="50" t="s">
        <v>27</v>
      </c>
      <c r="C19" s="51">
        <f>SUBTOTAL(109,August06_2020[KSI_AGO])</f>
        <v>2029500</v>
      </c>
      <c r="D19" s="51">
        <f>SUBTOTAL(109,August06_2020[KSI_PMS])</f>
        <v>0</v>
      </c>
      <c r="E19" s="51">
        <f>SUBTOTAL(109,August06_2020[BUIPE_AGO])</f>
        <v>378000</v>
      </c>
      <c r="F19" s="51">
        <f>SUBTOTAL(109,August06_2020[BUIPE_PMS])</f>
        <v>892000</v>
      </c>
      <c r="G19" s="51">
        <f>SUBTOTAL(109,August06_2020[AKOSOMBO_AGO])</f>
        <v>524000</v>
      </c>
      <c r="H19" s="52"/>
    </row>
    <row r="20" spans="1:8" x14ac:dyDescent="0.3">
      <c r="B20" s="8"/>
      <c r="C20" s="24"/>
      <c r="D20" s="24"/>
      <c r="E20" s="24"/>
      <c r="F20" s="24"/>
      <c r="G20" s="24"/>
      <c r="H20"/>
    </row>
    <row r="21" spans="1:8" x14ac:dyDescent="0.3">
      <c r="B21" s="1" t="s">
        <v>6</v>
      </c>
      <c r="C21" s="1" t="s">
        <v>4</v>
      </c>
      <c r="D21" s="5">
        <f>SUMIF(August06_2020[[#Headers],[KSI_AGO]:[AKOSOMBO_AGO]],"*"&amp;C21,August06_2020[[#Totals],[KSI_AGO]:[AKOSOMBO_AGO]])</f>
        <v>2931500</v>
      </c>
      <c r="E21" s="1" t="s">
        <v>5</v>
      </c>
      <c r="F21" s="5">
        <f>SUMIF(August06_2020[[#Headers],[KSI_AGO]:[AKOSOMBO_AGO]],"*"&amp;E21,August06_2020[[#Totals],[KSI_AGO]:[AKOSOMBO_AGO]])</f>
        <v>892000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9400-000000000000}">
      <formula1>INDIRECT("BDC_List[BDC List]")</formula1>
    </dataValidation>
  </dataValidations>
  <pageMargins left="0.7" right="0.7" top="0.75" bottom="0.75" header="0.3" footer="0.3"/>
  <tableParts count="1">
    <tablePart r:id="rId1"/>
  </tableParts>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codeName="Sheet150"/>
  <dimension ref="A1:K31"/>
  <sheetViews>
    <sheetView workbookViewId="0">
      <selection activeCell="C7" sqref="C7"/>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44050</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v>270000</v>
      </c>
      <c r="D6" s="45"/>
      <c r="E6" s="45"/>
      <c r="F6" s="45"/>
      <c r="G6" s="45"/>
      <c r="H6" s="12">
        <f t="shared" ref="H6:H18" si="0">$G$3</f>
        <v>44050</v>
      </c>
    </row>
    <row r="7" spans="2:11" x14ac:dyDescent="0.3">
      <c r="B7" s="6" t="s">
        <v>17</v>
      </c>
      <c r="C7" s="22">
        <v>432000</v>
      </c>
      <c r="D7" s="22"/>
      <c r="E7" s="22">
        <v>698000</v>
      </c>
      <c r="F7" s="22"/>
      <c r="G7" s="22">
        <v>536000</v>
      </c>
      <c r="H7" s="12">
        <f t="shared" si="0"/>
        <v>44050</v>
      </c>
    </row>
    <row r="8" spans="2:11" ht="15.6" x14ac:dyDescent="0.3">
      <c r="B8" s="34" t="s">
        <v>0</v>
      </c>
      <c r="C8" s="46"/>
      <c r="D8" s="46"/>
      <c r="E8" s="46"/>
      <c r="F8" s="46"/>
      <c r="G8" s="47"/>
      <c r="H8" s="12">
        <f t="shared" si="0"/>
        <v>44050</v>
      </c>
    </row>
    <row r="9" spans="2:11" x14ac:dyDescent="0.3">
      <c r="B9" s="6" t="s">
        <v>25</v>
      </c>
      <c r="C9" s="22"/>
      <c r="D9" s="22">
        <v>108000</v>
      </c>
      <c r="E9" s="22"/>
      <c r="F9" s="22"/>
      <c r="G9" s="22"/>
      <c r="H9" s="12">
        <f t="shared" si="0"/>
        <v>44050</v>
      </c>
    </row>
    <row r="10" spans="2:11" x14ac:dyDescent="0.3">
      <c r="B10" s="6" t="s">
        <v>15</v>
      </c>
      <c r="C10" s="22"/>
      <c r="D10" s="22"/>
      <c r="E10" s="22"/>
      <c r="F10" s="48"/>
      <c r="G10" s="22"/>
      <c r="H10" s="12">
        <f t="shared" si="0"/>
        <v>44050</v>
      </c>
    </row>
    <row r="11" spans="2:11" x14ac:dyDescent="0.3">
      <c r="B11" s="6" t="s">
        <v>26</v>
      </c>
      <c r="C11" s="22"/>
      <c r="D11" s="22">
        <v>90000</v>
      </c>
      <c r="E11" s="22"/>
      <c r="F11" s="22"/>
      <c r="G11" s="22"/>
      <c r="H11" s="12">
        <f t="shared" si="0"/>
        <v>44050</v>
      </c>
    </row>
    <row r="12" spans="2:11" x14ac:dyDescent="0.3">
      <c r="B12" s="6" t="s">
        <v>22</v>
      </c>
      <c r="C12" s="23"/>
      <c r="D12" s="23"/>
      <c r="E12" s="23"/>
      <c r="F12" s="22"/>
      <c r="G12" s="23"/>
      <c r="H12" s="12">
        <f t="shared" si="0"/>
        <v>44050</v>
      </c>
      <c r="K12" s="4"/>
    </row>
    <row r="13" spans="2:11" x14ac:dyDescent="0.3">
      <c r="B13" s="6" t="s">
        <v>19</v>
      </c>
      <c r="C13" s="22">
        <v>212000</v>
      </c>
      <c r="D13" s="22">
        <v>423000</v>
      </c>
      <c r="E13" s="22"/>
      <c r="F13" s="22">
        <v>54000</v>
      </c>
      <c r="G13" s="22"/>
      <c r="H13" s="12">
        <f t="shared" si="0"/>
        <v>44050</v>
      </c>
    </row>
    <row r="14" spans="2:11" x14ac:dyDescent="0.3">
      <c r="B14" s="6" t="s">
        <v>14</v>
      </c>
      <c r="C14" s="22">
        <v>270000</v>
      </c>
      <c r="D14" s="22"/>
      <c r="E14" s="22"/>
      <c r="F14" s="22"/>
      <c r="G14" s="22"/>
      <c r="H14" s="12">
        <f t="shared" si="0"/>
        <v>44050</v>
      </c>
    </row>
    <row r="15" spans="2:11" x14ac:dyDescent="0.3">
      <c r="B15" s="6" t="s">
        <v>24</v>
      </c>
      <c r="C15" s="22"/>
      <c r="D15" s="22"/>
      <c r="E15" s="22"/>
      <c r="F15" s="49"/>
      <c r="G15" s="22"/>
      <c r="H15" s="12">
        <f t="shared" si="0"/>
        <v>44050</v>
      </c>
    </row>
    <row r="16" spans="2:11" x14ac:dyDescent="0.3">
      <c r="B16" s="6" t="s">
        <v>21</v>
      </c>
      <c r="C16" s="22"/>
      <c r="D16" s="22"/>
      <c r="E16" s="22"/>
      <c r="F16" s="22">
        <v>162000</v>
      </c>
      <c r="G16" s="22"/>
      <c r="H16" s="12">
        <f t="shared" si="0"/>
        <v>44050</v>
      </c>
    </row>
    <row r="17" spans="1:8" x14ac:dyDescent="0.3">
      <c r="B17" s="6" t="s">
        <v>18</v>
      </c>
      <c r="C17" s="22">
        <v>49500</v>
      </c>
      <c r="D17" s="22"/>
      <c r="E17" s="22"/>
      <c r="F17" s="22"/>
      <c r="G17" s="22"/>
      <c r="H17" s="12">
        <f t="shared" si="0"/>
        <v>44050</v>
      </c>
    </row>
    <row r="18" spans="1:8" x14ac:dyDescent="0.3">
      <c r="B18" s="6" t="s">
        <v>16</v>
      </c>
      <c r="C18" s="22">
        <v>206500</v>
      </c>
      <c r="D18" s="22">
        <v>477000</v>
      </c>
      <c r="E18" s="22"/>
      <c r="F18" s="22">
        <v>374000</v>
      </c>
      <c r="G18" s="22"/>
      <c r="H18" s="12">
        <f t="shared" si="0"/>
        <v>44050</v>
      </c>
    </row>
    <row r="19" spans="1:8" x14ac:dyDescent="0.3">
      <c r="B19" s="50" t="s">
        <v>27</v>
      </c>
      <c r="C19" s="51">
        <f>SUBTOTAL(109,August07_2020[KSI_AGO])</f>
        <v>1440000</v>
      </c>
      <c r="D19" s="51">
        <f>SUBTOTAL(109,August07_2020[KSI_PMS])</f>
        <v>1098000</v>
      </c>
      <c r="E19" s="51">
        <f>SUBTOTAL(109,August07_2020[BUIPE_AGO])</f>
        <v>698000</v>
      </c>
      <c r="F19" s="51">
        <f>SUBTOTAL(109,August07_2020[BUIPE_PMS])</f>
        <v>590000</v>
      </c>
      <c r="G19" s="51">
        <f>SUBTOTAL(109,August07_2020[AKOSOMBO_AGO])</f>
        <v>536000</v>
      </c>
      <c r="H19" s="52"/>
    </row>
    <row r="20" spans="1:8" x14ac:dyDescent="0.3">
      <c r="B20" s="8"/>
      <c r="C20" s="24"/>
      <c r="D20" s="24"/>
      <c r="E20" s="24"/>
      <c r="F20" s="24"/>
      <c r="G20" s="24"/>
      <c r="H20"/>
    </row>
    <row r="21" spans="1:8" x14ac:dyDescent="0.3">
      <c r="B21" s="1" t="s">
        <v>6</v>
      </c>
      <c r="C21" s="1" t="s">
        <v>4</v>
      </c>
      <c r="D21" s="5">
        <f>SUMIF(August07_2020[[#Headers],[KSI_AGO]:[AKOSOMBO_AGO]],"*"&amp;C21,August07_2020[[#Totals],[KSI_AGO]:[AKOSOMBO_AGO]])</f>
        <v>2674000</v>
      </c>
      <c r="E21" s="1" t="s">
        <v>5</v>
      </c>
      <c r="F21" s="5">
        <f>SUMIF(August07_2020[[#Headers],[KSI_AGO]:[AKOSOMBO_AGO]],"*"&amp;E21,August07_2020[[#Totals],[KSI_AGO]:[AKOSOMBO_AGO]])</f>
        <v>1688000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9500-000000000000}">
      <formula1>INDIRECT("BDC_List[BDC List]")</formula1>
    </dataValidation>
  </dataValidations>
  <pageMargins left="0.7" right="0.7" top="0.75" bottom="0.75" header="0.3" footer="0.3"/>
  <tableParts count="1">
    <tablePart r:id="rId1"/>
  </tableParts>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codeName="Sheet151"/>
  <dimension ref="A1:K31"/>
  <sheetViews>
    <sheetView workbookViewId="0">
      <selection activeCell="D15" sqref="D15"/>
    </sheetView>
  </sheetViews>
  <sheetFormatPr defaultColWidth="9.109375" defaultRowHeight="14.4" x14ac:dyDescent="0.3"/>
  <cols>
    <col min="1" max="1" width="6.88671875" style="1" customWidth="1"/>
    <col min="2" max="2" width="18"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44051</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v>270000</v>
      </c>
      <c r="D6" s="45"/>
      <c r="E6" s="45"/>
      <c r="F6" s="45"/>
      <c r="G6" s="45"/>
      <c r="H6" s="12">
        <f t="shared" ref="H6:H18" si="0">$G$3</f>
        <v>44051</v>
      </c>
    </row>
    <row r="7" spans="2:11" x14ac:dyDescent="0.3">
      <c r="B7" s="6" t="s">
        <v>17</v>
      </c>
      <c r="C7" s="22">
        <v>324000</v>
      </c>
      <c r="D7" s="22"/>
      <c r="E7" s="22">
        <v>378000</v>
      </c>
      <c r="F7" s="22"/>
      <c r="G7" s="22">
        <v>481500</v>
      </c>
      <c r="H7" s="12">
        <f t="shared" si="0"/>
        <v>44051</v>
      </c>
    </row>
    <row r="8" spans="2:11" ht="15.6" x14ac:dyDescent="0.3">
      <c r="B8" s="34" t="s">
        <v>0</v>
      </c>
      <c r="C8" s="46"/>
      <c r="D8" s="46"/>
      <c r="E8" s="46"/>
      <c r="F8" s="46"/>
      <c r="G8" s="47"/>
      <c r="H8" s="12">
        <f t="shared" si="0"/>
        <v>44051</v>
      </c>
    </row>
    <row r="9" spans="2:11" x14ac:dyDescent="0.3">
      <c r="B9" s="6" t="s">
        <v>25</v>
      </c>
      <c r="C9" s="22"/>
      <c r="D9" s="22"/>
      <c r="E9" s="22"/>
      <c r="F9" s="22"/>
      <c r="G9" s="22"/>
      <c r="H9" s="12">
        <f t="shared" si="0"/>
        <v>44051</v>
      </c>
    </row>
    <row r="10" spans="2:11" x14ac:dyDescent="0.3">
      <c r="B10" s="6" t="s">
        <v>15</v>
      </c>
      <c r="C10" s="22"/>
      <c r="D10" s="22"/>
      <c r="E10" s="22"/>
      <c r="F10" s="48">
        <v>108000</v>
      </c>
      <c r="G10" s="22"/>
      <c r="H10" s="12">
        <f t="shared" si="0"/>
        <v>44051</v>
      </c>
    </row>
    <row r="11" spans="2:11" x14ac:dyDescent="0.3">
      <c r="B11" s="6" t="s">
        <v>26</v>
      </c>
      <c r="C11" s="22">
        <v>216000</v>
      </c>
      <c r="D11" s="22"/>
      <c r="E11" s="22"/>
      <c r="F11" s="22"/>
      <c r="G11" s="22"/>
      <c r="H11" s="12">
        <f t="shared" si="0"/>
        <v>44051</v>
      </c>
    </row>
    <row r="12" spans="2:11" x14ac:dyDescent="0.3">
      <c r="B12" s="6" t="s">
        <v>22</v>
      </c>
      <c r="C12" s="23"/>
      <c r="D12" s="23"/>
      <c r="E12" s="23"/>
      <c r="F12" s="22"/>
      <c r="G12" s="23"/>
      <c r="H12" s="12">
        <f t="shared" si="0"/>
        <v>44051</v>
      </c>
      <c r="K12" s="4"/>
    </row>
    <row r="13" spans="2:11" x14ac:dyDescent="0.3">
      <c r="B13" s="6" t="s">
        <v>19</v>
      </c>
      <c r="C13" s="22">
        <v>324000</v>
      </c>
      <c r="D13" s="22"/>
      <c r="E13" s="22"/>
      <c r="F13" s="22">
        <v>162000</v>
      </c>
      <c r="G13" s="22"/>
      <c r="H13" s="12">
        <f t="shared" si="0"/>
        <v>44051</v>
      </c>
    </row>
    <row r="14" spans="2:11" x14ac:dyDescent="0.3">
      <c r="B14" s="6" t="s">
        <v>14</v>
      </c>
      <c r="C14" s="22">
        <v>324000</v>
      </c>
      <c r="D14" s="22">
        <v>270000</v>
      </c>
      <c r="E14" s="22">
        <v>324000</v>
      </c>
      <c r="F14" s="22"/>
      <c r="G14" s="22"/>
      <c r="H14" s="12">
        <f t="shared" si="0"/>
        <v>44051</v>
      </c>
    </row>
    <row r="15" spans="2:11" x14ac:dyDescent="0.3">
      <c r="B15" s="6" t="s">
        <v>24</v>
      </c>
      <c r="C15" s="22"/>
      <c r="D15" s="22"/>
      <c r="E15" s="22"/>
      <c r="F15" s="49"/>
      <c r="G15" s="22"/>
      <c r="H15" s="12">
        <f t="shared" si="0"/>
        <v>44051</v>
      </c>
    </row>
    <row r="16" spans="2:11" x14ac:dyDescent="0.3">
      <c r="B16" s="6" t="s">
        <v>21</v>
      </c>
      <c r="C16" s="22"/>
      <c r="D16" s="22"/>
      <c r="E16" s="22"/>
      <c r="F16" s="22"/>
      <c r="G16" s="22"/>
      <c r="H16" s="12">
        <f t="shared" si="0"/>
        <v>44051</v>
      </c>
    </row>
    <row r="17" spans="1:8" x14ac:dyDescent="0.3">
      <c r="B17" s="6" t="s">
        <v>18</v>
      </c>
      <c r="C17" s="22"/>
      <c r="D17" s="22"/>
      <c r="E17" s="22"/>
      <c r="F17" s="22"/>
      <c r="G17" s="22"/>
      <c r="H17" s="12">
        <f t="shared" si="0"/>
        <v>44051</v>
      </c>
    </row>
    <row r="18" spans="1:8" x14ac:dyDescent="0.3">
      <c r="B18" s="6" t="s">
        <v>16</v>
      </c>
      <c r="C18" s="22"/>
      <c r="D18" s="22">
        <v>265000</v>
      </c>
      <c r="E18" s="22"/>
      <c r="F18" s="22">
        <v>432000</v>
      </c>
      <c r="G18" s="22"/>
      <c r="H18" s="12">
        <f t="shared" si="0"/>
        <v>44051</v>
      </c>
    </row>
    <row r="19" spans="1:8" x14ac:dyDescent="0.3">
      <c r="B19" s="50" t="s">
        <v>27</v>
      </c>
      <c r="C19" s="51">
        <f>SUBTOTAL(109,August08_2020[KSI_AGO])</f>
        <v>1458000</v>
      </c>
      <c r="D19" s="51">
        <f>SUBTOTAL(109,August08_2020[KSI_PMS])</f>
        <v>535000</v>
      </c>
      <c r="E19" s="51">
        <f>SUBTOTAL(109,August08_2020[BUIPE_AGO])</f>
        <v>702000</v>
      </c>
      <c r="F19" s="51">
        <f>SUBTOTAL(109,August08_2020[BUIPE_PMS])</f>
        <v>702000</v>
      </c>
      <c r="G19" s="51">
        <f>SUBTOTAL(109,August08_2020[AKOSOMBO_AGO])</f>
        <v>481500</v>
      </c>
      <c r="H19" s="52"/>
    </row>
    <row r="20" spans="1:8" x14ac:dyDescent="0.3">
      <c r="B20" s="8"/>
      <c r="C20" s="24"/>
      <c r="D20" s="24"/>
      <c r="E20" s="24"/>
      <c r="F20" s="24"/>
      <c r="G20" s="24"/>
      <c r="H20"/>
    </row>
    <row r="21" spans="1:8" x14ac:dyDescent="0.3">
      <c r="B21" s="1" t="s">
        <v>6</v>
      </c>
      <c r="C21" s="1" t="s">
        <v>4</v>
      </c>
      <c r="D21" s="5">
        <f>SUMIF(August08_2020[[#Headers],[KSI_AGO]:[AKOSOMBO_AGO]],"*"&amp;C21,August08_2020[[#Totals],[KSI_AGO]:[AKOSOMBO_AGO]])</f>
        <v>2641500</v>
      </c>
      <c r="E21" s="1" t="s">
        <v>5</v>
      </c>
      <c r="F21" s="5">
        <f>SUMIF(August08_2020[[#Headers],[KSI_AGO]:[AKOSOMBO_AGO]],"*"&amp;E21,August08_2020[[#Totals],[KSI_AGO]:[AKOSOMBO_AGO]])</f>
        <v>1237000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8" xr:uid="{00000000-0002-0000-9600-000000000000}">
      <formula1>INDIRECT("BDC_List[BDC List]")</formula1>
    </dataValidation>
  </dataValidations>
  <pageMargins left="0.7" right="0.7" top="0.75" bottom="0.75" header="0.3" footer="0.3"/>
  <legacyDrawing r:id="rId1"/>
  <tableParts count="1">
    <tablePart r:id="rId2"/>
  </tableParts>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codeName="Sheet152"/>
  <dimension ref="A1:K31"/>
  <sheetViews>
    <sheetView workbookViewId="0">
      <selection activeCell="C9" sqref="C9"/>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44053</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v>162000</v>
      </c>
      <c r="D6" s="45"/>
      <c r="E6" s="45"/>
      <c r="F6" s="45"/>
      <c r="G6" s="45"/>
      <c r="H6" s="12">
        <f t="shared" ref="H6:H19" si="0">$G$3</f>
        <v>44053</v>
      </c>
    </row>
    <row r="7" spans="2:11" x14ac:dyDescent="0.3">
      <c r="B7" s="6" t="s">
        <v>37</v>
      </c>
      <c r="C7" s="53">
        <v>312500</v>
      </c>
      <c r="D7" s="49"/>
      <c r="E7" s="49"/>
      <c r="F7" s="22"/>
      <c r="G7" s="49"/>
      <c r="H7" s="54">
        <f t="shared" si="0"/>
        <v>44053</v>
      </c>
    </row>
    <row r="8" spans="2:11" x14ac:dyDescent="0.3">
      <c r="B8" s="6" t="s">
        <v>17</v>
      </c>
      <c r="C8" s="22">
        <v>270000</v>
      </c>
      <c r="D8" s="22"/>
      <c r="E8" s="22">
        <v>477000</v>
      </c>
      <c r="F8" s="22"/>
      <c r="G8" s="22">
        <v>536000</v>
      </c>
      <c r="H8" s="12">
        <f t="shared" si="0"/>
        <v>44053</v>
      </c>
    </row>
    <row r="9" spans="2:11" ht="15.6" x14ac:dyDescent="0.3">
      <c r="B9" s="34" t="s">
        <v>0</v>
      </c>
      <c r="C9" s="46"/>
      <c r="D9" s="46"/>
      <c r="E9" s="46"/>
      <c r="F9" s="46"/>
      <c r="G9" s="47"/>
      <c r="H9" s="12">
        <f t="shared" si="0"/>
        <v>44053</v>
      </c>
    </row>
    <row r="10" spans="2:11" x14ac:dyDescent="0.3">
      <c r="B10" s="6" t="s">
        <v>25</v>
      </c>
      <c r="C10" s="22"/>
      <c r="D10" s="22"/>
      <c r="E10" s="22"/>
      <c r="F10" s="22">
        <v>45000</v>
      </c>
      <c r="G10" s="22"/>
      <c r="H10" s="12">
        <f t="shared" si="0"/>
        <v>44053</v>
      </c>
    </row>
    <row r="11" spans="2:11" x14ac:dyDescent="0.3">
      <c r="B11" s="6" t="s">
        <v>15</v>
      </c>
      <c r="C11" s="22"/>
      <c r="D11" s="22"/>
      <c r="E11" s="22"/>
      <c r="F11" s="48">
        <v>378000</v>
      </c>
      <c r="G11" s="22"/>
      <c r="H11" s="12">
        <f t="shared" si="0"/>
        <v>44053</v>
      </c>
    </row>
    <row r="12" spans="2:11" x14ac:dyDescent="0.3">
      <c r="B12" s="6" t="s">
        <v>26</v>
      </c>
      <c r="C12" s="22">
        <v>54000</v>
      </c>
      <c r="D12" s="22"/>
      <c r="E12" s="22"/>
      <c r="F12" s="22"/>
      <c r="G12" s="22"/>
      <c r="H12" s="12">
        <f t="shared" si="0"/>
        <v>44053</v>
      </c>
      <c r="K12" s="4"/>
    </row>
    <row r="13" spans="2:11" x14ac:dyDescent="0.3">
      <c r="B13" s="6" t="s">
        <v>22</v>
      </c>
      <c r="C13" s="23"/>
      <c r="D13" s="23"/>
      <c r="E13" s="23"/>
      <c r="F13" s="22"/>
      <c r="G13" s="23"/>
      <c r="H13" s="12">
        <f t="shared" si="0"/>
        <v>44053</v>
      </c>
    </row>
    <row r="14" spans="2:11" x14ac:dyDescent="0.3">
      <c r="B14" s="6" t="s">
        <v>19</v>
      </c>
      <c r="C14" s="22">
        <v>270000</v>
      </c>
      <c r="D14" s="22"/>
      <c r="E14" s="22"/>
      <c r="F14" s="22">
        <v>54000</v>
      </c>
      <c r="G14" s="22"/>
      <c r="H14" s="12">
        <f t="shared" si="0"/>
        <v>44053</v>
      </c>
    </row>
    <row r="15" spans="2:11" x14ac:dyDescent="0.3">
      <c r="B15" s="6" t="s">
        <v>14</v>
      </c>
      <c r="C15" s="22">
        <v>261000</v>
      </c>
      <c r="D15" s="22">
        <v>524000</v>
      </c>
      <c r="E15" s="22">
        <v>162000</v>
      </c>
      <c r="F15" s="22"/>
      <c r="G15" s="22"/>
      <c r="H15" s="12">
        <f t="shared" si="0"/>
        <v>44053</v>
      </c>
    </row>
    <row r="16" spans="2:11" x14ac:dyDescent="0.3">
      <c r="B16" s="6" t="s">
        <v>24</v>
      </c>
      <c r="C16" s="22">
        <v>162000</v>
      </c>
      <c r="D16" s="22"/>
      <c r="E16" s="22"/>
      <c r="F16" s="49"/>
      <c r="G16" s="22"/>
      <c r="H16" s="12">
        <f t="shared" si="0"/>
        <v>44053</v>
      </c>
    </row>
    <row r="17" spans="1:8" x14ac:dyDescent="0.3">
      <c r="B17" s="6" t="s">
        <v>21</v>
      </c>
      <c r="C17" s="22"/>
      <c r="D17" s="22"/>
      <c r="E17" s="22"/>
      <c r="F17" s="22"/>
      <c r="G17" s="22"/>
      <c r="H17" s="12">
        <f t="shared" si="0"/>
        <v>44053</v>
      </c>
    </row>
    <row r="18" spans="1:8" x14ac:dyDescent="0.3">
      <c r="B18" s="6" t="s">
        <v>18</v>
      </c>
      <c r="C18" s="22"/>
      <c r="D18" s="22"/>
      <c r="E18" s="22"/>
      <c r="F18" s="22"/>
      <c r="G18" s="22"/>
      <c r="H18" s="12">
        <f t="shared" si="0"/>
        <v>44053</v>
      </c>
    </row>
    <row r="19" spans="1:8" x14ac:dyDescent="0.3">
      <c r="B19" s="50" t="s">
        <v>16</v>
      </c>
      <c r="C19" s="55"/>
      <c r="D19" s="55">
        <v>360000</v>
      </c>
      <c r="E19" s="55"/>
      <c r="F19" s="55"/>
      <c r="G19" s="55"/>
      <c r="H19" s="56">
        <f t="shared" si="0"/>
        <v>44053</v>
      </c>
    </row>
    <row r="20" spans="1:8" x14ac:dyDescent="0.3">
      <c r="B20" s="50" t="s">
        <v>27</v>
      </c>
      <c r="C20" s="51">
        <f>SUBTOTAL(109,August10_2020[KSI_AGO])</f>
        <v>1491500</v>
      </c>
      <c r="D20" s="51">
        <f>SUBTOTAL(109,August10_2020[KSI_PMS])</f>
        <v>884000</v>
      </c>
      <c r="E20" s="51">
        <f>SUBTOTAL(109,August10_2020[BUIPE_AGO])</f>
        <v>639000</v>
      </c>
      <c r="F20" s="51">
        <f>SUBTOTAL(109,August10_2020[BUIPE_PMS])</f>
        <v>477000</v>
      </c>
      <c r="G20" s="51">
        <f>SUBTOTAL(109,August10_2020[AKOSOMBO_AGO])</f>
        <v>536000</v>
      </c>
      <c r="H20" s="52"/>
    </row>
    <row r="21" spans="1:8" x14ac:dyDescent="0.3">
      <c r="B21" s="1" t="s">
        <v>6</v>
      </c>
      <c r="C21" s="1" t="s">
        <v>4</v>
      </c>
      <c r="D21" s="5">
        <f>SUMIF(August10_2020[[#Headers],[KSI_AGO]:[AKOSOMBO_AGO]],"*"&amp;C21,August10_2020[[#Totals],[KSI_AGO]:[AKOSOMBO_AGO]])</f>
        <v>2666500</v>
      </c>
      <c r="E21" s="1" t="s">
        <v>5</v>
      </c>
      <c r="F21" s="5">
        <f>SUMIF(August10_2020[[#Headers],[KSI_AGO]:[AKOSOMBO_AGO]],"*"&amp;E21,August10_2020[[#Totals],[KSI_AGO]:[AKOSOMBO_AGO]])</f>
        <v>1361000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9700-000000000000}">
      <formula1>INDIRECT("BDC_List[BDC List]")</formula1>
    </dataValidation>
  </dataValidations>
  <pageMargins left="0.7" right="0.7" top="0.75" bottom="0.75" header="0.3" footer="0.3"/>
  <tableParts count="1">
    <tablePart r:id="rId1"/>
  </tableParts>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codeName="Sheet153"/>
  <dimension ref="A1:K31"/>
  <sheetViews>
    <sheetView workbookViewId="0">
      <selection activeCell="G17" sqref="G17"/>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44054</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44054</v>
      </c>
    </row>
    <row r="7" spans="2:11" x14ac:dyDescent="0.3">
      <c r="B7" s="6" t="s">
        <v>37</v>
      </c>
      <c r="C7" s="53">
        <v>256500</v>
      </c>
      <c r="D7" s="49"/>
      <c r="E7" s="49"/>
      <c r="F7" s="22"/>
      <c r="G7" s="49"/>
      <c r="H7" s="54">
        <f t="shared" si="0"/>
        <v>44054</v>
      </c>
    </row>
    <row r="8" spans="2:11" x14ac:dyDescent="0.3">
      <c r="B8" s="6" t="s">
        <v>17</v>
      </c>
      <c r="C8" s="22">
        <v>202500</v>
      </c>
      <c r="D8" s="22"/>
      <c r="E8" s="22">
        <v>432000</v>
      </c>
      <c r="F8" s="22"/>
      <c r="G8" s="22">
        <v>324000</v>
      </c>
      <c r="H8" s="12">
        <f t="shared" si="0"/>
        <v>44054</v>
      </c>
    </row>
    <row r="9" spans="2:11" ht="15.6" x14ac:dyDescent="0.3">
      <c r="B9" s="34" t="s">
        <v>0</v>
      </c>
      <c r="C9" s="46"/>
      <c r="D9" s="46"/>
      <c r="E9" s="46"/>
      <c r="F9" s="46"/>
      <c r="G9" s="47"/>
      <c r="H9" s="12">
        <f t="shared" si="0"/>
        <v>44054</v>
      </c>
    </row>
    <row r="10" spans="2:11" x14ac:dyDescent="0.3">
      <c r="B10" s="6" t="s">
        <v>25</v>
      </c>
      <c r="C10" s="22"/>
      <c r="D10" s="22"/>
      <c r="E10" s="22"/>
      <c r="F10" s="22"/>
      <c r="G10" s="22"/>
      <c r="H10" s="12">
        <f t="shared" si="0"/>
        <v>44054</v>
      </c>
    </row>
    <row r="11" spans="2:11" x14ac:dyDescent="0.3">
      <c r="B11" s="6" t="s">
        <v>15</v>
      </c>
      <c r="C11" s="22"/>
      <c r="D11" s="22"/>
      <c r="E11" s="22"/>
      <c r="F11" s="48">
        <v>162000</v>
      </c>
      <c r="G11" s="22"/>
      <c r="H11" s="12">
        <f t="shared" si="0"/>
        <v>44054</v>
      </c>
    </row>
    <row r="12" spans="2:11" x14ac:dyDescent="0.3">
      <c r="B12" s="6" t="s">
        <v>26</v>
      </c>
      <c r="C12" s="22">
        <v>108000</v>
      </c>
      <c r="D12" s="22"/>
      <c r="E12" s="22"/>
      <c r="F12" s="22"/>
      <c r="G12" s="22"/>
      <c r="H12" s="12">
        <f t="shared" si="0"/>
        <v>44054</v>
      </c>
      <c r="K12" s="4"/>
    </row>
    <row r="13" spans="2:11" x14ac:dyDescent="0.3">
      <c r="B13" s="6" t="s">
        <v>22</v>
      </c>
      <c r="C13" s="23"/>
      <c r="D13" s="23"/>
      <c r="E13" s="23"/>
      <c r="F13" s="22"/>
      <c r="G13" s="23"/>
      <c r="H13" s="12">
        <f t="shared" si="0"/>
        <v>44054</v>
      </c>
    </row>
    <row r="14" spans="2:11" x14ac:dyDescent="0.3">
      <c r="B14" s="6" t="s">
        <v>19</v>
      </c>
      <c r="C14" s="22">
        <v>315000</v>
      </c>
      <c r="D14" s="22"/>
      <c r="E14" s="22"/>
      <c r="F14" s="22"/>
      <c r="G14" s="22"/>
      <c r="H14" s="12">
        <f t="shared" si="0"/>
        <v>44054</v>
      </c>
    </row>
    <row r="15" spans="2:11" x14ac:dyDescent="0.3">
      <c r="B15" s="6" t="s">
        <v>14</v>
      </c>
      <c r="C15" s="22">
        <v>324000</v>
      </c>
      <c r="D15" s="22">
        <v>913500</v>
      </c>
      <c r="E15" s="22">
        <v>374000</v>
      </c>
      <c r="F15" s="22">
        <v>216000</v>
      </c>
      <c r="G15" s="22"/>
      <c r="H15" s="12">
        <f t="shared" si="0"/>
        <v>44054</v>
      </c>
    </row>
    <row r="16" spans="2:11" x14ac:dyDescent="0.3">
      <c r="B16" s="6" t="s">
        <v>24</v>
      </c>
      <c r="C16" s="22">
        <v>216000</v>
      </c>
      <c r="D16" s="22"/>
      <c r="E16" s="22"/>
      <c r="F16" s="49"/>
      <c r="G16" s="22"/>
      <c r="H16" s="12">
        <f t="shared" si="0"/>
        <v>44054</v>
      </c>
    </row>
    <row r="17" spans="1:8" x14ac:dyDescent="0.3">
      <c r="B17" s="6" t="s">
        <v>21</v>
      </c>
      <c r="C17" s="22"/>
      <c r="D17" s="22"/>
      <c r="E17" s="22"/>
      <c r="F17" s="22"/>
      <c r="G17" s="22"/>
      <c r="H17" s="12">
        <f t="shared" si="0"/>
        <v>44054</v>
      </c>
    </row>
    <row r="18" spans="1:8" x14ac:dyDescent="0.3">
      <c r="B18" s="6" t="s">
        <v>18</v>
      </c>
      <c r="C18" s="22"/>
      <c r="D18" s="22"/>
      <c r="E18" s="22"/>
      <c r="F18" s="22"/>
      <c r="G18" s="22"/>
      <c r="H18" s="12">
        <f t="shared" si="0"/>
        <v>44054</v>
      </c>
    </row>
    <row r="19" spans="1:8" x14ac:dyDescent="0.3">
      <c r="B19" s="50" t="s">
        <v>16</v>
      </c>
      <c r="C19" s="55">
        <v>162000</v>
      </c>
      <c r="D19" s="55"/>
      <c r="E19" s="55"/>
      <c r="F19" s="55"/>
      <c r="G19" s="55"/>
      <c r="H19" s="56">
        <f t="shared" si="0"/>
        <v>44054</v>
      </c>
    </row>
    <row r="20" spans="1:8" x14ac:dyDescent="0.3">
      <c r="B20" s="50" t="s">
        <v>27</v>
      </c>
      <c r="C20" s="51">
        <f>SUBTOTAL(109,August11_2020[KSI_AGO])</f>
        <v>1584000</v>
      </c>
      <c r="D20" s="51">
        <f>SUBTOTAL(109,August11_2020[KSI_PMS])</f>
        <v>913500</v>
      </c>
      <c r="E20" s="51">
        <f>SUBTOTAL(109,August11_2020[BUIPE_AGO])</f>
        <v>806000</v>
      </c>
      <c r="F20" s="51">
        <f>SUBTOTAL(109,August11_2020[BUIPE_PMS])</f>
        <v>378000</v>
      </c>
      <c r="G20" s="51">
        <f>SUBTOTAL(109,August11_2020[AKOSOMBO_AGO])</f>
        <v>324000</v>
      </c>
      <c r="H20" s="52"/>
    </row>
    <row r="21" spans="1:8" x14ac:dyDescent="0.3">
      <c r="B21" s="1" t="s">
        <v>6</v>
      </c>
      <c r="C21" s="1" t="s">
        <v>4</v>
      </c>
      <c r="D21" s="5">
        <f>SUMIF(August11_2020[[#Headers],[KSI_AGO]:[AKOSOMBO_AGO]],"*"&amp;C21,August11_2020[[#Totals],[KSI_AGO]:[AKOSOMBO_AGO]])</f>
        <v>2714000</v>
      </c>
      <c r="E21" s="1" t="s">
        <v>5</v>
      </c>
      <c r="F21" s="5">
        <f>SUMIF(August11_2020[[#Headers],[KSI_AGO]:[AKOSOMBO_AGO]],"*"&amp;E21,August11_2020[[#Totals],[KSI_AGO]:[AKOSOMBO_AGO]])</f>
        <v>1291500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9800-000000000000}">
      <formula1>INDIRECT("BDC_List[BDC List]")</formula1>
    </dataValidation>
  </dataValidations>
  <pageMargins left="0.7" right="0.7" top="0.75" bottom="0.75" header="0.3" footer="0.3"/>
  <tableParts count="1">
    <tablePart r:id="rId1"/>
  </tableParts>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codeName="Sheet154"/>
  <dimension ref="A1:K31"/>
  <sheetViews>
    <sheetView zoomScale="90" zoomScaleNormal="90" workbookViewId="0">
      <selection activeCell="F15" sqref="F15"/>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44055</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44055</v>
      </c>
    </row>
    <row r="7" spans="2:11" x14ac:dyDescent="0.3">
      <c r="B7" s="6" t="s">
        <v>37</v>
      </c>
      <c r="C7" s="53">
        <v>162000</v>
      </c>
      <c r="D7" s="49"/>
      <c r="E7" s="49"/>
      <c r="F7" s="22"/>
      <c r="G7" s="49"/>
      <c r="H7" s="54">
        <f t="shared" si="0"/>
        <v>44055</v>
      </c>
    </row>
    <row r="8" spans="2:11" x14ac:dyDescent="0.3">
      <c r="B8" s="6" t="s">
        <v>17</v>
      </c>
      <c r="C8" s="22">
        <v>211500</v>
      </c>
      <c r="D8" s="22"/>
      <c r="E8" s="22">
        <v>513000</v>
      </c>
      <c r="F8" s="22"/>
      <c r="G8" s="22">
        <v>198000</v>
      </c>
      <c r="H8" s="12">
        <f t="shared" si="0"/>
        <v>44055</v>
      </c>
    </row>
    <row r="9" spans="2:11" ht="15.6" x14ac:dyDescent="0.3">
      <c r="B9" s="34" t="s">
        <v>0</v>
      </c>
      <c r="C9" s="46"/>
      <c r="D9" s="46"/>
      <c r="E9" s="46"/>
      <c r="F9" s="46"/>
      <c r="G9" s="47"/>
      <c r="H9" s="12">
        <f t="shared" si="0"/>
        <v>44055</v>
      </c>
    </row>
    <row r="10" spans="2:11" x14ac:dyDescent="0.3">
      <c r="B10" s="6" t="s">
        <v>25</v>
      </c>
      <c r="C10" s="22"/>
      <c r="D10" s="22"/>
      <c r="E10" s="22"/>
      <c r="F10" s="22"/>
      <c r="G10" s="22"/>
      <c r="H10" s="12">
        <f t="shared" si="0"/>
        <v>44055</v>
      </c>
    </row>
    <row r="11" spans="2:11" x14ac:dyDescent="0.3">
      <c r="B11" s="6" t="s">
        <v>15</v>
      </c>
      <c r="C11" s="22"/>
      <c r="D11" s="22">
        <v>324000</v>
      </c>
      <c r="E11" s="22"/>
      <c r="F11" s="48"/>
      <c r="G11" s="22"/>
      <c r="H11" s="12">
        <f t="shared" si="0"/>
        <v>44055</v>
      </c>
    </row>
    <row r="12" spans="2:11" x14ac:dyDescent="0.3">
      <c r="B12" s="6" t="s">
        <v>26</v>
      </c>
      <c r="C12" s="22"/>
      <c r="D12" s="22"/>
      <c r="E12" s="22"/>
      <c r="F12" s="22"/>
      <c r="G12" s="22"/>
      <c r="H12" s="12">
        <f t="shared" si="0"/>
        <v>44055</v>
      </c>
      <c r="K12" s="4"/>
    </row>
    <row r="13" spans="2:11" x14ac:dyDescent="0.3">
      <c r="B13" s="6" t="s">
        <v>22</v>
      </c>
      <c r="C13" s="23"/>
      <c r="D13" s="23">
        <v>459000</v>
      </c>
      <c r="E13" s="23"/>
      <c r="F13" s="22"/>
      <c r="G13" s="23"/>
      <c r="H13" s="12">
        <f t="shared" si="0"/>
        <v>44055</v>
      </c>
    </row>
    <row r="14" spans="2:11" x14ac:dyDescent="0.3">
      <c r="B14" s="6" t="s">
        <v>19</v>
      </c>
      <c r="C14" s="22">
        <v>162000</v>
      </c>
      <c r="D14" s="22">
        <v>414000</v>
      </c>
      <c r="E14" s="22">
        <v>423000</v>
      </c>
      <c r="F14" s="22"/>
      <c r="G14" s="22"/>
      <c r="H14" s="12">
        <f t="shared" si="0"/>
        <v>44055</v>
      </c>
    </row>
    <row r="15" spans="2:11" x14ac:dyDescent="0.3">
      <c r="B15" s="6" t="s">
        <v>14</v>
      </c>
      <c r="C15" s="22">
        <v>266000</v>
      </c>
      <c r="D15" s="22">
        <v>459000</v>
      </c>
      <c r="E15" s="22">
        <v>262000</v>
      </c>
      <c r="F15" s="22"/>
      <c r="G15" s="22"/>
      <c r="H15" s="12">
        <f t="shared" si="0"/>
        <v>44055</v>
      </c>
    </row>
    <row r="16" spans="2:11" x14ac:dyDescent="0.3">
      <c r="B16" s="6" t="s">
        <v>24</v>
      </c>
      <c r="C16" s="22">
        <v>157500</v>
      </c>
      <c r="D16" s="22"/>
      <c r="E16" s="22"/>
      <c r="F16" s="49"/>
      <c r="G16" s="22"/>
      <c r="H16" s="12">
        <f t="shared" si="0"/>
        <v>44055</v>
      </c>
    </row>
    <row r="17" spans="1:8" x14ac:dyDescent="0.3">
      <c r="B17" s="6" t="s">
        <v>21</v>
      </c>
      <c r="C17" s="22"/>
      <c r="D17" s="22"/>
      <c r="E17" s="22"/>
      <c r="F17" s="22"/>
      <c r="G17" s="22"/>
      <c r="H17" s="12">
        <f t="shared" si="0"/>
        <v>44055</v>
      </c>
    </row>
    <row r="18" spans="1:8" x14ac:dyDescent="0.3">
      <c r="B18" s="6" t="s">
        <v>18</v>
      </c>
      <c r="C18" s="22"/>
      <c r="D18" s="22"/>
      <c r="E18" s="22"/>
      <c r="F18" s="22"/>
      <c r="G18" s="22"/>
      <c r="H18" s="12">
        <f t="shared" si="0"/>
        <v>44055</v>
      </c>
    </row>
    <row r="19" spans="1:8" x14ac:dyDescent="0.3">
      <c r="B19" s="50" t="s">
        <v>16</v>
      </c>
      <c r="C19" s="55"/>
      <c r="D19" s="55"/>
      <c r="E19" s="55"/>
      <c r="F19" s="55"/>
      <c r="G19" s="55"/>
      <c r="H19" s="56">
        <f t="shared" si="0"/>
        <v>44055</v>
      </c>
    </row>
    <row r="20" spans="1:8" x14ac:dyDescent="0.3">
      <c r="B20" s="50" t="s">
        <v>27</v>
      </c>
      <c r="C20" s="51">
        <f>SUBTOTAL(109,August12_2020[KSI_AGO])</f>
        <v>959000</v>
      </c>
      <c r="D20" s="51">
        <f>SUBTOTAL(109,August12_2020[KSI_PMS])</f>
        <v>1656000</v>
      </c>
      <c r="E20" s="51">
        <f>SUBTOTAL(109,August12_2020[BUIPE_AGO])</f>
        <v>1198000</v>
      </c>
      <c r="F20" s="51">
        <f>SUBTOTAL(109,August12_2020[BUIPE_PMS])</f>
        <v>0</v>
      </c>
      <c r="G20" s="51">
        <f>SUBTOTAL(109,August12_2020[AKOSOMBO_AGO])</f>
        <v>198000</v>
      </c>
      <c r="H20" s="52"/>
    </row>
    <row r="21" spans="1:8" x14ac:dyDescent="0.3">
      <c r="B21" s="1" t="s">
        <v>6</v>
      </c>
      <c r="C21" s="1" t="s">
        <v>4</v>
      </c>
      <c r="D21" s="5">
        <f>SUMIF(August12_2020[[#Headers],[KSI_AGO]:[AKOSOMBO_AGO]],"*"&amp;C21,August12_2020[[#Totals],[KSI_AGO]:[AKOSOMBO_AGO]])</f>
        <v>2355000</v>
      </c>
      <c r="E21" s="1" t="s">
        <v>5</v>
      </c>
      <c r="F21" s="5">
        <f>SUMIF(August12_2020[[#Headers],[KSI_AGO]:[AKOSOMBO_AGO]],"*"&amp;E21,August12_2020[[#Totals],[KSI_AGO]:[AKOSOMBO_AGO]])</f>
        <v>1656000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9900-000000000000}">
      <formula1>INDIRECT("BDC_List[BDC List]")</formula1>
    </dataValidation>
  </dataValidations>
  <pageMargins left="0.7" right="0.7" top="0.75" bottom="0.75" header="0.3" footer="0.3"/>
  <tableParts count="1">
    <tablePart r:id="rId1"/>
  </tableParts>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codeName="Sheet155"/>
  <dimension ref="A1:K31"/>
  <sheetViews>
    <sheetView zoomScale="90" zoomScaleNormal="90" workbookViewId="0">
      <selection activeCell="G17" sqref="G17"/>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44056</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44056</v>
      </c>
    </row>
    <row r="7" spans="2:11" x14ac:dyDescent="0.3">
      <c r="B7" s="6" t="s">
        <v>37</v>
      </c>
      <c r="C7" s="53">
        <v>162000</v>
      </c>
      <c r="D7" s="53">
        <v>162000</v>
      </c>
      <c r="E7" s="49"/>
      <c r="F7" s="22"/>
      <c r="G7" s="49"/>
      <c r="H7" s="12">
        <f t="shared" si="0"/>
        <v>44056</v>
      </c>
    </row>
    <row r="8" spans="2:11" x14ac:dyDescent="0.3">
      <c r="B8" s="6" t="s">
        <v>17</v>
      </c>
      <c r="C8" s="57">
        <v>270000</v>
      </c>
      <c r="D8" s="22"/>
      <c r="E8" s="22"/>
      <c r="F8" s="22"/>
      <c r="G8" s="22"/>
      <c r="H8" s="12">
        <f t="shared" si="0"/>
        <v>44056</v>
      </c>
    </row>
    <row r="9" spans="2:11" ht="15.6" x14ac:dyDescent="0.3">
      <c r="B9" s="34" t="s">
        <v>0</v>
      </c>
      <c r="C9" s="46">
        <v>216000</v>
      </c>
      <c r="D9" s="46"/>
      <c r="E9" s="46"/>
      <c r="F9" s="46"/>
      <c r="G9" s="47"/>
      <c r="H9" s="12">
        <f t="shared" si="0"/>
        <v>44056</v>
      </c>
    </row>
    <row r="10" spans="2:11" x14ac:dyDescent="0.3">
      <c r="B10" s="6" t="s">
        <v>25</v>
      </c>
      <c r="C10" s="22"/>
      <c r="D10" s="22"/>
      <c r="E10" s="22"/>
      <c r="F10" s="22"/>
      <c r="G10" s="22"/>
      <c r="H10" s="12">
        <f t="shared" si="0"/>
        <v>44056</v>
      </c>
    </row>
    <row r="11" spans="2:11" x14ac:dyDescent="0.3">
      <c r="B11" s="6" t="s">
        <v>15</v>
      </c>
      <c r="C11" s="22"/>
      <c r="D11" s="22">
        <v>585000</v>
      </c>
      <c r="E11" s="22"/>
      <c r="F11" s="48"/>
      <c r="G11" s="22"/>
      <c r="H11" s="12">
        <f t="shared" si="0"/>
        <v>44056</v>
      </c>
    </row>
    <row r="12" spans="2:11" x14ac:dyDescent="0.3">
      <c r="B12" s="6" t="s">
        <v>26</v>
      </c>
      <c r="C12" s="22"/>
      <c r="D12" s="22"/>
      <c r="E12" s="22"/>
      <c r="F12" s="22"/>
      <c r="G12" s="22"/>
      <c r="H12" s="12">
        <f t="shared" si="0"/>
        <v>44056</v>
      </c>
      <c r="K12" s="4"/>
    </row>
    <row r="13" spans="2:11" x14ac:dyDescent="0.3">
      <c r="B13" s="6" t="s">
        <v>22</v>
      </c>
      <c r="C13" s="23"/>
      <c r="D13" s="23">
        <v>216000</v>
      </c>
      <c r="E13" s="23"/>
      <c r="F13" s="22"/>
      <c r="G13" s="23"/>
      <c r="H13" s="12">
        <f t="shared" si="0"/>
        <v>44056</v>
      </c>
    </row>
    <row r="14" spans="2:11" x14ac:dyDescent="0.3">
      <c r="B14" s="6" t="s">
        <v>19</v>
      </c>
      <c r="C14" s="22">
        <v>315000</v>
      </c>
      <c r="D14" s="22"/>
      <c r="E14" s="22">
        <v>378000</v>
      </c>
      <c r="F14" s="22"/>
      <c r="G14" s="22"/>
      <c r="H14" s="12">
        <f t="shared" si="0"/>
        <v>44056</v>
      </c>
    </row>
    <row r="15" spans="2:11" x14ac:dyDescent="0.3">
      <c r="B15" s="6" t="s">
        <v>14</v>
      </c>
      <c r="C15" s="22">
        <v>216000</v>
      </c>
      <c r="D15" s="22">
        <v>324000</v>
      </c>
      <c r="E15" s="22">
        <v>864000</v>
      </c>
      <c r="F15" s="22"/>
      <c r="G15" s="22"/>
      <c r="H15" s="12">
        <f t="shared" si="0"/>
        <v>44056</v>
      </c>
    </row>
    <row r="16" spans="2:11" x14ac:dyDescent="0.3">
      <c r="B16" s="6" t="s">
        <v>24</v>
      </c>
      <c r="C16" s="22">
        <v>216000</v>
      </c>
      <c r="D16" s="22"/>
      <c r="E16" s="22"/>
      <c r="F16" s="49"/>
      <c r="G16" s="22"/>
      <c r="H16" s="12">
        <f t="shared" si="0"/>
        <v>44056</v>
      </c>
    </row>
    <row r="17" spans="1:8" x14ac:dyDescent="0.3">
      <c r="B17" s="6" t="s">
        <v>21</v>
      </c>
      <c r="C17" s="22"/>
      <c r="D17" s="22"/>
      <c r="E17" s="22"/>
      <c r="F17" s="22"/>
      <c r="G17" s="22"/>
      <c r="H17" s="12">
        <f t="shared" si="0"/>
        <v>44056</v>
      </c>
    </row>
    <row r="18" spans="1:8" x14ac:dyDescent="0.3">
      <c r="B18" s="6" t="s">
        <v>18</v>
      </c>
      <c r="C18" s="22"/>
      <c r="D18" s="22"/>
      <c r="E18" s="22"/>
      <c r="F18" s="22"/>
      <c r="G18" s="22"/>
      <c r="H18" s="12">
        <f t="shared" si="0"/>
        <v>44056</v>
      </c>
    </row>
    <row r="19" spans="1:8" x14ac:dyDescent="0.3">
      <c r="B19" s="50" t="s">
        <v>16</v>
      </c>
      <c r="C19" s="55"/>
      <c r="D19" s="55"/>
      <c r="E19" s="55"/>
      <c r="F19" s="55"/>
      <c r="G19" s="55"/>
      <c r="H19" s="56">
        <f t="shared" si="0"/>
        <v>44056</v>
      </c>
    </row>
    <row r="20" spans="1:8" x14ac:dyDescent="0.3">
      <c r="B20" s="50" t="s">
        <v>27</v>
      </c>
      <c r="C20" s="51">
        <f>SUBTOTAL(109,August13_2020[KSI_AGO])</f>
        <v>1395000</v>
      </c>
      <c r="D20" s="51">
        <f>SUBTOTAL(109,August13_2020[KSI_PMS])</f>
        <v>1287000</v>
      </c>
      <c r="E20" s="51">
        <f>SUBTOTAL(109,August13_2020[BUIPE_AGO])</f>
        <v>1242000</v>
      </c>
      <c r="F20" s="51">
        <f>SUBTOTAL(109,August13_2020[BUIPE_PMS])</f>
        <v>0</v>
      </c>
      <c r="G20" s="51">
        <f>SUBTOTAL(109,August13_2020[AKOSOMBO_AGO])</f>
        <v>0</v>
      </c>
      <c r="H20" s="52"/>
    </row>
    <row r="21" spans="1:8" x14ac:dyDescent="0.3">
      <c r="B21" s="1" t="s">
        <v>6</v>
      </c>
      <c r="C21" s="1" t="s">
        <v>4</v>
      </c>
      <c r="D21" s="5">
        <f>SUMIF(August13_2020[[#Headers],[KSI_AGO]:[AKOSOMBO_AGO]],"*"&amp;C21,August13_2020[[#Totals],[KSI_AGO]:[AKOSOMBO_AGO]])</f>
        <v>2637000</v>
      </c>
      <c r="E21" s="1" t="s">
        <v>5</v>
      </c>
      <c r="F21" s="5">
        <f>SUMIF(August13_2020[[#Headers],[KSI_AGO]:[AKOSOMBO_AGO]],"*"&amp;E21,August13_2020[[#Totals],[KSI_AGO]:[AKOSOMBO_AGO]])</f>
        <v>1287000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9A00-000000000000}">
      <formula1>INDIRECT("BDC_List[BDC List]")</formula1>
    </dataValidation>
  </dataValidations>
  <pageMargins left="0.7" right="0.7" top="0.75" bottom="0.75" header="0.3" footer="0.3"/>
  <tableParts count="1">
    <tablePart r:id="rId1"/>
  </tableParts>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codeName="Sheet156"/>
  <dimension ref="A1:K31"/>
  <sheetViews>
    <sheetView zoomScale="90" zoomScaleNormal="90" workbookViewId="0">
      <selection activeCell="E14" sqref="E14"/>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44057</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58">
        <v>162000</v>
      </c>
      <c r="D6" s="45"/>
      <c r="E6" s="45"/>
      <c r="F6" s="45"/>
      <c r="G6" s="45"/>
      <c r="H6" s="12">
        <f t="shared" ref="H6:H19" si="0">$G$3</f>
        <v>44057</v>
      </c>
    </row>
    <row r="7" spans="2:11" x14ac:dyDescent="0.3">
      <c r="B7" s="6" t="s">
        <v>37</v>
      </c>
      <c r="C7" s="59">
        <v>103500</v>
      </c>
      <c r="D7" s="53">
        <v>154000</v>
      </c>
      <c r="E7" s="49"/>
      <c r="F7" s="22"/>
      <c r="G7" s="49"/>
      <c r="H7" s="12">
        <f t="shared" si="0"/>
        <v>44057</v>
      </c>
    </row>
    <row r="8" spans="2:11" x14ac:dyDescent="0.3">
      <c r="B8" s="6" t="s">
        <v>17</v>
      </c>
      <c r="C8" s="57">
        <v>216000</v>
      </c>
      <c r="D8" s="22"/>
      <c r="E8" s="22"/>
      <c r="F8" s="22"/>
      <c r="G8" s="22"/>
      <c r="H8" s="12">
        <f t="shared" si="0"/>
        <v>44057</v>
      </c>
    </row>
    <row r="9" spans="2:11" ht="15.6" x14ac:dyDescent="0.3">
      <c r="B9" s="34" t="s">
        <v>0</v>
      </c>
      <c r="C9" s="46">
        <v>378000</v>
      </c>
      <c r="D9" s="46"/>
      <c r="E9" s="46"/>
      <c r="F9" s="46"/>
      <c r="G9" s="47"/>
      <c r="H9" s="12">
        <f t="shared" si="0"/>
        <v>44057</v>
      </c>
    </row>
    <row r="10" spans="2:11" x14ac:dyDescent="0.3">
      <c r="B10" s="6" t="s">
        <v>25</v>
      </c>
      <c r="C10" s="22"/>
      <c r="D10" s="22">
        <v>144000</v>
      </c>
      <c r="E10" s="22"/>
      <c r="F10" s="22"/>
      <c r="G10" s="22"/>
      <c r="H10" s="12">
        <f t="shared" si="0"/>
        <v>44057</v>
      </c>
    </row>
    <row r="11" spans="2:11" x14ac:dyDescent="0.3">
      <c r="B11" s="6" t="s">
        <v>15</v>
      </c>
      <c r="C11" s="22"/>
      <c r="D11" s="22">
        <v>162000</v>
      </c>
      <c r="E11" s="22"/>
      <c r="F11" s="48">
        <v>162000</v>
      </c>
      <c r="G11" s="22"/>
      <c r="H11" s="12">
        <f t="shared" si="0"/>
        <v>44057</v>
      </c>
    </row>
    <row r="12" spans="2:11" x14ac:dyDescent="0.3">
      <c r="B12" s="6" t="s">
        <v>26</v>
      </c>
      <c r="C12" s="22"/>
      <c r="D12" s="22">
        <v>54000</v>
      </c>
      <c r="E12" s="22">
        <v>162000</v>
      </c>
      <c r="F12" s="22">
        <v>162000</v>
      </c>
      <c r="G12" s="22"/>
      <c r="H12" s="12">
        <f t="shared" si="0"/>
        <v>44057</v>
      </c>
      <c r="K12" s="4"/>
    </row>
    <row r="13" spans="2:11" x14ac:dyDescent="0.3">
      <c r="B13" s="6" t="s">
        <v>22</v>
      </c>
      <c r="C13" s="23"/>
      <c r="D13" s="23">
        <v>270000</v>
      </c>
      <c r="E13" s="23"/>
      <c r="F13" s="22"/>
      <c r="G13" s="23"/>
      <c r="H13" s="12">
        <f t="shared" si="0"/>
        <v>44057</v>
      </c>
    </row>
    <row r="14" spans="2:11" x14ac:dyDescent="0.3">
      <c r="B14" s="6" t="s">
        <v>19</v>
      </c>
      <c r="C14" s="22">
        <v>320000</v>
      </c>
      <c r="D14" s="22">
        <v>738000</v>
      </c>
      <c r="E14" s="22">
        <v>162000</v>
      </c>
      <c r="F14" s="22"/>
      <c r="G14" s="22"/>
      <c r="H14" s="12">
        <f t="shared" si="0"/>
        <v>44057</v>
      </c>
    </row>
    <row r="15" spans="2:11" x14ac:dyDescent="0.3">
      <c r="B15" s="6" t="s">
        <v>14</v>
      </c>
      <c r="C15" s="22">
        <v>580500</v>
      </c>
      <c r="D15" s="22">
        <v>100000</v>
      </c>
      <c r="E15" s="22">
        <v>576000</v>
      </c>
      <c r="F15" s="22"/>
      <c r="G15" s="22"/>
      <c r="H15" s="12">
        <f t="shared" si="0"/>
        <v>44057</v>
      </c>
    </row>
    <row r="16" spans="2:11" x14ac:dyDescent="0.3">
      <c r="B16" s="6" t="s">
        <v>24</v>
      </c>
      <c r="C16" s="22"/>
      <c r="D16" s="22"/>
      <c r="E16" s="22">
        <v>108000</v>
      </c>
      <c r="F16" s="49"/>
      <c r="G16" s="22"/>
      <c r="H16" s="12">
        <f t="shared" si="0"/>
        <v>44057</v>
      </c>
    </row>
    <row r="17" spans="1:8" x14ac:dyDescent="0.3">
      <c r="B17" s="6" t="s">
        <v>21</v>
      </c>
      <c r="C17" s="22"/>
      <c r="D17" s="22"/>
      <c r="E17" s="22"/>
      <c r="F17" s="22"/>
      <c r="G17" s="22"/>
      <c r="H17" s="12">
        <f t="shared" si="0"/>
        <v>44057</v>
      </c>
    </row>
    <row r="18" spans="1:8" x14ac:dyDescent="0.3">
      <c r="B18" s="6" t="s">
        <v>18</v>
      </c>
      <c r="C18" s="22"/>
      <c r="D18" s="22"/>
      <c r="E18" s="22"/>
      <c r="F18" s="22"/>
      <c r="G18" s="22"/>
      <c r="H18" s="12">
        <f t="shared" si="0"/>
        <v>44057</v>
      </c>
    </row>
    <row r="19" spans="1:8" x14ac:dyDescent="0.3">
      <c r="B19" s="50" t="s">
        <v>16</v>
      </c>
      <c r="C19" s="55">
        <v>104000</v>
      </c>
      <c r="D19" s="55">
        <v>108000</v>
      </c>
      <c r="E19" s="55"/>
      <c r="F19" s="55">
        <v>45000</v>
      </c>
      <c r="G19" s="55"/>
      <c r="H19" s="56">
        <f t="shared" si="0"/>
        <v>44057</v>
      </c>
    </row>
    <row r="20" spans="1:8" x14ac:dyDescent="0.3">
      <c r="B20" s="50" t="s">
        <v>27</v>
      </c>
      <c r="C20" s="51">
        <f>SUBTOTAL(109,August14_2020[KSI_AGO])</f>
        <v>1864000</v>
      </c>
      <c r="D20" s="51">
        <f>SUBTOTAL(109,August14_2020[KSI_PMS])</f>
        <v>1730000</v>
      </c>
      <c r="E20" s="51">
        <f>SUBTOTAL(109,August14_2020[BUIPE_AGO])</f>
        <v>1008000</v>
      </c>
      <c r="F20" s="51">
        <f>SUBTOTAL(109,August14_2020[BUIPE_PMS])</f>
        <v>369000</v>
      </c>
      <c r="G20" s="51">
        <f>SUBTOTAL(109,August14_2020[AKOSOMBO_AGO])</f>
        <v>0</v>
      </c>
      <c r="H20" s="52"/>
    </row>
    <row r="21" spans="1:8" x14ac:dyDescent="0.3">
      <c r="B21" s="1" t="s">
        <v>6</v>
      </c>
      <c r="C21" s="1" t="s">
        <v>4</v>
      </c>
      <c r="D21" s="5">
        <f>SUMIF(August14_2020[[#Headers],[KSI_AGO]:[AKOSOMBO_AGO]],"*"&amp;C21,August14_2020[[#Totals],[KSI_AGO]:[AKOSOMBO_AGO]])</f>
        <v>2872000</v>
      </c>
      <c r="E21" s="1" t="s">
        <v>5</v>
      </c>
      <c r="F21" s="5">
        <f>SUMIF(August14_2020[[#Headers],[KSI_AGO]:[AKOSOMBO_AGO]],"*"&amp;E21,August14_2020[[#Totals],[KSI_AGO]:[AKOSOMBO_AGO]])</f>
        <v>2099000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9B00-000000000000}">
      <formula1>INDIRECT("BDC_List[BDC List]")</formula1>
    </dataValidation>
  </dataValidations>
  <pageMargins left="0.7" right="0.7" top="0.75" bottom="0.75" header="0.3" footer="0.3"/>
  <tableParts count="1">
    <tablePart r:id="rId1"/>
  </tableParts>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codeName="Sheet157"/>
  <dimension ref="A1:K31"/>
  <sheetViews>
    <sheetView zoomScale="90" zoomScaleNormal="90" workbookViewId="0">
      <selection activeCell="E9" sqref="E9"/>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44058</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44058</v>
      </c>
    </row>
    <row r="7" spans="2:11" x14ac:dyDescent="0.3">
      <c r="B7" s="6" t="s">
        <v>37</v>
      </c>
      <c r="C7" s="53">
        <v>108000</v>
      </c>
      <c r="D7" s="53">
        <v>320000</v>
      </c>
      <c r="E7" s="49"/>
      <c r="F7" s="22"/>
      <c r="G7" s="49"/>
      <c r="H7" s="12">
        <f t="shared" si="0"/>
        <v>44058</v>
      </c>
    </row>
    <row r="8" spans="2:11" x14ac:dyDescent="0.3">
      <c r="B8" s="6" t="s">
        <v>17</v>
      </c>
      <c r="C8" s="22">
        <v>270000</v>
      </c>
      <c r="D8" s="22"/>
      <c r="E8" s="22"/>
      <c r="F8" s="22">
        <v>90000</v>
      </c>
      <c r="G8" s="22"/>
      <c r="H8" s="12">
        <f t="shared" si="0"/>
        <v>44058</v>
      </c>
    </row>
    <row r="9" spans="2:11" ht="15.6" x14ac:dyDescent="0.3">
      <c r="B9" s="34" t="s">
        <v>0</v>
      </c>
      <c r="C9" s="60">
        <v>263000</v>
      </c>
      <c r="D9" s="60"/>
      <c r="E9" s="60"/>
      <c r="F9" s="60"/>
      <c r="G9" s="61">
        <v>108000</v>
      </c>
      <c r="H9" s="12">
        <f t="shared" si="0"/>
        <v>44058</v>
      </c>
    </row>
    <row r="10" spans="2:11" x14ac:dyDescent="0.3">
      <c r="B10" s="6" t="s">
        <v>25</v>
      </c>
      <c r="C10" s="22">
        <v>108000</v>
      </c>
      <c r="D10" s="22"/>
      <c r="E10" s="22"/>
      <c r="F10" s="22">
        <v>45000</v>
      </c>
      <c r="G10" s="22"/>
      <c r="H10" s="12">
        <f t="shared" si="0"/>
        <v>44058</v>
      </c>
    </row>
    <row r="11" spans="2:11" x14ac:dyDescent="0.3">
      <c r="B11" s="6" t="s">
        <v>15</v>
      </c>
      <c r="C11" s="22">
        <v>216000</v>
      </c>
      <c r="D11" s="22">
        <v>428000</v>
      </c>
      <c r="E11" s="22">
        <v>590000</v>
      </c>
      <c r="F11" s="48">
        <v>594000</v>
      </c>
      <c r="G11" s="22"/>
      <c r="H11" s="12">
        <f t="shared" si="0"/>
        <v>44058</v>
      </c>
    </row>
    <row r="12" spans="2:11" x14ac:dyDescent="0.3">
      <c r="B12" s="6" t="s">
        <v>26</v>
      </c>
      <c r="C12" s="22">
        <v>216000</v>
      </c>
      <c r="D12" s="22">
        <v>309000</v>
      </c>
      <c r="E12" s="22"/>
      <c r="F12" s="22">
        <v>216000</v>
      </c>
      <c r="G12" s="22"/>
      <c r="H12" s="12">
        <f t="shared" si="0"/>
        <v>44058</v>
      </c>
      <c r="K12" s="4"/>
    </row>
    <row r="13" spans="2:11" x14ac:dyDescent="0.3">
      <c r="B13" s="6" t="s">
        <v>22</v>
      </c>
      <c r="C13" s="23"/>
      <c r="D13" s="23"/>
      <c r="E13" s="23"/>
      <c r="F13" s="22"/>
      <c r="G13" s="23"/>
      <c r="H13" s="12">
        <f t="shared" si="0"/>
        <v>44058</v>
      </c>
    </row>
    <row r="14" spans="2:11" x14ac:dyDescent="0.3">
      <c r="B14" s="6" t="s">
        <v>19</v>
      </c>
      <c r="C14" s="22"/>
      <c r="D14" s="22"/>
      <c r="E14" s="22"/>
      <c r="F14" s="22"/>
      <c r="G14" s="22"/>
      <c r="H14" s="12">
        <f t="shared" si="0"/>
        <v>44058</v>
      </c>
    </row>
    <row r="15" spans="2:11" x14ac:dyDescent="0.3">
      <c r="B15" s="6" t="s">
        <v>14</v>
      </c>
      <c r="C15" s="22">
        <v>378000</v>
      </c>
      <c r="D15" s="22">
        <v>262000</v>
      </c>
      <c r="E15" s="22">
        <v>216000</v>
      </c>
      <c r="F15" s="22"/>
      <c r="G15" s="22"/>
      <c r="H15" s="12">
        <f t="shared" si="0"/>
        <v>44058</v>
      </c>
    </row>
    <row r="16" spans="2:11" x14ac:dyDescent="0.3">
      <c r="B16" s="6" t="s">
        <v>24</v>
      </c>
      <c r="C16" s="22">
        <v>108000</v>
      </c>
      <c r="D16" s="22"/>
      <c r="E16" s="22"/>
      <c r="F16" s="49"/>
      <c r="G16" s="22"/>
      <c r="H16" s="12">
        <f t="shared" si="0"/>
        <v>44058</v>
      </c>
    </row>
    <row r="17" spans="1:8" x14ac:dyDescent="0.3">
      <c r="B17" s="6" t="s">
        <v>21</v>
      </c>
      <c r="C17" s="22">
        <v>108000</v>
      </c>
      <c r="D17" s="22"/>
      <c r="E17" s="22"/>
      <c r="F17" s="22"/>
      <c r="G17" s="22"/>
      <c r="H17" s="12">
        <f t="shared" si="0"/>
        <v>44058</v>
      </c>
    </row>
    <row r="18" spans="1:8" x14ac:dyDescent="0.3">
      <c r="B18" s="6" t="s">
        <v>18</v>
      </c>
      <c r="C18" s="22"/>
      <c r="D18" s="22"/>
      <c r="E18" s="22"/>
      <c r="F18" s="22"/>
      <c r="G18" s="22"/>
      <c r="H18" s="12">
        <f t="shared" si="0"/>
        <v>44058</v>
      </c>
    </row>
    <row r="19" spans="1:8" x14ac:dyDescent="0.3">
      <c r="B19" s="50" t="s">
        <v>16</v>
      </c>
      <c r="C19" s="55"/>
      <c r="D19" s="55">
        <v>54000</v>
      </c>
      <c r="E19" s="55"/>
      <c r="F19" s="55"/>
      <c r="G19" s="55"/>
      <c r="H19" s="56">
        <f t="shared" si="0"/>
        <v>44058</v>
      </c>
    </row>
    <row r="20" spans="1:8" x14ac:dyDescent="0.3">
      <c r="B20" s="50" t="s">
        <v>27</v>
      </c>
      <c r="C20" s="51">
        <f>SUBTOTAL(109,August15_2020[KSI_AGO])</f>
        <v>1775000</v>
      </c>
      <c r="D20" s="51">
        <f>SUBTOTAL(109,August15_2020[KSI_PMS])</f>
        <v>1373000</v>
      </c>
      <c r="E20" s="51">
        <f>SUBTOTAL(109,August15_2020[BUIPE_AGO])</f>
        <v>806000</v>
      </c>
      <c r="F20" s="51">
        <f>SUBTOTAL(109,August15_2020[BUIPE_PMS])</f>
        <v>945000</v>
      </c>
      <c r="G20" s="51">
        <f>SUBTOTAL(109,August15_2020[AKOSOMBO_AGO])</f>
        <v>108000</v>
      </c>
      <c r="H20" s="52"/>
    </row>
    <row r="21" spans="1:8" x14ac:dyDescent="0.3">
      <c r="B21" s="1" t="s">
        <v>6</v>
      </c>
      <c r="C21" s="1" t="s">
        <v>4</v>
      </c>
      <c r="D21" s="5">
        <f>SUMIF(August15_2020[[#Headers],[KSI_AGO]:[AKOSOMBO_AGO]],"*"&amp;C21,August15_2020[[#Totals],[KSI_AGO]:[AKOSOMBO_AGO]])</f>
        <v>2689000</v>
      </c>
      <c r="E21" s="1" t="s">
        <v>5</v>
      </c>
      <c r="F21" s="5">
        <f>SUMIF(August15_2020[[#Headers],[KSI_AGO]:[AKOSOMBO_AGO]],"*"&amp;E21,August15_2020[[#Totals],[KSI_AGO]:[AKOSOMBO_AGO]])</f>
        <v>2318000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9C00-000000000000}">
      <formula1>INDIRECT("BDC_List[BDC List]")</formula1>
    </dataValidation>
  </dataValidations>
  <pageMargins left="0.7" right="0.7" top="0.75" bottom="0.75" header="0.3" footer="0.3"/>
  <tableParts count="1">
    <tablePart r:id="rId1"/>
  </tableParts>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codeName="Sheet158"/>
  <dimension ref="A1:K31"/>
  <sheetViews>
    <sheetView topLeftCell="E1" workbookViewId="0">
      <selection activeCell="G9" sqref="G9"/>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44060</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44060</v>
      </c>
    </row>
    <row r="7" spans="2:11" x14ac:dyDescent="0.3">
      <c r="B7" s="6" t="s">
        <v>37</v>
      </c>
      <c r="C7" s="53"/>
      <c r="D7" s="53">
        <v>266000</v>
      </c>
      <c r="E7" s="49"/>
      <c r="F7" s="22"/>
      <c r="G7" s="49"/>
      <c r="H7" s="12">
        <f t="shared" si="0"/>
        <v>44060</v>
      </c>
    </row>
    <row r="8" spans="2:11" x14ac:dyDescent="0.3">
      <c r="B8" s="6" t="s">
        <v>17</v>
      </c>
      <c r="C8" s="22">
        <v>215000</v>
      </c>
      <c r="D8" s="22"/>
      <c r="E8" s="22"/>
      <c r="F8" s="22"/>
      <c r="G8" s="22"/>
      <c r="H8" s="12">
        <f t="shared" si="0"/>
        <v>44060</v>
      </c>
    </row>
    <row r="9" spans="2:11" ht="15.6" x14ac:dyDescent="0.3">
      <c r="B9" s="34" t="s">
        <v>0</v>
      </c>
      <c r="C9" s="60">
        <v>316000</v>
      </c>
      <c r="D9" s="60"/>
      <c r="E9" s="60"/>
      <c r="F9" s="60"/>
      <c r="G9" s="61">
        <v>378000</v>
      </c>
      <c r="H9" s="12">
        <f t="shared" si="0"/>
        <v>44060</v>
      </c>
    </row>
    <row r="10" spans="2:11" x14ac:dyDescent="0.3">
      <c r="B10" s="6" t="s">
        <v>25</v>
      </c>
      <c r="C10" s="22"/>
      <c r="D10" s="22"/>
      <c r="E10" s="22"/>
      <c r="F10" s="22"/>
      <c r="G10" s="22"/>
      <c r="H10" s="12">
        <f t="shared" si="0"/>
        <v>44060</v>
      </c>
    </row>
    <row r="11" spans="2:11" x14ac:dyDescent="0.3">
      <c r="B11" s="6" t="s">
        <v>15</v>
      </c>
      <c r="C11" s="22">
        <v>108000</v>
      </c>
      <c r="D11" s="22">
        <v>540000</v>
      </c>
      <c r="E11" s="22">
        <v>216000</v>
      </c>
      <c r="F11" s="48">
        <v>432000</v>
      </c>
      <c r="G11" s="22"/>
      <c r="H11" s="12">
        <f t="shared" si="0"/>
        <v>44060</v>
      </c>
    </row>
    <row r="12" spans="2:11" x14ac:dyDescent="0.3">
      <c r="B12" s="6" t="s">
        <v>26</v>
      </c>
      <c r="C12" s="22">
        <v>152500</v>
      </c>
      <c r="D12" s="22">
        <v>585000</v>
      </c>
      <c r="E12" s="22"/>
      <c r="F12" s="22">
        <v>162000</v>
      </c>
      <c r="G12" s="22"/>
      <c r="H12" s="12">
        <f t="shared" si="0"/>
        <v>44060</v>
      </c>
      <c r="K12" s="4"/>
    </row>
    <row r="13" spans="2:11" x14ac:dyDescent="0.3">
      <c r="B13" s="6" t="s">
        <v>22</v>
      </c>
      <c r="C13" s="23"/>
      <c r="D13" s="23"/>
      <c r="E13" s="23"/>
      <c r="F13" s="22"/>
      <c r="G13" s="23"/>
      <c r="H13" s="12">
        <f t="shared" si="0"/>
        <v>44060</v>
      </c>
    </row>
    <row r="14" spans="2:11" x14ac:dyDescent="0.3">
      <c r="B14" s="6" t="s">
        <v>19</v>
      </c>
      <c r="C14" s="22"/>
      <c r="D14" s="22"/>
      <c r="E14" s="22"/>
      <c r="F14" s="22"/>
      <c r="G14" s="22"/>
      <c r="H14" s="12">
        <f t="shared" si="0"/>
        <v>44060</v>
      </c>
    </row>
    <row r="15" spans="2:11" x14ac:dyDescent="0.3">
      <c r="B15" s="6" t="s">
        <v>14</v>
      </c>
      <c r="C15" s="22">
        <v>378000</v>
      </c>
      <c r="D15" s="22">
        <v>369500</v>
      </c>
      <c r="E15" s="22"/>
      <c r="F15" s="22"/>
      <c r="G15" s="22"/>
      <c r="H15" s="12">
        <f t="shared" si="0"/>
        <v>44060</v>
      </c>
    </row>
    <row r="16" spans="2:11" x14ac:dyDescent="0.3">
      <c r="B16" s="6" t="s">
        <v>24</v>
      </c>
      <c r="C16" s="22">
        <v>216000</v>
      </c>
      <c r="D16" s="22"/>
      <c r="E16" s="22"/>
      <c r="F16" s="49"/>
      <c r="G16" s="22"/>
      <c r="H16" s="12">
        <f t="shared" si="0"/>
        <v>44060</v>
      </c>
    </row>
    <row r="17" spans="1:8" x14ac:dyDescent="0.3">
      <c r="B17" s="6" t="s">
        <v>21</v>
      </c>
      <c r="C17" s="22">
        <v>153000</v>
      </c>
      <c r="D17" s="22"/>
      <c r="E17" s="22"/>
      <c r="F17" s="22"/>
      <c r="G17" s="22"/>
      <c r="H17" s="12">
        <f t="shared" si="0"/>
        <v>44060</v>
      </c>
    </row>
    <row r="18" spans="1:8" x14ac:dyDescent="0.3">
      <c r="B18" s="6" t="s">
        <v>18</v>
      </c>
      <c r="C18" s="22"/>
      <c r="D18" s="22"/>
      <c r="E18" s="22"/>
      <c r="F18" s="22"/>
      <c r="G18" s="22"/>
      <c r="H18" s="12">
        <f t="shared" si="0"/>
        <v>44060</v>
      </c>
    </row>
    <row r="19" spans="1:8" x14ac:dyDescent="0.3">
      <c r="B19" s="50" t="s">
        <v>16</v>
      </c>
      <c r="C19" s="55">
        <v>162000</v>
      </c>
      <c r="D19" s="55"/>
      <c r="E19" s="55"/>
      <c r="F19" s="55"/>
      <c r="G19" s="55"/>
      <c r="H19" s="56">
        <f t="shared" si="0"/>
        <v>44060</v>
      </c>
    </row>
    <row r="20" spans="1:8" x14ac:dyDescent="0.3">
      <c r="B20" s="50" t="s">
        <v>27</v>
      </c>
      <c r="C20" s="51">
        <f>SUBTOTAL(109,August17_2020[KSI_AGO])</f>
        <v>1700500</v>
      </c>
      <c r="D20" s="51">
        <f>SUBTOTAL(109,August17_2020[KSI_PMS])</f>
        <v>1760500</v>
      </c>
      <c r="E20" s="51">
        <f>SUBTOTAL(109,August17_2020[BUIPE_AGO])</f>
        <v>216000</v>
      </c>
      <c r="F20" s="51">
        <f>SUBTOTAL(109,August17_2020[BUIPE_PMS])</f>
        <v>594000</v>
      </c>
      <c r="G20" s="51">
        <f>SUBTOTAL(109,August17_2020[AKOSOMBO_AGO])</f>
        <v>378000</v>
      </c>
      <c r="H20" s="52"/>
    </row>
    <row r="21" spans="1:8" x14ac:dyDescent="0.3">
      <c r="B21" s="1" t="s">
        <v>6</v>
      </c>
      <c r="C21" s="1" t="s">
        <v>4</v>
      </c>
      <c r="D21" s="5">
        <f>SUMIF(August17_2020[[#Headers],[KSI_AGO]:[AKOSOMBO_AGO]],"*"&amp;C21,August17_2020[[#Totals],[KSI_AGO]:[AKOSOMBO_AGO]])</f>
        <v>2294500</v>
      </c>
      <c r="E21" s="1" t="s">
        <v>5</v>
      </c>
      <c r="F21" s="5">
        <f>SUMIF(August17_2020[[#Headers],[KSI_AGO]:[AKOSOMBO_AGO]],"*"&amp;E21,August17_2020[[#Totals],[KSI_AGO]:[AKOSOMBO_AGO]])</f>
        <v>2354500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9D00-000000000000}">
      <formula1>INDIRECT("BDC_List[BDC List]")</formula1>
    </dataValidation>
  </dataValidations>
  <pageMargins left="0.7" right="0.7" top="0.75" bottom="0.75" header="0.3" footer="0.3"/>
  <tableParts count="1">
    <tablePart r:id="rId1"/>
  </tableParts>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codeName="Sheet159"/>
  <dimension ref="A1:K31"/>
  <sheetViews>
    <sheetView zoomScale="90" zoomScaleNormal="90" workbookViewId="0">
      <selection activeCell="G12" sqref="G12"/>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44061</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44061</v>
      </c>
    </row>
    <row r="7" spans="2:11" x14ac:dyDescent="0.3">
      <c r="B7" s="6" t="s">
        <v>37</v>
      </c>
      <c r="C7" s="53"/>
      <c r="D7" s="53"/>
      <c r="E7" s="49"/>
      <c r="F7" s="22"/>
      <c r="G7" s="49"/>
      <c r="H7" s="12">
        <f t="shared" si="0"/>
        <v>44061</v>
      </c>
    </row>
    <row r="8" spans="2:11" x14ac:dyDescent="0.3">
      <c r="B8" s="6" t="s">
        <v>17</v>
      </c>
      <c r="C8" s="22"/>
      <c r="D8" s="22">
        <v>162000</v>
      </c>
      <c r="E8" s="22"/>
      <c r="F8" s="22"/>
      <c r="G8" s="22"/>
      <c r="H8" s="12">
        <f t="shared" si="0"/>
        <v>44061</v>
      </c>
    </row>
    <row r="9" spans="2:11" ht="15.6" x14ac:dyDescent="0.3">
      <c r="B9" s="34" t="s">
        <v>0</v>
      </c>
      <c r="C9" s="60">
        <v>216000</v>
      </c>
      <c r="D9" s="60"/>
      <c r="E9" s="60"/>
      <c r="F9" s="60"/>
      <c r="G9" s="61">
        <v>590000</v>
      </c>
      <c r="H9" s="12">
        <f t="shared" si="0"/>
        <v>44061</v>
      </c>
    </row>
    <row r="10" spans="2:11" x14ac:dyDescent="0.3">
      <c r="B10" s="6" t="s">
        <v>25</v>
      </c>
      <c r="C10" s="22"/>
      <c r="D10" s="22">
        <v>106000</v>
      </c>
      <c r="E10" s="22"/>
      <c r="F10" s="22"/>
      <c r="G10" s="22"/>
      <c r="H10" s="12">
        <f t="shared" si="0"/>
        <v>44061</v>
      </c>
    </row>
    <row r="11" spans="2:11" x14ac:dyDescent="0.3">
      <c r="B11" s="6" t="s">
        <v>15</v>
      </c>
      <c r="C11" s="22">
        <v>324000</v>
      </c>
      <c r="D11" s="22">
        <v>369000</v>
      </c>
      <c r="E11" s="22"/>
      <c r="F11" s="48"/>
      <c r="G11" s="22"/>
      <c r="H11" s="12">
        <f t="shared" si="0"/>
        <v>44061</v>
      </c>
    </row>
    <row r="12" spans="2:11" x14ac:dyDescent="0.3">
      <c r="B12" s="6" t="s">
        <v>26</v>
      </c>
      <c r="C12" s="22">
        <v>162000</v>
      </c>
      <c r="D12" s="22">
        <v>216000</v>
      </c>
      <c r="E12" s="22"/>
      <c r="F12" s="22">
        <v>54000</v>
      </c>
      <c r="G12" s="22"/>
      <c r="H12" s="12">
        <f t="shared" si="0"/>
        <v>44061</v>
      </c>
      <c r="K12" s="4"/>
    </row>
    <row r="13" spans="2:11" x14ac:dyDescent="0.3">
      <c r="B13" s="6" t="s">
        <v>22</v>
      </c>
      <c r="C13" s="23"/>
      <c r="D13" s="23">
        <v>54000</v>
      </c>
      <c r="E13" s="23"/>
      <c r="F13" s="22"/>
      <c r="G13" s="23"/>
      <c r="H13" s="12">
        <f t="shared" si="0"/>
        <v>44061</v>
      </c>
    </row>
    <row r="14" spans="2:11" x14ac:dyDescent="0.3">
      <c r="B14" s="6" t="s">
        <v>19</v>
      </c>
      <c r="C14" s="22">
        <v>324000</v>
      </c>
      <c r="D14" s="22"/>
      <c r="E14" s="22"/>
      <c r="F14" s="22"/>
      <c r="G14" s="22"/>
      <c r="H14" s="12">
        <f t="shared" si="0"/>
        <v>44061</v>
      </c>
    </row>
    <row r="15" spans="2:11" x14ac:dyDescent="0.3">
      <c r="B15" s="6" t="s">
        <v>14</v>
      </c>
      <c r="C15" s="22">
        <v>207000</v>
      </c>
      <c r="D15" s="22">
        <v>914000</v>
      </c>
      <c r="E15" s="22">
        <v>216000</v>
      </c>
      <c r="F15" s="22"/>
      <c r="G15" s="22"/>
      <c r="H15" s="12">
        <f t="shared" si="0"/>
        <v>44061</v>
      </c>
    </row>
    <row r="16" spans="2:11" x14ac:dyDescent="0.3">
      <c r="B16" s="6" t="s">
        <v>24</v>
      </c>
      <c r="C16" s="22">
        <v>216000</v>
      </c>
      <c r="D16" s="22"/>
      <c r="E16" s="22"/>
      <c r="F16" s="49"/>
      <c r="G16" s="22"/>
      <c r="H16" s="12">
        <f t="shared" si="0"/>
        <v>44061</v>
      </c>
    </row>
    <row r="17" spans="1:8" x14ac:dyDescent="0.3">
      <c r="B17" s="6" t="s">
        <v>21</v>
      </c>
      <c r="C17" s="22">
        <v>162000</v>
      </c>
      <c r="D17" s="22"/>
      <c r="E17" s="22"/>
      <c r="F17" s="22"/>
      <c r="G17" s="22"/>
      <c r="H17" s="12">
        <f t="shared" si="0"/>
        <v>44061</v>
      </c>
    </row>
    <row r="18" spans="1:8" x14ac:dyDescent="0.3">
      <c r="B18" s="6" t="s">
        <v>18</v>
      </c>
      <c r="C18" s="22"/>
      <c r="D18" s="22"/>
      <c r="E18" s="22"/>
      <c r="F18" s="22"/>
      <c r="G18" s="22"/>
      <c r="H18" s="12">
        <f t="shared" si="0"/>
        <v>44061</v>
      </c>
    </row>
    <row r="19" spans="1:8" x14ac:dyDescent="0.3">
      <c r="B19" s="50" t="s">
        <v>16</v>
      </c>
      <c r="C19" s="55">
        <v>162000</v>
      </c>
      <c r="D19" s="55"/>
      <c r="E19" s="55"/>
      <c r="F19" s="55"/>
      <c r="G19" s="55"/>
      <c r="H19" s="56">
        <f t="shared" si="0"/>
        <v>44061</v>
      </c>
    </row>
    <row r="20" spans="1:8" x14ac:dyDescent="0.3">
      <c r="B20" s="50" t="s">
        <v>27</v>
      </c>
      <c r="C20" s="51">
        <f>SUBTOTAL(109,August18_2020[KSI_AGO])</f>
        <v>1773000</v>
      </c>
      <c r="D20" s="51">
        <f>SUBTOTAL(109,August18_2020[KSI_PMS])</f>
        <v>1821000</v>
      </c>
      <c r="E20" s="51">
        <f>SUBTOTAL(109,August18_2020[BUIPE_AGO])</f>
        <v>216000</v>
      </c>
      <c r="F20" s="51">
        <f>SUBTOTAL(109,August18_2020[BUIPE_PMS])</f>
        <v>54000</v>
      </c>
      <c r="G20" s="51">
        <f>SUBTOTAL(109,August18_2020[AKOSOMBO_AGO])</f>
        <v>590000</v>
      </c>
      <c r="H20" s="52"/>
    </row>
    <row r="21" spans="1:8" x14ac:dyDescent="0.3">
      <c r="B21" s="1" t="s">
        <v>6</v>
      </c>
      <c r="C21" s="1" t="s">
        <v>4</v>
      </c>
      <c r="D21" s="5">
        <f>SUMIF(August18_2020[[#Headers],[KSI_AGO]:[AKOSOMBO_AGO]],"*"&amp;C21,August18_2020[[#Totals],[KSI_AGO]:[AKOSOMBO_AGO]])</f>
        <v>2579000</v>
      </c>
      <c r="E21" s="1" t="s">
        <v>5</v>
      </c>
      <c r="F21" s="5">
        <f>SUMIF(August18_2020[[#Headers],[KSI_AGO]:[AKOSOMBO_AGO]],"*"&amp;E21,August18_2020[[#Totals],[KSI_AGO]:[AKOSOMBO_AGO]])</f>
        <v>1875000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9E00-000000000000}">
      <formula1>INDIRECT("BDC_List[BDC List]")</formula1>
    </dataValidation>
  </dataValidations>
  <pageMargins left="0.7" right="0.7" top="0.75" bottom="0.75" header="0.3" footer="0.3"/>
  <legacyDrawing r:id="rId1"/>
  <tableParts count="1">
    <tablePart r:id="rId2"/>
  </tableParts>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codeName="Sheet160"/>
  <dimension ref="A1:K31"/>
  <sheetViews>
    <sheetView workbookViewId="0">
      <selection activeCell="F16" sqref="F16"/>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44062</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44062</v>
      </c>
    </row>
    <row r="7" spans="2:11" x14ac:dyDescent="0.3">
      <c r="B7" s="6" t="s">
        <v>37</v>
      </c>
      <c r="C7" s="53"/>
      <c r="D7" s="53"/>
      <c r="E7" s="49"/>
      <c r="F7" s="22"/>
      <c r="G7" s="49"/>
      <c r="H7" s="12">
        <f t="shared" si="0"/>
        <v>44062</v>
      </c>
    </row>
    <row r="8" spans="2:11" x14ac:dyDescent="0.3">
      <c r="B8" s="6" t="s">
        <v>17</v>
      </c>
      <c r="C8" s="22">
        <v>108000</v>
      </c>
      <c r="D8" s="22">
        <v>257000</v>
      </c>
      <c r="E8" s="22"/>
      <c r="F8" s="22">
        <v>100000</v>
      </c>
      <c r="G8" s="22"/>
      <c r="H8" s="12">
        <f t="shared" si="0"/>
        <v>44062</v>
      </c>
    </row>
    <row r="9" spans="2:11" ht="15.6" x14ac:dyDescent="0.3">
      <c r="B9" s="34" t="s">
        <v>0</v>
      </c>
      <c r="C9" s="60">
        <v>198500</v>
      </c>
      <c r="D9" s="60"/>
      <c r="E9" s="60"/>
      <c r="F9" s="60"/>
      <c r="G9" s="61">
        <v>270000</v>
      </c>
      <c r="H9" s="12">
        <f t="shared" si="0"/>
        <v>44062</v>
      </c>
    </row>
    <row r="10" spans="2:11" x14ac:dyDescent="0.3">
      <c r="B10" s="6" t="s">
        <v>25</v>
      </c>
      <c r="C10" s="22">
        <v>108000</v>
      </c>
      <c r="D10" s="22">
        <v>270000</v>
      </c>
      <c r="E10" s="22"/>
      <c r="F10" s="22"/>
      <c r="G10" s="22"/>
      <c r="H10" s="12">
        <f t="shared" si="0"/>
        <v>44062</v>
      </c>
    </row>
    <row r="11" spans="2:11" x14ac:dyDescent="0.3">
      <c r="B11" s="6" t="s">
        <v>15</v>
      </c>
      <c r="C11" s="22">
        <v>54000</v>
      </c>
      <c r="D11" s="22"/>
      <c r="E11" s="22"/>
      <c r="F11" s="48"/>
      <c r="G11" s="22"/>
      <c r="H11" s="12">
        <f t="shared" si="0"/>
        <v>44062</v>
      </c>
    </row>
    <row r="12" spans="2:11" x14ac:dyDescent="0.3">
      <c r="B12" s="6" t="s">
        <v>26</v>
      </c>
      <c r="C12" s="22">
        <v>54000</v>
      </c>
      <c r="D12" s="22">
        <v>108000</v>
      </c>
      <c r="E12" s="22"/>
      <c r="F12" s="22"/>
      <c r="G12" s="22"/>
      <c r="H12" s="12">
        <f t="shared" si="0"/>
        <v>44062</v>
      </c>
      <c r="K12" s="4"/>
    </row>
    <row r="13" spans="2:11" x14ac:dyDescent="0.3">
      <c r="B13" s="6" t="s">
        <v>22</v>
      </c>
      <c r="C13" s="23"/>
      <c r="D13" s="23"/>
      <c r="E13" s="23"/>
      <c r="F13" s="22"/>
      <c r="G13" s="23"/>
      <c r="H13" s="12">
        <f t="shared" si="0"/>
        <v>44062</v>
      </c>
    </row>
    <row r="14" spans="2:11" x14ac:dyDescent="0.3">
      <c r="B14" s="6" t="s">
        <v>19</v>
      </c>
      <c r="C14" s="22">
        <v>108000</v>
      </c>
      <c r="D14" s="22"/>
      <c r="E14" s="22"/>
      <c r="F14" s="22"/>
      <c r="G14" s="22"/>
      <c r="H14" s="12">
        <f t="shared" si="0"/>
        <v>44062</v>
      </c>
    </row>
    <row r="15" spans="2:11" x14ac:dyDescent="0.3">
      <c r="B15" s="6" t="s">
        <v>14</v>
      </c>
      <c r="C15" s="22">
        <v>266000</v>
      </c>
      <c r="D15" s="22">
        <v>266000</v>
      </c>
      <c r="E15" s="22">
        <v>806000</v>
      </c>
      <c r="F15" s="22"/>
      <c r="G15" s="22"/>
      <c r="H15" s="12">
        <f t="shared" si="0"/>
        <v>44062</v>
      </c>
    </row>
    <row r="16" spans="2:11" x14ac:dyDescent="0.3">
      <c r="B16" s="6" t="s">
        <v>24</v>
      </c>
      <c r="C16" s="22">
        <v>216000</v>
      </c>
      <c r="D16" s="22"/>
      <c r="E16" s="22"/>
      <c r="F16" s="49"/>
      <c r="G16" s="22"/>
      <c r="H16" s="12">
        <f t="shared" si="0"/>
        <v>44062</v>
      </c>
    </row>
    <row r="17" spans="1:8" x14ac:dyDescent="0.3">
      <c r="B17" s="6" t="s">
        <v>21</v>
      </c>
      <c r="C17" s="22">
        <v>45000</v>
      </c>
      <c r="D17" s="22">
        <v>211000</v>
      </c>
      <c r="E17" s="22"/>
      <c r="F17" s="22">
        <v>54000</v>
      </c>
      <c r="G17" s="22"/>
      <c r="H17" s="12">
        <f t="shared" si="0"/>
        <v>44062</v>
      </c>
    </row>
    <row r="18" spans="1:8" x14ac:dyDescent="0.3">
      <c r="B18" s="6" t="s">
        <v>18</v>
      </c>
      <c r="C18" s="22"/>
      <c r="D18" s="22"/>
      <c r="E18" s="22"/>
      <c r="F18" s="22"/>
      <c r="G18" s="22"/>
      <c r="H18" s="12">
        <f t="shared" si="0"/>
        <v>44062</v>
      </c>
    </row>
    <row r="19" spans="1:8" x14ac:dyDescent="0.3">
      <c r="B19" s="50" t="s">
        <v>16</v>
      </c>
      <c r="C19" s="55">
        <v>216000</v>
      </c>
      <c r="D19" s="55"/>
      <c r="E19" s="55">
        <v>100000</v>
      </c>
      <c r="F19" s="55"/>
      <c r="G19" s="55"/>
      <c r="H19" s="56">
        <f t="shared" si="0"/>
        <v>44062</v>
      </c>
    </row>
    <row r="20" spans="1:8" x14ac:dyDescent="0.3">
      <c r="B20" s="50" t="s">
        <v>27</v>
      </c>
      <c r="C20" s="51">
        <f>SUBTOTAL(109,August19_2020[KSI_AGO])</f>
        <v>1373500</v>
      </c>
      <c r="D20" s="51">
        <f>SUBTOTAL(109,August19_2020[KSI_PMS])</f>
        <v>1112000</v>
      </c>
      <c r="E20" s="51">
        <f>SUBTOTAL(109,August19_2020[BUIPE_AGO])</f>
        <v>906000</v>
      </c>
      <c r="F20" s="51">
        <f>SUBTOTAL(109,August19_2020[BUIPE_PMS])</f>
        <v>154000</v>
      </c>
      <c r="G20" s="51">
        <f>SUBTOTAL(109,August19_2020[AKOSOMBO_AGO])</f>
        <v>270000</v>
      </c>
      <c r="H20" s="52"/>
    </row>
    <row r="21" spans="1:8" x14ac:dyDescent="0.3">
      <c r="B21" s="1" t="s">
        <v>6</v>
      </c>
      <c r="C21" s="1" t="s">
        <v>4</v>
      </c>
      <c r="D21" s="5">
        <f>SUMIF(August19_2020[[#Headers],[KSI_AGO]:[AKOSOMBO_AGO]],"*"&amp;C21,August19_2020[[#Totals],[KSI_AGO]:[AKOSOMBO_AGO]])</f>
        <v>2549500</v>
      </c>
      <c r="E21" s="1" t="s">
        <v>5</v>
      </c>
      <c r="F21" s="5">
        <f>SUMIF(August19_2020[[#Headers],[KSI_AGO]:[AKOSOMBO_AGO]],"*"&amp;E21,August19_2020[[#Totals],[KSI_AGO]:[AKOSOMBO_AGO]])</f>
        <v>1266000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9F00-000000000000}">
      <formula1>INDIRECT("BDC_List[BDC List]")</formula1>
    </dataValidation>
  </dataValidations>
  <pageMargins left="0.7" right="0.7" top="0.75" bottom="0.75" header="0.3" footer="0.3"/>
  <tableParts count="1">
    <tablePart r:id="rId1"/>
  </tableParts>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codeName="Sheet161"/>
  <dimension ref="A1:K31"/>
  <sheetViews>
    <sheetView workbookViewId="0">
      <selection activeCell="K27" sqref="K27"/>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44063</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44063</v>
      </c>
    </row>
    <row r="7" spans="2:11" x14ac:dyDescent="0.3">
      <c r="B7" s="6" t="s">
        <v>37</v>
      </c>
      <c r="C7" s="53">
        <v>95000</v>
      </c>
      <c r="D7" s="53">
        <v>94500</v>
      </c>
      <c r="E7" s="49"/>
      <c r="F7" s="22"/>
      <c r="G7" s="49"/>
      <c r="H7" s="12">
        <f t="shared" si="0"/>
        <v>44063</v>
      </c>
    </row>
    <row r="8" spans="2:11" x14ac:dyDescent="0.3">
      <c r="B8" s="6" t="s">
        <v>17</v>
      </c>
      <c r="C8" s="22">
        <v>162000</v>
      </c>
      <c r="D8" s="22">
        <v>103500</v>
      </c>
      <c r="E8" s="22"/>
      <c r="F8" s="22"/>
      <c r="G8" s="22"/>
      <c r="H8" s="12">
        <f t="shared" si="0"/>
        <v>44063</v>
      </c>
    </row>
    <row r="9" spans="2:11" ht="15.6" x14ac:dyDescent="0.3">
      <c r="B9" s="34" t="s">
        <v>0</v>
      </c>
      <c r="C9" s="60">
        <v>423000</v>
      </c>
      <c r="D9" s="60"/>
      <c r="E9" s="60"/>
      <c r="F9" s="60"/>
      <c r="G9" s="61">
        <v>263000</v>
      </c>
      <c r="H9" s="12">
        <f t="shared" si="0"/>
        <v>44063</v>
      </c>
    </row>
    <row r="10" spans="2:11" x14ac:dyDescent="0.3">
      <c r="B10" s="6" t="s">
        <v>25</v>
      </c>
      <c r="C10" s="62">
        <v>212000</v>
      </c>
      <c r="D10" s="62">
        <v>212000</v>
      </c>
      <c r="E10" s="62"/>
      <c r="F10" s="62">
        <v>216000</v>
      </c>
      <c r="G10" s="62"/>
      <c r="H10" s="12">
        <f t="shared" si="0"/>
        <v>44063</v>
      </c>
    </row>
    <row r="11" spans="2:11" x14ac:dyDescent="0.3">
      <c r="B11" s="6" t="s">
        <v>15</v>
      </c>
      <c r="C11" s="22">
        <v>54000</v>
      </c>
      <c r="D11" s="22">
        <v>45000</v>
      </c>
      <c r="E11" s="22"/>
      <c r="F11" s="48"/>
      <c r="G11" s="22"/>
      <c r="H11" s="12">
        <f t="shared" si="0"/>
        <v>44063</v>
      </c>
    </row>
    <row r="12" spans="2:11" x14ac:dyDescent="0.3">
      <c r="B12" s="6" t="s">
        <v>26</v>
      </c>
      <c r="C12" s="22">
        <v>212000</v>
      </c>
      <c r="D12" s="22"/>
      <c r="E12" s="22">
        <v>50000</v>
      </c>
      <c r="F12" s="22"/>
      <c r="G12" s="22"/>
      <c r="H12" s="12">
        <f t="shared" si="0"/>
        <v>44063</v>
      </c>
      <c r="K12" s="4"/>
    </row>
    <row r="13" spans="2:11" x14ac:dyDescent="0.3">
      <c r="B13" s="6" t="s">
        <v>22</v>
      </c>
      <c r="C13" s="23"/>
      <c r="D13" s="23"/>
      <c r="E13" s="23"/>
      <c r="F13" s="22"/>
      <c r="G13" s="23"/>
      <c r="H13" s="12">
        <f t="shared" si="0"/>
        <v>44063</v>
      </c>
    </row>
    <row r="14" spans="2:11" x14ac:dyDescent="0.3">
      <c r="B14" s="6" t="s">
        <v>19</v>
      </c>
      <c r="C14" s="22">
        <v>54000</v>
      </c>
      <c r="D14" s="22"/>
      <c r="E14" s="22"/>
      <c r="F14" s="22">
        <v>270000</v>
      </c>
      <c r="G14" s="22"/>
      <c r="H14" s="12">
        <f t="shared" si="0"/>
        <v>44063</v>
      </c>
    </row>
    <row r="15" spans="2:11" x14ac:dyDescent="0.3">
      <c r="B15" s="6" t="s">
        <v>14</v>
      </c>
      <c r="C15" s="22">
        <v>270000</v>
      </c>
      <c r="D15" s="22">
        <v>162000</v>
      </c>
      <c r="E15" s="22">
        <v>216000</v>
      </c>
      <c r="F15" s="22"/>
      <c r="G15" s="22"/>
      <c r="H15" s="12">
        <f t="shared" si="0"/>
        <v>44063</v>
      </c>
    </row>
    <row r="16" spans="2:11" x14ac:dyDescent="0.3">
      <c r="B16" s="6" t="s">
        <v>24</v>
      </c>
      <c r="C16" s="22">
        <v>216000</v>
      </c>
      <c r="D16" s="22"/>
      <c r="E16" s="22"/>
      <c r="F16" s="49"/>
      <c r="G16" s="22"/>
      <c r="H16" s="12">
        <f t="shared" si="0"/>
        <v>44063</v>
      </c>
    </row>
    <row r="17" spans="1:8" x14ac:dyDescent="0.3">
      <c r="B17" s="6" t="s">
        <v>21</v>
      </c>
      <c r="C17" s="22">
        <v>103500</v>
      </c>
      <c r="D17" s="22">
        <v>108000</v>
      </c>
      <c r="E17" s="22"/>
      <c r="F17" s="22">
        <v>54000</v>
      </c>
      <c r="G17" s="22"/>
      <c r="H17" s="12">
        <f t="shared" si="0"/>
        <v>44063</v>
      </c>
    </row>
    <row r="18" spans="1:8" x14ac:dyDescent="0.3">
      <c r="B18" s="6" t="s">
        <v>18</v>
      </c>
      <c r="C18" s="22"/>
      <c r="D18" s="22"/>
      <c r="E18" s="22"/>
      <c r="F18" s="22"/>
      <c r="G18" s="22"/>
      <c r="H18" s="12">
        <f t="shared" si="0"/>
        <v>44063</v>
      </c>
    </row>
    <row r="19" spans="1:8" x14ac:dyDescent="0.3">
      <c r="B19" s="50" t="s">
        <v>16</v>
      </c>
      <c r="C19" s="55">
        <v>99000</v>
      </c>
      <c r="D19" s="55"/>
      <c r="E19" s="55">
        <v>45000</v>
      </c>
      <c r="F19" s="55"/>
      <c r="G19" s="55"/>
      <c r="H19" s="56">
        <f t="shared" si="0"/>
        <v>44063</v>
      </c>
    </row>
    <row r="20" spans="1:8" x14ac:dyDescent="0.3">
      <c r="B20" s="50" t="s">
        <v>27</v>
      </c>
      <c r="C20" s="51">
        <f>SUBTOTAL(109,August20_2020[KSI_AGO])</f>
        <v>1900500</v>
      </c>
      <c r="D20" s="51">
        <f>SUBTOTAL(109,August20_2020[KSI_PMS])</f>
        <v>725000</v>
      </c>
      <c r="E20" s="51">
        <f>SUBTOTAL(109,August20_2020[BUIPE_AGO])</f>
        <v>311000</v>
      </c>
      <c r="F20" s="51">
        <f>SUBTOTAL(109,August20_2020[BUIPE_PMS])</f>
        <v>540000</v>
      </c>
      <c r="G20" s="51">
        <f>SUBTOTAL(109,August20_2020[AKOSOMBO_AGO])</f>
        <v>263000</v>
      </c>
      <c r="H20" s="52"/>
    </row>
    <row r="21" spans="1:8" x14ac:dyDescent="0.3">
      <c r="B21" s="1" t="s">
        <v>6</v>
      </c>
      <c r="C21" s="1" t="s">
        <v>4</v>
      </c>
      <c r="D21" s="5">
        <f>SUMIF(August20_2020[[#Headers],[KSI_AGO]:[AKOSOMBO_AGO]],"*"&amp;C21,August20_2020[[#Totals],[KSI_AGO]:[AKOSOMBO_AGO]])</f>
        <v>2474500</v>
      </c>
      <c r="E21" s="1" t="s">
        <v>5</v>
      </c>
      <c r="F21" s="5">
        <f>SUMIF(August20_2020[[#Headers],[KSI_AGO]:[AKOSOMBO_AGO]],"*"&amp;E21,August20_2020[[#Totals],[KSI_AGO]:[AKOSOMBO_AGO]])</f>
        <v>1265000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A000-000000000000}">
      <formula1>INDIRECT("BDC_List[BDC List]")</formula1>
    </dataValidation>
  </dataValidations>
  <pageMargins left="0.7" right="0.7" top="0.75" bottom="0.75" header="0.3" footer="0.3"/>
  <tableParts count="1">
    <tablePart r:id="rId1"/>
  </tableParts>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codeName="Sheet162"/>
  <dimension ref="A1:K31"/>
  <sheetViews>
    <sheetView workbookViewId="0">
      <selection activeCell="D12" sqref="D12"/>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44064</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v>45000</v>
      </c>
      <c r="D6" s="45"/>
      <c r="E6" s="45"/>
      <c r="F6" s="45"/>
      <c r="G6" s="45"/>
      <c r="H6" s="12">
        <f t="shared" ref="H6:H19" si="0">$G$3</f>
        <v>44064</v>
      </c>
    </row>
    <row r="7" spans="2:11" x14ac:dyDescent="0.3">
      <c r="B7" s="6" t="s">
        <v>37</v>
      </c>
      <c r="C7" s="53"/>
      <c r="D7" s="53"/>
      <c r="E7" s="49"/>
      <c r="F7" s="22"/>
      <c r="G7" s="49"/>
      <c r="H7" s="12">
        <f t="shared" si="0"/>
        <v>44064</v>
      </c>
    </row>
    <row r="8" spans="2:11" x14ac:dyDescent="0.3">
      <c r="B8" s="6" t="s">
        <v>17</v>
      </c>
      <c r="C8" s="22">
        <v>270000</v>
      </c>
      <c r="D8" s="22">
        <v>104000</v>
      </c>
      <c r="E8" s="22"/>
      <c r="F8" s="22"/>
      <c r="G8" s="22"/>
      <c r="H8" s="12">
        <f t="shared" si="0"/>
        <v>44064</v>
      </c>
    </row>
    <row r="9" spans="2:11" ht="15.6" x14ac:dyDescent="0.3">
      <c r="B9" s="34" t="s">
        <v>0</v>
      </c>
      <c r="C9" s="60">
        <v>432000</v>
      </c>
      <c r="D9" s="60"/>
      <c r="E9" s="60"/>
      <c r="F9" s="60"/>
      <c r="G9" s="61"/>
      <c r="H9" s="12">
        <f t="shared" si="0"/>
        <v>44064</v>
      </c>
    </row>
    <row r="10" spans="2:11" x14ac:dyDescent="0.3">
      <c r="B10" s="6" t="s">
        <v>25</v>
      </c>
      <c r="C10" s="62">
        <v>265000</v>
      </c>
      <c r="D10" s="62">
        <v>162000</v>
      </c>
      <c r="E10" s="62"/>
      <c r="F10" s="62">
        <v>270000</v>
      </c>
      <c r="G10" s="62"/>
      <c r="H10" s="12">
        <f t="shared" si="0"/>
        <v>44064</v>
      </c>
    </row>
    <row r="11" spans="2:11" x14ac:dyDescent="0.3">
      <c r="B11" s="6" t="s">
        <v>15</v>
      </c>
      <c r="C11" s="22">
        <v>378000</v>
      </c>
      <c r="D11" s="22">
        <v>45000</v>
      </c>
      <c r="E11" s="22"/>
      <c r="F11" s="48"/>
      <c r="G11" s="22"/>
      <c r="H11" s="12">
        <f t="shared" si="0"/>
        <v>44064</v>
      </c>
    </row>
    <row r="12" spans="2:11" x14ac:dyDescent="0.3">
      <c r="B12" s="6" t="s">
        <v>26</v>
      </c>
      <c r="C12" s="22">
        <v>270000</v>
      </c>
      <c r="D12" s="22"/>
      <c r="E12" s="22"/>
      <c r="F12" s="22"/>
      <c r="G12" s="22"/>
      <c r="H12" s="12">
        <f t="shared" si="0"/>
        <v>44064</v>
      </c>
      <c r="K12" s="4"/>
    </row>
    <row r="13" spans="2:11" x14ac:dyDescent="0.3">
      <c r="B13" s="6" t="s">
        <v>22</v>
      </c>
      <c r="C13" s="23"/>
      <c r="D13" s="23"/>
      <c r="E13" s="23"/>
      <c r="F13" s="22"/>
      <c r="G13" s="23"/>
      <c r="H13" s="12">
        <f t="shared" si="0"/>
        <v>44064</v>
      </c>
    </row>
    <row r="14" spans="2:11" x14ac:dyDescent="0.3">
      <c r="B14" s="6" t="s">
        <v>19</v>
      </c>
      <c r="C14" s="22"/>
      <c r="D14" s="22">
        <v>432000</v>
      </c>
      <c r="E14" s="22"/>
      <c r="F14" s="22">
        <v>324000</v>
      </c>
      <c r="G14" s="22"/>
      <c r="H14" s="12">
        <f t="shared" si="0"/>
        <v>44064</v>
      </c>
    </row>
    <row r="15" spans="2:11" x14ac:dyDescent="0.3">
      <c r="B15" s="6" t="s">
        <v>14</v>
      </c>
      <c r="C15" s="22">
        <v>216000</v>
      </c>
      <c r="D15" s="22">
        <v>54000</v>
      </c>
      <c r="E15" s="22"/>
      <c r="F15" s="22"/>
      <c r="G15" s="22"/>
      <c r="H15" s="12">
        <f t="shared" si="0"/>
        <v>44064</v>
      </c>
    </row>
    <row r="16" spans="2:11" x14ac:dyDescent="0.3">
      <c r="B16" s="6" t="s">
        <v>24</v>
      </c>
      <c r="C16" s="22">
        <v>270000</v>
      </c>
      <c r="D16" s="22"/>
      <c r="E16" s="22"/>
      <c r="F16" s="49"/>
      <c r="G16" s="22"/>
      <c r="H16" s="12">
        <f t="shared" si="0"/>
        <v>44064</v>
      </c>
    </row>
    <row r="17" spans="1:8" x14ac:dyDescent="0.3">
      <c r="B17" s="6" t="s">
        <v>21</v>
      </c>
      <c r="C17" s="22">
        <v>270000</v>
      </c>
      <c r="D17" s="22">
        <v>158000</v>
      </c>
      <c r="E17" s="22"/>
      <c r="F17" s="22">
        <v>216000</v>
      </c>
      <c r="G17" s="22"/>
      <c r="H17" s="12">
        <f t="shared" si="0"/>
        <v>44064</v>
      </c>
    </row>
    <row r="18" spans="1:8" x14ac:dyDescent="0.3">
      <c r="B18" s="6" t="s">
        <v>18</v>
      </c>
      <c r="C18" s="22"/>
      <c r="D18" s="22"/>
      <c r="E18" s="22"/>
      <c r="F18" s="22"/>
      <c r="G18" s="22"/>
      <c r="H18" s="12">
        <f t="shared" si="0"/>
        <v>44064</v>
      </c>
    </row>
    <row r="19" spans="1:8" x14ac:dyDescent="0.3">
      <c r="B19" s="50" t="s">
        <v>16</v>
      </c>
      <c r="C19" s="55">
        <v>1615000</v>
      </c>
      <c r="D19" s="55"/>
      <c r="E19" s="55"/>
      <c r="F19" s="55"/>
      <c r="G19" s="55"/>
      <c r="H19" s="56">
        <f t="shared" si="0"/>
        <v>44064</v>
      </c>
    </row>
    <row r="20" spans="1:8" x14ac:dyDescent="0.3">
      <c r="B20" s="50" t="s">
        <v>27</v>
      </c>
      <c r="C20" s="51">
        <f>SUBTOTAL(109,August21_2020[KSI_AGO])</f>
        <v>4031000</v>
      </c>
      <c r="D20" s="51">
        <f>SUBTOTAL(109,August21_2020[KSI_PMS])</f>
        <v>955000</v>
      </c>
      <c r="E20" s="51">
        <f>SUBTOTAL(109,August21_2020[BUIPE_AGO])</f>
        <v>0</v>
      </c>
      <c r="F20" s="51">
        <f>SUBTOTAL(109,August21_2020[BUIPE_PMS])</f>
        <v>810000</v>
      </c>
      <c r="G20" s="51">
        <f>SUBTOTAL(109,August21_2020[AKOSOMBO_AGO])</f>
        <v>0</v>
      </c>
      <c r="H20" s="52"/>
    </row>
    <row r="21" spans="1:8" x14ac:dyDescent="0.3">
      <c r="B21" s="1" t="s">
        <v>6</v>
      </c>
      <c r="C21" s="1" t="s">
        <v>4</v>
      </c>
      <c r="D21" s="5">
        <f>SUMIF(August21_2020[[#Headers],[KSI_AGO]:[AKOSOMBO_AGO]],"*"&amp;C21,August21_2020[[#Totals],[KSI_AGO]:[AKOSOMBO_AGO]])</f>
        <v>4031000</v>
      </c>
      <c r="E21" s="1" t="s">
        <v>5</v>
      </c>
      <c r="F21" s="5">
        <f>SUMIF(August21_2020[[#Headers],[KSI_AGO]:[AKOSOMBO_AGO]],"*"&amp;E21,August21_2020[[#Totals],[KSI_AGO]:[AKOSOMBO_AGO]])</f>
        <v>1765000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A100-000000000000}">
      <formula1>INDIRECT("BDC_List[BDC List]")</formula1>
    </dataValidation>
  </dataValidations>
  <pageMargins left="0.7" right="0.7" top="0.75" bottom="0.75" header="0.3" footer="0.3"/>
  <tableParts count="1">
    <tablePart r:id="rId1"/>
  </tableParts>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codeName="Sheet163"/>
  <dimension ref="A1:K31"/>
  <sheetViews>
    <sheetView workbookViewId="0">
      <selection activeCell="F14" sqref="F14"/>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44065</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44065</v>
      </c>
    </row>
    <row r="7" spans="2:11" x14ac:dyDescent="0.3">
      <c r="B7" s="6" t="s">
        <v>37</v>
      </c>
      <c r="C7" s="53"/>
      <c r="D7" s="53"/>
      <c r="E7" s="49"/>
      <c r="F7" s="22"/>
      <c r="G7" s="49"/>
      <c r="H7" s="12">
        <f t="shared" si="0"/>
        <v>44065</v>
      </c>
    </row>
    <row r="8" spans="2:11" x14ac:dyDescent="0.3">
      <c r="B8" s="6" t="s">
        <v>17</v>
      </c>
      <c r="C8" s="22">
        <v>162000</v>
      </c>
      <c r="D8" s="22">
        <v>373000</v>
      </c>
      <c r="E8" s="22"/>
      <c r="F8" s="22"/>
      <c r="G8" s="22"/>
      <c r="H8" s="12">
        <f t="shared" si="0"/>
        <v>44065</v>
      </c>
    </row>
    <row r="9" spans="2:11" ht="15.6" x14ac:dyDescent="0.3">
      <c r="B9" s="34" t="s">
        <v>0</v>
      </c>
      <c r="C9" s="60">
        <v>324000</v>
      </c>
      <c r="D9" s="60"/>
      <c r="E9" s="60"/>
      <c r="F9" s="60"/>
      <c r="G9" s="61"/>
      <c r="H9" s="12">
        <f t="shared" si="0"/>
        <v>44065</v>
      </c>
    </row>
    <row r="10" spans="2:11" x14ac:dyDescent="0.3">
      <c r="B10" s="6" t="s">
        <v>25</v>
      </c>
      <c r="C10" s="62">
        <v>162000</v>
      </c>
      <c r="D10" s="62">
        <v>214000</v>
      </c>
      <c r="E10" s="62"/>
      <c r="F10" s="62">
        <v>270000</v>
      </c>
      <c r="G10" s="62"/>
      <c r="H10" s="12">
        <f t="shared" si="0"/>
        <v>44065</v>
      </c>
    </row>
    <row r="11" spans="2:11" x14ac:dyDescent="0.3">
      <c r="B11" s="6" t="s">
        <v>15</v>
      </c>
      <c r="C11" s="22">
        <v>270000</v>
      </c>
      <c r="D11" s="22">
        <v>324000</v>
      </c>
      <c r="E11" s="22"/>
      <c r="F11" s="22">
        <v>486000</v>
      </c>
      <c r="G11" s="22"/>
      <c r="H11" s="12">
        <f t="shared" si="0"/>
        <v>44065</v>
      </c>
    </row>
    <row r="12" spans="2:11" x14ac:dyDescent="0.3">
      <c r="B12" s="6" t="s">
        <v>26</v>
      </c>
      <c r="C12" s="22">
        <v>162000</v>
      </c>
      <c r="D12" s="22"/>
      <c r="E12" s="22"/>
      <c r="F12" s="22"/>
      <c r="G12" s="22"/>
      <c r="H12" s="12">
        <f t="shared" si="0"/>
        <v>44065</v>
      </c>
      <c r="K12" s="4"/>
    </row>
    <row r="13" spans="2:11" x14ac:dyDescent="0.3">
      <c r="B13" s="6" t="s">
        <v>22</v>
      </c>
      <c r="C13" s="23"/>
      <c r="D13" s="23"/>
      <c r="E13" s="23"/>
      <c r="F13" s="23"/>
      <c r="G13" s="23"/>
      <c r="H13" s="12">
        <f t="shared" si="0"/>
        <v>44065</v>
      </c>
    </row>
    <row r="14" spans="2:11" x14ac:dyDescent="0.3">
      <c r="B14" s="6" t="s">
        <v>19</v>
      </c>
      <c r="C14" s="22"/>
      <c r="D14" s="22"/>
      <c r="E14" s="22"/>
      <c r="F14" s="22">
        <v>270000</v>
      </c>
      <c r="G14" s="22"/>
      <c r="H14" s="12">
        <f t="shared" si="0"/>
        <v>44065</v>
      </c>
    </row>
    <row r="15" spans="2:11" x14ac:dyDescent="0.3">
      <c r="B15" s="6" t="s">
        <v>14</v>
      </c>
      <c r="C15" s="22">
        <v>315000</v>
      </c>
      <c r="D15" s="22">
        <v>153000</v>
      </c>
      <c r="E15" s="22"/>
      <c r="F15" s="22"/>
      <c r="G15" s="22"/>
      <c r="H15" s="12">
        <f t="shared" si="0"/>
        <v>44065</v>
      </c>
    </row>
    <row r="16" spans="2:11" x14ac:dyDescent="0.3">
      <c r="B16" s="6" t="s">
        <v>24</v>
      </c>
      <c r="C16" s="22">
        <v>486000</v>
      </c>
      <c r="D16" s="22"/>
      <c r="E16" s="22"/>
      <c r="F16" s="22"/>
      <c r="G16" s="22"/>
      <c r="H16" s="12">
        <f t="shared" si="0"/>
        <v>44065</v>
      </c>
    </row>
    <row r="17" spans="1:8" x14ac:dyDescent="0.3">
      <c r="B17" s="6" t="s">
        <v>21</v>
      </c>
      <c r="C17" s="22">
        <v>162000</v>
      </c>
      <c r="D17" s="22">
        <v>108000</v>
      </c>
      <c r="E17" s="22"/>
      <c r="F17" s="22">
        <v>162000</v>
      </c>
      <c r="G17" s="22"/>
      <c r="H17" s="12">
        <f t="shared" si="0"/>
        <v>44065</v>
      </c>
    </row>
    <row r="18" spans="1:8" x14ac:dyDescent="0.3">
      <c r="B18" s="6" t="s">
        <v>18</v>
      </c>
      <c r="C18" s="22"/>
      <c r="D18" s="22"/>
      <c r="E18" s="22"/>
      <c r="F18" s="22"/>
      <c r="G18" s="22"/>
      <c r="H18" s="12">
        <f t="shared" si="0"/>
        <v>44065</v>
      </c>
    </row>
    <row r="19" spans="1:8" x14ac:dyDescent="0.3">
      <c r="B19" s="50" t="s">
        <v>16</v>
      </c>
      <c r="C19" s="55">
        <v>266000</v>
      </c>
      <c r="D19" s="55"/>
      <c r="E19" s="55"/>
      <c r="F19" s="55"/>
      <c r="G19" s="55"/>
      <c r="H19" s="56">
        <f t="shared" si="0"/>
        <v>44065</v>
      </c>
    </row>
    <row r="20" spans="1:8" x14ac:dyDescent="0.3">
      <c r="B20" s="50" t="s">
        <v>27</v>
      </c>
      <c r="C20" s="51">
        <f>SUBTOTAL(109,August22_2020[KSI_AGO])</f>
        <v>2309000</v>
      </c>
      <c r="D20" s="51">
        <f>SUBTOTAL(109,August22_2020[KSI_PMS])</f>
        <v>1172000</v>
      </c>
      <c r="E20" s="51">
        <f>SUBTOTAL(109,August22_2020[BUIPE_AGO])</f>
        <v>0</v>
      </c>
      <c r="F20" s="51">
        <f>SUBTOTAL(109,August22_2020[BUIPE_PMS])</f>
        <v>1188000</v>
      </c>
      <c r="G20" s="51">
        <f>SUBTOTAL(109,August22_2020[AKOSOMBO_AGO])</f>
        <v>0</v>
      </c>
      <c r="H20" s="52"/>
    </row>
    <row r="21" spans="1:8" x14ac:dyDescent="0.3">
      <c r="B21" s="1" t="s">
        <v>6</v>
      </c>
      <c r="C21" s="1" t="s">
        <v>4</v>
      </c>
      <c r="D21" s="5">
        <f>SUMIF(August22_2020[[#Headers],[KSI_AGO]:[AKOSOMBO_AGO]],"*"&amp;C21,August22_2020[[#Totals],[KSI_AGO]:[AKOSOMBO_AGO]])</f>
        <v>2309000</v>
      </c>
      <c r="E21" s="1" t="s">
        <v>5</v>
      </c>
      <c r="F21" s="5">
        <f>SUMIF(August22_2020[[#Headers],[KSI_AGO]:[AKOSOMBO_AGO]],"*"&amp;E21,August22_2020[[#Totals],[KSI_AGO]:[AKOSOMBO_AGO]])</f>
        <v>2360000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A200-000000000000}">
      <formula1>INDIRECT("BDC_List[BDC List]")</formula1>
    </dataValidation>
  </dataValidations>
  <pageMargins left="0.7" right="0.7" top="0.75" bottom="0.75" header="0.3" footer="0.3"/>
  <tableParts count="1">
    <tablePart r:id="rId1"/>
  </tableParts>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codeName="Sheet164"/>
  <dimension ref="A1:K31"/>
  <sheetViews>
    <sheetView workbookViewId="0">
      <selection activeCell="E11" sqref="E11"/>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44067</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44067</v>
      </c>
    </row>
    <row r="7" spans="2:11" x14ac:dyDescent="0.3">
      <c r="B7" s="6" t="s">
        <v>37</v>
      </c>
      <c r="C7" s="53"/>
      <c r="D7" s="53"/>
      <c r="E7" s="49"/>
      <c r="F7" s="22"/>
      <c r="G7" s="49"/>
      <c r="H7" s="12">
        <f t="shared" si="0"/>
        <v>44067</v>
      </c>
    </row>
    <row r="8" spans="2:11" x14ac:dyDescent="0.3">
      <c r="B8" s="6" t="s">
        <v>17</v>
      </c>
      <c r="C8" s="22">
        <v>311000</v>
      </c>
      <c r="D8" s="22">
        <v>302000</v>
      </c>
      <c r="E8" s="22"/>
      <c r="F8" s="22"/>
      <c r="G8" s="22"/>
      <c r="H8" s="12">
        <f t="shared" si="0"/>
        <v>44067</v>
      </c>
    </row>
    <row r="9" spans="2:11" ht="15.6" x14ac:dyDescent="0.3">
      <c r="B9" s="34" t="s">
        <v>0</v>
      </c>
      <c r="C9" s="60">
        <v>270000</v>
      </c>
      <c r="D9" s="60"/>
      <c r="E9" s="60"/>
      <c r="F9" s="60"/>
      <c r="G9" s="61">
        <v>252000</v>
      </c>
      <c r="H9" s="12">
        <f t="shared" si="0"/>
        <v>44067</v>
      </c>
    </row>
    <row r="10" spans="2:11" x14ac:dyDescent="0.3">
      <c r="B10" s="6" t="s">
        <v>25</v>
      </c>
      <c r="C10" s="62">
        <v>108000</v>
      </c>
      <c r="D10" s="62">
        <v>207000</v>
      </c>
      <c r="E10" s="62"/>
      <c r="F10" s="62">
        <v>54000</v>
      </c>
      <c r="G10" s="62"/>
      <c r="H10" s="12">
        <f t="shared" si="0"/>
        <v>44067</v>
      </c>
    </row>
    <row r="11" spans="2:11" x14ac:dyDescent="0.3">
      <c r="B11" s="6" t="s">
        <v>15</v>
      </c>
      <c r="C11" s="22">
        <v>216000</v>
      </c>
      <c r="D11" s="22">
        <v>216000</v>
      </c>
      <c r="E11" s="22"/>
      <c r="F11" s="22">
        <v>108000</v>
      </c>
      <c r="G11" s="22"/>
      <c r="H11" s="12">
        <f t="shared" si="0"/>
        <v>44067</v>
      </c>
    </row>
    <row r="12" spans="2:11" x14ac:dyDescent="0.3">
      <c r="B12" s="6" t="s">
        <v>26</v>
      </c>
      <c r="C12" s="22"/>
      <c r="D12" s="22"/>
      <c r="E12" s="22">
        <v>45000</v>
      </c>
      <c r="F12" s="22"/>
      <c r="G12" s="22"/>
      <c r="H12" s="12">
        <f t="shared" si="0"/>
        <v>44067</v>
      </c>
      <c r="K12" s="4"/>
    </row>
    <row r="13" spans="2:11" x14ac:dyDescent="0.3">
      <c r="B13" s="6" t="s">
        <v>22</v>
      </c>
      <c r="C13" s="23"/>
      <c r="D13" s="23"/>
      <c r="E13" s="23"/>
      <c r="F13" s="23"/>
      <c r="G13" s="23"/>
      <c r="H13" s="12">
        <f t="shared" si="0"/>
        <v>44067</v>
      </c>
    </row>
    <row r="14" spans="2:11" x14ac:dyDescent="0.3">
      <c r="B14" s="6" t="s">
        <v>19</v>
      </c>
      <c r="C14" s="22"/>
      <c r="D14" s="22"/>
      <c r="E14" s="22"/>
      <c r="F14" s="22"/>
      <c r="G14" s="22"/>
      <c r="H14" s="12">
        <f t="shared" si="0"/>
        <v>44067</v>
      </c>
    </row>
    <row r="15" spans="2:11" x14ac:dyDescent="0.3">
      <c r="B15" s="6" t="s">
        <v>14</v>
      </c>
      <c r="C15" s="22">
        <v>368500</v>
      </c>
      <c r="D15" s="22">
        <v>216000</v>
      </c>
      <c r="E15" s="22"/>
      <c r="F15" s="22"/>
      <c r="G15" s="22"/>
      <c r="H15" s="12">
        <f t="shared" si="0"/>
        <v>44067</v>
      </c>
    </row>
    <row r="16" spans="2:11" x14ac:dyDescent="0.3">
      <c r="B16" s="6" t="s">
        <v>24</v>
      </c>
      <c r="C16" s="22">
        <v>319500</v>
      </c>
      <c r="D16" s="22"/>
      <c r="E16" s="22"/>
      <c r="F16" s="22"/>
      <c r="G16" s="22"/>
      <c r="H16" s="12">
        <f t="shared" si="0"/>
        <v>44067</v>
      </c>
    </row>
    <row r="17" spans="1:8" x14ac:dyDescent="0.3">
      <c r="B17" s="6" t="s">
        <v>21</v>
      </c>
      <c r="C17" s="22"/>
      <c r="D17" s="22">
        <v>205000</v>
      </c>
      <c r="E17" s="22"/>
      <c r="F17" s="22">
        <v>162000</v>
      </c>
      <c r="G17" s="22"/>
      <c r="H17" s="12">
        <f t="shared" si="0"/>
        <v>44067</v>
      </c>
    </row>
    <row r="18" spans="1:8" x14ac:dyDescent="0.3">
      <c r="B18" s="6" t="s">
        <v>18</v>
      </c>
      <c r="C18" s="22"/>
      <c r="D18" s="22"/>
      <c r="E18" s="22"/>
      <c r="F18" s="22"/>
      <c r="G18" s="22"/>
      <c r="H18" s="12">
        <f t="shared" si="0"/>
        <v>44067</v>
      </c>
    </row>
    <row r="19" spans="1:8" x14ac:dyDescent="0.3">
      <c r="B19" s="50" t="s">
        <v>16</v>
      </c>
      <c r="C19" s="55">
        <v>162000</v>
      </c>
      <c r="D19" s="55"/>
      <c r="E19" s="55"/>
      <c r="F19" s="55"/>
      <c r="G19" s="55"/>
      <c r="H19" s="56">
        <f t="shared" si="0"/>
        <v>44067</v>
      </c>
    </row>
    <row r="20" spans="1:8" x14ac:dyDescent="0.3">
      <c r="B20" s="50" t="s">
        <v>27</v>
      </c>
      <c r="C20" s="51">
        <f>SUBTOTAL(109,August24_2020[KSI_AGO])</f>
        <v>1755000</v>
      </c>
      <c r="D20" s="51">
        <f>SUBTOTAL(109,August24_2020[KSI_PMS])</f>
        <v>1146000</v>
      </c>
      <c r="E20" s="51">
        <f>SUBTOTAL(109,August24_2020[BUIPE_AGO])</f>
        <v>45000</v>
      </c>
      <c r="F20" s="51">
        <f>SUBTOTAL(109,August24_2020[BUIPE_PMS])</f>
        <v>324000</v>
      </c>
      <c r="G20" s="51">
        <f>SUBTOTAL(109,August24_2020[AKOSOMBO_AGO])</f>
        <v>252000</v>
      </c>
      <c r="H20" s="52"/>
    </row>
    <row r="21" spans="1:8" x14ac:dyDescent="0.3">
      <c r="B21" s="1" t="s">
        <v>6</v>
      </c>
      <c r="C21" s="1" t="s">
        <v>4</v>
      </c>
      <c r="D21" s="5">
        <f>SUMIF(August24_2020[[#Headers],[KSI_AGO]:[AKOSOMBO_AGO]],"*"&amp;C21,August24_2020[[#Totals],[KSI_AGO]:[AKOSOMBO_AGO]])</f>
        <v>2052000</v>
      </c>
      <c r="E21" s="1" t="s">
        <v>5</v>
      </c>
      <c r="F21" s="5">
        <f>SUMIF(August24_2020[[#Headers],[KSI_AGO]:[AKOSOMBO_AGO]],"*"&amp;E21,August24_2020[[#Totals],[KSI_AGO]:[AKOSOMBO_AGO]])</f>
        <v>1470000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A300-000000000000}">
      <formula1>INDIRECT("BDC_List[BDC List]")</formula1>
    </dataValidation>
  </dataValidations>
  <pageMargins left="0.7" right="0.7" top="0.75" bottom="0.75" header="0.3" footer="0.3"/>
  <legacyDrawing r:id="rId1"/>
  <tableParts count="1">
    <tablePart r:id="rId2"/>
  </tableParts>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codeName="Sheet165"/>
  <dimension ref="A1:K31"/>
  <sheetViews>
    <sheetView workbookViewId="0">
      <selection activeCell="E14" sqref="E14"/>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44068</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v>90000</v>
      </c>
      <c r="D6" s="45"/>
      <c r="E6" s="45"/>
      <c r="F6" s="45"/>
      <c r="G6" s="45"/>
      <c r="H6" s="12">
        <f t="shared" ref="H6:H19" si="0">$G$3</f>
        <v>44068</v>
      </c>
    </row>
    <row r="7" spans="2:11" x14ac:dyDescent="0.3">
      <c r="B7" s="6" t="s">
        <v>37</v>
      </c>
      <c r="C7" s="53"/>
      <c r="D7" s="53"/>
      <c r="E7" s="49"/>
      <c r="F7" s="22"/>
      <c r="G7" s="49"/>
      <c r="H7" s="12">
        <f t="shared" si="0"/>
        <v>44068</v>
      </c>
    </row>
    <row r="8" spans="2:11" x14ac:dyDescent="0.3">
      <c r="B8" s="6" t="s">
        <v>17</v>
      </c>
      <c r="C8" s="22">
        <v>477000</v>
      </c>
      <c r="D8" s="22">
        <v>270000</v>
      </c>
      <c r="E8" s="22"/>
      <c r="F8" s="22"/>
      <c r="G8" s="22"/>
      <c r="H8" s="12">
        <f t="shared" si="0"/>
        <v>44068</v>
      </c>
    </row>
    <row r="9" spans="2:11" ht="15.6" x14ac:dyDescent="0.3">
      <c r="B9" s="34" t="s">
        <v>0</v>
      </c>
      <c r="C9" s="60">
        <v>54000</v>
      </c>
      <c r="D9" s="60"/>
      <c r="E9" s="60"/>
      <c r="F9" s="60"/>
      <c r="G9" s="61">
        <v>137000</v>
      </c>
      <c r="H9" s="12">
        <f t="shared" si="0"/>
        <v>44068</v>
      </c>
    </row>
    <row r="10" spans="2:11" x14ac:dyDescent="0.3">
      <c r="B10" s="6" t="s">
        <v>25</v>
      </c>
      <c r="C10" s="62">
        <v>154000</v>
      </c>
      <c r="D10" s="62">
        <v>270000</v>
      </c>
      <c r="E10" s="62"/>
      <c r="F10" s="62"/>
      <c r="G10" s="62"/>
      <c r="H10" s="12">
        <f t="shared" si="0"/>
        <v>44068</v>
      </c>
    </row>
    <row r="11" spans="2:11" x14ac:dyDescent="0.3">
      <c r="B11" s="6" t="s">
        <v>15</v>
      </c>
      <c r="C11" s="22">
        <v>378000</v>
      </c>
      <c r="D11" s="22">
        <v>428000</v>
      </c>
      <c r="E11" s="22">
        <v>45000</v>
      </c>
      <c r="F11" s="22">
        <v>1292000</v>
      </c>
      <c r="G11" s="22"/>
      <c r="H11" s="12">
        <f t="shared" si="0"/>
        <v>44068</v>
      </c>
    </row>
    <row r="12" spans="2:11" x14ac:dyDescent="0.3">
      <c r="B12" s="6" t="s">
        <v>26</v>
      </c>
      <c r="C12" s="22"/>
      <c r="D12" s="22"/>
      <c r="E12" s="22"/>
      <c r="F12" s="22"/>
      <c r="G12" s="22"/>
      <c r="H12" s="12">
        <f t="shared" si="0"/>
        <v>44068</v>
      </c>
      <c r="K12" s="4"/>
    </row>
    <row r="13" spans="2:11" x14ac:dyDescent="0.3">
      <c r="B13" s="6" t="s">
        <v>22</v>
      </c>
      <c r="C13" s="23"/>
      <c r="D13" s="23"/>
      <c r="E13" s="23"/>
      <c r="F13" s="23"/>
      <c r="G13" s="23"/>
      <c r="H13" s="12">
        <f t="shared" si="0"/>
        <v>44068</v>
      </c>
    </row>
    <row r="14" spans="2:11" x14ac:dyDescent="0.3">
      <c r="B14" s="6" t="s">
        <v>19</v>
      </c>
      <c r="C14" s="22"/>
      <c r="D14" s="22"/>
      <c r="E14" s="22"/>
      <c r="F14" s="22"/>
      <c r="G14" s="22"/>
      <c r="H14" s="12">
        <f t="shared" si="0"/>
        <v>44068</v>
      </c>
    </row>
    <row r="15" spans="2:11" x14ac:dyDescent="0.3">
      <c r="B15" s="6" t="s">
        <v>14</v>
      </c>
      <c r="C15" s="22">
        <v>742500</v>
      </c>
      <c r="D15" s="22"/>
      <c r="E15" s="22"/>
      <c r="F15" s="22"/>
      <c r="G15" s="22"/>
      <c r="H15" s="12">
        <f t="shared" si="0"/>
        <v>44068</v>
      </c>
    </row>
    <row r="16" spans="2:11" x14ac:dyDescent="0.3">
      <c r="B16" s="6" t="s">
        <v>24</v>
      </c>
      <c r="C16" s="22">
        <v>580500</v>
      </c>
      <c r="D16" s="22"/>
      <c r="E16" s="22"/>
      <c r="F16" s="22"/>
      <c r="G16" s="22"/>
      <c r="H16" s="12">
        <f t="shared" si="0"/>
        <v>44068</v>
      </c>
    </row>
    <row r="17" spans="1:8" x14ac:dyDescent="0.3">
      <c r="B17" s="6" t="s">
        <v>21</v>
      </c>
      <c r="C17" s="22"/>
      <c r="D17" s="22">
        <v>216000</v>
      </c>
      <c r="E17" s="22"/>
      <c r="F17" s="22"/>
      <c r="G17" s="22"/>
      <c r="H17" s="12">
        <f t="shared" si="0"/>
        <v>44068</v>
      </c>
    </row>
    <row r="18" spans="1:8" x14ac:dyDescent="0.3">
      <c r="B18" s="6" t="s">
        <v>18</v>
      </c>
      <c r="C18" s="22"/>
      <c r="D18" s="22"/>
      <c r="E18" s="22"/>
      <c r="F18" s="22"/>
      <c r="G18" s="22"/>
      <c r="H18" s="12">
        <f t="shared" si="0"/>
        <v>44068</v>
      </c>
    </row>
    <row r="19" spans="1:8" x14ac:dyDescent="0.3">
      <c r="B19" s="50" t="s">
        <v>16</v>
      </c>
      <c r="C19" s="55">
        <v>162000</v>
      </c>
      <c r="D19" s="55"/>
      <c r="E19" s="55"/>
      <c r="F19" s="55"/>
      <c r="G19" s="55"/>
      <c r="H19" s="56">
        <f t="shared" si="0"/>
        <v>44068</v>
      </c>
    </row>
    <row r="20" spans="1:8" x14ac:dyDescent="0.3">
      <c r="B20" s="50" t="s">
        <v>27</v>
      </c>
      <c r="C20" s="51">
        <f>SUBTOTAL(109,August25_2020[KSI_AGO])</f>
        <v>2638000</v>
      </c>
      <c r="D20" s="51">
        <f>SUBTOTAL(109,August25_2020[KSI_PMS])</f>
        <v>1184000</v>
      </c>
      <c r="E20" s="51">
        <f>SUBTOTAL(109,August25_2020[BUIPE_AGO])</f>
        <v>45000</v>
      </c>
      <c r="F20" s="51">
        <f>SUBTOTAL(109,August25_2020[BUIPE_PMS])</f>
        <v>1292000</v>
      </c>
      <c r="G20" s="51">
        <f>SUBTOTAL(109,August25_2020[AKOSOMBO_AGO])</f>
        <v>137000</v>
      </c>
      <c r="H20" s="52"/>
    </row>
    <row r="21" spans="1:8" x14ac:dyDescent="0.3">
      <c r="B21" s="1" t="s">
        <v>6</v>
      </c>
      <c r="C21" s="1" t="s">
        <v>4</v>
      </c>
      <c r="D21" s="5">
        <f>SUMIF(August25_2020[[#Headers],[KSI_AGO]:[AKOSOMBO_AGO]],"*"&amp;C21,August25_2020[[#Totals],[KSI_AGO]:[AKOSOMBO_AGO]])</f>
        <v>2820000</v>
      </c>
      <c r="E21" s="1" t="s">
        <v>5</v>
      </c>
      <c r="F21" s="5">
        <f>SUMIF(August25_2020[[#Headers],[KSI_AGO]:[AKOSOMBO_AGO]],"*"&amp;E21,August25_2020[[#Totals],[KSI_AGO]:[AKOSOMBO_AGO]])</f>
        <v>2476000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A400-000000000000}">
      <formula1>INDIRECT("BDC_List[BDC List]")</formula1>
    </dataValidation>
  </dataValidations>
  <pageMargins left="0.7" right="0.7" top="0.75" bottom="0.75" header="0.3" footer="0.3"/>
  <tableParts count="1">
    <tablePart r:id="rId1"/>
  </tableParts>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codeName="Sheet166"/>
  <dimension ref="A1:K31"/>
  <sheetViews>
    <sheetView workbookViewId="0">
      <selection activeCell="G20" sqref="G20"/>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44069</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44069</v>
      </c>
    </row>
    <row r="7" spans="2:11" x14ac:dyDescent="0.3">
      <c r="B7" s="6" t="s">
        <v>37</v>
      </c>
      <c r="C7" s="53"/>
      <c r="D7" s="53"/>
      <c r="E7" s="49"/>
      <c r="F7" s="22"/>
      <c r="G7" s="49"/>
      <c r="H7" s="12">
        <f t="shared" si="0"/>
        <v>44069</v>
      </c>
    </row>
    <row r="8" spans="2:11" x14ac:dyDescent="0.3">
      <c r="B8" s="6" t="s">
        <v>17</v>
      </c>
      <c r="C8" s="22">
        <v>320000</v>
      </c>
      <c r="D8" s="22">
        <v>103500</v>
      </c>
      <c r="E8" s="22"/>
      <c r="F8" s="22"/>
      <c r="G8" s="22"/>
      <c r="H8" s="12">
        <f t="shared" si="0"/>
        <v>44069</v>
      </c>
    </row>
    <row r="9" spans="2:11" ht="15.6" x14ac:dyDescent="0.3">
      <c r="B9" s="34" t="s">
        <v>0</v>
      </c>
      <c r="C9" s="60"/>
      <c r="D9" s="60"/>
      <c r="E9" s="60"/>
      <c r="F9" s="60"/>
      <c r="G9" s="61"/>
      <c r="H9" s="12">
        <f t="shared" si="0"/>
        <v>44069</v>
      </c>
    </row>
    <row r="10" spans="2:11" x14ac:dyDescent="0.3">
      <c r="B10" s="6" t="s">
        <v>25</v>
      </c>
      <c r="C10" s="62">
        <v>45000</v>
      </c>
      <c r="D10" s="62">
        <v>432000</v>
      </c>
      <c r="E10" s="62"/>
      <c r="F10" s="62"/>
      <c r="G10" s="62"/>
      <c r="H10" s="12">
        <f t="shared" si="0"/>
        <v>44069</v>
      </c>
    </row>
    <row r="11" spans="2:11" x14ac:dyDescent="0.3">
      <c r="B11" s="6" t="s">
        <v>15</v>
      </c>
      <c r="C11" s="22">
        <v>324000</v>
      </c>
      <c r="D11" s="22">
        <v>1279000</v>
      </c>
      <c r="E11" s="22">
        <v>95000</v>
      </c>
      <c r="F11" s="22">
        <v>104000</v>
      </c>
      <c r="G11" s="22"/>
      <c r="H11" s="12">
        <f t="shared" si="0"/>
        <v>44069</v>
      </c>
    </row>
    <row r="12" spans="2:11" x14ac:dyDescent="0.3">
      <c r="B12" s="6" t="s">
        <v>26</v>
      </c>
      <c r="C12" s="22">
        <v>108000</v>
      </c>
      <c r="D12" s="22">
        <v>45000</v>
      </c>
      <c r="E12" s="22">
        <v>95000</v>
      </c>
      <c r="F12" s="22"/>
      <c r="G12" s="22">
        <v>540000</v>
      </c>
      <c r="H12" s="12">
        <f t="shared" si="0"/>
        <v>44069</v>
      </c>
      <c r="K12" s="4"/>
    </row>
    <row r="13" spans="2:11" x14ac:dyDescent="0.3">
      <c r="B13" s="6" t="s">
        <v>22</v>
      </c>
      <c r="C13" s="23"/>
      <c r="D13" s="23"/>
      <c r="E13" s="23"/>
      <c r="F13" s="23"/>
      <c r="G13" s="23"/>
      <c r="H13" s="12">
        <f t="shared" si="0"/>
        <v>44069</v>
      </c>
    </row>
    <row r="14" spans="2:11" x14ac:dyDescent="0.3">
      <c r="B14" s="6" t="s">
        <v>19</v>
      </c>
      <c r="C14" s="22"/>
      <c r="D14" s="22"/>
      <c r="E14" s="22"/>
      <c r="F14" s="22"/>
      <c r="G14" s="22"/>
      <c r="H14" s="12">
        <f t="shared" si="0"/>
        <v>44069</v>
      </c>
    </row>
    <row r="15" spans="2:11" x14ac:dyDescent="0.3">
      <c r="B15" s="6" t="s">
        <v>14</v>
      </c>
      <c r="C15" s="22">
        <v>702000</v>
      </c>
      <c r="D15" s="22"/>
      <c r="E15" s="22"/>
      <c r="F15" s="22"/>
      <c r="G15" s="22"/>
      <c r="H15" s="12">
        <f t="shared" si="0"/>
        <v>44069</v>
      </c>
    </row>
    <row r="16" spans="2:11" x14ac:dyDescent="0.3">
      <c r="B16" s="6" t="s">
        <v>24</v>
      </c>
      <c r="C16" s="22">
        <v>585000</v>
      </c>
      <c r="D16" s="22"/>
      <c r="E16" s="22"/>
      <c r="F16" s="22"/>
      <c r="G16" s="22"/>
      <c r="H16" s="12">
        <f t="shared" si="0"/>
        <v>44069</v>
      </c>
    </row>
    <row r="17" spans="1:8" x14ac:dyDescent="0.3">
      <c r="B17" s="6" t="s">
        <v>21</v>
      </c>
      <c r="C17" s="22"/>
      <c r="D17" s="22"/>
      <c r="E17" s="22"/>
      <c r="F17" s="22">
        <v>50000</v>
      </c>
      <c r="G17" s="22"/>
      <c r="H17" s="12">
        <f t="shared" si="0"/>
        <v>44069</v>
      </c>
    </row>
    <row r="18" spans="1:8" x14ac:dyDescent="0.3">
      <c r="B18" s="6" t="s">
        <v>18</v>
      </c>
      <c r="C18" s="22"/>
      <c r="D18" s="22"/>
      <c r="E18" s="22"/>
      <c r="F18" s="22"/>
      <c r="G18" s="22"/>
      <c r="H18" s="12">
        <f t="shared" si="0"/>
        <v>44069</v>
      </c>
    </row>
    <row r="19" spans="1:8" x14ac:dyDescent="0.3">
      <c r="B19" s="50" t="s">
        <v>16</v>
      </c>
      <c r="C19" s="55">
        <v>54000</v>
      </c>
      <c r="D19" s="55">
        <v>743000</v>
      </c>
      <c r="E19" s="55"/>
      <c r="F19" s="55"/>
      <c r="G19" s="55"/>
      <c r="H19" s="56">
        <f t="shared" si="0"/>
        <v>44069</v>
      </c>
    </row>
    <row r="20" spans="1:8" x14ac:dyDescent="0.3">
      <c r="B20" s="50" t="s">
        <v>27</v>
      </c>
      <c r="C20" s="51">
        <f>SUBTOTAL(109,August26_2020[KSI_AGO])</f>
        <v>2138000</v>
      </c>
      <c r="D20" s="51">
        <f>SUBTOTAL(109,August26_2020[KSI_PMS])</f>
        <v>2602500</v>
      </c>
      <c r="E20" s="51">
        <f>SUBTOTAL(109,August26_2020[BUIPE_AGO])</f>
        <v>190000</v>
      </c>
      <c r="F20" s="51">
        <f>SUBTOTAL(109,August26_2020[BUIPE_PMS])</f>
        <v>154000</v>
      </c>
      <c r="G20" s="51">
        <f>SUBTOTAL(109,August26_2020[AKOSOMBO_AGO])</f>
        <v>540000</v>
      </c>
      <c r="H20" s="52"/>
    </row>
    <row r="21" spans="1:8" x14ac:dyDescent="0.3">
      <c r="B21" s="1" t="s">
        <v>6</v>
      </c>
      <c r="C21" s="1" t="s">
        <v>4</v>
      </c>
      <c r="D21" s="5">
        <f>SUMIF(August26_2020[[#Headers],[KSI_AGO]:[AKOSOMBO_AGO]],"*"&amp;C21,August26_2020[[#Totals],[KSI_AGO]:[AKOSOMBO_AGO]])</f>
        <v>2868000</v>
      </c>
      <c r="E21" s="1" t="s">
        <v>5</v>
      </c>
      <c r="F21" s="5">
        <f>SUMIF(August26_2020[[#Headers],[KSI_AGO]:[AKOSOMBO_AGO]],"*"&amp;E21,August26_2020[[#Totals],[KSI_AGO]:[AKOSOMBO_AGO]])</f>
        <v>2756500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A500-000000000000}">
      <formula1>INDIRECT("BDC_List[BDC List]")</formula1>
    </dataValidation>
  </dataValidations>
  <pageMargins left="0.7" right="0.7" top="0.75" bottom="0.75" header="0.3" footer="0.3"/>
  <legacyDrawing r:id="rId1"/>
  <tableParts count="1">
    <tablePart r:id="rId2"/>
  </tableParts>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codeName="Sheet167"/>
  <dimension ref="A1:K31"/>
  <sheetViews>
    <sheetView workbookViewId="0">
      <selection activeCell="D15" sqref="D15"/>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44070</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44070</v>
      </c>
    </row>
    <row r="7" spans="2:11" x14ac:dyDescent="0.3">
      <c r="B7" s="6" t="s">
        <v>37</v>
      </c>
      <c r="C7" s="53"/>
      <c r="D7" s="53"/>
      <c r="E7" s="49"/>
      <c r="F7" s="22">
        <v>200000</v>
      </c>
      <c r="G7" s="49"/>
      <c r="H7" s="12">
        <f t="shared" si="0"/>
        <v>44070</v>
      </c>
    </row>
    <row r="8" spans="2:11" x14ac:dyDescent="0.3">
      <c r="B8" s="6" t="s">
        <v>17</v>
      </c>
      <c r="C8" s="22">
        <v>108000</v>
      </c>
      <c r="D8" s="22">
        <v>270000</v>
      </c>
      <c r="E8" s="22"/>
      <c r="F8" s="22"/>
      <c r="G8" s="22"/>
      <c r="H8" s="12">
        <f t="shared" si="0"/>
        <v>44070</v>
      </c>
    </row>
    <row r="9" spans="2:11" ht="15.6" x14ac:dyDescent="0.3">
      <c r="B9" s="34" t="s">
        <v>0</v>
      </c>
      <c r="C9" s="60">
        <v>53500</v>
      </c>
      <c r="D9" s="60"/>
      <c r="E9" s="60"/>
      <c r="F9" s="60"/>
      <c r="G9" s="61"/>
      <c r="H9" s="12">
        <f t="shared" si="0"/>
        <v>44070</v>
      </c>
    </row>
    <row r="10" spans="2:11" x14ac:dyDescent="0.3">
      <c r="B10" s="6" t="s">
        <v>25</v>
      </c>
      <c r="C10" s="62">
        <v>45000</v>
      </c>
      <c r="D10" s="62">
        <v>216000</v>
      </c>
      <c r="E10" s="62"/>
      <c r="F10" s="62"/>
      <c r="G10" s="62"/>
      <c r="H10" s="12">
        <f t="shared" si="0"/>
        <v>44070</v>
      </c>
    </row>
    <row r="11" spans="2:11" x14ac:dyDescent="0.3">
      <c r="B11" s="6" t="s">
        <v>15</v>
      </c>
      <c r="C11" s="22"/>
      <c r="D11" s="22">
        <v>162000</v>
      </c>
      <c r="E11" s="22"/>
      <c r="F11" s="22">
        <v>99000</v>
      </c>
      <c r="G11" s="22"/>
      <c r="H11" s="12">
        <f t="shared" si="0"/>
        <v>44070</v>
      </c>
    </row>
    <row r="12" spans="2:11" x14ac:dyDescent="0.3">
      <c r="B12" s="6" t="s">
        <v>26</v>
      </c>
      <c r="C12" s="22">
        <v>162000</v>
      </c>
      <c r="D12" s="22"/>
      <c r="E12" s="22"/>
      <c r="F12" s="22"/>
      <c r="G12" s="22">
        <v>54000</v>
      </c>
      <c r="H12" s="12">
        <f t="shared" si="0"/>
        <v>44070</v>
      </c>
      <c r="K12" s="4"/>
    </row>
    <row r="13" spans="2:11" x14ac:dyDescent="0.3">
      <c r="B13" s="6" t="s">
        <v>22</v>
      </c>
      <c r="C13" s="23"/>
      <c r="D13" s="23"/>
      <c r="E13" s="23"/>
      <c r="F13" s="23"/>
      <c r="G13" s="23"/>
      <c r="H13" s="12">
        <f t="shared" si="0"/>
        <v>44070</v>
      </c>
    </row>
    <row r="14" spans="2:11" x14ac:dyDescent="0.3">
      <c r="B14" s="6" t="s">
        <v>19</v>
      </c>
      <c r="C14" s="22"/>
      <c r="D14" s="22"/>
      <c r="E14" s="22"/>
      <c r="F14" s="22">
        <v>135000</v>
      </c>
      <c r="G14" s="22"/>
      <c r="H14" s="12">
        <f t="shared" si="0"/>
        <v>44070</v>
      </c>
    </row>
    <row r="15" spans="2:11" x14ac:dyDescent="0.3">
      <c r="B15" s="6" t="s">
        <v>14</v>
      </c>
      <c r="C15" s="22">
        <v>360500</v>
      </c>
      <c r="D15" s="22">
        <v>1345500</v>
      </c>
      <c r="E15" s="22"/>
      <c r="F15" s="22"/>
      <c r="G15" s="22"/>
      <c r="H15" s="12">
        <f t="shared" si="0"/>
        <v>44070</v>
      </c>
    </row>
    <row r="16" spans="2:11" x14ac:dyDescent="0.3">
      <c r="B16" s="6" t="s">
        <v>24</v>
      </c>
      <c r="C16" s="22">
        <v>378000</v>
      </c>
      <c r="D16" s="22"/>
      <c r="E16" s="22"/>
      <c r="F16" s="22"/>
      <c r="G16" s="22"/>
      <c r="H16" s="12">
        <f t="shared" si="0"/>
        <v>44070</v>
      </c>
    </row>
    <row r="17" spans="1:8" x14ac:dyDescent="0.3">
      <c r="B17" s="6" t="s">
        <v>21</v>
      </c>
      <c r="C17" s="22">
        <v>100000</v>
      </c>
      <c r="D17" s="22">
        <v>249000</v>
      </c>
      <c r="E17" s="22"/>
      <c r="F17" s="22"/>
      <c r="G17" s="22"/>
      <c r="H17" s="12">
        <f t="shared" si="0"/>
        <v>44070</v>
      </c>
    </row>
    <row r="18" spans="1:8" x14ac:dyDescent="0.3">
      <c r="B18" s="6" t="s">
        <v>18</v>
      </c>
      <c r="C18" s="22"/>
      <c r="D18" s="22"/>
      <c r="E18" s="22"/>
      <c r="F18" s="22"/>
      <c r="G18" s="22"/>
      <c r="H18" s="12">
        <f t="shared" si="0"/>
        <v>44070</v>
      </c>
    </row>
    <row r="19" spans="1:8" x14ac:dyDescent="0.3">
      <c r="B19" s="50" t="s">
        <v>16</v>
      </c>
      <c r="C19" s="55"/>
      <c r="D19" s="55"/>
      <c r="E19" s="55">
        <v>50000</v>
      </c>
      <c r="F19" s="55"/>
      <c r="G19" s="55"/>
      <c r="H19" s="56">
        <f t="shared" si="0"/>
        <v>44070</v>
      </c>
    </row>
    <row r="20" spans="1:8" x14ac:dyDescent="0.3">
      <c r="B20" s="50" t="s">
        <v>27</v>
      </c>
      <c r="C20" s="51">
        <f>SUBTOTAL(109,August27_2020[KSI_AGO])</f>
        <v>1207000</v>
      </c>
      <c r="D20" s="51">
        <f>SUBTOTAL(109,August27_2020[KSI_PMS])</f>
        <v>2242500</v>
      </c>
      <c r="E20" s="51">
        <f>SUBTOTAL(109,August27_2020[BUIPE_AGO])</f>
        <v>50000</v>
      </c>
      <c r="F20" s="51">
        <f>SUBTOTAL(109,August27_2020[BUIPE_PMS])</f>
        <v>434000</v>
      </c>
      <c r="G20" s="51">
        <f>SUBTOTAL(109,August27_2020[AKOSOMBO_AGO])</f>
        <v>54000</v>
      </c>
      <c r="H20" s="52"/>
    </row>
    <row r="21" spans="1:8" x14ac:dyDescent="0.3">
      <c r="B21" s="1" t="s">
        <v>6</v>
      </c>
      <c r="C21" s="1" t="s">
        <v>4</v>
      </c>
      <c r="D21" s="5">
        <f>SUMIF(August27_2020[[#Headers],[KSI_AGO]:[AKOSOMBO_AGO]],"*"&amp;C21,August27_2020[[#Totals],[KSI_AGO]:[AKOSOMBO_AGO]])</f>
        <v>1311000</v>
      </c>
      <c r="E21" s="1" t="s">
        <v>5</v>
      </c>
      <c r="F21" s="5">
        <f>SUMIF(August27_2020[[#Headers],[KSI_AGO]:[AKOSOMBO_AGO]],"*"&amp;E21,August27_2020[[#Totals],[KSI_AGO]:[AKOSOMBO_AGO]])</f>
        <v>2676500</v>
      </c>
    </row>
    <row r="23" spans="1:8" x14ac:dyDescent="0.3">
      <c r="C23" s="1" t="s">
        <v>38</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A600-000000000000}">
      <formula1>INDIRECT("BDC_List[BDC List]")</formula1>
    </dataValidation>
  </dataValidations>
  <pageMargins left="0.7" right="0.7" top="0.75" bottom="0.75" header="0.3" footer="0.3"/>
  <tableParts count="1">
    <tablePart r:id="rId1"/>
  </tableParts>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codeName="Sheet168"/>
  <dimension ref="A1:K31"/>
  <sheetViews>
    <sheetView workbookViewId="0">
      <selection activeCell="G10" sqref="G10"/>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44071</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44071</v>
      </c>
    </row>
    <row r="7" spans="2:11" x14ac:dyDescent="0.3">
      <c r="B7" s="6" t="s">
        <v>37</v>
      </c>
      <c r="C7" s="53"/>
      <c r="D7" s="53"/>
      <c r="E7" s="49"/>
      <c r="F7" s="22">
        <v>100000</v>
      </c>
      <c r="G7" s="49"/>
      <c r="H7" s="12">
        <f t="shared" si="0"/>
        <v>44071</v>
      </c>
    </row>
    <row r="8" spans="2:11" x14ac:dyDescent="0.3">
      <c r="B8" s="6" t="s">
        <v>17</v>
      </c>
      <c r="C8" s="22">
        <v>270000</v>
      </c>
      <c r="D8" s="22"/>
      <c r="E8" s="22"/>
      <c r="F8" s="22"/>
      <c r="G8" s="22"/>
      <c r="H8" s="12">
        <f t="shared" si="0"/>
        <v>44071</v>
      </c>
    </row>
    <row r="9" spans="2:11" ht="15.6" x14ac:dyDescent="0.3">
      <c r="B9" s="34" t="s">
        <v>0</v>
      </c>
      <c r="C9" s="60"/>
      <c r="D9" s="60"/>
      <c r="E9" s="60"/>
      <c r="F9" s="60"/>
      <c r="G9" s="61"/>
      <c r="H9" s="12">
        <f t="shared" si="0"/>
        <v>44071</v>
      </c>
    </row>
    <row r="10" spans="2:11" x14ac:dyDescent="0.3">
      <c r="B10" s="6" t="s">
        <v>25</v>
      </c>
      <c r="C10" s="62">
        <v>266000</v>
      </c>
      <c r="D10" s="62">
        <v>161000</v>
      </c>
      <c r="E10" s="62"/>
      <c r="F10" s="62"/>
      <c r="G10" s="62"/>
      <c r="H10" s="12">
        <f t="shared" si="0"/>
        <v>44071</v>
      </c>
    </row>
    <row r="11" spans="2:11" x14ac:dyDescent="0.3">
      <c r="B11" s="6" t="s">
        <v>15</v>
      </c>
      <c r="C11" s="22">
        <v>162000</v>
      </c>
      <c r="D11" s="22"/>
      <c r="E11" s="22"/>
      <c r="F11" s="22"/>
      <c r="G11" s="22"/>
      <c r="H11" s="12">
        <f t="shared" si="0"/>
        <v>44071</v>
      </c>
    </row>
    <row r="12" spans="2:11" x14ac:dyDescent="0.3">
      <c r="B12" s="6" t="s">
        <v>26</v>
      </c>
      <c r="C12" s="22">
        <v>162000</v>
      </c>
      <c r="D12" s="22"/>
      <c r="E12" s="22"/>
      <c r="F12" s="22"/>
      <c r="G12" s="22"/>
      <c r="H12" s="12">
        <f t="shared" si="0"/>
        <v>44071</v>
      </c>
      <c r="K12" s="4"/>
    </row>
    <row r="13" spans="2:11" x14ac:dyDescent="0.3">
      <c r="B13" s="6" t="s">
        <v>22</v>
      </c>
      <c r="C13" s="23"/>
      <c r="D13" s="23"/>
      <c r="E13" s="23"/>
      <c r="F13" s="23"/>
      <c r="G13" s="23"/>
      <c r="H13" s="12">
        <f t="shared" si="0"/>
        <v>44071</v>
      </c>
    </row>
    <row r="14" spans="2:11" x14ac:dyDescent="0.3">
      <c r="B14" s="6" t="s">
        <v>19</v>
      </c>
      <c r="C14" s="22"/>
      <c r="D14" s="22"/>
      <c r="E14" s="22"/>
      <c r="F14" s="22"/>
      <c r="G14" s="22"/>
      <c r="H14" s="12">
        <f t="shared" si="0"/>
        <v>44071</v>
      </c>
    </row>
    <row r="15" spans="2:11" x14ac:dyDescent="0.3">
      <c r="B15" s="6" t="s">
        <v>14</v>
      </c>
      <c r="C15" s="22">
        <v>216000</v>
      </c>
      <c r="D15" s="22">
        <v>1179500</v>
      </c>
      <c r="E15" s="22"/>
      <c r="F15" s="22"/>
      <c r="G15" s="22"/>
      <c r="H15" s="12">
        <f t="shared" si="0"/>
        <v>44071</v>
      </c>
    </row>
    <row r="16" spans="2:11" x14ac:dyDescent="0.3">
      <c r="B16" s="6" t="s">
        <v>24</v>
      </c>
      <c r="C16" s="22">
        <v>270000</v>
      </c>
      <c r="D16" s="22"/>
      <c r="E16" s="22"/>
      <c r="F16" s="22"/>
      <c r="G16" s="22"/>
      <c r="H16" s="12">
        <f t="shared" si="0"/>
        <v>44071</v>
      </c>
    </row>
    <row r="17" spans="1:8" x14ac:dyDescent="0.3">
      <c r="B17" s="6" t="s">
        <v>21</v>
      </c>
      <c r="C17" s="22"/>
      <c r="D17" s="22"/>
      <c r="E17" s="22"/>
      <c r="F17" s="22"/>
      <c r="G17" s="22"/>
      <c r="H17" s="12">
        <f t="shared" si="0"/>
        <v>44071</v>
      </c>
    </row>
    <row r="18" spans="1:8" x14ac:dyDescent="0.3">
      <c r="B18" s="6" t="s">
        <v>18</v>
      </c>
      <c r="C18" s="22"/>
      <c r="D18" s="22"/>
      <c r="E18" s="22"/>
      <c r="F18" s="22"/>
      <c r="G18" s="22"/>
      <c r="H18" s="12">
        <f t="shared" si="0"/>
        <v>44071</v>
      </c>
    </row>
    <row r="19" spans="1:8" x14ac:dyDescent="0.3">
      <c r="B19" s="50" t="s">
        <v>16</v>
      </c>
      <c r="C19" s="55"/>
      <c r="D19" s="55"/>
      <c r="E19" s="55"/>
      <c r="F19" s="55"/>
      <c r="G19" s="55"/>
      <c r="H19" s="56">
        <f t="shared" si="0"/>
        <v>44071</v>
      </c>
    </row>
    <row r="20" spans="1:8" x14ac:dyDescent="0.3">
      <c r="B20" s="50" t="s">
        <v>27</v>
      </c>
      <c r="C20" s="51">
        <f>SUBTOTAL(109,August28_2020[KSI_AGO])</f>
        <v>1346000</v>
      </c>
      <c r="D20" s="51">
        <f>SUBTOTAL(109,August28_2020[KSI_PMS])</f>
        <v>1340500</v>
      </c>
      <c r="E20" s="51">
        <f>SUBTOTAL(109,August28_2020[BUIPE_AGO])</f>
        <v>0</v>
      </c>
      <c r="F20" s="51">
        <f>SUBTOTAL(109,August28_2020[BUIPE_PMS])</f>
        <v>100000</v>
      </c>
      <c r="G20" s="51">
        <f>SUBTOTAL(109,August28_2020[AKOSOMBO_AGO])</f>
        <v>0</v>
      </c>
      <c r="H20" s="52"/>
    </row>
    <row r="21" spans="1:8" x14ac:dyDescent="0.3">
      <c r="B21" s="1" t="s">
        <v>6</v>
      </c>
      <c r="C21" s="1" t="s">
        <v>4</v>
      </c>
      <c r="D21" s="5">
        <f>SUMIF(August28_2020[[#Headers],[KSI_AGO]:[AKOSOMBO_AGO]],"*"&amp;C21,August28_2020[[#Totals],[KSI_AGO]:[AKOSOMBO_AGO]])</f>
        <v>1346000</v>
      </c>
      <c r="E21" s="1" t="s">
        <v>5</v>
      </c>
      <c r="F21" s="5">
        <f>SUMIF(August28_2020[[#Headers],[KSI_AGO]:[AKOSOMBO_AGO]],"*"&amp;E21,August28_2020[[#Totals],[KSI_AGO]:[AKOSOMBO_AGO]])</f>
        <v>1440500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A700-000000000000}">
      <formula1>INDIRECT("BDC_List[BDC List]")</formula1>
    </dataValidation>
  </dataValidations>
  <pageMargins left="0.7" right="0.7" top="0.75" bottom="0.75" header="0.3" footer="0.3"/>
  <tableParts count="1">
    <tablePart r:id="rId1"/>
  </tableParts>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codeName="Sheet169"/>
  <dimension ref="A1:K31"/>
  <sheetViews>
    <sheetView topLeftCell="A3" workbookViewId="0">
      <selection activeCell="G18" sqref="G18"/>
    </sheetView>
  </sheetViews>
  <sheetFormatPr defaultColWidth="9.109375" defaultRowHeight="14.4" x14ac:dyDescent="0.3"/>
  <cols>
    <col min="1" max="1" width="6.88671875" style="1" customWidth="1"/>
    <col min="2" max="2" width="24.5546875" style="1" customWidth="1"/>
    <col min="3" max="3" width="15.33203125" style="1" customWidth="1"/>
    <col min="4" max="4" width="15" style="1" customWidth="1"/>
    <col min="5" max="5" width="18.44140625" style="1" bestFit="1" customWidth="1"/>
    <col min="6" max="6" width="18.109375" style="1" customWidth="1"/>
    <col min="7" max="7" width="28.66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44074</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44074</v>
      </c>
    </row>
    <row r="7" spans="2:11" x14ac:dyDescent="0.3">
      <c r="B7" s="6" t="s">
        <v>37</v>
      </c>
      <c r="C7" s="53"/>
      <c r="D7" s="53"/>
      <c r="E7" s="49"/>
      <c r="F7" s="22"/>
      <c r="G7" s="49"/>
      <c r="H7" s="12">
        <f t="shared" si="0"/>
        <v>44074</v>
      </c>
    </row>
    <row r="8" spans="2:11" x14ac:dyDescent="0.3">
      <c r="B8" s="6" t="s">
        <v>17</v>
      </c>
      <c r="C8" s="22">
        <v>378000</v>
      </c>
      <c r="D8" s="22"/>
      <c r="E8" s="22"/>
      <c r="F8" s="22"/>
      <c r="G8" s="22"/>
      <c r="H8" s="12">
        <f t="shared" si="0"/>
        <v>44074</v>
      </c>
    </row>
    <row r="9" spans="2:11" ht="15.6" x14ac:dyDescent="0.3">
      <c r="B9" s="34" t="s">
        <v>0</v>
      </c>
      <c r="C9" s="60"/>
      <c r="D9" s="60"/>
      <c r="E9" s="60"/>
      <c r="F9" s="60"/>
      <c r="G9" s="61"/>
      <c r="H9" s="12">
        <f t="shared" si="0"/>
        <v>44074</v>
      </c>
    </row>
    <row r="10" spans="2:11" x14ac:dyDescent="0.3">
      <c r="B10" s="6" t="s">
        <v>25</v>
      </c>
      <c r="C10" s="62">
        <v>319500</v>
      </c>
      <c r="D10" s="62"/>
      <c r="E10" s="62"/>
      <c r="F10" s="62"/>
      <c r="G10" s="62"/>
      <c r="H10" s="12">
        <f t="shared" si="0"/>
        <v>44074</v>
      </c>
    </row>
    <row r="11" spans="2:11" x14ac:dyDescent="0.3">
      <c r="B11" s="6" t="s">
        <v>15</v>
      </c>
      <c r="C11" s="22">
        <v>49500</v>
      </c>
      <c r="D11" s="22">
        <v>108000</v>
      </c>
      <c r="E11" s="22"/>
      <c r="F11" s="22">
        <v>324000</v>
      </c>
      <c r="G11" s="22"/>
      <c r="H11" s="12">
        <f t="shared" si="0"/>
        <v>44074</v>
      </c>
    </row>
    <row r="12" spans="2:11" x14ac:dyDescent="0.3">
      <c r="B12" s="6" t="s">
        <v>26</v>
      </c>
      <c r="C12" s="22">
        <v>215500</v>
      </c>
      <c r="D12" s="22">
        <v>265500</v>
      </c>
      <c r="E12" s="22"/>
      <c r="F12" s="22">
        <v>162000</v>
      </c>
      <c r="G12" s="22"/>
      <c r="H12" s="12">
        <f t="shared" si="0"/>
        <v>44074</v>
      </c>
      <c r="K12" s="4"/>
    </row>
    <row r="13" spans="2:11" x14ac:dyDescent="0.3">
      <c r="B13" s="6" t="s">
        <v>22</v>
      </c>
      <c r="C13" s="23"/>
      <c r="D13" s="23"/>
      <c r="E13" s="23"/>
      <c r="F13" s="23"/>
      <c r="G13" s="23"/>
      <c r="H13" s="12">
        <f t="shared" si="0"/>
        <v>44074</v>
      </c>
    </row>
    <row r="14" spans="2:11" x14ac:dyDescent="0.3">
      <c r="B14" s="6" t="s">
        <v>19</v>
      </c>
      <c r="C14" s="22"/>
      <c r="D14" s="22">
        <v>378000</v>
      </c>
      <c r="E14" s="22"/>
      <c r="F14" s="22"/>
      <c r="G14" s="22"/>
      <c r="H14" s="12">
        <f t="shared" si="0"/>
        <v>44074</v>
      </c>
    </row>
    <row r="15" spans="2:11" x14ac:dyDescent="0.3">
      <c r="B15" s="6" t="s">
        <v>14</v>
      </c>
      <c r="C15" s="22">
        <v>432000</v>
      </c>
      <c r="D15" s="22">
        <v>324000</v>
      </c>
      <c r="E15" s="22"/>
      <c r="F15" s="22"/>
      <c r="G15" s="22"/>
      <c r="H15" s="12">
        <f t="shared" si="0"/>
        <v>44074</v>
      </c>
    </row>
    <row r="16" spans="2:11" x14ac:dyDescent="0.3">
      <c r="B16" s="6" t="s">
        <v>24</v>
      </c>
      <c r="C16" s="22">
        <v>324000</v>
      </c>
      <c r="D16" s="22"/>
      <c r="E16" s="22"/>
      <c r="F16" s="22"/>
      <c r="G16" s="22"/>
      <c r="H16" s="12">
        <f t="shared" si="0"/>
        <v>44074</v>
      </c>
    </row>
    <row r="17" spans="1:8" x14ac:dyDescent="0.3">
      <c r="B17" s="6" t="s">
        <v>21</v>
      </c>
      <c r="C17" s="22"/>
      <c r="D17" s="22"/>
      <c r="E17" s="22"/>
      <c r="F17" s="22"/>
      <c r="G17" s="22"/>
      <c r="H17" s="12">
        <f t="shared" si="0"/>
        <v>44074</v>
      </c>
    </row>
    <row r="18" spans="1:8" x14ac:dyDescent="0.3">
      <c r="B18" s="6" t="s">
        <v>18</v>
      </c>
      <c r="C18" s="22">
        <v>432000</v>
      </c>
      <c r="D18" s="22"/>
      <c r="E18" s="22">
        <v>162000</v>
      </c>
      <c r="F18" s="22"/>
      <c r="G18" s="22"/>
      <c r="H18" s="12">
        <f t="shared" si="0"/>
        <v>44074</v>
      </c>
    </row>
    <row r="19" spans="1:8" x14ac:dyDescent="0.3">
      <c r="B19" s="50" t="s">
        <v>16</v>
      </c>
      <c r="C19" s="55"/>
      <c r="D19" s="55"/>
      <c r="E19" s="55"/>
      <c r="F19" s="55"/>
      <c r="G19" s="55"/>
      <c r="H19" s="56">
        <f t="shared" si="0"/>
        <v>44074</v>
      </c>
    </row>
    <row r="20" spans="1:8" x14ac:dyDescent="0.3">
      <c r="B20" s="50" t="s">
        <v>27</v>
      </c>
      <c r="C20" s="51">
        <f>SUBTOTAL(109,August31_2020[KSI_AGO])</f>
        <v>2150500</v>
      </c>
      <c r="D20" s="51">
        <f>SUBTOTAL(109,August31_2020[KSI_PMS])</f>
        <v>1075500</v>
      </c>
      <c r="E20" s="51">
        <f>SUBTOTAL(109,August31_2020[BUIPE_AGO])</f>
        <v>162000</v>
      </c>
      <c r="F20" s="51">
        <f>SUBTOTAL(109,August31_2020[BUIPE_PMS])</f>
        <v>486000</v>
      </c>
      <c r="G20" s="51">
        <f>SUBTOTAL(109,August31_2020[AKOSOMBO_AGO])</f>
        <v>0</v>
      </c>
      <c r="H20" s="52"/>
    </row>
    <row r="21" spans="1:8" x14ac:dyDescent="0.3">
      <c r="B21" s="1" t="s">
        <v>6</v>
      </c>
      <c r="C21" s="1" t="s">
        <v>4</v>
      </c>
      <c r="D21" s="5">
        <f>SUMIF(August31_2020[[#Headers],[KSI_AGO]:[AKOSOMBO_AGO]],"*"&amp;C21,August31_2020[[#Totals],[KSI_AGO]:[AKOSOMBO_AGO]])</f>
        <v>2312500</v>
      </c>
      <c r="E21" s="1" t="s">
        <v>5</v>
      </c>
      <c r="F21" s="5">
        <f>SUMIF(August31_2020[[#Headers],[KSI_AGO]:[AKOSOMBO_AGO]],"*"&amp;E21,August31_2020[[#Totals],[KSI_AGO]:[AKOSOMBO_AGO]])</f>
        <v>1561500</v>
      </c>
    </row>
    <row r="28" spans="1:8" x14ac:dyDescent="0.3">
      <c r="A28" s="8" t="s">
        <v>29</v>
      </c>
    </row>
    <row r="30" spans="1:8" x14ac:dyDescent="0.3">
      <c r="C30" s="11" t="s">
        <v>7</v>
      </c>
      <c r="D30" s="10"/>
      <c r="E30" s="10"/>
      <c r="F30" s="10"/>
      <c r="G30" s="10"/>
    </row>
    <row r="31" spans="1:8" x14ac:dyDescent="0.3">
      <c r="B31" s="9"/>
      <c r="C31" s="10"/>
      <c r="D31" s="10"/>
      <c r="E31" s="10"/>
      <c r="F31" s="10"/>
      <c r="G31" s="10"/>
    </row>
  </sheetData>
  <mergeCells count="4">
    <mergeCell ref="B1:G1"/>
    <mergeCell ref="B2:C2"/>
    <mergeCell ref="B3:C3"/>
    <mergeCell ref="B4:G4"/>
  </mergeCells>
  <dataValidations count="1">
    <dataValidation type="list" allowBlank="1" showInputMessage="1" showErrorMessage="1" sqref="B6:B19" xr:uid="{00000000-0002-0000-A800-000000000000}">
      <formula1>INDIRECT("BDC_List[BDC List]")</formula1>
    </dataValidation>
  </dataValidations>
  <pageMargins left="0.7" right="0.7" top="0.75" bottom="0.75" header="0.3" footer="0.3"/>
  <tableParts count="1">
    <tablePart r:id="rId1"/>
  </tableParts>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codeName="Sheet170"/>
  <dimension ref="A1:K32"/>
  <sheetViews>
    <sheetView workbookViewId="0">
      <selection activeCell="B23" sqref="B23"/>
    </sheetView>
  </sheetViews>
  <sheetFormatPr defaultColWidth="9.109375" defaultRowHeight="14.4" x14ac:dyDescent="0.3"/>
  <cols>
    <col min="1" max="1" width="6.88671875" style="1" customWidth="1"/>
    <col min="2" max="2" width="29.109375" style="1" customWidth="1"/>
    <col min="3" max="3" width="15.33203125" style="1" customWidth="1"/>
    <col min="4" max="4" width="15" style="1" customWidth="1"/>
    <col min="5" max="5" width="18.44140625" style="1" bestFit="1" customWidth="1"/>
    <col min="6" max="6" width="18.109375" style="1" customWidth="1"/>
    <col min="7" max="7" width="27.5546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44075</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44075</v>
      </c>
    </row>
    <row r="7" spans="2:11" x14ac:dyDescent="0.3">
      <c r="B7" s="64" t="s">
        <v>37</v>
      </c>
      <c r="C7" s="22"/>
      <c r="D7" s="22"/>
      <c r="E7" s="22"/>
      <c r="F7" s="65"/>
      <c r="G7" s="22"/>
      <c r="H7" s="66">
        <f>$G$3</f>
        <v>44075</v>
      </c>
    </row>
    <row r="8" spans="2:11" x14ac:dyDescent="0.3">
      <c r="B8" s="6" t="s">
        <v>17</v>
      </c>
      <c r="C8" s="22">
        <v>216000</v>
      </c>
      <c r="D8" s="22"/>
      <c r="E8" s="22"/>
      <c r="F8" s="22"/>
      <c r="G8" s="22"/>
      <c r="H8" s="12">
        <f t="shared" si="0"/>
        <v>44075</v>
      </c>
    </row>
    <row r="9" spans="2:11" ht="15.6" x14ac:dyDescent="0.3">
      <c r="B9" s="34" t="s">
        <v>0</v>
      </c>
      <c r="C9" s="46"/>
      <c r="D9" s="46"/>
      <c r="E9" s="46"/>
      <c r="F9" s="46"/>
      <c r="G9" s="47"/>
      <c r="H9" s="12">
        <f t="shared" si="0"/>
        <v>44075</v>
      </c>
    </row>
    <row r="10" spans="2:11" x14ac:dyDescent="0.3">
      <c r="B10" s="6" t="s">
        <v>25</v>
      </c>
      <c r="C10" s="22"/>
      <c r="D10" s="22"/>
      <c r="E10" s="22"/>
      <c r="F10" s="22"/>
      <c r="G10" s="22"/>
      <c r="H10" s="12">
        <f t="shared" si="0"/>
        <v>44075</v>
      </c>
    </row>
    <row r="11" spans="2:11" x14ac:dyDescent="0.3">
      <c r="B11" s="6" t="s">
        <v>15</v>
      </c>
      <c r="C11" s="22"/>
      <c r="D11" s="22">
        <v>54000</v>
      </c>
      <c r="E11" s="22"/>
      <c r="F11" s="48"/>
      <c r="G11" s="22"/>
      <c r="H11" s="12">
        <f t="shared" si="0"/>
        <v>44075</v>
      </c>
    </row>
    <row r="12" spans="2:11" x14ac:dyDescent="0.3">
      <c r="B12" s="6" t="s">
        <v>26</v>
      </c>
      <c r="C12" s="22"/>
      <c r="D12" s="22">
        <v>162000</v>
      </c>
      <c r="E12" s="22"/>
      <c r="F12" s="22">
        <v>108000</v>
      </c>
      <c r="G12" s="22"/>
      <c r="H12" s="12">
        <f t="shared" si="0"/>
        <v>44075</v>
      </c>
    </row>
    <row r="13" spans="2:11" x14ac:dyDescent="0.3">
      <c r="B13" s="6" t="s">
        <v>22</v>
      </c>
      <c r="C13" s="23"/>
      <c r="D13" s="23"/>
      <c r="E13" s="23"/>
      <c r="F13" s="22"/>
      <c r="G13" s="23"/>
      <c r="H13" s="12">
        <f t="shared" si="0"/>
        <v>44075</v>
      </c>
      <c r="K13" s="4"/>
    </row>
    <row r="14" spans="2:11" x14ac:dyDescent="0.3">
      <c r="B14" s="6" t="s">
        <v>19</v>
      </c>
      <c r="C14" s="22"/>
      <c r="D14" s="22"/>
      <c r="E14" s="22"/>
      <c r="F14" s="22"/>
      <c r="G14" s="22"/>
      <c r="H14" s="12">
        <f t="shared" si="0"/>
        <v>44075</v>
      </c>
    </row>
    <row r="15" spans="2:11" x14ac:dyDescent="0.3">
      <c r="B15" s="6" t="s">
        <v>14</v>
      </c>
      <c r="C15" s="22">
        <v>216000</v>
      </c>
      <c r="D15" s="22"/>
      <c r="E15" s="22"/>
      <c r="F15" s="22"/>
      <c r="G15" s="22"/>
      <c r="H15" s="12">
        <f t="shared" si="0"/>
        <v>44075</v>
      </c>
    </row>
    <row r="16" spans="2:11" x14ac:dyDescent="0.3">
      <c r="B16" s="6" t="s">
        <v>24</v>
      </c>
      <c r="C16" s="22">
        <v>216000</v>
      </c>
      <c r="D16" s="22"/>
      <c r="E16" s="22"/>
      <c r="F16" s="49"/>
      <c r="G16" s="22"/>
      <c r="H16" s="12">
        <f t="shared" si="0"/>
        <v>44075</v>
      </c>
    </row>
    <row r="17" spans="1:8" x14ac:dyDescent="0.3">
      <c r="B17" s="6" t="s">
        <v>21</v>
      </c>
      <c r="C17" s="22"/>
      <c r="D17" s="22"/>
      <c r="E17" s="22"/>
      <c r="F17" s="22"/>
      <c r="G17" s="22"/>
      <c r="H17" s="12">
        <f t="shared" si="0"/>
        <v>44075</v>
      </c>
    </row>
    <row r="18" spans="1:8" x14ac:dyDescent="0.3">
      <c r="B18" s="6" t="s">
        <v>18</v>
      </c>
      <c r="C18" s="22"/>
      <c r="D18" s="22"/>
      <c r="E18" s="22"/>
      <c r="F18" s="22"/>
      <c r="G18" s="22"/>
      <c r="H18" s="12">
        <f t="shared" si="0"/>
        <v>44075</v>
      </c>
    </row>
    <row r="19" spans="1:8" x14ac:dyDescent="0.3">
      <c r="B19" s="6" t="s">
        <v>16</v>
      </c>
      <c r="C19" s="22"/>
      <c r="D19" s="22"/>
      <c r="E19" s="22"/>
      <c r="F19" s="22"/>
      <c r="G19" s="22"/>
      <c r="H19" s="12">
        <f t="shared" si="0"/>
        <v>44075</v>
      </c>
    </row>
    <row r="20" spans="1:8" x14ac:dyDescent="0.3">
      <c r="B20" s="50" t="s">
        <v>27</v>
      </c>
      <c r="C20" s="51">
        <f>SUBTOTAL(109,September01_2020[KSI_AGO])</f>
        <v>648000</v>
      </c>
      <c r="D20" s="51">
        <f>SUBTOTAL(109,September01_2020[KSI_PMS])</f>
        <v>216000</v>
      </c>
      <c r="E20" s="51">
        <f>SUBTOTAL(109,September01_2020[BUIPE_AGO])</f>
        <v>0</v>
      </c>
      <c r="F20" s="51">
        <f>SUBTOTAL(109,September01_2020[BUIPE_PMS])</f>
        <v>108000</v>
      </c>
      <c r="G20" s="51">
        <f>SUBTOTAL(109,September01_2020[AKOSOMBO_AGO])</f>
        <v>0</v>
      </c>
      <c r="H20" s="52"/>
    </row>
    <row r="21" spans="1:8" x14ac:dyDescent="0.3">
      <c r="B21" s="8"/>
      <c r="C21" s="24"/>
      <c r="D21" s="24"/>
      <c r="E21" s="24"/>
      <c r="F21" s="24"/>
      <c r="G21" s="24"/>
      <c r="H21"/>
    </row>
    <row r="22" spans="1:8" x14ac:dyDescent="0.3">
      <c r="B22" s="1" t="s">
        <v>6</v>
      </c>
      <c r="C22" s="1" t="s">
        <v>4</v>
      </c>
      <c r="D22" s="5">
        <f>SUMIF(September01_2020[[#Headers],[KSI_AGO]:[AKOSOMBO_AGO]],"*"&amp;C22,September01_2020[[#Totals],[KSI_AGO]:[AKOSOMBO_AGO]])</f>
        <v>648000</v>
      </c>
      <c r="E22" s="1" t="s">
        <v>5</v>
      </c>
      <c r="F22" s="5">
        <f>SUMIF(September01_2020[[#Headers],[KSI_AGO]:[AKOSOMBO_AGO]],"*"&amp;E22,September01_2020[[#Totals],[KSI_AGO]:[AKOSOMBO_AGO]])</f>
        <v>324000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A900-000000000000}">
      <formula1>INDIRECT("BDC_List[BDC List]")</formula1>
    </dataValidation>
  </dataValidations>
  <pageMargins left="0.7" right="0.7" top="0.75" bottom="0.75" header="0.3" footer="0.3"/>
  <tableParts count="1">
    <tablePart r:id="rId1"/>
  </tableParts>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codeName="Sheet171"/>
  <dimension ref="A1:K32"/>
  <sheetViews>
    <sheetView workbookViewId="0">
      <selection activeCell="F18" sqref="F18"/>
    </sheetView>
  </sheetViews>
  <sheetFormatPr defaultColWidth="9.109375" defaultRowHeight="14.4" x14ac:dyDescent="0.3"/>
  <cols>
    <col min="1" max="1" width="6.88671875" style="1" customWidth="1"/>
    <col min="2" max="2" width="28.4414062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44076</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44076</v>
      </c>
    </row>
    <row r="7" spans="2:11" x14ac:dyDescent="0.3">
      <c r="B7" s="64" t="s">
        <v>37</v>
      </c>
      <c r="C7" s="22"/>
      <c r="D7" s="22"/>
      <c r="E7" s="22"/>
      <c r="F7" s="65"/>
      <c r="G7" s="22"/>
      <c r="H7" s="66">
        <f>$G$3</f>
        <v>44076</v>
      </c>
    </row>
    <row r="8" spans="2:11" x14ac:dyDescent="0.3">
      <c r="B8" s="6" t="s">
        <v>17</v>
      </c>
      <c r="C8" s="22">
        <v>526500</v>
      </c>
      <c r="D8" s="22"/>
      <c r="E8" s="22"/>
      <c r="F8" s="22"/>
      <c r="G8" s="22"/>
      <c r="H8" s="12">
        <f t="shared" si="0"/>
        <v>44076</v>
      </c>
    </row>
    <row r="9" spans="2:11" ht="15.6" x14ac:dyDescent="0.3">
      <c r="B9" s="34" t="s">
        <v>0</v>
      </c>
      <c r="C9" s="46"/>
      <c r="D9" s="46"/>
      <c r="E9" s="46"/>
      <c r="F9" s="46"/>
      <c r="G9" s="47"/>
      <c r="H9" s="12">
        <f t="shared" si="0"/>
        <v>44076</v>
      </c>
    </row>
    <row r="10" spans="2:11" x14ac:dyDescent="0.3">
      <c r="B10" s="6" t="s">
        <v>25</v>
      </c>
      <c r="C10" s="22">
        <v>378000</v>
      </c>
      <c r="D10" s="22"/>
      <c r="E10" s="22"/>
      <c r="F10" s="22"/>
      <c r="G10" s="22"/>
      <c r="H10" s="12">
        <f t="shared" si="0"/>
        <v>44076</v>
      </c>
    </row>
    <row r="11" spans="2:11" x14ac:dyDescent="0.3">
      <c r="B11" s="6" t="s">
        <v>15</v>
      </c>
      <c r="C11" s="22"/>
      <c r="D11" s="22">
        <v>216000</v>
      </c>
      <c r="E11" s="22"/>
      <c r="F11" s="48">
        <v>198000</v>
      </c>
      <c r="G11" s="22"/>
      <c r="H11" s="12">
        <f t="shared" si="0"/>
        <v>44076</v>
      </c>
    </row>
    <row r="12" spans="2:11" x14ac:dyDescent="0.3">
      <c r="B12" s="6" t="s">
        <v>26</v>
      </c>
      <c r="C12" s="22">
        <v>216000</v>
      </c>
      <c r="D12" s="22">
        <v>157500</v>
      </c>
      <c r="E12" s="22"/>
      <c r="F12" s="22"/>
      <c r="G12" s="22"/>
      <c r="H12" s="12">
        <f t="shared" si="0"/>
        <v>44076</v>
      </c>
    </row>
    <row r="13" spans="2:11" x14ac:dyDescent="0.3">
      <c r="B13" s="6" t="s">
        <v>22</v>
      </c>
      <c r="C13" s="23"/>
      <c r="D13" s="23"/>
      <c r="E13" s="23"/>
      <c r="F13" s="22"/>
      <c r="G13" s="23"/>
      <c r="H13" s="12">
        <f t="shared" si="0"/>
        <v>44076</v>
      </c>
      <c r="K13" s="4"/>
    </row>
    <row r="14" spans="2:11" x14ac:dyDescent="0.3">
      <c r="B14" s="6" t="s">
        <v>19</v>
      </c>
      <c r="C14" s="22"/>
      <c r="D14" s="22"/>
      <c r="E14" s="22"/>
      <c r="F14" s="22"/>
      <c r="G14" s="22"/>
      <c r="H14" s="12">
        <f t="shared" si="0"/>
        <v>44076</v>
      </c>
    </row>
    <row r="15" spans="2:11" x14ac:dyDescent="0.3">
      <c r="B15" s="6" t="s">
        <v>14</v>
      </c>
      <c r="C15" s="22">
        <v>693000</v>
      </c>
      <c r="D15" s="22"/>
      <c r="E15" s="22"/>
      <c r="F15" s="22"/>
      <c r="G15" s="22"/>
      <c r="H15" s="12">
        <f t="shared" si="0"/>
        <v>44076</v>
      </c>
    </row>
    <row r="16" spans="2:11" x14ac:dyDescent="0.3">
      <c r="B16" s="6" t="s">
        <v>24</v>
      </c>
      <c r="C16" s="22">
        <v>486000</v>
      </c>
      <c r="D16" s="22"/>
      <c r="E16" s="22"/>
      <c r="F16" s="49"/>
      <c r="G16" s="22"/>
      <c r="H16" s="12">
        <f t="shared" si="0"/>
        <v>44076</v>
      </c>
    </row>
    <row r="17" spans="1:8" x14ac:dyDescent="0.3">
      <c r="B17" s="6" t="s">
        <v>21</v>
      </c>
      <c r="C17" s="22"/>
      <c r="D17" s="22"/>
      <c r="E17" s="22"/>
      <c r="F17" s="22"/>
      <c r="G17" s="22"/>
      <c r="H17" s="12">
        <f t="shared" si="0"/>
        <v>44076</v>
      </c>
    </row>
    <row r="18" spans="1:8" x14ac:dyDescent="0.3">
      <c r="B18" s="6" t="s">
        <v>18</v>
      </c>
      <c r="C18" s="22">
        <v>319500</v>
      </c>
      <c r="D18" s="22"/>
      <c r="E18" s="22">
        <v>45000</v>
      </c>
      <c r="F18" s="22"/>
      <c r="G18" s="22"/>
      <c r="H18" s="12">
        <f t="shared" si="0"/>
        <v>44076</v>
      </c>
    </row>
    <row r="19" spans="1:8" x14ac:dyDescent="0.3">
      <c r="B19" s="6" t="s">
        <v>16</v>
      </c>
      <c r="C19" s="22"/>
      <c r="D19" s="22">
        <v>162000</v>
      </c>
      <c r="E19" s="22"/>
      <c r="F19" s="22">
        <v>594000</v>
      </c>
      <c r="G19" s="22"/>
      <c r="H19" s="12">
        <f t="shared" si="0"/>
        <v>44076</v>
      </c>
    </row>
    <row r="20" spans="1:8" x14ac:dyDescent="0.3">
      <c r="B20" s="50" t="s">
        <v>27</v>
      </c>
      <c r="C20" s="51">
        <f>SUBTOTAL(109,September02_2020[KSI_AGO])</f>
        <v>2619000</v>
      </c>
      <c r="D20" s="51">
        <f>SUBTOTAL(109,September02_2020[KSI_PMS])</f>
        <v>535500</v>
      </c>
      <c r="E20" s="51">
        <f>SUBTOTAL(109,September02_2020[BUIPE_AGO])</f>
        <v>45000</v>
      </c>
      <c r="F20" s="51">
        <f>SUBTOTAL(109,September02_2020[BUIPE_PMS])</f>
        <v>792000</v>
      </c>
      <c r="G20" s="51">
        <f>SUBTOTAL(109,September02_2020[AKOSOMBO_AGO])</f>
        <v>0</v>
      </c>
      <c r="H20" s="52"/>
    </row>
    <row r="21" spans="1:8" x14ac:dyDescent="0.3">
      <c r="B21" s="8"/>
      <c r="C21" s="24"/>
      <c r="D21" s="24"/>
      <c r="E21" s="24"/>
      <c r="F21" s="24"/>
      <c r="G21" s="24"/>
      <c r="H21"/>
    </row>
    <row r="22" spans="1:8" x14ac:dyDescent="0.3">
      <c r="B22" s="1" t="s">
        <v>6</v>
      </c>
      <c r="C22" s="1" t="s">
        <v>4</v>
      </c>
      <c r="D22" s="5">
        <f>SUMIF(September02_2020[[#Headers],[KSI_AGO]:[AKOSOMBO_AGO]],"*"&amp;C22,September02_2020[[#Totals],[KSI_AGO]:[AKOSOMBO_AGO]])</f>
        <v>2664000</v>
      </c>
      <c r="E22" s="1" t="s">
        <v>5</v>
      </c>
      <c r="F22" s="5">
        <f>SUMIF(September02_2020[[#Headers],[KSI_AGO]:[AKOSOMBO_AGO]],"*"&amp;E22,September02_2020[[#Totals],[KSI_AGO]:[AKOSOMBO_AGO]])</f>
        <v>1327500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AA00-000000000000}">
      <formula1>INDIRECT("BDC_List[BDC List]")</formula1>
    </dataValidation>
  </dataValidations>
  <pageMargins left="0.7" right="0.7" top="0.75" bottom="0.75" header="0.3" footer="0.3"/>
  <tableParts count="1">
    <tablePart r:id="rId1"/>
  </tableParts>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codeName="Sheet172"/>
  <dimension ref="A1:K33"/>
  <sheetViews>
    <sheetView topLeftCell="C1" workbookViewId="0">
      <selection activeCell="G11" sqref="G11"/>
    </sheetView>
  </sheetViews>
  <sheetFormatPr defaultColWidth="9.109375" defaultRowHeight="14.4" x14ac:dyDescent="0.3"/>
  <cols>
    <col min="1" max="1" width="6.88671875" style="1" customWidth="1"/>
    <col min="2" max="2" width="27" style="1" customWidth="1"/>
    <col min="3" max="3" width="17.441406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44077</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44077</v>
      </c>
    </row>
    <row r="7" spans="2:11" x14ac:dyDescent="0.3">
      <c r="B7" s="64" t="s">
        <v>37</v>
      </c>
      <c r="C7" s="22"/>
      <c r="D7" s="22"/>
      <c r="E7" s="22"/>
      <c r="F7" s="65"/>
      <c r="G7" s="22"/>
      <c r="H7" s="66">
        <f>$G$3</f>
        <v>44077</v>
      </c>
    </row>
    <row r="8" spans="2:11" x14ac:dyDescent="0.3">
      <c r="B8" s="6" t="s">
        <v>17</v>
      </c>
      <c r="C8" s="22">
        <v>158000</v>
      </c>
      <c r="D8" s="22"/>
      <c r="E8" s="22"/>
      <c r="F8" s="22"/>
      <c r="G8" s="22"/>
      <c r="H8" s="12">
        <f t="shared" si="0"/>
        <v>44077</v>
      </c>
    </row>
    <row r="9" spans="2:11" x14ac:dyDescent="0.3">
      <c r="B9" s="64" t="s">
        <v>37</v>
      </c>
      <c r="C9" s="22"/>
      <c r="D9" s="22"/>
      <c r="E9" s="22"/>
      <c r="F9" s="65"/>
      <c r="G9" s="22"/>
      <c r="H9" s="66">
        <f>$G$3</f>
        <v>44077</v>
      </c>
    </row>
    <row r="10" spans="2:11" ht="15.6" x14ac:dyDescent="0.3">
      <c r="B10" s="34" t="s">
        <v>0</v>
      </c>
      <c r="C10" s="46"/>
      <c r="D10" s="46"/>
      <c r="E10" s="46"/>
      <c r="F10" s="46"/>
      <c r="G10" s="47"/>
      <c r="H10" s="12">
        <f t="shared" si="0"/>
        <v>44077</v>
      </c>
    </row>
    <row r="11" spans="2:11" x14ac:dyDescent="0.3">
      <c r="B11" s="6" t="s">
        <v>25</v>
      </c>
      <c r="C11" s="22">
        <v>216000</v>
      </c>
      <c r="D11" s="22"/>
      <c r="E11" s="22">
        <v>968000</v>
      </c>
      <c r="F11" s="22"/>
      <c r="G11" s="22"/>
      <c r="H11" s="12">
        <f t="shared" si="0"/>
        <v>44077</v>
      </c>
    </row>
    <row r="12" spans="2:11" x14ac:dyDescent="0.3">
      <c r="B12" s="6" t="s">
        <v>15</v>
      </c>
      <c r="C12" s="22"/>
      <c r="D12" s="22">
        <v>207000</v>
      </c>
      <c r="E12" s="22"/>
      <c r="F12" s="48"/>
      <c r="G12" s="22"/>
      <c r="H12" s="12">
        <f t="shared" si="0"/>
        <v>44077</v>
      </c>
    </row>
    <row r="13" spans="2:11" x14ac:dyDescent="0.3">
      <c r="B13" s="6" t="s">
        <v>26</v>
      </c>
      <c r="C13" s="22">
        <v>103500</v>
      </c>
      <c r="D13" s="22">
        <v>324000</v>
      </c>
      <c r="E13" s="22"/>
      <c r="F13" s="22">
        <v>108000</v>
      </c>
      <c r="G13" s="22"/>
      <c r="H13" s="12">
        <f t="shared" si="0"/>
        <v>44077</v>
      </c>
    </row>
    <row r="14" spans="2:11" x14ac:dyDescent="0.3">
      <c r="B14" s="6" t="s">
        <v>22</v>
      </c>
      <c r="C14" s="23"/>
      <c r="D14" s="23"/>
      <c r="E14" s="23"/>
      <c r="F14" s="22"/>
      <c r="G14" s="23"/>
      <c r="H14" s="12">
        <f t="shared" si="0"/>
        <v>44077</v>
      </c>
      <c r="K14" s="4"/>
    </row>
    <row r="15" spans="2:11" x14ac:dyDescent="0.3">
      <c r="B15" s="6" t="s">
        <v>19</v>
      </c>
      <c r="C15" s="22"/>
      <c r="D15" s="22"/>
      <c r="E15" s="22"/>
      <c r="F15" s="22"/>
      <c r="G15" s="22"/>
      <c r="H15" s="12">
        <f t="shared" si="0"/>
        <v>44077</v>
      </c>
    </row>
    <row r="16" spans="2:11" x14ac:dyDescent="0.3">
      <c r="B16" s="6" t="s">
        <v>14</v>
      </c>
      <c r="C16" s="22">
        <v>216000</v>
      </c>
      <c r="D16" s="22">
        <v>54000</v>
      </c>
      <c r="E16" s="22"/>
      <c r="F16" s="22"/>
      <c r="G16" s="22"/>
      <c r="H16" s="12">
        <f t="shared" si="0"/>
        <v>44077</v>
      </c>
    </row>
    <row r="17" spans="1:8" x14ac:dyDescent="0.3">
      <c r="B17" s="6" t="s">
        <v>24</v>
      </c>
      <c r="C17" s="22">
        <v>319500</v>
      </c>
      <c r="D17" s="22"/>
      <c r="E17" s="22"/>
      <c r="F17" s="49"/>
      <c r="G17" s="22"/>
      <c r="H17" s="12">
        <f t="shared" si="0"/>
        <v>44077</v>
      </c>
    </row>
    <row r="18" spans="1:8" x14ac:dyDescent="0.3">
      <c r="B18" s="6" t="s">
        <v>21</v>
      </c>
      <c r="C18" s="22"/>
      <c r="D18" s="22"/>
      <c r="E18" s="22"/>
      <c r="F18" s="22"/>
      <c r="G18" s="22"/>
      <c r="H18" s="12">
        <f t="shared" si="0"/>
        <v>44077</v>
      </c>
    </row>
    <row r="19" spans="1:8" x14ac:dyDescent="0.3">
      <c r="B19" s="6" t="s">
        <v>18</v>
      </c>
      <c r="C19" s="22">
        <v>103500</v>
      </c>
      <c r="D19" s="22"/>
      <c r="E19" s="22"/>
      <c r="F19" s="22"/>
      <c r="G19" s="22"/>
      <c r="H19" s="12">
        <f t="shared" si="0"/>
        <v>44077</v>
      </c>
    </row>
    <row r="20" spans="1:8" x14ac:dyDescent="0.3">
      <c r="B20" s="6" t="s">
        <v>16</v>
      </c>
      <c r="C20" s="22"/>
      <c r="D20" s="22">
        <v>426000</v>
      </c>
      <c r="E20" s="22"/>
      <c r="F20" s="22">
        <v>54000</v>
      </c>
      <c r="G20" s="22"/>
      <c r="H20" s="12">
        <f t="shared" si="0"/>
        <v>44077</v>
      </c>
    </row>
    <row r="21" spans="1:8" x14ac:dyDescent="0.3">
      <c r="B21" s="50" t="s">
        <v>27</v>
      </c>
      <c r="C21" s="51">
        <f>SUBTOTAL(109,September03_2020[KSI_AGO])</f>
        <v>1116500</v>
      </c>
      <c r="D21" s="51">
        <f>SUBTOTAL(109,September03_2020[KSI_PMS])</f>
        <v>1011000</v>
      </c>
      <c r="E21" s="51">
        <f>SUBTOTAL(109,September03_2020[BUIPE_AGO])</f>
        <v>968000</v>
      </c>
      <c r="F21" s="51">
        <f>SUBTOTAL(109,September03_2020[BUIPE_PMS])</f>
        <v>162000</v>
      </c>
      <c r="G21" s="51">
        <f>SUBTOTAL(109,September03_2020[AKOSOMBO_AGO])</f>
        <v>0</v>
      </c>
      <c r="H21" s="52"/>
    </row>
    <row r="22" spans="1:8" x14ac:dyDescent="0.3">
      <c r="B22" s="8"/>
      <c r="C22" s="24"/>
      <c r="D22" s="24"/>
      <c r="E22" s="24"/>
      <c r="F22" s="24"/>
      <c r="G22" s="24"/>
      <c r="H22"/>
    </row>
    <row r="23" spans="1:8" x14ac:dyDescent="0.3">
      <c r="B23" s="1" t="s">
        <v>6</v>
      </c>
      <c r="C23" s="1" t="s">
        <v>4</v>
      </c>
      <c r="D23" s="5">
        <f>SUMIF(September03_2020[[#Headers],[KSI_AGO]:[AKOSOMBO_AGO]],"*"&amp;C23,September03_2020[[#Totals],[KSI_AGO]:[AKOSOMBO_AGO]])</f>
        <v>2084500</v>
      </c>
      <c r="E23" s="1" t="s">
        <v>5</v>
      </c>
      <c r="F23" s="5">
        <f>SUMIF(September03_2020[[#Headers],[KSI_AGO]:[AKOSOMBO_AGO]],"*"&amp;E23,September03_2020[[#Totals],[KSI_AGO]:[AKOSOMBO_AGO]])</f>
        <v>1173000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00000000-0002-0000-AB00-000000000000}">
      <formula1>INDIRECT("BDC_List[BDC List]")</formula1>
    </dataValidation>
  </dataValidations>
  <pageMargins left="0.7" right="0.7" top="0.75" bottom="0.75" header="0.3" footer="0.3"/>
  <tableParts count="1">
    <tablePart r:id="rId1"/>
  </tableParts>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codeName="Sheet173"/>
  <dimension ref="A1:K32"/>
  <sheetViews>
    <sheetView topLeftCell="C1" workbookViewId="0">
      <selection activeCell="E14" sqref="E14"/>
    </sheetView>
  </sheetViews>
  <sheetFormatPr defaultColWidth="9.109375" defaultRowHeight="14.4" x14ac:dyDescent="0.3"/>
  <cols>
    <col min="1" max="1" width="6.88671875" style="1" customWidth="1"/>
    <col min="2" max="2" width="30.886718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44078</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44078</v>
      </c>
    </row>
    <row r="7" spans="2:11" x14ac:dyDescent="0.3">
      <c r="B7" s="64" t="s">
        <v>37</v>
      </c>
      <c r="C7" s="22"/>
      <c r="D7" s="22"/>
      <c r="E7" s="22"/>
      <c r="F7" s="65"/>
      <c r="G7" s="22"/>
      <c r="H7" s="66">
        <f>$G$3</f>
        <v>44078</v>
      </c>
    </row>
    <row r="8" spans="2:11" x14ac:dyDescent="0.3">
      <c r="B8" s="6" t="s">
        <v>17</v>
      </c>
      <c r="C8" s="22">
        <v>216000</v>
      </c>
      <c r="D8" s="22">
        <v>54000</v>
      </c>
      <c r="E8" s="22"/>
      <c r="F8" s="22"/>
      <c r="G8" s="22"/>
      <c r="H8" s="12">
        <f t="shared" si="0"/>
        <v>44078</v>
      </c>
    </row>
    <row r="9" spans="2:11" ht="15.6" x14ac:dyDescent="0.3">
      <c r="B9" s="34" t="s">
        <v>0</v>
      </c>
      <c r="C9" s="46"/>
      <c r="D9" s="46"/>
      <c r="E9" s="46"/>
      <c r="F9" s="46"/>
      <c r="G9" s="47"/>
      <c r="H9" s="12">
        <f t="shared" si="0"/>
        <v>44078</v>
      </c>
    </row>
    <row r="10" spans="2:11" x14ac:dyDescent="0.3">
      <c r="B10" s="6" t="s">
        <v>25</v>
      </c>
      <c r="C10" s="22">
        <v>211500</v>
      </c>
      <c r="D10" s="22">
        <v>142000</v>
      </c>
      <c r="E10" s="22">
        <v>216000</v>
      </c>
      <c r="F10" s="22"/>
      <c r="G10" s="22"/>
      <c r="H10" s="12">
        <f t="shared" si="0"/>
        <v>44078</v>
      </c>
    </row>
    <row r="11" spans="2:11" x14ac:dyDescent="0.3">
      <c r="B11" s="6" t="s">
        <v>15</v>
      </c>
      <c r="C11" s="22"/>
      <c r="D11" s="22">
        <v>144000</v>
      </c>
      <c r="E11" s="22"/>
      <c r="F11" s="48">
        <v>212000</v>
      </c>
      <c r="G11" s="22"/>
      <c r="H11" s="12">
        <f t="shared" si="0"/>
        <v>44078</v>
      </c>
    </row>
    <row r="12" spans="2:11" x14ac:dyDescent="0.3">
      <c r="B12" s="6" t="s">
        <v>26</v>
      </c>
      <c r="C12" s="22">
        <v>108000</v>
      </c>
      <c r="D12" s="22">
        <v>324000</v>
      </c>
      <c r="E12" s="22"/>
      <c r="F12" s="22">
        <v>108000</v>
      </c>
      <c r="G12" s="22"/>
      <c r="H12" s="12">
        <f t="shared" si="0"/>
        <v>44078</v>
      </c>
    </row>
    <row r="13" spans="2:11" x14ac:dyDescent="0.3">
      <c r="B13" s="6" t="s">
        <v>22</v>
      </c>
      <c r="C13" s="23"/>
      <c r="D13" s="23"/>
      <c r="E13" s="23"/>
      <c r="F13" s="22"/>
      <c r="G13" s="23"/>
      <c r="H13" s="12">
        <f t="shared" si="0"/>
        <v>44078</v>
      </c>
      <c r="K13" s="4"/>
    </row>
    <row r="14" spans="2:11" x14ac:dyDescent="0.3">
      <c r="B14" s="6" t="s">
        <v>19</v>
      </c>
      <c r="C14" s="22">
        <v>693000</v>
      </c>
      <c r="D14" s="22">
        <v>306000</v>
      </c>
      <c r="E14" s="22">
        <v>360000</v>
      </c>
      <c r="F14" s="22">
        <v>257000</v>
      </c>
      <c r="G14" s="22"/>
      <c r="H14" s="12">
        <f t="shared" si="0"/>
        <v>44078</v>
      </c>
    </row>
    <row r="15" spans="2:11" x14ac:dyDescent="0.3">
      <c r="B15" s="6" t="s">
        <v>14</v>
      </c>
      <c r="C15" s="22">
        <v>432000</v>
      </c>
      <c r="D15" s="22"/>
      <c r="E15" s="22"/>
      <c r="F15" s="22"/>
      <c r="G15" s="22"/>
      <c r="H15" s="12">
        <f t="shared" si="0"/>
        <v>44078</v>
      </c>
    </row>
    <row r="16" spans="2:11" x14ac:dyDescent="0.3">
      <c r="B16" s="6" t="s">
        <v>24</v>
      </c>
      <c r="C16" s="22">
        <v>265500</v>
      </c>
      <c r="D16" s="22"/>
      <c r="E16" s="22"/>
      <c r="F16" s="49"/>
      <c r="G16" s="22"/>
      <c r="H16" s="12">
        <f t="shared" si="0"/>
        <v>44078</v>
      </c>
    </row>
    <row r="17" spans="1:8" x14ac:dyDescent="0.3">
      <c r="B17" s="6" t="s">
        <v>21</v>
      </c>
      <c r="C17" s="22"/>
      <c r="D17" s="22"/>
      <c r="E17" s="22"/>
      <c r="F17" s="22"/>
      <c r="G17" s="22"/>
      <c r="H17" s="12">
        <f t="shared" si="0"/>
        <v>44078</v>
      </c>
    </row>
    <row r="18" spans="1:8" x14ac:dyDescent="0.3">
      <c r="B18" s="6" t="s">
        <v>18</v>
      </c>
      <c r="C18" s="22">
        <v>108000</v>
      </c>
      <c r="D18" s="22"/>
      <c r="E18" s="22"/>
      <c r="F18" s="22"/>
      <c r="G18" s="22"/>
      <c r="H18" s="12">
        <f t="shared" si="0"/>
        <v>44078</v>
      </c>
    </row>
    <row r="19" spans="1:8" x14ac:dyDescent="0.3">
      <c r="B19" s="6" t="s">
        <v>16</v>
      </c>
      <c r="C19" s="22"/>
      <c r="D19" s="22">
        <v>378000</v>
      </c>
      <c r="E19" s="22"/>
      <c r="F19" s="22"/>
      <c r="G19" s="22"/>
      <c r="H19" s="12">
        <f t="shared" si="0"/>
        <v>44078</v>
      </c>
    </row>
    <row r="20" spans="1:8" x14ac:dyDescent="0.3">
      <c r="B20" s="50" t="s">
        <v>27</v>
      </c>
      <c r="C20" s="51">
        <f>SUBTOTAL(109,September04_2020[KSI_AGO])</f>
        <v>2034000</v>
      </c>
      <c r="D20" s="51">
        <f>SUBTOTAL(109,September04_2020[KSI_PMS])</f>
        <v>1348000</v>
      </c>
      <c r="E20" s="51">
        <f>SUBTOTAL(109,September04_2020[BUIPE_AGO])</f>
        <v>576000</v>
      </c>
      <c r="F20" s="51">
        <f>SUBTOTAL(109,September04_2020[BUIPE_PMS])</f>
        <v>577000</v>
      </c>
      <c r="G20" s="51">
        <f>SUBTOTAL(109,September04_2020[AKOSOMBO_AGO])</f>
        <v>0</v>
      </c>
      <c r="H20" s="52"/>
    </row>
    <row r="21" spans="1:8" x14ac:dyDescent="0.3">
      <c r="B21" s="8"/>
      <c r="C21" s="24"/>
      <c r="D21" s="24"/>
      <c r="E21" s="24"/>
      <c r="F21" s="24"/>
      <c r="G21" s="24"/>
      <c r="H21"/>
    </row>
    <row r="22" spans="1:8" x14ac:dyDescent="0.3">
      <c r="B22" s="1" t="s">
        <v>6</v>
      </c>
      <c r="C22" s="1" t="s">
        <v>4</v>
      </c>
      <c r="D22" s="5">
        <f>SUMIF(September04_2020[[#Headers],[KSI_AGO]:[AKOSOMBO_AGO]],"*"&amp;C22,September04_2020[[#Totals],[KSI_AGO]:[AKOSOMBO_AGO]])</f>
        <v>2610000</v>
      </c>
      <c r="E22" s="1" t="s">
        <v>5</v>
      </c>
      <c r="F22" s="5">
        <f>SUMIF(September04_2020[[#Headers],[KSI_AGO]:[AKOSOMBO_AGO]],"*"&amp;E22,September04_2020[[#Totals],[KSI_AGO]:[AKOSOMBO_AGO]])</f>
        <v>1925000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AC00-000000000000}">
      <formula1>INDIRECT("BDC_List[BDC List]")</formula1>
    </dataValidation>
  </dataValidations>
  <pageMargins left="0.7" right="0.7" top="0.75" bottom="0.75" header="0.3" footer="0.3"/>
  <tableParts count="1">
    <tablePart r:id="rId1"/>
  </tableParts>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codeName="Sheet174"/>
  <dimension ref="A1:K32"/>
  <sheetViews>
    <sheetView workbookViewId="0">
      <selection activeCell="E18" sqref="E18"/>
    </sheetView>
  </sheetViews>
  <sheetFormatPr defaultColWidth="9.109375" defaultRowHeight="14.4" x14ac:dyDescent="0.3"/>
  <cols>
    <col min="1" max="1" width="6.88671875" style="1" customWidth="1"/>
    <col min="2" max="2" width="27.55468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44079</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v>1391000</v>
      </c>
      <c r="F6" s="45"/>
      <c r="G6" s="45"/>
      <c r="H6" s="12">
        <f t="shared" ref="H6:H19" si="0">$G$3</f>
        <v>44079</v>
      </c>
    </row>
    <row r="7" spans="2:11" x14ac:dyDescent="0.3">
      <c r="B7" s="64" t="s">
        <v>37</v>
      </c>
      <c r="C7" s="22"/>
      <c r="D7" s="22">
        <v>909000</v>
      </c>
      <c r="E7" s="22"/>
      <c r="F7" s="65"/>
      <c r="G7" s="22"/>
      <c r="H7" s="66">
        <f>$G$3</f>
        <v>44079</v>
      </c>
    </row>
    <row r="8" spans="2:11" x14ac:dyDescent="0.3">
      <c r="B8" s="6" t="s">
        <v>17</v>
      </c>
      <c r="C8" s="22">
        <v>54000</v>
      </c>
      <c r="D8" s="22"/>
      <c r="E8" s="22"/>
      <c r="F8" s="22"/>
      <c r="G8" s="22"/>
      <c r="H8" s="12">
        <f t="shared" si="0"/>
        <v>44079</v>
      </c>
    </row>
    <row r="9" spans="2:11" ht="15.6" x14ac:dyDescent="0.3">
      <c r="B9" s="34" t="s">
        <v>0</v>
      </c>
      <c r="C9" s="46"/>
      <c r="D9" s="46"/>
      <c r="E9" s="46"/>
      <c r="F9" s="46"/>
      <c r="G9" s="47"/>
      <c r="H9" s="12">
        <f t="shared" si="0"/>
        <v>44079</v>
      </c>
    </row>
    <row r="10" spans="2:11" x14ac:dyDescent="0.3">
      <c r="B10" s="6" t="s">
        <v>25</v>
      </c>
      <c r="C10" s="22">
        <v>104000</v>
      </c>
      <c r="D10" s="22"/>
      <c r="E10" s="22"/>
      <c r="F10" s="22"/>
      <c r="G10" s="22"/>
      <c r="H10" s="12">
        <f t="shared" si="0"/>
        <v>44079</v>
      </c>
    </row>
    <row r="11" spans="2:11" x14ac:dyDescent="0.3">
      <c r="B11" s="6" t="s">
        <v>15</v>
      </c>
      <c r="C11" s="22"/>
      <c r="D11" s="22">
        <v>95000</v>
      </c>
      <c r="E11" s="22"/>
      <c r="F11" s="48">
        <v>90000</v>
      </c>
      <c r="G11" s="22"/>
      <c r="H11" s="12">
        <f t="shared" si="0"/>
        <v>44079</v>
      </c>
    </row>
    <row r="12" spans="2:11" x14ac:dyDescent="0.3">
      <c r="B12" s="6" t="s">
        <v>26</v>
      </c>
      <c r="C12" s="22"/>
      <c r="D12" s="22">
        <v>540000</v>
      </c>
      <c r="E12" s="22"/>
      <c r="F12" s="22"/>
      <c r="G12" s="22"/>
      <c r="H12" s="12">
        <f t="shared" si="0"/>
        <v>44079</v>
      </c>
    </row>
    <row r="13" spans="2:11" x14ac:dyDescent="0.3">
      <c r="B13" s="6" t="s">
        <v>22</v>
      </c>
      <c r="C13" s="23"/>
      <c r="D13" s="23"/>
      <c r="E13" s="23"/>
      <c r="F13" s="22"/>
      <c r="G13" s="23"/>
      <c r="H13" s="12">
        <f t="shared" si="0"/>
        <v>44079</v>
      </c>
      <c r="K13" s="4"/>
    </row>
    <row r="14" spans="2:11" x14ac:dyDescent="0.3">
      <c r="B14" s="6" t="s">
        <v>19</v>
      </c>
      <c r="C14" s="22">
        <v>99000</v>
      </c>
      <c r="D14" s="22">
        <v>140000</v>
      </c>
      <c r="E14" s="22"/>
      <c r="F14" s="22"/>
      <c r="G14" s="22"/>
      <c r="H14" s="12">
        <f t="shared" si="0"/>
        <v>44079</v>
      </c>
    </row>
    <row r="15" spans="2:11" x14ac:dyDescent="0.3">
      <c r="B15" s="6" t="s">
        <v>14</v>
      </c>
      <c r="C15" s="22">
        <v>162000</v>
      </c>
      <c r="D15" s="22"/>
      <c r="E15" s="22"/>
      <c r="F15" s="22"/>
      <c r="G15" s="22"/>
      <c r="H15" s="12">
        <f t="shared" si="0"/>
        <v>44079</v>
      </c>
    </row>
    <row r="16" spans="2:11" x14ac:dyDescent="0.3">
      <c r="B16" s="6" t="s">
        <v>24</v>
      </c>
      <c r="C16" s="22">
        <v>162000</v>
      </c>
      <c r="D16" s="22"/>
      <c r="E16" s="22"/>
      <c r="F16" s="49"/>
      <c r="G16" s="22"/>
      <c r="H16" s="12">
        <f t="shared" si="0"/>
        <v>44079</v>
      </c>
    </row>
    <row r="17" spans="1:8" x14ac:dyDescent="0.3">
      <c r="B17" s="6" t="s">
        <v>21</v>
      </c>
      <c r="C17" s="22">
        <v>45000</v>
      </c>
      <c r="D17" s="22"/>
      <c r="E17" s="22"/>
      <c r="F17" s="22"/>
      <c r="G17" s="22"/>
      <c r="H17" s="12">
        <f t="shared" si="0"/>
        <v>44079</v>
      </c>
    </row>
    <row r="18" spans="1:8" x14ac:dyDescent="0.3">
      <c r="B18" s="6" t="s">
        <v>18</v>
      </c>
      <c r="C18" s="22"/>
      <c r="D18" s="22"/>
      <c r="E18" s="22"/>
      <c r="F18" s="22"/>
      <c r="G18" s="22"/>
      <c r="H18" s="12">
        <f t="shared" si="0"/>
        <v>44079</v>
      </c>
    </row>
    <row r="19" spans="1:8" x14ac:dyDescent="0.3">
      <c r="B19" s="6" t="s">
        <v>16</v>
      </c>
      <c r="C19" s="22">
        <v>216000</v>
      </c>
      <c r="D19" s="22">
        <v>428000</v>
      </c>
      <c r="E19" s="22">
        <v>324000</v>
      </c>
      <c r="F19" s="22"/>
      <c r="G19" s="22"/>
      <c r="H19" s="12">
        <f t="shared" si="0"/>
        <v>44079</v>
      </c>
    </row>
    <row r="20" spans="1:8" x14ac:dyDescent="0.3">
      <c r="B20" s="50" t="s">
        <v>27</v>
      </c>
      <c r="C20" s="51">
        <f>SUBTOTAL(109,September05_2020[KSI_AGO])</f>
        <v>842000</v>
      </c>
      <c r="D20" s="51">
        <f>SUBTOTAL(109,September05_2020[KSI_PMS])</f>
        <v>2112000</v>
      </c>
      <c r="E20" s="51">
        <f>SUBTOTAL(109,September05_2020[BUIPE_AGO])</f>
        <v>1715000</v>
      </c>
      <c r="F20" s="51">
        <f>SUBTOTAL(109,September05_2020[BUIPE_PMS])</f>
        <v>90000</v>
      </c>
      <c r="G20" s="51">
        <f>SUBTOTAL(109,September05_2020[AKOSOMBO_AGO])</f>
        <v>0</v>
      </c>
      <c r="H20" s="52"/>
    </row>
    <row r="21" spans="1:8" x14ac:dyDescent="0.3">
      <c r="B21" s="8"/>
      <c r="C21" s="24"/>
      <c r="D21" s="24"/>
      <c r="E21" s="24"/>
      <c r="F21" s="24"/>
      <c r="G21" s="24"/>
      <c r="H21"/>
    </row>
    <row r="22" spans="1:8" x14ac:dyDescent="0.3">
      <c r="B22" s="1" t="s">
        <v>6</v>
      </c>
      <c r="C22" s="1" t="s">
        <v>4</v>
      </c>
      <c r="D22" s="5">
        <f>SUMIF(September05_2020[[#Headers],[KSI_AGO]:[AKOSOMBO_AGO]],"*"&amp;C22,September05_2020[[#Totals],[KSI_AGO]:[AKOSOMBO_AGO]])</f>
        <v>2557000</v>
      </c>
      <c r="E22" s="1" t="s">
        <v>5</v>
      </c>
      <c r="F22" s="5">
        <f>SUMIF(September05_2020[[#Headers],[KSI_AGO]:[AKOSOMBO_AGO]],"*"&amp;E22,September05_2020[[#Totals],[KSI_AGO]:[AKOSOMBO_AGO]])</f>
        <v>2202000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AD00-000000000000}">
      <formula1>INDIRECT("BDC_List[BDC List]")</formula1>
    </dataValidation>
  </dataValidations>
  <pageMargins left="0.7" right="0.7" top="0.75" bottom="0.75" header="0.3" footer="0.3"/>
  <tableParts count="1">
    <tablePart r:id="rId1"/>
  </tableParts>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codeName="Sheet175"/>
  <dimension ref="A1:K32"/>
  <sheetViews>
    <sheetView workbookViewId="0">
      <selection activeCell="F5" sqref="F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44081</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44081</v>
      </c>
    </row>
    <row r="7" spans="2:11" x14ac:dyDescent="0.3">
      <c r="B7" s="6" t="s">
        <v>37</v>
      </c>
      <c r="C7" s="22"/>
      <c r="D7" s="22">
        <v>90000</v>
      </c>
      <c r="E7" s="22"/>
      <c r="F7" s="22"/>
      <c r="G7" s="22"/>
      <c r="H7" s="67">
        <f>$G$3</f>
        <v>44081</v>
      </c>
    </row>
    <row r="8" spans="2:11" x14ac:dyDescent="0.3">
      <c r="B8" s="6" t="s">
        <v>17</v>
      </c>
      <c r="C8" s="22">
        <v>432000</v>
      </c>
      <c r="D8" s="22"/>
      <c r="E8" s="22"/>
      <c r="F8" s="22"/>
      <c r="G8" s="22"/>
      <c r="H8" s="12">
        <f t="shared" si="0"/>
        <v>44081</v>
      </c>
    </row>
    <row r="9" spans="2:11" ht="15.6" x14ac:dyDescent="0.3">
      <c r="B9" s="34" t="s">
        <v>0</v>
      </c>
      <c r="C9" s="46"/>
      <c r="D9" s="46"/>
      <c r="E9" s="46"/>
      <c r="F9" s="46"/>
      <c r="G9" s="47"/>
      <c r="H9" s="12">
        <f t="shared" si="0"/>
        <v>44081</v>
      </c>
    </row>
    <row r="10" spans="2:11" x14ac:dyDescent="0.3">
      <c r="B10" s="6" t="s">
        <v>25</v>
      </c>
      <c r="C10" s="22">
        <v>378000</v>
      </c>
      <c r="D10" s="22"/>
      <c r="E10" s="22"/>
      <c r="F10" s="22"/>
      <c r="G10" s="22"/>
      <c r="H10" s="12">
        <f t="shared" si="0"/>
        <v>44081</v>
      </c>
    </row>
    <row r="11" spans="2:11" x14ac:dyDescent="0.3">
      <c r="B11" s="6" t="s">
        <v>15</v>
      </c>
      <c r="C11" s="22"/>
      <c r="D11" s="22"/>
      <c r="E11" s="22"/>
      <c r="F11" s="48"/>
      <c r="G11" s="22"/>
      <c r="H11" s="12">
        <f t="shared" si="0"/>
        <v>44081</v>
      </c>
    </row>
    <row r="12" spans="2:11" x14ac:dyDescent="0.3">
      <c r="B12" s="6" t="s">
        <v>26</v>
      </c>
      <c r="C12" s="22"/>
      <c r="D12" s="22">
        <v>103500</v>
      </c>
      <c r="E12" s="22"/>
      <c r="F12" s="22"/>
      <c r="G12" s="22"/>
      <c r="H12" s="12">
        <f t="shared" si="0"/>
        <v>44081</v>
      </c>
    </row>
    <row r="13" spans="2:11" x14ac:dyDescent="0.3">
      <c r="B13" s="6" t="s">
        <v>22</v>
      </c>
      <c r="C13" s="23"/>
      <c r="D13" s="23"/>
      <c r="E13" s="23"/>
      <c r="F13" s="22"/>
      <c r="G13" s="23"/>
      <c r="H13" s="12">
        <f t="shared" si="0"/>
        <v>44081</v>
      </c>
      <c r="K13" s="4"/>
    </row>
    <row r="14" spans="2:11" x14ac:dyDescent="0.3">
      <c r="B14" s="6" t="s">
        <v>19</v>
      </c>
      <c r="C14" s="22">
        <v>473000</v>
      </c>
      <c r="D14" s="22">
        <v>54000</v>
      </c>
      <c r="E14" s="22">
        <v>216000</v>
      </c>
      <c r="F14" s="22">
        <v>243000</v>
      </c>
      <c r="G14" s="22"/>
      <c r="H14" s="12">
        <f t="shared" si="0"/>
        <v>44081</v>
      </c>
    </row>
    <row r="15" spans="2:11" x14ac:dyDescent="0.3">
      <c r="B15" s="6" t="s">
        <v>14</v>
      </c>
      <c r="C15" s="22">
        <v>415000</v>
      </c>
      <c r="D15" s="22"/>
      <c r="E15" s="22"/>
      <c r="F15" s="22"/>
      <c r="G15" s="22"/>
      <c r="H15" s="12">
        <f t="shared" si="0"/>
        <v>44081</v>
      </c>
    </row>
    <row r="16" spans="2:11" x14ac:dyDescent="0.3">
      <c r="B16" s="6" t="s">
        <v>24</v>
      </c>
      <c r="C16" s="22">
        <v>369500</v>
      </c>
      <c r="D16" s="22"/>
      <c r="E16" s="22"/>
      <c r="F16" s="49"/>
      <c r="G16" s="22"/>
      <c r="H16" s="12">
        <f t="shared" si="0"/>
        <v>44081</v>
      </c>
    </row>
    <row r="17" spans="1:8" x14ac:dyDescent="0.3">
      <c r="B17" s="6" t="s">
        <v>21</v>
      </c>
      <c r="C17" s="22"/>
      <c r="D17" s="22"/>
      <c r="E17" s="22"/>
      <c r="F17" s="22"/>
      <c r="G17" s="22"/>
      <c r="H17" s="12">
        <f t="shared" si="0"/>
        <v>44081</v>
      </c>
    </row>
    <row r="18" spans="1:8" x14ac:dyDescent="0.3">
      <c r="B18" s="6" t="s">
        <v>18</v>
      </c>
      <c r="C18" s="22"/>
      <c r="D18" s="22"/>
      <c r="E18" s="22"/>
      <c r="F18" s="22"/>
      <c r="G18" s="22"/>
      <c r="H18" s="12">
        <f t="shared" si="0"/>
        <v>44081</v>
      </c>
    </row>
    <row r="19" spans="1:8" x14ac:dyDescent="0.3">
      <c r="B19" s="6" t="s">
        <v>16</v>
      </c>
      <c r="C19" s="22"/>
      <c r="D19" s="22"/>
      <c r="E19" s="22"/>
      <c r="F19" s="22"/>
      <c r="G19" s="22"/>
      <c r="H19" s="12">
        <f t="shared" si="0"/>
        <v>44081</v>
      </c>
    </row>
    <row r="20" spans="1:8" x14ac:dyDescent="0.3">
      <c r="B20" s="50" t="s">
        <v>27</v>
      </c>
      <c r="C20" s="51">
        <f>SUBTOTAL(109,September07_2020[KSI_AGO])</f>
        <v>2067500</v>
      </c>
      <c r="D20" s="51">
        <f>SUBTOTAL(109,September07_2020[KSI_PMS])</f>
        <v>247500</v>
      </c>
      <c r="E20" s="51">
        <f>SUBTOTAL(109,September07_2020[BUIPE_AGO])</f>
        <v>216000</v>
      </c>
      <c r="F20" s="51">
        <f>SUBTOTAL(109,September07_2020[BUIPE_PMS])</f>
        <v>243000</v>
      </c>
      <c r="G20" s="51">
        <f>SUBTOTAL(109,September07_2020[AKOSOMBO_AGO])</f>
        <v>0</v>
      </c>
      <c r="H20" s="52"/>
    </row>
    <row r="21" spans="1:8" x14ac:dyDescent="0.3">
      <c r="B21" s="8"/>
      <c r="C21" s="24"/>
      <c r="D21" s="24"/>
      <c r="E21" s="24"/>
      <c r="F21" s="24"/>
      <c r="G21" s="24"/>
      <c r="H21"/>
    </row>
    <row r="22" spans="1:8" x14ac:dyDescent="0.3">
      <c r="B22" s="1" t="s">
        <v>6</v>
      </c>
      <c r="C22" s="1" t="s">
        <v>4</v>
      </c>
      <c r="D22" s="5">
        <f>SUMIF(September07_2020[[#Headers],[KSI_AGO]:[AKOSOMBO_AGO]],"*"&amp;C22,September07_2020[[#Totals],[KSI_AGO]:[AKOSOMBO_AGO]])</f>
        <v>2283500</v>
      </c>
      <c r="E22" s="1" t="s">
        <v>5</v>
      </c>
      <c r="F22" s="5">
        <f>SUMIF(September07_2020[[#Headers],[KSI_AGO]:[AKOSOMBO_AGO]],"*"&amp;E22,September07_2020[[#Totals],[KSI_AGO]:[AKOSOMBO_AGO]])</f>
        <v>490500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AE00-000000000000}">
      <formula1>INDIRECT("BDC_List[BDC List]")</formula1>
    </dataValidation>
  </dataValidations>
  <pageMargins left="0.7" right="0.7" top="0.75" bottom="0.75" header="0.3" footer="0.3"/>
  <tableParts count="1">
    <tablePart r:id="rId1"/>
  </tableParts>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codeName="Sheet176"/>
  <dimension ref="A1:K32"/>
  <sheetViews>
    <sheetView workbookViewId="0">
      <selection activeCell="G19" sqref="G19"/>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44082</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44082</v>
      </c>
    </row>
    <row r="7" spans="2:11" x14ac:dyDescent="0.3">
      <c r="B7" s="68" t="s">
        <v>37</v>
      </c>
      <c r="C7" s="22"/>
      <c r="D7" s="22"/>
      <c r="E7" s="22"/>
      <c r="F7" s="69"/>
      <c r="G7" s="22"/>
      <c r="H7" s="67">
        <f>$G$3</f>
        <v>44082</v>
      </c>
    </row>
    <row r="8" spans="2:11" x14ac:dyDescent="0.3">
      <c r="B8" s="6" t="s">
        <v>17</v>
      </c>
      <c r="C8" s="22">
        <v>702000</v>
      </c>
      <c r="D8" s="22"/>
      <c r="E8" s="22"/>
      <c r="F8" s="22"/>
      <c r="G8" s="22"/>
      <c r="H8" s="12">
        <f t="shared" si="0"/>
        <v>44082</v>
      </c>
    </row>
    <row r="9" spans="2:11" ht="15.6" x14ac:dyDescent="0.3">
      <c r="B9" s="34" t="s">
        <v>0</v>
      </c>
      <c r="C9" s="46"/>
      <c r="D9" s="46">
        <v>892000</v>
      </c>
      <c r="E9" s="46"/>
      <c r="F9" s="46">
        <v>594000</v>
      </c>
      <c r="G9" s="47"/>
      <c r="H9" s="12">
        <f t="shared" si="0"/>
        <v>44082</v>
      </c>
    </row>
    <row r="10" spans="2:11" x14ac:dyDescent="0.3">
      <c r="B10" s="6" t="s">
        <v>25</v>
      </c>
      <c r="C10" s="22">
        <v>374000</v>
      </c>
      <c r="D10" s="22"/>
      <c r="E10" s="22"/>
      <c r="F10" s="22"/>
      <c r="G10" s="22"/>
      <c r="H10" s="12">
        <f t="shared" si="0"/>
        <v>44082</v>
      </c>
    </row>
    <row r="11" spans="2:11" x14ac:dyDescent="0.3">
      <c r="B11" s="6" t="s">
        <v>15</v>
      </c>
      <c r="C11" s="22"/>
      <c r="D11" s="22"/>
      <c r="E11" s="22"/>
      <c r="F11" s="48"/>
      <c r="G11" s="22"/>
      <c r="H11" s="12">
        <f t="shared" si="0"/>
        <v>44082</v>
      </c>
    </row>
    <row r="12" spans="2:11" x14ac:dyDescent="0.3">
      <c r="B12" s="6" t="s">
        <v>26</v>
      </c>
      <c r="C12" s="22"/>
      <c r="D12" s="22"/>
      <c r="E12" s="22"/>
      <c r="F12" s="22"/>
      <c r="G12" s="22"/>
      <c r="H12" s="12">
        <f t="shared" si="0"/>
        <v>44082</v>
      </c>
    </row>
    <row r="13" spans="2:11" x14ac:dyDescent="0.3">
      <c r="B13" s="6" t="s">
        <v>22</v>
      </c>
      <c r="C13" s="23"/>
      <c r="D13" s="23"/>
      <c r="E13" s="23"/>
      <c r="F13" s="22"/>
      <c r="G13" s="23"/>
      <c r="H13" s="12">
        <f t="shared" si="0"/>
        <v>44082</v>
      </c>
      <c r="K13" s="4"/>
    </row>
    <row r="14" spans="2:11" x14ac:dyDescent="0.3">
      <c r="B14" s="6" t="s">
        <v>19</v>
      </c>
      <c r="C14" s="22">
        <v>257000</v>
      </c>
      <c r="D14" s="22"/>
      <c r="E14" s="22">
        <v>153000</v>
      </c>
      <c r="F14" s="22"/>
      <c r="G14" s="22"/>
      <c r="H14" s="12">
        <f t="shared" si="0"/>
        <v>44082</v>
      </c>
    </row>
    <row r="15" spans="2:11" x14ac:dyDescent="0.3">
      <c r="B15" s="6" t="s">
        <v>14</v>
      </c>
      <c r="C15" s="22">
        <v>482000</v>
      </c>
      <c r="D15" s="22"/>
      <c r="E15" s="22"/>
      <c r="F15" s="22"/>
      <c r="G15" s="22"/>
      <c r="H15" s="12">
        <f t="shared" si="0"/>
        <v>44082</v>
      </c>
    </row>
    <row r="16" spans="2:11" x14ac:dyDescent="0.3">
      <c r="B16" s="6" t="s">
        <v>24</v>
      </c>
      <c r="C16" s="22">
        <v>324000</v>
      </c>
      <c r="D16" s="22"/>
      <c r="E16" s="22"/>
      <c r="F16" s="49"/>
      <c r="G16" s="22"/>
      <c r="H16" s="12">
        <f t="shared" si="0"/>
        <v>44082</v>
      </c>
    </row>
    <row r="17" spans="1:8" x14ac:dyDescent="0.3">
      <c r="B17" s="6" t="s">
        <v>21</v>
      </c>
      <c r="C17" s="22"/>
      <c r="D17" s="22"/>
      <c r="E17" s="22"/>
      <c r="F17" s="22"/>
      <c r="G17" s="22"/>
      <c r="H17" s="12">
        <f t="shared" si="0"/>
        <v>44082</v>
      </c>
    </row>
    <row r="18" spans="1:8" x14ac:dyDescent="0.3">
      <c r="B18" s="6" t="s">
        <v>18</v>
      </c>
      <c r="C18" s="22">
        <v>99000</v>
      </c>
      <c r="D18" s="22"/>
      <c r="E18" s="22"/>
      <c r="F18" s="22"/>
      <c r="G18" s="22"/>
      <c r="H18" s="12">
        <f t="shared" si="0"/>
        <v>44082</v>
      </c>
    </row>
    <row r="19" spans="1:8" x14ac:dyDescent="0.3">
      <c r="B19" s="6" t="s">
        <v>16</v>
      </c>
      <c r="C19" s="22"/>
      <c r="D19" s="22"/>
      <c r="E19" s="22"/>
      <c r="F19" s="22"/>
      <c r="G19" s="22"/>
      <c r="H19" s="12">
        <f t="shared" si="0"/>
        <v>44082</v>
      </c>
    </row>
    <row r="20" spans="1:8" x14ac:dyDescent="0.3">
      <c r="B20" s="50" t="s">
        <v>27</v>
      </c>
      <c r="C20" s="51">
        <f>SUBTOTAL(109,September08_2020[KSI_AGO])</f>
        <v>2238000</v>
      </c>
      <c r="D20" s="51">
        <f>SUBTOTAL(109,September08_2020[KSI_PMS])</f>
        <v>892000</v>
      </c>
      <c r="E20" s="51">
        <f>SUBTOTAL(109,September08_2020[BUIPE_AGO])</f>
        <v>153000</v>
      </c>
      <c r="F20" s="51">
        <f>SUBTOTAL(109,September08_2020[BUIPE_PMS])</f>
        <v>594000</v>
      </c>
      <c r="G20" s="51">
        <f>SUBTOTAL(109,September08_2020[AKOSOMBO_AGO])</f>
        <v>0</v>
      </c>
      <c r="H20" s="52"/>
    </row>
    <row r="21" spans="1:8" x14ac:dyDescent="0.3">
      <c r="B21" s="8"/>
      <c r="C21" s="24"/>
      <c r="D21" s="24"/>
      <c r="E21" s="24"/>
      <c r="F21" s="24"/>
      <c r="G21" s="24"/>
      <c r="H21"/>
    </row>
    <row r="22" spans="1:8" x14ac:dyDescent="0.3">
      <c r="B22" s="1" t="s">
        <v>6</v>
      </c>
      <c r="C22" s="1" t="s">
        <v>4</v>
      </c>
      <c r="D22" s="5">
        <f>SUMIF(September08_2020[[#Headers],[KSI_AGO]:[AKOSOMBO_AGO]],"*"&amp;C22,September08_2020[[#Totals],[KSI_AGO]:[AKOSOMBO_AGO]])</f>
        <v>2391000</v>
      </c>
      <c r="E22" s="1" t="s">
        <v>5</v>
      </c>
      <c r="F22" s="5">
        <f>SUMIF(September08_2020[[#Headers],[KSI_AGO]:[AKOSOMBO_AGO]],"*"&amp;E22,September08_2020[[#Totals],[KSI_AGO]:[AKOSOMBO_AGO]])</f>
        <v>1486000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AF00-000000000000}">
      <formula1>INDIRECT("BDC_List[BDC List]")</formula1>
    </dataValidation>
  </dataValidations>
  <pageMargins left="0.7" right="0.7" top="0.75" bottom="0.75" header="0.3" footer="0.3"/>
  <tableParts count="1">
    <tablePart r:id="rId1"/>
  </tableParts>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codeName="Sheet177"/>
  <dimension ref="A1:K32"/>
  <sheetViews>
    <sheetView topLeftCell="C1" workbookViewId="0">
      <selection activeCell="M19" sqref="M19"/>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44083</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44083</v>
      </c>
    </row>
    <row r="7" spans="2:11" x14ac:dyDescent="0.3">
      <c r="B7" s="6" t="s">
        <v>37</v>
      </c>
      <c r="C7" s="22"/>
      <c r="D7" s="22"/>
      <c r="E7" s="22"/>
      <c r="F7" s="22"/>
      <c r="G7" s="22"/>
      <c r="H7" s="67">
        <f>$G$3</f>
        <v>44083</v>
      </c>
    </row>
    <row r="8" spans="2:11" x14ac:dyDescent="0.3">
      <c r="B8" s="6" t="s">
        <v>17</v>
      </c>
      <c r="C8" s="22">
        <v>432000</v>
      </c>
      <c r="D8" s="22"/>
      <c r="E8" s="22"/>
      <c r="F8" s="22"/>
      <c r="G8" s="22"/>
      <c r="H8" s="12">
        <f t="shared" si="0"/>
        <v>44083</v>
      </c>
    </row>
    <row r="9" spans="2:11" ht="15.6" x14ac:dyDescent="0.3">
      <c r="B9" s="34" t="s">
        <v>0</v>
      </c>
      <c r="C9" s="46"/>
      <c r="D9" s="46">
        <v>374000</v>
      </c>
      <c r="E9" s="46"/>
      <c r="F9" s="46">
        <v>797000</v>
      </c>
      <c r="G9" s="47"/>
      <c r="H9" s="12">
        <f t="shared" si="0"/>
        <v>44083</v>
      </c>
    </row>
    <row r="10" spans="2:11" x14ac:dyDescent="0.3">
      <c r="B10" s="6" t="s">
        <v>25</v>
      </c>
      <c r="C10" s="22">
        <v>245000</v>
      </c>
      <c r="D10" s="22"/>
      <c r="E10" s="22"/>
      <c r="F10" s="22"/>
      <c r="G10" s="22"/>
      <c r="H10" s="12">
        <f t="shared" si="0"/>
        <v>44083</v>
      </c>
    </row>
    <row r="11" spans="2:11" x14ac:dyDescent="0.3">
      <c r="B11" s="6" t="s">
        <v>15</v>
      </c>
      <c r="C11" s="22">
        <v>95000</v>
      </c>
      <c r="D11" s="22"/>
      <c r="E11" s="22"/>
      <c r="F11" s="48"/>
      <c r="G11" s="22"/>
      <c r="H11" s="12">
        <f t="shared" si="0"/>
        <v>44083</v>
      </c>
    </row>
    <row r="12" spans="2:11" x14ac:dyDescent="0.3">
      <c r="B12" s="6" t="s">
        <v>26</v>
      </c>
      <c r="C12" s="22">
        <v>216000</v>
      </c>
      <c r="D12" s="22"/>
      <c r="E12" s="22"/>
      <c r="F12" s="22"/>
      <c r="G12" s="22"/>
      <c r="H12" s="12">
        <f t="shared" si="0"/>
        <v>44083</v>
      </c>
    </row>
    <row r="13" spans="2:11" x14ac:dyDescent="0.3">
      <c r="B13" s="6" t="s">
        <v>22</v>
      </c>
      <c r="C13" s="23"/>
      <c r="D13" s="23"/>
      <c r="E13" s="23"/>
      <c r="F13" s="22"/>
      <c r="G13" s="23"/>
      <c r="H13" s="12">
        <f t="shared" si="0"/>
        <v>44083</v>
      </c>
      <c r="K13" s="4"/>
    </row>
    <row r="14" spans="2:11" x14ac:dyDescent="0.3">
      <c r="B14" s="6" t="s">
        <v>19</v>
      </c>
      <c r="C14" s="22">
        <v>486000</v>
      </c>
      <c r="D14" s="22"/>
      <c r="E14" s="22"/>
      <c r="F14" s="22"/>
      <c r="G14" s="22"/>
      <c r="H14" s="12">
        <f t="shared" si="0"/>
        <v>44083</v>
      </c>
    </row>
    <row r="15" spans="2:11" x14ac:dyDescent="0.3">
      <c r="B15" s="6" t="s">
        <v>14</v>
      </c>
      <c r="C15" s="22">
        <v>378000</v>
      </c>
      <c r="D15" s="22">
        <v>45000</v>
      </c>
      <c r="E15" s="22"/>
      <c r="F15" s="22"/>
      <c r="G15" s="22"/>
      <c r="H15" s="12">
        <f t="shared" si="0"/>
        <v>44083</v>
      </c>
    </row>
    <row r="16" spans="2:11" x14ac:dyDescent="0.3">
      <c r="B16" s="6" t="s">
        <v>24</v>
      </c>
      <c r="C16" s="22">
        <v>324000</v>
      </c>
      <c r="D16" s="22"/>
      <c r="E16" s="22"/>
      <c r="F16" s="49"/>
      <c r="G16" s="22"/>
      <c r="H16" s="12">
        <f t="shared" si="0"/>
        <v>44083</v>
      </c>
    </row>
    <row r="17" spans="1:8" x14ac:dyDescent="0.3">
      <c r="B17" s="6" t="s">
        <v>21</v>
      </c>
      <c r="C17" s="22">
        <v>50000</v>
      </c>
      <c r="D17" s="22"/>
      <c r="E17" s="22"/>
      <c r="F17" s="22"/>
      <c r="G17" s="22"/>
      <c r="H17" s="12">
        <f t="shared" si="0"/>
        <v>44083</v>
      </c>
    </row>
    <row r="18" spans="1:8" x14ac:dyDescent="0.3">
      <c r="B18" s="6" t="s">
        <v>18</v>
      </c>
      <c r="C18" s="22"/>
      <c r="D18" s="22"/>
      <c r="E18" s="22"/>
      <c r="F18" s="22"/>
      <c r="G18" s="22"/>
      <c r="H18" s="12">
        <f t="shared" si="0"/>
        <v>44083</v>
      </c>
    </row>
    <row r="19" spans="1:8" x14ac:dyDescent="0.3">
      <c r="B19" s="6" t="s">
        <v>16</v>
      </c>
      <c r="C19" s="22">
        <v>270000</v>
      </c>
      <c r="D19" s="22">
        <v>45000</v>
      </c>
      <c r="E19" s="22"/>
      <c r="F19" s="22"/>
      <c r="G19" s="22"/>
      <c r="H19" s="12">
        <f t="shared" si="0"/>
        <v>44083</v>
      </c>
    </row>
    <row r="20" spans="1:8" x14ac:dyDescent="0.3">
      <c r="B20" s="50" t="s">
        <v>27</v>
      </c>
      <c r="C20" s="51">
        <f>SUBTOTAL(109,September09_2020[KSI_AGO])</f>
        <v>2496000</v>
      </c>
      <c r="D20" s="51">
        <f>SUBTOTAL(109,September09_2020[KSI_PMS])</f>
        <v>464000</v>
      </c>
      <c r="E20" s="51">
        <f>SUBTOTAL(109,September09_2020[BUIPE_AGO])</f>
        <v>0</v>
      </c>
      <c r="F20" s="51">
        <f>SUBTOTAL(109,September09_2020[BUIPE_PMS])</f>
        <v>797000</v>
      </c>
      <c r="G20" s="51">
        <f>SUBTOTAL(109,September09_2020[AKOSOMBO_AGO])</f>
        <v>0</v>
      </c>
      <c r="H20" s="52"/>
    </row>
    <row r="21" spans="1:8" x14ac:dyDescent="0.3">
      <c r="B21" s="8"/>
      <c r="C21" s="24"/>
      <c r="D21" s="24"/>
      <c r="E21" s="24"/>
      <c r="F21" s="24"/>
      <c r="G21" s="24"/>
      <c r="H21"/>
    </row>
    <row r="22" spans="1:8" x14ac:dyDescent="0.3">
      <c r="B22" s="1" t="s">
        <v>6</v>
      </c>
      <c r="C22" s="1" t="s">
        <v>4</v>
      </c>
      <c r="D22" s="5">
        <f>SUMIF(September09_2020[[#Headers],[KSI_AGO]:[AKOSOMBO_AGO]],"*"&amp;C22,September09_2020[[#Totals],[KSI_AGO]:[AKOSOMBO_AGO]])</f>
        <v>2496000</v>
      </c>
      <c r="E22" s="1" t="s">
        <v>5</v>
      </c>
      <c r="F22" s="5">
        <f>SUMIF(September09_2020[[#Headers],[KSI_AGO]:[AKOSOMBO_AGO]],"*"&amp;E22,September09_2020[[#Totals],[KSI_AGO]:[AKOSOMBO_AGO]])</f>
        <v>1261000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000-000000000000}">
      <formula1>INDIRECT("BDC_List[BDC List]")</formula1>
    </dataValidation>
  </dataValidations>
  <pageMargins left="0.7" right="0.7" top="0.75" bottom="0.75" header="0.3" footer="0.3"/>
  <tableParts count="1">
    <tablePart r:id="rId1"/>
  </tableParts>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codeName="Sheet178"/>
  <dimension ref="A1:K32"/>
  <sheetViews>
    <sheetView workbookViewId="0">
      <selection activeCell="M27" sqref="M27"/>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44084</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44084</v>
      </c>
    </row>
    <row r="7" spans="2:11" x14ac:dyDescent="0.3">
      <c r="B7" s="6" t="s">
        <v>37</v>
      </c>
      <c r="C7" s="22"/>
      <c r="D7" s="22"/>
      <c r="E7" s="22"/>
      <c r="F7" s="22"/>
      <c r="G7" s="22"/>
      <c r="H7" s="67">
        <f>$G$3</f>
        <v>44084</v>
      </c>
    </row>
    <row r="8" spans="2:11" x14ac:dyDescent="0.3">
      <c r="B8" s="6" t="s">
        <v>17</v>
      </c>
      <c r="C8" s="22">
        <v>540000</v>
      </c>
      <c r="D8" s="22"/>
      <c r="E8" s="22"/>
      <c r="F8" s="22"/>
      <c r="G8" s="22"/>
      <c r="H8" s="12">
        <f t="shared" si="0"/>
        <v>44084</v>
      </c>
    </row>
    <row r="9" spans="2:11" ht="15.6" x14ac:dyDescent="0.3">
      <c r="B9" s="34" t="s">
        <v>0</v>
      </c>
      <c r="C9" s="46"/>
      <c r="D9" s="46">
        <v>162000</v>
      </c>
      <c r="E9" s="46"/>
      <c r="F9" s="46">
        <v>468000</v>
      </c>
      <c r="G9" s="47"/>
      <c r="H9" s="12">
        <f t="shared" si="0"/>
        <v>44084</v>
      </c>
    </row>
    <row r="10" spans="2:11" x14ac:dyDescent="0.3">
      <c r="B10" s="6" t="s">
        <v>25</v>
      </c>
      <c r="C10" s="22"/>
      <c r="D10" s="22">
        <v>207500</v>
      </c>
      <c r="E10" s="22"/>
      <c r="F10" s="22">
        <v>486000</v>
      </c>
      <c r="G10" s="22"/>
      <c r="H10" s="12">
        <f t="shared" si="0"/>
        <v>44084</v>
      </c>
    </row>
    <row r="11" spans="2:11" x14ac:dyDescent="0.3">
      <c r="B11" s="6" t="s">
        <v>15</v>
      </c>
      <c r="C11" s="22"/>
      <c r="D11" s="22"/>
      <c r="E11" s="22"/>
      <c r="F11" s="48"/>
      <c r="G11" s="22"/>
      <c r="H11" s="12">
        <f t="shared" si="0"/>
        <v>44084</v>
      </c>
    </row>
    <row r="12" spans="2:11" x14ac:dyDescent="0.3">
      <c r="B12" s="6" t="s">
        <v>26</v>
      </c>
      <c r="C12" s="22"/>
      <c r="D12" s="22"/>
      <c r="E12" s="22"/>
      <c r="F12" s="22"/>
      <c r="G12" s="22"/>
      <c r="H12" s="12">
        <f t="shared" si="0"/>
        <v>44084</v>
      </c>
    </row>
    <row r="13" spans="2:11" x14ac:dyDescent="0.3">
      <c r="B13" s="6" t="s">
        <v>22</v>
      </c>
      <c r="C13" s="23"/>
      <c r="D13" s="23"/>
      <c r="E13" s="23"/>
      <c r="F13" s="22"/>
      <c r="G13" s="23"/>
      <c r="H13" s="12">
        <f t="shared" si="0"/>
        <v>44084</v>
      </c>
      <c r="K13" s="4"/>
    </row>
    <row r="14" spans="2:11" x14ac:dyDescent="0.3">
      <c r="B14" s="6" t="s">
        <v>19</v>
      </c>
      <c r="C14" s="22">
        <v>622000</v>
      </c>
      <c r="D14" s="22"/>
      <c r="E14" s="22"/>
      <c r="F14" s="22"/>
      <c r="G14" s="22"/>
      <c r="H14" s="12">
        <f t="shared" si="0"/>
        <v>44084</v>
      </c>
    </row>
    <row r="15" spans="2:11" x14ac:dyDescent="0.3">
      <c r="B15" s="6" t="s">
        <v>14</v>
      </c>
      <c r="C15" s="22">
        <v>588000</v>
      </c>
      <c r="D15" s="22"/>
      <c r="E15" s="22"/>
      <c r="F15" s="22"/>
      <c r="G15" s="22"/>
      <c r="H15" s="12">
        <f t="shared" si="0"/>
        <v>44084</v>
      </c>
    </row>
    <row r="16" spans="2:11" x14ac:dyDescent="0.3">
      <c r="B16" s="6" t="s">
        <v>24</v>
      </c>
      <c r="C16" s="22">
        <v>693000</v>
      </c>
      <c r="D16" s="22"/>
      <c r="E16" s="22"/>
      <c r="F16" s="49"/>
      <c r="G16" s="22"/>
      <c r="H16" s="12">
        <f t="shared" si="0"/>
        <v>44084</v>
      </c>
    </row>
    <row r="17" spans="1:8" x14ac:dyDescent="0.3">
      <c r="B17" s="6" t="s">
        <v>21</v>
      </c>
      <c r="C17" s="22"/>
      <c r="D17" s="22"/>
      <c r="E17" s="22"/>
      <c r="F17" s="22"/>
      <c r="G17" s="22"/>
      <c r="H17" s="12">
        <f t="shared" si="0"/>
        <v>44084</v>
      </c>
    </row>
    <row r="18" spans="1:8" x14ac:dyDescent="0.3">
      <c r="B18" s="6" t="s">
        <v>18</v>
      </c>
      <c r="C18" s="22"/>
      <c r="D18" s="22"/>
      <c r="E18" s="22"/>
      <c r="F18" s="22"/>
      <c r="G18" s="22"/>
      <c r="H18" s="12">
        <f t="shared" si="0"/>
        <v>44084</v>
      </c>
    </row>
    <row r="19" spans="1:8" x14ac:dyDescent="0.3">
      <c r="B19" s="6" t="s">
        <v>16</v>
      </c>
      <c r="C19" s="22">
        <v>107500</v>
      </c>
      <c r="D19" s="22"/>
      <c r="E19" s="22"/>
      <c r="F19" s="22"/>
      <c r="G19" s="22"/>
      <c r="H19" s="12">
        <f t="shared" si="0"/>
        <v>44084</v>
      </c>
    </row>
    <row r="20" spans="1:8" x14ac:dyDescent="0.3">
      <c r="B20" s="50" t="s">
        <v>27</v>
      </c>
      <c r="C20" s="51">
        <f>SUBTOTAL(109,September10_2020[KSI_AGO])</f>
        <v>2550500</v>
      </c>
      <c r="D20" s="51">
        <f>SUBTOTAL(109,September10_2020[KSI_PMS])</f>
        <v>369500</v>
      </c>
      <c r="E20" s="51">
        <f>SUBTOTAL(109,September10_2020[BUIPE_AGO])</f>
        <v>0</v>
      </c>
      <c r="F20" s="51">
        <f>SUBTOTAL(109,September10_2020[BUIPE_PMS])</f>
        <v>954000</v>
      </c>
      <c r="G20" s="51">
        <f>SUBTOTAL(109,September10_2020[AKOSOMBO_AGO])</f>
        <v>0</v>
      </c>
      <c r="H20" s="52"/>
    </row>
    <row r="21" spans="1:8" x14ac:dyDescent="0.3">
      <c r="B21" s="8"/>
      <c r="C21" s="24"/>
      <c r="D21" s="24"/>
      <c r="E21" s="24"/>
      <c r="F21" s="24"/>
      <c r="G21" s="24"/>
      <c r="H21"/>
    </row>
    <row r="22" spans="1:8" x14ac:dyDescent="0.3">
      <c r="B22" s="1" t="s">
        <v>6</v>
      </c>
      <c r="C22" s="1" t="s">
        <v>4</v>
      </c>
      <c r="D22" s="5">
        <f>SUMIF(September10_2020[[#Headers],[KSI_AGO]:[AKOSOMBO_AGO]],"*"&amp;C22,September10_2020[[#Totals],[KSI_AGO]:[AKOSOMBO_AGO]])</f>
        <v>2550500</v>
      </c>
      <c r="E22" s="1" t="s">
        <v>5</v>
      </c>
      <c r="F22" s="5">
        <f>SUMIF(September10_2020[[#Headers],[KSI_AGO]:[AKOSOMBO_AGO]],"*"&amp;E22,September10_2020[[#Totals],[KSI_AGO]:[AKOSOMBO_AGO]])</f>
        <v>1323500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100-000000000000}">
      <formula1>INDIRECT("BDC_List[BDC List]")</formula1>
    </dataValidation>
  </dataValidations>
  <pageMargins left="0.7" right="0.7" top="0.75" bottom="0.75" header="0.3" footer="0.3"/>
  <tableParts count="1">
    <tablePart r:id="rId1"/>
  </tableParts>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codeName="Sheet179"/>
  <dimension ref="A1:K32"/>
  <sheetViews>
    <sheetView workbookViewId="0">
      <selection activeCell="G12" sqref="G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44085</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44085</v>
      </c>
    </row>
    <row r="7" spans="2:11" x14ac:dyDescent="0.3">
      <c r="B7" s="6" t="s">
        <v>37</v>
      </c>
      <c r="C7" s="22"/>
      <c r="D7" s="22"/>
      <c r="E7" s="22"/>
      <c r="F7" s="22"/>
      <c r="G7" s="22"/>
      <c r="H7" s="67">
        <f>$G$3</f>
        <v>44085</v>
      </c>
    </row>
    <row r="8" spans="2:11" x14ac:dyDescent="0.3">
      <c r="B8" s="6" t="s">
        <v>17</v>
      </c>
      <c r="C8" s="22">
        <v>669000</v>
      </c>
      <c r="D8" s="22">
        <v>314500</v>
      </c>
      <c r="E8" s="22"/>
      <c r="F8" s="22">
        <v>698000</v>
      </c>
      <c r="G8" s="22"/>
      <c r="H8" s="12">
        <f t="shared" si="0"/>
        <v>44085</v>
      </c>
    </row>
    <row r="9" spans="2:11" ht="15.6" x14ac:dyDescent="0.3">
      <c r="B9" s="34" t="s">
        <v>0</v>
      </c>
      <c r="C9" s="46"/>
      <c r="D9" s="46">
        <v>104000</v>
      </c>
      <c r="E9" s="46"/>
      <c r="F9" s="46">
        <v>95000</v>
      </c>
      <c r="G9" s="47"/>
      <c r="H9" s="12">
        <f t="shared" si="0"/>
        <v>44085</v>
      </c>
    </row>
    <row r="10" spans="2:11" x14ac:dyDescent="0.3">
      <c r="B10" s="6" t="s">
        <v>25</v>
      </c>
      <c r="C10" s="22"/>
      <c r="D10" s="22">
        <v>531000</v>
      </c>
      <c r="E10" s="22"/>
      <c r="F10" s="22">
        <v>540000</v>
      </c>
      <c r="G10" s="22"/>
      <c r="H10" s="12">
        <f t="shared" si="0"/>
        <v>44085</v>
      </c>
    </row>
    <row r="11" spans="2:11" x14ac:dyDescent="0.3">
      <c r="B11" s="6" t="s">
        <v>15</v>
      </c>
      <c r="C11" s="22"/>
      <c r="D11" s="22"/>
      <c r="E11" s="22"/>
      <c r="F11" s="48"/>
      <c r="G11" s="22"/>
      <c r="H11" s="12">
        <f t="shared" si="0"/>
        <v>44085</v>
      </c>
    </row>
    <row r="12" spans="2:11" x14ac:dyDescent="0.3">
      <c r="B12" s="6" t="s">
        <v>26</v>
      </c>
      <c r="C12" s="22">
        <v>162000</v>
      </c>
      <c r="D12" s="22"/>
      <c r="E12" s="22"/>
      <c r="F12" s="22"/>
      <c r="G12" s="22"/>
      <c r="H12" s="12">
        <f t="shared" si="0"/>
        <v>44085</v>
      </c>
    </row>
    <row r="13" spans="2:11" x14ac:dyDescent="0.3">
      <c r="B13" s="6" t="s">
        <v>22</v>
      </c>
      <c r="C13" s="23"/>
      <c r="D13" s="23"/>
      <c r="E13" s="23"/>
      <c r="F13" s="22"/>
      <c r="G13" s="23"/>
      <c r="H13" s="12">
        <f t="shared" si="0"/>
        <v>44085</v>
      </c>
      <c r="K13" s="4"/>
    </row>
    <row r="14" spans="2:11" x14ac:dyDescent="0.3">
      <c r="B14" s="6" t="s">
        <v>19</v>
      </c>
      <c r="C14" s="22">
        <v>513000</v>
      </c>
      <c r="D14" s="22"/>
      <c r="E14" s="22"/>
      <c r="F14" s="22"/>
      <c r="G14" s="22"/>
      <c r="H14" s="12">
        <f t="shared" si="0"/>
        <v>44085</v>
      </c>
    </row>
    <row r="15" spans="2:11" x14ac:dyDescent="0.3">
      <c r="B15" s="6" t="s">
        <v>14</v>
      </c>
      <c r="C15" s="22">
        <v>747000</v>
      </c>
      <c r="D15" s="22"/>
      <c r="E15" s="22"/>
      <c r="F15" s="22"/>
      <c r="G15" s="22"/>
      <c r="H15" s="12">
        <f t="shared" si="0"/>
        <v>44085</v>
      </c>
    </row>
    <row r="16" spans="2:11" x14ac:dyDescent="0.3">
      <c r="B16" s="6" t="s">
        <v>24</v>
      </c>
      <c r="C16" s="22">
        <v>535500</v>
      </c>
      <c r="D16" s="22"/>
      <c r="E16" s="22"/>
      <c r="F16" s="49"/>
      <c r="G16" s="22"/>
      <c r="H16" s="12">
        <f t="shared" si="0"/>
        <v>44085</v>
      </c>
    </row>
    <row r="17" spans="1:8" x14ac:dyDescent="0.3">
      <c r="B17" s="6" t="s">
        <v>21</v>
      </c>
      <c r="C17" s="22"/>
      <c r="D17" s="22"/>
      <c r="E17" s="22"/>
      <c r="F17" s="22"/>
      <c r="G17" s="22"/>
      <c r="H17" s="12">
        <f t="shared" si="0"/>
        <v>44085</v>
      </c>
    </row>
    <row r="18" spans="1:8" x14ac:dyDescent="0.3">
      <c r="B18" s="6" t="s">
        <v>18</v>
      </c>
      <c r="C18" s="22"/>
      <c r="D18" s="22"/>
      <c r="E18" s="22"/>
      <c r="F18" s="22"/>
      <c r="G18" s="22"/>
      <c r="H18" s="12">
        <f t="shared" si="0"/>
        <v>44085</v>
      </c>
    </row>
    <row r="19" spans="1:8" x14ac:dyDescent="0.3">
      <c r="B19" s="6" t="s">
        <v>16</v>
      </c>
      <c r="C19" s="22">
        <v>54000</v>
      </c>
      <c r="D19" s="22"/>
      <c r="E19" s="22">
        <v>162000</v>
      </c>
      <c r="F19" s="22"/>
      <c r="G19" s="22"/>
      <c r="H19" s="12">
        <f t="shared" si="0"/>
        <v>44085</v>
      </c>
    </row>
    <row r="20" spans="1:8" x14ac:dyDescent="0.3">
      <c r="B20" s="50" t="s">
        <v>27</v>
      </c>
      <c r="C20" s="51">
        <f>SUBTOTAL(109,September11_2020[KSI_AGO])</f>
        <v>2680500</v>
      </c>
      <c r="D20" s="51">
        <f>SUBTOTAL(109,September11_2020[KSI_PMS])</f>
        <v>949500</v>
      </c>
      <c r="E20" s="51">
        <f>SUBTOTAL(109,September11_2020[BUIPE_AGO])</f>
        <v>162000</v>
      </c>
      <c r="F20" s="51">
        <f>SUBTOTAL(109,September11_2020[BUIPE_PMS])</f>
        <v>1333000</v>
      </c>
      <c r="G20" s="51">
        <f>SUBTOTAL(109,September11_2020[AKOSOMBO_AGO])</f>
        <v>0</v>
      </c>
      <c r="H20" s="52"/>
    </row>
    <row r="21" spans="1:8" x14ac:dyDescent="0.3">
      <c r="B21" s="8"/>
      <c r="C21" s="24"/>
      <c r="D21" s="24"/>
      <c r="E21" s="24"/>
      <c r="F21" s="24"/>
      <c r="G21" s="24"/>
      <c r="H21"/>
    </row>
    <row r="22" spans="1:8" x14ac:dyDescent="0.3">
      <c r="B22" s="1" t="s">
        <v>6</v>
      </c>
      <c r="C22" s="1" t="s">
        <v>4</v>
      </c>
      <c r="D22" s="5">
        <f>SUMIF(September11_2020[[#Headers],[KSI_AGO]:[AKOSOMBO_AGO]],"*"&amp;C22,September11_2020[[#Totals],[KSI_AGO]:[AKOSOMBO_AGO]])</f>
        <v>2842500</v>
      </c>
      <c r="E22" s="1" t="s">
        <v>5</v>
      </c>
      <c r="F22" s="5">
        <f>SUMIF(September11_2020[[#Headers],[KSI_AGO]:[AKOSOMBO_AGO]],"*"&amp;E22,September11_2020[[#Totals],[KSI_AGO]:[AKOSOMBO_AGO]])</f>
        <v>2282500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200-000000000000}">
      <formula1>INDIRECT("BDC_List[BDC List]")</formula1>
    </dataValidation>
  </dataValidations>
  <pageMargins left="0.7" right="0.7" top="0.75" bottom="0.75" header="0.3" footer="0.3"/>
  <tableParts count="1">
    <tablePart r:id="rId1"/>
  </tableParts>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codeName="Sheet180"/>
  <dimension ref="A1:K32"/>
  <sheetViews>
    <sheetView workbookViewId="0">
      <selection activeCell="G8" sqref="G8"/>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44088</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44088</v>
      </c>
    </row>
    <row r="7" spans="2:11" x14ac:dyDescent="0.3">
      <c r="B7" s="6" t="s">
        <v>37</v>
      </c>
      <c r="C7" s="22"/>
      <c r="D7" s="22"/>
      <c r="E7" s="22"/>
      <c r="F7" s="22"/>
      <c r="G7" s="22"/>
      <c r="H7" s="67">
        <f>$G$3</f>
        <v>44088</v>
      </c>
    </row>
    <row r="8" spans="2:11" x14ac:dyDescent="0.3">
      <c r="B8" s="6" t="s">
        <v>17</v>
      </c>
      <c r="C8" s="22">
        <v>594000</v>
      </c>
      <c r="D8" s="22">
        <v>432000</v>
      </c>
      <c r="E8" s="22"/>
      <c r="F8" s="22">
        <v>162000</v>
      </c>
      <c r="G8" s="22"/>
      <c r="H8" s="12">
        <f t="shared" si="0"/>
        <v>44088</v>
      </c>
    </row>
    <row r="9" spans="2:11" ht="15.6" x14ac:dyDescent="0.3">
      <c r="B9" s="34" t="s">
        <v>0</v>
      </c>
      <c r="C9" s="46"/>
      <c r="D9" s="46"/>
      <c r="E9" s="46"/>
      <c r="F9" s="46"/>
      <c r="G9" s="47"/>
      <c r="H9" s="12">
        <f t="shared" si="0"/>
        <v>44088</v>
      </c>
    </row>
    <row r="10" spans="2:11" x14ac:dyDescent="0.3">
      <c r="B10" s="6" t="s">
        <v>25</v>
      </c>
      <c r="C10" s="22"/>
      <c r="D10" s="22">
        <v>374000</v>
      </c>
      <c r="E10" s="22"/>
      <c r="F10" s="22">
        <v>972000</v>
      </c>
      <c r="G10" s="22"/>
      <c r="H10" s="12">
        <f t="shared" si="0"/>
        <v>44088</v>
      </c>
    </row>
    <row r="11" spans="2:11" x14ac:dyDescent="0.3">
      <c r="B11" s="6" t="s">
        <v>15</v>
      </c>
      <c r="C11" s="22"/>
      <c r="D11" s="22">
        <v>324000</v>
      </c>
      <c r="E11" s="22"/>
      <c r="F11" s="48">
        <v>324000</v>
      </c>
      <c r="G11" s="22"/>
      <c r="H11" s="12">
        <f t="shared" si="0"/>
        <v>44088</v>
      </c>
    </row>
    <row r="12" spans="2:11" x14ac:dyDescent="0.3">
      <c r="B12" s="6" t="s">
        <v>26</v>
      </c>
      <c r="C12" s="22"/>
      <c r="D12" s="22"/>
      <c r="E12" s="22"/>
      <c r="F12" s="22"/>
      <c r="G12" s="22"/>
      <c r="H12" s="12">
        <f t="shared" si="0"/>
        <v>44088</v>
      </c>
    </row>
    <row r="13" spans="2:11" x14ac:dyDescent="0.3">
      <c r="B13" s="6" t="s">
        <v>22</v>
      </c>
      <c r="C13" s="23"/>
      <c r="D13" s="23"/>
      <c r="E13" s="23"/>
      <c r="F13" s="22"/>
      <c r="G13" s="23"/>
      <c r="H13" s="12">
        <f t="shared" si="0"/>
        <v>44088</v>
      </c>
      <c r="K13" s="4"/>
    </row>
    <row r="14" spans="2:11" x14ac:dyDescent="0.3">
      <c r="B14" s="6" t="s">
        <v>19</v>
      </c>
      <c r="C14" s="22">
        <v>589000</v>
      </c>
      <c r="D14" s="22"/>
      <c r="E14" s="22"/>
      <c r="F14" s="22"/>
      <c r="G14" s="22"/>
      <c r="H14" s="12">
        <f t="shared" si="0"/>
        <v>44088</v>
      </c>
    </row>
    <row r="15" spans="2:11" x14ac:dyDescent="0.3">
      <c r="B15" s="6" t="s">
        <v>14</v>
      </c>
      <c r="C15" s="22">
        <v>432000</v>
      </c>
      <c r="D15" s="22"/>
      <c r="E15" s="22"/>
      <c r="F15" s="22"/>
      <c r="G15" s="22"/>
      <c r="H15" s="12">
        <f t="shared" si="0"/>
        <v>44088</v>
      </c>
    </row>
    <row r="16" spans="2:11" x14ac:dyDescent="0.3">
      <c r="B16" s="6" t="s">
        <v>24</v>
      </c>
      <c r="C16" s="22">
        <v>582000</v>
      </c>
      <c r="D16" s="22"/>
      <c r="E16" s="22"/>
      <c r="F16" s="49"/>
      <c r="G16" s="22"/>
      <c r="H16" s="12">
        <f t="shared" si="0"/>
        <v>44088</v>
      </c>
    </row>
    <row r="17" spans="1:8" x14ac:dyDescent="0.3">
      <c r="B17" s="6" t="s">
        <v>21</v>
      </c>
      <c r="C17" s="22">
        <v>315000</v>
      </c>
      <c r="D17" s="22"/>
      <c r="E17" s="22">
        <v>153000</v>
      </c>
      <c r="F17" s="22"/>
      <c r="G17" s="22"/>
      <c r="H17" s="12">
        <f t="shared" si="0"/>
        <v>44088</v>
      </c>
    </row>
    <row r="18" spans="1:8" x14ac:dyDescent="0.3">
      <c r="B18" s="6" t="s">
        <v>18</v>
      </c>
      <c r="C18" s="22"/>
      <c r="D18" s="22"/>
      <c r="E18" s="22"/>
      <c r="F18" s="22"/>
      <c r="G18" s="22"/>
      <c r="H18" s="12">
        <f t="shared" si="0"/>
        <v>44088</v>
      </c>
    </row>
    <row r="19" spans="1:8" x14ac:dyDescent="0.3">
      <c r="B19" s="6" t="s">
        <v>16</v>
      </c>
      <c r="C19" s="22"/>
      <c r="D19" s="22"/>
      <c r="E19" s="22"/>
      <c r="F19" s="22"/>
      <c r="G19" s="22"/>
      <c r="H19" s="12">
        <f t="shared" si="0"/>
        <v>44088</v>
      </c>
    </row>
    <row r="20" spans="1:8" x14ac:dyDescent="0.3">
      <c r="B20" s="50" t="s">
        <v>27</v>
      </c>
      <c r="C20" s="51">
        <f>SUBTOTAL(109,September14_2020[KSI_AGO])</f>
        <v>2512000</v>
      </c>
      <c r="D20" s="51">
        <f>SUBTOTAL(109,September14_2020[KSI_PMS])</f>
        <v>1130000</v>
      </c>
      <c r="E20" s="51">
        <f>SUBTOTAL(109,September14_2020[BUIPE_AGO])</f>
        <v>153000</v>
      </c>
      <c r="F20" s="51">
        <f>SUBTOTAL(109,September14_2020[BUIPE_PMS])</f>
        <v>1458000</v>
      </c>
      <c r="G20" s="51">
        <f>SUBTOTAL(109,September14_2020[AKOSOMBO_AGO])</f>
        <v>0</v>
      </c>
      <c r="H20" s="52"/>
    </row>
    <row r="21" spans="1:8" x14ac:dyDescent="0.3">
      <c r="B21" s="8"/>
      <c r="C21" s="24"/>
      <c r="D21" s="24"/>
      <c r="E21" s="24"/>
      <c r="F21" s="24"/>
      <c r="G21" s="24"/>
      <c r="H21"/>
    </row>
    <row r="22" spans="1:8" x14ac:dyDescent="0.3">
      <c r="B22" s="1" t="s">
        <v>6</v>
      </c>
      <c r="C22" s="1" t="s">
        <v>4</v>
      </c>
      <c r="D22" s="5">
        <f>SUMIF(September14_2020[[#Headers],[KSI_AGO]:[AKOSOMBO_AGO]],"*"&amp;C22,September14_2020[[#Totals],[KSI_AGO]:[AKOSOMBO_AGO]])</f>
        <v>2665000</v>
      </c>
      <c r="E22" s="1" t="s">
        <v>5</v>
      </c>
      <c r="F22" s="5">
        <f>SUMIF(September14_2020[[#Headers],[KSI_AGO]:[AKOSOMBO_AGO]],"*"&amp;E22,September14_2020[[#Totals],[KSI_AGO]:[AKOSOMBO_AGO]])</f>
        <v>2588000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300-000000000000}">
      <formula1>INDIRECT("BDC_List[BDC List]")</formula1>
    </dataValidation>
  </dataValidations>
  <pageMargins left="0.7" right="0.7" top="0.75" bottom="0.75" header="0.3" footer="0.3"/>
  <tableParts count="1">
    <tablePart r:id="rId1"/>
  </tableParts>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codeName="Sheet181"/>
  <dimension ref="A1:K32"/>
  <sheetViews>
    <sheetView workbookViewId="0">
      <selection activeCell="E12" sqref="E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44089</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44089</v>
      </c>
    </row>
    <row r="7" spans="2:11" x14ac:dyDescent="0.3">
      <c r="B7" s="6" t="s">
        <v>37</v>
      </c>
      <c r="C7" s="22"/>
      <c r="D7" s="22"/>
      <c r="E7" s="22"/>
      <c r="F7" s="22"/>
      <c r="G7" s="22"/>
      <c r="H7" s="67">
        <f>$G$3</f>
        <v>44089</v>
      </c>
    </row>
    <row r="8" spans="2:11" x14ac:dyDescent="0.3">
      <c r="B8" s="6" t="s">
        <v>17</v>
      </c>
      <c r="C8" s="22">
        <v>689000</v>
      </c>
      <c r="D8" s="22">
        <v>216000</v>
      </c>
      <c r="E8" s="22"/>
      <c r="F8" s="22">
        <v>45000</v>
      </c>
      <c r="G8" s="22"/>
      <c r="H8" s="12">
        <f t="shared" si="0"/>
        <v>44089</v>
      </c>
    </row>
    <row r="9" spans="2:11" ht="15.6" x14ac:dyDescent="0.3">
      <c r="B9" s="34" t="s">
        <v>0</v>
      </c>
      <c r="C9" s="46"/>
      <c r="D9" s="46"/>
      <c r="E9" s="46"/>
      <c r="F9" s="46"/>
      <c r="G9" s="47"/>
      <c r="H9" s="12">
        <f t="shared" si="0"/>
        <v>44089</v>
      </c>
    </row>
    <row r="10" spans="2:11" x14ac:dyDescent="0.3">
      <c r="B10" s="6" t="s">
        <v>25</v>
      </c>
      <c r="C10" s="22"/>
      <c r="D10" s="22">
        <v>270000</v>
      </c>
      <c r="E10" s="22"/>
      <c r="F10" s="22"/>
      <c r="G10" s="22"/>
      <c r="H10" s="12">
        <f t="shared" si="0"/>
        <v>44089</v>
      </c>
    </row>
    <row r="11" spans="2:11" x14ac:dyDescent="0.3">
      <c r="B11" s="6" t="s">
        <v>15</v>
      </c>
      <c r="C11" s="22">
        <v>324000</v>
      </c>
      <c r="D11" s="22">
        <v>270000</v>
      </c>
      <c r="E11" s="22">
        <v>162000</v>
      </c>
      <c r="F11" s="48">
        <v>1080000</v>
      </c>
      <c r="G11" s="22"/>
      <c r="H11" s="12">
        <f t="shared" si="0"/>
        <v>44089</v>
      </c>
    </row>
    <row r="12" spans="2:11" x14ac:dyDescent="0.3">
      <c r="B12" s="6" t="s">
        <v>26</v>
      </c>
      <c r="C12" s="22"/>
      <c r="D12" s="22"/>
      <c r="E12" s="22"/>
      <c r="F12" s="22"/>
      <c r="G12" s="22"/>
      <c r="H12" s="12">
        <f t="shared" si="0"/>
        <v>44089</v>
      </c>
    </row>
    <row r="13" spans="2:11" x14ac:dyDescent="0.3">
      <c r="B13" s="6" t="s">
        <v>22</v>
      </c>
      <c r="C13" s="23"/>
      <c r="D13" s="23">
        <v>324000</v>
      </c>
      <c r="E13" s="23"/>
      <c r="F13" s="22"/>
      <c r="G13" s="23"/>
      <c r="H13" s="12">
        <f t="shared" si="0"/>
        <v>44089</v>
      </c>
      <c r="K13" s="4"/>
    </row>
    <row r="14" spans="2:11" x14ac:dyDescent="0.3">
      <c r="B14" s="6" t="s">
        <v>19</v>
      </c>
      <c r="C14" s="22">
        <v>265500</v>
      </c>
      <c r="D14" s="22"/>
      <c r="E14" s="22"/>
      <c r="F14" s="22"/>
      <c r="G14" s="22"/>
      <c r="H14" s="12">
        <f t="shared" si="0"/>
        <v>44089</v>
      </c>
    </row>
    <row r="15" spans="2:11" x14ac:dyDescent="0.3">
      <c r="B15" s="6" t="s">
        <v>14</v>
      </c>
      <c r="C15" s="22">
        <v>698000</v>
      </c>
      <c r="D15" s="22"/>
      <c r="E15" s="22"/>
      <c r="F15" s="22"/>
      <c r="G15" s="22"/>
      <c r="H15" s="12">
        <f t="shared" si="0"/>
        <v>44089</v>
      </c>
    </row>
    <row r="16" spans="2:11" x14ac:dyDescent="0.3">
      <c r="B16" s="6" t="s">
        <v>24</v>
      </c>
      <c r="C16" s="22">
        <v>216000</v>
      </c>
      <c r="D16" s="22"/>
      <c r="E16" s="22"/>
      <c r="F16" s="49"/>
      <c r="G16" s="22"/>
      <c r="H16" s="12">
        <f t="shared" si="0"/>
        <v>44089</v>
      </c>
    </row>
    <row r="17" spans="1:8" x14ac:dyDescent="0.3">
      <c r="B17" s="6" t="s">
        <v>21</v>
      </c>
      <c r="C17" s="22">
        <v>373500</v>
      </c>
      <c r="D17" s="22"/>
      <c r="E17" s="22">
        <v>100000</v>
      </c>
      <c r="F17" s="22"/>
      <c r="G17" s="22"/>
      <c r="H17" s="12">
        <f t="shared" si="0"/>
        <v>44089</v>
      </c>
    </row>
    <row r="18" spans="1:8" x14ac:dyDescent="0.3">
      <c r="B18" s="6" t="s">
        <v>18</v>
      </c>
      <c r="C18" s="22"/>
      <c r="D18" s="22"/>
      <c r="E18" s="22"/>
      <c r="F18" s="22"/>
      <c r="G18" s="22"/>
      <c r="H18" s="12">
        <f t="shared" si="0"/>
        <v>44089</v>
      </c>
    </row>
    <row r="19" spans="1:8" x14ac:dyDescent="0.3">
      <c r="B19" s="6" t="s">
        <v>16</v>
      </c>
      <c r="C19" s="22"/>
      <c r="D19" s="22"/>
      <c r="E19" s="22"/>
      <c r="F19" s="22"/>
      <c r="G19" s="22"/>
      <c r="H19" s="12">
        <f t="shared" si="0"/>
        <v>44089</v>
      </c>
    </row>
    <row r="20" spans="1:8" x14ac:dyDescent="0.3">
      <c r="B20" s="50" t="s">
        <v>27</v>
      </c>
      <c r="C20" s="51">
        <f>SUBTOTAL(109,September15_2020[KSI_AGO])</f>
        <v>2566000</v>
      </c>
      <c r="D20" s="51">
        <f>SUBTOTAL(109,September15_2020[KSI_PMS])</f>
        <v>1080000</v>
      </c>
      <c r="E20" s="51">
        <f>SUBTOTAL(109,September15_2020[BUIPE_AGO])</f>
        <v>262000</v>
      </c>
      <c r="F20" s="51">
        <f>SUBTOTAL(109,September15_2020[BUIPE_PMS])</f>
        <v>1125000</v>
      </c>
      <c r="G20" s="51">
        <f>SUBTOTAL(109,September15_2020[AKOSOMBO_AGO])</f>
        <v>0</v>
      </c>
      <c r="H20" s="52"/>
    </row>
    <row r="21" spans="1:8" x14ac:dyDescent="0.3">
      <c r="B21" s="8"/>
      <c r="C21" s="24"/>
      <c r="D21" s="24"/>
      <c r="E21" s="24"/>
      <c r="F21" s="24"/>
      <c r="G21" s="24"/>
      <c r="H21"/>
    </row>
    <row r="22" spans="1:8" x14ac:dyDescent="0.3">
      <c r="B22" s="1" t="s">
        <v>6</v>
      </c>
      <c r="C22" s="1" t="s">
        <v>4</v>
      </c>
      <c r="D22" s="5">
        <f>SUMIF(September15_2020[[#Headers],[KSI_AGO]:[AKOSOMBO_AGO]],"*"&amp;C22,September15_2020[[#Totals],[KSI_AGO]:[AKOSOMBO_AGO]])</f>
        <v>2828000</v>
      </c>
      <c r="E22" s="1" t="s">
        <v>5</v>
      </c>
      <c r="F22" s="5">
        <f>SUMIF(September15_2020[[#Headers],[KSI_AGO]:[AKOSOMBO_AGO]],"*"&amp;E22,September15_2020[[#Totals],[KSI_AGO]:[AKOSOMBO_AGO]])</f>
        <v>2205000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400-000000000000}">
      <formula1>INDIRECT("BDC_List[BDC List]")</formula1>
    </dataValidation>
  </dataValidations>
  <pageMargins left="0.7" right="0.7" top="0.75" bottom="0.75" header="0.3" footer="0.3"/>
  <tableParts count="1">
    <tablePart r:id="rId1"/>
  </tableParts>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codeName="Sheet182"/>
  <dimension ref="A1:K32"/>
  <sheetViews>
    <sheetView workbookViewId="0">
      <selection activeCell="D23" sqref="D23"/>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2.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44090</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44090</v>
      </c>
    </row>
    <row r="7" spans="2:11" x14ac:dyDescent="0.3">
      <c r="B7" s="6" t="s">
        <v>37</v>
      </c>
      <c r="C7" s="22"/>
      <c r="D7" s="22"/>
      <c r="E7" s="22"/>
      <c r="F7" s="22"/>
      <c r="G7" s="22"/>
      <c r="H7" s="67">
        <f>$G$3</f>
        <v>44090</v>
      </c>
    </row>
    <row r="8" spans="2:11" x14ac:dyDescent="0.3">
      <c r="B8" s="6" t="s">
        <v>17</v>
      </c>
      <c r="C8" s="22">
        <v>324000</v>
      </c>
      <c r="D8" s="22">
        <v>153000</v>
      </c>
      <c r="E8" s="22"/>
      <c r="F8" s="22">
        <v>45000</v>
      </c>
      <c r="G8" s="22"/>
      <c r="H8" s="12">
        <f t="shared" si="0"/>
        <v>44090</v>
      </c>
    </row>
    <row r="9" spans="2:11" ht="15.6" x14ac:dyDescent="0.3">
      <c r="B9" s="34" t="s">
        <v>0</v>
      </c>
      <c r="C9" s="46"/>
      <c r="D9" s="46">
        <v>630000</v>
      </c>
      <c r="E9" s="46"/>
      <c r="F9" s="46"/>
      <c r="G9" s="47"/>
      <c r="H9" s="12">
        <f t="shared" si="0"/>
        <v>44090</v>
      </c>
    </row>
    <row r="10" spans="2:11" x14ac:dyDescent="0.3">
      <c r="B10" s="6" t="s">
        <v>25</v>
      </c>
      <c r="C10" s="22"/>
      <c r="D10" s="22">
        <v>202500</v>
      </c>
      <c r="E10" s="22"/>
      <c r="F10" s="22"/>
      <c r="G10" s="22"/>
      <c r="H10" s="12">
        <f t="shared" si="0"/>
        <v>44090</v>
      </c>
    </row>
    <row r="11" spans="2:11" x14ac:dyDescent="0.3">
      <c r="B11" s="6" t="s">
        <v>15</v>
      </c>
      <c r="C11" s="22">
        <v>316000</v>
      </c>
      <c r="D11" s="22">
        <v>432000</v>
      </c>
      <c r="E11" s="22">
        <v>432000</v>
      </c>
      <c r="F11" s="48">
        <v>540000</v>
      </c>
      <c r="G11" s="22"/>
      <c r="H11" s="12">
        <f t="shared" si="0"/>
        <v>44090</v>
      </c>
    </row>
    <row r="12" spans="2:11" x14ac:dyDescent="0.3">
      <c r="B12" s="6" t="s">
        <v>26</v>
      </c>
      <c r="C12" s="22"/>
      <c r="D12" s="22"/>
      <c r="E12" s="22"/>
      <c r="F12" s="22"/>
      <c r="G12" s="22"/>
      <c r="H12" s="12">
        <f t="shared" si="0"/>
        <v>44090</v>
      </c>
    </row>
    <row r="13" spans="2:11" x14ac:dyDescent="0.3">
      <c r="B13" s="6" t="s">
        <v>22</v>
      </c>
      <c r="C13" s="23"/>
      <c r="D13" s="23">
        <v>432000</v>
      </c>
      <c r="E13" s="23"/>
      <c r="F13" s="22"/>
      <c r="G13" s="23"/>
      <c r="H13" s="12">
        <f t="shared" si="0"/>
        <v>44090</v>
      </c>
      <c r="K13" s="4"/>
    </row>
    <row r="14" spans="2:11" x14ac:dyDescent="0.3">
      <c r="B14" s="6" t="s">
        <v>19</v>
      </c>
      <c r="C14" s="22"/>
      <c r="D14" s="22"/>
      <c r="E14" s="22"/>
      <c r="F14" s="22"/>
      <c r="G14" s="22"/>
      <c r="H14" s="12">
        <f t="shared" si="0"/>
        <v>44090</v>
      </c>
    </row>
    <row r="15" spans="2:11" x14ac:dyDescent="0.3">
      <c r="B15" s="6" t="s">
        <v>14</v>
      </c>
      <c r="C15" s="22">
        <v>378000</v>
      </c>
      <c r="D15" s="22"/>
      <c r="E15" s="22"/>
      <c r="F15" s="22"/>
      <c r="G15" s="22"/>
      <c r="H15" s="12">
        <f t="shared" si="0"/>
        <v>44090</v>
      </c>
    </row>
    <row r="16" spans="2:11" x14ac:dyDescent="0.3">
      <c r="B16" s="6" t="s">
        <v>24</v>
      </c>
      <c r="C16" s="22">
        <v>323500</v>
      </c>
      <c r="D16" s="22"/>
      <c r="E16" s="22"/>
      <c r="F16" s="49"/>
      <c r="G16" s="22"/>
      <c r="H16" s="12">
        <f t="shared" si="0"/>
        <v>44090</v>
      </c>
    </row>
    <row r="17" spans="1:8" x14ac:dyDescent="0.3">
      <c r="B17" s="6" t="s">
        <v>21</v>
      </c>
      <c r="C17" s="22">
        <v>324000</v>
      </c>
      <c r="D17" s="22"/>
      <c r="E17" s="22"/>
      <c r="F17" s="22"/>
      <c r="G17" s="22"/>
      <c r="H17" s="12">
        <f t="shared" si="0"/>
        <v>44090</v>
      </c>
    </row>
    <row r="18" spans="1:8" x14ac:dyDescent="0.3">
      <c r="B18" s="6" t="s">
        <v>18</v>
      </c>
      <c r="C18" s="22"/>
      <c r="D18" s="22"/>
      <c r="E18" s="22"/>
      <c r="F18" s="22"/>
      <c r="G18" s="22"/>
      <c r="H18" s="12">
        <f t="shared" si="0"/>
        <v>44090</v>
      </c>
    </row>
    <row r="19" spans="1:8" x14ac:dyDescent="0.3">
      <c r="B19" s="6" t="s">
        <v>16</v>
      </c>
      <c r="C19" s="22">
        <v>54000</v>
      </c>
      <c r="D19" s="22"/>
      <c r="E19" s="22">
        <v>648000</v>
      </c>
      <c r="F19" s="22"/>
      <c r="G19" s="22"/>
      <c r="H19" s="12">
        <f t="shared" si="0"/>
        <v>44090</v>
      </c>
    </row>
    <row r="20" spans="1:8" x14ac:dyDescent="0.3">
      <c r="B20" s="50" t="s">
        <v>27</v>
      </c>
      <c r="C20" s="51">
        <f>SUBTOTAL(109,September16_2020[KSI_AGO])</f>
        <v>1719500</v>
      </c>
      <c r="D20" s="51">
        <f>SUBTOTAL(109,September16_2020[KSI_PMS])</f>
        <v>1849500</v>
      </c>
      <c r="E20" s="51">
        <f>SUBTOTAL(109,September16_2020[BUIPE_AGO])</f>
        <v>1080000</v>
      </c>
      <c r="F20" s="51">
        <f>SUBTOTAL(109,September16_2020[BUIPE_PMS])</f>
        <v>585000</v>
      </c>
      <c r="G20" s="51">
        <f>SUBTOTAL(109,September16_2020[AKOSOMBO_AGO])</f>
        <v>0</v>
      </c>
      <c r="H20" s="52"/>
    </row>
    <row r="21" spans="1:8" x14ac:dyDescent="0.3">
      <c r="B21" s="8"/>
      <c r="C21" s="24"/>
      <c r="D21" s="24"/>
      <c r="E21" s="24"/>
      <c r="F21" s="24"/>
      <c r="G21" s="24"/>
      <c r="H21"/>
    </row>
    <row r="22" spans="1:8" x14ac:dyDescent="0.3">
      <c r="B22" s="1" t="s">
        <v>6</v>
      </c>
      <c r="C22" s="1" t="s">
        <v>4</v>
      </c>
      <c r="D22" s="5">
        <f>SUMIF(September16_2020[[#Headers],[KSI_AGO]:[AKOSOMBO_AGO]],"*"&amp;C22,September16_2020[[#Totals],[KSI_AGO]:[AKOSOMBO_AGO]])</f>
        <v>2799500</v>
      </c>
      <c r="E22" s="1" t="s">
        <v>5</v>
      </c>
      <c r="F22" s="5">
        <f>SUMIF(September16_2020[[#Headers],[KSI_AGO]:[AKOSOMBO_AGO]],"*"&amp;E22,September16_2020[[#Totals],[KSI_AGO]:[AKOSOMBO_AGO]])</f>
        <v>2434500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500-000000000000}">
      <formula1>INDIRECT("BDC_List[BDC List]")</formula1>
    </dataValidation>
  </dataValidations>
  <pageMargins left="0.7" right="0.7" top="0.75" bottom="0.75" header="0.3" footer="0.3"/>
  <tableParts count="1">
    <tablePart r:id="rId1"/>
  </tableParts>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codeName="Sheet183"/>
  <dimension ref="A1:K32"/>
  <sheetViews>
    <sheetView workbookViewId="0">
      <selection activeCell="E20" sqref="E20"/>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44091</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44091</v>
      </c>
    </row>
    <row r="7" spans="2:11" x14ac:dyDescent="0.3">
      <c r="B7" s="6" t="s">
        <v>37</v>
      </c>
      <c r="C7" s="22"/>
      <c r="D7" s="22"/>
      <c r="E7" s="22"/>
      <c r="F7" s="22"/>
      <c r="G7" s="22"/>
      <c r="H7" s="67">
        <f>$G$3</f>
        <v>44091</v>
      </c>
    </row>
    <row r="8" spans="2:11" x14ac:dyDescent="0.3">
      <c r="B8" s="6" t="s">
        <v>17</v>
      </c>
      <c r="C8" s="22">
        <v>319500</v>
      </c>
      <c r="D8" s="22">
        <v>265500</v>
      </c>
      <c r="E8" s="22"/>
      <c r="F8" s="22"/>
      <c r="G8" s="22"/>
      <c r="H8" s="12">
        <f t="shared" si="0"/>
        <v>44091</v>
      </c>
    </row>
    <row r="9" spans="2:11" ht="15.6" x14ac:dyDescent="0.3">
      <c r="B9" s="34" t="s">
        <v>0</v>
      </c>
      <c r="C9" s="60"/>
      <c r="D9" s="60">
        <v>265500</v>
      </c>
      <c r="E9" s="60"/>
      <c r="F9" s="60"/>
      <c r="G9" s="61"/>
      <c r="H9" s="12">
        <f t="shared" si="0"/>
        <v>44091</v>
      </c>
    </row>
    <row r="10" spans="2:11" x14ac:dyDescent="0.3">
      <c r="B10" s="6" t="s">
        <v>25</v>
      </c>
      <c r="C10" s="22"/>
      <c r="D10" s="22">
        <v>108000</v>
      </c>
      <c r="E10" s="22"/>
      <c r="F10" s="22"/>
      <c r="G10" s="22"/>
      <c r="H10" s="12">
        <f t="shared" si="0"/>
        <v>44091</v>
      </c>
    </row>
    <row r="11" spans="2:11" x14ac:dyDescent="0.3">
      <c r="B11" s="6" t="s">
        <v>15</v>
      </c>
      <c r="C11" s="22">
        <v>324000</v>
      </c>
      <c r="D11" s="22">
        <v>430000</v>
      </c>
      <c r="E11" s="22">
        <v>45000</v>
      </c>
      <c r="F11" s="48">
        <v>216000</v>
      </c>
      <c r="G11" s="22"/>
      <c r="H11" s="12">
        <f t="shared" si="0"/>
        <v>44091</v>
      </c>
    </row>
    <row r="12" spans="2:11" x14ac:dyDescent="0.3">
      <c r="B12" s="6" t="s">
        <v>26</v>
      </c>
      <c r="C12" s="22">
        <v>270000</v>
      </c>
      <c r="D12" s="22"/>
      <c r="E12" s="22">
        <v>50000</v>
      </c>
      <c r="F12" s="22"/>
      <c r="G12" s="22"/>
      <c r="H12" s="12">
        <f t="shared" si="0"/>
        <v>44091</v>
      </c>
    </row>
    <row r="13" spans="2:11" x14ac:dyDescent="0.3">
      <c r="B13" s="6" t="s">
        <v>22</v>
      </c>
      <c r="C13" s="23"/>
      <c r="D13" s="23">
        <v>162000</v>
      </c>
      <c r="E13" s="23"/>
      <c r="F13" s="22"/>
      <c r="G13" s="23"/>
      <c r="H13" s="12">
        <f t="shared" si="0"/>
        <v>44091</v>
      </c>
      <c r="K13" s="4"/>
    </row>
    <row r="14" spans="2:11" x14ac:dyDescent="0.3">
      <c r="B14" s="6" t="s">
        <v>19</v>
      </c>
      <c r="C14" s="22"/>
      <c r="D14" s="22"/>
      <c r="E14" s="22"/>
      <c r="F14" s="22"/>
      <c r="G14" s="22"/>
      <c r="H14" s="12">
        <f t="shared" si="0"/>
        <v>44091</v>
      </c>
    </row>
    <row r="15" spans="2:11" x14ac:dyDescent="0.3">
      <c r="B15" s="6" t="s">
        <v>14</v>
      </c>
      <c r="C15" s="22">
        <v>324000</v>
      </c>
      <c r="D15" s="22"/>
      <c r="E15" s="22"/>
      <c r="F15" s="22"/>
      <c r="G15" s="22"/>
      <c r="H15" s="12">
        <f t="shared" si="0"/>
        <v>44091</v>
      </c>
    </row>
    <row r="16" spans="2:11" x14ac:dyDescent="0.3">
      <c r="B16" s="6" t="s">
        <v>24</v>
      </c>
      <c r="C16" s="22">
        <v>45000</v>
      </c>
      <c r="D16" s="22"/>
      <c r="E16" s="22"/>
      <c r="F16" s="53">
        <v>810000</v>
      </c>
      <c r="G16" s="22"/>
      <c r="H16" s="12">
        <f t="shared" si="0"/>
        <v>44091</v>
      </c>
    </row>
    <row r="17" spans="1:8" x14ac:dyDescent="0.3">
      <c r="B17" s="6" t="s">
        <v>21</v>
      </c>
      <c r="C17" s="22">
        <v>270000</v>
      </c>
      <c r="D17" s="22"/>
      <c r="E17" s="22">
        <v>47000</v>
      </c>
      <c r="F17" s="22"/>
      <c r="G17" s="22"/>
      <c r="H17" s="12">
        <f t="shared" si="0"/>
        <v>44091</v>
      </c>
    </row>
    <row r="18" spans="1:8" x14ac:dyDescent="0.3">
      <c r="B18" s="6" t="s">
        <v>18</v>
      </c>
      <c r="C18" s="22"/>
      <c r="D18" s="22"/>
      <c r="E18" s="22"/>
      <c r="F18" s="22"/>
      <c r="G18" s="22"/>
      <c r="H18" s="12">
        <f t="shared" si="0"/>
        <v>44091</v>
      </c>
    </row>
    <row r="19" spans="1:8" x14ac:dyDescent="0.3">
      <c r="B19" s="6" t="s">
        <v>16</v>
      </c>
      <c r="C19" s="22">
        <v>378000</v>
      </c>
      <c r="D19" s="22"/>
      <c r="E19" s="22">
        <v>297000</v>
      </c>
      <c r="F19" s="22"/>
      <c r="G19" s="22"/>
      <c r="H19" s="12">
        <f t="shared" si="0"/>
        <v>44091</v>
      </c>
    </row>
    <row r="20" spans="1:8" x14ac:dyDescent="0.3">
      <c r="B20" s="50" t="s">
        <v>27</v>
      </c>
      <c r="C20" s="51">
        <f>SUBTOTAL(109,September17_2020[KSI_AGO])</f>
        <v>1930500</v>
      </c>
      <c r="D20" s="51">
        <f>SUBTOTAL(109,September17_2020[KSI_PMS])</f>
        <v>1231000</v>
      </c>
      <c r="E20" s="51">
        <f>SUBTOTAL(109,September17_2020[BUIPE_AGO])</f>
        <v>439000</v>
      </c>
      <c r="F20" s="51">
        <f>SUBTOTAL(109,September17_2020[BUIPE_PMS])</f>
        <v>1026000</v>
      </c>
      <c r="G20" s="51">
        <f>SUBTOTAL(109,September17_2020[AKOSOMBO_AGO])</f>
        <v>0</v>
      </c>
      <c r="H20" s="52"/>
    </row>
    <row r="21" spans="1:8" x14ac:dyDescent="0.3">
      <c r="B21" s="8"/>
      <c r="C21" s="24"/>
      <c r="D21" s="24"/>
      <c r="E21" s="24"/>
      <c r="F21" s="24"/>
      <c r="G21" s="24"/>
      <c r="H21"/>
    </row>
    <row r="22" spans="1:8" x14ac:dyDescent="0.3">
      <c r="B22" s="1" t="s">
        <v>6</v>
      </c>
      <c r="C22" s="1" t="s">
        <v>4</v>
      </c>
      <c r="D22" s="5">
        <f>SUMIF(September17_2020[[#Headers],[KSI_AGO]:[AKOSOMBO_AGO]],"*"&amp;C22,September17_2020[[#Totals],[KSI_AGO]:[AKOSOMBO_AGO]])</f>
        <v>2369500</v>
      </c>
      <c r="E22" s="1" t="s">
        <v>5</v>
      </c>
      <c r="F22" s="5">
        <f>SUMIF(September17_2020[[#Headers],[KSI_AGO]:[AKOSOMBO_AGO]],"*"&amp;E22,September17_2020[[#Totals],[KSI_AGO]:[AKOSOMBO_AGO]])</f>
        <v>2257000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600-000000000000}">
      <formula1>INDIRECT("BDC_List[BDC List]")</formula1>
    </dataValidation>
  </dataValidations>
  <pageMargins left="0.7" right="0.7" top="0.75" bottom="0.75" header="0.3" footer="0.3"/>
  <tableParts count="1">
    <tablePart r:id="rId1"/>
  </tableParts>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codeName="Sheet184"/>
  <dimension ref="A1:K32"/>
  <sheetViews>
    <sheetView topLeftCell="C1" workbookViewId="0">
      <selection activeCell="D10" sqref="D10"/>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44092</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44092</v>
      </c>
    </row>
    <row r="7" spans="2:11" x14ac:dyDescent="0.3">
      <c r="B7" s="6" t="s">
        <v>37</v>
      </c>
      <c r="C7" s="22"/>
      <c r="D7" s="22"/>
      <c r="E7" s="22"/>
      <c r="F7" s="22"/>
      <c r="G7" s="22"/>
      <c r="H7" s="67">
        <f>$G$3</f>
        <v>44092</v>
      </c>
    </row>
    <row r="8" spans="2:11" x14ac:dyDescent="0.3">
      <c r="B8" s="6" t="s">
        <v>17</v>
      </c>
      <c r="C8" s="22">
        <v>419000</v>
      </c>
      <c r="D8" s="22">
        <v>369000</v>
      </c>
      <c r="E8" s="22"/>
      <c r="F8" s="22">
        <v>50000</v>
      </c>
      <c r="G8" s="22"/>
      <c r="H8" s="12">
        <f t="shared" si="0"/>
        <v>44092</v>
      </c>
    </row>
    <row r="9" spans="2:11" ht="15.6" x14ac:dyDescent="0.3">
      <c r="B9" s="34" t="s">
        <v>0</v>
      </c>
      <c r="C9" s="60"/>
      <c r="D9" s="60">
        <v>324000</v>
      </c>
      <c r="E9" s="60"/>
      <c r="F9" s="60"/>
      <c r="G9" s="61"/>
      <c r="H9" s="12">
        <f t="shared" si="0"/>
        <v>44092</v>
      </c>
    </row>
    <row r="10" spans="2:11" x14ac:dyDescent="0.3">
      <c r="B10" s="6" t="s">
        <v>25</v>
      </c>
      <c r="C10" s="22">
        <v>54000</v>
      </c>
      <c r="D10" s="22">
        <v>108000</v>
      </c>
      <c r="E10" s="22"/>
      <c r="F10" s="22"/>
      <c r="G10" s="22">
        <v>482000</v>
      </c>
      <c r="H10" s="12">
        <f t="shared" si="0"/>
        <v>44092</v>
      </c>
    </row>
    <row r="11" spans="2:11" x14ac:dyDescent="0.3">
      <c r="B11" s="6" t="s">
        <v>15</v>
      </c>
      <c r="C11" s="22">
        <v>319000</v>
      </c>
      <c r="D11" s="22">
        <v>108000</v>
      </c>
      <c r="E11" s="22">
        <v>50000</v>
      </c>
      <c r="F11" s="48">
        <v>45000</v>
      </c>
      <c r="G11" s="22"/>
      <c r="H11" s="12">
        <f t="shared" si="0"/>
        <v>44092</v>
      </c>
    </row>
    <row r="12" spans="2:11" x14ac:dyDescent="0.3">
      <c r="B12" s="6" t="s">
        <v>26</v>
      </c>
      <c r="C12" s="22">
        <v>324000</v>
      </c>
      <c r="D12" s="22"/>
      <c r="E12" s="22">
        <v>200000</v>
      </c>
      <c r="F12" s="22"/>
      <c r="G12" s="22"/>
      <c r="H12" s="12">
        <f t="shared" si="0"/>
        <v>44092</v>
      </c>
    </row>
    <row r="13" spans="2:11" x14ac:dyDescent="0.3">
      <c r="B13" s="6" t="s">
        <v>22</v>
      </c>
      <c r="C13" s="23"/>
      <c r="D13" s="23">
        <v>361000</v>
      </c>
      <c r="E13" s="23"/>
      <c r="F13" s="22"/>
      <c r="G13" s="23"/>
      <c r="H13" s="12">
        <f t="shared" si="0"/>
        <v>44092</v>
      </c>
      <c r="K13" s="4"/>
    </row>
    <row r="14" spans="2:11" x14ac:dyDescent="0.3">
      <c r="B14" s="6" t="s">
        <v>19</v>
      </c>
      <c r="C14" s="22"/>
      <c r="D14" s="22"/>
      <c r="E14" s="22"/>
      <c r="F14" s="22"/>
      <c r="G14" s="22"/>
      <c r="H14" s="12">
        <f t="shared" si="0"/>
        <v>44092</v>
      </c>
    </row>
    <row r="15" spans="2:11" x14ac:dyDescent="0.3">
      <c r="B15" s="6" t="s">
        <v>14</v>
      </c>
      <c r="C15" s="22">
        <v>270000</v>
      </c>
      <c r="D15" s="22"/>
      <c r="E15" s="22"/>
      <c r="F15" s="22"/>
      <c r="G15" s="22"/>
      <c r="H15" s="12">
        <f t="shared" si="0"/>
        <v>44092</v>
      </c>
    </row>
    <row r="16" spans="2:11" x14ac:dyDescent="0.3">
      <c r="B16" s="6" t="s">
        <v>24</v>
      </c>
      <c r="C16" s="22">
        <v>108000</v>
      </c>
      <c r="D16" s="22">
        <v>527000</v>
      </c>
      <c r="E16" s="22"/>
      <c r="F16" s="53">
        <v>972000</v>
      </c>
      <c r="G16" s="22"/>
      <c r="H16" s="12">
        <f t="shared" si="0"/>
        <v>44092</v>
      </c>
    </row>
    <row r="17" spans="1:8" x14ac:dyDescent="0.3">
      <c r="B17" s="6" t="s">
        <v>21</v>
      </c>
      <c r="C17" s="22">
        <v>324000</v>
      </c>
      <c r="D17" s="22"/>
      <c r="E17" s="22">
        <v>100000</v>
      </c>
      <c r="F17" s="22"/>
      <c r="G17" s="22"/>
      <c r="H17" s="12">
        <f t="shared" si="0"/>
        <v>44092</v>
      </c>
    </row>
    <row r="18" spans="1:8" x14ac:dyDescent="0.3">
      <c r="B18" s="6" t="s">
        <v>18</v>
      </c>
      <c r="C18" s="22"/>
      <c r="D18" s="22"/>
      <c r="E18" s="22"/>
      <c r="F18" s="22"/>
      <c r="G18" s="22"/>
      <c r="H18" s="12">
        <f t="shared" si="0"/>
        <v>44092</v>
      </c>
    </row>
    <row r="19" spans="1:8" x14ac:dyDescent="0.3">
      <c r="B19" s="6" t="s">
        <v>16</v>
      </c>
      <c r="C19" s="22">
        <v>378000</v>
      </c>
      <c r="D19" s="22"/>
      <c r="E19" s="22">
        <v>54000</v>
      </c>
      <c r="F19" s="22"/>
      <c r="G19" s="22"/>
      <c r="H19" s="12">
        <f t="shared" si="0"/>
        <v>44092</v>
      </c>
    </row>
    <row r="20" spans="1:8" x14ac:dyDescent="0.3">
      <c r="B20" s="50" t="s">
        <v>27</v>
      </c>
      <c r="C20" s="51">
        <f>SUBTOTAL(109,September18_2020[KSI_AGO])</f>
        <v>2196000</v>
      </c>
      <c r="D20" s="51">
        <f>SUBTOTAL(109,September18_2020[KSI_PMS])</f>
        <v>1797000</v>
      </c>
      <c r="E20" s="51">
        <f>SUBTOTAL(109,September18_2020[BUIPE_AGO])</f>
        <v>404000</v>
      </c>
      <c r="F20" s="51">
        <f>SUBTOTAL(109,September18_2020[BUIPE_PMS])</f>
        <v>1067000</v>
      </c>
      <c r="G20" s="51">
        <f>SUBTOTAL(109,September18_2020[AKOSOMBO_AGO])</f>
        <v>482000</v>
      </c>
      <c r="H20" s="52"/>
    </row>
    <row r="21" spans="1:8" x14ac:dyDescent="0.3">
      <c r="B21" s="8"/>
      <c r="C21" s="24"/>
      <c r="D21" s="24"/>
      <c r="E21" s="24"/>
      <c r="F21" s="24"/>
      <c r="G21" s="24"/>
      <c r="H21"/>
    </row>
    <row r="22" spans="1:8" x14ac:dyDescent="0.3">
      <c r="B22" s="1" t="s">
        <v>6</v>
      </c>
      <c r="C22" s="1" t="s">
        <v>4</v>
      </c>
      <c r="D22" s="5">
        <f>SUMIF(September18_2020[[#Headers],[KSI_AGO]:[AKOSOMBO_AGO]],"*"&amp;C22,September18_2020[[#Totals],[KSI_AGO]:[AKOSOMBO_AGO]])</f>
        <v>3082000</v>
      </c>
      <c r="E22" s="1" t="s">
        <v>5</v>
      </c>
      <c r="F22" s="5">
        <f>SUMIF(September18_2020[[#Headers],[KSI_AGO]:[AKOSOMBO_AGO]],"*"&amp;E22,September18_2020[[#Totals],[KSI_AGO]:[AKOSOMBO_AGO]])</f>
        <v>2864000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700-000000000000}">
      <formula1>INDIRECT("BDC_List[BDC List]")</formula1>
    </dataValidation>
  </dataValidations>
  <pageMargins left="0.7" right="0.7" top="0.75" bottom="0.75" header="0.3" footer="0.3"/>
  <tableParts count="1">
    <tablePart r:id="rId1"/>
  </tableParts>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codeName="Sheet185"/>
  <dimension ref="A1:K32"/>
  <sheetViews>
    <sheetView topLeftCell="D1" workbookViewId="0">
      <selection activeCell="F18" sqref="F18"/>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1.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44096</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44096</v>
      </c>
    </row>
    <row r="7" spans="2:11" x14ac:dyDescent="0.3">
      <c r="B7" s="6" t="s">
        <v>37</v>
      </c>
      <c r="C7" s="22"/>
      <c r="D7" s="22"/>
      <c r="E7" s="22"/>
      <c r="F7" s="22"/>
      <c r="G7" s="22"/>
      <c r="H7" s="67">
        <f>$G$3</f>
        <v>44096</v>
      </c>
    </row>
    <row r="8" spans="2:11" x14ac:dyDescent="0.3">
      <c r="B8" s="6" t="s">
        <v>17</v>
      </c>
      <c r="C8" s="22">
        <v>365000</v>
      </c>
      <c r="D8" s="22">
        <v>256500</v>
      </c>
      <c r="E8" s="22"/>
      <c r="F8" s="22"/>
      <c r="G8" s="22"/>
      <c r="H8" s="12">
        <f t="shared" si="0"/>
        <v>44096</v>
      </c>
    </row>
    <row r="9" spans="2:11" ht="15.6" x14ac:dyDescent="0.3">
      <c r="B9" s="34" t="s">
        <v>0</v>
      </c>
      <c r="C9" s="60"/>
      <c r="D9" s="60">
        <v>269500</v>
      </c>
      <c r="E9" s="60"/>
      <c r="F9" s="60"/>
      <c r="G9" s="61"/>
      <c r="H9" s="12">
        <f t="shared" si="0"/>
        <v>44096</v>
      </c>
    </row>
    <row r="10" spans="2:11" x14ac:dyDescent="0.3">
      <c r="B10" s="6" t="s">
        <v>25</v>
      </c>
      <c r="C10" s="22">
        <v>376500</v>
      </c>
      <c r="D10" s="22">
        <v>211500</v>
      </c>
      <c r="E10" s="22">
        <v>594000</v>
      </c>
      <c r="F10" s="22"/>
      <c r="G10" s="22"/>
      <c r="H10" s="12">
        <f t="shared" si="0"/>
        <v>44096</v>
      </c>
    </row>
    <row r="11" spans="2:11" x14ac:dyDescent="0.3">
      <c r="B11" s="6" t="s">
        <v>15</v>
      </c>
      <c r="C11" s="22">
        <v>261000</v>
      </c>
      <c r="D11" s="22">
        <v>162000</v>
      </c>
      <c r="E11" s="22"/>
      <c r="F11" s="48"/>
      <c r="G11" s="22"/>
      <c r="H11" s="12">
        <f t="shared" si="0"/>
        <v>44096</v>
      </c>
    </row>
    <row r="12" spans="2:11" x14ac:dyDescent="0.3">
      <c r="B12" s="6" t="s">
        <v>26</v>
      </c>
      <c r="C12" s="22">
        <v>216000</v>
      </c>
      <c r="D12" s="22"/>
      <c r="E12" s="22">
        <v>50000</v>
      </c>
      <c r="F12" s="22"/>
      <c r="G12" s="22"/>
      <c r="H12" s="12">
        <f t="shared" si="0"/>
        <v>44096</v>
      </c>
    </row>
    <row r="13" spans="2:11" x14ac:dyDescent="0.3">
      <c r="B13" s="6" t="s">
        <v>22</v>
      </c>
      <c r="C13" s="23"/>
      <c r="D13" s="23">
        <v>306000</v>
      </c>
      <c r="E13" s="23"/>
      <c r="F13" s="22"/>
      <c r="G13" s="23"/>
      <c r="H13" s="12">
        <f t="shared" si="0"/>
        <v>44096</v>
      </c>
      <c r="K13" s="4"/>
    </row>
    <row r="14" spans="2:11" x14ac:dyDescent="0.3">
      <c r="B14" s="6" t="s">
        <v>19</v>
      </c>
      <c r="C14" s="22"/>
      <c r="D14" s="22"/>
      <c r="E14" s="22"/>
      <c r="F14" s="22"/>
      <c r="G14" s="22"/>
      <c r="H14" s="12">
        <f t="shared" si="0"/>
        <v>44096</v>
      </c>
    </row>
    <row r="15" spans="2:11" x14ac:dyDescent="0.3">
      <c r="B15" s="6" t="s">
        <v>14</v>
      </c>
      <c r="C15" s="22">
        <v>324000</v>
      </c>
      <c r="D15" s="22"/>
      <c r="E15" s="22"/>
      <c r="F15" s="22"/>
      <c r="G15" s="22"/>
      <c r="H15" s="12">
        <f t="shared" si="0"/>
        <v>44096</v>
      </c>
    </row>
    <row r="16" spans="2:11" x14ac:dyDescent="0.3">
      <c r="B16" s="6" t="s">
        <v>24</v>
      </c>
      <c r="C16" s="22">
        <v>50000</v>
      </c>
      <c r="D16" s="22">
        <v>420000</v>
      </c>
      <c r="E16" s="22"/>
      <c r="F16" s="53"/>
      <c r="G16" s="22"/>
      <c r="H16" s="12">
        <f t="shared" si="0"/>
        <v>44096</v>
      </c>
    </row>
    <row r="17" spans="1:8" x14ac:dyDescent="0.3">
      <c r="B17" s="6" t="s">
        <v>21</v>
      </c>
      <c r="C17" s="22">
        <v>90000</v>
      </c>
      <c r="D17" s="22"/>
      <c r="E17" s="22"/>
      <c r="F17" s="22"/>
      <c r="G17" s="22"/>
      <c r="H17" s="12">
        <f t="shared" si="0"/>
        <v>44096</v>
      </c>
    </row>
    <row r="18" spans="1:8" x14ac:dyDescent="0.3">
      <c r="B18" s="6" t="s">
        <v>18</v>
      </c>
      <c r="C18" s="22"/>
      <c r="D18" s="22"/>
      <c r="E18" s="22"/>
      <c r="F18" s="22"/>
      <c r="G18" s="22"/>
      <c r="H18" s="12">
        <f t="shared" si="0"/>
        <v>44096</v>
      </c>
    </row>
    <row r="19" spans="1:8" x14ac:dyDescent="0.3">
      <c r="B19" s="6" t="s">
        <v>16</v>
      </c>
      <c r="C19" s="22">
        <v>405500</v>
      </c>
      <c r="D19" s="22">
        <v>162000</v>
      </c>
      <c r="E19" s="22"/>
      <c r="F19" s="22">
        <v>324000</v>
      </c>
      <c r="G19" s="22"/>
      <c r="H19" s="12">
        <f t="shared" si="0"/>
        <v>44096</v>
      </c>
    </row>
    <row r="20" spans="1:8" x14ac:dyDescent="0.3">
      <c r="B20" s="50" t="s">
        <v>27</v>
      </c>
      <c r="C20" s="51">
        <f>SUBTOTAL(109,September22_2020[KSI_AGO])</f>
        <v>2088000</v>
      </c>
      <c r="D20" s="51">
        <f>SUBTOTAL(109,September22_2020[KSI_PMS])</f>
        <v>1787500</v>
      </c>
      <c r="E20" s="51">
        <f>SUBTOTAL(109,September22_2020[BUIPE_AGO])</f>
        <v>644000</v>
      </c>
      <c r="F20" s="51">
        <f>SUBTOTAL(109,September22_2020[BUIPE_PMS])</f>
        <v>324000</v>
      </c>
      <c r="G20" s="51">
        <f>SUBTOTAL(109,September22_2020[AKOSOMBO_AGO])</f>
        <v>0</v>
      </c>
      <c r="H20" s="52"/>
    </row>
    <row r="21" spans="1:8" x14ac:dyDescent="0.3">
      <c r="B21" s="8"/>
      <c r="C21" s="24"/>
      <c r="D21" s="24"/>
      <c r="E21" s="24"/>
      <c r="F21" s="24"/>
      <c r="G21" s="24"/>
      <c r="H21"/>
    </row>
    <row r="22" spans="1:8" x14ac:dyDescent="0.3">
      <c r="B22" s="1" t="s">
        <v>6</v>
      </c>
      <c r="C22" s="1" t="s">
        <v>4</v>
      </c>
      <c r="D22" s="5">
        <f>SUMIF(September22_2020[[#Headers],[KSI_AGO]:[AKOSOMBO_AGO]],"*"&amp;C22,September22_2020[[#Totals],[KSI_AGO]:[AKOSOMBO_AGO]])</f>
        <v>2732000</v>
      </c>
      <c r="E22" s="1" t="s">
        <v>5</v>
      </c>
      <c r="F22" s="5">
        <f>SUMIF(September22_2020[[#Headers],[KSI_AGO]:[AKOSOMBO_AGO]],"*"&amp;E22,September22_2020[[#Totals],[KSI_AGO]:[AKOSOMBO_AGO]])</f>
        <v>2111500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800-000000000000}">
      <formula1>INDIRECT("BDC_List[BDC List]")</formula1>
    </dataValidation>
  </dataValidations>
  <pageMargins left="0.7" right="0.7" top="0.75" bottom="0.75" header="0.3" footer="0.3"/>
  <tableParts count="1">
    <tablePart r:id="rId1"/>
  </tableParts>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codeName="Sheet186"/>
  <dimension ref="A1:K32"/>
  <sheetViews>
    <sheetView topLeftCell="C1" workbookViewId="0">
      <selection activeCell="E15" sqref="E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2.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44097</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44097</v>
      </c>
    </row>
    <row r="7" spans="2:11" x14ac:dyDescent="0.3">
      <c r="B7" s="6" t="s">
        <v>37</v>
      </c>
      <c r="C7" s="22"/>
      <c r="D7" s="22"/>
      <c r="E7" s="22"/>
      <c r="F7" s="22"/>
      <c r="G7" s="22"/>
      <c r="H7" s="67">
        <f>$G$3</f>
        <v>44097</v>
      </c>
    </row>
    <row r="8" spans="2:11" x14ac:dyDescent="0.3">
      <c r="B8" s="6" t="s">
        <v>17</v>
      </c>
      <c r="C8" s="22">
        <v>747000</v>
      </c>
      <c r="D8" s="22">
        <v>378000</v>
      </c>
      <c r="E8" s="22"/>
      <c r="F8" s="22"/>
      <c r="G8" s="22"/>
      <c r="H8" s="12">
        <f t="shared" si="0"/>
        <v>44097</v>
      </c>
    </row>
    <row r="9" spans="2:11" ht="15.6" x14ac:dyDescent="0.3">
      <c r="B9" s="34" t="s">
        <v>0</v>
      </c>
      <c r="C9" s="60"/>
      <c r="D9" s="60">
        <v>369000</v>
      </c>
      <c r="E9" s="60"/>
      <c r="F9" s="60"/>
      <c r="G9" s="61"/>
      <c r="H9" s="12">
        <f t="shared" si="0"/>
        <v>44097</v>
      </c>
    </row>
    <row r="10" spans="2:11" x14ac:dyDescent="0.3">
      <c r="B10" s="6" t="s">
        <v>25</v>
      </c>
      <c r="C10" s="22">
        <v>648000</v>
      </c>
      <c r="D10" s="22">
        <v>270000</v>
      </c>
      <c r="E10" s="22">
        <v>204000</v>
      </c>
      <c r="F10" s="22"/>
      <c r="G10" s="22">
        <v>324000</v>
      </c>
      <c r="H10" s="12">
        <f t="shared" si="0"/>
        <v>44097</v>
      </c>
    </row>
    <row r="11" spans="2:11" x14ac:dyDescent="0.3">
      <c r="B11" s="6" t="s">
        <v>15</v>
      </c>
      <c r="C11" s="22">
        <v>162000</v>
      </c>
      <c r="D11" s="22">
        <v>378000</v>
      </c>
      <c r="E11" s="22"/>
      <c r="F11" s="48"/>
      <c r="G11" s="22"/>
      <c r="H11" s="12">
        <f t="shared" si="0"/>
        <v>44097</v>
      </c>
    </row>
    <row r="12" spans="2:11" x14ac:dyDescent="0.3">
      <c r="B12" s="6" t="s">
        <v>26</v>
      </c>
      <c r="C12" s="22">
        <v>269000</v>
      </c>
      <c r="D12" s="22"/>
      <c r="E12" s="22"/>
      <c r="F12" s="22"/>
      <c r="G12" s="22"/>
      <c r="H12" s="12">
        <f t="shared" si="0"/>
        <v>44097</v>
      </c>
    </row>
    <row r="13" spans="2:11" x14ac:dyDescent="0.3">
      <c r="B13" s="6" t="s">
        <v>22</v>
      </c>
      <c r="C13" s="23"/>
      <c r="D13" s="23">
        <v>108000</v>
      </c>
      <c r="E13" s="23"/>
      <c r="F13" s="22"/>
      <c r="G13" s="23"/>
      <c r="H13" s="12">
        <f t="shared" si="0"/>
        <v>44097</v>
      </c>
      <c r="K13" s="4"/>
    </row>
    <row r="14" spans="2:11" x14ac:dyDescent="0.3">
      <c r="B14" s="6" t="s">
        <v>19</v>
      </c>
      <c r="C14" s="22"/>
      <c r="D14" s="22"/>
      <c r="E14" s="22"/>
      <c r="F14" s="22"/>
      <c r="G14" s="22"/>
      <c r="H14" s="12">
        <f t="shared" si="0"/>
        <v>44097</v>
      </c>
    </row>
    <row r="15" spans="2:11" x14ac:dyDescent="0.3">
      <c r="B15" s="6" t="s">
        <v>14</v>
      </c>
      <c r="C15" s="22">
        <v>324000</v>
      </c>
      <c r="D15" s="22"/>
      <c r="E15" s="22"/>
      <c r="F15" s="22"/>
      <c r="G15" s="22"/>
      <c r="H15" s="12">
        <f t="shared" si="0"/>
        <v>44097</v>
      </c>
    </row>
    <row r="16" spans="2:11" x14ac:dyDescent="0.3">
      <c r="B16" s="6" t="s">
        <v>24</v>
      </c>
      <c r="C16" s="22"/>
      <c r="D16" s="22">
        <v>50000</v>
      </c>
      <c r="E16" s="22"/>
      <c r="F16" s="53">
        <v>216000</v>
      </c>
      <c r="G16" s="22"/>
      <c r="H16" s="12">
        <f t="shared" si="0"/>
        <v>44097</v>
      </c>
    </row>
    <row r="17" spans="1:8" x14ac:dyDescent="0.3">
      <c r="B17" s="6" t="s">
        <v>21</v>
      </c>
      <c r="C17" s="22"/>
      <c r="D17" s="22"/>
      <c r="E17" s="22"/>
      <c r="F17" s="22"/>
      <c r="G17" s="22"/>
      <c r="H17" s="12">
        <f t="shared" si="0"/>
        <v>44097</v>
      </c>
    </row>
    <row r="18" spans="1:8" x14ac:dyDescent="0.3">
      <c r="B18" s="6" t="s">
        <v>18</v>
      </c>
      <c r="C18" s="22"/>
      <c r="D18" s="22"/>
      <c r="E18" s="22"/>
      <c r="F18" s="22"/>
      <c r="G18" s="22"/>
      <c r="H18" s="12">
        <f t="shared" si="0"/>
        <v>44097</v>
      </c>
    </row>
    <row r="19" spans="1:8" x14ac:dyDescent="0.3">
      <c r="B19" s="6" t="s">
        <v>16</v>
      </c>
      <c r="C19" s="22">
        <v>54000</v>
      </c>
      <c r="D19" s="22">
        <v>162000</v>
      </c>
      <c r="E19" s="22"/>
      <c r="F19" s="22">
        <v>108000</v>
      </c>
      <c r="G19" s="22"/>
      <c r="H19" s="12">
        <f t="shared" si="0"/>
        <v>44097</v>
      </c>
    </row>
    <row r="20" spans="1:8" x14ac:dyDescent="0.3">
      <c r="B20" s="50" t="s">
        <v>27</v>
      </c>
      <c r="C20" s="51">
        <f>SUBTOTAL(109,September23_2020[KSI_AGO])</f>
        <v>2204000</v>
      </c>
      <c r="D20" s="51">
        <f>SUBTOTAL(109,September23_2020[KSI_PMS])</f>
        <v>1715000</v>
      </c>
      <c r="E20" s="51">
        <f>SUBTOTAL(109,September23_2020[BUIPE_AGO])</f>
        <v>204000</v>
      </c>
      <c r="F20" s="51">
        <f>SUBTOTAL(109,September23_2020[BUIPE_PMS])</f>
        <v>324000</v>
      </c>
      <c r="G20" s="51">
        <f>SUBTOTAL(109,September23_2020[AKOSOMBO_AGO])</f>
        <v>324000</v>
      </c>
      <c r="H20" s="52"/>
    </row>
    <row r="21" spans="1:8" x14ac:dyDescent="0.3">
      <c r="B21" s="8"/>
      <c r="C21" s="24"/>
      <c r="D21" s="24"/>
      <c r="E21" s="24"/>
      <c r="F21" s="24"/>
      <c r="G21" s="24"/>
      <c r="H21"/>
    </row>
    <row r="22" spans="1:8" x14ac:dyDescent="0.3">
      <c r="B22" s="1" t="s">
        <v>6</v>
      </c>
      <c r="C22" s="1" t="s">
        <v>4</v>
      </c>
      <c r="D22" s="5">
        <f>SUMIF(September23_2020[[#Headers],[KSI_AGO]:[AKOSOMBO_AGO]],"*"&amp;C22,September23_2020[[#Totals],[KSI_AGO]:[AKOSOMBO_AGO]])</f>
        <v>2732000</v>
      </c>
      <c r="E22" s="1" t="s">
        <v>5</v>
      </c>
      <c r="F22" s="5">
        <f>SUMIF(September23_2020[[#Headers],[KSI_AGO]:[AKOSOMBO_AGO]],"*"&amp;E22,September23_2020[[#Totals],[KSI_AGO]:[AKOSOMBO_AGO]])</f>
        <v>2039000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900-000000000000}">
      <formula1>INDIRECT("BDC_List[BDC List]")</formula1>
    </dataValidation>
  </dataValidations>
  <pageMargins left="0.7" right="0.7" top="0.75" bottom="0.75" header="0.3" footer="0.3"/>
  <tableParts count="1">
    <tablePart r:id="rId1"/>
  </tableParts>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codeName="Sheet187"/>
  <dimension ref="A1:K32"/>
  <sheetViews>
    <sheetView workbookViewId="0">
      <selection activeCell="C21" sqref="C21"/>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44098</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44098</v>
      </c>
    </row>
    <row r="7" spans="2:11" x14ac:dyDescent="0.3">
      <c r="B7" s="6" t="s">
        <v>37</v>
      </c>
      <c r="C7" s="22"/>
      <c r="D7" s="22"/>
      <c r="E7" s="22"/>
      <c r="F7" s="22"/>
      <c r="G7" s="22"/>
      <c r="H7" s="67">
        <f>$G$3</f>
        <v>44098</v>
      </c>
    </row>
    <row r="8" spans="2:11" x14ac:dyDescent="0.3">
      <c r="B8" s="6" t="s">
        <v>17</v>
      </c>
      <c r="C8" s="22">
        <v>1188000</v>
      </c>
      <c r="D8" s="22">
        <v>477000</v>
      </c>
      <c r="E8" s="22"/>
      <c r="F8" s="22"/>
      <c r="G8" s="22"/>
      <c r="H8" s="12">
        <f t="shared" si="0"/>
        <v>44098</v>
      </c>
    </row>
    <row r="9" spans="2:11" ht="15.6" x14ac:dyDescent="0.3">
      <c r="B9" s="34" t="s">
        <v>0</v>
      </c>
      <c r="C9" s="60"/>
      <c r="D9" s="60">
        <v>108000</v>
      </c>
      <c r="E9" s="60"/>
      <c r="F9" s="60"/>
      <c r="G9" s="61"/>
      <c r="H9" s="12">
        <f t="shared" si="0"/>
        <v>44098</v>
      </c>
    </row>
    <row r="10" spans="2:11" x14ac:dyDescent="0.3">
      <c r="B10" s="6" t="s">
        <v>25</v>
      </c>
      <c r="C10" s="22">
        <v>702000</v>
      </c>
      <c r="D10" s="22">
        <v>419000</v>
      </c>
      <c r="E10" s="22"/>
      <c r="F10" s="22"/>
      <c r="G10" s="22">
        <v>54000</v>
      </c>
      <c r="H10" s="12">
        <f t="shared" si="0"/>
        <v>44098</v>
      </c>
    </row>
    <row r="11" spans="2:11" x14ac:dyDescent="0.3">
      <c r="B11" s="6" t="s">
        <v>15</v>
      </c>
      <c r="C11" s="22"/>
      <c r="D11" s="22">
        <v>324000</v>
      </c>
      <c r="E11" s="22"/>
      <c r="F11" s="48"/>
      <c r="G11" s="22"/>
      <c r="H11" s="12">
        <f t="shared" si="0"/>
        <v>44098</v>
      </c>
    </row>
    <row r="12" spans="2:11" x14ac:dyDescent="0.3">
      <c r="B12" s="6" t="s">
        <v>26</v>
      </c>
      <c r="C12" s="22">
        <v>108000</v>
      </c>
      <c r="D12" s="22"/>
      <c r="E12" s="22"/>
      <c r="F12" s="22"/>
      <c r="G12" s="22"/>
      <c r="H12" s="12">
        <f t="shared" si="0"/>
        <v>44098</v>
      </c>
    </row>
    <row r="13" spans="2:11" x14ac:dyDescent="0.3">
      <c r="B13" s="6" t="s">
        <v>22</v>
      </c>
      <c r="C13" s="23"/>
      <c r="D13" s="23">
        <v>216000</v>
      </c>
      <c r="E13" s="23"/>
      <c r="F13" s="22"/>
      <c r="G13" s="23"/>
      <c r="H13" s="12">
        <f t="shared" si="0"/>
        <v>44098</v>
      </c>
      <c r="K13" s="4"/>
    </row>
    <row r="14" spans="2:11" x14ac:dyDescent="0.3">
      <c r="B14" s="6" t="s">
        <v>19</v>
      </c>
      <c r="C14" s="22"/>
      <c r="D14" s="22"/>
      <c r="E14" s="22"/>
      <c r="F14" s="22"/>
      <c r="G14" s="22"/>
      <c r="H14" s="12">
        <f t="shared" si="0"/>
        <v>44098</v>
      </c>
    </row>
    <row r="15" spans="2:11" x14ac:dyDescent="0.3">
      <c r="B15" s="6" t="s">
        <v>14</v>
      </c>
      <c r="C15" s="22">
        <v>324000</v>
      </c>
      <c r="D15" s="22">
        <v>432000</v>
      </c>
      <c r="E15" s="22"/>
      <c r="F15" s="22">
        <v>455000</v>
      </c>
      <c r="G15" s="22"/>
      <c r="H15" s="12">
        <f t="shared" si="0"/>
        <v>44098</v>
      </c>
    </row>
    <row r="16" spans="2:11" x14ac:dyDescent="0.3">
      <c r="B16" s="6" t="s">
        <v>24</v>
      </c>
      <c r="C16" s="22"/>
      <c r="D16" s="22"/>
      <c r="E16" s="22"/>
      <c r="F16" s="49"/>
      <c r="G16" s="22"/>
      <c r="H16" s="12">
        <f t="shared" si="0"/>
        <v>44098</v>
      </c>
    </row>
    <row r="17" spans="1:8" x14ac:dyDescent="0.3">
      <c r="B17" s="6" t="s">
        <v>21</v>
      </c>
      <c r="C17" s="22">
        <v>257000</v>
      </c>
      <c r="D17" s="22"/>
      <c r="E17" s="22"/>
      <c r="F17" s="22"/>
      <c r="G17" s="22"/>
      <c r="H17" s="12">
        <f t="shared" si="0"/>
        <v>44098</v>
      </c>
    </row>
    <row r="18" spans="1:8" x14ac:dyDescent="0.3">
      <c r="B18" s="6" t="s">
        <v>18</v>
      </c>
      <c r="C18" s="22"/>
      <c r="D18" s="22"/>
      <c r="E18" s="22"/>
      <c r="F18" s="22"/>
      <c r="G18" s="22"/>
      <c r="H18" s="12">
        <f t="shared" si="0"/>
        <v>44098</v>
      </c>
    </row>
    <row r="19" spans="1:8" x14ac:dyDescent="0.3">
      <c r="B19" s="6" t="s">
        <v>16</v>
      </c>
      <c r="C19" s="22"/>
      <c r="D19" s="22"/>
      <c r="E19" s="22"/>
      <c r="F19" s="22"/>
      <c r="G19" s="22"/>
      <c r="H19" s="12">
        <f t="shared" si="0"/>
        <v>44098</v>
      </c>
    </row>
    <row r="20" spans="1:8" x14ac:dyDescent="0.3">
      <c r="B20" s="50" t="s">
        <v>27</v>
      </c>
      <c r="C20" s="51">
        <f>SUBTOTAL(109,September24_2020[KSI_AGO])</f>
        <v>2579000</v>
      </c>
      <c r="D20" s="51">
        <f>SUBTOTAL(109,September24_2020[KSI_PMS])</f>
        <v>1976000</v>
      </c>
      <c r="E20" s="51">
        <f>SUBTOTAL(109,September24_2020[BUIPE_AGO])</f>
        <v>0</v>
      </c>
      <c r="F20" s="51">
        <f>SUBTOTAL(109,September24_2020[BUIPE_PMS])</f>
        <v>455000</v>
      </c>
      <c r="G20" s="51">
        <f>SUBTOTAL(109,September24_2020[AKOSOMBO_AGO])</f>
        <v>54000</v>
      </c>
      <c r="H20" s="52"/>
    </row>
    <row r="21" spans="1:8" x14ac:dyDescent="0.3">
      <c r="B21" s="8"/>
      <c r="C21" s="24"/>
      <c r="D21" s="24"/>
      <c r="E21" s="24"/>
      <c r="F21" s="24"/>
      <c r="G21" s="24"/>
      <c r="H21"/>
    </row>
    <row r="22" spans="1:8" x14ac:dyDescent="0.3">
      <c r="B22" s="1" t="s">
        <v>6</v>
      </c>
      <c r="C22" s="1" t="s">
        <v>4</v>
      </c>
      <c r="D22" s="5">
        <f>SUMIF(September24_2020[[#Headers],[KSI_AGO]:[AKOSOMBO_AGO]],"*"&amp;C22,September24_2020[[#Totals],[KSI_AGO]:[AKOSOMBO_AGO]])</f>
        <v>2633000</v>
      </c>
      <c r="E22" s="1" t="s">
        <v>5</v>
      </c>
      <c r="F22" s="5">
        <f>SUMIF(September24_2020[[#Headers],[KSI_AGO]:[AKOSOMBO_AGO]],"*"&amp;E22,September24_2020[[#Totals],[KSI_AGO]:[AKOSOMBO_AGO]])</f>
        <v>2431000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D1BA16BD-D079-4A72-8934-E85FB57BF874}">
      <formula1>INDIRECT("BDC_List[BDC List]")</formula1>
    </dataValidation>
  </dataValidations>
  <pageMargins left="0.7" right="0.7" top="0.75" bottom="0.75" header="0.3" footer="0.3"/>
  <legacyDrawing r:id="rId1"/>
  <tableParts count="1">
    <tablePart r:id="rId2"/>
  </tableParts>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codeName="Sheet188"/>
  <dimension ref="A1:K32"/>
  <sheetViews>
    <sheetView topLeftCell="C1" workbookViewId="0">
      <selection activeCell="D15" sqref="D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44099</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44099</v>
      </c>
    </row>
    <row r="7" spans="2:11" x14ac:dyDescent="0.3">
      <c r="B7" s="6" t="s">
        <v>37</v>
      </c>
      <c r="C7" s="22"/>
      <c r="D7" s="22"/>
      <c r="E7" s="22"/>
      <c r="F7" s="22"/>
      <c r="G7" s="22"/>
      <c r="H7" s="67">
        <f>$G$3</f>
        <v>44099</v>
      </c>
    </row>
    <row r="8" spans="2:11" x14ac:dyDescent="0.3">
      <c r="B8" s="6" t="s">
        <v>17</v>
      </c>
      <c r="C8" s="22">
        <v>583000</v>
      </c>
      <c r="D8" s="22">
        <v>401000</v>
      </c>
      <c r="E8" s="22"/>
      <c r="F8" s="22"/>
      <c r="G8" s="22"/>
      <c r="H8" s="12">
        <f t="shared" si="0"/>
        <v>44099</v>
      </c>
    </row>
    <row r="9" spans="2:11" ht="15.6" x14ac:dyDescent="0.3">
      <c r="B9" s="34" t="s">
        <v>0</v>
      </c>
      <c r="C9" s="60"/>
      <c r="D9" s="60"/>
      <c r="E9" s="60"/>
      <c r="F9" s="60"/>
      <c r="G9" s="61"/>
      <c r="H9" s="12">
        <f t="shared" si="0"/>
        <v>44099</v>
      </c>
    </row>
    <row r="10" spans="2:11" x14ac:dyDescent="0.3">
      <c r="B10" s="6" t="s">
        <v>25</v>
      </c>
      <c r="C10" s="22">
        <v>99000</v>
      </c>
      <c r="D10" s="22"/>
      <c r="E10" s="22">
        <v>50000</v>
      </c>
      <c r="F10" s="22"/>
      <c r="G10" s="22"/>
      <c r="H10" s="12">
        <f t="shared" si="0"/>
        <v>44099</v>
      </c>
    </row>
    <row r="11" spans="2:11" x14ac:dyDescent="0.3">
      <c r="B11" s="6" t="s">
        <v>15</v>
      </c>
      <c r="C11" s="22">
        <v>162000</v>
      </c>
      <c r="D11" s="22">
        <v>324000</v>
      </c>
      <c r="E11" s="22"/>
      <c r="F11" s="48">
        <v>50000</v>
      </c>
      <c r="G11" s="22"/>
      <c r="H11" s="12">
        <f t="shared" si="0"/>
        <v>44099</v>
      </c>
    </row>
    <row r="12" spans="2:11" x14ac:dyDescent="0.3">
      <c r="B12" s="6" t="s">
        <v>26</v>
      </c>
      <c r="C12" s="22"/>
      <c r="D12" s="22"/>
      <c r="E12" s="22"/>
      <c r="F12" s="22"/>
      <c r="G12" s="22"/>
      <c r="H12" s="12">
        <f t="shared" si="0"/>
        <v>44099</v>
      </c>
    </row>
    <row r="13" spans="2:11" x14ac:dyDescent="0.3">
      <c r="B13" s="6" t="s">
        <v>22</v>
      </c>
      <c r="C13" s="23"/>
      <c r="D13" s="23">
        <v>477000</v>
      </c>
      <c r="E13" s="23"/>
      <c r="F13" s="22"/>
      <c r="G13" s="23"/>
      <c r="H13" s="12">
        <f t="shared" si="0"/>
        <v>44099</v>
      </c>
      <c r="K13" s="4"/>
    </row>
    <row r="14" spans="2:11" x14ac:dyDescent="0.3">
      <c r="B14" s="6" t="s">
        <v>19</v>
      </c>
      <c r="C14" s="22">
        <v>576000</v>
      </c>
      <c r="D14" s="22"/>
      <c r="E14" s="22">
        <v>648000</v>
      </c>
      <c r="F14" s="22"/>
      <c r="G14" s="22">
        <v>540000</v>
      </c>
      <c r="H14" s="12">
        <f t="shared" si="0"/>
        <v>44099</v>
      </c>
    </row>
    <row r="15" spans="2:11" x14ac:dyDescent="0.3">
      <c r="B15" s="6" t="s">
        <v>14</v>
      </c>
      <c r="C15" s="22"/>
      <c r="D15" s="22">
        <v>626000</v>
      </c>
      <c r="E15" s="22"/>
      <c r="F15" s="22"/>
      <c r="G15" s="22"/>
      <c r="H15" s="12">
        <f t="shared" si="0"/>
        <v>44099</v>
      </c>
    </row>
    <row r="16" spans="2:11" x14ac:dyDescent="0.3">
      <c r="B16" s="6" t="s">
        <v>24</v>
      </c>
      <c r="C16" s="22">
        <v>311000</v>
      </c>
      <c r="D16" s="22">
        <v>481000</v>
      </c>
      <c r="E16" s="22"/>
      <c r="F16" s="49"/>
      <c r="G16" s="22"/>
      <c r="H16" s="12">
        <f t="shared" si="0"/>
        <v>44099</v>
      </c>
    </row>
    <row r="17" spans="1:8" x14ac:dyDescent="0.3">
      <c r="B17" s="6" t="s">
        <v>21</v>
      </c>
      <c r="C17" s="22"/>
      <c r="D17" s="22"/>
      <c r="E17" s="22"/>
      <c r="F17" s="22"/>
      <c r="G17" s="22"/>
      <c r="H17" s="12">
        <f t="shared" si="0"/>
        <v>44099</v>
      </c>
    </row>
    <row r="18" spans="1:8" x14ac:dyDescent="0.3">
      <c r="B18" s="6" t="s">
        <v>18</v>
      </c>
      <c r="C18" s="22"/>
      <c r="D18" s="22"/>
      <c r="E18" s="22"/>
      <c r="F18" s="22"/>
      <c r="G18" s="22"/>
      <c r="H18" s="12">
        <f t="shared" si="0"/>
        <v>44099</v>
      </c>
    </row>
    <row r="19" spans="1:8" x14ac:dyDescent="0.3">
      <c r="B19" s="6" t="s">
        <v>16</v>
      </c>
      <c r="C19" s="22">
        <v>154000</v>
      </c>
      <c r="D19" s="22"/>
      <c r="E19" s="22"/>
      <c r="F19" s="22">
        <v>54000</v>
      </c>
      <c r="G19" s="22"/>
      <c r="H19" s="12">
        <f t="shared" si="0"/>
        <v>44099</v>
      </c>
    </row>
    <row r="20" spans="1:8" x14ac:dyDescent="0.3">
      <c r="B20" s="50" t="s">
        <v>27</v>
      </c>
      <c r="C20" s="51">
        <f>SUBTOTAL(109,September25_2020[KSI_AGO])</f>
        <v>1885000</v>
      </c>
      <c r="D20" s="51">
        <f>SUBTOTAL(109,September25_2020[KSI_PMS])</f>
        <v>2309000</v>
      </c>
      <c r="E20" s="51">
        <f>SUBTOTAL(109,September25_2020[BUIPE_AGO])</f>
        <v>698000</v>
      </c>
      <c r="F20" s="51">
        <f>SUBTOTAL(109,September25_2020[BUIPE_PMS])</f>
        <v>104000</v>
      </c>
      <c r="G20" s="51">
        <f>SUBTOTAL(109,September25_2020[AKOSOMBO_AGO])</f>
        <v>540000</v>
      </c>
      <c r="H20" s="52"/>
    </row>
    <row r="21" spans="1:8" x14ac:dyDescent="0.3">
      <c r="B21" s="8"/>
      <c r="C21" s="24"/>
      <c r="D21" s="24"/>
      <c r="E21" s="24"/>
      <c r="F21" s="24"/>
      <c r="G21" s="24"/>
      <c r="H21"/>
    </row>
    <row r="22" spans="1:8" x14ac:dyDescent="0.3">
      <c r="B22" s="1" t="s">
        <v>6</v>
      </c>
      <c r="C22" s="1" t="s">
        <v>4</v>
      </c>
      <c r="D22" s="5">
        <f>SUMIF(September25_2020[[#Headers],[KSI_AGO]:[AKOSOMBO_AGO]],"*"&amp;C22,September25_2020[[#Totals],[KSI_AGO]:[AKOSOMBO_AGO]])</f>
        <v>3123000</v>
      </c>
      <c r="E22" s="1" t="s">
        <v>5</v>
      </c>
      <c r="F22" s="5">
        <f>SUMIF(September25_2020[[#Headers],[KSI_AGO]:[AKOSOMBO_AGO]],"*"&amp;E22,September25_2020[[#Totals],[KSI_AGO]:[AKOSOMBO_AGO]])</f>
        <v>2413000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B00-000000000000}">
      <formula1>INDIRECT("BDC_List[BDC List]")</formula1>
    </dataValidation>
  </dataValidations>
  <pageMargins left="0.7" right="0.7" top="0.75" bottom="0.75" header="0.3" footer="0.3"/>
  <tableParts count="1">
    <tablePart r:id="rId1"/>
  </tableParts>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codeName="Sheet189"/>
  <dimension ref="A1:K32"/>
  <sheetViews>
    <sheetView topLeftCell="D1" workbookViewId="0">
      <selection activeCell="D16" sqref="D16"/>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44102</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44102</v>
      </c>
    </row>
    <row r="7" spans="2:11" x14ac:dyDescent="0.3">
      <c r="B7" s="6" t="s">
        <v>37</v>
      </c>
      <c r="C7" s="22"/>
      <c r="D7" s="22"/>
      <c r="E7" s="22"/>
      <c r="F7" s="22"/>
      <c r="G7" s="22"/>
      <c r="H7" s="67">
        <f>$G$3</f>
        <v>44102</v>
      </c>
    </row>
    <row r="8" spans="2:11" x14ac:dyDescent="0.3">
      <c r="B8" s="6" t="s">
        <v>17</v>
      </c>
      <c r="C8" s="22">
        <v>216000</v>
      </c>
      <c r="D8" s="22">
        <v>270000</v>
      </c>
      <c r="E8" s="22"/>
      <c r="F8" s="22"/>
      <c r="G8" s="22"/>
      <c r="H8" s="12">
        <f t="shared" si="0"/>
        <v>44102</v>
      </c>
    </row>
    <row r="9" spans="2:11" ht="15.6" x14ac:dyDescent="0.3">
      <c r="B9" s="34" t="s">
        <v>0</v>
      </c>
      <c r="C9" s="60"/>
      <c r="D9" s="60"/>
      <c r="E9" s="60"/>
      <c r="F9" s="60"/>
      <c r="G9" s="61"/>
      <c r="H9" s="12">
        <f t="shared" si="0"/>
        <v>44102</v>
      </c>
    </row>
    <row r="10" spans="2:11" x14ac:dyDescent="0.3">
      <c r="B10" s="6" t="s">
        <v>25</v>
      </c>
      <c r="C10" s="22"/>
      <c r="D10" s="22"/>
      <c r="E10" s="22"/>
      <c r="F10" s="22"/>
      <c r="G10" s="22"/>
      <c r="H10" s="12">
        <f t="shared" si="0"/>
        <v>44102</v>
      </c>
    </row>
    <row r="11" spans="2:11" x14ac:dyDescent="0.3">
      <c r="B11" s="6" t="s">
        <v>15</v>
      </c>
      <c r="C11" s="22"/>
      <c r="D11" s="22">
        <v>54000</v>
      </c>
      <c r="E11" s="22"/>
      <c r="F11" s="48"/>
      <c r="G11" s="22"/>
      <c r="H11" s="12">
        <f t="shared" si="0"/>
        <v>44102</v>
      </c>
    </row>
    <row r="12" spans="2:11" x14ac:dyDescent="0.3">
      <c r="B12" s="6" t="s">
        <v>26</v>
      </c>
      <c r="C12" s="22"/>
      <c r="D12" s="22"/>
      <c r="E12" s="22"/>
      <c r="F12" s="22"/>
      <c r="G12" s="22"/>
      <c r="H12" s="12">
        <f t="shared" si="0"/>
        <v>44102</v>
      </c>
    </row>
    <row r="13" spans="2:11" x14ac:dyDescent="0.3">
      <c r="B13" s="6" t="s">
        <v>22</v>
      </c>
      <c r="C13" s="23"/>
      <c r="D13" s="23">
        <v>257000</v>
      </c>
      <c r="E13" s="23"/>
      <c r="F13" s="22"/>
      <c r="G13" s="23"/>
      <c r="H13" s="12">
        <f t="shared" si="0"/>
        <v>44102</v>
      </c>
      <c r="K13" s="4"/>
    </row>
    <row r="14" spans="2:11" x14ac:dyDescent="0.3">
      <c r="B14" s="6" t="s">
        <v>19</v>
      </c>
      <c r="C14" s="22">
        <v>698000</v>
      </c>
      <c r="D14" s="22"/>
      <c r="E14" s="22">
        <v>212000</v>
      </c>
      <c r="F14" s="22"/>
      <c r="G14" s="22">
        <v>324000</v>
      </c>
      <c r="H14" s="12">
        <f t="shared" si="0"/>
        <v>44102</v>
      </c>
    </row>
    <row r="15" spans="2:11" x14ac:dyDescent="0.3">
      <c r="B15" s="6" t="s">
        <v>14</v>
      </c>
      <c r="C15" s="22"/>
      <c r="D15" s="22">
        <v>486000</v>
      </c>
      <c r="E15" s="22"/>
      <c r="F15" s="22"/>
      <c r="G15" s="22"/>
      <c r="H15" s="12">
        <f t="shared" si="0"/>
        <v>44102</v>
      </c>
    </row>
    <row r="16" spans="2:11" x14ac:dyDescent="0.3">
      <c r="B16" s="6" t="s">
        <v>24</v>
      </c>
      <c r="C16" s="22">
        <v>540000</v>
      </c>
      <c r="D16" s="22">
        <v>535000</v>
      </c>
      <c r="E16" s="22"/>
      <c r="F16" s="49"/>
      <c r="G16" s="22"/>
      <c r="H16" s="12">
        <f t="shared" si="0"/>
        <v>44102</v>
      </c>
    </row>
    <row r="17" spans="1:8" x14ac:dyDescent="0.3">
      <c r="B17" s="6" t="s">
        <v>21</v>
      </c>
      <c r="C17" s="22"/>
      <c r="D17" s="22"/>
      <c r="E17" s="22"/>
      <c r="F17" s="22"/>
      <c r="G17" s="22"/>
      <c r="H17" s="12">
        <f t="shared" si="0"/>
        <v>44102</v>
      </c>
    </row>
    <row r="18" spans="1:8" x14ac:dyDescent="0.3">
      <c r="B18" s="6" t="s">
        <v>18</v>
      </c>
      <c r="C18" s="22"/>
      <c r="D18" s="22"/>
      <c r="E18" s="22">
        <v>324000</v>
      </c>
      <c r="F18" s="22"/>
      <c r="G18" s="22"/>
      <c r="H18" s="12">
        <f t="shared" si="0"/>
        <v>44102</v>
      </c>
    </row>
    <row r="19" spans="1:8" x14ac:dyDescent="0.3">
      <c r="B19" s="6" t="s">
        <v>16</v>
      </c>
      <c r="C19" s="22"/>
      <c r="D19" s="22"/>
      <c r="E19" s="22"/>
      <c r="F19" s="22"/>
      <c r="G19" s="22">
        <v>108000</v>
      </c>
      <c r="H19" s="12">
        <f t="shared" si="0"/>
        <v>44102</v>
      </c>
    </row>
    <row r="20" spans="1:8" x14ac:dyDescent="0.3">
      <c r="B20" s="50" t="s">
        <v>27</v>
      </c>
      <c r="C20" s="51">
        <f>SUBTOTAL(109,September28_2020[KSI_AGO])</f>
        <v>1454000</v>
      </c>
      <c r="D20" s="51">
        <f>SUBTOTAL(109,September28_2020[KSI_PMS])</f>
        <v>1602000</v>
      </c>
      <c r="E20" s="51">
        <f>SUBTOTAL(109,September28_2020[BUIPE_AGO])</f>
        <v>536000</v>
      </c>
      <c r="F20" s="51">
        <f>SUBTOTAL(109,September28_2020[BUIPE_PMS])</f>
        <v>0</v>
      </c>
      <c r="G20" s="51">
        <f>SUBTOTAL(109,September28_2020[AKOSOMBO_AGO])</f>
        <v>432000</v>
      </c>
      <c r="H20" s="52"/>
    </row>
    <row r="21" spans="1:8" x14ac:dyDescent="0.3">
      <c r="B21" s="8"/>
      <c r="C21" s="24"/>
      <c r="D21" s="24"/>
      <c r="E21" s="24"/>
      <c r="F21" s="24"/>
      <c r="G21" s="24"/>
      <c r="H21"/>
    </row>
    <row r="22" spans="1:8" x14ac:dyDescent="0.3">
      <c r="B22" s="1" t="s">
        <v>6</v>
      </c>
      <c r="C22" s="1" t="s">
        <v>4</v>
      </c>
      <c r="D22" s="5">
        <f>SUMIF(September28_2020[[#Headers],[KSI_AGO]:[AKOSOMBO_AGO]],"*"&amp;C22,September28_2020[[#Totals],[KSI_AGO]:[AKOSOMBO_AGO]])</f>
        <v>2422000</v>
      </c>
      <c r="E22" s="1" t="s">
        <v>5</v>
      </c>
      <c r="F22" s="5">
        <f>SUMIF(September28_2020[[#Headers],[KSI_AGO]:[AKOSOMBO_AGO]],"*"&amp;E22,September28_2020[[#Totals],[KSI_AGO]:[AKOSOMBO_AGO]])</f>
        <v>1602000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C00-000000000000}">
      <formula1>INDIRECT("BDC_List[BDC List]")</formula1>
    </dataValidation>
  </dataValidations>
  <pageMargins left="0.7" right="0.7" top="0.75" bottom="0.75" header="0.3" footer="0.3"/>
  <legacyDrawing r:id="rId1"/>
  <tableParts count="1">
    <tablePart r:id="rId2"/>
  </tableParts>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codeName="Sheet190"/>
  <dimension ref="A1:K32"/>
  <sheetViews>
    <sheetView topLeftCell="C1" workbookViewId="0">
      <selection activeCell="E11" sqref="E11"/>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44103</v>
      </c>
    </row>
    <row r="4" spans="2:11" ht="16.2" thickBot="1" x14ac:dyDescent="0.35">
      <c r="B4" s="139"/>
      <c r="C4" s="139"/>
      <c r="D4" s="139"/>
      <c r="E4" s="139"/>
      <c r="F4" s="139"/>
      <c r="G4" s="139"/>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44103</v>
      </c>
    </row>
    <row r="7" spans="2:11" x14ac:dyDescent="0.3">
      <c r="B7" s="6" t="s">
        <v>37</v>
      </c>
      <c r="C7" s="22"/>
      <c r="D7" s="22"/>
      <c r="E7" s="22"/>
      <c r="F7" s="22"/>
      <c r="G7" s="22"/>
      <c r="H7" s="67">
        <f>$G$3</f>
        <v>44103</v>
      </c>
    </row>
    <row r="8" spans="2:11" x14ac:dyDescent="0.3">
      <c r="B8" s="6" t="s">
        <v>17</v>
      </c>
      <c r="C8" s="22">
        <v>54000</v>
      </c>
      <c r="D8" s="22"/>
      <c r="E8" s="22"/>
      <c r="F8" s="22"/>
      <c r="G8" s="22"/>
      <c r="H8" s="12">
        <f t="shared" si="0"/>
        <v>44103</v>
      </c>
    </row>
    <row r="9" spans="2:11" ht="15.6" x14ac:dyDescent="0.3">
      <c r="B9" s="34" t="s">
        <v>0</v>
      </c>
      <c r="C9" s="60"/>
      <c r="D9" s="60"/>
      <c r="E9" s="60"/>
      <c r="F9" s="60"/>
      <c r="G9" s="61"/>
      <c r="H9" s="12">
        <f t="shared" si="0"/>
        <v>44103</v>
      </c>
    </row>
    <row r="10" spans="2:11" x14ac:dyDescent="0.3">
      <c r="B10" s="6" t="s">
        <v>25</v>
      </c>
      <c r="C10" s="22">
        <v>211500</v>
      </c>
      <c r="D10" s="22">
        <v>585000</v>
      </c>
      <c r="E10" s="22"/>
      <c r="F10" s="22">
        <v>261000</v>
      </c>
      <c r="G10" s="22"/>
      <c r="H10" s="12">
        <f t="shared" si="0"/>
        <v>44103</v>
      </c>
    </row>
    <row r="11" spans="2:11" x14ac:dyDescent="0.3">
      <c r="B11" s="6" t="s">
        <v>15</v>
      </c>
      <c r="C11" s="22"/>
      <c r="D11" s="22">
        <v>270000</v>
      </c>
      <c r="E11" s="22"/>
      <c r="F11" s="48"/>
      <c r="G11" s="22"/>
      <c r="H11" s="12">
        <f t="shared" si="0"/>
        <v>44103</v>
      </c>
    </row>
    <row r="12" spans="2:11" x14ac:dyDescent="0.3">
      <c r="B12" s="6" t="s">
        <v>26</v>
      </c>
      <c r="C12" s="22"/>
      <c r="D12" s="22"/>
      <c r="E12" s="22"/>
      <c r="F12" s="22"/>
      <c r="G12" s="22"/>
      <c r="H12" s="12">
        <f t="shared" si="0"/>
        <v>44103</v>
      </c>
    </row>
    <row r="13" spans="2:11" x14ac:dyDescent="0.3">
      <c r="B13" s="6" t="s">
        <v>22</v>
      </c>
      <c r="C13" s="23"/>
      <c r="D13" s="23">
        <v>207000</v>
      </c>
      <c r="E13" s="23"/>
      <c r="F13" s="22"/>
      <c r="G13" s="23"/>
      <c r="H13" s="12">
        <f t="shared" si="0"/>
        <v>44103</v>
      </c>
      <c r="K13" s="4"/>
    </row>
    <row r="14" spans="2:11" x14ac:dyDescent="0.3">
      <c r="B14" s="6" t="s">
        <v>19</v>
      </c>
      <c r="C14" s="22">
        <v>324000</v>
      </c>
      <c r="D14" s="22"/>
      <c r="E14" s="22"/>
      <c r="F14" s="22"/>
      <c r="G14" s="22"/>
      <c r="H14" s="12">
        <f t="shared" si="0"/>
        <v>44103</v>
      </c>
    </row>
    <row r="15" spans="2:11" x14ac:dyDescent="0.3">
      <c r="B15" s="6" t="s">
        <v>14</v>
      </c>
      <c r="C15" s="22"/>
      <c r="D15" s="22">
        <v>261000</v>
      </c>
      <c r="E15" s="22"/>
      <c r="F15" s="22"/>
      <c r="G15" s="22"/>
      <c r="H15" s="12">
        <f t="shared" si="0"/>
        <v>44103</v>
      </c>
    </row>
    <row r="16" spans="2:11" x14ac:dyDescent="0.3">
      <c r="B16" s="6" t="s">
        <v>24</v>
      </c>
      <c r="C16" s="22">
        <v>212000</v>
      </c>
      <c r="D16" s="22">
        <v>374000</v>
      </c>
      <c r="E16" s="22"/>
      <c r="F16" s="49"/>
      <c r="G16" s="22"/>
      <c r="H16" s="12">
        <f t="shared" si="0"/>
        <v>44103</v>
      </c>
    </row>
    <row r="17" spans="1:8" x14ac:dyDescent="0.3">
      <c r="B17" s="6" t="s">
        <v>21</v>
      </c>
      <c r="C17" s="22"/>
      <c r="D17" s="22"/>
      <c r="E17" s="22"/>
      <c r="F17" s="22"/>
      <c r="G17" s="22"/>
      <c r="H17" s="12">
        <f t="shared" si="0"/>
        <v>44103</v>
      </c>
    </row>
    <row r="18" spans="1:8" x14ac:dyDescent="0.3">
      <c r="B18" s="6" t="s">
        <v>18</v>
      </c>
      <c r="C18" s="22">
        <v>479000</v>
      </c>
      <c r="D18" s="22"/>
      <c r="E18" s="22">
        <v>162000</v>
      </c>
      <c r="F18" s="22"/>
      <c r="G18" s="22"/>
      <c r="H18" s="12">
        <f t="shared" si="0"/>
        <v>44103</v>
      </c>
    </row>
    <row r="19" spans="1:8" x14ac:dyDescent="0.3">
      <c r="B19" s="6" t="s">
        <v>16</v>
      </c>
      <c r="C19" s="22">
        <v>747000</v>
      </c>
      <c r="D19" s="22"/>
      <c r="E19" s="22">
        <v>50000</v>
      </c>
      <c r="F19" s="22"/>
      <c r="G19" s="22">
        <v>324000</v>
      </c>
      <c r="H19" s="12">
        <f t="shared" si="0"/>
        <v>44103</v>
      </c>
    </row>
    <row r="20" spans="1:8" x14ac:dyDescent="0.3">
      <c r="B20" s="50" t="s">
        <v>27</v>
      </c>
      <c r="C20" s="51">
        <f>SUBTOTAL(109,September29_2020[KSI_AGO])</f>
        <v>2027500</v>
      </c>
      <c r="D20" s="51">
        <f>SUBTOTAL(109,September29_2020[KSI_PMS])</f>
        <v>1697000</v>
      </c>
      <c r="E20" s="51">
        <f>SUBTOTAL(109,September29_2020[BUIPE_AGO])</f>
        <v>212000</v>
      </c>
      <c r="F20" s="51">
        <f>SUBTOTAL(109,September29_2020[BUIPE_PMS])</f>
        <v>261000</v>
      </c>
      <c r="G20" s="51">
        <f>SUBTOTAL(109,September29_2020[AKOSOMBO_AGO])</f>
        <v>324000</v>
      </c>
      <c r="H20" s="52"/>
    </row>
    <row r="21" spans="1:8" x14ac:dyDescent="0.3">
      <c r="B21" s="8"/>
      <c r="C21" s="24"/>
      <c r="D21" s="24"/>
      <c r="E21" s="24"/>
      <c r="F21" s="24"/>
      <c r="G21" s="24"/>
      <c r="H21"/>
    </row>
    <row r="22" spans="1:8" x14ac:dyDescent="0.3">
      <c r="B22" s="1" t="s">
        <v>6</v>
      </c>
      <c r="C22" s="1" t="s">
        <v>4</v>
      </c>
      <c r="D22" s="5">
        <f>SUMIF(September29_2020[[#Headers],[KSI_AGO]:[AKOSOMBO_AGO]],"*"&amp;C22,September29_2020[[#Totals],[KSI_AGO]:[AKOSOMBO_AGO]])</f>
        <v>2563500</v>
      </c>
      <c r="E22" s="1" t="s">
        <v>5</v>
      </c>
      <c r="F22" s="5">
        <f>SUMIF(September29_2020[[#Headers],[KSI_AGO]:[AKOSOMBO_AGO]],"*"&amp;E22,September29_2020[[#Totals],[KSI_AGO]:[AKOSOMBO_AGO]])</f>
        <v>1958000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D00-000000000000}">
      <formula1>INDIRECT("BDC_List[BDC List]")</formula1>
    </dataValidation>
  </dataValidations>
  <pageMargins left="0.7" right="0.7" top="0.75" bottom="0.75" header="0.3" footer="0.3"/>
  <tableParts count="1">
    <tablePart r:id="rId1"/>
  </tableParts>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codeName="Sheet191"/>
  <dimension ref="A1:K32"/>
  <sheetViews>
    <sheetView topLeftCell="B1" workbookViewId="0">
      <selection activeCell="G12" sqref="G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44104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44104</v>
      </c>
    </row>
    <row r="7" spans="2:11" x14ac:dyDescent="0.3">
      <c r="B7" s="6" t="s">
        <v>37</v>
      </c>
      <c r="C7" s="22"/>
      <c r="D7" s="22"/>
      <c r="E7" s="22"/>
      <c r="F7" s="22"/>
      <c r="G7" s="22"/>
      <c r="H7" s="67">
        <f>$G$3</f>
        <v>44104</v>
      </c>
    </row>
    <row r="8" spans="2:11" x14ac:dyDescent="0.3">
      <c r="B8" s="6" t="s">
        <v>17</v>
      </c>
      <c r="C8" s="22"/>
      <c r="D8" s="22">
        <v>270000</v>
      </c>
      <c r="E8" s="22"/>
      <c r="F8" s="22"/>
      <c r="G8" s="22"/>
      <c r="H8" s="12">
        <f t="shared" si="0"/>
        <v>44104</v>
      </c>
    </row>
    <row r="9" spans="2:11" ht="15.6" x14ac:dyDescent="0.3">
      <c r="B9" s="34" t="s">
        <v>0</v>
      </c>
      <c r="C9" s="60"/>
      <c r="D9" s="60"/>
      <c r="E9" s="60"/>
      <c r="F9" s="60"/>
      <c r="G9" s="61"/>
      <c r="H9" s="12">
        <f t="shared" si="0"/>
        <v>44104</v>
      </c>
    </row>
    <row r="10" spans="2:11" x14ac:dyDescent="0.3">
      <c r="B10" s="6" t="s">
        <v>25</v>
      </c>
      <c r="C10" s="22">
        <v>162000</v>
      </c>
      <c r="D10" s="22">
        <v>640000</v>
      </c>
      <c r="E10" s="22"/>
      <c r="F10" s="22"/>
      <c r="G10" s="22"/>
      <c r="H10" s="12">
        <f t="shared" si="0"/>
        <v>44104</v>
      </c>
    </row>
    <row r="11" spans="2:11" x14ac:dyDescent="0.3">
      <c r="B11" s="6" t="s">
        <v>15</v>
      </c>
      <c r="C11" s="22"/>
      <c r="D11" s="22">
        <v>162000</v>
      </c>
      <c r="E11" s="22"/>
      <c r="F11" s="48"/>
      <c r="G11" s="22"/>
      <c r="H11" s="12">
        <f t="shared" si="0"/>
        <v>44104</v>
      </c>
    </row>
    <row r="12" spans="2:11" x14ac:dyDescent="0.3">
      <c r="B12" s="6" t="s">
        <v>26</v>
      </c>
      <c r="C12" s="22"/>
      <c r="D12" s="22"/>
      <c r="E12" s="22"/>
      <c r="F12" s="22"/>
      <c r="G12" s="22"/>
      <c r="H12" s="12">
        <f t="shared" si="0"/>
        <v>44104</v>
      </c>
    </row>
    <row r="13" spans="2:11" x14ac:dyDescent="0.3">
      <c r="B13" s="6" t="s">
        <v>22</v>
      </c>
      <c r="C13" s="23"/>
      <c r="D13" s="23">
        <v>54000</v>
      </c>
      <c r="E13" s="23"/>
      <c r="F13" s="22"/>
      <c r="G13" s="23"/>
      <c r="H13" s="12">
        <f t="shared" si="0"/>
        <v>44104</v>
      </c>
      <c r="K13" s="4"/>
    </row>
    <row r="14" spans="2:11" x14ac:dyDescent="0.3">
      <c r="B14" s="6" t="s">
        <v>19</v>
      </c>
      <c r="C14" s="22">
        <v>594000</v>
      </c>
      <c r="D14" s="22"/>
      <c r="E14" s="22">
        <v>50000</v>
      </c>
      <c r="F14" s="22"/>
      <c r="G14" s="22">
        <v>45000</v>
      </c>
      <c r="H14" s="12">
        <f t="shared" si="0"/>
        <v>44104</v>
      </c>
    </row>
    <row r="15" spans="2:11" x14ac:dyDescent="0.3">
      <c r="B15" s="6" t="s">
        <v>14</v>
      </c>
      <c r="C15" s="22"/>
      <c r="D15" s="22"/>
      <c r="E15" s="22"/>
      <c r="F15" s="22"/>
      <c r="G15" s="22"/>
      <c r="H15" s="12">
        <f t="shared" si="0"/>
        <v>44104</v>
      </c>
    </row>
    <row r="16" spans="2:11" x14ac:dyDescent="0.3">
      <c r="B16" s="6" t="s">
        <v>24</v>
      </c>
      <c r="C16" s="22">
        <v>428000</v>
      </c>
      <c r="D16" s="22">
        <v>857500</v>
      </c>
      <c r="E16" s="22"/>
      <c r="F16" s="49"/>
      <c r="G16" s="22"/>
      <c r="H16" s="12">
        <f t="shared" si="0"/>
        <v>44104</v>
      </c>
    </row>
    <row r="17" spans="1:8" x14ac:dyDescent="0.3">
      <c r="B17" s="6" t="s">
        <v>21</v>
      </c>
      <c r="C17" s="22"/>
      <c r="D17" s="22"/>
      <c r="E17" s="22"/>
      <c r="F17" s="22"/>
      <c r="G17" s="22"/>
      <c r="H17" s="12">
        <f t="shared" si="0"/>
        <v>44104</v>
      </c>
    </row>
    <row r="18" spans="1:8" x14ac:dyDescent="0.3">
      <c r="B18" s="6" t="s">
        <v>18</v>
      </c>
      <c r="C18" s="22">
        <v>540000</v>
      </c>
      <c r="D18" s="22"/>
      <c r="E18" s="22"/>
      <c r="F18" s="22"/>
      <c r="G18" s="22"/>
      <c r="H18" s="12">
        <f t="shared" si="0"/>
        <v>44104</v>
      </c>
    </row>
    <row r="19" spans="1:8" x14ac:dyDescent="0.3">
      <c r="B19" s="6" t="s">
        <v>16</v>
      </c>
      <c r="C19" s="22">
        <v>536000</v>
      </c>
      <c r="D19" s="22"/>
      <c r="E19" s="22">
        <v>50000</v>
      </c>
      <c r="F19" s="22"/>
      <c r="G19" s="22">
        <v>162000</v>
      </c>
      <c r="H19" s="12">
        <f t="shared" si="0"/>
        <v>44104</v>
      </c>
    </row>
    <row r="20" spans="1:8" x14ac:dyDescent="0.3">
      <c r="B20" s="50" t="s">
        <v>27</v>
      </c>
      <c r="C20" s="51">
        <f>SUBTOTAL(109,September30_2020[KSI_AGO])</f>
        <v>2260000</v>
      </c>
      <c r="D20" s="51">
        <f>SUBTOTAL(109,September30_2020[KSI_PMS])</f>
        <v>1983500</v>
      </c>
      <c r="E20" s="51">
        <f>SUBTOTAL(109,September30_2020[BUIPE_AGO])</f>
        <v>100000</v>
      </c>
      <c r="F20" s="51">
        <f>SUBTOTAL(109,September30_2020[BUIPE_PMS])</f>
        <v>0</v>
      </c>
      <c r="G20" s="51">
        <f>SUBTOTAL(109,September30_2020[AKOSOMBO_AGO])</f>
        <v>207000</v>
      </c>
      <c r="H20" s="52"/>
    </row>
    <row r="21" spans="1:8" x14ac:dyDescent="0.3">
      <c r="B21" s="8"/>
      <c r="C21" s="24"/>
      <c r="D21" s="24"/>
      <c r="E21" s="24"/>
      <c r="F21" s="24"/>
      <c r="G21" s="24"/>
      <c r="H21"/>
    </row>
    <row r="22" spans="1:8" x14ac:dyDescent="0.3">
      <c r="B22" s="1" t="s">
        <v>6</v>
      </c>
      <c r="C22" s="1" t="s">
        <v>4</v>
      </c>
      <c r="D22" s="5">
        <f>SUMIF(September30_2020[[#Headers],[KSI_AGO]:[AKOSOMBO_AGO]],"*"&amp;C22,September30_2020[[#Totals],[KSI_AGO]:[AKOSOMBO_AGO]])</f>
        <v>2567000</v>
      </c>
      <c r="E22" s="1" t="s">
        <v>5</v>
      </c>
      <c r="F22" s="5">
        <f>SUMIF(September30_2020[[#Headers],[KSI_AGO]:[AKOSOMBO_AGO]],"*"&amp;E22,September30_2020[[#Totals],[KSI_AGO]:[AKOSOMBO_AGO]])</f>
        <v>1983500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E00-000000000000}">
      <formula1>INDIRECT("BDC_List[BDC List]")</formula1>
    </dataValidation>
  </dataValidations>
  <pageMargins left="0.7" right="0.7" top="0.75" bottom="0.75" header="0.3" footer="0.3"/>
  <tableParts count="1">
    <tablePart r:id="rId1"/>
  </tableParts>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codeName="Sheet192"/>
  <dimension ref="A1:K32"/>
  <sheetViews>
    <sheetView topLeftCell="C1" workbookViewId="0">
      <selection activeCell="D25" sqref="D2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44105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44105</v>
      </c>
    </row>
    <row r="7" spans="2:11" x14ac:dyDescent="0.3">
      <c r="B7" s="6" t="s">
        <v>37</v>
      </c>
      <c r="C7" s="22"/>
      <c r="D7" s="22"/>
      <c r="E7" s="22"/>
      <c r="F7" s="22"/>
      <c r="G7" s="22"/>
      <c r="H7" s="67">
        <f>$G$3</f>
        <v>44105</v>
      </c>
    </row>
    <row r="8" spans="2:11" x14ac:dyDescent="0.3">
      <c r="B8" s="6" t="s">
        <v>17</v>
      </c>
      <c r="C8" s="22"/>
      <c r="D8" s="22"/>
      <c r="E8" s="22"/>
      <c r="F8" s="22"/>
      <c r="G8" s="22"/>
      <c r="H8" s="12">
        <f t="shared" si="0"/>
        <v>44105</v>
      </c>
    </row>
    <row r="9" spans="2:11" ht="15.6" x14ac:dyDescent="0.3">
      <c r="B9" s="34" t="s">
        <v>0</v>
      </c>
      <c r="C9" s="60"/>
      <c r="D9" s="60"/>
      <c r="E9" s="60"/>
      <c r="F9" s="60"/>
      <c r="G9" s="61"/>
      <c r="H9" s="12">
        <f t="shared" si="0"/>
        <v>44105</v>
      </c>
    </row>
    <row r="10" spans="2:11" x14ac:dyDescent="0.3">
      <c r="B10" s="6" t="s">
        <v>25</v>
      </c>
      <c r="C10" s="22"/>
      <c r="D10" s="22"/>
      <c r="E10" s="22"/>
      <c r="F10" s="22"/>
      <c r="G10" s="22">
        <v>140000</v>
      </c>
      <c r="H10" s="12">
        <f t="shared" si="0"/>
        <v>44105</v>
      </c>
    </row>
    <row r="11" spans="2:11" x14ac:dyDescent="0.3">
      <c r="B11" s="6" t="s">
        <v>15</v>
      </c>
      <c r="C11" s="22"/>
      <c r="D11" s="22"/>
      <c r="E11" s="22"/>
      <c r="F11" s="48"/>
      <c r="G11" s="22"/>
      <c r="H11" s="12">
        <f t="shared" si="0"/>
        <v>44105</v>
      </c>
    </row>
    <row r="12" spans="2:11" x14ac:dyDescent="0.3">
      <c r="B12" s="6" t="s">
        <v>26</v>
      </c>
      <c r="C12" s="22"/>
      <c r="D12" s="22"/>
      <c r="E12" s="22"/>
      <c r="F12" s="22"/>
      <c r="G12" s="22"/>
      <c r="H12" s="12">
        <f t="shared" si="0"/>
        <v>44105</v>
      </c>
    </row>
    <row r="13" spans="2:11" x14ac:dyDescent="0.3">
      <c r="B13" s="6" t="s">
        <v>22</v>
      </c>
      <c r="C13" s="23"/>
      <c r="D13" s="23"/>
      <c r="E13" s="23"/>
      <c r="F13" s="22"/>
      <c r="G13" s="23"/>
      <c r="H13" s="12">
        <f t="shared" si="0"/>
        <v>44105</v>
      </c>
      <c r="K13" s="4"/>
    </row>
    <row r="14" spans="2:11" x14ac:dyDescent="0.3">
      <c r="B14" s="6" t="s">
        <v>19</v>
      </c>
      <c r="C14" s="22">
        <v>54000</v>
      </c>
      <c r="D14" s="22"/>
      <c r="E14" s="22"/>
      <c r="F14" s="22"/>
      <c r="G14" s="22">
        <v>90000</v>
      </c>
      <c r="H14" s="12">
        <f t="shared" si="0"/>
        <v>44105</v>
      </c>
    </row>
    <row r="15" spans="2:11" x14ac:dyDescent="0.3">
      <c r="B15" s="6" t="s">
        <v>14</v>
      </c>
      <c r="C15" s="22"/>
      <c r="D15" s="22"/>
      <c r="E15" s="22"/>
      <c r="F15" s="22"/>
      <c r="G15" s="22"/>
      <c r="H15" s="12">
        <f t="shared" si="0"/>
        <v>44105</v>
      </c>
    </row>
    <row r="16" spans="2:11" x14ac:dyDescent="0.3">
      <c r="B16" s="6" t="s">
        <v>24</v>
      </c>
      <c r="C16" s="22">
        <v>54000</v>
      </c>
      <c r="D16" s="22">
        <v>216000</v>
      </c>
      <c r="E16" s="22"/>
      <c r="F16" s="49"/>
      <c r="G16" s="22"/>
      <c r="H16" s="12">
        <f t="shared" si="0"/>
        <v>44105</v>
      </c>
    </row>
    <row r="17" spans="1:8" x14ac:dyDescent="0.3">
      <c r="B17" s="6" t="s">
        <v>21</v>
      </c>
      <c r="C17" s="22"/>
      <c r="D17" s="22"/>
      <c r="E17" s="22"/>
      <c r="F17" s="22"/>
      <c r="G17" s="22"/>
      <c r="H17" s="12">
        <f t="shared" si="0"/>
        <v>44105</v>
      </c>
    </row>
    <row r="18" spans="1:8" x14ac:dyDescent="0.3">
      <c r="B18" s="6" t="s">
        <v>18</v>
      </c>
      <c r="C18" s="22"/>
      <c r="D18" s="22"/>
      <c r="E18" s="22"/>
      <c r="F18" s="22"/>
      <c r="G18" s="22"/>
      <c r="H18" s="12">
        <f t="shared" si="0"/>
        <v>44105</v>
      </c>
    </row>
    <row r="19" spans="1:8" x14ac:dyDescent="0.3">
      <c r="B19" s="6" t="s">
        <v>16</v>
      </c>
      <c r="C19" s="22"/>
      <c r="D19" s="22"/>
      <c r="E19" s="22"/>
      <c r="F19" s="22"/>
      <c r="G19" s="22"/>
      <c r="H19" s="12">
        <f t="shared" si="0"/>
        <v>44105</v>
      </c>
    </row>
    <row r="20" spans="1:8" x14ac:dyDescent="0.3">
      <c r="B20" s="50" t="s">
        <v>27</v>
      </c>
      <c r="C20" s="51">
        <f>SUBTOTAL(109,October01_2020[KSI_AGO])</f>
        <v>108000</v>
      </c>
      <c r="D20" s="51">
        <f>SUBTOTAL(109,October01_2020[KSI_PMS])</f>
        <v>216000</v>
      </c>
      <c r="E20" s="51">
        <f>SUBTOTAL(109,October01_2020[BUIPE_AGO])</f>
        <v>0</v>
      </c>
      <c r="F20" s="51">
        <f>SUBTOTAL(109,October01_2020[BUIPE_PMS])</f>
        <v>0</v>
      </c>
      <c r="G20" s="51">
        <f>SUBTOTAL(109,October01_2020[AKOSOMBO_AGO])</f>
        <v>230000</v>
      </c>
      <c r="H20" s="52"/>
    </row>
    <row r="21" spans="1:8" x14ac:dyDescent="0.3">
      <c r="B21" s="8"/>
      <c r="C21" s="24"/>
      <c r="D21" s="24"/>
      <c r="E21" s="24"/>
      <c r="F21" s="24"/>
      <c r="G21" s="24"/>
      <c r="H21"/>
    </row>
    <row r="22" spans="1:8" x14ac:dyDescent="0.3">
      <c r="B22" s="1" t="s">
        <v>6</v>
      </c>
      <c r="C22" s="1" t="s">
        <v>4</v>
      </c>
      <c r="D22" s="5">
        <f>SUMIF(October01_2020[[#Headers],[KSI_AGO]:[AKOSOMBO_AGO]],"*"&amp;C22,October01_2020[[#Totals],[KSI_AGO]:[AKOSOMBO_AGO]])</f>
        <v>338000</v>
      </c>
      <c r="E22" s="1" t="s">
        <v>5</v>
      </c>
      <c r="F22" s="5">
        <f>SUMIF(October01_2020[[#Headers],[KSI_AGO]:[AKOSOMBO_AGO]],"*"&amp;E22,October01_2020[[#Totals],[KSI_AGO]:[AKOSOMBO_AGO]])</f>
        <v>216000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BF00-000000000000}">
      <formula1>INDIRECT("BDC_List[BDC List]")</formula1>
    </dataValidation>
  </dataValidations>
  <pageMargins left="0.7" right="0.7" top="0.75" bottom="0.75" header="0.3" footer="0.3"/>
  <tableParts count="1">
    <tablePart r:id="rId1"/>
  </tableParts>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codeName="Sheet193"/>
  <dimension ref="A1:K32"/>
  <sheetViews>
    <sheetView workbookViewId="0">
      <selection activeCell="H16" sqref="H16"/>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44106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44106</v>
      </c>
    </row>
    <row r="7" spans="2:11" x14ac:dyDescent="0.3">
      <c r="B7" s="6" t="s">
        <v>37</v>
      </c>
      <c r="C7" s="22"/>
      <c r="D7" s="22"/>
      <c r="E7" s="22"/>
      <c r="F7" s="22"/>
      <c r="G7" s="22"/>
      <c r="H7" s="67">
        <f>$G$3</f>
        <v>44106</v>
      </c>
    </row>
    <row r="8" spans="2:11" x14ac:dyDescent="0.3">
      <c r="B8" s="6" t="s">
        <v>17</v>
      </c>
      <c r="C8" s="22"/>
      <c r="D8" s="22">
        <v>104000</v>
      </c>
      <c r="E8" s="22"/>
      <c r="F8" s="22"/>
      <c r="G8" s="22"/>
      <c r="H8" s="12">
        <f t="shared" si="0"/>
        <v>44106</v>
      </c>
    </row>
    <row r="9" spans="2:11" ht="15.6" x14ac:dyDescent="0.3">
      <c r="B9" s="34" t="s">
        <v>0</v>
      </c>
      <c r="C9" s="60"/>
      <c r="D9" s="60"/>
      <c r="E9" s="60"/>
      <c r="F9" s="60"/>
      <c r="G9" s="61"/>
      <c r="H9" s="12">
        <f t="shared" si="0"/>
        <v>44106</v>
      </c>
    </row>
    <row r="10" spans="2:11" x14ac:dyDescent="0.3">
      <c r="B10" s="6" t="s">
        <v>25</v>
      </c>
      <c r="C10" s="22">
        <v>432000</v>
      </c>
      <c r="D10" s="22">
        <v>206000</v>
      </c>
      <c r="E10" s="22"/>
      <c r="F10" s="22">
        <v>45000</v>
      </c>
      <c r="G10" s="22"/>
      <c r="H10" s="12">
        <f t="shared" si="0"/>
        <v>44106</v>
      </c>
    </row>
    <row r="11" spans="2:11" x14ac:dyDescent="0.3">
      <c r="B11" s="6" t="s">
        <v>15</v>
      </c>
      <c r="C11" s="22"/>
      <c r="D11" s="22"/>
      <c r="E11" s="22"/>
      <c r="F11" s="48"/>
      <c r="G11" s="22"/>
      <c r="H11" s="12">
        <f t="shared" si="0"/>
        <v>44106</v>
      </c>
    </row>
    <row r="12" spans="2:11" x14ac:dyDescent="0.3">
      <c r="B12" s="6" t="s">
        <v>26</v>
      </c>
      <c r="C12" s="22"/>
      <c r="D12" s="22"/>
      <c r="E12" s="22"/>
      <c r="F12" s="22"/>
      <c r="G12" s="22"/>
      <c r="H12" s="12">
        <f t="shared" si="0"/>
        <v>44106</v>
      </c>
    </row>
    <row r="13" spans="2:11" x14ac:dyDescent="0.3">
      <c r="B13" s="6" t="s">
        <v>22</v>
      </c>
      <c r="C13" s="23"/>
      <c r="D13" s="23">
        <v>100000</v>
      </c>
      <c r="E13" s="23"/>
      <c r="F13" s="22"/>
      <c r="G13" s="23"/>
      <c r="H13" s="12">
        <f t="shared" si="0"/>
        <v>44106</v>
      </c>
      <c r="K13" s="4"/>
    </row>
    <row r="14" spans="2:11" x14ac:dyDescent="0.3">
      <c r="B14" s="6" t="s">
        <v>19</v>
      </c>
      <c r="C14" s="22">
        <v>427000</v>
      </c>
      <c r="D14" s="22"/>
      <c r="E14" s="22"/>
      <c r="F14" s="22"/>
      <c r="G14" s="22"/>
      <c r="H14" s="12">
        <f t="shared" si="0"/>
        <v>44106</v>
      </c>
    </row>
    <row r="15" spans="2:11" x14ac:dyDescent="0.3">
      <c r="B15" s="6" t="s">
        <v>14</v>
      </c>
      <c r="C15" s="22">
        <v>801000</v>
      </c>
      <c r="D15" s="22"/>
      <c r="E15" s="22">
        <v>374000</v>
      </c>
      <c r="F15" s="22">
        <v>45000</v>
      </c>
      <c r="G15" s="22">
        <v>522000</v>
      </c>
      <c r="H15" s="12">
        <f t="shared" si="0"/>
        <v>44106</v>
      </c>
    </row>
    <row r="16" spans="2:11" x14ac:dyDescent="0.3">
      <c r="B16" s="6" t="s">
        <v>24</v>
      </c>
      <c r="C16" s="22">
        <v>324000</v>
      </c>
      <c r="D16" s="22">
        <v>432000</v>
      </c>
      <c r="E16" s="22"/>
      <c r="F16" s="49"/>
      <c r="G16" s="22"/>
      <c r="H16" s="12">
        <f t="shared" si="0"/>
        <v>44106</v>
      </c>
    </row>
    <row r="17" spans="1:8" x14ac:dyDescent="0.3">
      <c r="B17" s="6" t="s">
        <v>21</v>
      </c>
      <c r="C17" s="22">
        <v>45000</v>
      </c>
      <c r="D17" s="22"/>
      <c r="E17" s="22"/>
      <c r="F17" s="22"/>
      <c r="G17" s="22"/>
      <c r="H17" s="12">
        <f t="shared" si="0"/>
        <v>44106</v>
      </c>
    </row>
    <row r="18" spans="1:8" x14ac:dyDescent="0.3">
      <c r="B18" s="6" t="s">
        <v>18</v>
      </c>
      <c r="C18" s="22"/>
      <c r="D18" s="22"/>
      <c r="E18" s="22"/>
      <c r="F18" s="22"/>
      <c r="G18" s="22"/>
      <c r="H18" s="12">
        <f t="shared" si="0"/>
        <v>44106</v>
      </c>
    </row>
    <row r="19" spans="1:8" x14ac:dyDescent="0.3">
      <c r="B19" s="6" t="s">
        <v>16</v>
      </c>
      <c r="C19" s="22">
        <v>406500</v>
      </c>
      <c r="D19" s="22">
        <v>701500</v>
      </c>
      <c r="E19" s="22"/>
      <c r="F19" s="22"/>
      <c r="G19" s="22"/>
      <c r="H19" s="12">
        <f t="shared" si="0"/>
        <v>44106</v>
      </c>
    </row>
    <row r="20" spans="1:8" x14ac:dyDescent="0.3">
      <c r="B20" s="50" t="s">
        <v>27</v>
      </c>
      <c r="C20" s="51">
        <f>SUBTOTAL(109,October02_2020[KSI_AGO])</f>
        <v>2435500</v>
      </c>
      <c r="D20" s="51">
        <f>SUBTOTAL(109,October02_2020[KSI_PMS])</f>
        <v>1543500</v>
      </c>
      <c r="E20" s="51">
        <f>SUBTOTAL(109,October02_2020[BUIPE_AGO])</f>
        <v>374000</v>
      </c>
      <c r="F20" s="51">
        <f>SUBTOTAL(109,October02_2020[BUIPE_PMS])</f>
        <v>90000</v>
      </c>
      <c r="G20" s="51">
        <f>SUBTOTAL(109,October02_2020[AKOSOMBO_AGO])</f>
        <v>522000</v>
      </c>
      <c r="H20" s="52"/>
    </row>
    <row r="21" spans="1:8" x14ac:dyDescent="0.3">
      <c r="B21" s="8"/>
      <c r="C21" s="24"/>
      <c r="D21" s="24"/>
      <c r="E21" s="24"/>
      <c r="F21" s="24"/>
      <c r="G21" s="24"/>
      <c r="H21"/>
    </row>
    <row r="22" spans="1:8" x14ac:dyDescent="0.3">
      <c r="B22" s="1" t="s">
        <v>6</v>
      </c>
      <c r="C22" s="1" t="s">
        <v>4</v>
      </c>
      <c r="D22" s="5">
        <f>SUMIF(October02_2020[[#Headers],[KSI_AGO]:[AKOSOMBO_AGO]],"*"&amp;C22,October02_2020[[#Totals],[KSI_AGO]:[AKOSOMBO_AGO]])</f>
        <v>3331500</v>
      </c>
      <c r="E22" s="1" t="s">
        <v>5</v>
      </c>
      <c r="F22" s="5">
        <f>SUMIF(October02_2020[[#Headers],[KSI_AGO]:[AKOSOMBO_AGO]],"*"&amp;E22,October02_2020[[#Totals],[KSI_AGO]:[AKOSOMBO_AGO]])</f>
        <v>1633500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000-000000000000}">
      <formula1>INDIRECT("BDC_List[BDC List]")</formula1>
    </dataValidation>
  </dataValidations>
  <pageMargins left="0.7" right="0.7" top="0.75" bottom="0.75" header="0.3" footer="0.3"/>
  <tableParts count="1">
    <tablePart r:id="rId1"/>
  </tableParts>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codeName="Sheet194"/>
  <dimension ref="A1:K32"/>
  <sheetViews>
    <sheetView workbookViewId="0">
      <selection activeCell="E12" sqref="E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44109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44109</v>
      </c>
    </row>
    <row r="7" spans="2:11" x14ac:dyDescent="0.3">
      <c r="B7" s="6" t="s">
        <v>37</v>
      </c>
      <c r="C7" s="22"/>
      <c r="D7" s="22"/>
      <c r="E7" s="22"/>
      <c r="F7" s="22"/>
      <c r="G7" s="22"/>
      <c r="H7" s="67">
        <f>$G$3</f>
        <v>44109</v>
      </c>
    </row>
    <row r="8" spans="2:11" x14ac:dyDescent="0.3">
      <c r="B8" s="6" t="s">
        <v>17</v>
      </c>
      <c r="C8" s="22"/>
      <c r="D8" s="22"/>
      <c r="E8" s="22"/>
      <c r="F8" s="22"/>
      <c r="G8" s="22"/>
      <c r="H8" s="12">
        <f t="shared" si="0"/>
        <v>44109</v>
      </c>
    </row>
    <row r="9" spans="2:11" ht="15.6" x14ac:dyDescent="0.3">
      <c r="B9" s="34" t="s">
        <v>0</v>
      </c>
      <c r="C9" s="60"/>
      <c r="D9" s="60"/>
      <c r="E9" s="60"/>
      <c r="F9" s="60"/>
      <c r="G9" s="61"/>
      <c r="H9" s="12">
        <f t="shared" si="0"/>
        <v>44109</v>
      </c>
    </row>
    <row r="10" spans="2:11" x14ac:dyDescent="0.3">
      <c r="B10" s="6" t="s">
        <v>25</v>
      </c>
      <c r="C10" s="22"/>
      <c r="D10" s="22"/>
      <c r="E10" s="22"/>
      <c r="F10" s="22"/>
      <c r="G10" s="22"/>
      <c r="H10" s="12">
        <f t="shared" si="0"/>
        <v>44109</v>
      </c>
    </row>
    <row r="11" spans="2:11" x14ac:dyDescent="0.3">
      <c r="B11" s="6" t="s">
        <v>15</v>
      </c>
      <c r="C11" s="22"/>
      <c r="D11" s="22"/>
      <c r="E11" s="22"/>
      <c r="F11" s="48"/>
      <c r="G11" s="22"/>
      <c r="H11" s="12">
        <f t="shared" si="0"/>
        <v>44109</v>
      </c>
    </row>
    <row r="12" spans="2:11" x14ac:dyDescent="0.3">
      <c r="B12" s="6" t="s">
        <v>26</v>
      </c>
      <c r="C12" s="22"/>
      <c r="D12" s="22"/>
      <c r="E12" s="22"/>
      <c r="F12" s="22"/>
      <c r="G12" s="22"/>
      <c r="H12" s="12">
        <f t="shared" si="0"/>
        <v>44109</v>
      </c>
    </row>
    <row r="13" spans="2:11" x14ac:dyDescent="0.3">
      <c r="B13" s="6" t="s">
        <v>22</v>
      </c>
      <c r="C13" s="23"/>
      <c r="D13" s="23"/>
      <c r="E13" s="23"/>
      <c r="F13" s="22"/>
      <c r="G13" s="23"/>
      <c r="H13" s="12">
        <f t="shared" si="0"/>
        <v>44109</v>
      </c>
      <c r="K13" s="4"/>
    </row>
    <row r="14" spans="2:11" x14ac:dyDescent="0.3">
      <c r="B14" s="6" t="s">
        <v>19</v>
      </c>
      <c r="C14" s="22"/>
      <c r="D14" s="22"/>
      <c r="E14" s="22"/>
      <c r="F14" s="22"/>
      <c r="G14" s="22"/>
      <c r="H14" s="12">
        <f t="shared" si="0"/>
        <v>44109</v>
      </c>
    </row>
    <row r="15" spans="2:11" x14ac:dyDescent="0.3">
      <c r="B15" s="6" t="s">
        <v>14</v>
      </c>
      <c r="C15" s="22">
        <v>909000</v>
      </c>
      <c r="D15" s="22"/>
      <c r="E15" s="22">
        <v>910000</v>
      </c>
      <c r="F15" s="22"/>
      <c r="G15" s="22"/>
      <c r="H15" s="12">
        <f t="shared" si="0"/>
        <v>44109</v>
      </c>
    </row>
    <row r="16" spans="2:11" x14ac:dyDescent="0.3">
      <c r="B16" s="6" t="s">
        <v>24</v>
      </c>
      <c r="C16" s="22"/>
      <c r="D16" s="22"/>
      <c r="E16" s="22"/>
      <c r="F16" s="49"/>
      <c r="G16" s="22"/>
      <c r="H16" s="12">
        <f t="shared" si="0"/>
        <v>44109</v>
      </c>
    </row>
    <row r="17" spans="1:8" x14ac:dyDescent="0.3">
      <c r="B17" s="6" t="s">
        <v>21</v>
      </c>
      <c r="C17" s="22"/>
      <c r="D17" s="22"/>
      <c r="E17" s="22"/>
      <c r="F17" s="22"/>
      <c r="G17" s="22"/>
      <c r="H17" s="12">
        <f t="shared" si="0"/>
        <v>44109</v>
      </c>
    </row>
    <row r="18" spans="1:8" x14ac:dyDescent="0.3">
      <c r="B18" s="6" t="s">
        <v>18</v>
      </c>
      <c r="C18" s="22"/>
      <c r="D18" s="22"/>
      <c r="E18" s="22"/>
      <c r="F18" s="22"/>
      <c r="G18" s="22"/>
      <c r="H18" s="12">
        <f t="shared" si="0"/>
        <v>44109</v>
      </c>
    </row>
    <row r="19" spans="1:8" x14ac:dyDescent="0.3">
      <c r="B19" s="6" t="s">
        <v>16</v>
      </c>
      <c r="C19" s="22">
        <v>50000</v>
      </c>
      <c r="D19" s="22"/>
      <c r="E19" s="22"/>
      <c r="F19" s="22"/>
      <c r="G19" s="22"/>
      <c r="H19" s="12">
        <f t="shared" si="0"/>
        <v>44109</v>
      </c>
    </row>
    <row r="20" spans="1:8" x14ac:dyDescent="0.3">
      <c r="B20" s="50" t="s">
        <v>27</v>
      </c>
      <c r="C20" s="51">
        <f>SUBTOTAL(109,October05_2020[KSI_AGO])</f>
        <v>959000</v>
      </c>
      <c r="D20" s="51">
        <f>SUBTOTAL(109,October05_2020[KSI_PMS])</f>
        <v>0</v>
      </c>
      <c r="E20" s="51">
        <f>SUBTOTAL(109,October05_2020[BUIPE_AGO])</f>
        <v>910000</v>
      </c>
      <c r="F20" s="51">
        <f>SUBTOTAL(109,October05_2020[BUIPE_PMS])</f>
        <v>0</v>
      </c>
      <c r="G20" s="51">
        <f>SUBTOTAL(109,October05_2020[AKOSOMBO_AGO])</f>
        <v>0</v>
      </c>
      <c r="H20" s="52"/>
    </row>
    <row r="21" spans="1:8" x14ac:dyDescent="0.3">
      <c r="B21" s="8"/>
      <c r="C21" s="24"/>
      <c r="D21" s="24"/>
      <c r="E21" s="24"/>
      <c r="F21" s="24"/>
      <c r="G21" s="24"/>
      <c r="H21"/>
    </row>
    <row r="22" spans="1:8" x14ac:dyDescent="0.3">
      <c r="B22" s="1" t="s">
        <v>6</v>
      </c>
      <c r="C22" s="1" t="s">
        <v>4</v>
      </c>
      <c r="D22" s="5">
        <f>SUMIF(October05_2020[[#Headers],[KSI_AGO]:[AKOSOMBO_AGO]],"*"&amp;C22,October05_2020[[#Totals],[KSI_AGO]:[AKOSOMBO_AGO]])</f>
        <v>1869000</v>
      </c>
      <c r="E22" s="1" t="s">
        <v>5</v>
      </c>
      <c r="F22" s="5">
        <f>SUMIF(October05_2020[[#Headers],[KSI_AGO]:[AKOSOMBO_AGO]],"*"&amp;E22,October05_2020[[#Totals],[KSI_AGO]:[AKOSOMBO_AGO]])</f>
        <v>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100-000000000000}">
      <formula1>INDIRECT("BDC_List[BDC List]")</formula1>
    </dataValidation>
  </dataValidations>
  <pageMargins left="0.7" right="0.7" top="0.75" bottom="0.75" header="0.3" footer="0.3"/>
  <tableParts count="1">
    <tablePart r:id="rId1"/>
  </tableParts>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codeName="Sheet195"/>
  <dimension ref="A1:K32"/>
  <sheetViews>
    <sheetView topLeftCell="C1" workbookViewId="0">
      <selection activeCell="F12" sqref="F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44110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44110</v>
      </c>
    </row>
    <row r="7" spans="2:11" x14ac:dyDescent="0.3">
      <c r="B7" s="6" t="s">
        <v>37</v>
      </c>
      <c r="C7" s="22"/>
      <c r="D7" s="22"/>
      <c r="E7" s="22"/>
      <c r="F7" s="22"/>
      <c r="G7" s="22"/>
      <c r="H7" s="67">
        <f>$G$3</f>
        <v>44110</v>
      </c>
    </row>
    <row r="8" spans="2:11" x14ac:dyDescent="0.3">
      <c r="B8" s="6" t="s">
        <v>17</v>
      </c>
      <c r="C8" s="22"/>
      <c r="D8" s="22"/>
      <c r="E8" s="22"/>
      <c r="F8" s="22"/>
      <c r="G8" s="22"/>
      <c r="H8" s="12">
        <f t="shared" si="0"/>
        <v>44110</v>
      </c>
    </row>
    <row r="9" spans="2:11" ht="15.6" x14ac:dyDescent="0.3">
      <c r="B9" s="34" t="s">
        <v>0</v>
      </c>
      <c r="C9" s="60"/>
      <c r="D9" s="60"/>
      <c r="E9" s="60"/>
      <c r="F9" s="60"/>
      <c r="G9" s="61"/>
      <c r="H9" s="12">
        <f t="shared" si="0"/>
        <v>44110</v>
      </c>
    </row>
    <row r="10" spans="2:11" x14ac:dyDescent="0.3">
      <c r="B10" s="6" t="s">
        <v>25</v>
      </c>
      <c r="C10" s="22"/>
      <c r="D10" s="22">
        <v>144000</v>
      </c>
      <c r="E10" s="22"/>
      <c r="F10" s="22"/>
      <c r="G10" s="22"/>
      <c r="H10" s="12">
        <f t="shared" si="0"/>
        <v>44110</v>
      </c>
    </row>
    <row r="11" spans="2:11" x14ac:dyDescent="0.3">
      <c r="B11" s="6" t="s">
        <v>15</v>
      </c>
      <c r="C11" s="22"/>
      <c r="D11" s="22"/>
      <c r="E11" s="22"/>
      <c r="F11" s="48"/>
      <c r="G11" s="22"/>
      <c r="H11" s="12">
        <f t="shared" si="0"/>
        <v>44110</v>
      </c>
    </row>
    <row r="12" spans="2:11" x14ac:dyDescent="0.3">
      <c r="B12" s="6" t="s">
        <v>26</v>
      </c>
      <c r="C12" s="22"/>
      <c r="D12" s="22"/>
      <c r="E12" s="22"/>
      <c r="F12" s="22"/>
      <c r="G12" s="22"/>
      <c r="H12" s="12">
        <f t="shared" si="0"/>
        <v>44110</v>
      </c>
    </row>
    <row r="13" spans="2:11" x14ac:dyDescent="0.3">
      <c r="B13" s="6" t="s">
        <v>22</v>
      </c>
      <c r="C13" s="23"/>
      <c r="D13" s="23"/>
      <c r="E13" s="23"/>
      <c r="F13" s="22"/>
      <c r="G13" s="23"/>
      <c r="H13" s="12">
        <f t="shared" si="0"/>
        <v>44110</v>
      </c>
      <c r="K13" s="4"/>
    </row>
    <row r="14" spans="2:11" x14ac:dyDescent="0.3">
      <c r="B14" s="6" t="s">
        <v>19</v>
      </c>
      <c r="C14" s="22">
        <v>752000</v>
      </c>
      <c r="D14" s="22"/>
      <c r="E14" s="22"/>
      <c r="F14" s="22"/>
      <c r="G14" s="22"/>
      <c r="H14" s="12">
        <f t="shared" si="0"/>
        <v>44110</v>
      </c>
    </row>
    <row r="15" spans="2:11" x14ac:dyDescent="0.3">
      <c r="B15" s="6" t="s">
        <v>14</v>
      </c>
      <c r="C15" s="22">
        <v>473000</v>
      </c>
      <c r="D15" s="22">
        <v>50000</v>
      </c>
      <c r="E15" s="22">
        <v>481000</v>
      </c>
      <c r="F15" s="22"/>
      <c r="G15" s="22">
        <v>45000</v>
      </c>
      <c r="H15" s="12">
        <f t="shared" si="0"/>
        <v>44110</v>
      </c>
    </row>
    <row r="16" spans="2:11" x14ac:dyDescent="0.3">
      <c r="B16" s="6" t="s">
        <v>24</v>
      </c>
      <c r="C16" s="22"/>
      <c r="D16" s="22"/>
      <c r="E16" s="22"/>
      <c r="F16" s="49"/>
      <c r="G16" s="22"/>
      <c r="H16" s="12">
        <f t="shared" si="0"/>
        <v>44110</v>
      </c>
    </row>
    <row r="17" spans="1:8" x14ac:dyDescent="0.3">
      <c r="B17" s="6" t="s">
        <v>21</v>
      </c>
      <c r="C17" s="22"/>
      <c r="D17" s="22"/>
      <c r="E17" s="22"/>
      <c r="F17" s="22"/>
      <c r="G17" s="22"/>
      <c r="H17" s="12">
        <f t="shared" si="0"/>
        <v>44110</v>
      </c>
    </row>
    <row r="18" spans="1:8" x14ac:dyDescent="0.3">
      <c r="B18" s="6" t="s">
        <v>18</v>
      </c>
      <c r="C18" s="22">
        <v>313500</v>
      </c>
      <c r="D18" s="22"/>
      <c r="E18" s="22">
        <v>54000</v>
      </c>
      <c r="F18" s="22"/>
      <c r="G18" s="22"/>
      <c r="H18" s="12">
        <f t="shared" si="0"/>
        <v>44110</v>
      </c>
    </row>
    <row r="19" spans="1:8" x14ac:dyDescent="0.3">
      <c r="B19" s="6" t="s">
        <v>16</v>
      </c>
      <c r="C19" s="22"/>
      <c r="D19" s="22"/>
      <c r="E19" s="22"/>
      <c r="F19" s="22"/>
      <c r="G19" s="22"/>
      <c r="H19" s="12">
        <f t="shared" si="0"/>
        <v>44110</v>
      </c>
    </row>
    <row r="20" spans="1:8" x14ac:dyDescent="0.3">
      <c r="B20" s="50" t="s">
        <v>27</v>
      </c>
      <c r="C20" s="51">
        <f>SUBTOTAL(109,October06_2020[KSI_AGO])</f>
        <v>1538500</v>
      </c>
      <c r="D20" s="51">
        <f>SUBTOTAL(109,October06_2020[KSI_PMS])</f>
        <v>194000</v>
      </c>
      <c r="E20" s="51">
        <f>SUBTOTAL(109,October06_2020[BUIPE_AGO])</f>
        <v>535000</v>
      </c>
      <c r="F20" s="51">
        <f>SUBTOTAL(109,October06_2020[BUIPE_PMS])</f>
        <v>0</v>
      </c>
      <c r="G20" s="51">
        <f>SUBTOTAL(109,October06_2020[AKOSOMBO_AGO])</f>
        <v>45000</v>
      </c>
      <c r="H20" s="52"/>
    </row>
    <row r="21" spans="1:8" x14ac:dyDescent="0.3">
      <c r="B21" s="8"/>
      <c r="C21" s="24"/>
      <c r="D21" s="24"/>
      <c r="E21" s="24"/>
      <c r="F21" s="24"/>
      <c r="G21" s="24"/>
      <c r="H21"/>
    </row>
    <row r="22" spans="1:8" x14ac:dyDescent="0.3">
      <c r="B22" s="1" t="s">
        <v>6</v>
      </c>
      <c r="C22" s="1" t="s">
        <v>4</v>
      </c>
      <c r="D22" s="5">
        <f>SUMIF(October06_2020[[#Headers],[KSI_AGO]:[AKOSOMBO_AGO]],"*"&amp;C22,October06_2020[[#Totals],[KSI_AGO]:[AKOSOMBO_AGO]])</f>
        <v>2118500</v>
      </c>
      <c r="E22" s="1" t="s">
        <v>5</v>
      </c>
      <c r="F22" s="5">
        <f>SUMIF(October06_2020[[#Headers],[KSI_AGO]:[AKOSOMBO_AGO]],"*"&amp;E22,October06_2020[[#Totals],[KSI_AGO]:[AKOSOMBO_AGO]])</f>
        <v>194000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200-000000000000}">
      <formula1>INDIRECT("BDC_List[BDC List]")</formula1>
    </dataValidation>
  </dataValidations>
  <pageMargins left="0.7" right="0.7" top="0.75" bottom="0.75" header="0.3" footer="0.3"/>
  <tableParts count="1">
    <tablePart r:id="rId1"/>
  </tableParts>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codeName="Sheet196"/>
  <dimension ref="A1:K32"/>
  <sheetViews>
    <sheetView topLeftCell="B1" workbookViewId="0">
      <selection activeCell="E15" sqref="E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44111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44111</v>
      </c>
    </row>
    <row r="7" spans="2:11" x14ac:dyDescent="0.3">
      <c r="B7" s="6" t="s">
        <v>37</v>
      </c>
      <c r="C7" s="22"/>
      <c r="D7" s="22"/>
      <c r="E7" s="22"/>
      <c r="F7" s="22"/>
      <c r="G7" s="22"/>
      <c r="H7" s="67">
        <f>$G$3</f>
        <v>44111</v>
      </c>
    </row>
    <row r="8" spans="2:11" x14ac:dyDescent="0.3">
      <c r="B8" s="6" t="s">
        <v>17</v>
      </c>
      <c r="C8" s="22"/>
      <c r="D8" s="22"/>
      <c r="E8" s="22"/>
      <c r="F8" s="22"/>
      <c r="G8" s="22"/>
      <c r="H8" s="12">
        <f t="shared" si="0"/>
        <v>44111</v>
      </c>
    </row>
    <row r="9" spans="2:11" ht="15.6" x14ac:dyDescent="0.3">
      <c r="B9" s="34" t="s">
        <v>0</v>
      </c>
      <c r="C9" s="60"/>
      <c r="D9" s="60"/>
      <c r="E9" s="60"/>
      <c r="F9" s="60"/>
      <c r="G9" s="61"/>
      <c r="H9" s="12">
        <f t="shared" si="0"/>
        <v>44111</v>
      </c>
    </row>
    <row r="10" spans="2:11" x14ac:dyDescent="0.3">
      <c r="B10" s="6" t="s">
        <v>25</v>
      </c>
      <c r="C10" s="22">
        <v>54000</v>
      </c>
      <c r="D10" s="22"/>
      <c r="E10" s="22"/>
      <c r="F10" s="22"/>
      <c r="G10" s="22"/>
      <c r="H10" s="12">
        <f t="shared" si="0"/>
        <v>44111</v>
      </c>
    </row>
    <row r="11" spans="2:11" x14ac:dyDescent="0.3">
      <c r="B11" s="6" t="s">
        <v>15</v>
      </c>
      <c r="C11" s="22"/>
      <c r="D11" s="22"/>
      <c r="E11" s="22"/>
      <c r="F11" s="48"/>
      <c r="G11" s="22"/>
      <c r="H11" s="12">
        <f t="shared" si="0"/>
        <v>44111</v>
      </c>
    </row>
    <row r="12" spans="2:11" x14ac:dyDescent="0.3">
      <c r="B12" s="6" t="s">
        <v>26</v>
      </c>
      <c r="C12" s="22"/>
      <c r="D12" s="22"/>
      <c r="E12" s="22"/>
      <c r="F12" s="22"/>
      <c r="G12" s="22"/>
      <c r="H12" s="12">
        <f t="shared" si="0"/>
        <v>44111</v>
      </c>
    </row>
    <row r="13" spans="2:11" x14ac:dyDescent="0.3">
      <c r="B13" s="6" t="s">
        <v>22</v>
      </c>
      <c r="C13" s="23"/>
      <c r="D13" s="23"/>
      <c r="E13" s="23"/>
      <c r="F13" s="22"/>
      <c r="G13" s="23"/>
      <c r="H13" s="12">
        <f t="shared" si="0"/>
        <v>44111</v>
      </c>
      <c r="K13" s="4"/>
    </row>
    <row r="14" spans="2:11" x14ac:dyDescent="0.3">
      <c r="B14" s="6" t="s">
        <v>19</v>
      </c>
      <c r="C14" s="22">
        <v>966000</v>
      </c>
      <c r="D14" s="22"/>
      <c r="E14" s="22"/>
      <c r="F14" s="22"/>
      <c r="G14" s="22"/>
      <c r="H14" s="12">
        <f t="shared" si="0"/>
        <v>44111</v>
      </c>
    </row>
    <row r="15" spans="2:11" x14ac:dyDescent="0.3">
      <c r="B15" s="6" t="s">
        <v>14</v>
      </c>
      <c r="C15" s="22">
        <v>162000</v>
      </c>
      <c r="D15" s="22">
        <v>100000</v>
      </c>
      <c r="E15" s="22">
        <v>324000</v>
      </c>
      <c r="F15" s="22"/>
      <c r="G15" s="22">
        <v>432000</v>
      </c>
      <c r="H15" s="12">
        <f t="shared" si="0"/>
        <v>44111</v>
      </c>
    </row>
    <row r="16" spans="2:11" x14ac:dyDescent="0.3">
      <c r="B16" s="6" t="s">
        <v>24</v>
      </c>
      <c r="C16" s="22">
        <v>162000</v>
      </c>
      <c r="D16" s="22"/>
      <c r="E16" s="22"/>
      <c r="F16" s="49"/>
      <c r="G16" s="22"/>
      <c r="H16" s="12">
        <f t="shared" si="0"/>
        <v>44111</v>
      </c>
    </row>
    <row r="17" spans="1:8" x14ac:dyDescent="0.3">
      <c r="B17" s="6" t="s">
        <v>21</v>
      </c>
      <c r="C17" s="22"/>
      <c r="D17" s="22"/>
      <c r="E17" s="22"/>
      <c r="F17" s="22"/>
      <c r="G17" s="22"/>
      <c r="H17" s="12">
        <f t="shared" si="0"/>
        <v>44111</v>
      </c>
    </row>
    <row r="18" spans="1:8" x14ac:dyDescent="0.3">
      <c r="B18" s="6" t="s">
        <v>18</v>
      </c>
      <c r="C18" s="22"/>
      <c r="D18" s="22"/>
      <c r="E18" s="22"/>
      <c r="F18" s="22"/>
      <c r="G18" s="22"/>
      <c r="H18" s="12">
        <f t="shared" si="0"/>
        <v>44111</v>
      </c>
    </row>
    <row r="19" spans="1:8" x14ac:dyDescent="0.3">
      <c r="B19" s="6" t="s">
        <v>16</v>
      </c>
      <c r="C19" s="22"/>
      <c r="D19" s="22"/>
      <c r="E19" s="22"/>
      <c r="F19" s="22"/>
      <c r="G19" s="22"/>
      <c r="H19" s="12">
        <f t="shared" si="0"/>
        <v>44111</v>
      </c>
    </row>
    <row r="20" spans="1:8" x14ac:dyDescent="0.3">
      <c r="B20" s="50" t="s">
        <v>27</v>
      </c>
      <c r="C20" s="51">
        <f>SUBTOTAL(109,October07_2020[KSI_AGO])</f>
        <v>1344000</v>
      </c>
      <c r="D20" s="51">
        <f>SUBTOTAL(109,October07_2020[KSI_PMS])</f>
        <v>100000</v>
      </c>
      <c r="E20" s="51">
        <f>SUBTOTAL(109,October07_2020[BUIPE_AGO])</f>
        <v>324000</v>
      </c>
      <c r="F20" s="51">
        <f>SUBTOTAL(109,October07_2020[BUIPE_PMS])</f>
        <v>0</v>
      </c>
      <c r="G20" s="51">
        <f>SUBTOTAL(109,October07_2020[AKOSOMBO_AGO])</f>
        <v>432000</v>
      </c>
      <c r="H20" s="52"/>
    </row>
    <row r="21" spans="1:8" x14ac:dyDescent="0.3">
      <c r="B21" s="8"/>
      <c r="C21" s="24"/>
      <c r="D21" s="24"/>
      <c r="E21" s="24"/>
      <c r="F21" s="24"/>
      <c r="G21" s="24"/>
      <c r="H21"/>
    </row>
    <row r="22" spans="1:8" x14ac:dyDescent="0.3">
      <c r="B22" s="1" t="s">
        <v>6</v>
      </c>
      <c r="C22" s="1" t="s">
        <v>4</v>
      </c>
      <c r="D22" s="5">
        <f>SUMIF(October07_2020[[#Headers],[KSI_AGO]:[AKOSOMBO_AGO]],"*"&amp;C22,October07_2020[[#Totals],[KSI_AGO]:[AKOSOMBO_AGO]])</f>
        <v>2100000</v>
      </c>
      <c r="E22" s="1" t="s">
        <v>5</v>
      </c>
      <c r="F22" s="5">
        <f>SUMIF(October07_2020[[#Headers],[KSI_AGO]:[AKOSOMBO_AGO]],"*"&amp;E22,October07_2020[[#Totals],[KSI_AGO]:[AKOSOMBO_AGO]])</f>
        <v>100000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300-000000000000}">
      <formula1>INDIRECT("BDC_List[BDC List]")</formula1>
    </dataValidation>
  </dataValidations>
  <pageMargins left="0.7" right="0.7" top="0.75" bottom="0.75" header="0.3" footer="0.3"/>
  <tableParts count="1">
    <tablePart r:id="rId1"/>
  </tableParts>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codeName="Sheet197"/>
  <dimension ref="A1:K32"/>
  <sheetViews>
    <sheetView topLeftCell="C1" workbookViewId="0">
      <selection activeCell="G9" sqref="G9"/>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44112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44112</v>
      </c>
    </row>
    <row r="7" spans="2:11" x14ac:dyDescent="0.3">
      <c r="B7" s="6" t="s">
        <v>37</v>
      </c>
      <c r="C7" s="22"/>
      <c r="D7" s="22"/>
      <c r="E7" s="22"/>
      <c r="F7" s="22"/>
      <c r="G7" s="22"/>
      <c r="H7" s="67">
        <f>$G$3</f>
        <v>44112</v>
      </c>
    </row>
    <row r="8" spans="2:11" x14ac:dyDescent="0.3">
      <c r="B8" s="6" t="s">
        <v>17</v>
      </c>
      <c r="C8" s="22"/>
      <c r="D8" s="22"/>
      <c r="E8" s="22"/>
      <c r="F8" s="22"/>
      <c r="G8" s="22"/>
      <c r="H8" s="12">
        <f t="shared" si="0"/>
        <v>44112</v>
      </c>
    </row>
    <row r="9" spans="2:11" ht="15.6" x14ac:dyDescent="0.3">
      <c r="B9" s="34" t="s">
        <v>0</v>
      </c>
      <c r="C9" s="60"/>
      <c r="D9" s="60"/>
      <c r="E9" s="60"/>
      <c r="F9" s="60"/>
      <c r="G9" s="61"/>
      <c r="H9" s="12">
        <f t="shared" si="0"/>
        <v>44112</v>
      </c>
    </row>
    <row r="10" spans="2:11" x14ac:dyDescent="0.3">
      <c r="B10" s="6" t="s">
        <v>25</v>
      </c>
      <c r="C10" s="22">
        <v>54000</v>
      </c>
      <c r="D10" s="22"/>
      <c r="E10" s="22"/>
      <c r="F10" s="22"/>
      <c r="G10" s="22"/>
      <c r="H10" s="12">
        <f t="shared" si="0"/>
        <v>44112</v>
      </c>
    </row>
    <row r="11" spans="2:11" x14ac:dyDescent="0.3">
      <c r="B11" s="6" t="s">
        <v>15</v>
      </c>
      <c r="C11" s="22">
        <v>54000</v>
      </c>
      <c r="D11" s="22"/>
      <c r="E11" s="22"/>
      <c r="F11" s="48"/>
      <c r="G11" s="22"/>
      <c r="H11" s="12">
        <f t="shared" si="0"/>
        <v>44112</v>
      </c>
    </row>
    <row r="12" spans="2:11" x14ac:dyDescent="0.3">
      <c r="B12" s="6" t="s">
        <v>26</v>
      </c>
      <c r="C12" s="22"/>
      <c r="D12" s="22"/>
      <c r="E12" s="22"/>
      <c r="F12" s="22"/>
      <c r="G12" s="22"/>
      <c r="H12" s="12">
        <f t="shared" si="0"/>
        <v>44112</v>
      </c>
    </row>
    <row r="13" spans="2:11" x14ac:dyDescent="0.3">
      <c r="B13" s="6" t="s">
        <v>22</v>
      </c>
      <c r="C13" s="23"/>
      <c r="D13" s="23"/>
      <c r="E13" s="23"/>
      <c r="F13" s="22"/>
      <c r="G13" s="23"/>
      <c r="H13" s="12">
        <f t="shared" si="0"/>
        <v>44112</v>
      </c>
      <c r="K13" s="4"/>
    </row>
    <row r="14" spans="2:11" x14ac:dyDescent="0.3">
      <c r="B14" s="6" t="s">
        <v>19</v>
      </c>
      <c r="C14" s="22">
        <v>756000</v>
      </c>
      <c r="D14" s="22"/>
      <c r="E14" s="22"/>
      <c r="F14" s="22"/>
      <c r="G14" s="22"/>
      <c r="H14" s="12">
        <f t="shared" si="0"/>
        <v>44112</v>
      </c>
    </row>
    <row r="15" spans="2:11" x14ac:dyDescent="0.3">
      <c r="B15" s="6" t="s">
        <v>14</v>
      </c>
      <c r="C15" s="22">
        <v>206000</v>
      </c>
      <c r="D15" s="22">
        <v>45000</v>
      </c>
      <c r="E15" s="22">
        <v>648000</v>
      </c>
      <c r="F15" s="22"/>
      <c r="G15" s="22"/>
      <c r="H15" s="12">
        <f t="shared" si="0"/>
        <v>44112</v>
      </c>
    </row>
    <row r="16" spans="2:11" x14ac:dyDescent="0.3">
      <c r="B16" s="6" t="s">
        <v>24</v>
      </c>
      <c r="C16" s="22">
        <v>971500</v>
      </c>
      <c r="D16" s="22">
        <v>45000</v>
      </c>
      <c r="E16" s="22"/>
      <c r="F16" s="49"/>
      <c r="G16" s="22"/>
      <c r="H16" s="12">
        <f t="shared" si="0"/>
        <v>44112</v>
      </c>
    </row>
    <row r="17" spans="1:8" x14ac:dyDescent="0.3">
      <c r="B17" s="6" t="s">
        <v>21</v>
      </c>
      <c r="C17" s="22"/>
      <c r="D17" s="22"/>
      <c r="E17" s="22"/>
      <c r="F17" s="22"/>
      <c r="G17" s="22"/>
      <c r="H17" s="12">
        <f t="shared" si="0"/>
        <v>44112</v>
      </c>
    </row>
    <row r="18" spans="1:8" x14ac:dyDescent="0.3">
      <c r="B18" s="6" t="s">
        <v>18</v>
      </c>
      <c r="C18" s="22"/>
      <c r="D18" s="22"/>
      <c r="E18" s="22"/>
      <c r="F18" s="22"/>
      <c r="G18" s="22"/>
      <c r="H18" s="12">
        <f t="shared" si="0"/>
        <v>44112</v>
      </c>
    </row>
    <row r="19" spans="1:8" x14ac:dyDescent="0.3">
      <c r="B19" s="6" t="s">
        <v>16</v>
      </c>
      <c r="C19" s="22"/>
      <c r="D19" s="22"/>
      <c r="E19" s="22"/>
      <c r="F19" s="22"/>
      <c r="G19" s="22"/>
      <c r="H19" s="12">
        <f t="shared" si="0"/>
        <v>44112</v>
      </c>
    </row>
    <row r="20" spans="1:8" x14ac:dyDescent="0.3">
      <c r="B20" s="50" t="s">
        <v>27</v>
      </c>
      <c r="C20" s="51">
        <f>SUBTOTAL(109,October08_2020[KSI_AGO])</f>
        <v>2041500</v>
      </c>
      <c r="D20" s="51">
        <f>SUBTOTAL(109,October08_2020[KSI_PMS])</f>
        <v>90000</v>
      </c>
      <c r="E20" s="51">
        <f>SUBTOTAL(109,October08_2020[BUIPE_AGO])</f>
        <v>648000</v>
      </c>
      <c r="F20" s="51">
        <f>SUBTOTAL(109,October08_2020[BUIPE_PMS])</f>
        <v>0</v>
      </c>
      <c r="G20" s="51">
        <f>SUBTOTAL(109,October08_2020[AKOSOMBO_AGO])</f>
        <v>0</v>
      </c>
      <c r="H20" s="52"/>
    </row>
    <row r="21" spans="1:8" x14ac:dyDescent="0.3">
      <c r="B21" s="8"/>
      <c r="C21" s="24"/>
      <c r="D21" s="24"/>
      <c r="E21" s="24"/>
      <c r="F21" s="24"/>
      <c r="G21" s="24"/>
      <c r="H21"/>
    </row>
    <row r="22" spans="1:8" x14ac:dyDescent="0.3">
      <c r="B22" s="1" t="s">
        <v>6</v>
      </c>
      <c r="C22" s="1" t="s">
        <v>4</v>
      </c>
      <c r="D22" s="5">
        <f>SUMIF(October08_2020[[#Headers],[KSI_AGO]:[AKOSOMBO_AGO]],"*"&amp;C22,October08_2020[[#Totals],[KSI_AGO]:[AKOSOMBO_AGO]])</f>
        <v>2689500</v>
      </c>
      <c r="E22" s="1" t="s">
        <v>5</v>
      </c>
      <c r="F22" s="5">
        <f>SUMIF(October08_2020[[#Headers],[KSI_AGO]:[AKOSOMBO_AGO]],"*"&amp;E22,October08_2020[[#Totals],[KSI_AGO]:[AKOSOMBO_AGO]])</f>
        <v>90000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400-000000000000}">
      <formula1>INDIRECT("BDC_List[BDC List]")</formula1>
    </dataValidation>
  </dataValidations>
  <pageMargins left="0.7" right="0.7" top="0.75" bottom="0.75" header="0.3" footer="0.3"/>
  <tableParts count="1">
    <tablePart r:id="rId1"/>
  </tableParts>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codeName="Sheet198"/>
  <dimension ref="A1:K32"/>
  <sheetViews>
    <sheetView topLeftCell="C1" workbookViewId="0">
      <selection activeCell="G12" sqref="G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44113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44113</v>
      </c>
    </row>
    <row r="7" spans="2:11" x14ac:dyDescent="0.3">
      <c r="B7" s="6" t="s">
        <v>37</v>
      </c>
      <c r="C7" s="22"/>
      <c r="D7" s="22"/>
      <c r="E7" s="22"/>
      <c r="F7" s="22"/>
      <c r="G7" s="22"/>
      <c r="H7" s="67">
        <f>$G$3</f>
        <v>44113</v>
      </c>
    </row>
    <row r="8" spans="2:11" x14ac:dyDescent="0.3">
      <c r="B8" s="6" t="s">
        <v>17</v>
      </c>
      <c r="C8" s="22"/>
      <c r="D8" s="22"/>
      <c r="E8" s="22"/>
      <c r="F8" s="22"/>
      <c r="G8" s="22"/>
      <c r="H8" s="12">
        <f t="shared" si="0"/>
        <v>44113</v>
      </c>
    </row>
    <row r="9" spans="2:11" ht="15.6" x14ac:dyDescent="0.3">
      <c r="B9" s="34" t="s">
        <v>0</v>
      </c>
      <c r="C9" s="60"/>
      <c r="D9" s="60"/>
      <c r="E9" s="60"/>
      <c r="F9" s="60"/>
      <c r="G9" s="61"/>
      <c r="H9" s="12">
        <f t="shared" si="0"/>
        <v>44113</v>
      </c>
    </row>
    <row r="10" spans="2:11" x14ac:dyDescent="0.3">
      <c r="B10" s="6" t="s">
        <v>25</v>
      </c>
      <c r="C10" s="22"/>
      <c r="D10" s="22"/>
      <c r="E10" s="22"/>
      <c r="F10" s="22"/>
      <c r="G10" s="22"/>
      <c r="H10" s="12">
        <f t="shared" si="0"/>
        <v>44113</v>
      </c>
    </row>
    <row r="11" spans="2:11" x14ac:dyDescent="0.3">
      <c r="B11" s="6" t="s">
        <v>15</v>
      </c>
      <c r="C11" s="22">
        <v>54000</v>
      </c>
      <c r="D11" s="22"/>
      <c r="E11" s="22"/>
      <c r="F11" s="48"/>
      <c r="G11" s="22"/>
      <c r="H11" s="12">
        <f t="shared" si="0"/>
        <v>44113</v>
      </c>
    </row>
    <row r="12" spans="2:11" x14ac:dyDescent="0.3">
      <c r="B12" s="6" t="s">
        <v>26</v>
      </c>
      <c r="C12" s="22"/>
      <c r="D12" s="22"/>
      <c r="E12" s="22"/>
      <c r="F12" s="22"/>
      <c r="G12" s="22"/>
      <c r="H12" s="12">
        <f t="shared" si="0"/>
        <v>44113</v>
      </c>
    </row>
    <row r="13" spans="2:11" x14ac:dyDescent="0.3">
      <c r="B13" s="6" t="s">
        <v>22</v>
      </c>
      <c r="C13" s="23"/>
      <c r="D13" s="23"/>
      <c r="E13" s="23"/>
      <c r="F13" s="22"/>
      <c r="G13" s="23"/>
      <c r="H13" s="12">
        <f t="shared" si="0"/>
        <v>44113</v>
      </c>
      <c r="K13" s="4"/>
    </row>
    <row r="14" spans="2:11" x14ac:dyDescent="0.3">
      <c r="B14" s="6" t="s">
        <v>19</v>
      </c>
      <c r="C14" s="22"/>
      <c r="D14" s="22"/>
      <c r="E14" s="22"/>
      <c r="F14" s="22"/>
      <c r="G14" s="22"/>
      <c r="H14" s="12">
        <f t="shared" si="0"/>
        <v>44113</v>
      </c>
    </row>
    <row r="15" spans="2:11" x14ac:dyDescent="0.3">
      <c r="B15" s="6" t="s">
        <v>14</v>
      </c>
      <c r="C15" s="22">
        <v>162000</v>
      </c>
      <c r="D15" s="22">
        <v>1022000</v>
      </c>
      <c r="E15" s="22"/>
      <c r="F15" s="22">
        <v>1022000</v>
      </c>
      <c r="G15" s="22"/>
      <c r="H15" s="12">
        <f t="shared" si="0"/>
        <v>44113</v>
      </c>
    </row>
    <row r="16" spans="2:11" x14ac:dyDescent="0.3">
      <c r="B16" s="6" t="s">
        <v>24</v>
      </c>
      <c r="C16" s="22">
        <v>432000</v>
      </c>
      <c r="D16" s="22"/>
      <c r="E16" s="22"/>
      <c r="F16" s="49"/>
      <c r="G16" s="22"/>
      <c r="H16" s="12">
        <f t="shared" si="0"/>
        <v>44113</v>
      </c>
    </row>
    <row r="17" spans="1:8" x14ac:dyDescent="0.3">
      <c r="B17" s="6" t="s">
        <v>21</v>
      </c>
      <c r="C17" s="22"/>
      <c r="D17" s="22">
        <v>54000</v>
      </c>
      <c r="E17" s="22"/>
      <c r="F17" s="22"/>
      <c r="G17" s="22"/>
      <c r="H17" s="12">
        <f t="shared" si="0"/>
        <v>44113</v>
      </c>
    </row>
    <row r="18" spans="1:8" x14ac:dyDescent="0.3">
      <c r="B18" s="6" t="s">
        <v>18</v>
      </c>
      <c r="C18" s="22">
        <v>270000</v>
      </c>
      <c r="D18" s="22"/>
      <c r="E18" s="22"/>
      <c r="F18" s="22"/>
      <c r="G18" s="22"/>
      <c r="H18" s="12">
        <f t="shared" si="0"/>
        <v>44113</v>
      </c>
    </row>
    <row r="19" spans="1:8" x14ac:dyDescent="0.3">
      <c r="B19" s="6" t="s">
        <v>16</v>
      </c>
      <c r="C19" s="22"/>
      <c r="D19" s="22"/>
      <c r="E19" s="22"/>
      <c r="F19" s="22"/>
      <c r="G19" s="22"/>
      <c r="H19" s="12">
        <f t="shared" si="0"/>
        <v>44113</v>
      </c>
    </row>
    <row r="20" spans="1:8" x14ac:dyDescent="0.3">
      <c r="B20" s="50" t="s">
        <v>27</v>
      </c>
      <c r="C20" s="51">
        <f>SUBTOTAL(109,October09_2020[KSI_AGO])</f>
        <v>918000</v>
      </c>
      <c r="D20" s="51">
        <f>SUBTOTAL(109,October09_2020[KSI_PMS])</f>
        <v>1076000</v>
      </c>
      <c r="E20" s="51">
        <f>SUBTOTAL(109,October09_2020[BUIPE_AGO])</f>
        <v>0</v>
      </c>
      <c r="F20" s="51">
        <f>SUBTOTAL(109,October09_2020[BUIPE_PMS])</f>
        <v>1022000</v>
      </c>
      <c r="G20" s="51">
        <f>SUBTOTAL(109,October09_2020[AKOSOMBO_AGO])</f>
        <v>0</v>
      </c>
      <c r="H20" s="52"/>
    </row>
    <row r="21" spans="1:8" x14ac:dyDescent="0.3">
      <c r="B21" s="8"/>
      <c r="C21" s="24"/>
      <c r="D21" s="24"/>
      <c r="E21" s="24"/>
      <c r="F21" s="24"/>
      <c r="G21" s="24"/>
      <c r="H21"/>
    </row>
    <row r="22" spans="1:8" x14ac:dyDescent="0.3">
      <c r="B22" s="1" t="s">
        <v>6</v>
      </c>
      <c r="C22" s="1" t="s">
        <v>4</v>
      </c>
      <c r="D22" s="5">
        <f>SUMIF(October09_2020[[#Headers],[KSI_AGO]:[AKOSOMBO_AGO]],"*"&amp;C22,October09_2020[[#Totals],[KSI_AGO]:[AKOSOMBO_AGO]])</f>
        <v>918000</v>
      </c>
      <c r="E22" s="1" t="s">
        <v>5</v>
      </c>
      <c r="F22" s="5">
        <f>SUMIF(October09_2020[[#Headers],[KSI_AGO]:[AKOSOMBO_AGO]],"*"&amp;E22,October09_2020[[#Totals],[KSI_AGO]:[AKOSOMBO_AGO]])</f>
        <v>2098000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500-000000000000}">
      <formula1>INDIRECT("BDC_List[BDC List]")</formula1>
    </dataValidation>
  </dataValidations>
  <pageMargins left="0.7" right="0.7" top="0.75" bottom="0.75" header="0.3" footer="0.3"/>
  <legacyDrawing r:id="rId1"/>
  <tableParts count="1">
    <tablePart r:id="rId2"/>
  </tableParts>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codeName="Sheet199"/>
  <dimension ref="A1:K32"/>
  <sheetViews>
    <sheetView topLeftCell="B1" workbookViewId="0">
      <selection activeCell="F27" sqref="F27"/>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44116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44116</v>
      </c>
    </row>
    <row r="7" spans="2:11" x14ac:dyDescent="0.3">
      <c r="B7" s="6" t="s">
        <v>37</v>
      </c>
      <c r="C7" s="22"/>
      <c r="D7" s="22"/>
      <c r="E7" s="22"/>
      <c r="F7" s="22"/>
      <c r="G7" s="22"/>
      <c r="H7" s="67">
        <f>$G$3</f>
        <v>44116</v>
      </c>
    </row>
    <row r="8" spans="2:11" x14ac:dyDescent="0.3">
      <c r="B8" s="6" t="s">
        <v>17</v>
      </c>
      <c r="C8" s="22"/>
      <c r="D8" s="22"/>
      <c r="E8" s="22"/>
      <c r="F8" s="22"/>
      <c r="G8" s="22"/>
      <c r="H8" s="12">
        <f t="shared" si="0"/>
        <v>44116</v>
      </c>
    </row>
    <row r="9" spans="2:11" ht="15.6" x14ac:dyDescent="0.3">
      <c r="B9" s="34" t="s">
        <v>0</v>
      </c>
      <c r="C9" s="60"/>
      <c r="D9" s="60"/>
      <c r="E9" s="60"/>
      <c r="F9" s="60"/>
      <c r="G9" s="61"/>
      <c r="H9" s="12">
        <f t="shared" si="0"/>
        <v>44116</v>
      </c>
    </row>
    <row r="10" spans="2:11" x14ac:dyDescent="0.3">
      <c r="B10" s="6" t="s">
        <v>25</v>
      </c>
      <c r="C10" s="22"/>
      <c r="D10" s="22"/>
      <c r="E10" s="22"/>
      <c r="F10" s="22"/>
      <c r="G10" s="22"/>
      <c r="H10" s="12">
        <f t="shared" si="0"/>
        <v>44116</v>
      </c>
    </row>
    <row r="11" spans="2:11" x14ac:dyDescent="0.3">
      <c r="B11" s="6" t="s">
        <v>15</v>
      </c>
      <c r="C11" s="22"/>
      <c r="D11" s="22"/>
      <c r="E11" s="22"/>
      <c r="F11" s="48"/>
      <c r="G11" s="22"/>
      <c r="H11" s="12">
        <f t="shared" si="0"/>
        <v>44116</v>
      </c>
    </row>
    <row r="12" spans="2:11" x14ac:dyDescent="0.3">
      <c r="B12" s="6" t="s">
        <v>26</v>
      </c>
      <c r="C12" s="22"/>
      <c r="D12" s="22"/>
      <c r="E12" s="22"/>
      <c r="F12" s="22"/>
      <c r="G12" s="22"/>
      <c r="H12" s="12">
        <f t="shared" si="0"/>
        <v>44116</v>
      </c>
    </row>
    <row r="13" spans="2:11" x14ac:dyDescent="0.3">
      <c r="B13" s="6" t="s">
        <v>22</v>
      </c>
      <c r="C13" s="23"/>
      <c r="D13" s="23"/>
      <c r="E13" s="23"/>
      <c r="F13" s="22"/>
      <c r="G13" s="23"/>
      <c r="H13" s="12">
        <f t="shared" si="0"/>
        <v>44116</v>
      </c>
      <c r="K13" s="4"/>
    </row>
    <row r="14" spans="2:11" x14ac:dyDescent="0.3">
      <c r="B14" s="6" t="s">
        <v>19</v>
      </c>
      <c r="C14" s="22"/>
      <c r="D14" s="22"/>
      <c r="E14" s="22"/>
      <c r="F14" s="22"/>
      <c r="G14" s="22"/>
      <c r="H14" s="12">
        <f t="shared" si="0"/>
        <v>44116</v>
      </c>
    </row>
    <row r="15" spans="2:11" x14ac:dyDescent="0.3">
      <c r="B15" s="6" t="s">
        <v>14</v>
      </c>
      <c r="C15" s="22"/>
      <c r="D15" s="22">
        <v>1404000</v>
      </c>
      <c r="E15" s="22"/>
      <c r="F15" s="22">
        <v>374000</v>
      </c>
      <c r="G15" s="22"/>
      <c r="H15" s="12">
        <f t="shared" si="0"/>
        <v>44116</v>
      </c>
    </row>
    <row r="16" spans="2:11" x14ac:dyDescent="0.3">
      <c r="B16" s="6" t="s">
        <v>24</v>
      </c>
      <c r="C16" s="22"/>
      <c r="D16" s="22"/>
      <c r="E16" s="22"/>
      <c r="F16" s="49"/>
      <c r="G16" s="22"/>
      <c r="H16" s="12">
        <f t="shared" si="0"/>
        <v>44116</v>
      </c>
    </row>
    <row r="17" spans="1:8" x14ac:dyDescent="0.3">
      <c r="B17" s="6" t="s">
        <v>21</v>
      </c>
      <c r="C17" s="22"/>
      <c r="D17" s="22">
        <v>261500</v>
      </c>
      <c r="E17" s="22"/>
      <c r="F17" s="22"/>
      <c r="G17" s="22"/>
      <c r="H17" s="12">
        <f t="shared" si="0"/>
        <v>44116</v>
      </c>
    </row>
    <row r="18" spans="1:8" x14ac:dyDescent="0.3">
      <c r="B18" s="6" t="s">
        <v>18</v>
      </c>
      <c r="C18" s="22"/>
      <c r="D18" s="22"/>
      <c r="E18" s="22"/>
      <c r="F18" s="22"/>
      <c r="G18" s="22"/>
      <c r="H18" s="12">
        <f t="shared" si="0"/>
        <v>44116</v>
      </c>
    </row>
    <row r="19" spans="1:8" x14ac:dyDescent="0.3">
      <c r="B19" s="6" t="s">
        <v>16</v>
      </c>
      <c r="C19" s="22"/>
      <c r="D19" s="22"/>
      <c r="E19" s="22"/>
      <c r="F19" s="22"/>
      <c r="G19" s="22"/>
      <c r="H19" s="12">
        <f t="shared" si="0"/>
        <v>44116</v>
      </c>
    </row>
    <row r="20" spans="1:8" x14ac:dyDescent="0.3">
      <c r="B20" s="50" t="s">
        <v>27</v>
      </c>
      <c r="C20" s="51">
        <f>SUBTOTAL(109,October12_2020[KSI_AGO])</f>
        <v>0</v>
      </c>
      <c r="D20" s="51">
        <f>SUBTOTAL(109,October12_2020[KSI_PMS])</f>
        <v>1665500</v>
      </c>
      <c r="E20" s="51">
        <f>SUBTOTAL(109,October12_2020[BUIPE_AGO])</f>
        <v>0</v>
      </c>
      <c r="F20" s="51">
        <f>SUBTOTAL(109,October12_2020[BUIPE_PMS])</f>
        <v>374000</v>
      </c>
      <c r="G20" s="51">
        <f>SUBTOTAL(109,October12_2020[AKOSOMBO_AGO])</f>
        <v>0</v>
      </c>
      <c r="H20" s="52"/>
    </row>
    <row r="21" spans="1:8" x14ac:dyDescent="0.3">
      <c r="B21" s="8"/>
      <c r="C21" s="24"/>
      <c r="D21" s="24"/>
      <c r="E21" s="24"/>
      <c r="F21" s="24"/>
      <c r="G21" s="24"/>
      <c r="H21"/>
    </row>
    <row r="22" spans="1:8" x14ac:dyDescent="0.3">
      <c r="B22" s="1" t="s">
        <v>6</v>
      </c>
      <c r="C22" s="1" t="s">
        <v>4</v>
      </c>
      <c r="D22" s="5">
        <f>SUMIF(October12_2020[[#Headers],[KSI_AGO]:[AKOSOMBO_AGO]],"*"&amp;C22,October12_2020[[#Totals],[KSI_AGO]:[AKOSOMBO_AGO]])</f>
        <v>0</v>
      </c>
      <c r="E22" s="1" t="s">
        <v>5</v>
      </c>
      <c r="F22" s="5">
        <f>SUMIF(October12_2020[[#Headers],[KSI_AGO]:[AKOSOMBO_AGO]],"*"&amp;E22,October12_2020[[#Totals],[KSI_AGO]:[AKOSOMBO_AGO]])</f>
        <v>2039500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600-000000000000}">
      <formula1>INDIRECT("BDC_List[BDC List]")</formula1>
    </dataValidation>
  </dataValidations>
  <pageMargins left="0.7" right="0.7" top="0.75" bottom="0.75" header="0.3" footer="0.3"/>
  <tableParts count="1">
    <tablePart r:id="rId1"/>
  </tableParts>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codeName="Sheet200"/>
  <dimension ref="A1:K32"/>
  <sheetViews>
    <sheetView topLeftCell="B1" workbookViewId="0">
      <selection activeCell="F23" sqref="F23"/>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44117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44117</v>
      </c>
    </row>
    <row r="7" spans="2:11" x14ac:dyDescent="0.3">
      <c r="B7" s="6" t="s">
        <v>37</v>
      </c>
      <c r="C7" s="22"/>
      <c r="D7" s="22"/>
      <c r="E7" s="22"/>
      <c r="F7" s="22"/>
      <c r="G7" s="22"/>
      <c r="H7" s="67">
        <f>$G$3</f>
        <v>44117</v>
      </c>
    </row>
    <row r="8" spans="2:11" x14ac:dyDescent="0.3">
      <c r="B8" s="6" t="s">
        <v>17</v>
      </c>
      <c r="C8" s="22"/>
      <c r="D8" s="22"/>
      <c r="E8" s="22"/>
      <c r="F8" s="22"/>
      <c r="G8" s="22"/>
      <c r="H8" s="12">
        <f t="shared" si="0"/>
        <v>44117</v>
      </c>
    </row>
    <row r="9" spans="2:11" ht="15.6" x14ac:dyDescent="0.3">
      <c r="B9" s="34" t="s">
        <v>0</v>
      </c>
      <c r="C9" s="60"/>
      <c r="D9" s="60"/>
      <c r="E9" s="60"/>
      <c r="F9" s="60"/>
      <c r="G9" s="61"/>
      <c r="H9" s="12">
        <f t="shared" si="0"/>
        <v>44117</v>
      </c>
    </row>
    <row r="10" spans="2:11" x14ac:dyDescent="0.3">
      <c r="B10" s="6" t="s">
        <v>25</v>
      </c>
      <c r="C10" s="22"/>
      <c r="D10" s="22">
        <v>858000</v>
      </c>
      <c r="E10" s="22"/>
      <c r="F10" s="22">
        <v>810000</v>
      </c>
      <c r="G10" s="22"/>
      <c r="H10" s="12">
        <f t="shared" si="0"/>
        <v>44117</v>
      </c>
    </row>
    <row r="11" spans="2:11" x14ac:dyDescent="0.3">
      <c r="B11" s="6" t="s">
        <v>15</v>
      </c>
      <c r="C11" s="22"/>
      <c r="D11" s="22"/>
      <c r="E11" s="22"/>
      <c r="F11" s="48"/>
      <c r="G11" s="22"/>
      <c r="H11" s="12">
        <f t="shared" si="0"/>
        <v>44117</v>
      </c>
    </row>
    <row r="12" spans="2:11" x14ac:dyDescent="0.3">
      <c r="B12" s="6" t="s">
        <v>26</v>
      </c>
      <c r="C12" s="22"/>
      <c r="D12" s="22"/>
      <c r="E12" s="22"/>
      <c r="F12" s="22"/>
      <c r="G12" s="22"/>
      <c r="H12" s="12">
        <f t="shared" si="0"/>
        <v>44117</v>
      </c>
    </row>
    <row r="13" spans="2:11" x14ac:dyDescent="0.3">
      <c r="B13" s="6" t="s">
        <v>22</v>
      </c>
      <c r="C13" s="23"/>
      <c r="D13" s="23"/>
      <c r="E13" s="23"/>
      <c r="F13" s="22"/>
      <c r="G13" s="23"/>
      <c r="H13" s="12">
        <f t="shared" si="0"/>
        <v>44117</v>
      </c>
      <c r="K13" s="4"/>
    </row>
    <row r="14" spans="2:11" x14ac:dyDescent="0.3">
      <c r="B14" s="6" t="s">
        <v>19</v>
      </c>
      <c r="C14" s="22">
        <v>54000</v>
      </c>
      <c r="D14" s="22"/>
      <c r="E14" s="22">
        <v>45000</v>
      </c>
      <c r="F14" s="22"/>
      <c r="G14" s="22"/>
      <c r="H14" s="12">
        <f t="shared" si="0"/>
        <v>44117</v>
      </c>
    </row>
    <row r="15" spans="2:11" x14ac:dyDescent="0.3">
      <c r="B15" s="6" t="s">
        <v>14</v>
      </c>
      <c r="C15" s="22">
        <v>894000</v>
      </c>
      <c r="D15" s="22">
        <v>486000</v>
      </c>
      <c r="E15" s="22">
        <v>243000</v>
      </c>
      <c r="F15" s="22">
        <v>54000</v>
      </c>
      <c r="G15" s="22"/>
      <c r="H15" s="12">
        <f t="shared" si="0"/>
        <v>44117</v>
      </c>
    </row>
    <row r="16" spans="2:11" x14ac:dyDescent="0.3">
      <c r="B16" s="6" t="s">
        <v>24</v>
      </c>
      <c r="C16" s="22"/>
      <c r="D16" s="22"/>
      <c r="E16" s="22"/>
      <c r="F16" s="49"/>
      <c r="G16" s="22"/>
      <c r="H16" s="12">
        <f t="shared" si="0"/>
        <v>44117</v>
      </c>
    </row>
    <row r="17" spans="1:8" x14ac:dyDescent="0.3">
      <c r="B17" s="6" t="s">
        <v>21</v>
      </c>
      <c r="C17" s="22"/>
      <c r="D17" s="22">
        <v>49500</v>
      </c>
      <c r="E17" s="22"/>
      <c r="F17" s="22">
        <v>198000</v>
      </c>
      <c r="G17" s="22"/>
      <c r="H17" s="12">
        <f t="shared" si="0"/>
        <v>44117</v>
      </c>
    </row>
    <row r="18" spans="1:8" x14ac:dyDescent="0.3">
      <c r="B18" s="6" t="s">
        <v>18</v>
      </c>
      <c r="C18" s="22"/>
      <c r="D18" s="22"/>
      <c r="E18" s="22"/>
      <c r="F18" s="22"/>
      <c r="G18" s="22"/>
      <c r="H18" s="12">
        <f t="shared" si="0"/>
        <v>44117</v>
      </c>
    </row>
    <row r="19" spans="1:8" x14ac:dyDescent="0.3">
      <c r="B19" s="6" t="s">
        <v>16</v>
      </c>
      <c r="C19" s="22">
        <v>49500</v>
      </c>
      <c r="D19" s="22"/>
      <c r="E19" s="22"/>
      <c r="F19" s="22"/>
      <c r="G19" s="22"/>
      <c r="H19" s="12">
        <f t="shared" si="0"/>
        <v>44117</v>
      </c>
    </row>
    <row r="20" spans="1:8" x14ac:dyDescent="0.3">
      <c r="B20" s="50" t="s">
        <v>27</v>
      </c>
      <c r="C20" s="51">
        <f>SUBTOTAL(109,October13_2020[KSI_AGO])</f>
        <v>997500</v>
      </c>
      <c r="D20" s="51">
        <f>SUBTOTAL(109,October13_2020[KSI_PMS])</f>
        <v>1393500</v>
      </c>
      <c r="E20" s="51">
        <f>SUBTOTAL(109,October13_2020[BUIPE_AGO])</f>
        <v>288000</v>
      </c>
      <c r="F20" s="51">
        <f>SUBTOTAL(109,October13_2020[BUIPE_PMS])</f>
        <v>1062000</v>
      </c>
      <c r="G20" s="51">
        <f>SUBTOTAL(109,October13_2020[AKOSOMBO_AGO])</f>
        <v>0</v>
      </c>
      <c r="H20" s="52"/>
    </row>
    <row r="21" spans="1:8" x14ac:dyDescent="0.3">
      <c r="B21" s="8"/>
      <c r="C21" s="24"/>
      <c r="D21" s="24"/>
      <c r="E21" s="24"/>
      <c r="F21" s="24"/>
      <c r="G21" s="24"/>
      <c r="H21"/>
    </row>
    <row r="22" spans="1:8" x14ac:dyDescent="0.3">
      <c r="B22" s="1" t="s">
        <v>6</v>
      </c>
      <c r="C22" s="1" t="s">
        <v>4</v>
      </c>
      <c r="D22" s="5">
        <f>SUMIF(October13_2020[[#Headers],[KSI_AGO]:[AKOSOMBO_AGO]],"*"&amp;C22,October13_2020[[#Totals],[KSI_AGO]:[AKOSOMBO_AGO]])</f>
        <v>1285500</v>
      </c>
      <c r="E22" s="1" t="s">
        <v>5</v>
      </c>
      <c r="F22" s="5">
        <f>SUMIF(October13_2020[[#Headers],[KSI_AGO]:[AKOSOMBO_AGO]],"*"&amp;E22,October13_2020[[#Totals],[KSI_AGO]:[AKOSOMBO_AGO]])</f>
        <v>2455500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700-000000000000}">
      <formula1>INDIRECT("BDC_List[BDC List]")</formula1>
    </dataValidation>
  </dataValidations>
  <pageMargins left="0.7" right="0.7" top="0.75" bottom="0.75" header="0.3" footer="0.3"/>
  <tableParts count="1">
    <tablePart r:id="rId1"/>
  </tableParts>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codeName="Sheet201"/>
  <dimension ref="A1:K32"/>
  <sheetViews>
    <sheetView topLeftCell="C1" workbookViewId="0">
      <selection activeCell="E17" sqref="E17"/>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44118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44118</v>
      </c>
    </row>
    <row r="7" spans="2:11" x14ac:dyDescent="0.3">
      <c r="B7" s="6" t="s">
        <v>37</v>
      </c>
      <c r="C7" s="22"/>
      <c r="D7" s="22"/>
      <c r="E7" s="22"/>
      <c r="F7" s="22"/>
      <c r="G7" s="22"/>
      <c r="H7" s="67">
        <f>$G$3</f>
        <v>44118</v>
      </c>
    </row>
    <row r="8" spans="2:11" x14ac:dyDescent="0.3">
      <c r="B8" s="6" t="s">
        <v>17</v>
      </c>
      <c r="C8" s="22"/>
      <c r="D8" s="22"/>
      <c r="E8" s="22"/>
      <c r="F8" s="22"/>
      <c r="G8" s="22"/>
      <c r="H8" s="12">
        <f t="shared" si="0"/>
        <v>44118</v>
      </c>
    </row>
    <row r="9" spans="2:11" ht="15.6" x14ac:dyDescent="0.3">
      <c r="B9" s="34" t="s">
        <v>0</v>
      </c>
      <c r="C9" s="60"/>
      <c r="D9" s="60"/>
      <c r="E9" s="60"/>
      <c r="F9" s="60"/>
      <c r="G9" s="61"/>
      <c r="H9" s="12">
        <f t="shared" si="0"/>
        <v>44118</v>
      </c>
    </row>
    <row r="10" spans="2:11" x14ac:dyDescent="0.3">
      <c r="B10" s="6" t="s">
        <v>25</v>
      </c>
      <c r="C10" s="22"/>
      <c r="D10" s="22">
        <v>1373500</v>
      </c>
      <c r="E10" s="22"/>
      <c r="F10" s="22">
        <v>527000</v>
      </c>
      <c r="G10" s="22"/>
      <c r="H10" s="12">
        <f t="shared" si="0"/>
        <v>44118</v>
      </c>
    </row>
    <row r="11" spans="2:11" x14ac:dyDescent="0.3">
      <c r="B11" s="6" t="s">
        <v>15</v>
      </c>
      <c r="C11" s="22"/>
      <c r="D11" s="22"/>
      <c r="E11" s="22"/>
      <c r="F11" s="48"/>
      <c r="G11" s="22"/>
      <c r="H11" s="12">
        <f t="shared" si="0"/>
        <v>44118</v>
      </c>
    </row>
    <row r="12" spans="2:11" x14ac:dyDescent="0.3">
      <c r="B12" s="6" t="s">
        <v>26</v>
      </c>
      <c r="C12" s="22"/>
      <c r="D12" s="22"/>
      <c r="E12" s="22"/>
      <c r="F12" s="22"/>
      <c r="G12" s="22"/>
      <c r="H12" s="12">
        <f t="shared" si="0"/>
        <v>44118</v>
      </c>
    </row>
    <row r="13" spans="2:11" x14ac:dyDescent="0.3">
      <c r="B13" s="6" t="s">
        <v>22</v>
      </c>
      <c r="C13" s="23"/>
      <c r="D13" s="23"/>
      <c r="E13" s="23"/>
      <c r="F13" s="22"/>
      <c r="G13" s="23"/>
      <c r="H13" s="12">
        <f t="shared" si="0"/>
        <v>44118</v>
      </c>
      <c r="K13" s="4"/>
    </row>
    <row r="14" spans="2:11" x14ac:dyDescent="0.3">
      <c r="B14" s="6" t="s">
        <v>19</v>
      </c>
      <c r="C14" s="22"/>
      <c r="D14" s="22"/>
      <c r="E14" s="22"/>
      <c r="F14" s="22"/>
      <c r="G14" s="22"/>
      <c r="H14" s="12">
        <f t="shared" si="0"/>
        <v>44118</v>
      </c>
    </row>
    <row r="15" spans="2:11" x14ac:dyDescent="0.3">
      <c r="B15" s="6" t="s">
        <v>14</v>
      </c>
      <c r="C15" s="22">
        <v>1438000</v>
      </c>
      <c r="D15" s="22"/>
      <c r="E15" s="22">
        <v>1072000</v>
      </c>
      <c r="F15" s="22"/>
      <c r="G15" s="22"/>
      <c r="H15" s="12">
        <f t="shared" si="0"/>
        <v>44118</v>
      </c>
    </row>
    <row r="16" spans="2:11" x14ac:dyDescent="0.3">
      <c r="B16" s="6" t="s">
        <v>24</v>
      </c>
      <c r="C16" s="22"/>
      <c r="D16" s="22"/>
      <c r="E16" s="22"/>
      <c r="F16" s="49"/>
      <c r="G16" s="22"/>
      <c r="H16" s="12">
        <f t="shared" si="0"/>
        <v>44118</v>
      </c>
    </row>
    <row r="17" spans="1:8" x14ac:dyDescent="0.3">
      <c r="B17" s="6" t="s">
        <v>21</v>
      </c>
      <c r="C17" s="22"/>
      <c r="D17" s="22"/>
      <c r="E17" s="22"/>
      <c r="F17" s="22"/>
      <c r="G17" s="22"/>
      <c r="H17" s="12">
        <f t="shared" si="0"/>
        <v>44118</v>
      </c>
    </row>
    <row r="18" spans="1:8" x14ac:dyDescent="0.3">
      <c r="B18" s="6" t="s">
        <v>18</v>
      </c>
      <c r="C18" s="22"/>
      <c r="D18" s="22"/>
      <c r="E18" s="22"/>
      <c r="F18" s="22"/>
      <c r="G18" s="22"/>
      <c r="H18" s="12">
        <f t="shared" si="0"/>
        <v>44118</v>
      </c>
    </row>
    <row r="19" spans="1:8" x14ac:dyDescent="0.3">
      <c r="B19" s="6" t="s">
        <v>16</v>
      </c>
      <c r="C19" s="22"/>
      <c r="D19" s="22"/>
      <c r="E19" s="22"/>
      <c r="F19" s="22"/>
      <c r="G19" s="22"/>
      <c r="H19" s="12">
        <f t="shared" si="0"/>
        <v>44118</v>
      </c>
    </row>
    <row r="20" spans="1:8" x14ac:dyDescent="0.3">
      <c r="B20" s="50" t="s">
        <v>27</v>
      </c>
      <c r="C20" s="51">
        <f>SUBTOTAL(109,October14_2020[KSI_AGO])</f>
        <v>1438000</v>
      </c>
      <c r="D20" s="51">
        <f>SUBTOTAL(109,October14_2020[KSI_PMS])</f>
        <v>1373500</v>
      </c>
      <c r="E20" s="51">
        <f>SUBTOTAL(109,October14_2020[BUIPE_AGO])</f>
        <v>1072000</v>
      </c>
      <c r="F20" s="51">
        <f>SUBTOTAL(109,October14_2020[BUIPE_PMS])</f>
        <v>527000</v>
      </c>
      <c r="G20" s="51">
        <f>SUBTOTAL(109,October14_2020[AKOSOMBO_AGO])</f>
        <v>0</v>
      </c>
      <c r="H20" s="52"/>
    </row>
    <row r="21" spans="1:8" x14ac:dyDescent="0.3">
      <c r="B21" s="8"/>
      <c r="C21" s="24"/>
      <c r="D21" s="24"/>
      <c r="E21" s="24"/>
      <c r="F21" s="24"/>
      <c r="G21" s="24"/>
      <c r="H21"/>
    </row>
    <row r="22" spans="1:8" x14ac:dyDescent="0.3">
      <c r="B22" s="1" t="s">
        <v>6</v>
      </c>
      <c r="C22" s="1" t="s">
        <v>4</v>
      </c>
      <c r="D22" s="5">
        <f>SUMIF(October14_2020[[#Headers],[KSI_AGO]:[AKOSOMBO_AGO]],"*"&amp;C22,October14_2020[[#Totals],[KSI_AGO]:[AKOSOMBO_AGO]])</f>
        <v>2510000</v>
      </c>
      <c r="E22" s="1" t="s">
        <v>5</v>
      </c>
      <c r="F22" s="5">
        <f>SUMIF(October14_2020[[#Headers],[KSI_AGO]:[AKOSOMBO_AGO]],"*"&amp;E22,October14_2020[[#Totals],[KSI_AGO]:[AKOSOMBO_AGO]])</f>
        <v>1900500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800-000000000000}">
      <formula1>INDIRECT("BDC_List[BDC List]")</formula1>
    </dataValidation>
  </dataValidations>
  <pageMargins left="0.7" right="0.7" top="0.75" bottom="0.75" header="0.3" footer="0.3"/>
  <tableParts count="1">
    <tablePart r:id="rId1"/>
  </tableParts>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codeName="Sheet202"/>
  <dimension ref="A1:K32"/>
  <sheetViews>
    <sheetView workbookViewId="0">
      <selection activeCell="E17" sqref="E17"/>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44119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44119</v>
      </c>
    </row>
    <row r="7" spans="2:11" x14ac:dyDescent="0.3">
      <c r="B7" s="6" t="s">
        <v>37</v>
      </c>
      <c r="C7" s="22"/>
      <c r="D7" s="22"/>
      <c r="E7" s="22"/>
      <c r="F7" s="22"/>
      <c r="G7" s="22"/>
      <c r="H7" s="67">
        <f>$G$3</f>
        <v>44119</v>
      </c>
    </row>
    <row r="8" spans="2:11" x14ac:dyDescent="0.3">
      <c r="B8" s="6" t="s">
        <v>17</v>
      </c>
      <c r="C8" s="22"/>
      <c r="D8" s="22"/>
      <c r="E8" s="22"/>
      <c r="F8" s="22"/>
      <c r="G8" s="22"/>
      <c r="H8" s="12">
        <f t="shared" si="0"/>
        <v>44119</v>
      </c>
    </row>
    <row r="9" spans="2:11" ht="15.6" x14ac:dyDescent="0.3">
      <c r="B9" s="34" t="s">
        <v>0</v>
      </c>
      <c r="C9" s="60"/>
      <c r="D9" s="60"/>
      <c r="E9" s="60"/>
      <c r="F9" s="60"/>
      <c r="G9" s="61"/>
      <c r="H9" s="12">
        <f t="shared" si="0"/>
        <v>44119</v>
      </c>
    </row>
    <row r="10" spans="2:11" x14ac:dyDescent="0.3">
      <c r="B10" s="6" t="s">
        <v>25</v>
      </c>
      <c r="C10" s="22"/>
      <c r="D10" s="22">
        <v>1778000</v>
      </c>
      <c r="E10" s="22"/>
      <c r="F10" s="22">
        <v>45000</v>
      </c>
      <c r="G10" s="22"/>
      <c r="H10" s="12">
        <f t="shared" si="0"/>
        <v>44119</v>
      </c>
    </row>
    <row r="11" spans="2:11" x14ac:dyDescent="0.3">
      <c r="B11" s="6" t="s">
        <v>15</v>
      </c>
      <c r="C11" s="22"/>
      <c r="D11" s="22"/>
      <c r="E11" s="22"/>
      <c r="F11" s="48"/>
      <c r="G11" s="22"/>
      <c r="H11" s="12">
        <f t="shared" si="0"/>
        <v>44119</v>
      </c>
    </row>
    <row r="12" spans="2:11" x14ac:dyDescent="0.3">
      <c r="B12" s="6" t="s">
        <v>26</v>
      </c>
      <c r="C12" s="22"/>
      <c r="D12" s="22"/>
      <c r="E12" s="22"/>
      <c r="F12" s="22"/>
      <c r="G12" s="22"/>
      <c r="H12" s="12">
        <f t="shared" si="0"/>
        <v>44119</v>
      </c>
    </row>
    <row r="13" spans="2:11" x14ac:dyDescent="0.3">
      <c r="B13" s="6" t="s">
        <v>22</v>
      </c>
      <c r="C13" s="23"/>
      <c r="D13" s="23"/>
      <c r="E13" s="23"/>
      <c r="F13" s="22"/>
      <c r="G13" s="23"/>
      <c r="H13" s="12">
        <f t="shared" si="0"/>
        <v>44119</v>
      </c>
      <c r="K13" s="4"/>
    </row>
    <row r="14" spans="2:11" x14ac:dyDescent="0.3">
      <c r="B14" s="6" t="s">
        <v>19</v>
      </c>
      <c r="C14" s="22"/>
      <c r="D14" s="22"/>
      <c r="E14" s="22"/>
      <c r="F14" s="22"/>
      <c r="G14" s="22"/>
      <c r="H14" s="12">
        <f t="shared" si="0"/>
        <v>44119</v>
      </c>
    </row>
    <row r="15" spans="2:11" x14ac:dyDescent="0.3">
      <c r="B15" s="6" t="s">
        <v>14</v>
      </c>
      <c r="C15" s="22">
        <v>2156000</v>
      </c>
      <c r="D15" s="22"/>
      <c r="E15" s="22">
        <v>324000</v>
      </c>
      <c r="F15" s="22"/>
      <c r="G15" s="22"/>
      <c r="H15" s="12">
        <f t="shared" si="0"/>
        <v>44119</v>
      </c>
    </row>
    <row r="16" spans="2:11" x14ac:dyDescent="0.3">
      <c r="B16" s="6" t="s">
        <v>24</v>
      </c>
      <c r="C16" s="22"/>
      <c r="D16" s="22"/>
      <c r="E16" s="22"/>
      <c r="F16" s="49"/>
      <c r="G16" s="22"/>
      <c r="H16" s="12">
        <f t="shared" si="0"/>
        <v>44119</v>
      </c>
    </row>
    <row r="17" spans="1:8" x14ac:dyDescent="0.3">
      <c r="B17" s="6" t="s">
        <v>21</v>
      </c>
      <c r="C17" s="22"/>
      <c r="D17" s="22"/>
      <c r="E17" s="22"/>
      <c r="F17" s="22"/>
      <c r="G17" s="22"/>
      <c r="H17" s="12">
        <f t="shared" si="0"/>
        <v>44119</v>
      </c>
    </row>
    <row r="18" spans="1:8" x14ac:dyDescent="0.3">
      <c r="B18" s="6" t="s">
        <v>18</v>
      </c>
      <c r="C18" s="22"/>
      <c r="D18" s="22"/>
      <c r="E18" s="22"/>
      <c r="F18" s="22"/>
      <c r="G18" s="22"/>
      <c r="H18" s="12">
        <f t="shared" si="0"/>
        <v>44119</v>
      </c>
    </row>
    <row r="19" spans="1:8" x14ac:dyDescent="0.3">
      <c r="B19" s="6" t="s">
        <v>16</v>
      </c>
      <c r="C19" s="22"/>
      <c r="D19" s="22"/>
      <c r="E19" s="22"/>
      <c r="F19" s="22"/>
      <c r="G19" s="22"/>
      <c r="H19" s="12">
        <f t="shared" si="0"/>
        <v>44119</v>
      </c>
    </row>
    <row r="20" spans="1:8" x14ac:dyDescent="0.3">
      <c r="B20" s="50" t="s">
        <v>27</v>
      </c>
      <c r="C20" s="51">
        <f>SUBTOTAL(109,October15_2020[KSI_AGO])</f>
        <v>2156000</v>
      </c>
      <c r="D20" s="51">
        <f>SUBTOTAL(109,October15_2020[KSI_PMS])</f>
        <v>1778000</v>
      </c>
      <c r="E20" s="51">
        <f>SUBTOTAL(109,October15_2020[BUIPE_AGO])</f>
        <v>324000</v>
      </c>
      <c r="F20" s="51">
        <f>SUBTOTAL(109,October15_2020[BUIPE_PMS])</f>
        <v>45000</v>
      </c>
      <c r="G20" s="51">
        <f>SUBTOTAL(109,October15_2020[AKOSOMBO_AGO])</f>
        <v>0</v>
      </c>
      <c r="H20" s="52"/>
    </row>
    <row r="21" spans="1:8" x14ac:dyDescent="0.3">
      <c r="B21" s="8"/>
      <c r="C21" s="24"/>
      <c r="D21" s="24"/>
      <c r="E21" s="24"/>
      <c r="F21" s="24"/>
      <c r="G21" s="24"/>
      <c r="H21"/>
    </row>
    <row r="22" spans="1:8" x14ac:dyDescent="0.3">
      <c r="B22" s="1" t="s">
        <v>6</v>
      </c>
      <c r="C22" s="1" t="s">
        <v>4</v>
      </c>
      <c r="D22" s="5">
        <f>SUMIF(October15_2020[[#Headers],[KSI_AGO]:[AKOSOMBO_AGO]],"*"&amp;C22,October15_2020[[#Totals],[KSI_AGO]:[AKOSOMBO_AGO]])</f>
        <v>2480000</v>
      </c>
      <c r="E22" s="1" t="s">
        <v>5</v>
      </c>
      <c r="F22" s="5">
        <f>SUMIF(October15_2020[[#Headers],[KSI_AGO]:[AKOSOMBO_AGO]],"*"&amp;E22,October15_2020[[#Totals],[KSI_AGO]:[AKOSOMBO_AGO]])</f>
        <v>1823000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900-000000000000}">
      <formula1>INDIRECT("BDC_List[BDC List]")</formula1>
    </dataValidation>
  </dataValidations>
  <pageMargins left="0.7" right="0.7" top="0.75" bottom="0.75" header="0.3" footer="0.3"/>
  <tableParts count="1">
    <tablePart r:id="rId1"/>
  </tableParts>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codeName="Sheet203"/>
  <dimension ref="A1:K32"/>
  <sheetViews>
    <sheetView topLeftCell="C1" workbookViewId="0">
      <selection activeCell="H20" sqref="H20"/>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44120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44120</v>
      </c>
    </row>
    <row r="7" spans="2:11" x14ac:dyDescent="0.3">
      <c r="B7" s="6" t="s">
        <v>37</v>
      </c>
      <c r="C7" s="22"/>
      <c r="D7" s="22"/>
      <c r="E7" s="22"/>
      <c r="F7" s="22"/>
      <c r="G7" s="22"/>
      <c r="H7" s="67">
        <f>$G$3</f>
        <v>44120</v>
      </c>
    </row>
    <row r="8" spans="2:11" x14ac:dyDescent="0.3">
      <c r="B8" s="6" t="s">
        <v>17</v>
      </c>
      <c r="C8" s="22"/>
      <c r="D8" s="22"/>
      <c r="E8" s="22"/>
      <c r="F8" s="22"/>
      <c r="G8" s="22"/>
      <c r="H8" s="12">
        <f t="shared" si="0"/>
        <v>44120</v>
      </c>
    </row>
    <row r="9" spans="2:11" ht="15.6" x14ac:dyDescent="0.3">
      <c r="B9" s="34" t="s">
        <v>0</v>
      </c>
      <c r="C9" s="60"/>
      <c r="D9" s="60"/>
      <c r="E9" s="60"/>
      <c r="F9" s="60"/>
      <c r="G9" s="61"/>
      <c r="H9" s="12">
        <f t="shared" si="0"/>
        <v>44120</v>
      </c>
    </row>
    <row r="10" spans="2:11" x14ac:dyDescent="0.3">
      <c r="B10" s="6" t="s">
        <v>25</v>
      </c>
      <c r="C10" s="22"/>
      <c r="D10" s="22"/>
      <c r="E10" s="22"/>
      <c r="F10" s="22">
        <v>45000</v>
      </c>
      <c r="G10" s="22"/>
      <c r="H10" s="12">
        <f t="shared" si="0"/>
        <v>44120</v>
      </c>
    </row>
    <row r="11" spans="2:11" x14ac:dyDescent="0.3">
      <c r="B11" s="6" t="s">
        <v>15</v>
      </c>
      <c r="C11" s="22"/>
      <c r="D11" s="22"/>
      <c r="E11" s="22"/>
      <c r="F11" s="48"/>
      <c r="G11" s="22"/>
      <c r="H11" s="12">
        <f t="shared" si="0"/>
        <v>44120</v>
      </c>
    </row>
    <row r="12" spans="2:11" x14ac:dyDescent="0.3">
      <c r="B12" s="6" t="s">
        <v>26</v>
      </c>
      <c r="C12" s="22"/>
      <c r="D12" s="22"/>
      <c r="E12" s="22"/>
      <c r="F12" s="22"/>
      <c r="G12" s="22"/>
      <c r="H12" s="12">
        <f t="shared" si="0"/>
        <v>44120</v>
      </c>
    </row>
    <row r="13" spans="2:11" x14ac:dyDescent="0.3">
      <c r="B13" s="6" t="s">
        <v>22</v>
      </c>
      <c r="C13" s="23"/>
      <c r="D13" s="23"/>
      <c r="E13" s="23"/>
      <c r="F13" s="22"/>
      <c r="G13" s="23"/>
      <c r="H13" s="12">
        <f t="shared" si="0"/>
        <v>44120</v>
      </c>
      <c r="K13" s="4"/>
    </row>
    <row r="14" spans="2:11" x14ac:dyDescent="0.3">
      <c r="B14" s="6" t="s">
        <v>19</v>
      </c>
      <c r="C14" s="22">
        <v>54000</v>
      </c>
      <c r="D14" s="22"/>
      <c r="E14" s="22"/>
      <c r="F14" s="22"/>
      <c r="G14" s="22"/>
      <c r="H14" s="12">
        <f t="shared" si="0"/>
        <v>44120</v>
      </c>
    </row>
    <row r="15" spans="2:11" x14ac:dyDescent="0.3">
      <c r="B15" s="6" t="s">
        <v>14</v>
      </c>
      <c r="C15" s="22">
        <v>581000</v>
      </c>
      <c r="D15" s="22"/>
      <c r="E15" s="22">
        <v>49500</v>
      </c>
      <c r="F15" s="22">
        <v>49500</v>
      </c>
      <c r="G15" s="22"/>
      <c r="H15" s="12">
        <f t="shared" si="0"/>
        <v>44120</v>
      </c>
    </row>
    <row r="16" spans="2:11" x14ac:dyDescent="0.3">
      <c r="B16" s="6" t="s">
        <v>24</v>
      </c>
      <c r="C16" s="22">
        <v>162000</v>
      </c>
      <c r="D16" s="22">
        <v>45000</v>
      </c>
      <c r="E16" s="22"/>
      <c r="F16" s="49"/>
      <c r="G16" s="22"/>
      <c r="H16" s="12">
        <f t="shared" si="0"/>
        <v>44120</v>
      </c>
    </row>
    <row r="17" spans="1:8" x14ac:dyDescent="0.3">
      <c r="B17" s="6" t="s">
        <v>21</v>
      </c>
      <c r="C17" s="22"/>
      <c r="D17" s="22">
        <v>90000</v>
      </c>
      <c r="E17" s="22"/>
      <c r="F17" s="22">
        <v>99500</v>
      </c>
      <c r="G17" s="22"/>
      <c r="H17" s="12">
        <f t="shared" si="0"/>
        <v>44120</v>
      </c>
    </row>
    <row r="18" spans="1:8" x14ac:dyDescent="0.3">
      <c r="B18" s="6" t="s">
        <v>18</v>
      </c>
      <c r="C18" s="22"/>
      <c r="D18" s="22"/>
      <c r="E18" s="22"/>
      <c r="F18" s="22"/>
      <c r="G18" s="22"/>
      <c r="H18" s="12">
        <f t="shared" si="0"/>
        <v>44120</v>
      </c>
    </row>
    <row r="19" spans="1:8" x14ac:dyDescent="0.3">
      <c r="B19" s="6" t="s">
        <v>16</v>
      </c>
      <c r="C19" s="22"/>
      <c r="D19" s="22"/>
      <c r="E19" s="22"/>
      <c r="F19" s="22"/>
      <c r="G19" s="22"/>
      <c r="H19" s="12">
        <f t="shared" si="0"/>
        <v>44120</v>
      </c>
    </row>
    <row r="20" spans="1:8" x14ac:dyDescent="0.3">
      <c r="B20" s="50" t="s">
        <v>27</v>
      </c>
      <c r="C20" s="51">
        <f>SUBTOTAL(109,October16_2020[KSI_AGO])</f>
        <v>797000</v>
      </c>
      <c r="D20" s="51">
        <f>SUBTOTAL(109,October16_2020[KSI_PMS])</f>
        <v>135000</v>
      </c>
      <c r="E20" s="51">
        <f>SUBTOTAL(109,October16_2020[BUIPE_AGO])</f>
        <v>49500</v>
      </c>
      <c r="F20" s="51">
        <f>SUBTOTAL(109,October16_2020[BUIPE_PMS])</f>
        <v>194000</v>
      </c>
      <c r="G20" s="51">
        <f>SUBTOTAL(109,October16_2020[AKOSOMBO_AGO])</f>
        <v>0</v>
      </c>
      <c r="H20" s="52"/>
    </row>
    <row r="21" spans="1:8" x14ac:dyDescent="0.3">
      <c r="B21" s="8"/>
      <c r="C21" s="24"/>
      <c r="D21" s="24"/>
      <c r="E21" s="24"/>
      <c r="F21" s="24"/>
      <c r="G21" s="24"/>
      <c r="H21"/>
    </row>
    <row r="22" spans="1:8" x14ac:dyDescent="0.3">
      <c r="B22" s="1" t="s">
        <v>6</v>
      </c>
      <c r="C22" s="1" t="s">
        <v>4</v>
      </c>
      <c r="D22" s="5">
        <f>SUMIF(October16_2020[[#Headers],[KSI_AGO]:[AKOSOMBO_AGO]],"*"&amp;C22,October16_2020[[#Totals],[KSI_AGO]:[AKOSOMBO_AGO]])</f>
        <v>846500</v>
      </c>
      <c r="E22" s="1" t="s">
        <v>5</v>
      </c>
      <c r="F22" s="5">
        <f>SUMIF(October16_2020[[#Headers],[KSI_AGO]:[AKOSOMBO_AGO]],"*"&amp;E22,October16_2020[[#Totals],[KSI_AGO]:[AKOSOMBO_AGO]])</f>
        <v>329000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A00-000000000000}">
      <formula1>INDIRECT("BDC_List[BDC List]")</formula1>
    </dataValidation>
  </dataValidations>
  <pageMargins left="0.7" right="0.7" top="0.75" bottom="0.75" header="0.3" footer="0.3"/>
  <tableParts count="1">
    <tablePart r:id="rId1"/>
  </tableParts>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codeName="Sheet204"/>
  <dimension ref="A1:K32"/>
  <sheetViews>
    <sheetView topLeftCell="B1" workbookViewId="0">
      <selection activeCell="F9" sqref="F9"/>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44123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44123</v>
      </c>
    </row>
    <row r="7" spans="2:11" x14ac:dyDescent="0.3">
      <c r="B7" s="6" t="s">
        <v>37</v>
      </c>
      <c r="C7" s="22"/>
      <c r="D7" s="22"/>
      <c r="E7" s="22"/>
      <c r="F7" s="22"/>
      <c r="G7" s="22"/>
      <c r="H7" s="67">
        <f>$G$3</f>
        <v>44123</v>
      </c>
    </row>
    <row r="8" spans="2:11" x14ac:dyDescent="0.3">
      <c r="B8" s="6" t="s">
        <v>17</v>
      </c>
      <c r="C8" s="22"/>
      <c r="D8" s="22"/>
      <c r="E8" s="22"/>
      <c r="F8" s="22"/>
      <c r="G8" s="22"/>
      <c r="H8" s="12">
        <f t="shared" si="0"/>
        <v>44123</v>
      </c>
    </row>
    <row r="9" spans="2:11" ht="15.6" x14ac:dyDescent="0.3">
      <c r="B9" s="34" t="s">
        <v>0</v>
      </c>
      <c r="C9" s="60"/>
      <c r="D9" s="60"/>
      <c r="E9" s="60"/>
      <c r="F9" s="60"/>
      <c r="G9" s="61"/>
      <c r="H9" s="12">
        <f t="shared" si="0"/>
        <v>44123</v>
      </c>
    </row>
    <row r="10" spans="2:11" x14ac:dyDescent="0.3">
      <c r="B10" s="6" t="s">
        <v>25</v>
      </c>
      <c r="C10" s="22"/>
      <c r="D10" s="22"/>
      <c r="E10" s="22"/>
      <c r="F10" s="22"/>
      <c r="G10" s="22"/>
      <c r="H10" s="12">
        <f t="shared" si="0"/>
        <v>44123</v>
      </c>
    </row>
    <row r="11" spans="2:11" x14ac:dyDescent="0.3">
      <c r="B11" s="6" t="s">
        <v>15</v>
      </c>
      <c r="C11" s="22"/>
      <c r="D11" s="22"/>
      <c r="E11" s="22"/>
      <c r="F11" s="48"/>
      <c r="G11" s="22"/>
      <c r="H11" s="12">
        <f t="shared" si="0"/>
        <v>44123</v>
      </c>
    </row>
    <row r="12" spans="2:11" x14ac:dyDescent="0.3">
      <c r="B12" s="6" t="s">
        <v>26</v>
      </c>
      <c r="C12" s="22"/>
      <c r="D12" s="22"/>
      <c r="E12" s="22"/>
      <c r="F12" s="22"/>
      <c r="G12" s="22"/>
      <c r="H12" s="12">
        <f t="shared" si="0"/>
        <v>44123</v>
      </c>
    </row>
    <row r="13" spans="2:11" x14ac:dyDescent="0.3">
      <c r="B13" s="6" t="s">
        <v>22</v>
      </c>
      <c r="C13" s="23"/>
      <c r="D13" s="23"/>
      <c r="E13" s="23"/>
      <c r="F13" s="22"/>
      <c r="G13" s="23"/>
      <c r="H13" s="12">
        <f t="shared" si="0"/>
        <v>44123</v>
      </c>
      <c r="K13" s="4"/>
    </row>
    <row r="14" spans="2:11" x14ac:dyDescent="0.3">
      <c r="B14" s="6" t="s">
        <v>19</v>
      </c>
      <c r="C14" s="22"/>
      <c r="D14" s="22">
        <v>378000</v>
      </c>
      <c r="E14" s="22"/>
      <c r="F14" s="22">
        <v>324000</v>
      </c>
      <c r="G14" s="22"/>
      <c r="H14" s="12">
        <f t="shared" si="0"/>
        <v>44123</v>
      </c>
    </row>
    <row r="15" spans="2:11" x14ac:dyDescent="0.3">
      <c r="B15" s="6" t="s">
        <v>14</v>
      </c>
      <c r="C15" s="22"/>
      <c r="D15" s="22"/>
      <c r="E15" s="22"/>
      <c r="F15" s="22"/>
      <c r="G15" s="22"/>
      <c r="H15" s="12">
        <f t="shared" si="0"/>
        <v>44123</v>
      </c>
    </row>
    <row r="16" spans="2:11" x14ac:dyDescent="0.3">
      <c r="B16" s="6" t="s">
        <v>24</v>
      </c>
      <c r="C16" s="22"/>
      <c r="D16" s="22"/>
      <c r="E16" s="22"/>
      <c r="F16" s="49"/>
      <c r="G16" s="22"/>
      <c r="H16" s="12">
        <f t="shared" si="0"/>
        <v>44123</v>
      </c>
    </row>
    <row r="17" spans="1:8" x14ac:dyDescent="0.3">
      <c r="B17" s="6" t="s">
        <v>21</v>
      </c>
      <c r="C17" s="22"/>
      <c r="D17" s="22"/>
      <c r="E17" s="22"/>
      <c r="F17" s="22"/>
      <c r="G17" s="22"/>
      <c r="H17" s="12">
        <f t="shared" si="0"/>
        <v>44123</v>
      </c>
    </row>
    <row r="18" spans="1:8" x14ac:dyDescent="0.3">
      <c r="B18" s="6" t="s">
        <v>18</v>
      </c>
      <c r="C18" s="22"/>
      <c r="D18" s="22"/>
      <c r="E18" s="22"/>
      <c r="F18" s="22"/>
      <c r="G18" s="22"/>
      <c r="H18" s="12">
        <f t="shared" si="0"/>
        <v>44123</v>
      </c>
    </row>
    <row r="19" spans="1:8" x14ac:dyDescent="0.3">
      <c r="B19" s="6" t="s">
        <v>16</v>
      </c>
      <c r="C19" s="22"/>
      <c r="D19" s="22"/>
      <c r="E19" s="22"/>
      <c r="F19" s="22"/>
      <c r="G19" s="22"/>
      <c r="H19" s="12">
        <f t="shared" si="0"/>
        <v>44123</v>
      </c>
    </row>
    <row r="20" spans="1:8" x14ac:dyDescent="0.3">
      <c r="B20" s="50" t="s">
        <v>27</v>
      </c>
      <c r="C20" s="51">
        <f>SUBTOTAL(109,October19_2020[KSI_AGO])</f>
        <v>0</v>
      </c>
      <c r="D20" s="51">
        <f>SUBTOTAL(109,October19_2020[KSI_PMS])</f>
        <v>378000</v>
      </c>
      <c r="E20" s="51">
        <f>SUBTOTAL(109,October19_2020[BUIPE_AGO])</f>
        <v>0</v>
      </c>
      <c r="F20" s="51">
        <f>SUBTOTAL(109,October19_2020[BUIPE_PMS])</f>
        <v>324000</v>
      </c>
      <c r="G20" s="51">
        <f>SUBTOTAL(109,October19_2020[AKOSOMBO_AGO])</f>
        <v>0</v>
      </c>
      <c r="H20" s="52"/>
    </row>
    <row r="21" spans="1:8" x14ac:dyDescent="0.3">
      <c r="B21" s="8"/>
      <c r="C21" s="24"/>
      <c r="D21" s="24"/>
      <c r="E21" s="24"/>
      <c r="F21" s="24"/>
      <c r="G21" s="24"/>
      <c r="H21"/>
    </row>
    <row r="22" spans="1:8" x14ac:dyDescent="0.3">
      <c r="B22" s="1" t="s">
        <v>6</v>
      </c>
      <c r="C22" s="1" t="s">
        <v>4</v>
      </c>
      <c r="D22" s="5">
        <f>SUMIF(October19_2020[[#Headers],[KSI_AGO]:[AKOSOMBO_AGO]],"*"&amp;C22,October19_2020[[#Totals],[KSI_AGO]:[AKOSOMBO_AGO]])</f>
        <v>0</v>
      </c>
      <c r="E22" s="1" t="s">
        <v>5</v>
      </c>
      <c r="F22" s="5">
        <f>SUMIF(October19_2020[[#Headers],[KSI_AGO]:[AKOSOMBO_AGO]],"*"&amp;E22,October19_2020[[#Totals],[KSI_AGO]:[AKOSOMBO_AGO]])</f>
        <v>702000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B00-000000000000}">
      <formula1>INDIRECT("BDC_List[BDC List]")</formula1>
    </dataValidation>
  </dataValidations>
  <pageMargins left="0.7" right="0.7" top="0.75" bottom="0.75" header="0.3" footer="0.3"/>
  <tableParts count="1">
    <tablePart r:id="rId1"/>
  </tableParts>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codeName="Sheet205"/>
  <dimension ref="A1:K32"/>
  <sheetViews>
    <sheetView workbookViewId="0">
      <pane xSplit="2" ySplit="5" topLeftCell="D6" activePane="bottomRight" state="frozen"/>
      <selection pane="topRight" activeCell="C1" sqref="C1"/>
      <selection pane="bottomLeft" activeCell="A6" sqref="A6"/>
      <selection pane="bottomRight" activeCell="E15" sqref="E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44124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44124</v>
      </c>
    </row>
    <row r="7" spans="2:11" x14ac:dyDescent="0.3">
      <c r="B7" s="6" t="s">
        <v>37</v>
      </c>
      <c r="C7" s="22"/>
      <c r="D7" s="22"/>
      <c r="E7" s="22"/>
      <c r="F7" s="22"/>
      <c r="G7" s="22"/>
      <c r="H7" s="67">
        <f>$G$3</f>
        <v>44124</v>
      </c>
    </row>
    <row r="8" spans="2:11" x14ac:dyDescent="0.3">
      <c r="B8" s="6" t="s">
        <v>17</v>
      </c>
      <c r="C8" s="22">
        <v>679000</v>
      </c>
      <c r="D8" s="22">
        <v>54000</v>
      </c>
      <c r="E8" s="22"/>
      <c r="F8" s="22">
        <v>108000</v>
      </c>
      <c r="G8" s="22"/>
      <c r="H8" s="12">
        <f t="shared" si="0"/>
        <v>44124</v>
      </c>
    </row>
    <row r="9" spans="2:11" ht="15.6" x14ac:dyDescent="0.3">
      <c r="B9" s="34" t="s">
        <v>0</v>
      </c>
      <c r="C9" s="60"/>
      <c r="D9" s="60"/>
      <c r="E9" s="60"/>
      <c r="F9" s="60"/>
      <c r="G9" s="61"/>
      <c r="H9" s="12">
        <f t="shared" si="0"/>
        <v>44124</v>
      </c>
    </row>
    <row r="10" spans="2:11" x14ac:dyDescent="0.3">
      <c r="B10" s="6" t="s">
        <v>25</v>
      </c>
      <c r="C10" s="22"/>
      <c r="D10" s="22"/>
      <c r="E10" s="22"/>
      <c r="F10" s="22"/>
      <c r="G10" s="22"/>
      <c r="H10" s="12">
        <f t="shared" si="0"/>
        <v>44124</v>
      </c>
    </row>
    <row r="11" spans="2:11" x14ac:dyDescent="0.3">
      <c r="B11" s="6" t="s">
        <v>15</v>
      </c>
      <c r="C11" s="22"/>
      <c r="D11" s="22">
        <v>54000</v>
      </c>
      <c r="E11" s="22"/>
      <c r="F11" s="48">
        <v>216000</v>
      </c>
      <c r="G11" s="22"/>
      <c r="H11" s="12">
        <f t="shared" si="0"/>
        <v>44124</v>
      </c>
    </row>
    <row r="12" spans="2:11" x14ac:dyDescent="0.3">
      <c r="B12" s="6" t="s">
        <v>26</v>
      </c>
      <c r="C12" s="22"/>
      <c r="D12" s="22">
        <v>216000</v>
      </c>
      <c r="E12" s="22"/>
      <c r="F12" s="22">
        <v>162000</v>
      </c>
      <c r="G12" s="22"/>
      <c r="H12" s="12">
        <f t="shared" si="0"/>
        <v>44124</v>
      </c>
    </row>
    <row r="13" spans="2:11" x14ac:dyDescent="0.3">
      <c r="B13" s="6" t="s">
        <v>22</v>
      </c>
      <c r="C13" s="23"/>
      <c r="D13" s="23"/>
      <c r="E13" s="23"/>
      <c r="F13" s="22"/>
      <c r="G13" s="23"/>
      <c r="H13" s="12">
        <f t="shared" si="0"/>
        <v>44124</v>
      </c>
      <c r="K13" s="4"/>
    </row>
    <row r="14" spans="2:11" x14ac:dyDescent="0.3">
      <c r="B14" s="6" t="s">
        <v>19</v>
      </c>
      <c r="C14" s="22"/>
      <c r="D14" s="22">
        <v>684000</v>
      </c>
      <c r="E14" s="22">
        <v>45000</v>
      </c>
      <c r="F14" s="22">
        <v>270000</v>
      </c>
      <c r="G14" s="22"/>
      <c r="H14" s="12">
        <f t="shared" si="0"/>
        <v>44124</v>
      </c>
    </row>
    <row r="15" spans="2:11" x14ac:dyDescent="0.3">
      <c r="B15" s="6" t="s">
        <v>14</v>
      </c>
      <c r="C15" s="22">
        <v>108000</v>
      </c>
      <c r="D15" s="22"/>
      <c r="E15" s="22"/>
      <c r="F15" s="22"/>
      <c r="G15" s="22"/>
      <c r="H15" s="12">
        <f t="shared" si="0"/>
        <v>44124</v>
      </c>
    </row>
    <row r="16" spans="2:11" x14ac:dyDescent="0.3">
      <c r="B16" s="6" t="s">
        <v>24</v>
      </c>
      <c r="C16" s="22"/>
      <c r="D16" s="22"/>
      <c r="E16" s="22"/>
      <c r="F16" s="49"/>
      <c r="G16" s="22"/>
      <c r="H16" s="12">
        <f t="shared" si="0"/>
        <v>44124</v>
      </c>
    </row>
    <row r="17" spans="1:8" x14ac:dyDescent="0.3">
      <c r="B17" s="6" t="s">
        <v>21</v>
      </c>
      <c r="C17" s="22"/>
      <c r="D17" s="22"/>
      <c r="E17" s="22"/>
      <c r="F17" s="22"/>
      <c r="G17" s="22"/>
      <c r="H17" s="12">
        <f t="shared" si="0"/>
        <v>44124</v>
      </c>
    </row>
    <row r="18" spans="1:8" x14ac:dyDescent="0.3">
      <c r="B18" s="6" t="s">
        <v>18</v>
      </c>
      <c r="C18" s="22"/>
      <c r="D18" s="22">
        <v>270000</v>
      </c>
      <c r="E18" s="22"/>
      <c r="F18" s="22">
        <v>270000</v>
      </c>
      <c r="G18" s="22"/>
      <c r="H18" s="12">
        <f t="shared" si="0"/>
        <v>44124</v>
      </c>
    </row>
    <row r="19" spans="1:8" x14ac:dyDescent="0.3">
      <c r="B19" s="6" t="s">
        <v>16</v>
      </c>
      <c r="C19" s="22"/>
      <c r="D19" s="22"/>
      <c r="E19" s="22"/>
      <c r="F19" s="22"/>
      <c r="G19" s="22"/>
      <c r="H19" s="12">
        <f t="shared" si="0"/>
        <v>44124</v>
      </c>
    </row>
    <row r="20" spans="1:8" x14ac:dyDescent="0.3">
      <c r="B20" s="50" t="s">
        <v>27</v>
      </c>
      <c r="C20" s="51">
        <f>SUBTOTAL(109,July_146789101112131416171819222324252624107131415161785[KSI_AGO])</f>
        <v>787000</v>
      </c>
      <c r="D20" s="51">
        <f>SUBTOTAL(109,July_146789101112131416171819222324252624107131415161785[KSI_PMS])</f>
        <v>1278000</v>
      </c>
      <c r="E20" s="51">
        <f>SUBTOTAL(109,July_146789101112131416171819222324252624107131415161785[BUIPE_AGO])</f>
        <v>45000</v>
      </c>
      <c r="F20" s="51">
        <f>SUBTOTAL(109,July_146789101112131416171819222324252624107131415161785[BUIPE_PMS])</f>
        <v>1026000</v>
      </c>
      <c r="G20" s="51">
        <f>SUBTOTAL(109,July_146789101112131416171819222324252624107131415161785[AKOSOMBO_AGO])</f>
        <v>0</v>
      </c>
      <c r="H20" s="52"/>
    </row>
    <row r="21" spans="1:8" x14ac:dyDescent="0.3">
      <c r="B21" s="8"/>
      <c r="C21" s="24"/>
      <c r="D21" s="24"/>
      <c r="E21" s="24"/>
      <c r="F21" s="24"/>
      <c r="G21" s="24"/>
      <c r="H21"/>
    </row>
    <row r="22" spans="1:8" x14ac:dyDescent="0.3">
      <c r="B22" s="1" t="s">
        <v>6</v>
      </c>
      <c r="C22" s="1" t="s">
        <v>4</v>
      </c>
      <c r="D22" s="5">
        <f>SUMIF(July_146789101112131416171819222324252624107131415161785[[#Headers],[KSI_AGO]:[AKOSOMBO_AGO]],"*"&amp;C22,July_146789101112131416171819222324252624107131415161785[[#Totals],[KSI_AGO]:[AKOSOMBO_AGO]])</f>
        <v>832000</v>
      </c>
      <c r="E22" s="1" t="s">
        <v>5</v>
      </c>
      <c r="F22" s="5">
        <f>SUMIF(July_146789101112131416171819222324252624107131415161785[[#Headers],[KSI_AGO]:[AKOSOMBO_AGO]],"*"&amp;E22,July_146789101112131416171819222324252624107131415161785[[#Totals],[KSI_AGO]:[AKOSOMBO_AGO]])</f>
        <v>2304000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C00-000000000000}">
      <formula1>INDIRECT("BDC_List[BDC List]")</formula1>
    </dataValidation>
  </dataValidations>
  <pageMargins left="0.7" right="0.7" top="0.75" bottom="0.75" header="0.3" footer="0.3"/>
  <tableParts count="1">
    <tablePart r:id="rId1"/>
  </tableParts>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codeName="Sheet206"/>
  <dimension ref="A1:K32"/>
  <sheetViews>
    <sheetView topLeftCell="B1" workbookViewId="0">
      <selection activeCell="G24" sqref="G24"/>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44125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44125</v>
      </c>
    </row>
    <row r="7" spans="2:11" x14ac:dyDescent="0.3">
      <c r="B7" s="6" t="s">
        <v>37</v>
      </c>
      <c r="C7" s="22"/>
      <c r="D7" s="22">
        <v>253000</v>
      </c>
      <c r="E7" s="22"/>
      <c r="F7" s="22"/>
      <c r="G7" s="22"/>
      <c r="H7" s="67">
        <f>$G$3</f>
        <v>44125</v>
      </c>
    </row>
    <row r="8" spans="2:11" x14ac:dyDescent="0.3">
      <c r="B8" s="6" t="s">
        <v>17</v>
      </c>
      <c r="C8" s="22">
        <v>2633500</v>
      </c>
      <c r="D8" s="22">
        <v>207000</v>
      </c>
      <c r="E8" s="22"/>
      <c r="F8" s="22">
        <v>212000</v>
      </c>
      <c r="G8" s="22"/>
      <c r="H8" s="12">
        <f t="shared" si="0"/>
        <v>44125</v>
      </c>
    </row>
    <row r="9" spans="2:11" ht="15.6" x14ac:dyDescent="0.3">
      <c r="B9" s="34" t="s">
        <v>0</v>
      </c>
      <c r="C9" s="60"/>
      <c r="D9" s="60"/>
      <c r="E9" s="60"/>
      <c r="F9" s="60"/>
      <c r="G9" s="61"/>
      <c r="H9" s="12">
        <f t="shared" si="0"/>
        <v>44125</v>
      </c>
    </row>
    <row r="10" spans="2:11" x14ac:dyDescent="0.3">
      <c r="B10" s="6" t="s">
        <v>25</v>
      </c>
      <c r="C10" s="22"/>
      <c r="D10" s="22"/>
      <c r="E10" s="22"/>
      <c r="F10" s="22"/>
      <c r="G10" s="22"/>
      <c r="H10" s="12">
        <f t="shared" si="0"/>
        <v>44125</v>
      </c>
    </row>
    <row r="11" spans="2:11" x14ac:dyDescent="0.3">
      <c r="B11" s="6" t="s">
        <v>15</v>
      </c>
      <c r="C11" s="22"/>
      <c r="D11" s="22">
        <v>216000</v>
      </c>
      <c r="E11" s="22"/>
      <c r="F11" s="48">
        <v>266000</v>
      </c>
      <c r="G11" s="22"/>
      <c r="H11" s="12">
        <f t="shared" si="0"/>
        <v>44125</v>
      </c>
    </row>
    <row r="12" spans="2:11" x14ac:dyDescent="0.3">
      <c r="B12" s="6" t="s">
        <v>26</v>
      </c>
      <c r="C12" s="22"/>
      <c r="D12" s="22">
        <v>99000</v>
      </c>
      <c r="E12" s="22"/>
      <c r="F12" s="22">
        <v>216000</v>
      </c>
      <c r="G12" s="22"/>
      <c r="H12" s="12">
        <f t="shared" si="0"/>
        <v>44125</v>
      </c>
    </row>
    <row r="13" spans="2:11" x14ac:dyDescent="0.3">
      <c r="B13" s="6" t="s">
        <v>22</v>
      </c>
      <c r="C13" s="23"/>
      <c r="D13" s="23"/>
      <c r="E13" s="23"/>
      <c r="F13" s="22"/>
      <c r="G13" s="23"/>
      <c r="H13" s="12">
        <f t="shared" si="0"/>
        <v>44125</v>
      </c>
      <c r="K13" s="4"/>
    </row>
    <row r="14" spans="2:11" x14ac:dyDescent="0.3">
      <c r="B14" s="6" t="s">
        <v>19</v>
      </c>
      <c r="C14" s="22"/>
      <c r="D14" s="22">
        <v>158000</v>
      </c>
      <c r="E14" s="22"/>
      <c r="F14" s="22">
        <v>324000</v>
      </c>
      <c r="G14" s="22"/>
      <c r="H14" s="12">
        <f t="shared" si="0"/>
        <v>44125</v>
      </c>
    </row>
    <row r="15" spans="2:11" x14ac:dyDescent="0.3">
      <c r="B15" s="6" t="s">
        <v>14</v>
      </c>
      <c r="C15" s="22"/>
      <c r="D15" s="22"/>
      <c r="E15" s="22">
        <v>45000</v>
      </c>
      <c r="F15" s="22"/>
      <c r="G15" s="22"/>
      <c r="H15" s="12">
        <f t="shared" si="0"/>
        <v>44125</v>
      </c>
    </row>
    <row r="16" spans="2:11" x14ac:dyDescent="0.3">
      <c r="B16" s="6" t="s">
        <v>24</v>
      </c>
      <c r="C16" s="22"/>
      <c r="D16" s="22"/>
      <c r="E16" s="22"/>
      <c r="F16" s="49"/>
      <c r="G16" s="22"/>
      <c r="H16" s="12">
        <f t="shared" si="0"/>
        <v>44125</v>
      </c>
    </row>
    <row r="17" spans="1:8" x14ac:dyDescent="0.3">
      <c r="B17" s="6" t="s">
        <v>21</v>
      </c>
      <c r="C17" s="22"/>
      <c r="D17" s="22"/>
      <c r="E17" s="22"/>
      <c r="F17" s="22"/>
      <c r="G17" s="22"/>
      <c r="H17" s="12">
        <f t="shared" si="0"/>
        <v>44125</v>
      </c>
    </row>
    <row r="18" spans="1:8" x14ac:dyDescent="0.3">
      <c r="B18" s="6" t="s">
        <v>18</v>
      </c>
      <c r="C18" s="22"/>
      <c r="D18" s="22">
        <v>162000</v>
      </c>
      <c r="E18" s="22"/>
      <c r="F18" s="22">
        <v>216000</v>
      </c>
      <c r="G18" s="22"/>
      <c r="H18" s="12">
        <f t="shared" si="0"/>
        <v>44125</v>
      </c>
    </row>
    <row r="19" spans="1:8" x14ac:dyDescent="0.3">
      <c r="B19" s="6" t="s">
        <v>16</v>
      </c>
      <c r="C19" s="22"/>
      <c r="D19" s="22"/>
      <c r="E19" s="22"/>
      <c r="F19" s="22"/>
      <c r="G19" s="22"/>
      <c r="H19" s="12">
        <f t="shared" si="0"/>
        <v>44125</v>
      </c>
    </row>
    <row r="20" spans="1:8" x14ac:dyDescent="0.3">
      <c r="B20" s="50" t="s">
        <v>27</v>
      </c>
      <c r="C20" s="51">
        <f>SUBTOTAL(109,October21_2020[KSI_AGO])</f>
        <v>2633500</v>
      </c>
      <c r="D20" s="51">
        <f>SUBTOTAL(109,October21_2020[KSI_PMS])</f>
        <v>1095000</v>
      </c>
      <c r="E20" s="51">
        <f>SUBTOTAL(109,October21_2020[BUIPE_AGO])</f>
        <v>45000</v>
      </c>
      <c r="F20" s="51">
        <f>SUBTOTAL(109,October21_2020[BUIPE_PMS])</f>
        <v>1234000</v>
      </c>
      <c r="G20" s="51">
        <f>SUBTOTAL(109,October21_2020[AKOSOMBO_AGO])</f>
        <v>0</v>
      </c>
      <c r="H20" s="52"/>
    </row>
    <row r="21" spans="1:8" x14ac:dyDescent="0.3">
      <c r="B21" s="8"/>
      <c r="C21" s="24"/>
      <c r="D21" s="24"/>
      <c r="E21" s="24"/>
      <c r="F21" s="24"/>
      <c r="G21" s="24"/>
      <c r="H21"/>
    </row>
    <row r="22" spans="1:8" x14ac:dyDescent="0.3">
      <c r="B22" s="1" t="s">
        <v>6</v>
      </c>
      <c r="C22" s="1" t="s">
        <v>4</v>
      </c>
      <c r="D22" s="5">
        <f>SUMIF(October21_2020[[#Headers],[KSI_AGO]:[AKOSOMBO_AGO]],"*"&amp;C22,October21_2020[[#Totals],[KSI_AGO]:[AKOSOMBO_AGO]])</f>
        <v>2678500</v>
      </c>
      <c r="E22" s="1" t="s">
        <v>5</v>
      </c>
      <c r="F22" s="5">
        <f>SUMIF(October21_2020[[#Headers],[KSI_AGO]:[AKOSOMBO_AGO]],"*"&amp;E22,October21_2020[[#Totals],[KSI_AGO]:[AKOSOMBO_AGO]])</f>
        <v>2329000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D00-000000000000}">
      <formula1>INDIRECT("BDC_List[BDC List]")</formula1>
    </dataValidation>
  </dataValidations>
  <pageMargins left="0.7" right="0.7" top="0.75" bottom="0.75" header="0.3" footer="0.3"/>
  <tableParts count="1">
    <tablePart r:id="rId1"/>
  </tableParts>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codeName="Sheet207"/>
  <dimension ref="A1:K32"/>
  <sheetViews>
    <sheetView topLeftCell="C1" workbookViewId="0">
      <selection activeCell="F26" sqref="F26"/>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44127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44127</v>
      </c>
    </row>
    <row r="7" spans="2:11" x14ac:dyDescent="0.3">
      <c r="B7" s="6" t="s">
        <v>37</v>
      </c>
      <c r="C7" s="22"/>
      <c r="D7" s="22"/>
      <c r="E7" s="22"/>
      <c r="F7" s="22"/>
      <c r="G7" s="22"/>
      <c r="H7" s="67">
        <f>$G$3</f>
        <v>44127</v>
      </c>
    </row>
    <row r="8" spans="2:11" x14ac:dyDescent="0.3">
      <c r="B8" s="6" t="s">
        <v>17</v>
      </c>
      <c r="C8" s="22">
        <v>1512000</v>
      </c>
      <c r="D8" s="22"/>
      <c r="E8" s="22"/>
      <c r="F8" s="22">
        <v>162000</v>
      </c>
      <c r="G8" s="22"/>
      <c r="H8" s="12">
        <f t="shared" si="0"/>
        <v>44127</v>
      </c>
    </row>
    <row r="9" spans="2:11" ht="15.6" x14ac:dyDescent="0.3">
      <c r="B9" s="34" t="s">
        <v>0</v>
      </c>
      <c r="C9" s="60"/>
      <c r="D9" s="60"/>
      <c r="E9" s="60"/>
      <c r="F9" s="60"/>
      <c r="G9" s="61"/>
      <c r="H9" s="12">
        <f t="shared" si="0"/>
        <v>44127</v>
      </c>
    </row>
    <row r="10" spans="2:11" x14ac:dyDescent="0.3">
      <c r="B10" s="6" t="s">
        <v>25</v>
      </c>
      <c r="C10" s="22"/>
      <c r="D10" s="22"/>
      <c r="E10" s="22"/>
      <c r="F10" s="22">
        <v>216000</v>
      </c>
      <c r="G10" s="22"/>
      <c r="H10" s="12">
        <f t="shared" si="0"/>
        <v>44127</v>
      </c>
    </row>
    <row r="11" spans="2:11" x14ac:dyDescent="0.3">
      <c r="B11" s="6" t="s">
        <v>15</v>
      </c>
      <c r="C11" s="22"/>
      <c r="D11" s="22">
        <v>104000</v>
      </c>
      <c r="E11" s="22"/>
      <c r="F11" s="48">
        <v>216000</v>
      </c>
      <c r="G11" s="22"/>
      <c r="H11" s="12">
        <f t="shared" si="0"/>
        <v>44127</v>
      </c>
    </row>
    <row r="12" spans="2:11" x14ac:dyDescent="0.3">
      <c r="B12" s="6" t="s">
        <v>26</v>
      </c>
      <c r="C12" s="22"/>
      <c r="D12" s="22">
        <v>216000</v>
      </c>
      <c r="E12" s="22"/>
      <c r="F12" s="22">
        <v>216000</v>
      </c>
      <c r="G12" s="22"/>
      <c r="H12" s="12">
        <f t="shared" si="0"/>
        <v>44127</v>
      </c>
    </row>
    <row r="13" spans="2:11" x14ac:dyDescent="0.3">
      <c r="B13" s="6" t="s">
        <v>22</v>
      </c>
      <c r="C13" s="23"/>
      <c r="D13" s="23"/>
      <c r="E13" s="23"/>
      <c r="F13" s="22"/>
      <c r="G13" s="23"/>
      <c r="H13" s="12">
        <f t="shared" si="0"/>
        <v>44127</v>
      </c>
      <c r="K13" s="4"/>
    </row>
    <row r="14" spans="2:11" x14ac:dyDescent="0.3">
      <c r="B14" s="6" t="s">
        <v>19</v>
      </c>
      <c r="C14" s="22"/>
      <c r="D14" s="22">
        <v>162000</v>
      </c>
      <c r="E14" s="22"/>
      <c r="F14" s="22">
        <v>162000</v>
      </c>
      <c r="G14" s="22"/>
      <c r="H14" s="12">
        <f t="shared" si="0"/>
        <v>44127</v>
      </c>
    </row>
    <row r="15" spans="2:11" x14ac:dyDescent="0.3">
      <c r="B15" s="6" t="s">
        <v>14</v>
      </c>
      <c r="C15" s="22"/>
      <c r="D15" s="22"/>
      <c r="E15" s="22"/>
      <c r="F15" s="22"/>
      <c r="G15" s="22"/>
      <c r="H15" s="12">
        <f t="shared" si="0"/>
        <v>44127</v>
      </c>
    </row>
    <row r="16" spans="2:11" x14ac:dyDescent="0.3">
      <c r="B16" s="6" t="s">
        <v>24</v>
      </c>
      <c r="C16" s="22"/>
      <c r="D16" s="22"/>
      <c r="E16" s="22"/>
      <c r="F16" s="49"/>
      <c r="G16" s="22"/>
      <c r="H16" s="12">
        <f t="shared" si="0"/>
        <v>44127</v>
      </c>
    </row>
    <row r="17" spans="1:8" x14ac:dyDescent="0.3">
      <c r="B17" s="6" t="s">
        <v>21</v>
      </c>
      <c r="C17" s="22"/>
      <c r="D17" s="22"/>
      <c r="E17" s="22"/>
      <c r="F17" s="22"/>
      <c r="G17" s="22"/>
      <c r="H17" s="12">
        <f t="shared" si="0"/>
        <v>44127</v>
      </c>
    </row>
    <row r="18" spans="1:8" x14ac:dyDescent="0.3">
      <c r="B18" s="6" t="s">
        <v>18</v>
      </c>
      <c r="C18" s="22"/>
      <c r="D18" s="22">
        <v>54000</v>
      </c>
      <c r="E18" s="22"/>
      <c r="F18" s="22">
        <v>108000</v>
      </c>
      <c r="G18" s="22"/>
      <c r="H18" s="12">
        <f t="shared" si="0"/>
        <v>44127</v>
      </c>
    </row>
    <row r="19" spans="1:8" x14ac:dyDescent="0.3">
      <c r="B19" s="6" t="s">
        <v>16</v>
      </c>
      <c r="C19" s="22"/>
      <c r="D19" s="22"/>
      <c r="E19" s="22"/>
      <c r="F19" s="22"/>
      <c r="G19" s="22"/>
      <c r="H19" s="12">
        <f t="shared" si="0"/>
        <v>44127</v>
      </c>
    </row>
    <row r="20" spans="1:8" x14ac:dyDescent="0.3">
      <c r="B20" s="50" t="s">
        <v>27</v>
      </c>
      <c r="C20" s="51">
        <f>SUBTOTAL(109,October23_2020[KSI_AGO])</f>
        <v>1512000</v>
      </c>
      <c r="D20" s="51">
        <f>SUBTOTAL(109,October23_2020[KSI_PMS])</f>
        <v>536000</v>
      </c>
      <c r="E20" s="51">
        <f>SUBTOTAL(109,October23_2020[BUIPE_AGO])</f>
        <v>0</v>
      </c>
      <c r="F20" s="51">
        <f>SUBTOTAL(109,October23_2020[BUIPE_PMS])</f>
        <v>1080000</v>
      </c>
      <c r="G20" s="51">
        <f>SUBTOTAL(109,October23_2020[AKOSOMBO_AGO])</f>
        <v>0</v>
      </c>
      <c r="H20" s="52"/>
    </row>
    <row r="21" spans="1:8" x14ac:dyDescent="0.3">
      <c r="B21" s="8"/>
      <c r="C21" s="24"/>
      <c r="D21" s="24"/>
      <c r="E21" s="24"/>
      <c r="F21" s="24"/>
      <c r="G21" s="24"/>
      <c r="H21"/>
    </row>
    <row r="22" spans="1:8" x14ac:dyDescent="0.3">
      <c r="B22" s="1" t="s">
        <v>6</v>
      </c>
      <c r="C22" s="1" t="s">
        <v>4</v>
      </c>
      <c r="D22" s="5">
        <f>SUMIF(October23_2020[[#Headers],[KSI_AGO]:[AKOSOMBO_AGO]],"*"&amp;C22,October23_2020[[#Totals],[KSI_AGO]:[AKOSOMBO_AGO]])</f>
        <v>1512000</v>
      </c>
      <c r="E22" s="1" t="s">
        <v>5</v>
      </c>
      <c r="F22" s="5">
        <f>SUMIF(October23_2020[[#Headers],[KSI_AGO]:[AKOSOMBO_AGO]],"*"&amp;E22,October23_2020[[#Totals],[KSI_AGO]:[AKOSOMBO_AGO]])</f>
        <v>1616000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E00-000000000000}">
      <formula1>INDIRECT("BDC_List[BDC List]")</formula1>
    </dataValidation>
  </dataValidations>
  <pageMargins left="0.7" right="0.7" top="0.75" bottom="0.75" header="0.3" footer="0.3"/>
  <tableParts count="1">
    <tablePart r:id="rId1"/>
  </tableParts>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codeName="Sheet208"/>
  <dimension ref="A1:K32"/>
  <sheetViews>
    <sheetView topLeftCell="C1" workbookViewId="0">
      <selection activeCell="G24" sqref="G24"/>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44130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44130</v>
      </c>
    </row>
    <row r="7" spans="2:11" x14ac:dyDescent="0.3">
      <c r="B7" s="6" t="s">
        <v>37</v>
      </c>
      <c r="C7" s="22"/>
      <c r="D7" s="22"/>
      <c r="E7" s="22"/>
      <c r="F7" s="22"/>
      <c r="G7" s="22"/>
      <c r="H7" s="67">
        <f>$G$3</f>
        <v>44130</v>
      </c>
    </row>
    <row r="8" spans="2:11" x14ac:dyDescent="0.3">
      <c r="B8" s="6" t="s">
        <v>17</v>
      </c>
      <c r="C8" s="22">
        <v>162000</v>
      </c>
      <c r="D8" s="22">
        <v>108000</v>
      </c>
      <c r="E8" s="22"/>
      <c r="F8" s="22">
        <v>108000</v>
      </c>
      <c r="G8" s="22"/>
      <c r="H8" s="12">
        <f t="shared" si="0"/>
        <v>44130</v>
      </c>
    </row>
    <row r="9" spans="2:11" ht="15.6" x14ac:dyDescent="0.3">
      <c r="B9" s="34" t="s">
        <v>0</v>
      </c>
      <c r="C9" s="60"/>
      <c r="D9" s="60"/>
      <c r="E9" s="60"/>
      <c r="F9" s="60"/>
      <c r="G9" s="61"/>
      <c r="H9" s="12">
        <f t="shared" si="0"/>
        <v>44130</v>
      </c>
    </row>
    <row r="10" spans="2:11" x14ac:dyDescent="0.3">
      <c r="B10" s="6" t="s">
        <v>25</v>
      </c>
      <c r="C10" s="22"/>
      <c r="D10" s="22"/>
      <c r="E10" s="22"/>
      <c r="F10" s="22">
        <v>324000</v>
      </c>
      <c r="G10" s="22"/>
      <c r="H10" s="12">
        <f t="shared" si="0"/>
        <v>44130</v>
      </c>
    </row>
    <row r="11" spans="2:11" x14ac:dyDescent="0.3">
      <c r="B11" s="6" t="s">
        <v>15</v>
      </c>
      <c r="C11" s="22"/>
      <c r="D11" s="22">
        <v>216000</v>
      </c>
      <c r="E11" s="22"/>
      <c r="F11" s="48">
        <v>216000</v>
      </c>
      <c r="G11" s="22"/>
      <c r="H11" s="12">
        <f t="shared" si="0"/>
        <v>44130</v>
      </c>
    </row>
    <row r="12" spans="2:11" x14ac:dyDescent="0.3">
      <c r="B12" s="6" t="s">
        <v>26</v>
      </c>
      <c r="C12" s="22"/>
      <c r="D12" s="22">
        <v>162000</v>
      </c>
      <c r="E12" s="22"/>
      <c r="F12" s="22">
        <v>212000</v>
      </c>
      <c r="G12" s="22"/>
      <c r="H12" s="12">
        <f t="shared" si="0"/>
        <v>44130</v>
      </c>
    </row>
    <row r="13" spans="2:11" x14ac:dyDescent="0.3">
      <c r="B13" s="6" t="s">
        <v>22</v>
      </c>
      <c r="C13" s="23"/>
      <c r="D13" s="23"/>
      <c r="E13" s="23"/>
      <c r="F13" s="22"/>
      <c r="G13" s="23"/>
      <c r="H13" s="12">
        <f t="shared" si="0"/>
        <v>44130</v>
      </c>
      <c r="K13" s="4"/>
    </row>
    <row r="14" spans="2:11" x14ac:dyDescent="0.3">
      <c r="B14" s="6" t="s">
        <v>19</v>
      </c>
      <c r="C14" s="22"/>
      <c r="D14" s="22">
        <v>108000</v>
      </c>
      <c r="E14" s="22"/>
      <c r="F14" s="22">
        <v>108000</v>
      </c>
      <c r="G14" s="22"/>
      <c r="H14" s="12">
        <f t="shared" si="0"/>
        <v>44130</v>
      </c>
    </row>
    <row r="15" spans="2:11" x14ac:dyDescent="0.3">
      <c r="B15" s="6" t="s">
        <v>14</v>
      </c>
      <c r="C15" s="22"/>
      <c r="D15" s="22"/>
      <c r="E15" s="22"/>
      <c r="F15" s="22"/>
      <c r="G15" s="22"/>
      <c r="H15" s="12">
        <f t="shared" si="0"/>
        <v>44130</v>
      </c>
    </row>
    <row r="16" spans="2:11" x14ac:dyDescent="0.3">
      <c r="B16" s="6" t="s">
        <v>24</v>
      </c>
      <c r="C16" s="22">
        <v>365000</v>
      </c>
      <c r="D16" s="22"/>
      <c r="E16" s="22"/>
      <c r="F16" s="49"/>
      <c r="G16" s="22"/>
      <c r="H16" s="12">
        <f t="shared" si="0"/>
        <v>44130</v>
      </c>
    </row>
    <row r="17" spans="1:8" x14ac:dyDescent="0.3">
      <c r="B17" s="6" t="s">
        <v>21</v>
      </c>
      <c r="C17" s="22"/>
      <c r="D17" s="22"/>
      <c r="E17" s="22"/>
      <c r="F17" s="22"/>
      <c r="G17" s="22"/>
      <c r="H17" s="12">
        <f t="shared" si="0"/>
        <v>44130</v>
      </c>
    </row>
    <row r="18" spans="1:8" x14ac:dyDescent="0.3">
      <c r="B18" s="6" t="s">
        <v>18</v>
      </c>
      <c r="C18" s="22"/>
      <c r="D18" s="22">
        <v>270000</v>
      </c>
      <c r="E18" s="22"/>
      <c r="F18" s="22">
        <v>54000</v>
      </c>
      <c r="G18" s="22"/>
      <c r="H18" s="12">
        <f t="shared" si="0"/>
        <v>44130</v>
      </c>
    </row>
    <row r="19" spans="1:8" x14ac:dyDescent="0.3">
      <c r="B19" s="6" t="s">
        <v>16</v>
      </c>
      <c r="C19" s="22"/>
      <c r="D19" s="22"/>
      <c r="E19" s="22"/>
      <c r="F19" s="22"/>
      <c r="G19" s="22"/>
      <c r="H19" s="12">
        <f t="shared" si="0"/>
        <v>44130</v>
      </c>
    </row>
    <row r="20" spans="1:8" x14ac:dyDescent="0.3">
      <c r="B20" s="50" t="s">
        <v>27</v>
      </c>
      <c r="C20" s="51">
        <f>SUBTOTAL(109,October26_2020[KSI_AGO])</f>
        <v>527000</v>
      </c>
      <c r="D20" s="51">
        <f>SUBTOTAL(109,October26_2020[KSI_PMS])</f>
        <v>864000</v>
      </c>
      <c r="E20" s="51">
        <f>SUBTOTAL(109,October26_2020[BUIPE_AGO])</f>
        <v>0</v>
      </c>
      <c r="F20" s="51">
        <f>SUBTOTAL(109,October26_2020[BUIPE_PMS])</f>
        <v>1022000</v>
      </c>
      <c r="G20" s="51">
        <f>SUBTOTAL(109,October26_2020[AKOSOMBO_AGO])</f>
        <v>0</v>
      </c>
      <c r="H20" s="52"/>
    </row>
    <row r="21" spans="1:8" x14ac:dyDescent="0.3">
      <c r="B21" s="8"/>
      <c r="C21" s="24"/>
      <c r="D21" s="24"/>
      <c r="E21" s="24"/>
      <c r="F21" s="24"/>
      <c r="G21" s="24"/>
      <c r="H21"/>
    </row>
    <row r="22" spans="1:8" x14ac:dyDescent="0.3">
      <c r="B22" s="1" t="s">
        <v>6</v>
      </c>
      <c r="C22" s="1" t="s">
        <v>4</v>
      </c>
      <c r="D22" s="5">
        <f>SUMIF(October26_2020[[#Headers],[KSI_AGO]:[AKOSOMBO_AGO]],"*"&amp;C22,October26_2020[[#Totals],[KSI_AGO]:[AKOSOMBO_AGO]])</f>
        <v>527000</v>
      </c>
      <c r="E22" s="1" t="s">
        <v>5</v>
      </c>
      <c r="F22" s="5">
        <f>SUMIF(October26_2020[[#Headers],[KSI_AGO]:[AKOSOMBO_AGO]],"*"&amp;E22,October26_2020[[#Totals],[KSI_AGO]:[AKOSOMBO_AGO]])</f>
        <v>1886000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CF00-000000000000}">
      <formula1>INDIRECT("BDC_List[BDC List]")</formula1>
    </dataValidation>
  </dataValidations>
  <pageMargins left="0.7" right="0.7" top="0.75" bottom="0.75" header="0.3" footer="0.3"/>
  <tableParts count="1">
    <tablePart r:id="rId1"/>
  </tableParts>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codeName="Sheet209"/>
  <dimension ref="A1:K32"/>
  <sheetViews>
    <sheetView topLeftCell="B1" workbookViewId="0">
      <selection activeCell="E14" sqref="E14"/>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44131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44131</v>
      </c>
    </row>
    <row r="7" spans="2:11" x14ac:dyDescent="0.3">
      <c r="B7" s="6" t="s">
        <v>37</v>
      </c>
      <c r="C7" s="22"/>
      <c r="D7" s="22">
        <v>45000</v>
      </c>
      <c r="E7" s="22"/>
      <c r="F7" s="22"/>
      <c r="G7" s="22"/>
      <c r="H7" s="67">
        <f>$G$3</f>
        <v>44131</v>
      </c>
    </row>
    <row r="8" spans="2:11" x14ac:dyDescent="0.3">
      <c r="B8" s="6" t="s">
        <v>17</v>
      </c>
      <c r="C8" s="22"/>
      <c r="D8" s="22">
        <v>319500</v>
      </c>
      <c r="E8" s="22"/>
      <c r="F8" s="22">
        <v>104000</v>
      </c>
      <c r="G8" s="22"/>
      <c r="H8" s="12">
        <f t="shared" si="0"/>
        <v>44131</v>
      </c>
    </row>
    <row r="9" spans="2:11" ht="15.6" x14ac:dyDescent="0.3">
      <c r="B9" s="34" t="s">
        <v>0</v>
      </c>
      <c r="C9" s="60"/>
      <c r="D9" s="60"/>
      <c r="E9" s="60"/>
      <c r="F9" s="60"/>
      <c r="G9" s="61"/>
      <c r="H9" s="12">
        <f t="shared" si="0"/>
        <v>44131</v>
      </c>
    </row>
    <row r="10" spans="2:11" x14ac:dyDescent="0.3">
      <c r="B10" s="6" t="s">
        <v>25</v>
      </c>
      <c r="C10" s="22"/>
      <c r="D10" s="22"/>
      <c r="E10" s="22"/>
      <c r="F10" s="22">
        <v>108000</v>
      </c>
      <c r="G10" s="22"/>
      <c r="H10" s="12">
        <f t="shared" si="0"/>
        <v>44131</v>
      </c>
    </row>
    <row r="11" spans="2:11" x14ac:dyDescent="0.3">
      <c r="B11" s="6" t="s">
        <v>15</v>
      </c>
      <c r="C11" s="22"/>
      <c r="D11" s="22">
        <v>216000</v>
      </c>
      <c r="E11" s="22"/>
      <c r="F11" s="48">
        <v>108000</v>
      </c>
      <c r="G11" s="22"/>
      <c r="H11" s="12">
        <f t="shared" si="0"/>
        <v>44131</v>
      </c>
    </row>
    <row r="12" spans="2:11" x14ac:dyDescent="0.3">
      <c r="B12" s="6" t="s">
        <v>26</v>
      </c>
      <c r="C12" s="22"/>
      <c r="D12" s="22">
        <v>211500</v>
      </c>
      <c r="E12" s="22"/>
      <c r="F12" s="22">
        <v>108000</v>
      </c>
      <c r="G12" s="22"/>
      <c r="H12" s="12">
        <f t="shared" si="0"/>
        <v>44131</v>
      </c>
    </row>
    <row r="13" spans="2:11" x14ac:dyDescent="0.3">
      <c r="B13" s="6" t="s">
        <v>22</v>
      </c>
      <c r="C13" s="23"/>
      <c r="D13" s="23"/>
      <c r="E13" s="23"/>
      <c r="F13" s="22"/>
      <c r="G13" s="23"/>
      <c r="H13" s="12">
        <f t="shared" si="0"/>
        <v>44131</v>
      </c>
      <c r="K13" s="4"/>
    </row>
    <row r="14" spans="2:11" x14ac:dyDescent="0.3">
      <c r="B14" s="6" t="s">
        <v>19</v>
      </c>
      <c r="C14" s="22"/>
      <c r="D14" s="22">
        <v>270000</v>
      </c>
      <c r="E14" s="22"/>
      <c r="F14" s="22">
        <v>108000</v>
      </c>
      <c r="G14" s="22"/>
      <c r="H14" s="12">
        <f t="shared" si="0"/>
        <v>44131</v>
      </c>
    </row>
    <row r="15" spans="2:11" x14ac:dyDescent="0.3">
      <c r="B15" s="6" t="s">
        <v>14</v>
      </c>
      <c r="C15" s="22"/>
      <c r="D15" s="22"/>
      <c r="E15" s="22"/>
      <c r="F15" s="22"/>
      <c r="G15" s="22"/>
      <c r="H15" s="12">
        <f t="shared" si="0"/>
        <v>44131</v>
      </c>
    </row>
    <row r="16" spans="2:11" x14ac:dyDescent="0.3">
      <c r="B16" s="6" t="s">
        <v>24</v>
      </c>
      <c r="C16" s="22"/>
      <c r="D16" s="22"/>
      <c r="E16" s="22"/>
      <c r="F16" s="49"/>
      <c r="G16" s="22"/>
      <c r="H16" s="12">
        <f t="shared" si="0"/>
        <v>44131</v>
      </c>
    </row>
    <row r="17" spans="1:8" x14ac:dyDescent="0.3">
      <c r="B17" s="6" t="s">
        <v>21</v>
      </c>
      <c r="C17" s="22"/>
      <c r="D17" s="22"/>
      <c r="E17" s="22"/>
      <c r="F17" s="22"/>
      <c r="G17" s="22"/>
      <c r="H17" s="12">
        <f t="shared" si="0"/>
        <v>44131</v>
      </c>
    </row>
    <row r="18" spans="1:8" x14ac:dyDescent="0.3">
      <c r="B18" s="6" t="s">
        <v>18</v>
      </c>
      <c r="C18" s="22"/>
      <c r="D18" s="22">
        <v>108000</v>
      </c>
      <c r="E18" s="22"/>
      <c r="F18" s="22">
        <v>216000</v>
      </c>
      <c r="G18" s="22"/>
      <c r="H18" s="12">
        <f t="shared" si="0"/>
        <v>44131</v>
      </c>
    </row>
    <row r="19" spans="1:8" x14ac:dyDescent="0.3">
      <c r="B19" s="6" t="s">
        <v>16</v>
      </c>
      <c r="C19" s="22"/>
      <c r="D19" s="22"/>
      <c r="E19" s="22"/>
      <c r="F19" s="22"/>
      <c r="G19" s="22"/>
      <c r="H19" s="12">
        <f t="shared" si="0"/>
        <v>44131</v>
      </c>
    </row>
    <row r="20" spans="1:8" x14ac:dyDescent="0.3">
      <c r="B20" s="50" t="s">
        <v>27</v>
      </c>
      <c r="C20" s="51">
        <f>SUBTOTAL(109,October27_2020[KSI_AGO])</f>
        <v>0</v>
      </c>
      <c r="D20" s="51">
        <f>SUBTOTAL(109,October27_2020[KSI_PMS])</f>
        <v>1170000</v>
      </c>
      <c r="E20" s="51">
        <f>SUBTOTAL(109,October27_2020[BUIPE_AGO])</f>
        <v>0</v>
      </c>
      <c r="F20" s="51">
        <f>SUBTOTAL(109,October27_2020[BUIPE_PMS])</f>
        <v>752000</v>
      </c>
      <c r="G20" s="51">
        <f>SUBTOTAL(109,October27_2020[AKOSOMBO_AGO])</f>
        <v>0</v>
      </c>
      <c r="H20" s="52"/>
    </row>
    <row r="21" spans="1:8" x14ac:dyDescent="0.3">
      <c r="B21" s="8"/>
      <c r="C21" s="24"/>
      <c r="D21" s="24"/>
      <c r="E21" s="24"/>
      <c r="F21" s="24"/>
      <c r="G21" s="24"/>
      <c r="H21"/>
    </row>
    <row r="22" spans="1:8" x14ac:dyDescent="0.3">
      <c r="B22" s="1" t="s">
        <v>6</v>
      </c>
      <c r="C22" s="1" t="s">
        <v>4</v>
      </c>
      <c r="D22" s="5">
        <f>SUMIF(October27_2020[[#Headers],[KSI_AGO]:[AKOSOMBO_AGO]],"*"&amp;C22,October27_2020[[#Totals],[KSI_AGO]:[AKOSOMBO_AGO]])</f>
        <v>0</v>
      </c>
      <c r="E22" s="1" t="s">
        <v>5</v>
      </c>
      <c r="F22" s="5">
        <f>SUMIF(October27_2020[[#Headers],[KSI_AGO]:[AKOSOMBO_AGO]],"*"&amp;E22,October27_2020[[#Totals],[KSI_AGO]:[AKOSOMBO_AGO]])</f>
        <v>1922000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000-000000000000}">
      <formula1>INDIRECT("BDC_List[BDC List]")</formula1>
    </dataValidation>
  </dataValidations>
  <pageMargins left="0.7" right="0.7" top="0.75" bottom="0.75" header="0.3" footer="0.3"/>
  <legacyDrawing r:id="rId1"/>
  <tableParts count="1">
    <tablePart r:id="rId2"/>
  </tableParts>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codeName="Sheet210"/>
  <dimension ref="A1:K32"/>
  <sheetViews>
    <sheetView topLeftCell="C1" workbookViewId="0">
      <selection activeCell="D7" sqref="D7:D18"/>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44132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44132</v>
      </c>
    </row>
    <row r="7" spans="2:11" x14ac:dyDescent="0.3">
      <c r="B7" s="6" t="s">
        <v>37</v>
      </c>
      <c r="C7" s="22"/>
      <c r="D7" s="22">
        <v>162000</v>
      </c>
      <c r="E7" s="22"/>
      <c r="F7" s="22"/>
      <c r="G7" s="22"/>
      <c r="H7" s="67">
        <f>$G$3</f>
        <v>44132</v>
      </c>
    </row>
    <row r="8" spans="2:11" x14ac:dyDescent="0.3">
      <c r="B8" s="6" t="s">
        <v>17</v>
      </c>
      <c r="C8" s="22"/>
      <c r="D8" s="22">
        <v>108000</v>
      </c>
      <c r="E8" s="22"/>
      <c r="F8" s="22">
        <v>216000</v>
      </c>
      <c r="G8" s="22"/>
      <c r="H8" s="12">
        <f t="shared" si="0"/>
        <v>44132</v>
      </c>
    </row>
    <row r="9" spans="2:11" ht="15.6" x14ac:dyDescent="0.3">
      <c r="B9" s="34" t="s">
        <v>0</v>
      </c>
      <c r="C9" s="60"/>
      <c r="D9" s="60"/>
      <c r="E9" s="60"/>
      <c r="F9" s="60"/>
      <c r="G9" s="61"/>
      <c r="H9" s="12">
        <f t="shared" si="0"/>
        <v>44132</v>
      </c>
    </row>
    <row r="10" spans="2:11" x14ac:dyDescent="0.3">
      <c r="B10" s="6" t="s">
        <v>25</v>
      </c>
      <c r="C10" s="22"/>
      <c r="D10" s="22"/>
      <c r="E10" s="22"/>
      <c r="F10" s="22">
        <v>270000</v>
      </c>
      <c r="G10" s="22"/>
      <c r="H10" s="12">
        <f t="shared" si="0"/>
        <v>44132</v>
      </c>
    </row>
    <row r="11" spans="2:11" x14ac:dyDescent="0.3">
      <c r="B11" s="6" t="s">
        <v>15</v>
      </c>
      <c r="C11" s="22"/>
      <c r="D11" s="22">
        <v>104000</v>
      </c>
      <c r="E11" s="22"/>
      <c r="F11" s="48">
        <v>216000</v>
      </c>
      <c r="G11" s="22"/>
      <c r="H11" s="12">
        <f t="shared" si="0"/>
        <v>44132</v>
      </c>
    </row>
    <row r="12" spans="2:11" x14ac:dyDescent="0.3">
      <c r="B12" s="6" t="s">
        <v>26</v>
      </c>
      <c r="C12" s="22"/>
      <c r="D12" s="22">
        <v>99000</v>
      </c>
      <c r="E12" s="22"/>
      <c r="F12" s="22">
        <v>216000</v>
      </c>
      <c r="G12" s="22"/>
      <c r="H12" s="12">
        <f t="shared" si="0"/>
        <v>44132</v>
      </c>
    </row>
    <row r="13" spans="2:11" x14ac:dyDescent="0.3">
      <c r="B13" s="6" t="s">
        <v>22</v>
      </c>
      <c r="C13" s="23"/>
      <c r="D13" s="23"/>
      <c r="E13" s="23"/>
      <c r="F13" s="22"/>
      <c r="G13" s="23"/>
      <c r="H13" s="12">
        <f t="shared" si="0"/>
        <v>44132</v>
      </c>
      <c r="K13" s="4"/>
    </row>
    <row r="14" spans="2:11" x14ac:dyDescent="0.3">
      <c r="B14" s="6" t="s">
        <v>19</v>
      </c>
      <c r="C14" s="22"/>
      <c r="D14" s="22">
        <v>216000</v>
      </c>
      <c r="E14" s="22"/>
      <c r="F14" s="22">
        <v>270000</v>
      </c>
      <c r="G14" s="22"/>
      <c r="H14" s="12">
        <f t="shared" si="0"/>
        <v>44132</v>
      </c>
    </row>
    <row r="15" spans="2:11" x14ac:dyDescent="0.3">
      <c r="B15" s="6" t="s">
        <v>14</v>
      </c>
      <c r="C15" s="22"/>
      <c r="D15" s="22">
        <v>378000</v>
      </c>
      <c r="E15" s="22"/>
      <c r="F15" s="22">
        <v>162000</v>
      </c>
      <c r="G15" s="22"/>
      <c r="H15" s="12">
        <f t="shared" si="0"/>
        <v>44132</v>
      </c>
    </row>
    <row r="16" spans="2:11" x14ac:dyDescent="0.3">
      <c r="B16" s="6" t="s">
        <v>24</v>
      </c>
      <c r="C16" s="22"/>
      <c r="D16" s="22"/>
      <c r="E16" s="22"/>
      <c r="F16" s="49"/>
      <c r="G16" s="22"/>
      <c r="H16" s="12">
        <f t="shared" si="0"/>
        <v>44132</v>
      </c>
    </row>
    <row r="17" spans="1:8" x14ac:dyDescent="0.3">
      <c r="B17" s="6" t="s">
        <v>21</v>
      </c>
      <c r="C17" s="22"/>
      <c r="D17" s="22"/>
      <c r="E17" s="22"/>
      <c r="F17" s="22"/>
      <c r="G17" s="22"/>
      <c r="H17" s="12">
        <f t="shared" si="0"/>
        <v>44132</v>
      </c>
    </row>
    <row r="18" spans="1:8" x14ac:dyDescent="0.3">
      <c r="B18" s="6" t="s">
        <v>18</v>
      </c>
      <c r="C18" s="22"/>
      <c r="D18" s="22">
        <v>108000</v>
      </c>
      <c r="E18" s="22"/>
      <c r="F18" s="22"/>
      <c r="G18" s="22"/>
      <c r="H18" s="12">
        <f t="shared" si="0"/>
        <v>44132</v>
      </c>
    </row>
    <row r="19" spans="1:8" x14ac:dyDescent="0.3">
      <c r="B19" s="6" t="s">
        <v>16</v>
      </c>
      <c r="C19" s="22"/>
      <c r="D19" s="22"/>
      <c r="E19" s="22"/>
      <c r="F19" s="22"/>
      <c r="G19" s="22"/>
      <c r="H19" s="12">
        <f t="shared" si="0"/>
        <v>44132</v>
      </c>
    </row>
    <row r="20" spans="1:8" x14ac:dyDescent="0.3">
      <c r="B20" s="50" t="s">
        <v>27</v>
      </c>
      <c r="C20" s="51">
        <f>SUBTOTAL(109,October28_2020[KSI_AGO])</f>
        <v>0</v>
      </c>
      <c r="D20" s="51">
        <f>SUBTOTAL(109,October28_2020[KSI_PMS])</f>
        <v>1175000</v>
      </c>
      <c r="E20" s="51">
        <f>SUBTOTAL(109,October28_2020[BUIPE_AGO])</f>
        <v>0</v>
      </c>
      <c r="F20" s="51">
        <f>SUBTOTAL(109,October28_2020[BUIPE_PMS])</f>
        <v>1350000</v>
      </c>
      <c r="G20" s="51">
        <f>SUBTOTAL(109,October28_2020[AKOSOMBO_AGO])</f>
        <v>0</v>
      </c>
      <c r="H20" s="52"/>
    </row>
    <row r="21" spans="1:8" x14ac:dyDescent="0.3">
      <c r="B21" s="8"/>
      <c r="C21" s="24"/>
      <c r="D21" s="24"/>
      <c r="E21" s="24"/>
      <c r="F21" s="24"/>
      <c r="G21" s="24"/>
      <c r="H21"/>
    </row>
    <row r="22" spans="1:8" x14ac:dyDescent="0.3">
      <c r="B22" s="1" t="s">
        <v>6</v>
      </c>
      <c r="C22" s="1" t="s">
        <v>4</v>
      </c>
      <c r="D22" s="5">
        <f>SUMIF(October28_2020[[#Headers],[KSI_AGO]:[AKOSOMBO_AGO]],"*"&amp;C22,October28_2020[[#Totals],[KSI_AGO]:[AKOSOMBO_AGO]])</f>
        <v>0</v>
      </c>
      <c r="E22" s="1" t="s">
        <v>5</v>
      </c>
      <c r="F22" s="5">
        <f>SUMIF(October28_2020[[#Headers],[KSI_AGO]:[AKOSOMBO_AGO]],"*"&amp;E22,October28_2020[[#Totals],[KSI_AGO]:[AKOSOMBO_AGO]])</f>
        <v>2525000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100-000000000000}">
      <formula1>INDIRECT("BDC_List[BDC List]")</formula1>
    </dataValidation>
  </dataValidations>
  <pageMargins left="0.7" right="0.7" top="0.75" bottom="0.75" header="0.3" footer="0.3"/>
  <legacyDrawing r:id="rId1"/>
  <tableParts count="1">
    <tablePart r:id="rId2"/>
  </tableParts>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sheetPr codeName="Sheet211"/>
  <dimension ref="A1:K32"/>
  <sheetViews>
    <sheetView topLeftCell="C1" workbookViewId="0">
      <selection activeCell="E16" sqref="E16"/>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44133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44133</v>
      </c>
    </row>
    <row r="7" spans="2:11" x14ac:dyDescent="0.3">
      <c r="B7" s="6" t="s">
        <v>37</v>
      </c>
      <c r="C7" s="22"/>
      <c r="D7" s="22"/>
      <c r="E7" s="22"/>
      <c r="F7" s="22"/>
      <c r="G7" s="22"/>
      <c r="H7" s="67">
        <f>$G$3</f>
        <v>44133</v>
      </c>
    </row>
    <row r="8" spans="2:11" x14ac:dyDescent="0.3">
      <c r="B8" s="6" t="s">
        <v>17</v>
      </c>
      <c r="C8" s="22"/>
      <c r="D8" s="22">
        <v>153000</v>
      </c>
      <c r="E8" s="22"/>
      <c r="F8" s="22"/>
      <c r="G8" s="22"/>
      <c r="H8" s="12">
        <f t="shared" si="0"/>
        <v>44133</v>
      </c>
    </row>
    <row r="9" spans="2:11" ht="15.6" x14ac:dyDescent="0.3">
      <c r="B9" s="34" t="s">
        <v>0</v>
      </c>
      <c r="C9" s="60">
        <v>864000</v>
      </c>
      <c r="D9" s="60"/>
      <c r="E9" s="60">
        <v>1242000</v>
      </c>
      <c r="F9" s="60"/>
      <c r="G9" s="61">
        <v>536000</v>
      </c>
      <c r="H9" s="12">
        <f t="shared" si="0"/>
        <v>44133</v>
      </c>
    </row>
    <row r="10" spans="2:11" x14ac:dyDescent="0.3">
      <c r="B10" s="6" t="s">
        <v>25</v>
      </c>
      <c r="C10" s="22"/>
      <c r="D10" s="22"/>
      <c r="E10" s="22"/>
      <c r="F10" s="22">
        <v>216000</v>
      </c>
      <c r="G10" s="22"/>
      <c r="H10" s="12">
        <f t="shared" si="0"/>
        <v>44133</v>
      </c>
    </row>
    <row r="11" spans="2:11" x14ac:dyDescent="0.3">
      <c r="B11" s="6" t="s">
        <v>15</v>
      </c>
      <c r="C11" s="22"/>
      <c r="D11" s="22">
        <v>216000</v>
      </c>
      <c r="E11" s="22"/>
      <c r="F11" s="48">
        <v>162000</v>
      </c>
      <c r="G11" s="22"/>
      <c r="H11" s="12">
        <f t="shared" si="0"/>
        <v>44133</v>
      </c>
    </row>
    <row r="12" spans="2:11" x14ac:dyDescent="0.3">
      <c r="B12" s="6" t="s">
        <v>26</v>
      </c>
      <c r="C12" s="22"/>
      <c r="D12" s="22">
        <v>324000</v>
      </c>
      <c r="E12" s="22"/>
      <c r="F12" s="22">
        <v>162000</v>
      </c>
      <c r="G12" s="22"/>
      <c r="H12" s="12">
        <f t="shared" si="0"/>
        <v>44133</v>
      </c>
    </row>
    <row r="13" spans="2:11" x14ac:dyDescent="0.3">
      <c r="B13" s="6" t="s">
        <v>22</v>
      </c>
      <c r="C13" s="23"/>
      <c r="D13" s="23"/>
      <c r="E13" s="23"/>
      <c r="F13" s="22"/>
      <c r="G13" s="23"/>
      <c r="H13" s="12">
        <f t="shared" si="0"/>
        <v>44133</v>
      </c>
      <c r="K13" s="4"/>
    </row>
    <row r="14" spans="2:11" x14ac:dyDescent="0.3">
      <c r="B14" s="6" t="s">
        <v>19</v>
      </c>
      <c r="C14" s="22"/>
      <c r="D14" s="22"/>
      <c r="E14" s="22"/>
      <c r="F14" s="22">
        <v>216000</v>
      </c>
      <c r="G14" s="22"/>
      <c r="H14" s="12">
        <f t="shared" si="0"/>
        <v>44133</v>
      </c>
    </row>
    <row r="15" spans="2:11" x14ac:dyDescent="0.3">
      <c r="B15" s="6" t="s">
        <v>14</v>
      </c>
      <c r="C15" s="22"/>
      <c r="D15" s="22">
        <v>216000</v>
      </c>
      <c r="E15" s="22"/>
      <c r="F15" s="22">
        <v>45000</v>
      </c>
      <c r="G15" s="22"/>
      <c r="H15" s="12">
        <f t="shared" si="0"/>
        <v>44133</v>
      </c>
    </row>
    <row r="16" spans="2:11" x14ac:dyDescent="0.3">
      <c r="B16" s="6" t="s">
        <v>24</v>
      </c>
      <c r="C16" s="22"/>
      <c r="D16" s="22"/>
      <c r="E16" s="22"/>
      <c r="F16" s="49"/>
      <c r="G16" s="22"/>
      <c r="H16" s="12">
        <f t="shared" si="0"/>
        <v>44133</v>
      </c>
    </row>
    <row r="17" spans="1:8" x14ac:dyDescent="0.3">
      <c r="B17" s="6" t="s">
        <v>21</v>
      </c>
      <c r="C17" s="22"/>
      <c r="D17" s="22"/>
      <c r="E17" s="22"/>
      <c r="F17" s="22"/>
      <c r="G17" s="22"/>
      <c r="H17" s="12">
        <f t="shared" si="0"/>
        <v>44133</v>
      </c>
    </row>
    <row r="18" spans="1:8" x14ac:dyDescent="0.3">
      <c r="B18" s="6" t="s">
        <v>18</v>
      </c>
      <c r="C18" s="22"/>
      <c r="D18" s="22">
        <v>108000</v>
      </c>
      <c r="E18" s="22"/>
      <c r="F18" s="22"/>
      <c r="G18" s="22"/>
      <c r="H18" s="12">
        <f t="shared" si="0"/>
        <v>44133</v>
      </c>
    </row>
    <row r="19" spans="1:8" x14ac:dyDescent="0.3">
      <c r="B19" s="6" t="s">
        <v>16</v>
      </c>
      <c r="C19" s="22"/>
      <c r="D19" s="22"/>
      <c r="E19" s="22"/>
      <c r="F19" s="22"/>
      <c r="G19" s="22"/>
      <c r="H19" s="12">
        <f t="shared" si="0"/>
        <v>44133</v>
      </c>
    </row>
    <row r="20" spans="1:8" x14ac:dyDescent="0.3">
      <c r="B20" s="50" t="s">
        <v>27</v>
      </c>
      <c r="C20" s="51">
        <f>SUBTOTAL(109,October29_2020[KSI_AGO])</f>
        <v>864000</v>
      </c>
      <c r="D20" s="51">
        <f>SUBTOTAL(109,October29_2020[KSI_PMS])</f>
        <v>1017000</v>
      </c>
      <c r="E20" s="51">
        <f>SUBTOTAL(109,October29_2020[BUIPE_AGO])</f>
        <v>1242000</v>
      </c>
      <c r="F20" s="51">
        <f>SUBTOTAL(109,October29_2020[BUIPE_PMS])</f>
        <v>801000</v>
      </c>
      <c r="G20" s="51">
        <f>SUBTOTAL(109,October29_2020[AKOSOMBO_AGO])</f>
        <v>536000</v>
      </c>
      <c r="H20" s="52"/>
    </row>
    <row r="21" spans="1:8" x14ac:dyDescent="0.3">
      <c r="B21" s="8"/>
      <c r="C21" s="24"/>
      <c r="D21" s="24"/>
      <c r="E21" s="24"/>
      <c r="F21" s="24"/>
      <c r="G21" s="24"/>
      <c r="H21"/>
    </row>
    <row r="22" spans="1:8" x14ac:dyDescent="0.3">
      <c r="B22" s="1" t="s">
        <v>6</v>
      </c>
      <c r="C22" s="1" t="s">
        <v>4</v>
      </c>
      <c r="D22" s="5">
        <f>SUMIF(October29_2020[[#Headers],[KSI_AGO]:[AKOSOMBO_AGO]],"*"&amp;C22,October29_2020[[#Totals],[KSI_AGO]:[AKOSOMBO_AGO]])</f>
        <v>2642000</v>
      </c>
      <c r="E22" s="1" t="s">
        <v>5</v>
      </c>
      <c r="F22" s="5">
        <f>SUMIF(October29_2020[[#Headers],[KSI_AGO]:[AKOSOMBO_AGO]],"*"&amp;E22,October29_2020[[#Totals],[KSI_AGO]:[AKOSOMBO_AGO]])</f>
        <v>1818000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200-000000000000}">
      <formula1>INDIRECT("BDC_List[BDC List]")</formula1>
    </dataValidation>
  </dataValidations>
  <pageMargins left="0.7" right="0.7" top="0.75" bottom="0.75" header="0.3" footer="0.3"/>
  <tableParts count="1">
    <tablePart r:id="rId1"/>
  </tableParts>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codeName="Sheet212"/>
  <dimension ref="A1:K32"/>
  <sheetViews>
    <sheetView workbookViewId="0">
      <selection activeCell="D25" sqref="D2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44134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44134</v>
      </c>
    </row>
    <row r="7" spans="2:11" x14ac:dyDescent="0.3">
      <c r="B7" s="6" t="s">
        <v>37</v>
      </c>
      <c r="C7" s="22"/>
      <c r="D7" s="22"/>
      <c r="E7" s="22"/>
      <c r="F7" s="22"/>
      <c r="G7" s="22"/>
      <c r="H7" s="67">
        <f>$G$3</f>
        <v>44134</v>
      </c>
    </row>
    <row r="8" spans="2:11" x14ac:dyDescent="0.3">
      <c r="B8" s="6" t="s">
        <v>17</v>
      </c>
      <c r="C8" s="22"/>
      <c r="D8" s="22">
        <v>297000</v>
      </c>
      <c r="E8" s="22"/>
      <c r="F8" s="22"/>
      <c r="G8" s="22"/>
      <c r="H8" s="12">
        <f t="shared" si="0"/>
        <v>44134</v>
      </c>
    </row>
    <row r="9" spans="2:11" ht="15.6" x14ac:dyDescent="0.3">
      <c r="B9" s="34" t="s">
        <v>0</v>
      </c>
      <c r="C9" s="60">
        <v>900000</v>
      </c>
      <c r="D9" s="60"/>
      <c r="E9" s="60">
        <v>689000</v>
      </c>
      <c r="F9" s="60"/>
      <c r="G9" s="61">
        <v>522000</v>
      </c>
      <c r="H9" s="12">
        <f t="shared" si="0"/>
        <v>44134</v>
      </c>
    </row>
    <row r="10" spans="2:11" x14ac:dyDescent="0.3">
      <c r="B10" s="6" t="s">
        <v>25</v>
      </c>
      <c r="C10" s="22"/>
      <c r="D10" s="22"/>
      <c r="E10" s="22"/>
      <c r="F10" s="22">
        <v>373500</v>
      </c>
      <c r="G10" s="22"/>
      <c r="H10" s="12">
        <f t="shared" si="0"/>
        <v>44134</v>
      </c>
    </row>
    <row r="11" spans="2:11" x14ac:dyDescent="0.3">
      <c r="B11" s="6" t="s">
        <v>15</v>
      </c>
      <c r="C11" s="22"/>
      <c r="D11" s="22">
        <v>252000</v>
      </c>
      <c r="E11" s="22"/>
      <c r="F11" s="48">
        <v>324000</v>
      </c>
      <c r="G11" s="22"/>
      <c r="H11" s="12">
        <f t="shared" si="0"/>
        <v>44134</v>
      </c>
    </row>
    <row r="12" spans="2:11" x14ac:dyDescent="0.3">
      <c r="B12" s="6" t="s">
        <v>26</v>
      </c>
      <c r="C12" s="22"/>
      <c r="D12" s="22">
        <v>270000</v>
      </c>
      <c r="E12" s="22"/>
      <c r="F12" s="22">
        <v>162000</v>
      </c>
      <c r="G12" s="22"/>
      <c r="H12" s="12">
        <f t="shared" si="0"/>
        <v>44134</v>
      </c>
    </row>
    <row r="13" spans="2:11" x14ac:dyDescent="0.3">
      <c r="B13" s="6" t="s">
        <v>22</v>
      </c>
      <c r="C13" s="23"/>
      <c r="D13" s="23"/>
      <c r="E13" s="23"/>
      <c r="F13" s="22"/>
      <c r="G13" s="23"/>
      <c r="H13" s="12">
        <f t="shared" si="0"/>
        <v>44134</v>
      </c>
      <c r="K13" s="4"/>
    </row>
    <row r="14" spans="2:11" x14ac:dyDescent="0.3">
      <c r="B14" s="6" t="s">
        <v>19</v>
      </c>
      <c r="C14" s="22">
        <v>324000</v>
      </c>
      <c r="D14" s="22"/>
      <c r="E14" s="22">
        <v>404000</v>
      </c>
      <c r="F14" s="22"/>
      <c r="G14" s="22"/>
      <c r="H14" s="12">
        <f t="shared" si="0"/>
        <v>44134</v>
      </c>
    </row>
    <row r="15" spans="2:11" x14ac:dyDescent="0.3">
      <c r="B15" s="6" t="s">
        <v>14</v>
      </c>
      <c r="C15" s="22"/>
      <c r="D15" s="22">
        <v>104000</v>
      </c>
      <c r="E15" s="22"/>
      <c r="F15" s="22">
        <v>45000</v>
      </c>
      <c r="G15" s="22"/>
      <c r="H15" s="12">
        <f t="shared" si="0"/>
        <v>44134</v>
      </c>
    </row>
    <row r="16" spans="2:11" x14ac:dyDescent="0.3">
      <c r="B16" s="6" t="s">
        <v>24</v>
      </c>
      <c r="C16" s="22"/>
      <c r="D16" s="22"/>
      <c r="E16" s="22"/>
      <c r="F16" s="49"/>
      <c r="G16" s="22"/>
      <c r="H16" s="12">
        <f t="shared" si="0"/>
        <v>44134</v>
      </c>
    </row>
    <row r="17" spans="1:8" x14ac:dyDescent="0.3">
      <c r="B17" s="6" t="s">
        <v>21</v>
      </c>
      <c r="C17" s="22"/>
      <c r="D17" s="22"/>
      <c r="E17" s="22"/>
      <c r="F17" s="22"/>
      <c r="G17" s="22"/>
      <c r="H17" s="12">
        <f t="shared" si="0"/>
        <v>44134</v>
      </c>
    </row>
    <row r="18" spans="1:8" x14ac:dyDescent="0.3">
      <c r="B18" s="6" t="s">
        <v>18</v>
      </c>
      <c r="C18" s="22"/>
      <c r="D18" s="22"/>
      <c r="E18" s="22"/>
      <c r="F18" s="22"/>
      <c r="G18" s="22"/>
      <c r="H18" s="12">
        <f t="shared" si="0"/>
        <v>44134</v>
      </c>
    </row>
    <row r="19" spans="1:8" x14ac:dyDescent="0.3">
      <c r="B19" s="6" t="s">
        <v>16</v>
      </c>
      <c r="C19" s="22"/>
      <c r="D19" s="22"/>
      <c r="E19" s="22"/>
      <c r="F19" s="22"/>
      <c r="G19" s="22"/>
      <c r="H19" s="12">
        <f t="shared" si="0"/>
        <v>44134</v>
      </c>
    </row>
    <row r="20" spans="1:8" x14ac:dyDescent="0.3">
      <c r="B20" s="50" t="s">
        <v>27</v>
      </c>
      <c r="C20" s="51">
        <f>SUBTOTAL(109,October30_2020[KSI_AGO])</f>
        <v>1224000</v>
      </c>
      <c r="D20" s="51">
        <f>SUBTOTAL(109,October30_2020[KSI_PMS])</f>
        <v>923000</v>
      </c>
      <c r="E20" s="51">
        <f>SUBTOTAL(109,October30_2020[BUIPE_AGO])</f>
        <v>1093000</v>
      </c>
      <c r="F20" s="51">
        <f>SUBTOTAL(109,October30_2020[BUIPE_PMS])</f>
        <v>904500</v>
      </c>
      <c r="G20" s="51">
        <f>SUBTOTAL(109,October30_2020[AKOSOMBO_AGO])</f>
        <v>522000</v>
      </c>
      <c r="H20" s="52"/>
    </row>
    <row r="21" spans="1:8" x14ac:dyDescent="0.3">
      <c r="B21" s="8"/>
      <c r="C21" s="24"/>
      <c r="D21" s="24"/>
      <c r="E21" s="24"/>
      <c r="F21" s="24"/>
      <c r="G21" s="24"/>
      <c r="H21"/>
    </row>
    <row r="22" spans="1:8" x14ac:dyDescent="0.3">
      <c r="B22" s="1" t="s">
        <v>6</v>
      </c>
      <c r="C22" s="1" t="s">
        <v>4</v>
      </c>
      <c r="D22" s="5">
        <f>SUMIF(October30_2020[[#Headers],[KSI_AGO]:[AKOSOMBO_AGO]],"*"&amp;C22,October30_2020[[#Totals],[KSI_AGO]:[AKOSOMBO_AGO]])</f>
        <v>2839000</v>
      </c>
      <c r="E22" s="1" t="s">
        <v>5</v>
      </c>
      <c r="F22" s="5">
        <f>SUMIF(October30_2020[[#Headers],[KSI_AGO]:[AKOSOMBO_AGO]],"*"&amp;E22,October30_2020[[#Totals],[KSI_AGO]:[AKOSOMBO_AGO]])</f>
        <v>1827500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300-000000000000}">
      <formula1>INDIRECT("BDC_List[BDC List]")</formula1>
    </dataValidation>
  </dataValidations>
  <pageMargins left="0.7" right="0.7" top="0.75" bottom="0.75" header="0.3" footer="0.3"/>
  <tableParts count="1">
    <tablePart r:id="rId1"/>
  </tableParts>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codeName="Sheet213"/>
  <dimension ref="A1:K32"/>
  <sheetViews>
    <sheetView topLeftCell="C1" workbookViewId="0">
      <selection activeCell="G13" sqref="G13"/>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44137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44137</v>
      </c>
    </row>
    <row r="7" spans="2:11" x14ac:dyDescent="0.3">
      <c r="B7" s="6" t="s">
        <v>37</v>
      </c>
      <c r="C7" s="22"/>
      <c r="D7" s="22"/>
      <c r="E7" s="22"/>
      <c r="F7" s="22"/>
      <c r="G7" s="22"/>
      <c r="H7" s="67">
        <f>$G$3</f>
        <v>44137</v>
      </c>
    </row>
    <row r="8" spans="2:11" x14ac:dyDescent="0.3">
      <c r="B8" s="6" t="s">
        <v>17</v>
      </c>
      <c r="C8" s="22"/>
      <c r="D8" s="22">
        <v>54000</v>
      </c>
      <c r="E8" s="22"/>
      <c r="F8" s="22"/>
      <c r="G8" s="22"/>
      <c r="H8" s="12">
        <f t="shared" si="0"/>
        <v>44137</v>
      </c>
    </row>
    <row r="9" spans="2:11" ht="15.6" x14ac:dyDescent="0.3">
      <c r="B9" s="34" t="s">
        <v>0</v>
      </c>
      <c r="C9" s="60">
        <v>216000</v>
      </c>
      <c r="D9" s="60"/>
      <c r="E9" s="60">
        <v>266000</v>
      </c>
      <c r="F9" s="60"/>
      <c r="G9" s="61"/>
      <c r="H9" s="12">
        <f t="shared" si="0"/>
        <v>44137</v>
      </c>
    </row>
    <row r="10" spans="2:11" x14ac:dyDescent="0.3">
      <c r="B10" s="6" t="s">
        <v>25</v>
      </c>
      <c r="C10" s="22"/>
      <c r="D10" s="22"/>
      <c r="E10" s="22"/>
      <c r="F10" s="22">
        <v>54000</v>
      </c>
      <c r="G10" s="22"/>
      <c r="H10" s="12">
        <f t="shared" si="0"/>
        <v>44137</v>
      </c>
    </row>
    <row r="11" spans="2:11" x14ac:dyDescent="0.3">
      <c r="B11" s="6" t="s">
        <v>15</v>
      </c>
      <c r="C11" s="22"/>
      <c r="D11" s="22"/>
      <c r="E11" s="22"/>
      <c r="F11" s="48">
        <v>54000</v>
      </c>
      <c r="G11" s="22"/>
      <c r="H11" s="12">
        <f t="shared" si="0"/>
        <v>44137</v>
      </c>
    </row>
    <row r="12" spans="2:11" x14ac:dyDescent="0.3">
      <c r="B12" s="6" t="s">
        <v>26</v>
      </c>
      <c r="C12" s="22"/>
      <c r="D12" s="22">
        <v>162000</v>
      </c>
      <c r="E12" s="22"/>
      <c r="F12" s="22"/>
      <c r="G12" s="22"/>
      <c r="H12" s="12">
        <f t="shared" si="0"/>
        <v>44137</v>
      </c>
    </row>
    <row r="13" spans="2:11" x14ac:dyDescent="0.3">
      <c r="B13" s="6" t="s">
        <v>22</v>
      </c>
      <c r="C13" s="23"/>
      <c r="D13" s="23"/>
      <c r="E13" s="23"/>
      <c r="F13" s="22"/>
      <c r="G13" s="23"/>
      <c r="H13" s="12">
        <f t="shared" si="0"/>
        <v>44137</v>
      </c>
      <c r="K13" s="4"/>
    </row>
    <row r="14" spans="2:11" x14ac:dyDescent="0.3">
      <c r="B14" s="6" t="s">
        <v>19</v>
      </c>
      <c r="C14" s="22"/>
      <c r="D14" s="22"/>
      <c r="E14" s="22"/>
      <c r="F14" s="22"/>
      <c r="G14" s="22"/>
      <c r="H14" s="12">
        <f t="shared" si="0"/>
        <v>44137</v>
      </c>
    </row>
    <row r="15" spans="2:11" x14ac:dyDescent="0.3">
      <c r="B15" s="6" t="s">
        <v>14</v>
      </c>
      <c r="C15" s="22"/>
      <c r="D15" s="22"/>
      <c r="E15" s="22"/>
      <c r="F15" s="22"/>
      <c r="G15" s="22"/>
      <c r="H15" s="12">
        <f t="shared" si="0"/>
        <v>44137</v>
      </c>
    </row>
    <row r="16" spans="2:11" x14ac:dyDescent="0.3">
      <c r="B16" s="6" t="s">
        <v>24</v>
      </c>
      <c r="C16" s="22"/>
      <c r="D16" s="22"/>
      <c r="E16" s="22"/>
      <c r="F16" s="49"/>
      <c r="G16" s="22"/>
      <c r="H16" s="12">
        <f t="shared" si="0"/>
        <v>44137</v>
      </c>
    </row>
    <row r="17" spans="1:8" x14ac:dyDescent="0.3">
      <c r="B17" s="6" t="s">
        <v>21</v>
      </c>
      <c r="C17" s="22"/>
      <c r="D17" s="22"/>
      <c r="E17" s="22"/>
      <c r="F17" s="22"/>
      <c r="G17" s="22"/>
      <c r="H17" s="12">
        <f t="shared" si="0"/>
        <v>44137</v>
      </c>
    </row>
    <row r="18" spans="1:8" x14ac:dyDescent="0.3">
      <c r="B18" s="6" t="s">
        <v>18</v>
      </c>
      <c r="C18" s="22"/>
      <c r="D18" s="22"/>
      <c r="E18" s="22"/>
      <c r="F18" s="22"/>
      <c r="G18" s="22"/>
      <c r="H18" s="12">
        <f t="shared" si="0"/>
        <v>44137</v>
      </c>
    </row>
    <row r="19" spans="1:8" x14ac:dyDescent="0.3">
      <c r="B19" s="6" t="s">
        <v>16</v>
      </c>
      <c r="C19" s="22"/>
      <c r="D19" s="22"/>
      <c r="E19" s="22"/>
      <c r="F19" s="22"/>
      <c r="G19" s="22"/>
      <c r="H19" s="12">
        <f t="shared" si="0"/>
        <v>44137</v>
      </c>
    </row>
    <row r="20" spans="1:8" x14ac:dyDescent="0.3">
      <c r="B20" s="50" t="s">
        <v>27</v>
      </c>
      <c r="C20" s="51">
        <f>SUBTOTAL(109,November02_2020[KSI_AGO])</f>
        <v>216000</v>
      </c>
      <c r="D20" s="51">
        <f>SUBTOTAL(109,November02_2020[KSI_PMS])</f>
        <v>216000</v>
      </c>
      <c r="E20" s="51">
        <f>SUBTOTAL(109,November02_2020[BUIPE_AGO])</f>
        <v>266000</v>
      </c>
      <c r="F20" s="51">
        <f>SUBTOTAL(109,November02_2020[BUIPE_PMS])</f>
        <v>108000</v>
      </c>
      <c r="G20" s="51">
        <f>SUBTOTAL(109,November02_2020[AKOSOMBO_AGO])</f>
        <v>0</v>
      </c>
      <c r="H20" s="52"/>
    </row>
    <row r="21" spans="1:8" x14ac:dyDescent="0.3">
      <c r="B21" s="8"/>
      <c r="C21" s="24"/>
      <c r="D21" s="24"/>
      <c r="E21" s="24"/>
      <c r="F21" s="24"/>
      <c r="G21" s="24"/>
      <c r="H21"/>
    </row>
    <row r="22" spans="1:8" x14ac:dyDescent="0.3">
      <c r="B22" s="1" t="s">
        <v>6</v>
      </c>
      <c r="C22" s="1" t="s">
        <v>4</v>
      </c>
      <c r="D22" s="5">
        <f>SUMIF(November02_2020[[#Headers],[KSI_AGO]:[AKOSOMBO_AGO]],"*"&amp;C22,November02_2020[[#Totals],[KSI_AGO]:[AKOSOMBO_AGO]])</f>
        <v>482000</v>
      </c>
      <c r="E22" s="1" t="s">
        <v>5</v>
      </c>
      <c r="F22" s="5">
        <f>SUMIF(November02_2020[[#Headers],[KSI_AGO]:[AKOSOMBO_AGO]],"*"&amp;E22,November02_2020[[#Totals],[KSI_AGO]:[AKOSOMBO_AGO]])</f>
        <v>324000</v>
      </c>
    </row>
    <row r="25" spans="1:8" x14ac:dyDescent="0.3">
      <c r="C25" s="1" t="s">
        <v>39</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400-000000000000}">
      <formula1>INDIRECT("BDC_List[BDC List]")</formula1>
    </dataValidation>
  </dataValidations>
  <pageMargins left="0.7" right="0.7" top="0.75" bottom="0.75" header="0.3" footer="0.3"/>
  <tableParts count="1">
    <tablePart r:id="rId1"/>
  </tableParts>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sheetPr codeName="Sheet214"/>
  <dimension ref="A1:K32"/>
  <sheetViews>
    <sheetView topLeftCell="C1" workbookViewId="0">
      <selection activeCell="E15" sqref="E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44138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44138</v>
      </c>
    </row>
    <row r="7" spans="2:11" x14ac:dyDescent="0.3">
      <c r="B7" s="6" t="s">
        <v>37</v>
      </c>
      <c r="C7" s="22">
        <v>162000</v>
      </c>
      <c r="D7" s="22">
        <v>92000</v>
      </c>
      <c r="E7" s="22">
        <v>216000</v>
      </c>
      <c r="F7" s="22"/>
      <c r="G7" s="22"/>
      <c r="H7" s="67">
        <f>$G$3</f>
        <v>44138</v>
      </c>
    </row>
    <row r="8" spans="2:11" x14ac:dyDescent="0.3">
      <c r="B8" s="6" t="s">
        <v>17</v>
      </c>
      <c r="C8" s="22"/>
      <c r="D8" s="22">
        <v>482000</v>
      </c>
      <c r="E8" s="22"/>
      <c r="F8" s="22"/>
      <c r="G8" s="22"/>
      <c r="H8" s="12">
        <f t="shared" si="0"/>
        <v>44138</v>
      </c>
    </row>
    <row r="9" spans="2:11" ht="15.6" x14ac:dyDescent="0.3">
      <c r="B9" s="34" t="s">
        <v>0</v>
      </c>
      <c r="C9" s="60">
        <v>207000</v>
      </c>
      <c r="D9" s="60"/>
      <c r="E9" s="60">
        <v>108000</v>
      </c>
      <c r="F9" s="60"/>
      <c r="G9" s="61">
        <v>315000</v>
      </c>
      <c r="H9" s="12">
        <f t="shared" si="0"/>
        <v>44138</v>
      </c>
    </row>
    <row r="10" spans="2:11" x14ac:dyDescent="0.3">
      <c r="B10" s="6" t="s">
        <v>25</v>
      </c>
      <c r="C10" s="22"/>
      <c r="D10" s="22"/>
      <c r="E10" s="22"/>
      <c r="F10" s="22">
        <v>153000</v>
      </c>
      <c r="G10" s="22"/>
      <c r="H10" s="12">
        <f t="shared" si="0"/>
        <v>44138</v>
      </c>
    </row>
    <row r="11" spans="2:11" x14ac:dyDescent="0.3">
      <c r="B11" s="6" t="s">
        <v>15</v>
      </c>
      <c r="C11" s="22"/>
      <c r="D11" s="22">
        <v>149000</v>
      </c>
      <c r="E11" s="22"/>
      <c r="F11" s="48">
        <v>212000</v>
      </c>
      <c r="G11" s="22"/>
      <c r="H11" s="12">
        <f t="shared" si="0"/>
        <v>44138</v>
      </c>
    </row>
    <row r="12" spans="2:11" x14ac:dyDescent="0.3">
      <c r="B12" s="6" t="s">
        <v>26</v>
      </c>
      <c r="C12" s="22">
        <v>216000</v>
      </c>
      <c r="D12" s="22">
        <v>431000</v>
      </c>
      <c r="E12" s="22">
        <v>216000</v>
      </c>
      <c r="F12" s="22">
        <v>45000</v>
      </c>
      <c r="G12" s="22"/>
      <c r="H12" s="12">
        <f t="shared" si="0"/>
        <v>44138</v>
      </c>
    </row>
    <row r="13" spans="2:11" x14ac:dyDescent="0.3">
      <c r="B13" s="6" t="s">
        <v>22</v>
      </c>
      <c r="C13" s="23"/>
      <c r="D13" s="23"/>
      <c r="E13" s="23"/>
      <c r="F13" s="22"/>
      <c r="G13" s="23"/>
      <c r="H13" s="12">
        <f t="shared" si="0"/>
        <v>44138</v>
      </c>
      <c r="K13" s="4"/>
    </row>
    <row r="14" spans="2:11" x14ac:dyDescent="0.3">
      <c r="B14" s="6" t="s">
        <v>19</v>
      </c>
      <c r="C14" s="22">
        <v>54000</v>
      </c>
      <c r="D14" s="22"/>
      <c r="E14" s="22">
        <v>265500</v>
      </c>
      <c r="F14" s="22">
        <v>45000</v>
      </c>
      <c r="G14" s="22"/>
      <c r="H14" s="12">
        <f t="shared" si="0"/>
        <v>44138</v>
      </c>
    </row>
    <row r="15" spans="2:11" x14ac:dyDescent="0.3">
      <c r="B15" s="6" t="s">
        <v>14</v>
      </c>
      <c r="C15" s="22"/>
      <c r="D15" s="22">
        <v>54000</v>
      </c>
      <c r="E15" s="22"/>
      <c r="F15" s="22"/>
      <c r="G15" s="22"/>
      <c r="H15" s="12">
        <f t="shared" si="0"/>
        <v>44138</v>
      </c>
    </row>
    <row r="16" spans="2:11" x14ac:dyDescent="0.3">
      <c r="B16" s="6" t="s">
        <v>24</v>
      </c>
      <c r="C16" s="22"/>
      <c r="D16" s="22"/>
      <c r="E16" s="22"/>
      <c r="F16" s="49"/>
      <c r="G16" s="22"/>
      <c r="H16" s="12">
        <f t="shared" si="0"/>
        <v>44138</v>
      </c>
    </row>
    <row r="17" spans="1:8" x14ac:dyDescent="0.3">
      <c r="B17" s="6" t="s">
        <v>21</v>
      </c>
      <c r="C17" s="22"/>
      <c r="D17" s="22"/>
      <c r="E17" s="22"/>
      <c r="F17" s="22"/>
      <c r="G17" s="22"/>
      <c r="H17" s="12">
        <f t="shared" si="0"/>
        <v>44138</v>
      </c>
    </row>
    <row r="18" spans="1:8" x14ac:dyDescent="0.3">
      <c r="B18" s="6" t="s">
        <v>18</v>
      </c>
      <c r="C18" s="22"/>
      <c r="D18" s="22">
        <v>53500</v>
      </c>
      <c r="E18" s="22"/>
      <c r="F18" s="22"/>
      <c r="G18" s="22"/>
      <c r="H18" s="12">
        <f t="shared" si="0"/>
        <v>44138</v>
      </c>
    </row>
    <row r="19" spans="1:8" x14ac:dyDescent="0.3">
      <c r="B19" s="6" t="s">
        <v>16</v>
      </c>
      <c r="C19" s="22">
        <v>162000</v>
      </c>
      <c r="D19" s="22"/>
      <c r="E19" s="22">
        <v>428000</v>
      </c>
      <c r="F19" s="22"/>
      <c r="G19" s="22"/>
      <c r="H19" s="12">
        <f t="shared" si="0"/>
        <v>44138</v>
      </c>
    </row>
    <row r="20" spans="1:8" x14ac:dyDescent="0.3">
      <c r="B20" s="50" t="s">
        <v>27</v>
      </c>
      <c r="C20" s="51">
        <f>SUBTOTAL(109,November03_2020[KSI_AGO])</f>
        <v>801000</v>
      </c>
      <c r="D20" s="51">
        <f>SUBTOTAL(109,November03_2020[KSI_PMS])</f>
        <v>1261500</v>
      </c>
      <c r="E20" s="51">
        <f>SUBTOTAL(109,November03_2020[BUIPE_AGO])</f>
        <v>1233500</v>
      </c>
      <c r="F20" s="51">
        <f>SUBTOTAL(109,November03_2020[BUIPE_PMS])</f>
        <v>455000</v>
      </c>
      <c r="G20" s="51">
        <f>SUBTOTAL(109,November03_2020[AKOSOMBO_AGO])</f>
        <v>315000</v>
      </c>
      <c r="H20" s="52"/>
    </row>
    <row r="21" spans="1:8" x14ac:dyDescent="0.3">
      <c r="B21" s="8"/>
      <c r="C21" s="24"/>
      <c r="D21" s="24"/>
      <c r="E21" s="24"/>
      <c r="F21" s="24"/>
      <c r="G21" s="24"/>
      <c r="H21"/>
    </row>
    <row r="22" spans="1:8" x14ac:dyDescent="0.3">
      <c r="B22" s="1" t="s">
        <v>6</v>
      </c>
      <c r="C22" s="1" t="s">
        <v>4</v>
      </c>
      <c r="D22" s="5">
        <f>SUMIF(November03_2020[[#Headers],[KSI_AGO]:[AKOSOMBO_AGO]],"*"&amp;C22,November03_2020[[#Totals],[KSI_AGO]:[AKOSOMBO_AGO]])</f>
        <v>2349500</v>
      </c>
      <c r="E22" s="1" t="s">
        <v>5</v>
      </c>
      <c r="F22" s="5">
        <f>SUMIF(November03_2020[[#Headers],[KSI_AGO]:[AKOSOMBO_AGO]],"*"&amp;E22,November03_2020[[#Totals],[KSI_AGO]:[AKOSOMBO_AGO]])</f>
        <v>1716500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500-000000000000}">
      <formula1>INDIRECT("BDC_List[BDC List]")</formula1>
    </dataValidation>
  </dataValidations>
  <pageMargins left="0.7" right="0.7" top="0.75" bottom="0.75" header="0.3" footer="0.3"/>
  <legacyDrawing r:id="rId1"/>
  <tableParts count="1">
    <tablePart r:id="rId2"/>
  </tableParts>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sheetPr codeName="Sheet215"/>
  <dimension ref="A1:K32"/>
  <sheetViews>
    <sheetView workbookViewId="0">
      <selection activeCell="G13" sqref="G13"/>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44139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44139</v>
      </c>
    </row>
    <row r="7" spans="2:11" x14ac:dyDescent="0.3">
      <c r="B7" s="6" t="s">
        <v>37</v>
      </c>
      <c r="C7" s="22">
        <v>153000</v>
      </c>
      <c r="D7" s="22"/>
      <c r="E7" s="22">
        <v>162000</v>
      </c>
      <c r="F7" s="22"/>
      <c r="G7" s="22"/>
      <c r="H7" s="67">
        <f>$G$3</f>
        <v>44139</v>
      </c>
    </row>
    <row r="8" spans="2:11" x14ac:dyDescent="0.3">
      <c r="B8" s="6" t="s">
        <v>17</v>
      </c>
      <c r="C8" s="22"/>
      <c r="D8" s="22">
        <v>430000</v>
      </c>
      <c r="E8" s="22"/>
      <c r="F8" s="22"/>
      <c r="G8" s="22"/>
      <c r="H8" s="12">
        <f t="shared" si="0"/>
        <v>44139</v>
      </c>
    </row>
    <row r="9" spans="2:11" ht="15.6" x14ac:dyDescent="0.3">
      <c r="B9" s="34" t="s">
        <v>0</v>
      </c>
      <c r="C9" s="60">
        <v>315000</v>
      </c>
      <c r="D9" s="60"/>
      <c r="E9" s="60">
        <v>90000</v>
      </c>
      <c r="F9" s="60"/>
      <c r="G9" s="61">
        <v>225000</v>
      </c>
      <c r="H9" s="12">
        <f t="shared" si="0"/>
        <v>44139</v>
      </c>
    </row>
    <row r="10" spans="2:11" x14ac:dyDescent="0.3">
      <c r="B10" s="6" t="s">
        <v>25</v>
      </c>
      <c r="C10" s="22"/>
      <c r="D10" s="22"/>
      <c r="E10" s="22"/>
      <c r="F10" s="22"/>
      <c r="G10" s="22"/>
      <c r="H10" s="12">
        <f t="shared" si="0"/>
        <v>44139</v>
      </c>
    </row>
    <row r="11" spans="2:11" x14ac:dyDescent="0.3">
      <c r="B11" s="6" t="s">
        <v>15</v>
      </c>
      <c r="C11" s="22"/>
      <c r="D11" s="22">
        <v>153000</v>
      </c>
      <c r="E11" s="22"/>
      <c r="F11" s="48"/>
      <c r="G11" s="22"/>
      <c r="H11" s="12">
        <f t="shared" si="0"/>
        <v>44139</v>
      </c>
    </row>
    <row r="12" spans="2:11" x14ac:dyDescent="0.3">
      <c r="B12" s="6" t="s">
        <v>26</v>
      </c>
      <c r="C12" s="22">
        <v>216000</v>
      </c>
      <c r="D12" s="22">
        <v>585000</v>
      </c>
      <c r="E12" s="22">
        <v>108000</v>
      </c>
      <c r="F12" s="22">
        <v>162000</v>
      </c>
      <c r="G12" s="22"/>
      <c r="H12" s="12">
        <f t="shared" si="0"/>
        <v>44139</v>
      </c>
    </row>
    <row r="13" spans="2:11" x14ac:dyDescent="0.3">
      <c r="B13" s="6" t="s">
        <v>22</v>
      </c>
      <c r="C13" s="23"/>
      <c r="D13" s="23"/>
      <c r="E13" s="23"/>
      <c r="F13" s="22"/>
      <c r="G13" s="23"/>
      <c r="H13" s="12">
        <f t="shared" si="0"/>
        <v>44139</v>
      </c>
      <c r="K13" s="4"/>
    </row>
    <row r="14" spans="2:11" x14ac:dyDescent="0.3">
      <c r="B14" s="6" t="s">
        <v>19</v>
      </c>
      <c r="C14" s="22">
        <v>162000</v>
      </c>
      <c r="D14" s="22">
        <v>216000</v>
      </c>
      <c r="E14" s="22">
        <v>540000</v>
      </c>
      <c r="F14" s="22"/>
      <c r="G14" s="22"/>
      <c r="H14" s="12">
        <f t="shared" si="0"/>
        <v>44139</v>
      </c>
    </row>
    <row r="15" spans="2:11" x14ac:dyDescent="0.3">
      <c r="B15" s="6" t="s">
        <v>14</v>
      </c>
      <c r="C15" s="22"/>
      <c r="D15" s="22"/>
      <c r="E15" s="22"/>
      <c r="F15" s="22"/>
      <c r="G15" s="22"/>
      <c r="H15" s="12">
        <f t="shared" si="0"/>
        <v>44139</v>
      </c>
    </row>
    <row r="16" spans="2:11" x14ac:dyDescent="0.3">
      <c r="B16" s="6" t="s">
        <v>24</v>
      </c>
      <c r="C16" s="22"/>
      <c r="D16" s="22"/>
      <c r="E16" s="22"/>
      <c r="F16" s="49"/>
      <c r="G16" s="22"/>
      <c r="H16" s="12">
        <f t="shared" si="0"/>
        <v>44139</v>
      </c>
    </row>
    <row r="17" spans="1:8" x14ac:dyDescent="0.3">
      <c r="B17" s="6" t="s">
        <v>21</v>
      </c>
      <c r="C17" s="22"/>
      <c r="D17" s="22"/>
      <c r="E17" s="22"/>
      <c r="F17" s="22"/>
      <c r="G17" s="22"/>
      <c r="H17" s="12">
        <f t="shared" si="0"/>
        <v>44139</v>
      </c>
    </row>
    <row r="18" spans="1:8" x14ac:dyDescent="0.3">
      <c r="B18" s="6" t="s">
        <v>18</v>
      </c>
      <c r="C18" s="22"/>
      <c r="D18" s="22"/>
      <c r="E18" s="22"/>
      <c r="F18" s="22"/>
      <c r="G18" s="22"/>
      <c r="H18" s="12">
        <f t="shared" si="0"/>
        <v>44139</v>
      </c>
    </row>
    <row r="19" spans="1:8" x14ac:dyDescent="0.3">
      <c r="B19" s="6" t="s">
        <v>16</v>
      </c>
      <c r="C19" s="22">
        <v>270000</v>
      </c>
      <c r="D19" s="22">
        <v>54000</v>
      </c>
      <c r="E19" s="22">
        <v>270000</v>
      </c>
      <c r="F19" s="22"/>
      <c r="G19" s="22"/>
      <c r="H19" s="12">
        <f t="shared" si="0"/>
        <v>44139</v>
      </c>
    </row>
    <row r="20" spans="1:8" x14ac:dyDescent="0.3">
      <c r="B20" s="50" t="s">
        <v>27</v>
      </c>
      <c r="C20" s="51">
        <f>SUBTOTAL(109,November04_2020[KSI_AGO])</f>
        <v>1116000</v>
      </c>
      <c r="D20" s="51">
        <f>SUBTOTAL(109,November04_2020[KSI_PMS])</f>
        <v>1438000</v>
      </c>
      <c r="E20" s="51">
        <f>SUBTOTAL(109,November04_2020[BUIPE_AGO])</f>
        <v>1170000</v>
      </c>
      <c r="F20" s="51">
        <f>SUBTOTAL(109,November04_2020[BUIPE_PMS])</f>
        <v>162000</v>
      </c>
      <c r="G20" s="51">
        <f>SUBTOTAL(109,November04_2020[AKOSOMBO_AGO])</f>
        <v>225000</v>
      </c>
      <c r="H20" s="52"/>
    </row>
    <row r="21" spans="1:8" x14ac:dyDescent="0.3">
      <c r="B21" s="8"/>
      <c r="C21" s="24"/>
      <c r="D21" s="24"/>
      <c r="E21" s="24"/>
      <c r="F21" s="24"/>
      <c r="G21" s="24"/>
      <c r="H21"/>
    </row>
    <row r="22" spans="1:8" x14ac:dyDescent="0.3">
      <c r="B22" s="1" t="s">
        <v>6</v>
      </c>
      <c r="C22" s="1" t="s">
        <v>4</v>
      </c>
      <c r="D22" s="5">
        <f>SUMIF(November04_2020[[#Headers],[KSI_AGO]:[AKOSOMBO_AGO]],"*"&amp;C22,November04_2020[[#Totals],[KSI_AGO]:[AKOSOMBO_AGO]])</f>
        <v>2511000</v>
      </c>
      <c r="E22" s="1" t="s">
        <v>5</v>
      </c>
      <c r="F22" s="5">
        <f>SUMIF(November04_2020[[#Headers],[KSI_AGO]:[AKOSOMBO_AGO]],"*"&amp;E22,November04_2020[[#Totals],[KSI_AGO]:[AKOSOMBO_AGO]])</f>
        <v>1600000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600-000000000000}">
      <formula1>INDIRECT("BDC_List[BDC List]")</formula1>
    </dataValidation>
  </dataValidations>
  <pageMargins left="0.7" right="0.7" top="0.75" bottom="0.75" header="0.3" footer="0.3"/>
  <tableParts count="1">
    <tablePart r:id="rId1"/>
  </tableParts>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sheetPr codeName="Sheet216"/>
  <dimension ref="A1:K32"/>
  <sheetViews>
    <sheetView workbookViewId="0">
      <selection activeCell="F14" sqref="F14"/>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44140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44140</v>
      </c>
    </row>
    <row r="7" spans="2:11" x14ac:dyDescent="0.3">
      <c r="B7" s="6" t="s">
        <v>37</v>
      </c>
      <c r="C7" s="22"/>
      <c r="D7" s="22"/>
      <c r="E7" s="22"/>
      <c r="F7" s="22"/>
      <c r="G7" s="22"/>
      <c r="H7" s="67">
        <f>$G$3</f>
        <v>44140</v>
      </c>
    </row>
    <row r="8" spans="2:11" x14ac:dyDescent="0.3">
      <c r="B8" s="6" t="s">
        <v>17</v>
      </c>
      <c r="C8" s="22"/>
      <c r="D8" s="22">
        <v>428000</v>
      </c>
      <c r="E8" s="22"/>
      <c r="F8" s="22"/>
      <c r="G8" s="22"/>
      <c r="H8" s="12">
        <f t="shared" si="0"/>
        <v>44140</v>
      </c>
    </row>
    <row r="9" spans="2:11" ht="15.6" x14ac:dyDescent="0.3">
      <c r="B9" s="34" t="s">
        <v>0</v>
      </c>
      <c r="C9" s="60">
        <v>751500</v>
      </c>
      <c r="D9" s="60"/>
      <c r="E9" s="60"/>
      <c r="F9" s="60"/>
      <c r="G9" s="61"/>
      <c r="H9" s="12">
        <f t="shared" si="0"/>
        <v>44140</v>
      </c>
    </row>
    <row r="10" spans="2:11" x14ac:dyDescent="0.3">
      <c r="B10" s="6" t="s">
        <v>25</v>
      </c>
      <c r="C10" s="70">
        <v>162000</v>
      </c>
      <c r="D10" s="22"/>
      <c r="E10" s="22">
        <v>266000</v>
      </c>
      <c r="F10" s="22"/>
      <c r="G10" s="22"/>
      <c r="H10" s="12">
        <f t="shared" si="0"/>
        <v>44140</v>
      </c>
    </row>
    <row r="11" spans="2:11" x14ac:dyDescent="0.3">
      <c r="B11" s="6" t="s">
        <v>15</v>
      </c>
      <c r="C11" s="22"/>
      <c r="D11" s="22"/>
      <c r="E11" s="22"/>
      <c r="F11" s="48"/>
      <c r="G11" s="22"/>
      <c r="H11" s="12">
        <f t="shared" si="0"/>
        <v>44140</v>
      </c>
    </row>
    <row r="12" spans="2:11" x14ac:dyDescent="0.3">
      <c r="B12" s="6" t="s">
        <v>26</v>
      </c>
      <c r="C12" s="22">
        <v>99000</v>
      </c>
      <c r="D12" s="22">
        <v>324000</v>
      </c>
      <c r="E12" s="22"/>
      <c r="F12" s="22">
        <v>540000</v>
      </c>
      <c r="G12" s="22"/>
      <c r="H12" s="12">
        <f t="shared" si="0"/>
        <v>44140</v>
      </c>
    </row>
    <row r="13" spans="2:11" x14ac:dyDescent="0.3">
      <c r="B13" s="6" t="s">
        <v>22</v>
      </c>
      <c r="C13" s="23"/>
      <c r="D13" s="23"/>
      <c r="E13" s="23"/>
      <c r="F13" s="22"/>
      <c r="G13" s="23"/>
      <c r="H13" s="12">
        <f t="shared" si="0"/>
        <v>44140</v>
      </c>
      <c r="K13" s="4"/>
    </row>
    <row r="14" spans="2:11" x14ac:dyDescent="0.3">
      <c r="B14" s="6" t="s">
        <v>19</v>
      </c>
      <c r="C14" s="70">
        <v>266000</v>
      </c>
      <c r="D14" s="22">
        <v>216000</v>
      </c>
      <c r="E14" s="22">
        <v>698000</v>
      </c>
      <c r="F14" s="22"/>
      <c r="G14" s="22"/>
      <c r="H14" s="12">
        <f t="shared" si="0"/>
        <v>44140</v>
      </c>
    </row>
    <row r="15" spans="2:11" x14ac:dyDescent="0.3">
      <c r="B15" s="6" t="s">
        <v>14</v>
      </c>
      <c r="C15" s="22"/>
      <c r="D15" s="22"/>
      <c r="E15" s="22"/>
      <c r="F15" s="22"/>
      <c r="G15" s="22"/>
      <c r="H15" s="12">
        <f t="shared" si="0"/>
        <v>44140</v>
      </c>
    </row>
    <row r="16" spans="2:11" x14ac:dyDescent="0.3">
      <c r="B16" s="6" t="s">
        <v>24</v>
      </c>
      <c r="C16" s="22"/>
      <c r="D16" s="22"/>
      <c r="E16" s="22"/>
      <c r="F16" s="49"/>
      <c r="G16" s="22"/>
      <c r="H16" s="12">
        <f t="shared" si="0"/>
        <v>44140</v>
      </c>
    </row>
    <row r="17" spans="1:8" x14ac:dyDescent="0.3">
      <c r="B17" s="6" t="s">
        <v>21</v>
      </c>
      <c r="C17" s="22"/>
      <c r="D17" s="22"/>
      <c r="E17" s="22"/>
      <c r="F17" s="22"/>
      <c r="G17" s="22"/>
      <c r="H17" s="12">
        <f t="shared" si="0"/>
        <v>44140</v>
      </c>
    </row>
    <row r="18" spans="1:8" x14ac:dyDescent="0.3">
      <c r="B18" s="6" t="s">
        <v>18</v>
      </c>
      <c r="C18" s="22"/>
      <c r="D18" s="22"/>
      <c r="E18" s="22"/>
      <c r="F18" s="22"/>
      <c r="G18" s="22"/>
      <c r="H18" s="12">
        <f t="shared" si="0"/>
        <v>44140</v>
      </c>
    </row>
    <row r="19" spans="1:8" x14ac:dyDescent="0.3">
      <c r="B19" s="6" t="s">
        <v>16</v>
      </c>
      <c r="C19" s="22">
        <v>366000</v>
      </c>
      <c r="D19" s="22"/>
      <c r="E19" s="22">
        <v>212000</v>
      </c>
      <c r="F19" s="22"/>
      <c r="G19" s="22"/>
      <c r="H19" s="12">
        <f t="shared" si="0"/>
        <v>44140</v>
      </c>
    </row>
    <row r="20" spans="1:8" x14ac:dyDescent="0.3">
      <c r="B20" s="50" t="s">
        <v>27</v>
      </c>
      <c r="C20" s="51">
        <f>SUBTOTAL(109,November05_2020[KSI_AGO])</f>
        <v>1644500</v>
      </c>
      <c r="D20" s="51">
        <f>SUBTOTAL(109,November05_2020[KSI_PMS])</f>
        <v>968000</v>
      </c>
      <c r="E20" s="51">
        <f>SUBTOTAL(109,November05_2020[BUIPE_AGO])</f>
        <v>1176000</v>
      </c>
      <c r="F20" s="51">
        <f>SUBTOTAL(109,November05_2020[BUIPE_PMS])</f>
        <v>540000</v>
      </c>
      <c r="G20" s="51">
        <f>SUBTOTAL(109,November05_2020[AKOSOMBO_AGO])</f>
        <v>0</v>
      </c>
      <c r="H20" s="52"/>
    </row>
    <row r="21" spans="1:8" x14ac:dyDescent="0.3">
      <c r="B21" s="8"/>
      <c r="C21" s="24"/>
      <c r="D21" s="24"/>
      <c r="E21" s="24"/>
      <c r="F21" s="24"/>
      <c r="G21" s="24"/>
      <c r="H21"/>
    </row>
    <row r="22" spans="1:8" x14ac:dyDescent="0.3">
      <c r="B22" s="1" t="s">
        <v>6</v>
      </c>
      <c r="C22" s="1" t="s">
        <v>4</v>
      </c>
      <c r="D22" s="5">
        <f>SUMIF(November05_2020[[#Headers],[KSI_AGO]:[AKOSOMBO_AGO]],"*"&amp;C22,November05_2020[[#Totals],[KSI_AGO]:[AKOSOMBO_AGO]])</f>
        <v>2820500</v>
      </c>
      <c r="E22" s="1" t="s">
        <v>5</v>
      </c>
      <c r="F22" s="5">
        <f>SUMIF(November05_2020[[#Headers],[KSI_AGO]:[AKOSOMBO_AGO]],"*"&amp;E22,November05_2020[[#Totals],[KSI_AGO]:[AKOSOMBO_AGO]])</f>
        <v>1508000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700-000000000000}">
      <formula1>INDIRECT("BDC_List[BDC List]")</formula1>
    </dataValidation>
  </dataValidations>
  <pageMargins left="0.7" right="0.7" top="0.75" bottom="0.75" header="0.3" footer="0.3"/>
  <legacyDrawing r:id="rId1"/>
  <tableParts count="1">
    <tablePart r:id="rId2"/>
  </tableParts>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sheetPr codeName="Sheet217"/>
  <dimension ref="A1:K32"/>
  <sheetViews>
    <sheetView topLeftCell="B1" workbookViewId="0">
      <selection activeCell="E12" sqref="E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44141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44141</v>
      </c>
    </row>
    <row r="7" spans="2:11" x14ac:dyDescent="0.3">
      <c r="B7" s="6" t="s">
        <v>37</v>
      </c>
      <c r="C7" s="22"/>
      <c r="D7" s="22"/>
      <c r="E7" s="22"/>
      <c r="F7" s="22"/>
      <c r="G7" s="22"/>
      <c r="H7" s="67">
        <f>$G$3</f>
        <v>44141</v>
      </c>
    </row>
    <row r="8" spans="2:11" x14ac:dyDescent="0.3">
      <c r="B8" s="6" t="s">
        <v>17</v>
      </c>
      <c r="C8" s="22">
        <v>369000</v>
      </c>
      <c r="D8" s="22">
        <v>630000</v>
      </c>
      <c r="E8" s="22"/>
      <c r="F8" s="22">
        <v>45000</v>
      </c>
      <c r="G8" s="22"/>
      <c r="H8" s="12">
        <f t="shared" si="0"/>
        <v>44141</v>
      </c>
    </row>
    <row r="9" spans="2:11" ht="15.6" x14ac:dyDescent="0.3">
      <c r="B9" s="34" t="s">
        <v>0</v>
      </c>
      <c r="C9" s="60">
        <v>466000</v>
      </c>
      <c r="D9" s="60"/>
      <c r="E9" s="60"/>
      <c r="F9" s="60"/>
      <c r="G9" s="61"/>
      <c r="H9" s="12">
        <f t="shared" si="0"/>
        <v>44141</v>
      </c>
    </row>
    <row r="10" spans="2:11" x14ac:dyDescent="0.3">
      <c r="B10" s="6" t="s">
        <v>25</v>
      </c>
      <c r="C10" s="22">
        <v>312000</v>
      </c>
      <c r="D10" s="22"/>
      <c r="E10" s="22">
        <v>486000</v>
      </c>
      <c r="F10" s="22"/>
      <c r="G10" s="22"/>
      <c r="H10" s="12">
        <f t="shared" si="0"/>
        <v>44141</v>
      </c>
    </row>
    <row r="11" spans="2:11" x14ac:dyDescent="0.3">
      <c r="B11" s="6" t="s">
        <v>15</v>
      </c>
      <c r="C11" s="22"/>
      <c r="D11" s="22"/>
      <c r="E11" s="22"/>
      <c r="F11" s="48"/>
      <c r="G11" s="22"/>
      <c r="H11" s="12">
        <f t="shared" si="0"/>
        <v>44141</v>
      </c>
    </row>
    <row r="12" spans="2:11" x14ac:dyDescent="0.3">
      <c r="B12" s="6" t="s">
        <v>26</v>
      </c>
      <c r="C12" s="22">
        <v>149000</v>
      </c>
      <c r="D12" s="22">
        <v>408000</v>
      </c>
      <c r="E12" s="22">
        <v>162000</v>
      </c>
      <c r="F12" s="22"/>
      <c r="G12" s="22"/>
      <c r="H12" s="12">
        <f t="shared" si="0"/>
        <v>44141</v>
      </c>
    </row>
    <row r="13" spans="2:11" x14ac:dyDescent="0.3">
      <c r="B13" s="6" t="s">
        <v>22</v>
      </c>
      <c r="C13" s="23"/>
      <c r="D13" s="23"/>
      <c r="E13" s="23"/>
      <c r="F13" s="22"/>
      <c r="G13" s="23"/>
      <c r="H13" s="12">
        <f t="shared" si="0"/>
        <v>44141</v>
      </c>
      <c r="K13" s="4"/>
    </row>
    <row r="14" spans="2:11" x14ac:dyDescent="0.3">
      <c r="B14" s="6" t="s">
        <v>19</v>
      </c>
      <c r="C14" s="22">
        <v>162000</v>
      </c>
      <c r="D14" s="22">
        <v>486000</v>
      </c>
      <c r="E14" s="22">
        <v>90000</v>
      </c>
      <c r="F14" s="22">
        <v>108000</v>
      </c>
      <c r="G14" s="22"/>
      <c r="H14" s="12">
        <f t="shared" si="0"/>
        <v>44141</v>
      </c>
    </row>
    <row r="15" spans="2:11" x14ac:dyDescent="0.3">
      <c r="B15" s="6" t="s">
        <v>14</v>
      </c>
      <c r="C15" s="22"/>
      <c r="D15" s="22"/>
      <c r="E15" s="22"/>
      <c r="F15" s="22"/>
      <c r="G15" s="22"/>
      <c r="H15" s="12">
        <f t="shared" si="0"/>
        <v>44141</v>
      </c>
    </row>
    <row r="16" spans="2:11" x14ac:dyDescent="0.3">
      <c r="B16" s="6" t="s">
        <v>24</v>
      </c>
      <c r="C16" s="22">
        <v>261000</v>
      </c>
      <c r="D16" s="22"/>
      <c r="E16" s="22">
        <v>486000</v>
      </c>
      <c r="F16" s="49"/>
      <c r="G16" s="22"/>
      <c r="H16" s="12">
        <f t="shared" si="0"/>
        <v>44141</v>
      </c>
    </row>
    <row r="17" spans="1:8" x14ac:dyDescent="0.3">
      <c r="B17" s="6" t="s">
        <v>21</v>
      </c>
      <c r="C17" s="22"/>
      <c r="D17" s="22"/>
      <c r="E17" s="22"/>
      <c r="F17" s="22"/>
      <c r="G17" s="22"/>
      <c r="H17" s="12">
        <f t="shared" si="0"/>
        <v>44141</v>
      </c>
    </row>
    <row r="18" spans="1:8" x14ac:dyDescent="0.3">
      <c r="B18" s="6" t="s">
        <v>18</v>
      </c>
      <c r="C18" s="22"/>
      <c r="D18" s="22"/>
      <c r="E18" s="22"/>
      <c r="F18" s="22"/>
      <c r="G18" s="22"/>
      <c r="H18" s="12">
        <f t="shared" si="0"/>
        <v>44141</v>
      </c>
    </row>
    <row r="19" spans="1:8" x14ac:dyDescent="0.3">
      <c r="B19" s="6" t="s">
        <v>16</v>
      </c>
      <c r="C19" s="22"/>
      <c r="D19" s="22"/>
      <c r="E19" s="22"/>
      <c r="F19" s="22"/>
      <c r="G19" s="22"/>
      <c r="H19" s="12">
        <f t="shared" si="0"/>
        <v>44141</v>
      </c>
    </row>
    <row r="20" spans="1:8" x14ac:dyDescent="0.3">
      <c r="B20" s="50" t="s">
        <v>27</v>
      </c>
      <c r="C20" s="51">
        <f>SUBTOTAL(109,November06_2020[KSI_AGO])</f>
        <v>1719000</v>
      </c>
      <c r="D20" s="51">
        <f>SUBTOTAL(109,November06_2020[KSI_PMS])</f>
        <v>1524000</v>
      </c>
      <c r="E20" s="51">
        <f>SUBTOTAL(109,November06_2020[BUIPE_AGO])</f>
        <v>1224000</v>
      </c>
      <c r="F20" s="51">
        <f>SUBTOTAL(109,November06_2020[BUIPE_PMS])</f>
        <v>153000</v>
      </c>
      <c r="G20" s="51">
        <f>SUBTOTAL(109,November06_2020[AKOSOMBO_AGO])</f>
        <v>0</v>
      </c>
      <c r="H20" s="52"/>
    </row>
    <row r="21" spans="1:8" x14ac:dyDescent="0.3">
      <c r="B21" s="8"/>
      <c r="C21" s="24"/>
      <c r="D21" s="24"/>
      <c r="E21" s="24"/>
      <c r="F21" s="24"/>
      <c r="G21" s="24"/>
      <c r="H21"/>
    </row>
    <row r="22" spans="1:8" x14ac:dyDescent="0.3">
      <c r="B22" s="1" t="s">
        <v>6</v>
      </c>
      <c r="C22" s="1" t="s">
        <v>4</v>
      </c>
      <c r="D22" s="5">
        <f>SUMIF(November06_2020[[#Headers],[KSI_AGO]:[AKOSOMBO_AGO]],"*"&amp;C22,November06_2020[[#Totals],[KSI_AGO]:[AKOSOMBO_AGO]])</f>
        <v>2943000</v>
      </c>
      <c r="E22" s="1" t="s">
        <v>5</v>
      </c>
      <c r="F22" s="5">
        <f>SUMIF(November06_2020[[#Headers],[KSI_AGO]:[AKOSOMBO_AGO]],"*"&amp;E22,November06_2020[[#Totals],[KSI_AGO]:[AKOSOMBO_AGO]])</f>
        <v>1677000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800-000000000000}">
      <formula1>INDIRECT("BDC_List[BDC List]")</formula1>
    </dataValidation>
  </dataValidations>
  <pageMargins left="0.7" right="0.7" top="0.75" bottom="0.75" header="0.3" footer="0.3"/>
  <tableParts count="1">
    <tablePart r:id="rId1"/>
  </tableParts>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codeName="Sheet218"/>
  <dimension ref="A1:K32"/>
  <sheetViews>
    <sheetView topLeftCell="C1" workbookViewId="0">
      <selection activeCell="H15" sqref="H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44142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44142</v>
      </c>
    </row>
    <row r="7" spans="2:11" x14ac:dyDescent="0.3">
      <c r="B7" s="6" t="s">
        <v>37</v>
      </c>
      <c r="C7" s="22">
        <v>108000</v>
      </c>
      <c r="D7" s="22"/>
      <c r="E7" s="22">
        <v>108000</v>
      </c>
      <c r="F7" s="22"/>
      <c r="G7" s="22"/>
      <c r="H7" s="67">
        <f>$G$3</f>
        <v>44142</v>
      </c>
    </row>
    <row r="8" spans="2:11" x14ac:dyDescent="0.3">
      <c r="B8" s="6" t="s">
        <v>17</v>
      </c>
      <c r="C8" s="22">
        <v>270000</v>
      </c>
      <c r="D8" s="22">
        <v>576000</v>
      </c>
      <c r="E8" s="22"/>
      <c r="F8" s="22">
        <v>45000</v>
      </c>
      <c r="G8" s="22"/>
      <c r="H8" s="12">
        <f t="shared" si="0"/>
        <v>44142</v>
      </c>
    </row>
    <row r="9" spans="2:11" ht="15.6" x14ac:dyDescent="0.3">
      <c r="B9" s="34" t="s">
        <v>0</v>
      </c>
      <c r="C9" s="60">
        <v>580000</v>
      </c>
      <c r="D9" s="60"/>
      <c r="E9" s="60"/>
      <c r="F9" s="60"/>
      <c r="G9" s="61"/>
      <c r="H9" s="12">
        <f t="shared" si="0"/>
        <v>44142</v>
      </c>
    </row>
    <row r="10" spans="2:11" x14ac:dyDescent="0.3">
      <c r="B10" s="6" t="s">
        <v>25</v>
      </c>
      <c r="C10" s="22">
        <v>198000</v>
      </c>
      <c r="D10" s="22"/>
      <c r="E10" s="22"/>
      <c r="F10" s="22"/>
      <c r="G10" s="22"/>
      <c r="H10" s="12">
        <f t="shared" si="0"/>
        <v>44142</v>
      </c>
    </row>
    <row r="11" spans="2:11" x14ac:dyDescent="0.3">
      <c r="B11" s="6" t="s">
        <v>15</v>
      </c>
      <c r="C11" s="22"/>
      <c r="D11" s="22">
        <v>108000</v>
      </c>
      <c r="E11" s="22"/>
      <c r="F11" s="48"/>
      <c r="G11" s="22"/>
      <c r="H11" s="12">
        <f t="shared" si="0"/>
        <v>44142</v>
      </c>
    </row>
    <row r="12" spans="2:11" x14ac:dyDescent="0.3">
      <c r="B12" s="6" t="s">
        <v>26</v>
      </c>
      <c r="C12" s="22">
        <v>108000</v>
      </c>
      <c r="D12" s="22">
        <v>477000</v>
      </c>
      <c r="E12" s="22"/>
      <c r="F12" s="22">
        <v>140000</v>
      </c>
      <c r="G12" s="22"/>
      <c r="H12" s="12">
        <f t="shared" si="0"/>
        <v>44142</v>
      </c>
    </row>
    <row r="13" spans="2:11" x14ac:dyDescent="0.3">
      <c r="B13" s="6" t="s">
        <v>22</v>
      </c>
      <c r="C13" s="23"/>
      <c r="D13" s="23"/>
      <c r="E13" s="23"/>
      <c r="F13" s="22"/>
      <c r="G13" s="23"/>
      <c r="H13" s="12">
        <f t="shared" si="0"/>
        <v>44142</v>
      </c>
      <c r="K13" s="4"/>
    </row>
    <row r="14" spans="2:11" x14ac:dyDescent="0.3">
      <c r="B14" s="6" t="s">
        <v>19</v>
      </c>
      <c r="C14" s="22">
        <v>216000</v>
      </c>
      <c r="D14" s="22">
        <v>54000</v>
      </c>
      <c r="E14" s="22"/>
      <c r="F14" s="22">
        <v>162000</v>
      </c>
      <c r="G14" s="22"/>
      <c r="H14" s="12">
        <f t="shared" si="0"/>
        <v>44142</v>
      </c>
    </row>
    <row r="15" spans="2:11" x14ac:dyDescent="0.3">
      <c r="B15" s="6" t="s">
        <v>14</v>
      </c>
      <c r="C15" s="22"/>
      <c r="D15" s="22"/>
      <c r="E15" s="22"/>
      <c r="F15" s="22"/>
      <c r="G15" s="22"/>
      <c r="H15" s="12">
        <f t="shared" si="0"/>
        <v>44142</v>
      </c>
    </row>
    <row r="16" spans="2:11" x14ac:dyDescent="0.3">
      <c r="B16" s="6" t="s">
        <v>24</v>
      </c>
      <c r="C16" s="22">
        <v>648000</v>
      </c>
      <c r="D16" s="22"/>
      <c r="E16" s="22"/>
      <c r="F16" s="49"/>
      <c r="G16" s="22"/>
      <c r="H16" s="12">
        <f t="shared" si="0"/>
        <v>44142</v>
      </c>
    </row>
    <row r="17" spans="1:8" x14ac:dyDescent="0.3">
      <c r="B17" s="6" t="s">
        <v>21</v>
      </c>
      <c r="C17" s="22"/>
      <c r="D17" s="22"/>
      <c r="E17" s="22"/>
      <c r="F17" s="22"/>
      <c r="G17" s="22"/>
      <c r="H17" s="12">
        <f t="shared" si="0"/>
        <v>44142</v>
      </c>
    </row>
    <row r="18" spans="1:8" x14ac:dyDescent="0.3">
      <c r="B18" s="6" t="s">
        <v>18</v>
      </c>
      <c r="C18" s="22"/>
      <c r="D18" s="22">
        <v>45000</v>
      </c>
      <c r="E18" s="22"/>
      <c r="F18" s="22"/>
      <c r="G18" s="22"/>
      <c r="H18" s="12">
        <f t="shared" si="0"/>
        <v>44142</v>
      </c>
    </row>
    <row r="19" spans="1:8" x14ac:dyDescent="0.3">
      <c r="B19" s="6" t="s">
        <v>16</v>
      </c>
      <c r="C19" s="22">
        <v>162000</v>
      </c>
      <c r="D19" s="22"/>
      <c r="E19" s="22">
        <v>90000</v>
      </c>
      <c r="F19" s="22"/>
      <c r="G19" s="22"/>
      <c r="H19" s="12">
        <f t="shared" si="0"/>
        <v>44142</v>
      </c>
    </row>
    <row r="20" spans="1:8" x14ac:dyDescent="0.3">
      <c r="B20" s="50" t="s">
        <v>27</v>
      </c>
      <c r="C20" s="51">
        <f>SUBTOTAL(109,November07_2020[KSI_AGO])</f>
        <v>2290000</v>
      </c>
      <c r="D20" s="51">
        <f>SUBTOTAL(109,November07_2020[KSI_PMS])</f>
        <v>1260000</v>
      </c>
      <c r="E20" s="51">
        <f>SUBTOTAL(109,November07_2020[BUIPE_AGO])</f>
        <v>198000</v>
      </c>
      <c r="F20" s="51">
        <f>SUBTOTAL(109,November07_2020[BUIPE_PMS])</f>
        <v>347000</v>
      </c>
      <c r="G20" s="51">
        <f>SUBTOTAL(109,November07_2020[AKOSOMBO_AGO])</f>
        <v>0</v>
      </c>
      <c r="H20" s="52"/>
    </row>
    <row r="21" spans="1:8" x14ac:dyDescent="0.3">
      <c r="B21" s="8"/>
      <c r="C21" s="24"/>
      <c r="D21" s="24"/>
      <c r="E21" s="24"/>
      <c r="F21" s="24"/>
      <c r="G21" s="24"/>
      <c r="H21"/>
    </row>
    <row r="22" spans="1:8" x14ac:dyDescent="0.3">
      <c r="B22" s="1" t="s">
        <v>6</v>
      </c>
      <c r="C22" s="1" t="s">
        <v>4</v>
      </c>
      <c r="D22" s="5">
        <f>SUMIF(November07_2020[[#Headers],[KSI_AGO]:[AKOSOMBO_AGO]],"*"&amp;C22,November07_2020[[#Totals],[KSI_AGO]:[AKOSOMBO_AGO]])</f>
        <v>2488000</v>
      </c>
      <c r="E22" s="1" t="s">
        <v>5</v>
      </c>
      <c r="F22" s="5">
        <f>SUMIF(November07_2020[[#Headers],[KSI_AGO]:[AKOSOMBO_AGO]],"*"&amp;E22,November07_2020[[#Totals],[KSI_AGO]:[AKOSOMBO_AGO]])</f>
        <v>1607000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900-000000000000}">
      <formula1>INDIRECT("BDC_List[BDC List]")</formula1>
    </dataValidation>
  </dataValidations>
  <pageMargins left="0.7" right="0.7" top="0.75" bottom="0.75" header="0.3" footer="0.3"/>
  <legacyDrawing r:id="rId1"/>
  <tableParts count="1">
    <tablePart r:id="rId2"/>
  </tableParts>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sheetPr codeName="Sheet219"/>
  <dimension ref="A1:K32"/>
  <sheetViews>
    <sheetView topLeftCell="E1" workbookViewId="0">
      <selection activeCell="G12" sqref="G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44144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44144</v>
      </c>
    </row>
    <row r="7" spans="2:11" x14ac:dyDescent="0.3">
      <c r="B7" s="6" t="s">
        <v>37</v>
      </c>
      <c r="C7" s="22">
        <v>212000</v>
      </c>
      <c r="D7" s="22"/>
      <c r="E7" s="22"/>
      <c r="F7" s="22"/>
      <c r="G7" s="22"/>
      <c r="H7" s="67">
        <f>$G$3</f>
        <v>44144</v>
      </c>
    </row>
    <row r="8" spans="2:11" x14ac:dyDescent="0.3">
      <c r="B8" s="6" t="s">
        <v>17</v>
      </c>
      <c r="C8" s="22">
        <v>270000</v>
      </c>
      <c r="D8" s="22">
        <v>99000</v>
      </c>
      <c r="E8" s="22"/>
      <c r="F8" s="22"/>
      <c r="G8" s="22"/>
      <c r="H8" s="12">
        <f t="shared" si="0"/>
        <v>44144</v>
      </c>
    </row>
    <row r="9" spans="2:11" ht="15.6" x14ac:dyDescent="0.3">
      <c r="B9" s="34" t="s">
        <v>0</v>
      </c>
      <c r="C9" s="60">
        <v>747000</v>
      </c>
      <c r="D9" s="60"/>
      <c r="E9" s="60"/>
      <c r="F9" s="60"/>
      <c r="G9" s="61"/>
      <c r="H9" s="12">
        <f t="shared" si="0"/>
        <v>44144</v>
      </c>
    </row>
    <row r="10" spans="2:11" x14ac:dyDescent="0.3">
      <c r="B10" s="6" t="s">
        <v>25</v>
      </c>
      <c r="C10" s="22">
        <v>211500</v>
      </c>
      <c r="D10" s="22"/>
      <c r="E10" s="22"/>
      <c r="F10" s="22"/>
      <c r="G10" s="22"/>
      <c r="H10" s="12">
        <f t="shared" si="0"/>
        <v>44144</v>
      </c>
    </row>
    <row r="11" spans="2:11" x14ac:dyDescent="0.3">
      <c r="B11" s="6" t="s">
        <v>15</v>
      </c>
      <c r="C11" s="22"/>
      <c r="D11" s="22"/>
      <c r="E11" s="22"/>
      <c r="F11" s="48"/>
      <c r="G11" s="22"/>
      <c r="H11" s="12">
        <f t="shared" si="0"/>
        <v>44144</v>
      </c>
    </row>
    <row r="12" spans="2:11" x14ac:dyDescent="0.3">
      <c r="B12" s="6" t="s">
        <v>26</v>
      </c>
      <c r="C12" s="22">
        <v>265500</v>
      </c>
      <c r="D12" s="22"/>
      <c r="E12" s="22"/>
      <c r="F12" s="22"/>
      <c r="G12" s="22"/>
      <c r="H12" s="12">
        <f t="shared" si="0"/>
        <v>44144</v>
      </c>
    </row>
    <row r="13" spans="2:11" x14ac:dyDescent="0.3">
      <c r="B13" s="6" t="s">
        <v>22</v>
      </c>
      <c r="C13" s="23"/>
      <c r="D13" s="23"/>
      <c r="E13" s="23"/>
      <c r="F13" s="22"/>
      <c r="G13" s="23"/>
      <c r="H13" s="12">
        <f t="shared" si="0"/>
        <v>44144</v>
      </c>
      <c r="K13" s="4"/>
    </row>
    <row r="14" spans="2:11" x14ac:dyDescent="0.3">
      <c r="B14" s="6" t="s">
        <v>19</v>
      </c>
      <c r="C14" s="22">
        <v>378000</v>
      </c>
      <c r="D14" s="22"/>
      <c r="E14" s="22"/>
      <c r="F14" s="22"/>
      <c r="G14" s="22"/>
      <c r="H14" s="12">
        <f t="shared" si="0"/>
        <v>44144</v>
      </c>
    </row>
    <row r="15" spans="2:11" x14ac:dyDescent="0.3">
      <c r="B15" s="6" t="s">
        <v>14</v>
      </c>
      <c r="C15" s="22"/>
      <c r="D15" s="22">
        <v>351000</v>
      </c>
      <c r="E15" s="22"/>
      <c r="F15" s="22"/>
      <c r="G15" s="22"/>
      <c r="H15" s="12">
        <f t="shared" si="0"/>
        <v>44144</v>
      </c>
    </row>
    <row r="16" spans="2:11" x14ac:dyDescent="0.3">
      <c r="B16" s="6" t="s">
        <v>24</v>
      </c>
      <c r="C16" s="22">
        <v>432000</v>
      </c>
      <c r="D16" s="22"/>
      <c r="E16" s="22"/>
      <c r="F16" s="49"/>
      <c r="G16" s="22"/>
      <c r="H16" s="12">
        <f t="shared" si="0"/>
        <v>44144</v>
      </c>
    </row>
    <row r="17" spans="1:8" x14ac:dyDescent="0.3">
      <c r="B17" s="6" t="s">
        <v>21</v>
      </c>
      <c r="C17" s="22"/>
      <c r="D17" s="22"/>
      <c r="E17" s="22"/>
      <c r="F17" s="22"/>
      <c r="G17" s="22"/>
      <c r="H17" s="12">
        <f t="shared" si="0"/>
        <v>44144</v>
      </c>
    </row>
    <row r="18" spans="1:8" x14ac:dyDescent="0.3">
      <c r="B18" s="6" t="s">
        <v>18</v>
      </c>
      <c r="C18" s="22"/>
      <c r="D18" s="22">
        <v>45000</v>
      </c>
      <c r="E18" s="22"/>
      <c r="F18" s="22"/>
      <c r="G18" s="22"/>
      <c r="H18" s="12">
        <f t="shared" si="0"/>
        <v>44144</v>
      </c>
    </row>
    <row r="19" spans="1:8" x14ac:dyDescent="0.3">
      <c r="B19" s="6" t="s">
        <v>16</v>
      </c>
      <c r="C19" s="22">
        <v>216000</v>
      </c>
      <c r="D19" s="22"/>
      <c r="E19" s="22"/>
      <c r="F19" s="22"/>
      <c r="G19" s="22"/>
      <c r="H19" s="12">
        <f t="shared" si="0"/>
        <v>44144</v>
      </c>
    </row>
    <row r="20" spans="1:8" x14ac:dyDescent="0.3">
      <c r="B20" s="50" t="s">
        <v>27</v>
      </c>
      <c r="C20" s="51">
        <f>SUBTOTAL(109,November09_2020[KSI_AGO])</f>
        <v>2732000</v>
      </c>
      <c r="D20" s="51">
        <f>SUBTOTAL(109,November09_2020[KSI_PMS])</f>
        <v>495000</v>
      </c>
      <c r="E20" s="51">
        <f>SUBTOTAL(109,November09_2020[BUIPE_AGO])</f>
        <v>0</v>
      </c>
      <c r="F20" s="51">
        <f>SUBTOTAL(109,November09_2020[BUIPE_PMS])</f>
        <v>0</v>
      </c>
      <c r="G20" s="51">
        <f>SUBTOTAL(109,November09_2020[AKOSOMBO_AGO])</f>
        <v>0</v>
      </c>
      <c r="H20" s="52"/>
    </row>
    <row r="21" spans="1:8" x14ac:dyDescent="0.3">
      <c r="B21" s="8"/>
      <c r="C21" s="24"/>
      <c r="D21" s="24"/>
      <c r="E21" s="24"/>
      <c r="F21" s="24"/>
      <c r="G21" s="24"/>
      <c r="H21"/>
    </row>
    <row r="22" spans="1:8" x14ac:dyDescent="0.3">
      <c r="B22" s="1" t="s">
        <v>6</v>
      </c>
      <c r="C22" s="1" t="s">
        <v>4</v>
      </c>
      <c r="D22" s="5">
        <f>SUMIF(November09_2020[[#Headers],[KSI_AGO]:[AKOSOMBO_AGO]],"*"&amp;C22,November09_2020[[#Totals],[KSI_AGO]:[AKOSOMBO_AGO]])</f>
        <v>2732000</v>
      </c>
      <c r="E22" s="1" t="s">
        <v>5</v>
      </c>
      <c r="F22" s="5">
        <f>SUMIF(November09_2020[[#Headers],[KSI_AGO]:[AKOSOMBO_AGO]],"*"&amp;E22,November09_2020[[#Totals],[KSI_AGO]:[AKOSOMBO_AGO]])</f>
        <v>495000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A00-000000000000}">
      <formula1>INDIRECT("BDC_List[BDC List]")</formula1>
    </dataValidation>
  </dataValidations>
  <pageMargins left="0.7" right="0.7" top="0.75" bottom="0.75" header="0.3" footer="0.3"/>
  <tableParts count="1">
    <tablePart r:id="rId1"/>
  </tableParts>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codeName="Sheet220"/>
  <dimension ref="A1:K32"/>
  <sheetViews>
    <sheetView topLeftCell="C1" workbookViewId="0">
      <selection activeCell="D7" sqref="D7"/>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44145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44145</v>
      </c>
    </row>
    <row r="7" spans="2:11" x14ac:dyDescent="0.3">
      <c r="B7" s="6" t="s">
        <v>37</v>
      </c>
      <c r="C7" s="22">
        <v>162000</v>
      </c>
      <c r="D7" s="22"/>
      <c r="E7" s="22"/>
      <c r="F7" s="22"/>
      <c r="G7" s="22"/>
      <c r="H7" s="67">
        <f>$G$3</f>
        <v>44145</v>
      </c>
    </row>
    <row r="8" spans="2:11" x14ac:dyDescent="0.3">
      <c r="B8" s="6" t="s">
        <v>17</v>
      </c>
      <c r="C8" s="22">
        <v>262000</v>
      </c>
      <c r="D8" s="22">
        <v>527000</v>
      </c>
      <c r="E8" s="22">
        <v>266000</v>
      </c>
      <c r="F8" s="22">
        <v>374000</v>
      </c>
      <c r="G8" s="22"/>
      <c r="H8" s="12">
        <f t="shared" si="0"/>
        <v>44145</v>
      </c>
    </row>
    <row r="9" spans="2:11" ht="15.6" x14ac:dyDescent="0.3">
      <c r="B9" s="34" t="s">
        <v>0</v>
      </c>
      <c r="C9" s="60">
        <v>378000</v>
      </c>
      <c r="D9" s="60"/>
      <c r="E9" s="60"/>
      <c r="F9" s="60"/>
      <c r="G9" s="61"/>
      <c r="H9" s="12">
        <f t="shared" si="0"/>
        <v>44145</v>
      </c>
    </row>
    <row r="10" spans="2:11" x14ac:dyDescent="0.3">
      <c r="B10" s="6" t="s">
        <v>25</v>
      </c>
      <c r="C10" s="22">
        <v>268000</v>
      </c>
      <c r="D10" s="22"/>
      <c r="E10" s="22"/>
      <c r="F10" s="22"/>
      <c r="G10" s="22"/>
      <c r="H10" s="12">
        <f t="shared" si="0"/>
        <v>44145</v>
      </c>
    </row>
    <row r="11" spans="2:11" x14ac:dyDescent="0.3">
      <c r="B11" s="6" t="s">
        <v>15</v>
      </c>
      <c r="C11" s="22"/>
      <c r="D11" s="22"/>
      <c r="E11" s="22"/>
      <c r="F11" s="48"/>
      <c r="G11" s="22"/>
      <c r="H11" s="12">
        <f t="shared" si="0"/>
        <v>44145</v>
      </c>
    </row>
    <row r="12" spans="2:11" x14ac:dyDescent="0.3">
      <c r="B12" s="6" t="s">
        <v>26</v>
      </c>
      <c r="C12" s="22">
        <v>162000</v>
      </c>
      <c r="D12" s="22"/>
      <c r="E12" s="22"/>
      <c r="F12" s="22"/>
      <c r="G12" s="22"/>
      <c r="H12" s="12">
        <f t="shared" si="0"/>
        <v>44145</v>
      </c>
    </row>
    <row r="13" spans="2:11" x14ac:dyDescent="0.3">
      <c r="B13" s="6" t="s">
        <v>22</v>
      </c>
      <c r="C13" s="23"/>
      <c r="D13" s="23"/>
      <c r="E13" s="23"/>
      <c r="F13" s="22"/>
      <c r="G13" s="23"/>
      <c r="H13" s="12">
        <f t="shared" si="0"/>
        <v>44145</v>
      </c>
      <c r="K13" s="4"/>
    </row>
    <row r="14" spans="2:11" x14ac:dyDescent="0.3">
      <c r="B14" s="6" t="s">
        <v>19</v>
      </c>
      <c r="C14" s="22">
        <v>153000</v>
      </c>
      <c r="D14" s="22"/>
      <c r="E14" s="22"/>
      <c r="F14" s="22"/>
      <c r="G14" s="22"/>
      <c r="H14" s="12">
        <f t="shared" si="0"/>
        <v>44145</v>
      </c>
    </row>
    <row r="15" spans="2:11" x14ac:dyDescent="0.3">
      <c r="B15" s="6" t="s">
        <v>14</v>
      </c>
      <c r="C15" s="22"/>
      <c r="D15" s="22"/>
      <c r="E15" s="22"/>
      <c r="F15" s="22"/>
      <c r="G15" s="22"/>
      <c r="H15" s="12">
        <f t="shared" si="0"/>
        <v>44145</v>
      </c>
    </row>
    <row r="16" spans="2:11" x14ac:dyDescent="0.3">
      <c r="B16" s="6" t="s">
        <v>24</v>
      </c>
      <c r="C16" s="22">
        <v>212000</v>
      </c>
      <c r="D16" s="22"/>
      <c r="E16" s="22"/>
      <c r="F16" s="49"/>
      <c r="G16" s="22"/>
      <c r="H16" s="12">
        <f t="shared" si="0"/>
        <v>44145</v>
      </c>
    </row>
    <row r="17" spans="1:8" x14ac:dyDescent="0.3">
      <c r="B17" s="6" t="s">
        <v>21</v>
      </c>
      <c r="C17" s="22"/>
      <c r="D17" s="22"/>
      <c r="E17" s="22"/>
      <c r="F17" s="22"/>
      <c r="G17" s="22"/>
      <c r="H17" s="12">
        <f t="shared" si="0"/>
        <v>44145</v>
      </c>
    </row>
    <row r="18" spans="1:8" x14ac:dyDescent="0.3">
      <c r="B18" s="6" t="s">
        <v>18</v>
      </c>
      <c r="C18" s="22"/>
      <c r="D18" s="22"/>
      <c r="E18" s="22"/>
      <c r="F18" s="22"/>
      <c r="G18" s="22"/>
      <c r="H18" s="12">
        <f t="shared" si="0"/>
        <v>44145</v>
      </c>
    </row>
    <row r="19" spans="1:8" x14ac:dyDescent="0.3">
      <c r="B19" s="6" t="s">
        <v>16</v>
      </c>
      <c r="C19" s="22"/>
      <c r="D19" s="22"/>
      <c r="E19" s="22"/>
      <c r="F19" s="22"/>
      <c r="G19" s="22"/>
      <c r="H19" s="12">
        <f t="shared" si="0"/>
        <v>44145</v>
      </c>
    </row>
    <row r="20" spans="1:8" x14ac:dyDescent="0.3">
      <c r="B20" s="50" t="s">
        <v>27</v>
      </c>
      <c r="C20" s="51">
        <f>SUBTOTAL(109,November10_2020[KSI_AGO])</f>
        <v>1597000</v>
      </c>
      <c r="D20" s="51">
        <f>SUBTOTAL(109,November10_2020[KSI_PMS])</f>
        <v>527000</v>
      </c>
      <c r="E20" s="51">
        <f>SUBTOTAL(109,November10_2020[BUIPE_AGO])</f>
        <v>266000</v>
      </c>
      <c r="F20" s="51">
        <f>SUBTOTAL(109,November10_2020[BUIPE_PMS])</f>
        <v>374000</v>
      </c>
      <c r="G20" s="51">
        <f>SUBTOTAL(109,November10_2020[AKOSOMBO_AGO])</f>
        <v>0</v>
      </c>
      <c r="H20" s="52"/>
    </row>
    <row r="21" spans="1:8" x14ac:dyDescent="0.3">
      <c r="B21" s="8"/>
      <c r="C21" s="24"/>
      <c r="D21" s="24"/>
      <c r="E21" s="24"/>
      <c r="F21" s="24"/>
      <c r="G21" s="24"/>
      <c r="H21"/>
    </row>
    <row r="22" spans="1:8" x14ac:dyDescent="0.3">
      <c r="B22" s="1" t="s">
        <v>6</v>
      </c>
      <c r="C22" s="1" t="s">
        <v>4</v>
      </c>
      <c r="D22" s="5">
        <f>SUMIF(November10_2020[[#Headers],[KSI_AGO]:[AKOSOMBO_AGO]],"*"&amp;C22,November10_2020[[#Totals],[KSI_AGO]:[AKOSOMBO_AGO]])</f>
        <v>1863000</v>
      </c>
      <c r="E22" s="1" t="s">
        <v>5</v>
      </c>
      <c r="F22" s="5">
        <f>SUMIF(November10_2020[[#Headers],[KSI_AGO]:[AKOSOMBO_AGO]],"*"&amp;E22,November10_2020[[#Totals],[KSI_AGO]:[AKOSOMBO_AGO]])</f>
        <v>901000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B00-000000000000}">
      <formula1>INDIRECT("BDC_List[BDC List]")</formula1>
    </dataValidation>
  </dataValidations>
  <pageMargins left="0.7" right="0.7" top="0.75" bottom="0.75" header="0.3" footer="0.3"/>
  <tableParts count="1">
    <tablePart r:id="rId1"/>
  </tableParts>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codeName="Sheet221"/>
  <dimension ref="A1:K32"/>
  <sheetViews>
    <sheetView topLeftCell="D1" workbookViewId="0">
      <selection activeCell="D9" sqref="D9"/>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44146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44146</v>
      </c>
    </row>
    <row r="7" spans="2:11" x14ac:dyDescent="0.3">
      <c r="B7" s="6" t="s">
        <v>37</v>
      </c>
      <c r="C7" s="22">
        <v>108000</v>
      </c>
      <c r="D7" s="22"/>
      <c r="E7" s="22"/>
      <c r="F7" s="22"/>
      <c r="G7" s="22"/>
      <c r="H7" s="67">
        <f>$G$3</f>
        <v>44146</v>
      </c>
    </row>
    <row r="8" spans="2:11" x14ac:dyDescent="0.3">
      <c r="B8" s="6" t="s">
        <v>17</v>
      </c>
      <c r="C8" s="22">
        <v>216000</v>
      </c>
      <c r="D8" s="22">
        <v>972000</v>
      </c>
      <c r="E8" s="22">
        <v>689000</v>
      </c>
      <c r="F8" s="22">
        <v>1026000</v>
      </c>
      <c r="G8" s="22">
        <v>590000</v>
      </c>
      <c r="H8" s="12">
        <f t="shared" si="0"/>
        <v>44146</v>
      </c>
    </row>
    <row r="9" spans="2:11" ht="15.6" x14ac:dyDescent="0.3">
      <c r="B9" s="34" t="s">
        <v>0</v>
      </c>
      <c r="C9" s="60">
        <v>324000</v>
      </c>
      <c r="D9" s="60"/>
      <c r="E9" s="60"/>
      <c r="F9" s="60"/>
      <c r="G9" s="61"/>
      <c r="H9" s="12">
        <f t="shared" si="0"/>
        <v>44146</v>
      </c>
    </row>
    <row r="10" spans="2:11" x14ac:dyDescent="0.3">
      <c r="B10" s="6" t="s">
        <v>25</v>
      </c>
      <c r="C10" s="22">
        <v>108000</v>
      </c>
      <c r="D10" s="22"/>
      <c r="E10" s="22"/>
      <c r="F10" s="22"/>
      <c r="G10" s="22"/>
      <c r="H10" s="12">
        <f t="shared" si="0"/>
        <v>44146</v>
      </c>
    </row>
    <row r="11" spans="2:11" x14ac:dyDescent="0.3">
      <c r="B11" s="6" t="s">
        <v>15</v>
      </c>
      <c r="C11" s="22"/>
      <c r="D11" s="22"/>
      <c r="E11" s="22"/>
      <c r="F11" s="48"/>
      <c r="G11" s="22"/>
      <c r="H11" s="12">
        <f t="shared" si="0"/>
        <v>44146</v>
      </c>
    </row>
    <row r="12" spans="2:11" x14ac:dyDescent="0.3">
      <c r="B12" s="6" t="s">
        <v>26</v>
      </c>
      <c r="C12" s="22">
        <v>108000</v>
      </c>
      <c r="D12" s="22"/>
      <c r="E12" s="22"/>
      <c r="F12" s="22"/>
      <c r="G12" s="22"/>
      <c r="H12" s="12">
        <f t="shared" si="0"/>
        <v>44146</v>
      </c>
    </row>
    <row r="13" spans="2:11" x14ac:dyDescent="0.3">
      <c r="B13" s="6" t="s">
        <v>22</v>
      </c>
      <c r="C13" s="23"/>
      <c r="D13" s="23"/>
      <c r="E13" s="23"/>
      <c r="F13" s="22"/>
      <c r="G13" s="23"/>
      <c r="H13" s="12">
        <f t="shared" si="0"/>
        <v>44146</v>
      </c>
      <c r="K13" s="4"/>
    </row>
    <row r="14" spans="2:11" x14ac:dyDescent="0.3">
      <c r="B14" s="6" t="s">
        <v>19</v>
      </c>
      <c r="C14" s="22">
        <v>215500</v>
      </c>
      <c r="D14" s="22">
        <v>54000</v>
      </c>
      <c r="E14" s="22"/>
      <c r="F14" s="22"/>
      <c r="G14" s="22"/>
      <c r="H14" s="12">
        <f t="shared" si="0"/>
        <v>44146</v>
      </c>
    </row>
    <row r="15" spans="2:11" x14ac:dyDescent="0.3">
      <c r="B15" s="6" t="s">
        <v>14</v>
      </c>
      <c r="C15" s="22"/>
      <c r="D15" s="22"/>
      <c r="E15" s="22"/>
      <c r="F15" s="22">
        <v>270000</v>
      </c>
      <c r="G15" s="22"/>
      <c r="H15" s="12">
        <f t="shared" si="0"/>
        <v>44146</v>
      </c>
    </row>
    <row r="16" spans="2:11" x14ac:dyDescent="0.3">
      <c r="B16" s="6" t="s">
        <v>24</v>
      </c>
      <c r="C16" s="22">
        <v>108000</v>
      </c>
      <c r="D16" s="22"/>
      <c r="E16" s="22"/>
      <c r="F16" s="49"/>
      <c r="G16" s="22"/>
      <c r="H16" s="12">
        <f t="shared" si="0"/>
        <v>44146</v>
      </c>
    </row>
    <row r="17" spans="1:8" x14ac:dyDescent="0.3">
      <c r="B17" s="6" t="s">
        <v>21</v>
      </c>
      <c r="C17" s="22"/>
      <c r="D17" s="22"/>
      <c r="E17" s="22"/>
      <c r="F17" s="22"/>
      <c r="G17" s="22"/>
      <c r="H17" s="12">
        <f t="shared" si="0"/>
        <v>44146</v>
      </c>
    </row>
    <row r="18" spans="1:8" x14ac:dyDescent="0.3">
      <c r="B18" s="6" t="s">
        <v>18</v>
      </c>
      <c r="C18" s="22"/>
      <c r="D18" s="22"/>
      <c r="E18" s="22"/>
      <c r="F18" s="22"/>
      <c r="G18" s="22"/>
      <c r="H18" s="12">
        <f t="shared" si="0"/>
        <v>44146</v>
      </c>
    </row>
    <row r="19" spans="1:8" x14ac:dyDescent="0.3">
      <c r="B19" s="6" t="s">
        <v>16</v>
      </c>
      <c r="C19" s="22">
        <v>108000</v>
      </c>
      <c r="D19" s="22"/>
      <c r="E19" s="22"/>
      <c r="F19" s="22"/>
      <c r="G19" s="22"/>
      <c r="H19" s="12">
        <f t="shared" si="0"/>
        <v>44146</v>
      </c>
    </row>
    <row r="20" spans="1:8" x14ac:dyDescent="0.3">
      <c r="B20" s="50" t="s">
        <v>27</v>
      </c>
      <c r="C20" s="51">
        <f>SUBTOTAL(109,November11_2020[KSI_AGO])</f>
        <v>1295500</v>
      </c>
      <c r="D20" s="51">
        <f>SUBTOTAL(109,November11_2020[KSI_PMS])</f>
        <v>1026000</v>
      </c>
      <c r="E20" s="51">
        <f>SUBTOTAL(109,November11_2020[BUIPE_AGO])</f>
        <v>689000</v>
      </c>
      <c r="F20" s="51">
        <f>SUBTOTAL(109,November11_2020[BUIPE_PMS])</f>
        <v>1296000</v>
      </c>
      <c r="G20" s="51">
        <f>SUBTOTAL(109,November11_2020[AKOSOMBO_AGO])</f>
        <v>590000</v>
      </c>
      <c r="H20" s="52"/>
    </row>
    <row r="21" spans="1:8" x14ac:dyDescent="0.3">
      <c r="B21" s="8"/>
      <c r="C21" s="24"/>
      <c r="D21" s="24"/>
      <c r="E21" s="24"/>
      <c r="F21" s="24"/>
      <c r="G21" s="24"/>
      <c r="H21"/>
    </row>
    <row r="22" spans="1:8" x14ac:dyDescent="0.3">
      <c r="B22" s="1" t="s">
        <v>6</v>
      </c>
      <c r="C22" s="1" t="s">
        <v>4</v>
      </c>
      <c r="D22" s="5">
        <f>SUMIF(November11_2020[[#Headers],[KSI_AGO]:[AKOSOMBO_AGO]],"*"&amp;C22,November11_2020[[#Totals],[KSI_AGO]:[AKOSOMBO_AGO]])</f>
        <v>2574500</v>
      </c>
      <c r="E22" s="1" t="s">
        <v>5</v>
      </c>
      <c r="F22" s="5">
        <f>SUMIF(November11_2020[[#Headers],[KSI_AGO]:[AKOSOMBO_AGO]],"*"&amp;E22,November11_2020[[#Totals],[KSI_AGO]:[AKOSOMBO_AGO]])</f>
        <v>2322000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C00-000000000000}">
      <formula1>INDIRECT("BDC_List[BDC List]")</formula1>
    </dataValidation>
  </dataValidations>
  <pageMargins left="0.7" right="0.7" top="0.75" bottom="0.75" header="0.3" footer="0.3"/>
  <legacyDrawing r:id="rId1"/>
  <tableParts count="1">
    <tablePart r:id="rId2"/>
  </tableParts>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sheetPr codeName="Sheet222"/>
  <dimension ref="A1:K32"/>
  <sheetViews>
    <sheetView topLeftCell="D1" workbookViewId="0">
      <selection activeCell="G13" sqref="G13"/>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44147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44147</v>
      </c>
    </row>
    <row r="7" spans="2:11" x14ac:dyDescent="0.3">
      <c r="B7" s="6" t="s">
        <v>37</v>
      </c>
      <c r="C7" s="22">
        <v>45000</v>
      </c>
      <c r="D7" s="22"/>
      <c r="E7" s="22"/>
      <c r="F7" s="22"/>
      <c r="G7" s="22"/>
      <c r="H7" s="67">
        <f>$G$3</f>
        <v>44147</v>
      </c>
    </row>
    <row r="8" spans="2:11" x14ac:dyDescent="0.3">
      <c r="B8" s="6" t="s">
        <v>17</v>
      </c>
      <c r="C8" s="22">
        <v>261000</v>
      </c>
      <c r="D8" s="22">
        <v>464000</v>
      </c>
      <c r="E8" s="22"/>
      <c r="F8" s="22">
        <v>378000</v>
      </c>
      <c r="G8" s="22">
        <v>356000</v>
      </c>
      <c r="H8" s="12">
        <f t="shared" si="0"/>
        <v>44147</v>
      </c>
    </row>
    <row r="9" spans="2:11" ht="15.6" x14ac:dyDescent="0.3">
      <c r="B9" s="34" t="s">
        <v>0</v>
      </c>
      <c r="C9" s="60">
        <v>702000</v>
      </c>
      <c r="D9" s="60"/>
      <c r="E9" s="60"/>
      <c r="F9" s="60"/>
      <c r="G9" s="61"/>
      <c r="H9" s="12">
        <f t="shared" si="0"/>
        <v>44147</v>
      </c>
    </row>
    <row r="10" spans="2:11" x14ac:dyDescent="0.3">
      <c r="B10" s="6" t="s">
        <v>25</v>
      </c>
      <c r="C10" s="22">
        <v>212000</v>
      </c>
      <c r="D10" s="22"/>
      <c r="E10" s="22"/>
      <c r="F10" s="22"/>
      <c r="G10" s="22"/>
      <c r="H10" s="12">
        <f t="shared" si="0"/>
        <v>44147</v>
      </c>
    </row>
    <row r="11" spans="2:11" x14ac:dyDescent="0.3">
      <c r="B11" s="6" t="s">
        <v>15</v>
      </c>
      <c r="C11" s="22"/>
      <c r="D11" s="22"/>
      <c r="E11" s="22"/>
      <c r="F11" s="48">
        <v>104000</v>
      </c>
      <c r="G11" s="22"/>
      <c r="H11" s="12">
        <f t="shared" si="0"/>
        <v>44147</v>
      </c>
    </row>
    <row r="12" spans="2:11" x14ac:dyDescent="0.3">
      <c r="B12" s="6" t="s">
        <v>26</v>
      </c>
      <c r="C12" s="22">
        <v>108000</v>
      </c>
      <c r="D12" s="22"/>
      <c r="E12" s="22"/>
      <c r="F12" s="22"/>
      <c r="G12" s="22"/>
      <c r="H12" s="12">
        <f t="shared" si="0"/>
        <v>44147</v>
      </c>
    </row>
    <row r="13" spans="2:11" x14ac:dyDescent="0.3">
      <c r="B13" s="6" t="s">
        <v>22</v>
      </c>
      <c r="C13" s="23"/>
      <c r="D13" s="23"/>
      <c r="E13" s="23"/>
      <c r="F13" s="22"/>
      <c r="G13" s="23"/>
      <c r="H13" s="12">
        <f t="shared" si="0"/>
        <v>44147</v>
      </c>
      <c r="K13" s="4"/>
    </row>
    <row r="14" spans="2:11" x14ac:dyDescent="0.3">
      <c r="B14" s="6" t="s">
        <v>19</v>
      </c>
      <c r="C14" s="22">
        <v>324000</v>
      </c>
      <c r="D14" s="22"/>
      <c r="E14" s="22"/>
      <c r="F14" s="22"/>
      <c r="G14" s="22"/>
      <c r="H14" s="12">
        <f t="shared" si="0"/>
        <v>44147</v>
      </c>
    </row>
    <row r="15" spans="2:11" x14ac:dyDescent="0.3">
      <c r="B15" s="6" t="s">
        <v>14</v>
      </c>
      <c r="C15" s="22"/>
      <c r="D15" s="22">
        <v>162000</v>
      </c>
      <c r="E15" s="22"/>
      <c r="F15" s="22">
        <v>45000</v>
      </c>
      <c r="G15" s="22"/>
      <c r="H15" s="12">
        <f t="shared" si="0"/>
        <v>44147</v>
      </c>
    </row>
    <row r="16" spans="2:11" x14ac:dyDescent="0.3">
      <c r="B16" s="6" t="s">
        <v>24</v>
      </c>
      <c r="C16" s="22">
        <v>482000</v>
      </c>
      <c r="D16" s="22"/>
      <c r="E16" s="22"/>
      <c r="F16" s="49"/>
      <c r="G16" s="22"/>
      <c r="H16" s="12">
        <f t="shared" si="0"/>
        <v>44147</v>
      </c>
    </row>
    <row r="17" spans="1:8" x14ac:dyDescent="0.3">
      <c r="B17" s="6" t="s">
        <v>21</v>
      </c>
      <c r="C17" s="22"/>
      <c r="D17" s="22"/>
      <c r="E17" s="22"/>
      <c r="F17" s="22"/>
      <c r="G17" s="22"/>
      <c r="H17" s="12">
        <f t="shared" si="0"/>
        <v>44147</v>
      </c>
    </row>
    <row r="18" spans="1:8" x14ac:dyDescent="0.3">
      <c r="B18" s="6" t="s">
        <v>18</v>
      </c>
      <c r="C18" s="22"/>
      <c r="D18" s="22"/>
      <c r="E18" s="22"/>
      <c r="F18" s="22"/>
      <c r="G18" s="22"/>
      <c r="H18" s="12">
        <f t="shared" si="0"/>
        <v>44147</v>
      </c>
    </row>
    <row r="19" spans="1:8" x14ac:dyDescent="0.3">
      <c r="B19" s="6" t="s">
        <v>16</v>
      </c>
      <c r="C19" s="22">
        <v>54000</v>
      </c>
      <c r="D19" s="22">
        <v>378000</v>
      </c>
      <c r="E19" s="22"/>
      <c r="F19" s="22">
        <v>644000</v>
      </c>
      <c r="G19" s="22"/>
      <c r="H19" s="12">
        <f t="shared" si="0"/>
        <v>44147</v>
      </c>
    </row>
    <row r="20" spans="1:8" x14ac:dyDescent="0.3">
      <c r="B20" s="50" t="s">
        <v>27</v>
      </c>
      <c r="C20" s="51">
        <f>SUBTOTAL(109,November12_2020[KSI_AGO])</f>
        <v>2188000</v>
      </c>
      <c r="D20" s="51">
        <f>SUBTOTAL(109,November12_2020[KSI_PMS])</f>
        <v>1004000</v>
      </c>
      <c r="E20" s="51">
        <f>SUBTOTAL(109,November12_2020[BUIPE_AGO])</f>
        <v>0</v>
      </c>
      <c r="F20" s="51">
        <f>SUBTOTAL(109,November12_2020[BUIPE_PMS])</f>
        <v>1171000</v>
      </c>
      <c r="G20" s="51">
        <f>SUBTOTAL(109,November12_2020[AKOSOMBO_AGO])</f>
        <v>356000</v>
      </c>
      <c r="H20" s="52"/>
    </row>
    <row r="21" spans="1:8" x14ac:dyDescent="0.3">
      <c r="B21" s="8"/>
      <c r="C21" s="24"/>
      <c r="D21" s="24"/>
      <c r="E21" s="24"/>
      <c r="F21" s="24"/>
      <c r="G21" s="24"/>
      <c r="H21"/>
    </row>
    <row r="22" spans="1:8" x14ac:dyDescent="0.3">
      <c r="B22" s="1" t="s">
        <v>6</v>
      </c>
      <c r="C22" s="1" t="s">
        <v>4</v>
      </c>
      <c r="D22" s="5">
        <f>SUMIF(November12_2020[[#Headers],[KSI_AGO]:[AKOSOMBO_AGO]],"*"&amp;C22,November12_2020[[#Totals],[KSI_AGO]:[AKOSOMBO_AGO]])</f>
        <v>2544000</v>
      </c>
      <c r="E22" s="1" t="s">
        <v>5</v>
      </c>
      <c r="F22" s="5">
        <f>SUMIF(November12_2020[[#Headers],[KSI_AGO]:[AKOSOMBO_AGO]],"*"&amp;E22,November12_2020[[#Totals],[KSI_AGO]:[AKOSOMBO_AGO]])</f>
        <v>2175000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D00-000000000000}">
      <formula1>INDIRECT("BDC_List[BDC List]")</formula1>
    </dataValidation>
  </dataValidations>
  <pageMargins left="0.7" right="0.7" top="0.75" bottom="0.75" header="0.3" footer="0.3"/>
  <tableParts count="1">
    <tablePart r:id="rId1"/>
  </tableParts>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sheetPr codeName="Sheet223"/>
  <dimension ref="A1:K32"/>
  <sheetViews>
    <sheetView topLeftCell="D1" workbookViewId="0">
      <selection activeCell="G14" sqref="G14"/>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44148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44148</v>
      </c>
    </row>
    <row r="7" spans="2:11" x14ac:dyDescent="0.3">
      <c r="B7" s="6" t="s">
        <v>37</v>
      </c>
      <c r="C7" s="22"/>
      <c r="D7" s="22"/>
      <c r="E7" s="22"/>
      <c r="F7" s="22"/>
      <c r="G7" s="22"/>
      <c r="H7" s="67">
        <f>$G$3</f>
        <v>44148</v>
      </c>
    </row>
    <row r="8" spans="2:11" x14ac:dyDescent="0.3">
      <c r="B8" s="6" t="s">
        <v>17</v>
      </c>
      <c r="C8" s="22">
        <v>257000</v>
      </c>
      <c r="D8" s="22">
        <v>49500</v>
      </c>
      <c r="E8" s="22"/>
      <c r="F8" s="22">
        <v>162000</v>
      </c>
      <c r="G8" s="22">
        <v>54000</v>
      </c>
      <c r="H8" s="12">
        <f t="shared" si="0"/>
        <v>44148</v>
      </c>
    </row>
    <row r="9" spans="2:11" ht="15.6" x14ac:dyDescent="0.3">
      <c r="B9" s="34" t="s">
        <v>0</v>
      </c>
      <c r="C9" s="60">
        <v>536000</v>
      </c>
      <c r="D9" s="60"/>
      <c r="E9" s="60"/>
      <c r="F9" s="60"/>
      <c r="G9" s="61"/>
      <c r="H9" s="12">
        <f t="shared" si="0"/>
        <v>44148</v>
      </c>
    </row>
    <row r="10" spans="2:11" x14ac:dyDescent="0.3">
      <c r="B10" s="6" t="s">
        <v>25</v>
      </c>
      <c r="C10" s="22">
        <v>45000</v>
      </c>
      <c r="D10" s="22"/>
      <c r="E10" s="22"/>
      <c r="F10" s="22"/>
      <c r="G10" s="22"/>
      <c r="H10" s="12">
        <f t="shared" si="0"/>
        <v>44148</v>
      </c>
    </row>
    <row r="11" spans="2:11" x14ac:dyDescent="0.3">
      <c r="B11" s="6" t="s">
        <v>15</v>
      </c>
      <c r="C11" s="22"/>
      <c r="D11" s="22">
        <v>374000</v>
      </c>
      <c r="E11" s="22"/>
      <c r="F11" s="48">
        <v>432000</v>
      </c>
      <c r="G11" s="22"/>
      <c r="H11" s="12">
        <f t="shared" si="0"/>
        <v>44148</v>
      </c>
    </row>
    <row r="12" spans="2:11" x14ac:dyDescent="0.3">
      <c r="B12" s="6" t="s">
        <v>26</v>
      </c>
      <c r="C12" s="22">
        <v>162000</v>
      </c>
      <c r="D12" s="22"/>
      <c r="E12" s="22"/>
      <c r="F12" s="22"/>
      <c r="G12" s="22">
        <v>540000</v>
      </c>
      <c r="H12" s="12">
        <f t="shared" si="0"/>
        <v>44148</v>
      </c>
    </row>
    <row r="13" spans="2:11" x14ac:dyDescent="0.3">
      <c r="B13" s="6" t="s">
        <v>22</v>
      </c>
      <c r="C13" s="23"/>
      <c r="D13" s="23"/>
      <c r="E13" s="23"/>
      <c r="F13" s="22"/>
      <c r="G13" s="23"/>
      <c r="H13" s="12">
        <f t="shared" si="0"/>
        <v>44148</v>
      </c>
      <c r="K13" s="4"/>
    </row>
    <row r="14" spans="2:11" x14ac:dyDescent="0.3">
      <c r="B14" s="6" t="s">
        <v>19</v>
      </c>
      <c r="C14" s="22">
        <v>162000</v>
      </c>
      <c r="D14" s="22"/>
      <c r="E14" s="22"/>
      <c r="F14" s="22"/>
      <c r="G14" s="22"/>
      <c r="H14" s="12">
        <f t="shared" si="0"/>
        <v>44148</v>
      </c>
    </row>
    <row r="15" spans="2:11" x14ac:dyDescent="0.3">
      <c r="B15" s="6" t="s">
        <v>14</v>
      </c>
      <c r="C15" s="22"/>
      <c r="D15" s="22">
        <v>585500</v>
      </c>
      <c r="E15" s="22"/>
      <c r="F15" s="22">
        <v>45000</v>
      </c>
      <c r="G15" s="22"/>
      <c r="H15" s="12">
        <f t="shared" si="0"/>
        <v>44148</v>
      </c>
    </row>
    <row r="16" spans="2:11" x14ac:dyDescent="0.3">
      <c r="B16" s="6" t="s">
        <v>24</v>
      </c>
      <c r="C16" s="22">
        <v>270000</v>
      </c>
      <c r="D16" s="22"/>
      <c r="E16" s="22"/>
      <c r="F16" s="49"/>
      <c r="G16" s="22"/>
      <c r="H16" s="12">
        <f t="shared" si="0"/>
        <v>44148</v>
      </c>
    </row>
    <row r="17" spans="1:8" x14ac:dyDescent="0.3">
      <c r="B17" s="6" t="s">
        <v>21</v>
      </c>
      <c r="C17" s="22"/>
      <c r="D17" s="22"/>
      <c r="E17" s="22"/>
      <c r="F17" s="22"/>
      <c r="G17" s="22"/>
      <c r="H17" s="12">
        <f t="shared" si="0"/>
        <v>44148</v>
      </c>
    </row>
    <row r="18" spans="1:8" x14ac:dyDescent="0.3">
      <c r="B18" s="6" t="s">
        <v>18</v>
      </c>
      <c r="C18" s="22"/>
      <c r="D18" s="22"/>
      <c r="E18" s="22"/>
      <c r="F18" s="22"/>
      <c r="G18" s="22"/>
      <c r="H18" s="12">
        <f t="shared" si="0"/>
        <v>44148</v>
      </c>
    </row>
    <row r="19" spans="1:8" x14ac:dyDescent="0.3">
      <c r="B19" s="6" t="s">
        <v>16</v>
      </c>
      <c r="C19" s="22">
        <v>45000</v>
      </c>
      <c r="D19" s="22">
        <v>486000</v>
      </c>
      <c r="E19" s="22"/>
      <c r="F19" s="22">
        <v>146000</v>
      </c>
      <c r="G19" s="22"/>
      <c r="H19" s="12">
        <f t="shared" si="0"/>
        <v>44148</v>
      </c>
    </row>
    <row r="20" spans="1:8" x14ac:dyDescent="0.3">
      <c r="B20" s="50" t="s">
        <v>27</v>
      </c>
      <c r="C20" s="51">
        <f>SUBTOTAL(109,November13_2020[KSI_AGO])</f>
        <v>1477000</v>
      </c>
      <c r="D20" s="51">
        <f>SUBTOTAL(109,November13_2020[KSI_PMS])</f>
        <v>1495000</v>
      </c>
      <c r="E20" s="51">
        <f>SUBTOTAL(109,November13_2020[BUIPE_AGO])</f>
        <v>0</v>
      </c>
      <c r="F20" s="51">
        <f>SUBTOTAL(109,November13_2020[BUIPE_PMS])</f>
        <v>785000</v>
      </c>
      <c r="G20" s="51">
        <f>SUBTOTAL(109,November13_2020[AKOSOMBO_AGO])</f>
        <v>594000</v>
      </c>
      <c r="H20" s="52"/>
    </row>
    <row r="21" spans="1:8" x14ac:dyDescent="0.3">
      <c r="B21" s="8"/>
      <c r="C21" s="24"/>
      <c r="D21" s="24"/>
      <c r="E21" s="24"/>
      <c r="F21" s="24"/>
      <c r="G21" s="24"/>
      <c r="H21"/>
    </row>
    <row r="22" spans="1:8" x14ac:dyDescent="0.3">
      <c r="B22" s="1" t="s">
        <v>6</v>
      </c>
      <c r="C22" s="1" t="s">
        <v>4</v>
      </c>
      <c r="D22" s="5">
        <f>SUMIF(November13_2020[[#Headers],[KSI_AGO]:[AKOSOMBO_AGO]],"*"&amp;C22,November13_2020[[#Totals],[KSI_AGO]:[AKOSOMBO_AGO]])</f>
        <v>2071000</v>
      </c>
      <c r="E22" s="1" t="s">
        <v>5</v>
      </c>
      <c r="F22" s="5">
        <f>SUMIF(November13_2020[[#Headers],[KSI_AGO]:[AKOSOMBO_AGO]],"*"&amp;E22,November13_2020[[#Totals],[KSI_AGO]:[AKOSOMBO_AGO]])</f>
        <v>2280000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E00-000000000000}">
      <formula1>INDIRECT("BDC_List[BDC List]")</formula1>
    </dataValidation>
  </dataValidations>
  <pageMargins left="0.7" right="0.7" top="0.75" bottom="0.75" header="0.3" footer="0.3"/>
  <tableParts count="1">
    <tablePart r:id="rId1"/>
  </tableParts>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sheetPr codeName="Sheet224"/>
  <dimension ref="A1:K32"/>
  <sheetViews>
    <sheetView topLeftCell="C1" workbookViewId="0">
      <selection activeCell="G11" sqref="G11"/>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44149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44149</v>
      </c>
    </row>
    <row r="7" spans="2:11" x14ac:dyDescent="0.3">
      <c r="B7" s="6" t="s">
        <v>37</v>
      </c>
      <c r="C7" s="22"/>
      <c r="D7" s="22"/>
      <c r="E7" s="22"/>
      <c r="F7" s="22"/>
      <c r="G7" s="22"/>
      <c r="H7" s="67">
        <f>$G$3</f>
        <v>44149</v>
      </c>
    </row>
    <row r="8" spans="2:11" x14ac:dyDescent="0.3">
      <c r="B8" s="6" t="s">
        <v>17</v>
      </c>
      <c r="C8" s="22">
        <v>428000</v>
      </c>
      <c r="D8" s="22">
        <v>319500</v>
      </c>
      <c r="E8" s="22"/>
      <c r="F8" s="22"/>
      <c r="G8" s="22"/>
      <c r="H8" s="12">
        <f t="shared" si="0"/>
        <v>44149</v>
      </c>
    </row>
    <row r="9" spans="2:11" ht="15.6" x14ac:dyDescent="0.3">
      <c r="B9" s="34" t="s">
        <v>0</v>
      </c>
      <c r="C9" s="60">
        <v>747000</v>
      </c>
      <c r="D9" s="60"/>
      <c r="E9" s="60"/>
      <c r="F9" s="60"/>
      <c r="G9" s="61"/>
      <c r="H9" s="12">
        <f t="shared" si="0"/>
        <v>44149</v>
      </c>
    </row>
    <row r="10" spans="2:11" x14ac:dyDescent="0.3">
      <c r="B10" s="6" t="s">
        <v>25</v>
      </c>
      <c r="C10" s="22">
        <v>50000</v>
      </c>
      <c r="D10" s="22"/>
      <c r="E10" s="22"/>
      <c r="F10" s="22"/>
      <c r="G10" s="22"/>
      <c r="H10" s="12">
        <f t="shared" si="0"/>
        <v>44149</v>
      </c>
    </row>
    <row r="11" spans="2:11" x14ac:dyDescent="0.3">
      <c r="B11" s="6" t="s">
        <v>15</v>
      </c>
      <c r="C11" s="22"/>
      <c r="D11" s="22">
        <v>536000</v>
      </c>
      <c r="E11" s="22"/>
      <c r="F11" s="48"/>
      <c r="G11" s="22"/>
      <c r="H11" s="12">
        <f t="shared" si="0"/>
        <v>44149</v>
      </c>
    </row>
    <row r="12" spans="2:11" x14ac:dyDescent="0.3">
      <c r="B12" s="6" t="s">
        <v>26</v>
      </c>
      <c r="C12" s="22">
        <v>378000</v>
      </c>
      <c r="D12" s="22"/>
      <c r="E12" s="22"/>
      <c r="F12" s="22"/>
      <c r="G12" s="22">
        <v>189000</v>
      </c>
      <c r="H12" s="12">
        <f t="shared" si="0"/>
        <v>44149</v>
      </c>
    </row>
    <row r="13" spans="2:11" x14ac:dyDescent="0.3">
      <c r="B13" s="6" t="s">
        <v>22</v>
      </c>
      <c r="C13" s="23"/>
      <c r="D13" s="23"/>
      <c r="E13" s="23"/>
      <c r="F13" s="22"/>
      <c r="G13" s="23"/>
      <c r="H13" s="12">
        <f t="shared" si="0"/>
        <v>44149</v>
      </c>
      <c r="K13" s="4"/>
    </row>
    <row r="14" spans="2:11" x14ac:dyDescent="0.3">
      <c r="B14" s="6" t="s">
        <v>19</v>
      </c>
      <c r="C14" s="22">
        <v>270000</v>
      </c>
      <c r="D14" s="22"/>
      <c r="E14" s="22"/>
      <c r="F14" s="22"/>
      <c r="G14" s="22"/>
      <c r="H14" s="12">
        <f t="shared" si="0"/>
        <v>44149</v>
      </c>
    </row>
    <row r="15" spans="2:11" x14ac:dyDescent="0.3">
      <c r="B15" s="6" t="s">
        <v>14</v>
      </c>
      <c r="C15" s="22"/>
      <c r="D15" s="22">
        <v>481000</v>
      </c>
      <c r="E15" s="22"/>
      <c r="F15" s="22"/>
      <c r="G15" s="22"/>
      <c r="H15" s="12">
        <f t="shared" si="0"/>
        <v>44149</v>
      </c>
    </row>
    <row r="16" spans="2:11" x14ac:dyDescent="0.3">
      <c r="B16" s="6" t="s">
        <v>24</v>
      </c>
      <c r="C16" s="22"/>
      <c r="D16" s="22"/>
      <c r="E16" s="22"/>
      <c r="F16" s="49"/>
      <c r="G16" s="22"/>
      <c r="H16" s="12">
        <f t="shared" si="0"/>
        <v>44149</v>
      </c>
    </row>
    <row r="17" spans="1:8" x14ac:dyDescent="0.3">
      <c r="B17" s="6" t="s">
        <v>21</v>
      </c>
      <c r="C17" s="22"/>
      <c r="D17" s="22"/>
      <c r="E17" s="22"/>
      <c r="F17" s="22"/>
      <c r="G17" s="22"/>
      <c r="H17" s="12">
        <f t="shared" si="0"/>
        <v>44149</v>
      </c>
    </row>
    <row r="18" spans="1:8" x14ac:dyDescent="0.3">
      <c r="B18" s="6" t="s">
        <v>18</v>
      </c>
      <c r="C18" s="22"/>
      <c r="D18" s="22"/>
      <c r="E18" s="22"/>
      <c r="F18" s="22"/>
      <c r="G18" s="22"/>
      <c r="H18" s="12">
        <f t="shared" si="0"/>
        <v>44149</v>
      </c>
    </row>
    <row r="19" spans="1:8" x14ac:dyDescent="0.3">
      <c r="B19" s="6" t="s">
        <v>16</v>
      </c>
      <c r="C19" s="22"/>
      <c r="D19" s="22">
        <v>695500</v>
      </c>
      <c r="E19" s="22"/>
      <c r="F19" s="22"/>
      <c r="G19" s="22"/>
      <c r="H19" s="12">
        <f t="shared" si="0"/>
        <v>44149</v>
      </c>
    </row>
    <row r="20" spans="1:8" x14ac:dyDescent="0.3">
      <c r="B20" s="50" t="s">
        <v>27</v>
      </c>
      <c r="C20" s="51">
        <f>SUBTOTAL(109,November14_2020[KSI_AGO])</f>
        <v>1873000</v>
      </c>
      <c r="D20" s="51">
        <f>SUBTOTAL(109,November14_2020[KSI_PMS])</f>
        <v>2032000</v>
      </c>
      <c r="E20" s="51">
        <f>SUBTOTAL(109,November14_2020[BUIPE_AGO])</f>
        <v>0</v>
      </c>
      <c r="F20" s="51">
        <f>SUBTOTAL(109,November14_2020[BUIPE_PMS])</f>
        <v>0</v>
      </c>
      <c r="G20" s="51">
        <f>SUBTOTAL(109,November14_2020[AKOSOMBO_AGO])</f>
        <v>189000</v>
      </c>
      <c r="H20" s="52"/>
    </row>
    <row r="21" spans="1:8" x14ac:dyDescent="0.3">
      <c r="B21" s="8"/>
      <c r="C21" s="24"/>
      <c r="D21" s="24"/>
      <c r="E21" s="24"/>
      <c r="F21" s="24"/>
      <c r="G21" s="24"/>
      <c r="H21"/>
    </row>
    <row r="22" spans="1:8" x14ac:dyDescent="0.3">
      <c r="B22" s="1" t="s">
        <v>6</v>
      </c>
      <c r="C22" s="1" t="s">
        <v>4</v>
      </c>
      <c r="D22" s="5">
        <f>SUMIF(November14_2020[[#Headers],[KSI_AGO]:[AKOSOMBO_AGO]],"*"&amp;C22,November14_2020[[#Totals],[KSI_AGO]:[AKOSOMBO_AGO]])</f>
        <v>2062000</v>
      </c>
      <c r="E22" s="1" t="s">
        <v>5</v>
      </c>
      <c r="F22" s="5">
        <f>SUMIF(November14_2020[[#Headers],[KSI_AGO]:[AKOSOMBO_AGO]],"*"&amp;E22,November14_2020[[#Totals],[KSI_AGO]:[AKOSOMBO_AGO]])</f>
        <v>2032000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DF00-000000000000}">
      <formula1>INDIRECT("BDC_List[BDC List]")</formula1>
    </dataValidation>
  </dataValidations>
  <pageMargins left="0.7" right="0.7" top="0.75" bottom="0.75" header="0.3" footer="0.3"/>
  <tableParts count="1">
    <tablePart r:id="rId1"/>
  </tableParts>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codeName="Sheet225"/>
  <dimension ref="A1:K32"/>
  <sheetViews>
    <sheetView topLeftCell="C1" workbookViewId="0">
      <selection activeCell="E12" sqref="E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44151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44151</v>
      </c>
    </row>
    <row r="7" spans="2:11" x14ac:dyDescent="0.3">
      <c r="B7" s="6" t="s">
        <v>37</v>
      </c>
      <c r="C7" s="22"/>
      <c r="D7" s="22"/>
      <c r="E7" s="22"/>
      <c r="F7" s="22"/>
      <c r="G7" s="22"/>
      <c r="H7" s="67">
        <f>$G$3</f>
        <v>44151</v>
      </c>
    </row>
    <row r="8" spans="2:11" x14ac:dyDescent="0.3">
      <c r="B8" s="6" t="s">
        <v>17</v>
      </c>
      <c r="C8" s="22">
        <v>162000</v>
      </c>
      <c r="D8" s="22">
        <v>908500</v>
      </c>
      <c r="E8" s="22"/>
      <c r="F8" s="22"/>
      <c r="G8" s="22"/>
      <c r="H8" s="12">
        <f t="shared" si="0"/>
        <v>44151</v>
      </c>
    </row>
    <row r="9" spans="2:11" ht="15.6" x14ac:dyDescent="0.3">
      <c r="B9" s="34" t="s">
        <v>0</v>
      </c>
      <c r="C9" s="60">
        <v>864000</v>
      </c>
      <c r="D9" s="60"/>
      <c r="E9" s="60"/>
      <c r="F9" s="60"/>
      <c r="G9" s="61"/>
      <c r="H9" s="12">
        <f t="shared" si="0"/>
        <v>44151</v>
      </c>
    </row>
    <row r="10" spans="2:11" x14ac:dyDescent="0.3">
      <c r="B10" s="6" t="s">
        <v>25</v>
      </c>
      <c r="C10" s="22"/>
      <c r="D10" s="22"/>
      <c r="E10" s="22"/>
      <c r="F10" s="22"/>
      <c r="G10" s="22"/>
      <c r="H10" s="12">
        <f t="shared" si="0"/>
        <v>44151</v>
      </c>
    </row>
    <row r="11" spans="2:11" x14ac:dyDescent="0.3">
      <c r="B11" s="6" t="s">
        <v>15</v>
      </c>
      <c r="C11" s="22"/>
      <c r="D11" s="22">
        <v>45000</v>
      </c>
      <c r="E11" s="22"/>
      <c r="F11" s="48">
        <v>270000</v>
      </c>
      <c r="G11" s="22"/>
      <c r="H11" s="12">
        <f t="shared" si="0"/>
        <v>44151</v>
      </c>
    </row>
    <row r="12" spans="2:11" x14ac:dyDescent="0.3">
      <c r="B12" s="6" t="s">
        <v>26</v>
      </c>
      <c r="C12" s="22">
        <v>378000</v>
      </c>
      <c r="D12" s="22"/>
      <c r="E12" s="22"/>
      <c r="F12" s="22"/>
      <c r="G12" s="22">
        <v>270000</v>
      </c>
      <c r="H12" s="12">
        <f t="shared" si="0"/>
        <v>44151</v>
      </c>
    </row>
    <row r="13" spans="2:11" x14ac:dyDescent="0.3">
      <c r="B13" s="6" t="s">
        <v>22</v>
      </c>
      <c r="C13" s="23"/>
      <c r="D13" s="23"/>
      <c r="E13" s="23"/>
      <c r="F13" s="22"/>
      <c r="G13" s="23"/>
      <c r="H13" s="12">
        <f t="shared" si="0"/>
        <v>44151</v>
      </c>
      <c r="K13" s="4"/>
    </row>
    <row r="14" spans="2:11" x14ac:dyDescent="0.3">
      <c r="B14" s="6" t="s">
        <v>19</v>
      </c>
      <c r="C14" s="22"/>
      <c r="D14" s="22"/>
      <c r="E14" s="22"/>
      <c r="F14" s="22"/>
      <c r="G14" s="22"/>
      <c r="H14" s="12">
        <f t="shared" si="0"/>
        <v>44151</v>
      </c>
    </row>
    <row r="15" spans="2:11" x14ac:dyDescent="0.3">
      <c r="B15" s="6" t="s">
        <v>14</v>
      </c>
      <c r="C15" s="22"/>
      <c r="D15" s="22">
        <v>590000</v>
      </c>
      <c r="E15" s="22"/>
      <c r="F15" s="22"/>
      <c r="G15" s="22"/>
      <c r="H15" s="12">
        <f t="shared" si="0"/>
        <v>44151</v>
      </c>
    </row>
    <row r="16" spans="2:11" x14ac:dyDescent="0.3">
      <c r="B16" s="6" t="s">
        <v>24</v>
      </c>
      <c r="C16" s="22"/>
      <c r="D16" s="22"/>
      <c r="E16" s="22"/>
      <c r="F16" s="49"/>
      <c r="G16" s="22"/>
      <c r="H16" s="12">
        <f t="shared" si="0"/>
        <v>44151</v>
      </c>
    </row>
    <row r="17" spans="1:8" x14ac:dyDescent="0.3">
      <c r="B17" s="6" t="s">
        <v>21</v>
      </c>
      <c r="C17" s="22"/>
      <c r="D17" s="22"/>
      <c r="E17" s="22"/>
      <c r="F17" s="22"/>
      <c r="G17" s="22"/>
      <c r="H17" s="12">
        <f t="shared" si="0"/>
        <v>44151</v>
      </c>
    </row>
    <row r="18" spans="1:8" x14ac:dyDescent="0.3">
      <c r="B18" s="6" t="s">
        <v>18</v>
      </c>
      <c r="C18" s="22"/>
      <c r="D18" s="22"/>
      <c r="E18" s="22"/>
      <c r="F18" s="22"/>
      <c r="G18" s="22"/>
      <c r="H18" s="12">
        <f t="shared" si="0"/>
        <v>44151</v>
      </c>
    </row>
    <row r="19" spans="1:8" x14ac:dyDescent="0.3">
      <c r="B19" s="6" t="s">
        <v>16</v>
      </c>
      <c r="C19" s="22"/>
      <c r="D19" s="22">
        <v>323500</v>
      </c>
      <c r="E19" s="22"/>
      <c r="F19" s="22">
        <v>162000</v>
      </c>
      <c r="G19" s="22"/>
      <c r="H19" s="12">
        <f t="shared" si="0"/>
        <v>44151</v>
      </c>
    </row>
    <row r="20" spans="1:8" x14ac:dyDescent="0.3">
      <c r="B20" s="50" t="s">
        <v>27</v>
      </c>
      <c r="C20" s="51">
        <f>SUBTOTAL(109,November16_2020[KSI_AGO])</f>
        <v>1404000</v>
      </c>
      <c r="D20" s="51">
        <f>SUBTOTAL(109,November16_2020[KSI_PMS])</f>
        <v>1867000</v>
      </c>
      <c r="E20" s="51">
        <f>SUBTOTAL(109,November16_2020[BUIPE_AGO])</f>
        <v>0</v>
      </c>
      <c r="F20" s="51">
        <f>SUBTOTAL(109,November16_2020[BUIPE_PMS])</f>
        <v>432000</v>
      </c>
      <c r="G20" s="51">
        <f>SUBTOTAL(109,November16_2020[AKOSOMBO_AGO])</f>
        <v>270000</v>
      </c>
      <c r="H20" s="52"/>
    </row>
    <row r="21" spans="1:8" x14ac:dyDescent="0.3">
      <c r="B21" s="8"/>
      <c r="C21" s="24"/>
      <c r="D21" s="24"/>
      <c r="E21" s="24"/>
      <c r="F21" s="24"/>
      <c r="G21" s="24"/>
      <c r="H21"/>
    </row>
    <row r="22" spans="1:8" x14ac:dyDescent="0.3">
      <c r="B22" s="1" t="s">
        <v>6</v>
      </c>
      <c r="C22" s="1" t="s">
        <v>4</v>
      </c>
      <c r="D22" s="5">
        <f>SUMIF(November16_2020[[#Headers],[KSI_AGO]:[AKOSOMBO_AGO]],"*"&amp;C22,November16_2020[[#Totals],[KSI_AGO]:[AKOSOMBO_AGO]])</f>
        <v>1674000</v>
      </c>
      <c r="E22" s="1" t="s">
        <v>5</v>
      </c>
      <c r="F22" s="5">
        <f>SUMIF(November16_2020[[#Headers],[KSI_AGO]:[AKOSOMBO_AGO]],"*"&amp;E22,November16_2020[[#Totals],[KSI_AGO]:[AKOSOMBO_AGO]])</f>
        <v>2299000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000-000000000000}">
      <formula1>INDIRECT("BDC_List[BDC List]")</formula1>
    </dataValidation>
  </dataValidations>
  <pageMargins left="0.7" right="0.7" top="0.75" bottom="0.75" header="0.3" footer="0.3"/>
  <tableParts count="1">
    <tablePart r:id="rId1"/>
  </tableParts>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sheetPr codeName="Sheet226"/>
  <dimension ref="A1:K32"/>
  <sheetViews>
    <sheetView topLeftCell="C1" workbookViewId="0">
      <selection activeCell="E12" sqref="E12"/>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3">
        <v>44152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44152</v>
      </c>
    </row>
    <row r="7" spans="2:11" x14ac:dyDescent="0.3">
      <c r="B7" s="6" t="s">
        <v>37</v>
      </c>
      <c r="C7" s="22"/>
      <c r="D7" s="22">
        <v>162000</v>
      </c>
      <c r="E7" s="22"/>
      <c r="F7" s="22"/>
      <c r="G7" s="22"/>
      <c r="H7" s="67">
        <f>$G$3</f>
        <v>44152</v>
      </c>
    </row>
    <row r="8" spans="2:11" x14ac:dyDescent="0.3">
      <c r="B8" s="6" t="s">
        <v>17</v>
      </c>
      <c r="C8" s="22">
        <v>270000</v>
      </c>
      <c r="D8" s="22">
        <v>1342000</v>
      </c>
      <c r="E8" s="22"/>
      <c r="F8" s="22"/>
      <c r="G8" s="22"/>
      <c r="H8" s="12">
        <f t="shared" si="0"/>
        <v>44152</v>
      </c>
    </row>
    <row r="9" spans="2:11" ht="15.6" x14ac:dyDescent="0.3">
      <c r="B9" s="34" t="s">
        <v>0</v>
      </c>
      <c r="C9" s="60">
        <v>797000</v>
      </c>
      <c r="D9" s="60"/>
      <c r="E9" s="60"/>
      <c r="F9" s="60"/>
      <c r="G9" s="61"/>
      <c r="H9" s="12">
        <f t="shared" si="0"/>
        <v>44152</v>
      </c>
    </row>
    <row r="10" spans="2:11" x14ac:dyDescent="0.3">
      <c r="B10" s="6" t="s">
        <v>25</v>
      </c>
      <c r="C10" s="22"/>
      <c r="D10" s="22"/>
      <c r="E10" s="22"/>
      <c r="F10" s="22"/>
      <c r="G10" s="22"/>
      <c r="H10" s="12">
        <f t="shared" si="0"/>
        <v>44152</v>
      </c>
    </row>
    <row r="11" spans="2:11" x14ac:dyDescent="0.3">
      <c r="B11" s="6" t="s">
        <v>15</v>
      </c>
      <c r="C11" s="22"/>
      <c r="D11" s="22"/>
      <c r="E11" s="22"/>
      <c r="F11" s="48">
        <v>50000</v>
      </c>
      <c r="G11" s="22"/>
      <c r="H11" s="12">
        <f t="shared" si="0"/>
        <v>44152</v>
      </c>
    </row>
    <row r="12" spans="2:11" x14ac:dyDescent="0.3">
      <c r="B12" s="6" t="s">
        <v>26</v>
      </c>
      <c r="C12" s="22">
        <v>432000</v>
      </c>
      <c r="D12" s="22"/>
      <c r="E12" s="22"/>
      <c r="F12" s="22"/>
      <c r="G12" s="22"/>
      <c r="H12" s="12">
        <f t="shared" si="0"/>
        <v>44152</v>
      </c>
    </row>
    <row r="13" spans="2:11" x14ac:dyDescent="0.3">
      <c r="B13" s="6" t="s">
        <v>22</v>
      </c>
      <c r="C13" s="23"/>
      <c r="D13" s="23"/>
      <c r="E13" s="23"/>
      <c r="F13" s="22"/>
      <c r="G13" s="23"/>
      <c r="H13" s="12">
        <f t="shared" si="0"/>
        <v>44152</v>
      </c>
      <c r="K13" s="4"/>
    </row>
    <row r="14" spans="2:11" x14ac:dyDescent="0.3">
      <c r="B14" s="6" t="s">
        <v>19</v>
      </c>
      <c r="C14" s="22"/>
      <c r="D14" s="22"/>
      <c r="E14" s="22"/>
      <c r="F14" s="22"/>
      <c r="G14" s="22"/>
      <c r="H14" s="12">
        <f t="shared" si="0"/>
        <v>44152</v>
      </c>
    </row>
    <row r="15" spans="2:11" x14ac:dyDescent="0.3">
      <c r="B15" s="6" t="s">
        <v>14</v>
      </c>
      <c r="C15" s="22"/>
      <c r="D15" s="22">
        <v>486000</v>
      </c>
      <c r="E15" s="22"/>
      <c r="F15" s="22"/>
      <c r="G15" s="22"/>
      <c r="H15" s="12">
        <f t="shared" si="0"/>
        <v>44152</v>
      </c>
    </row>
    <row r="16" spans="2:11" x14ac:dyDescent="0.3">
      <c r="B16" s="6" t="s">
        <v>24</v>
      </c>
      <c r="C16" s="22"/>
      <c r="D16" s="22"/>
      <c r="E16" s="22"/>
      <c r="F16" s="49"/>
      <c r="G16" s="22"/>
      <c r="H16" s="12">
        <f t="shared" si="0"/>
        <v>44152</v>
      </c>
    </row>
    <row r="17" spans="1:8" x14ac:dyDescent="0.3">
      <c r="B17" s="6" t="s">
        <v>21</v>
      </c>
      <c r="C17" s="22"/>
      <c r="D17" s="22"/>
      <c r="E17" s="22"/>
      <c r="F17" s="22"/>
      <c r="G17" s="22"/>
      <c r="H17" s="12">
        <f t="shared" si="0"/>
        <v>44152</v>
      </c>
    </row>
    <row r="18" spans="1:8" x14ac:dyDescent="0.3">
      <c r="B18" s="6" t="s">
        <v>18</v>
      </c>
      <c r="C18" s="22"/>
      <c r="D18" s="22"/>
      <c r="E18" s="22"/>
      <c r="F18" s="22"/>
      <c r="G18" s="22"/>
      <c r="H18" s="12">
        <f t="shared" si="0"/>
        <v>44152</v>
      </c>
    </row>
    <row r="19" spans="1:8" x14ac:dyDescent="0.3">
      <c r="B19" s="6" t="s">
        <v>16</v>
      </c>
      <c r="C19" s="22"/>
      <c r="D19" s="22">
        <v>162000</v>
      </c>
      <c r="E19" s="22"/>
      <c r="F19" s="22"/>
      <c r="G19" s="22"/>
      <c r="H19" s="12">
        <f t="shared" si="0"/>
        <v>44152</v>
      </c>
    </row>
    <row r="20" spans="1:8" x14ac:dyDescent="0.3">
      <c r="B20" s="50" t="s">
        <v>27</v>
      </c>
      <c r="C20" s="51">
        <f>SUBTOTAL(109,November17_2020[KSI_AGO])</f>
        <v>1499000</v>
      </c>
      <c r="D20" s="51">
        <f>SUBTOTAL(109,November17_2020[KSI_PMS])</f>
        <v>2152000</v>
      </c>
      <c r="E20" s="51">
        <f>SUBTOTAL(109,November17_2020[BUIPE_AGO])</f>
        <v>0</v>
      </c>
      <c r="F20" s="51">
        <f>SUBTOTAL(109,November17_2020[BUIPE_PMS])</f>
        <v>50000</v>
      </c>
      <c r="G20" s="51">
        <f>SUBTOTAL(109,November17_2020[AKOSOMBO_AGO])</f>
        <v>0</v>
      </c>
      <c r="H20" s="52"/>
    </row>
    <row r="21" spans="1:8" x14ac:dyDescent="0.3">
      <c r="B21" s="8"/>
      <c r="C21" s="24"/>
      <c r="D21" s="24"/>
      <c r="E21" s="24"/>
      <c r="F21" s="24"/>
      <c r="G21" s="24"/>
      <c r="H21"/>
    </row>
    <row r="22" spans="1:8" x14ac:dyDescent="0.3">
      <c r="B22" s="1" t="s">
        <v>6</v>
      </c>
      <c r="C22" s="1" t="s">
        <v>4</v>
      </c>
      <c r="D22" s="5">
        <f>SUMIF(November17_2020[[#Headers],[KSI_AGO]:[AKOSOMBO_AGO]],"*"&amp;C22,November17_2020[[#Totals],[KSI_AGO]:[AKOSOMBO_AGO]])</f>
        <v>1499000</v>
      </c>
      <c r="E22" s="1" t="s">
        <v>5</v>
      </c>
      <c r="F22" s="5">
        <f>SUMIF(November17_2020[[#Headers],[KSI_AGO]:[AKOSOMBO_AGO]],"*"&amp;E22,November17_2020[[#Totals],[KSI_AGO]:[AKOSOMBO_AGO]])</f>
        <v>2202000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100-000000000000}">
      <formula1>INDIRECT("BDC_List[BDC List]")</formula1>
    </dataValidation>
  </dataValidations>
  <pageMargins left="0.7" right="0.7" top="0.75" bottom="0.75" header="0.3" footer="0.3"/>
  <tableParts count="1">
    <tablePart r:id="rId1"/>
  </tableParts>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sheetPr codeName="Sheet227"/>
  <dimension ref="A1:K32"/>
  <sheetViews>
    <sheetView topLeftCell="C1" workbookViewId="0">
      <selection activeCell="E15" sqref="E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44153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44153</v>
      </c>
    </row>
    <row r="7" spans="2:11" x14ac:dyDescent="0.3">
      <c r="B7" s="6" t="s">
        <v>37</v>
      </c>
      <c r="C7" s="22">
        <v>49500</v>
      </c>
      <c r="D7" s="22">
        <v>594000</v>
      </c>
      <c r="E7" s="22"/>
      <c r="F7" s="22"/>
      <c r="G7" s="22"/>
      <c r="H7" s="67">
        <f>$G$3</f>
        <v>44153</v>
      </c>
    </row>
    <row r="8" spans="2:11" x14ac:dyDescent="0.3">
      <c r="B8" s="6" t="s">
        <v>17</v>
      </c>
      <c r="C8" s="22">
        <v>270000</v>
      </c>
      <c r="D8" s="22">
        <v>756000</v>
      </c>
      <c r="E8" s="22">
        <v>45000</v>
      </c>
      <c r="F8" s="22">
        <v>54000</v>
      </c>
      <c r="G8" s="22"/>
      <c r="H8" s="12">
        <f t="shared" si="0"/>
        <v>44153</v>
      </c>
    </row>
    <row r="9" spans="2:11" ht="15.6" x14ac:dyDescent="0.3">
      <c r="B9" s="34" t="s">
        <v>0</v>
      </c>
      <c r="C9" s="60">
        <v>378000</v>
      </c>
      <c r="D9" s="60"/>
      <c r="E9" s="60"/>
      <c r="F9" s="60"/>
      <c r="G9" s="61"/>
      <c r="H9" s="12">
        <f t="shared" si="0"/>
        <v>44153</v>
      </c>
    </row>
    <row r="10" spans="2:11" x14ac:dyDescent="0.3">
      <c r="B10" s="6" t="s">
        <v>25</v>
      </c>
      <c r="C10" s="22"/>
      <c r="D10" s="22"/>
      <c r="E10" s="22"/>
      <c r="F10" s="22"/>
      <c r="G10" s="22"/>
      <c r="H10" s="12">
        <f t="shared" si="0"/>
        <v>44153</v>
      </c>
    </row>
    <row r="11" spans="2:11" x14ac:dyDescent="0.3">
      <c r="B11" s="6" t="s">
        <v>15</v>
      </c>
      <c r="C11" s="22"/>
      <c r="D11" s="22"/>
      <c r="E11" s="22"/>
      <c r="F11" s="48">
        <v>54000</v>
      </c>
      <c r="G11" s="22"/>
      <c r="H11" s="12">
        <f t="shared" si="0"/>
        <v>44153</v>
      </c>
    </row>
    <row r="12" spans="2:11" x14ac:dyDescent="0.3">
      <c r="B12" s="6" t="s">
        <v>26</v>
      </c>
      <c r="C12" s="22">
        <v>270000</v>
      </c>
      <c r="D12" s="22"/>
      <c r="E12" s="22"/>
      <c r="F12" s="22">
        <v>50000</v>
      </c>
      <c r="G12" s="22"/>
      <c r="H12" s="12">
        <f t="shared" si="0"/>
        <v>44153</v>
      </c>
    </row>
    <row r="13" spans="2:11" x14ac:dyDescent="0.3">
      <c r="B13" s="6" t="s">
        <v>22</v>
      </c>
      <c r="C13" s="23"/>
      <c r="D13" s="23"/>
      <c r="E13" s="23"/>
      <c r="F13" s="22"/>
      <c r="G13" s="23"/>
      <c r="H13" s="12">
        <f t="shared" si="0"/>
        <v>44153</v>
      </c>
      <c r="K13" s="4"/>
    </row>
    <row r="14" spans="2:11" x14ac:dyDescent="0.3">
      <c r="B14" s="6" t="s">
        <v>19</v>
      </c>
      <c r="C14" s="22">
        <v>162000</v>
      </c>
      <c r="D14" s="22"/>
      <c r="E14" s="22"/>
      <c r="F14" s="22"/>
      <c r="G14" s="22"/>
      <c r="H14" s="12">
        <f t="shared" si="0"/>
        <v>44153</v>
      </c>
    </row>
    <row r="15" spans="2:11" x14ac:dyDescent="0.3">
      <c r="B15" s="6" t="s">
        <v>14</v>
      </c>
      <c r="C15" s="22"/>
      <c r="D15" s="22">
        <v>216000</v>
      </c>
      <c r="E15" s="22"/>
      <c r="F15" s="22"/>
      <c r="G15" s="22"/>
      <c r="H15" s="12">
        <f t="shared" si="0"/>
        <v>44153</v>
      </c>
    </row>
    <row r="16" spans="2:11" x14ac:dyDescent="0.3">
      <c r="B16" s="6" t="s">
        <v>24</v>
      </c>
      <c r="C16" s="22">
        <v>432000</v>
      </c>
      <c r="D16" s="22"/>
      <c r="E16" s="22"/>
      <c r="F16" s="49"/>
      <c r="G16" s="22"/>
      <c r="H16" s="12">
        <f t="shared" si="0"/>
        <v>44153</v>
      </c>
    </row>
    <row r="17" spans="1:8" x14ac:dyDescent="0.3">
      <c r="B17" s="6" t="s">
        <v>21</v>
      </c>
      <c r="C17" s="22"/>
      <c r="D17" s="22"/>
      <c r="E17" s="22"/>
      <c r="F17" s="22"/>
      <c r="G17" s="22"/>
      <c r="H17" s="12">
        <f t="shared" si="0"/>
        <v>44153</v>
      </c>
    </row>
    <row r="18" spans="1:8" x14ac:dyDescent="0.3">
      <c r="B18" s="6" t="s">
        <v>18</v>
      </c>
      <c r="C18" s="22">
        <v>54000</v>
      </c>
      <c r="D18" s="22"/>
      <c r="E18" s="22"/>
      <c r="F18" s="22"/>
      <c r="G18" s="22"/>
      <c r="H18" s="12">
        <f t="shared" si="0"/>
        <v>44153</v>
      </c>
    </row>
    <row r="19" spans="1:8" x14ac:dyDescent="0.3">
      <c r="B19" s="6" t="s">
        <v>16</v>
      </c>
      <c r="C19" s="22"/>
      <c r="D19" s="22"/>
      <c r="E19" s="22"/>
      <c r="F19" s="22"/>
      <c r="G19" s="22"/>
      <c r="H19" s="12">
        <f t="shared" si="0"/>
        <v>44153</v>
      </c>
    </row>
    <row r="20" spans="1:8" x14ac:dyDescent="0.3">
      <c r="B20" s="50" t="s">
        <v>27</v>
      </c>
      <c r="C20" s="51">
        <f>SUBTOTAL(109,November18_2020[KSI_AGO])</f>
        <v>1615500</v>
      </c>
      <c r="D20" s="51">
        <f>SUBTOTAL(109,November18_2020[KSI_PMS])</f>
        <v>1566000</v>
      </c>
      <c r="E20" s="51">
        <f>SUBTOTAL(109,November18_2020[BUIPE_AGO])</f>
        <v>45000</v>
      </c>
      <c r="F20" s="51">
        <f>SUBTOTAL(109,November18_2020[BUIPE_PMS])</f>
        <v>158000</v>
      </c>
      <c r="G20" s="51">
        <f>SUBTOTAL(109,November18_2020[AKOSOMBO_AGO])</f>
        <v>0</v>
      </c>
      <c r="H20" s="52"/>
    </row>
    <row r="21" spans="1:8" x14ac:dyDescent="0.3">
      <c r="B21" s="8"/>
      <c r="C21" s="24"/>
      <c r="D21" s="24"/>
      <c r="E21" s="24"/>
      <c r="F21" s="24"/>
      <c r="G21" s="24"/>
      <c r="H21"/>
    </row>
    <row r="22" spans="1:8" x14ac:dyDescent="0.3">
      <c r="B22" s="1" t="s">
        <v>6</v>
      </c>
      <c r="C22" s="1" t="s">
        <v>4</v>
      </c>
      <c r="D22" s="5">
        <f>SUMIF(November18_2020[[#Headers],[KSI_AGO]:[AKOSOMBO_AGO]],"*"&amp;C22,November18_2020[[#Totals],[KSI_AGO]:[AKOSOMBO_AGO]])</f>
        <v>1660500</v>
      </c>
      <c r="E22" s="1" t="s">
        <v>5</v>
      </c>
      <c r="F22" s="5">
        <f>SUMIF(November18_2020[[#Headers],[KSI_AGO]:[AKOSOMBO_AGO]],"*"&amp;E22,November18_2020[[#Totals],[KSI_AGO]:[AKOSOMBO_AGO]])</f>
        <v>1724000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200-000000000000}">
      <formula1>INDIRECT("BDC_List[BDC List]")</formula1>
    </dataValidation>
  </dataValidations>
  <pageMargins left="0.7" right="0.7" top="0.75" bottom="0.75" header="0.3" footer="0.3"/>
  <tableParts count="1">
    <tablePart r:id="rId1"/>
  </tableParts>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sheetPr codeName="Sheet228"/>
  <dimension ref="A1:K32"/>
  <sheetViews>
    <sheetView topLeftCell="E1" workbookViewId="0">
      <selection activeCell="G15" sqref="G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44154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44154</v>
      </c>
    </row>
    <row r="7" spans="2:11" x14ac:dyDescent="0.3">
      <c r="B7" s="6" t="s">
        <v>37</v>
      </c>
      <c r="C7" s="22"/>
      <c r="D7" s="22">
        <v>216000</v>
      </c>
      <c r="E7" s="22"/>
      <c r="F7" s="22"/>
      <c r="G7" s="22"/>
      <c r="H7" s="67">
        <f>$G$3</f>
        <v>44154</v>
      </c>
    </row>
    <row r="8" spans="2:11" x14ac:dyDescent="0.3">
      <c r="B8" s="6" t="s">
        <v>17</v>
      </c>
      <c r="C8" s="22">
        <v>270000</v>
      </c>
      <c r="D8" s="22">
        <v>698000</v>
      </c>
      <c r="E8" s="22"/>
      <c r="F8" s="22"/>
      <c r="G8" s="22"/>
      <c r="H8" s="12">
        <f t="shared" si="0"/>
        <v>44154</v>
      </c>
    </row>
    <row r="9" spans="2:11" ht="15.6" x14ac:dyDescent="0.3">
      <c r="B9" s="34" t="s">
        <v>0</v>
      </c>
      <c r="C9" s="60">
        <v>755500</v>
      </c>
      <c r="D9" s="60"/>
      <c r="E9" s="60"/>
      <c r="F9" s="60"/>
      <c r="G9" s="61">
        <v>270000</v>
      </c>
      <c r="H9" s="12">
        <f t="shared" si="0"/>
        <v>44154</v>
      </c>
    </row>
    <row r="10" spans="2:11" x14ac:dyDescent="0.3">
      <c r="B10" s="6" t="s">
        <v>25</v>
      </c>
      <c r="C10" s="22"/>
      <c r="D10" s="22"/>
      <c r="E10" s="22"/>
      <c r="F10" s="22"/>
      <c r="G10" s="22"/>
      <c r="H10" s="12">
        <f t="shared" si="0"/>
        <v>44154</v>
      </c>
    </row>
    <row r="11" spans="2:11" x14ac:dyDescent="0.3">
      <c r="B11" s="6" t="s">
        <v>15</v>
      </c>
      <c r="C11" s="22"/>
      <c r="D11" s="22"/>
      <c r="E11" s="22"/>
      <c r="F11" s="48">
        <v>45000</v>
      </c>
      <c r="G11" s="22"/>
      <c r="H11" s="12">
        <f t="shared" si="0"/>
        <v>44154</v>
      </c>
    </row>
    <row r="12" spans="2:11" x14ac:dyDescent="0.3">
      <c r="B12" s="6" t="s">
        <v>26</v>
      </c>
      <c r="C12" s="22">
        <v>324000</v>
      </c>
      <c r="D12" s="22"/>
      <c r="E12" s="22"/>
      <c r="F12" s="22"/>
      <c r="G12" s="22"/>
      <c r="H12" s="12">
        <f t="shared" si="0"/>
        <v>44154</v>
      </c>
    </row>
    <row r="13" spans="2:11" x14ac:dyDescent="0.3">
      <c r="B13" s="6" t="s">
        <v>22</v>
      </c>
      <c r="C13" s="23"/>
      <c r="D13" s="23"/>
      <c r="E13" s="23"/>
      <c r="F13" s="22"/>
      <c r="G13" s="23"/>
      <c r="H13" s="12">
        <f t="shared" si="0"/>
        <v>44154</v>
      </c>
      <c r="K13" s="4"/>
    </row>
    <row r="14" spans="2:11" x14ac:dyDescent="0.3">
      <c r="B14" s="6" t="s">
        <v>19</v>
      </c>
      <c r="C14" s="22"/>
      <c r="D14" s="22">
        <v>50000</v>
      </c>
      <c r="E14" s="22"/>
      <c r="F14" s="22"/>
      <c r="G14" s="22"/>
      <c r="H14" s="12">
        <f t="shared" si="0"/>
        <v>44154</v>
      </c>
    </row>
    <row r="15" spans="2:11" x14ac:dyDescent="0.3">
      <c r="B15" s="6" t="s">
        <v>14</v>
      </c>
      <c r="C15" s="22">
        <v>319500</v>
      </c>
      <c r="D15" s="22">
        <v>45000</v>
      </c>
      <c r="E15" s="22"/>
      <c r="F15" s="22">
        <v>95000</v>
      </c>
      <c r="G15" s="22"/>
      <c r="H15" s="12">
        <f t="shared" si="0"/>
        <v>44154</v>
      </c>
    </row>
    <row r="16" spans="2:11" x14ac:dyDescent="0.3">
      <c r="B16" s="6" t="s">
        <v>24</v>
      </c>
      <c r="C16" s="22">
        <v>432000</v>
      </c>
      <c r="D16" s="22"/>
      <c r="E16" s="22"/>
      <c r="F16" s="49"/>
      <c r="G16" s="22"/>
      <c r="H16" s="12">
        <f t="shared" si="0"/>
        <v>44154</v>
      </c>
    </row>
    <row r="17" spans="1:8" x14ac:dyDescent="0.3">
      <c r="B17" s="6" t="s">
        <v>21</v>
      </c>
      <c r="C17" s="22"/>
      <c r="D17" s="22"/>
      <c r="E17" s="22"/>
      <c r="F17" s="22"/>
      <c r="G17" s="22"/>
      <c r="H17" s="12">
        <f t="shared" si="0"/>
        <v>44154</v>
      </c>
    </row>
    <row r="18" spans="1:8" x14ac:dyDescent="0.3">
      <c r="B18" s="6" t="s">
        <v>18</v>
      </c>
      <c r="C18" s="22"/>
      <c r="D18" s="22"/>
      <c r="E18" s="22"/>
      <c r="F18" s="22"/>
      <c r="G18" s="22"/>
      <c r="H18" s="12">
        <f t="shared" si="0"/>
        <v>44154</v>
      </c>
    </row>
    <row r="19" spans="1:8" x14ac:dyDescent="0.3">
      <c r="B19" s="6" t="s">
        <v>16</v>
      </c>
      <c r="C19" s="22">
        <v>52000</v>
      </c>
      <c r="D19" s="22"/>
      <c r="E19" s="22"/>
      <c r="F19" s="22">
        <v>45000</v>
      </c>
      <c r="G19" s="22"/>
      <c r="H19" s="12">
        <f t="shared" si="0"/>
        <v>44154</v>
      </c>
    </row>
    <row r="20" spans="1:8" x14ac:dyDescent="0.3">
      <c r="B20" s="50" t="s">
        <v>27</v>
      </c>
      <c r="C20" s="51">
        <f>SUBTOTAL(109,November19_2020[KSI_AGO])</f>
        <v>2153000</v>
      </c>
      <c r="D20" s="51">
        <f>SUBTOTAL(109,November19_2020[KSI_PMS])</f>
        <v>1009000</v>
      </c>
      <c r="E20" s="51">
        <f>SUBTOTAL(109,November19_2020[BUIPE_AGO])</f>
        <v>0</v>
      </c>
      <c r="F20" s="51">
        <f>SUBTOTAL(109,November19_2020[BUIPE_PMS])</f>
        <v>185000</v>
      </c>
      <c r="G20" s="51">
        <f>SUBTOTAL(109,November19_2020[AKOSOMBO_AGO])</f>
        <v>270000</v>
      </c>
      <c r="H20" s="52"/>
    </row>
    <row r="21" spans="1:8" x14ac:dyDescent="0.3">
      <c r="B21" s="8"/>
      <c r="C21" s="24"/>
      <c r="D21" s="24"/>
      <c r="E21" s="24"/>
      <c r="F21" s="24"/>
      <c r="G21" s="24"/>
      <c r="H21"/>
    </row>
    <row r="22" spans="1:8" x14ac:dyDescent="0.3">
      <c r="B22" s="1" t="s">
        <v>6</v>
      </c>
      <c r="C22" s="1" t="s">
        <v>4</v>
      </c>
      <c r="D22" s="5">
        <f>SUMIF(November19_2020[[#Headers],[KSI_AGO]:[AKOSOMBO_AGO]],"*"&amp;C22,November19_2020[[#Totals],[KSI_AGO]:[AKOSOMBO_AGO]])</f>
        <v>2423000</v>
      </c>
      <c r="E22" s="1" t="s">
        <v>5</v>
      </c>
      <c r="F22" s="5">
        <f>SUMIF(November19_2020[[#Headers],[KSI_AGO]:[AKOSOMBO_AGO]],"*"&amp;E22,November19_2020[[#Totals],[KSI_AGO]:[AKOSOMBO_AGO]])</f>
        <v>1194000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300-000000000000}">
      <formula1>INDIRECT("BDC_List[BDC List]")</formula1>
    </dataValidation>
  </dataValidations>
  <pageMargins left="0.7" right="0.7" top="0.75" bottom="0.75" header="0.3" footer="0.3"/>
  <tableParts count="1">
    <tablePart r:id="rId1"/>
  </tableParts>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sheetPr codeName="Sheet229"/>
  <dimension ref="A1:K32"/>
  <sheetViews>
    <sheetView workbookViewId="0">
      <selection activeCell="G15" sqref="G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44155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44155</v>
      </c>
    </row>
    <row r="7" spans="2:11" x14ac:dyDescent="0.3">
      <c r="B7" s="6" t="s">
        <v>37</v>
      </c>
      <c r="C7" s="22"/>
      <c r="D7" s="22"/>
      <c r="E7" s="22"/>
      <c r="F7" s="22"/>
      <c r="G7" s="22"/>
      <c r="H7" s="67">
        <f>$G$3</f>
        <v>44155</v>
      </c>
    </row>
    <row r="8" spans="2:11" x14ac:dyDescent="0.3">
      <c r="B8" s="6" t="s">
        <v>17</v>
      </c>
      <c r="C8" s="22">
        <v>432000</v>
      </c>
      <c r="D8" s="22"/>
      <c r="E8" s="22"/>
      <c r="F8" s="22"/>
      <c r="G8" s="22"/>
      <c r="H8" s="12">
        <f t="shared" si="0"/>
        <v>44155</v>
      </c>
    </row>
    <row r="9" spans="2:11" ht="15.6" x14ac:dyDescent="0.3">
      <c r="B9" s="34" t="s">
        <v>0</v>
      </c>
      <c r="C9" s="60">
        <v>378000</v>
      </c>
      <c r="D9" s="60"/>
      <c r="E9" s="60"/>
      <c r="F9" s="60"/>
      <c r="G9" s="61">
        <v>324000</v>
      </c>
      <c r="H9" s="12">
        <f t="shared" si="0"/>
        <v>44155</v>
      </c>
    </row>
    <row r="10" spans="2:11" x14ac:dyDescent="0.3">
      <c r="B10" s="6" t="s">
        <v>25</v>
      </c>
      <c r="C10" s="22"/>
      <c r="D10" s="22">
        <v>968000</v>
      </c>
      <c r="E10" s="22"/>
      <c r="F10" s="22">
        <v>972000</v>
      </c>
      <c r="G10" s="22"/>
      <c r="H10" s="12">
        <f t="shared" si="0"/>
        <v>44155</v>
      </c>
    </row>
    <row r="11" spans="2:11" x14ac:dyDescent="0.3">
      <c r="B11" s="6" t="s">
        <v>15</v>
      </c>
      <c r="C11" s="22"/>
      <c r="D11" s="22"/>
      <c r="E11" s="22"/>
      <c r="F11" s="48"/>
      <c r="G11" s="22"/>
      <c r="H11" s="12">
        <f t="shared" si="0"/>
        <v>44155</v>
      </c>
    </row>
    <row r="12" spans="2:11" x14ac:dyDescent="0.3">
      <c r="B12" s="6" t="s">
        <v>26</v>
      </c>
      <c r="C12" s="22">
        <v>108000</v>
      </c>
      <c r="D12" s="22"/>
      <c r="E12" s="22"/>
      <c r="F12" s="22"/>
      <c r="G12" s="22"/>
      <c r="H12" s="12">
        <f t="shared" si="0"/>
        <v>44155</v>
      </c>
    </row>
    <row r="13" spans="2:11" x14ac:dyDescent="0.3">
      <c r="B13" s="6" t="s">
        <v>22</v>
      </c>
      <c r="C13" s="23"/>
      <c r="D13" s="23"/>
      <c r="E13" s="23"/>
      <c r="F13" s="22"/>
      <c r="G13" s="23"/>
      <c r="H13" s="12">
        <f t="shared" si="0"/>
        <v>44155</v>
      </c>
      <c r="K13" s="4"/>
    </row>
    <row r="14" spans="2:11" x14ac:dyDescent="0.3">
      <c r="B14" s="6" t="s">
        <v>19</v>
      </c>
      <c r="C14" s="22"/>
      <c r="D14" s="22"/>
      <c r="E14" s="22">
        <v>486000</v>
      </c>
      <c r="F14" s="22"/>
      <c r="G14" s="22"/>
      <c r="H14" s="12">
        <f t="shared" si="0"/>
        <v>44155</v>
      </c>
    </row>
    <row r="15" spans="2:11" x14ac:dyDescent="0.3">
      <c r="B15" s="6" t="s">
        <v>14</v>
      </c>
      <c r="C15" s="22">
        <v>481000</v>
      </c>
      <c r="D15" s="22"/>
      <c r="E15" s="22"/>
      <c r="F15" s="22">
        <v>90000</v>
      </c>
      <c r="G15" s="22"/>
      <c r="H15" s="12">
        <f t="shared" si="0"/>
        <v>44155</v>
      </c>
    </row>
    <row r="16" spans="2:11" x14ac:dyDescent="0.3">
      <c r="B16" s="6" t="s">
        <v>24</v>
      </c>
      <c r="C16" s="22"/>
      <c r="D16" s="22"/>
      <c r="E16" s="22"/>
      <c r="F16" s="49"/>
      <c r="G16" s="22"/>
      <c r="H16" s="12">
        <f t="shared" si="0"/>
        <v>44155</v>
      </c>
    </row>
    <row r="17" spans="1:8" x14ac:dyDescent="0.3">
      <c r="B17" s="6" t="s">
        <v>21</v>
      </c>
      <c r="C17" s="22"/>
      <c r="D17" s="22"/>
      <c r="E17" s="22"/>
      <c r="F17" s="22"/>
      <c r="G17" s="22"/>
      <c r="H17" s="12">
        <f t="shared" si="0"/>
        <v>44155</v>
      </c>
    </row>
    <row r="18" spans="1:8" x14ac:dyDescent="0.3">
      <c r="B18" s="6" t="s">
        <v>18</v>
      </c>
      <c r="C18" s="22"/>
      <c r="D18" s="22"/>
      <c r="E18" s="22"/>
      <c r="F18" s="22"/>
      <c r="G18" s="22"/>
      <c r="H18" s="12">
        <f t="shared" si="0"/>
        <v>44155</v>
      </c>
    </row>
    <row r="19" spans="1:8" x14ac:dyDescent="0.3">
      <c r="B19" s="6" t="s">
        <v>16</v>
      </c>
      <c r="C19" s="22"/>
      <c r="D19" s="22"/>
      <c r="E19" s="22"/>
      <c r="F19" s="22"/>
      <c r="G19" s="22"/>
      <c r="H19" s="12">
        <f t="shared" si="0"/>
        <v>44155</v>
      </c>
    </row>
    <row r="20" spans="1:8" x14ac:dyDescent="0.3">
      <c r="B20" s="50" t="s">
        <v>27</v>
      </c>
      <c r="C20" s="51">
        <f>SUBTOTAL(109,November20_2020[KSI_AGO])</f>
        <v>1399000</v>
      </c>
      <c r="D20" s="51">
        <f>SUBTOTAL(109,November20_2020[KSI_PMS])</f>
        <v>968000</v>
      </c>
      <c r="E20" s="51">
        <f>SUBTOTAL(109,November20_2020[BUIPE_AGO])</f>
        <v>486000</v>
      </c>
      <c r="F20" s="51">
        <f>SUBTOTAL(109,November20_2020[BUIPE_PMS])</f>
        <v>1062000</v>
      </c>
      <c r="G20" s="51">
        <f>SUBTOTAL(109,November20_2020[AKOSOMBO_AGO])</f>
        <v>324000</v>
      </c>
      <c r="H20" s="52"/>
    </row>
    <row r="21" spans="1:8" x14ac:dyDescent="0.3">
      <c r="B21" s="8"/>
      <c r="C21" s="24"/>
      <c r="D21" s="24"/>
      <c r="E21" s="24"/>
      <c r="F21" s="24"/>
      <c r="G21" s="24"/>
      <c r="H21"/>
    </row>
    <row r="22" spans="1:8" x14ac:dyDescent="0.3">
      <c r="B22" s="1" t="s">
        <v>6</v>
      </c>
      <c r="C22" s="1" t="s">
        <v>4</v>
      </c>
      <c r="D22" s="5">
        <f>SUMIF(November20_2020[[#Headers],[KSI_AGO]:[AKOSOMBO_AGO]],"*"&amp;C22,November20_2020[[#Totals],[KSI_AGO]:[AKOSOMBO_AGO]])</f>
        <v>2209000</v>
      </c>
      <c r="E22" s="1" t="s">
        <v>5</v>
      </c>
      <c r="F22" s="5">
        <f>SUMIF(November20_2020[[#Headers],[KSI_AGO]:[AKOSOMBO_AGO]],"*"&amp;E22,November20_2020[[#Totals],[KSI_AGO]:[AKOSOMBO_AGO]])</f>
        <v>2030000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400-000000000000}">
      <formula1>INDIRECT("BDC_List[BDC List]")</formula1>
    </dataValidation>
  </dataValidations>
  <pageMargins left="0.7" right="0.7" top="0.75" bottom="0.75" header="0.3" footer="0.3"/>
  <tableParts count="1">
    <tablePart r:id="rId1"/>
  </tableParts>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sheetPr codeName="Sheet230"/>
  <dimension ref="A1:K32"/>
  <sheetViews>
    <sheetView topLeftCell="E1" workbookViewId="0">
      <selection activeCell="G11" sqref="G11"/>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44156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44156</v>
      </c>
    </row>
    <row r="7" spans="2:11" x14ac:dyDescent="0.3">
      <c r="B7" s="6" t="s">
        <v>37</v>
      </c>
      <c r="C7" s="22"/>
      <c r="D7" s="22"/>
      <c r="E7" s="22"/>
      <c r="F7" s="22"/>
      <c r="G7" s="22"/>
      <c r="H7" s="67">
        <f>$G$3</f>
        <v>44156</v>
      </c>
    </row>
    <row r="8" spans="2:11" x14ac:dyDescent="0.3">
      <c r="B8" s="6" t="s">
        <v>17</v>
      </c>
      <c r="C8" s="22">
        <v>432000</v>
      </c>
      <c r="D8" s="22"/>
      <c r="E8" s="22"/>
      <c r="F8" s="22"/>
      <c r="G8" s="22"/>
      <c r="H8" s="12">
        <f t="shared" si="0"/>
        <v>44156</v>
      </c>
    </row>
    <row r="9" spans="2:11" ht="15.6" x14ac:dyDescent="0.3">
      <c r="B9" s="34" t="s">
        <v>0</v>
      </c>
      <c r="C9" s="60"/>
      <c r="D9" s="60"/>
      <c r="E9" s="60"/>
      <c r="F9" s="60"/>
      <c r="G9" s="61"/>
      <c r="H9" s="12">
        <f t="shared" si="0"/>
        <v>44156</v>
      </c>
    </row>
    <row r="10" spans="2:11" x14ac:dyDescent="0.3">
      <c r="B10" s="6" t="s">
        <v>25</v>
      </c>
      <c r="C10" s="22"/>
      <c r="D10" s="22">
        <v>1336500</v>
      </c>
      <c r="E10" s="22"/>
      <c r="F10" s="22">
        <v>590000</v>
      </c>
      <c r="G10" s="22"/>
      <c r="H10" s="12">
        <f t="shared" si="0"/>
        <v>44156</v>
      </c>
    </row>
    <row r="11" spans="2:11" x14ac:dyDescent="0.3">
      <c r="B11" s="6" t="s">
        <v>15</v>
      </c>
      <c r="C11" s="22"/>
      <c r="D11" s="22"/>
      <c r="E11" s="22"/>
      <c r="F11" s="48">
        <v>45000</v>
      </c>
      <c r="G11" s="22"/>
      <c r="H11" s="12">
        <f t="shared" si="0"/>
        <v>44156</v>
      </c>
    </row>
    <row r="12" spans="2:11" x14ac:dyDescent="0.3">
      <c r="B12" s="6" t="s">
        <v>26</v>
      </c>
      <c r="C12" s="22"/>
      <c r="D12" s="22"/>
      <c r="E12" s="22"/>
      <c r="F12" s="22"/>
      <c r="G12" s="22"/>
      <c r="H12" s="12">
        <f t="shared" si="0"/>
        <v>44156</v>
      </c>
    </row>
    <row r="13" spans="2:11" x14ac:dyDescent="0.3">
      <c r="B13" s="6" t="s">
        <v>22</v>
      </c>
      <c r="C13" s="23"/>
      <c r="D13" s="23"/>
      <c r="E13" s="23"/>
      <c r="F13" s="22"/>
      <c r="G13" s="23"/>
      <c r="H13" s="12">
        <f t="shared" si="0"/>
        <v>44156</v>
      </c>
      <c r="K13" s="4"/>
    </row>
    <row r="14" spans="2:11" x14ac:dyDescent="0.3">
      <c r="B14" s="6" t="s">
        <v>19</v>
      </c>
      <c r="C14" s="22"/>
      <c r="D14" s="22"/>
      <c r="E14" s="22"/>
      <c r="F14" s="22"/>
      <c r="G14" s="22"/>
      <c r="H14" s="12">
        <f t="shared" si="0"/>
        <v>44156</v>
      </c>
    </row>
    <row r="15" spans="2:11" x14ac:dyDescent="0.3">
      <c r="B15" s="6" t="s">
        <v>14</v>
      </c>
      <c r="C15" s="22">
        <v>540000</v>
      </c>
      <c r="D15" s="22"/>
      <c r="E15" s="22"/>
      <c r="F15" s="22"/>
      <c r="G15" s="22"/>
      <c r="H15" s="12">
        <f t="shared" si="0"/>
        <v>44156</v>
      </c>
    </row>
    <row r="16" spans="2:11" x14ac:dyDescent="0.3">
      <c r="B16" s="6" t="s">
        <v>24</v>
      </c>
      <c r="C16" s="22">
        <v>486000</v>
      </c>
      <c r="D16" s="22"/>
      <c r="E16" s="22"/>
      <c r="F16" s="49"/>
      <c r="G16" s="22"/>
      <c r="H16" s="12">
        <f t="shared" si="0"/>
        <v>44156</v>
      </c>
    </row>
    <row r="17" spans="1:8" x14ac:dyDescent="0.3">
      <c r="B17" s="6" t="s">
        <v>21</v>
      </c>
      <c r="C17" s="22"/>
      <c r="D17" s="22"/>
      <c r="E17" s="22"/>
      <c r="F17" s="22"/>
      <c r="G17" s="22"/>
      <c r="H17" s="12">
        <f t="shared" si="0"/>
        <v>44156</v>
      </c>
    </row>
    <row r="18" spans="1:8" x14ac:dyDescent="0.3">
      <c r="B18" s="6" t="s">
        <v>18</v>
      </c>
      <c r="C18" s="22"/>
      <c r="D18" s="22"/>
      <c r="E18" s="22"/>
      <c r="F18" s="22"/>
      <c r="G18" s="22"/>
      <c r="H18" s="12">
        <f t="shared" si="0"/>
        <v>44156</v>
      </c>
    </row>
    <row r="19" spans="1:8" x14ac:dyDescent="0.3">
      <c r="B19" s="6" t="s">
        <v>16</v>
      </c>
      <c r="C19" s="22">
        <v>324000</v>
      </c>
      <c r="D19" s="22"/>
      <c r="E19" s="22">
        <v>810000</v>
      </c>
      <c r="F19" s="22"/>
      <c r="G19" s="22"/>
      <c r="H19" s="12">
        <f t="shared" si="0"/>
        <v>44156</v>
      </c>
    </row>
    <row r="20" spans="1:8" x14ac:dyDescent="0.3">
      <c r="B20" s="50" t="s">
        <v>27</v>
      </c>
      <c r="C20" s="72">
        <f>SUBTOTAL(109,November21_2020[KSI_AGO])</f>
        <v>1782000</v>
      </c>
      <c r="D20" s="51">
        <f>SUBTOTAL(109,November21_2020[KSI_PMS])</f>
        <v>1336500</v>
      </c>
      <c r="E20" s="51">
        <f>SUBTOTAL(109,November21_2020[BUIPE_AGO])</f>
        <v>810000</v>
      </c>
      <c r="F20" s="51">
        <f>SUBTOTAL(109,November21_2020[BUIPE_PMS])</f>
        <v>635000</v>
      </c>
      <c r="G20" s="51">
        <f>SUBTOTAL(109,November21_2020[AKOSOMBO_AGO])</f>
        <v>0</v>
      </c>
      <c r="H20" s="52"/>
    </row>
    <row r="21" spans="1:8" x14ac:dyDescent="0.3">
      <c r="B21" s="8"/>
      <c r="C21" s="24"/>
      <c r="D21" s="24"/>
      <c r="E21" s="24"/>
      <c r="F21" s="24"/>
      <c r="G21" s="24"/>
      <c r="H21"/>
    </row>
    <row r="22" spans="1:8" x14ac:dyDescent="0.3">
      <c r="B22" s="1" t="s">
        <v>6</v>
      </c>
      <c r="C22" s="1" t="s">
        <v>4</v>
      </c>
      <c r="D22" s="5">
        <f>SUMIF(November21_2020[[#Headers],[KSI_AGO]:[AKOSOMBO_AGO]],"*"&amp;C22,November21_2020[[#Totals],[KSI_AGO]:[AKOSOMBO_AGO]])</f>
        <v>2592000</v>
      </c>
      <c r="E22" s="1" t="s">
        <v>5</v>
      </c>
      <c r="F22" s="5">
        <f>SUMIF(November21_2020[[#Headers],[KSI_AGO]:[AKOSOMBO_AGO]],"*"&amp;E22,November21_2020[[#Totals],[KSI_AGO]:[AKOSOMBO_AGO]])</f>
        <v>1971500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500-000000000000}">
      <formula1>INDIRECT("BDC_List[BDC List]")</formula1>
    </dataValidation>
  </dataValidations>
  <pageMargins left="0.7" right="0.7" top="0.75" bottom="0.75" header="0.3" footer="0.3"/>
  <tableParts count="1">
    <tablePart r:id="rId1"/>
  </tableParts>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sheetPr codeName="Sheet231"/>
  <dimension ref="A1:K32"/>
  <sheetViews>
    <sheetView workbookViewId="0">
      <selection activeCell="G27" sqref="G27"/>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44158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44158</v>
      </c>
    </row>
    <row r="7" spans="2:11" x14ac:dyDescent="0.3">
      <c r="B7" s="6" t="s">
        <v>37</v>
      </c>
      <c r="C7" s="22"/>
      <c r="D7" s="22"/>
      <c r="E7" s="22"/>
      <c r="F7" s="22"/>
      <c r="G7" s="22"/>
      <c r="H7" s="67">
        <f>$G$3</f>
        <v>44158</v>
      </c>
    </row>
    <row r="8" spans="2:11" x14ac:dyDescent="0.3">
      <c r="B8" s="6" t="s">
        <v>17</v>
      </c>
      <c r="C8" s="22">
        <v>270000</v>
      </c>
      <c r="D8" s="22"/>
      <c r="E8" s="22"/>
      <c r="F8" s="22"/>
      <c r="G8" s="22"/>
      <c r="H8" s="12">
        <f t="shared" si="0"/>
        <v>44158</v>
      </c>
    </row>
    <row r="9" spans="2:11" ht="15.6" x14ac:dyDescent="0.3">
      <c r="B9" s="34" t="s">
        <v>0</v>
      </c>
      <c r="C9" s="60"/>
      <c r="D9" s="60"/>
      <c r="E9" s="60"/>
      <c r="F9" s="60"/>
      <c r="G9" s="61"/>
      <c r="H9" s="12">
        <f t="shared" si="0"/>
        <v>44158</v>
      </c>
    </row>
    <row r="10" spans="2:11" x14ac:dyDescent="0.3">
      <c r="B10" s="6" t="s">
        <v>25</v>
      </c>
      <c r="C10" s="22"/>
      <c r="D10" s="22">
        <v>540000</v>
      </c>
      <c r="E10" s="22"/>
      <c r="F10" s="22">
        <v>378000</v>
      </c>
      <c r="G10" s="22"/>
      <c r="H10" s="12">
        <f t="shared" si="0"/>
        <v>44158</v>
      </c>
    </row>
    <row r="11" spans="2:11" x14ac:dyDescent="0.3">
      <c r="B11" s="6" t="s">
        <v>15</v>
      </c>
      <c r="C11" s="22"/>
      <c r="D11" s="22"/>
      <c r="E11" s="22"/>
      <c r="F11" s="48"/>
      <c r="G11" s="22"/>
      <c r="H11" s="12">
        <f t="shared" si="0"/>
        <v>44158</v>
      </c>
    </row>
    <row r="12" spans="2:11" x14ac:dyDescent="0.3">
      <c r="B12" s="6" t="s">
        <v>26</v>
      </c>
      <c r="C12" s="22"/>
      <c r="D12" s="22"/>
      <c r="E12" s="22"/>
      <c r="F12" s="22"/>
      <c r="G12" s="22"/>
      <c r="H12" s="12">
        <f t="shared" si="0"/>
        <v>44158</v>
      </c>
    </row>
    <row r="13" spans="2:11" x14ac:dyDescent="0.3">
      <c r="B13" s="6" t="s">
        <v>22</v>
      </c>
      <c r="C13" s="23"/>
      <c r="D13" s="23"/>
      <c r="E13" s="23"/>
      <c r="F13" s="22"/>
      <c r="G13" s="23"/>
      <c r="H13" s="12">
        <f t="shared" si="0"/>
        <v>44158</v>
      </c>
      <c r="K13" s="4"/>
    </row>
    <row r="14" spans="2:11" x14ac:dyDescent="0.3">
      <c r="B14" s="6" t="s">
        <v>19</v>
      </c>
      <c r="C14" s="22"/>
      <c r="D14" s="22"/>
      <c r="E14" s="22"/>
      <c r="F14" s="22"/>
      <c r="G14" s="22"/>
      <c r="H14" s="12">
        <f t="shared" si="0"/>
        <v>44158</v>
      </c>
    </row>
    <row r="15" spans="2:11" x14ac:dyDescent="0.3">
      <c r="B15" s="6" t="s">
        <v>14</v>
      </c>
      <c r="C15" s="22">
        <v>373500</v>
      </c>
      <c r="D15" s="22"/>
      <c r="E15" s="22"/>
      <c r="F15" s="22"/>
      <c r="G15" s="22"/>
      <c r="H15" s="12">
        <f t="shared" si="0"/>
        <v>44158</v>
      </c>
    </row>
    <row r="16" spans="2:11" x14ac:dyDescent="0.3">
      <c r="B16" s="6" t="s">
        <v>24</v>
      </c>
      <c r="C16" s="22">
        <v>486000</v>
      </c>
      <c r="D16" s="22"/>
      <c r="E16" s="22"/>
      <c r="F16" s="49"/>
      <c r="G16" s="22"/>
      <c r="H16" s="12">
        <f t="shared" si="0"/>
        <v>44158</v>
      </c>
    </row>
    <row r="17" spans="1:8" x14ac:dyDescent="0.3">
      <c r="B17" s="6" t="s">
        <v>21</v>
      </c>
      <c r="C17" s="22"/>
      <c r="D17" s="22"/>
      <c r="E17" s="22"/>
      <c r="F17" s="22"/>
      <c r="G17" s="22"/>
      <c r="H17" s="12">
        <f t="shared" si="0"/>
        <v>44158</v>
      </c>
    </row>
    <row r="18" spans="1:8" x14ac:dyDescent="0.3">
      <c r="B18" s="6" t="s">
        <v>18</v>
      </c>
      <c r="C18" s="22"/>
      <c r="D18" s="22"/>
      <c r="E18" s="22"/>
      <c r="F18" s="22"/>
      <c r="G18" s="22"/>
      <c r="H18" s="12">
        <f t="shared" si="0"/>
        <v>44158</v>
      </c>
    </row>
    <row r="19" spans="1:8" x14ac:dyDescent="0.3">
      <c r="B19" s="6" t="s">
        <v>16</v>
      </c>
      <c r="C19" s="22">
        <v>324000</v>
      </c>
      <c r="D19" s="22"/>
      <c r="E19" s="22">
        <v>198000</v>
      </c>
      <c r="F19" s="22"/>
      <c r="G19" s="22"/>
      <c r="H19" s="12">
        <f t="shared" si="0"/>
        <v>44158</v>
      </c>
    </row>
    <row r="20" spans="1:8" x14ac:dyDescent="0.3">
      <c r="B20" s="50" t="s">
        <v>27</v>
      </c>
      <c r="C20" s="72">
        <f>SUBTOTAL(109,November23_2020[KSI_AGO])</f>
        <v>1453500</v>
      </c>
      <c r="D20" s="51">
        <f>SUBTOTAL(109,November23_2020[KSI_PMS])</f>
        <v>540000</v>
      </c>
      <c r="E20" s="51">
        <f>SUBTOTAL(109,November23_2020[BUIPE_AGO])</f>
        <v>198000</v>
      </c>
      <c r="F20" s="51">
        <f>SUBTOTAL(109,November23_2020[BUIPE_PMS])</f>
        <v>378000</v>
      </c>
      <c r="G20" s="51">
        <f>SUBTOTAL(109,November23_2020[AKOSOMBO_AGO])</f>
        <v>0</v>
      </c>
      <c r="H20" s="52"/>
    </row>
    <row r="21" spans="1:8" x14ac:dyDescent="0.3">
      <c r="B21" s="8"/>
      <c r="C21" s="24"/>
      <c r="D21" s="24"/>
      <c r="E21" s="24"/>
      <c r="F21" s="24"/>
      <c r="G21" s="24"/>
      <c r="H21"/>
    </row>
    <row r="22" spans="1:8" x14ac:dyDescent="0.3">
      <c r="B22" s="1" t="s">
        <v>6</v>
      </c>
      <c r="C22" s="1" t="s">
        <v>4</v>
      </c>
      <c r="D22" s="5">
        <f>SUMIF(November23_2020[[#Headers],[KSI_AGO]:[AKOSOMBO_AGO]],"*"&amp;C22,November23_2020[[#Totals],[KSI_AGO]:[AKOSOMBO_AGO]])</f>
        <v>1651500</v>
      </c>
      <c r="E22" s="1" t="s">
        <v>5</v>
      </c>
      <c r="F22" s="5">
        <f>SUMIF(November23_2020[[#Headers],[KSI_AGO]:[AKOSOMBO_AGO]],"*"&amp;E22,November23_2020[[#Totals],[KSI_AGO]:[AKOSOMBO_AGO]])</f>
        <v>918000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600-000000000000}">
      <formula1>INDIRECT("BDC_List[BDC List]")</formula1>
    </dataValidation>
  </dataValidations>
  <pageMargins left="0.7" right="0.7" top="0.75" bottom="0.75" header="0.3" footer="0.3"/>
  <tableParts count="1">
    <tablePart r:id="rId1"/>
  </tableParts>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sheetPr codeName="Sheet232"/>
  <dimension ref="A1:K32"/>
  <sheetViews>
    <sheetView workbookViewId="0">
      <selection activeCell="C9" sqref="C9"/>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44159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44159</v>
      </c>
    </row>
    <row r="7" spans="2:11" x14ac:dyDescent="0.3">
      <c r="B7" s="6" t="s">
        <v>37</v>
      </c>
      <c r="C7" s="22"/>
      <c r="D7" s="22"/>
      <c r="E7" s="22"/>
      <c r="F7" s="22"/>
      <c r="G7" s="22"/>
      <c r="H7" s="67">
        <f>$G$3</f>
        <v>44159</v>
      </c>
    </row>
    <row r="8" spans="2:11" x14ac:dyDescent="0.3">
      <c r="B8" s="6" t="s">
        <v>17</v>
      </c>
      <c r="C8" s="22">
        <v>216000</v>
      </c>
      <c r="D8" s="22"/>
      <c r="E8" s="22"/>
      <c r="F8" s="22"/>
      <c r="G8" s="22"/>
      <c r="H8" s="12">
        <f t="shared" si="0"/>
        <v>44159</v>
      </c>
    </row>
    <row r="9" spans="2:11" ht="15.6" x14ac:dyDescent="0.3">
      <c r="B9" s="34" t="s">
        <v>0</v>
      </c>
      <c r="C9" s="60"/>
      <c r="D9" s="60"/>
      <c r="E9" s="60"/>
      <c r="F9" s="60"/>
      <c r="G9" s="61"/>
      <c r="H9" s="12">
        <f t="shared" si="0"/>
        <v>44159</v>
      </c>
    </row>
    <row r="10" spans="2:11" x14ac:dyDescent="0.3">
      <c r="B10" s="6" t="s">
        <v>25</v>
      </c>
      <c r="C10" s="22"/>
      <c r="D10" s="22">
        <v>54000</v>
      </c>
      <c r="E10" s="22"/>
      <c r="F10" s="22">
        <v>54000</v>
      </c>
      <c r="G10" s="22"/>
      <c r="H10" s="12">
        <f t="shared" si="0"/>
        <v>44159</v>
      </c>
    </row>
    <row r="11" spans="2:11" x14ac:dyDescent="0.3">
      <c r="B11" s="6" t="s">
        <v>15</v>
      </c>
      <c r="C11" s="22"/>
      <c r="D11" s="22"/>
      <c r="E11" s="22"/>
      <c r="F11" s="48"/>
      <c r="G11" s="22"/>
      <c r="H11" s="12">
        <f t="shared" si="0"/>
        <v>44159</v>
      </c>
    </row>
    <row r="12" spans="2:11" x14ac:dyDescent="0.3">
      <c r="B12" s="6" t="s">
        <v>26</v>
      </c>
      <c r="C12" s="22"/>
      <c r="D12" s="22"/>
      <c r="E12" s="22"/>
      <c r="F12" s="22"/>
      <c r="G12" s="22"/>
      <c r="H12" s="12">
        <f t="shared" si="0"/>
        <v>44159</v>
      </c>
    </row>
    <row r="13" spans="2:11" x14ac:dyDescent="0.3">
      <c r="B13" s="6" t="s">
        <v>22</v>
      </c>
      <c r="C13" s="23"/>
      <c r="D13" s="23"/>
      <c r="E13" s="23"/>
      <c r="F13" s="22"/>
      <c r="G13" s="23"/>
      <c r="H13" s="12">
        <f t="shared" si="0"/>
        <v>44159</v>
      </c>
      <c r="K13" s="4"/>
    </row>
    <row r="14" spans="2:11" x14ac:dyDescent="0.3">
      <c r="B14" s="6" t="s">
        <v>19</v>
      </c>
      <c r="C14" s="22"/>
      <c r="D14" s="22"/>
      <c r="E14" s="22"/>
      <c r="F14" s="22"/>
      <c r="G14" s="22"/>
      <c r="H14" s="12">
        <f t="shared" si="0"/>
        <v>44159</v>
      </c>
    </row>
    <row r="15" spans="2:11" x14ac:dyDescent="0.3">
      <c r="B15" s="6" t="s">
        <v>14</v>
      </c>
      <c r="C15" s="22">
        <v>644000</v>
      </c>
      <c r="D15" s="22"/>
      <c r="E15" s="22"/>
      <c r="F15" s="22"/>
      <c r="G15" s="22"/>
      <c r="H15" s="12">
        <f t="shared" si="0"/>
        <v>44159</v>
      </c>
    </row>
    <row r="16" spans="2:11" x14ac:dyDescent="0.3">
      <c r="B16" s="6" t="s">
        <v>24</v>
      </c>
      <c r="C16" s="22">
        <v>216000</v>
      </c>
      <c r="D16" s="22"/>
      <c r="E16" s="22"/>
      <c r="F16" s="49"/>
      <c r="G16" s="22"/>
      <c r="H16" s="12">
        <f t="shared" si="0"/>
        <v>44159</v>
      </c>
    </row>
    <row r="17" spans="1:8" x14ac:dyDescent="0.3">
      <c r="B17" s="6" t="s">
        <v>21</v>
      </c>
      <c r="C17" s="22"/>
      <c r="D17" s="22">
        <v>1503000</v>
      </c>
      <c r="E17" s="22"/>
      <c r="F17" s="22">
        <v>432000</v>
      </c>
      <c r="G17" s="22"/>
      <c r="H17" s="12">
        <f t="shared" si="0"/>
        <v>44159</v>
      </c>
    </row>
    <row r="18" spans="1:8" x14ac:dyDescent="0.3">
      <c r="B18" s="6" t="s">
        <v>18</v>
      </c>
      <c r="C18" s="22"/>
      <c r="D18" s="22"/>
      <c r="E18" s="22"/>
      <c r="F18" s="22"/>
      <c r="G18" s="22"/>
      <c r="H18" s="12">
        <f t="shared" si="0"/>
        <v>44159</v>
      </c>
    </row>
    <row r="19" spans="1:8" x14ac:dyDescent="0.3">
      <c r="B19" s="6" t="s">
        <v>16</v>
      </c>
      <c r="C19" s="22">
        <v>536000</v>
      </c>
      <c r="D19" s="22"/>
      <c r="E19" s="22">
        <v>45000</v>
      </c>
      <c r="F19" s="22"/>
      <c r="G19" s="22"/>
      <c r="H19" s="12">
        <f t="shared" si="0"/>
        <v>44159</v>
      </c>
    </row>
    <row r="20" spans="1:8" x14ac:dyDescent="0.3">
      <c r="B20" s="50" t="s">
        <v>27</v>
      </c>
      <c r="C20" s="72">
        <f>SUBTOTAL(109,November24_2020[KSI_AGO])</f>
        <v>1612000</v>
      </c>
      <c r="D20" s="51">
        <f>SUBTOTAL(109,November24_2020[KSI_PMS])</f>
        <v>1557000</v>
      </c>
      <c r="E20" s="51">
        <f>SUBTOTAL(109,November24_2020[BUIPE_AGO])</f>
        <v>45000</v>
      </c>
      <c r="F20" s="51">
        <f>SUBTOTAL(109,November24_2020[BUIPE_PMS])</f>
        <v>486000</v>
      </c>
      <c r="G20" s="51">
        <f>SUBTOTAL(109,November24_2020[AKOSOMBO_AGO])</f>
        <v>0</v>
      </c>
      <c r="H20" s="52"/>
    </row>
    <row r="21" spans="1:8" x14ac:dyDescent="0.3">
      <c r="B21" s="8"/>
      <c r="C21" s="24"/>
      <c r="D21" s="24"/>
      <c r="E21" s="24"/>
      <c r="F21" s="24"/>
      <c r="G21" s="24"/>
      <c r="H21"/>
    </row>
    <row r="22" spans="1:8" x14ac:dyDescent="0.3">
      <c r="B22" s="1" t="s">
        <v>6</v>
      </c>
      <c r="C22" s="1" t="s">
        <v>4</v>
      </c>
      <c r="D22" s="5">
        <f>SUMIF(November24_2020[[#Headers],[KSI_AGO]:[AKOSOMBO_AGO]],"*"&amp;C22,November24_2020[[#Totals],[KSI_AGO]:[AKOSOMBO_AGO]])</f>
        <v>1657000</v>
      </c>
      <c r="E22" s="1" t="s">
        <v>5</v>
      </c>
      <c r="F22" s="5">
        <f>SUMIF(November24_2020[[#Headers],[KSI_AGO]:[AKOSOMBO_AGO]],"*"&amp;E22,November24_2020[[#Totals],[KSI_AGO]:[AKOSOMBO_AGO]])</f>
        <v>2043000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700-000000000000}">
      <formula1>INDIRECT("BDC_List[BDC List]")</formula1>
    </dataValidation>
  </dataValidations>
  <pageMargins left="0.7" right="0.7" top="0.75" bottom="0.75" header="0.3" footer="0.3"/>
  <tableParts count="1">
    <tablePart r:id="rId1"/>
  </tableParts>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sheetPr codeName="Sheet233"/>
  <dimension ref="A1:K32"/>
  <sheetViews>
    <sheetView topLeftCell="C1" workbookViewId="0">
      <selection activeCell="G15" sqref="G15"/>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44160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44160</v>
      </c>
    </row>
    <row r="7" spans="2:11" x14ac:dyDescent="0.3">
      <c r="B7" s="6" t="s">
        <v>37</v>
      </c>
      <c r="C7" s="22"/>
      <c r="D7" s="22"/>
      <c r="E7" s="22"/>
      <c r="F7" s="22"/>
      <c r="G7" s="22"/>
      <c r="H7" s="67">
        <f>$G$3</f>
        <v>44160</v>
      </c>
    </row>
    <row r="8" spans="2:11" x14ac:dyDescent="0.3">
      <c r="B8" s="6" t="s">
        <v>17</v>
      </c>
      <c r="C8" s="22"/>
      <c r="D8" s="22"/>
      <c r="E8" s="22"/>
      <c r="F8" s="22">
        <v>270000</v>
      </c>
      <c r="G8" s="22"/>
      <c r="H8" s="12">
        <f t="shared" si="0"/>
        <v>44160</v>
      </c>
    </row>
    <row r="9" spans="2:11" ht="15.6" x14ac:dyDescent="0.3">
      <c r="B9" s="34" t="s">
        <v>0</v>
      </c>
      <c r="C9" s="60">
        <v>1890000</v>
      </c>
      <c r="D9" s="60">
        <v>540000</v>
      </c>
      <c r="E9" s="60"/>
      <c r="F9" s="60">
        <v>432000</v>
      </c>
      <c r="G9" s="61"/>
      <c r="H9" s="12">
        <f t="shared" si="0"/>
        <v>44160</v>
      </c>
    </row>
    <row r="10" spans="2:11" x14ac:dyDescent="0.3">
      <c r="B10" s="6" t="s">
        <v>25</v>
      </c>
      <c r="C10" s="22"/>
      <c r="D10" s="22"/>
      <c r="E10" s="22"/>
      <c r="F10" s="22"/>
      <c r="G10" s="22"/>
      <c r="H10" s="12">
        <f t="shared" si="0"/>
        <v>44160</v>
      </c>
    </row>
    <row r="11" spans="2:11" x14ac:dyDescent="0.3">
      <c r="B11" s="6" t="s">
        <v>15</v>
      </c>
      <c r="C11" s="22"/>
      <c r="D11" s="22"/>
      <c r="E11" s="22"/>
      <c r="F11" s="48"/>
      <c r="G11" s="22"/>
      <c r="H11" s="12">
        <f t="shared" si="0"/>
        <v>44160</v>
      </c>
    </row>
    <row r="12" spans="2:11" x14ac:dyDescent="0.3">
      <c r="B12" s="6" t="s">
        <v>26</v>
      </c>
      <c r="C12" s="22"/>
      <c r="D12" s="22"/>
      <c r="E12" s="22"/>
      <c r="F12" s="22"/>
      <c r="G12" s="22"/>
      <c r="H12" s="12">
        <f t="shared" si="0"/>
        <v>44160</v>
      </c>
    </row>
    <row r="13" spans="2:11" x14ac:dyDescent="0.3">
      <c r="B13" s="6" t="s">
        <v>22</v>
      </c>
      <c r="C13" s="23"/>
      <c r="D13" s="23"/>
      <c r="E13" s="23"/>
      <c r="F13" s="22"/>
      <c r="G13" s="23"/>
      <c r="H13" s="12">
        <f t="shared" si="0"/>
        <v>44160</v>
      </c>
      <c r="K13" s="4"/>
    </row>
    <row r="14" spans="2:11" x14ac:dyDescent="0.3">
      <c r="B14" s="6" t="s">
        <v>19</v>
      </c>
      <c r="C14" s="22"/>
      <c r="D14" s="22">
        <v>306000</v>
      </c>
      <c r="E14" s="22"/>
      <c r="F14" s="22"/>
      <c r="G14" s="22"/>
      <c r="H14" s="12">
        <f t="shared" si="0"/>
        <v>44160</v>
      </c>
    </row>
    <row r="15" spans="2:11" x14ac:dyDescent="0.3">
      <c r="B15" s="6" t="s">
        <v>14</v>
      </c>
      <c r="C15" s="22">
        <v>54000</v>
      </c>
      <c r="D15" s="22"/>
      <c r="E15" s="22"/>
      <c r="F15" s="22"/>
      <c r="G15" s="22"/>
      <c r="H15" s="12">
        <f t="shared" si="0"/>
        <v>44160</v>
      </c>
    </row>
    <row r="16" spans="2:11" x14ac:dyDescent="0.3">
      <c r="B16" s="6" t="s">
        <v>24</v>
      </c>
      <c r="C16" s="22"/>
      <c r="D16" s="22"/>
      <c r="E16" s="22"/>
      <c r="F16" s="49"/>
      <c r="G16" s="22"/>
      <c r="H16" s="12">
        <f t="shared" si="0"/>
        <v>44160</v>
      </c>
    </row>
    <row r="17" spans="1:8" x14ac:dyDescent="0.3">
      <c r="B17" s="6" t="s">
        <v>21</v>
      </c>
      <c r="C17" s="22"/>
      <c r="D17" s="22">
        <v>270000</v>
      </c>
      <c r="E17" s="22"/>
      <c r="F17" s="22"/>
      <c r="G17" s="22"/>
      <c r="H17" s="12">
        <f t="shared" si="0"/>
        <v>44160</v>
      </c>
    </row>
    <row r="18" spans="1:8" x14ac:dyDescent="0.3">
      <c r="B18" s="6" t="s">
        <v>18</v>
      </c>
      <c r="C18" s="22"/>
      <c r="D18" s="22"/>
      <c r="E18" s="22"/>
      <c r="F18" s="22"/>
      <c r="G18" s="22"/>
      <c r="H18" s="12">
        <f t="shared" si="0"/>
        <v>44160</v>
      </c>
    </row>
    <row r="19" spans="1:8" x14ac:dyDescent="0.3">
      <c r="B19" s="6" t="s">
        <v>16</v>
      </c>
      <c r="C19" s="22">
        <v>216000</v>
      </c>
      <c r="D19" s="22"/>
      <c r="E19" s="22">
        <v>47000</v>
      </c>
      <c r="F19" s="22"/>
      <c r="G19" s="22"/>
      <c r="H19" s="12">
        <f t="shared" si="0"/>
        <v>44160</v>
      </c>
    </row>
    <row r="20" spans="1:8" x14ac:dyDescent="0.3">
      <c r="B20" s="50" t="s">
        <v>27</v>
      </c>
      <c r="C20" s="51">
        <f>SUBTOTAL(109,November25_2020[KSI_AGO])</f>
        <v>2160000</v>
      </c>
      <c r="D20" s="51">
        <f>SUBTOTAL(109,November25_2020[KSI_PMS])</f>
        <v>1116000</v>
      </c>
      <c r="E20" s="51">
        <f>SUBTOTAL(109,November25_2020[BUIPE_AGO])</f>
        <v>47000</v>
      </c>
      <c r="F20" s="51">
        <f>SUBTOTAL(109,November25_2020[BUIPE_PMS])</f>
        <v>702000</v>
      </c>
      <c r="G20" s="51">
        <f>SUBTOTAL(109,November25_2020[AKOSOMBO_AGO])</f>
        <v>0</v>
      </c>
      <c r="H20" s="52"/>
    </row>
    <row r="21" spans="1:8" x14ac:dyDescent="0.3">
      <c r="B21" s="8"/>
      <c r="C21" s="24"/>
      <c r="D21" s="24"/>
      <c r="E21" s="24"/>
      <c r="F21" s="24"/>
      <c r="G21" s="24"/>
      <c r="H21"/>
    </row>
    <row r="22" spans="1:8" x14ac:dyDescent="0.3">
      <c r="B22" s="1" t="s">
        <v>6</v>
      </c>
      <c r="C22" s="1" t="s">
        <v>4</v>
      </c>
      <c r="D22" s="5">
        <f>SUMIF(November25_2020[[#Headers],[KSI_AGO]:[AKOSOMBO_AGO]],"*"&amp;C22,November25_2020[[#Totals],[KSI_AGO]:[AKOSOMBO_AGO]])</f>
        <v>2207000</v>
      </c>
      <c r="E22" s="1" t="s">
        <v>5</v>
      </c>
      <c r="F22" s="5">
        <f>SUMIF(November25_2020[[#Headers],[KSI_AGO]:[AKOSOMBO_AGO]],"*"&amp;E22,November25_2020[[#Totals],[KSI_AGO]:[AKOSOMBO_AGO]])</f>
        <v>1818000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800-000000000000}">
      <formula1>INDIRECT("BDC_List[BDC List]")</formula1>
    </dataValidation>
  </dataValidations>
  <pageMargins left="0.7" right="0.7" top="0.75" bottom="0.75" header="0.3" footer="0.3"/>
  <tableParts count="1">
    <tablePart r:id="rId1"/>
  </tableParts>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sheetPr codeName="Sheet234"/>
  <dimension ref="A1:K32"/>
  <sheetViews>
    <sheetView workbookViewId="0">
      <selection activeCell="E11" sqref="E11"/>
    </sheetView>
  </sheetViews>
  <sheetFormatPr defaultColWidth="9.109375" defaultRowHeight="14.4" x14ac:dyDescent="0.3"/>
  <cols>
    <col min="1" max="1" width="6.88671875" style="1" customWidth="1"/>
    <col min="2" max="2" width="31.1093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44161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44161</v>
      </c>
    </row>
    <row r="7" spans="2:11" x14ac:dyDescent="0.3">
      <c r="B7" s="6" t="s">
        <v>37</v>
      </c>
      <c r="C7" s="22"/>
      <c r="D7" s="22"/>
      <c r="E7" s="22"/>
      <c r="F7" s="22"/>
      <c r="G7" s="22"/>
      <c r="H7" s="67">
        <f>$G$3</f>
        <v>44161</v>
      </c>
    </row>
    <row r="8" spans="2:11" x14ac:dyDescent="0.3">
      <c r="B8" s="6" t="s">
        <v>17</v>
      </c>
      <c r="C8" s="22">
        <v>162000</v>
      </c>
      <c r="D8" s="22"/>
      <c r="E8" s="22"/>
      <c r="F8" s="22">
        <v>108000</v>
      </c>
      <c r="G8" s="22"/>
      <c r="H8" s="12">
        <f t="shared" si="0"/>
        <v>44161</v>
      </c>
    </row>
    <row r="9" spans="2:11" ht="15.6" x14ac:dyDescent="0.3">
      <c r="B9" s="34" t="s">
        <v>0</v>
      </c>
      <c r="C9" s="60">
        <v>2031500</v>
      </c>
      <c r="D9" s="60">
        <v>684000</v>
      </c>
      <c r="E9" s="60"/>
      <c r="F9" s="60">
        <v>108000</v>
      </c>
      <c r="G9" s="61"/>
      <c r="H9" s="12">
        <f t="shared" si="0"/>
        <v>44161</v>
      </c>
    </row>
    <row r="10" spans="2:11" x14ac:dyDescent="0.3">
      <c r="B10" s="6" t="s">
        <v>25</v>
      </c>
      <c r="C10" s="22">
        <v>90000</v>
      </c>
      <c r="D10" s="22">
        <v>54000</v>
      </c>
      <c r="E10" s="22"/>
      <c r="F10" s="22"/>
      <c r="G10" s="22"/>
      <c r="H10" s="12">
        <f t="shared" si="0"/>
        <v>44161</v>
      </c>
    </row>
    <row r="11" spans="2:11" x14ac:dyDescent="0.3">
      <c r="B11" s="6" t="s">
        <v>15</v>
      </c>
      <c r="C11" s="22"/>
      <c r="D11" s="22">
        <v>103500</v>
      </c>
      <c r="E11" s="22"/>
      <c r="F11" s="48">
        <v>108000</v>
      </c>
      <c r="G11" s="22"/>
      <c r="H11" s="12">
        <f t="shared" si="0"/>
        <v>44161</v>
      </c>
    </row>
    <row r="12" spans="2:11" x14ac:dyDescent="0.3">
      <c r="B12" s="6" t="s">
        <v>26</v>
      </c>
      <c r="C12" s="22"/>
      <c r="D12" s="22"/>
      <c r="E12" s="22"/>
      <c r="F12" s="22"/>
      <c r="G12" s="22"/>
      <c r="H12" s="12">
        <f t="shared" si="0"/>
        <v>44161</v>
      </c>
    </row>
    <row r="13" spans="2:11" x14ac:dyDescent="0.3">
      <c r="B13" s="6" t="s">
        <v>22</v>
      </c>
      <c r="C13" s="23"/>
      <c r="D13" s="23"/>
      <c r="E13" s="23"/>
      <c r="F13" s="22"/>
      <c r="G13" s="23"/>
      <c r="H13" s="12">
        <f t="shared" si="0"/>
        <v>44161</v>
      </c>
      <c r="K13" s="4"/>
    </row>
    <row r="14" spans="2:11" x14ac:dyDescent="0.3">
      <c r="B14" s="6" t="s">
        <v>19</v>
      </c>
      <c r="C14" s="22"/>
      <c r="D14" s="22">
        <v>261000</v>
      </c>
      <c r="E14" s="22"/>
      <c r="F14" s="22"/>
      <c r="G14" s="22"/>
      <c r="H14" s="12">
        <f t="shared" si="0"/>
        <v>44161</v>
      </c>
    </row>
    <row r="15" spans="2:11" x14ac:dyDescent="0.3">
      <c r="B15" s="6" t="s">
        <v>14</v>
      </c>
      <c r="C15" s="22">
        <v>108000</v>
      </c>
      <c r="D15" s="22"/>
      <c r="E15" s="22"/>
      <c r="F15" s="22">
        <v>162000</v>
      </c>
      <c r="G15" s="22"/>
      <c r="H15" s="12">
        <f t="shared" si="0"/>
        <v>44161</v>
      </c>
    </row>
    <row r="16" spans="2:11" x14ac:dyDescent="0.3">
      <c r="B16" s="6" t="s">
        <v>24</v>
      </c>
      <c r="C16" s="22"/>
      <c r="D16" s="22"/>
      <c r="E16" s="22"/>
      <c r="F16" s="49"/>
      <c r="G16" s="22"/>
      <c r="H16" s="12">
        <f t="shared" si="0"/>
        <v>44161</v>
      </c>
    </row>
    <row r="17" spans="1:8" x14ac:dyDescent="0.3">
      <c r="B17" s="6" t="s">
        <v>21</v>
      </c>
      <c r="C17" s="22"/>
      <c r="D17" s="22">
        <v>162000</v>
      </c>
      <c r="E17" s="22"/>
      <c r="F17" s="22"/>
      <c r="G17" s="22"/>
      <c r="H17" s="12">
        <f t="shared" si="0"/>
        <v>44161</v>
      </c>
    </row>
    <row r="18" spans="1:8" x14ac:dyDescent="0.3">
      <c r="B18" s="6" t="s">
        <v>18</v>
      </c>
      <c r="C18" s="22"/>
      <c r="D18" s="22"/>
      <c r="E18" s="22"/>
      <c r="F18" s="22"/>
      <c r="G18" s="22"/>
      <c r="H18" s="12">
        <f t="shared" si="0"/>
        <v>44161</v>
      </c>
    </row>
    <row r="19" spans="1:8" x14ac:dyDescent="0.3">
      <c r="B19" s="6" t="s">
        <v>16</v>
      </c>
      <c r="C19" s="22">
        <v>45000</v>
      </c>
      <c r="D19" s="22"/>
      <c r="E19" s="22"/>
      <c r="F19" s="22"/>
      <c r="G19" s="22"/>
      <c r="H19" s="12">
        <f t="shared" si="0"/>
        <v>44161</v>
      </c>
    </row>
    <row r="20" spans="1:8" x14ac:dyDescent="0.3">
      <c r="B20" s="50" t="s">
        <v>27</v>
      </c>
      <c r="C20" s="51">
        <f>SUBTOTAL(109,November26_2020[KSI_AGO])</f>
        <v>2436500</v>
      </c>
      <c r="D20" s="51">
        <f>SUBTOTAL(109,November26_2020[KSI_PMS])</f>
        <v>1264500</v>
      </c>
      <c r="E20" s="51">
        <f>SUBTOTAL(109,November26_2020[BUIPE_AGO])</f>
        <v>0</v>
      </c>
      <c r="F20" s="51">
        <f>SUBTOTAL(109,November26_2020[BUIPE_PMS])</f>
        <v>486000</v>
      </c>
      <c r="G20" s="51">
        <f>SUBTOTAL(109,November26_2020[AKOSOMBO_AGO])</f>
        <v>0</v>
      </c>
      <c r="H20" s="52"/>
    </row>
    <row r="21" spans="1:8" x14ac:dyDescent="0.3">
      <c r="B21" s="8"/>
      <c r="C21" s="24"/>
      <c r="D21" s="24"/>
      <c r="E21" s="24"/>
      <c r="F21" s="24"/>
      <c r="G21" s="24"/>
      <c r="H21"/>
    </row>
    <row r="22" spans="1:8" x14ac:dyDescent="0.3">
      <c r="B22" s="1" t="s">
        <v>6</v>
      </c>
      <c r="C22" s="1" t="s">
        <v>4</v>
      </c>
      <c r="D22" s="5">
        <f>SUMIF(November26_2020[[#Headers],[KSI_AGO]:[AKOSOMBO_AGO]],"*"&amp;C22,November26_2020[[#Totals],[KSI_AGO]:[AKOSOMBO_AGO]])</f>
        <v>2436500</v>
      </c>
      <c r="E22" s="1" t="s">
        <v>5</v>
      </c>
      <c r="F22" s="5">
        <f>SUMIF(November26_2020[[#Headers],[KSI_AGO]:[AKOSOMBO_AGO]],"*"&amp;E22,November26_2020[[#Totals],[KSI_AGO]:[AKOSOMBO_AGO]])</f>
        <v>1750500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900-000000000000}">
      <formula1>INDIRECT("BDC_List[BDC List]")</formula1>
    </dataValidation>
  </dataValidations>
  <pageMargins left="0.7" right="0.7" top="0.75" bottom="0.75" header="0.3" footer="0.3"/>
  <tableParts count="1">
    <tablePart r:id="rId1"/>
  </tableParts>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sheetPr codeName="Sheet235"/>
  <dimension ref="A1:K32"/>
  <sheetViews>
    <sheetView topLeftCell="E1" workbookViewId="0">
      <selection activeCell="G10" sqref="G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44162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44162</v>
      </c>
    </row>
    <row r="7" spans="2:11" x14ac:dyDescent="0.3">
      <c r="B7" s="6" t="s">
        <v>37</v>
      </c>
      <c r="C7" s="22"/>
      <c r="D7" s="22"/>
      <c r="E7" s="22"/>
      <c r="F7" s="22"/>
      <c r="G7" s="22"/>
      <c r="H7" s="67">
        <f>$G$3</f>
        <v>44162</v>
      </c>
    </row>
    <row r="8" spans="2:11" x14ac:dyDescent="0.3">
      <c r="B8" s="6" t="s">
        <v>17</v>
      </c>
      <c r="C8" s="22"/>
      <c r="D8" s="22"/>
      <c r="E8" s="22"/>
      <c r="F8" s="22">
        <v>162000</v>
      </c>
      <c r="G8" s="22"/>
      <c r="H8" s="12">
        <f t="shared" si="0"/>
        <v>44162</v>
      </c>
    </row>
    <row r="9" spans="2:11" ht="15.6" x14ac:dyDescent="0.3">
      <c r="B9" s="34" t="s">
        <v>0</v>
      </c>
      <c r="C9" s="60"/>
      <c r="D9" s="60"/>
      <c r="E9" s="60"/>
      <c r="F9" s="60"/>
      <c r="G9" s="61"/>
      <c r="H9" s="12">
        <f t="shared" si="0"/>
        <v>44162</v>
      </c>
    </row>
    <row r="10" spans="2:11" x14ac:dyDescent="0.3">
      <c r="B10" s="6" t="s">
        <v>25</v>
      </c>
      <c r="C10" s="22"/>
      <c r="D10" s="22">
        <v>45000</v>
      </c>
      <c r="E10" s="22"/>
      <c r="F10" s="22"/>
      <c r="G10" s="22"/>
      <c r="H10" s="12">
        <f t="shared" si="0"/>
        <v>44162</v>
      </c>
    </row>
    <row r="11" spans="2:11" x14ac:dyDescent="0.3">
      <c r="B11" s="6" t="s">
        <v>15</v>
      </c>
      <c r="C11" s="22"/>
      <c r="D11" s="22">
        <v>1159000</v>
      </c>
      <c r="E11" s="22"/>
      <c r="F11" s="48">
        <v>378000</v>
      </c>
      <c r="G11" s="22"/>
      <c r="H11" s="12">
        <f t="shared" si="0"/>
        <v>44162</v>
      </c>
    </row>
    <row r="12" spans="2:11" x14ac:dyDescent="0.3">
      <c r="B12" s="6" t="s">
        <v>26</v>
      </c>
      <c r="C12" s="22"/>
      <c r="D12" s="22"/>
      <c r="E12" s="22"/>
      <c r="F12" s="22"/>
      <c r="G12" s="22"/>
      <c r="H12" s="12">
        <f t="shared" si="0"/>
        <v>44162</v>
      </c>
    </row>
    <row r="13" spans="2:11" x14ac:dyDescent="0.3">
      <c r="B13" s="6" t="s">
        <v>22</v>
      </c>
      <c r="C13" s="23"/>
      <c r="D13" s="23"/>
      <c r="E13" s="23"/>
      <c r="F13" s="22"/>
      <c r="G13" s="23"/>
      <c r="H13" s="12">
        <f t="shared" si="0"/>
        <v>44162</v>
      </c>
      <c r="K13" s="4"/>
    </row>
    <row r="14" spans="2:11" x14ac:dyDescent="0.3">
      <c r="B14" s="6" t="s">
        <v>19</v>
      </c>
      <c r="C14" s="22"/>
      <c r="D14" s="22"/>
      <c r="E14" s="22"/>
      <c r="F14" s="22">
        <v>162000</v>
      </c>
      <c r="G14" s="22"/>
      <c r="H14" s="12">
        <f t="shared" si="0"/>
        <v>44162</v>
      </c>
    </row>
    <row r="15" spans="2:11" x14ac:dyDescent="0.3">
      <c r="B15" s="6" t="s">
        <v>14</v>
      </c>
      <c r="C15" s="22">
        <v>1234000</v>
      </c>
      <c r="D15" s="22"/>
      <c r="E15" s="22"/>
      <c r="F15" s="22">
        <v>216000</v>
      </c>
      <c r="G15" s="22"/>
      <c r="H15" s="12">
        <f t="shared" si="0"/>
        <v>44162</v>
      </c>
    </row>
    <row r="16" spans="2:11" x14ac:dyDescent="0.3">
      <c r="B16" s="6" t="s">
        <v>24</v>
      </c>
      <c r="C16" s="22"/>
      <c r="D16" s="22"/>
      <c r="E16" s="22"/>
      <c r="F16" s="49"/>
      <c r="G16" s="22"/>
      <c r="H16" s="12">
        <f t="shared" si="0"/>
        <v>44162</v>
      </c>
    </row>
    <row r="17" spans="1:8" x14ac:dyDescent="0.3">
      <c r="B17" s="6" t="s">
        <v>21</v>
      </c>
      <c r="C17" s="22"/>
      <c r="D17" s="22">
        <v>54000</v>
      </c>
      <c r="E17" s="22"/>
      <c r="F17" s="22"/>
      <c r="G17" s="22"/>
      <c r="H17" s="12">
        <f t="shared" si="0"/>
        <v>44162</v>
      </c>
    </row>
    <row r="18" spans="1:8" x14ac:dyDescent="0.3">
      <c r="B18" s="6" t="s">
        <v>18</v>
      </c>
      <c r="C18" s="22"/>
      <c r="D18" s="22"/>
      <c r="E18" s="22"/>
      <c r="F18" s="22"/>
      <c r="G18" s="22"/>
      <c r="H18" s="12">
        <f t="shared" si="0"/>
        <v>44162</v>
      </c>
    </row>
    <row r="19" spans="1:8" x14ac:dyDescent="0.3">
      <c r="B19" s="6" t="s">
        <v>16</v>
      </c>
      <c r="C19" s="22"/>
      <c r="D19" s="22"/>
      <c r="E19" s="22"/>
      <c r="F19" s="22"/>
      <c r="G19" s="22"/>
      <c r="H19" s="12">
        <f t="shared" si="0"/>
        <v>44162</v>
      </c>
    </row>
    <row r="20" spans="1:8" x14ac:dyDescent="0.3">
      <c r="B20" s="50" t="s">
        <v>27</v>
      </c>
      <c r="C20" s="51">
        <f>SUBTOTAL(109,November27_2020[KSI_AGO])</f>
        <v>1234000</v>
      </c>
      <c r="D20" s="51">
        <f>SUBTOTAL(109,November27_2020[KSI_PMS])</f>
        <v>1258000</v>
      </c>
      <c r="E20" s="51">
        <f>SUBTOTAL(109,November27_2020[BUIPE_AGO])</f>
        <v>0</v>
      </c>
      <c r="F20" s="51">
        <f>SUBTOTAL(109,November27_2020[BUIPE_PMS])</f>
        <v>918000</v>
      </c>
      <c r="G20" s="51">
        <f>SUBTOTAL(109,November27_2020[AKOSOMBO_AGO])</f>
        <v>0</v>
      </c>
      <c r="H20" s="52"/>
    </row>
    <row r="21" spans="1:8" x14ac:dyDescent="0.3">
      <c r="B21" s="8"/>
      <c r="C21" s="24"/>
      <c r="D21" s="24"/>
      <c r="E21" s="24"/>
      <c r="F21" s="24"/>
      <c r="G21" s="24"/>
      <c r="H21"/>
    </row>
    <row r="22" spans="1:8" x14ac:dyDescent="0.3">
      <c r="B22" s="1" t="s">
        <v>6</v>
      </c>
      <c r="C22" s="1" t="s">
        <v>4</v>
      </c>
      <c r="D22" s="5">
        <f>SUMIF(November27_2020[[#Headers],[KSI_AGO]:[AKOSOMBO_AGO]],"*"&amp;C22,November27_2020[[#Totals],[KSI_AGO]:[AKOSOMBO_AGO]])</f>
        <v>1234000</v>
      </c>
      <c r="E22" s="1" t="s">
        <v>5</v>
      </c>
      <c r="F22" s="5">
        <f>SUMIF(November27_2020[[#Headers],[KSI_AGO]:[AKOSOMBO_AGO]],"*"&amp;E22,November27_2020[[#Totals],[KSI_AGO]:[AKOSOMBO_AGO]])</f>
        <v>2176000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A00-000000000000}">
      <formula1>INDIRECT("BDC_List[BDC List]")</formula1>
    </dataValidation>
  </dataValidations>
  <pageMargins left="0.7" right="0.7" top="0.75" bottom="0.75" header="0.3" footer="0.3"/>
  <tableParts count="1">
    <tablePart r:id="rId1"/>
  </tableParts>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sheetPr codeName="Sheet236"/>
  <dimension ref="A1:K32"/>
  <sheetViews>
    <sheetView topLeftCell="B1" workbookViewId="0">
      <selection activeCell="G17" sqref="G1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44165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44165</v>
      </c>
    </row>
    <row r="7" spans="2:11" x14ac:dyDescent="0.3">
      <c r="B7" s="6" t="s">
        <v>37</v>
      </c>
      <c r="C7" s="22"/>
      <c r="D7" s="22"/>
      <c r="E7" s="22"/>
      <c r="F7" s="22"/>
      <c r="G7" s="22"/>
      <c r="H7" s="67">
        <f>$G$3</f>
        <v>44165</v>
      </c>
    </row>
    <row r="8" spans="2:11" x14ac:dyDescent="0.3">
      <c r="B8" s="6" t="s">
        <v>17</v>
      </c>
      <c r="C8" s="22"/>
      <c r="D8" s="22"/>
      <c r="E8" s="22"/>
      <c r="F8" s="22">
        <v>54000</v>
      </c>
      <c r="G8" s="22"/>
      <c r="H8" s="12">
        <f t="shared" si="0"/>
        <v>44165</v>
      </c>
    </row>
    <row r="9" spans="2:11" ht="15.6" x14ac:dyDescent="0.3">
      <c r="B9" s="34" t="s">
        <v>0</v>
      </c>
      <c r="C9" s="60"/>
      <c r="D9" s="60"/>
      <c r="E9" s="60"/>
      <c r="F9" s="60"/>
      <c r="G9" s="61"/>
      <c r="H9" s="12">
        <f t="shared" si="0"/>
        <v>44165</v>
      </c>
    </row>
    <row r="10" spans="2:11" x14ac:dyDescent="0.3">
      <c r="B10" s="6" t="s">
        <v>25</v>
      </c>
      <c r="C10" s="22"/>
      <c r="D10" s="22"/>
      <c r="E10" s="22"/>
      <c r="F10" s="22"/>
      <c r="G10" s="22"/>
      <c r="H10" s="12">
        <f t="shared" si="0"/>
        <v>44165</v>
      </c>
    </row>
    <row r="11" spans="2:11" x14ac:dyDescent="0.3">
      <c r="B11" s="6" t="s">
        <v>15</v>
      </c>
      <c r="C11" s="22"/>
      <c r="D11" s="22">
        <v>270000</v>
      </c>
      <c r="E11" s="22"/>
      <c r="F11" s="48">
        <v>108000</v>
      </c>
      <c r="G11" s="22"/>
      <c r="H11" s="12">
        <f t="shared" si="0"/>
        <v>44165</v>
      </c>
    </row>
    <row r="12" spans="2:11" x14ac:dyDescent="0.3">
      <c r="B12" s="6" t="s">
        <v>26</v>
      </c>
      <c r="C12" s="22"/>
      <c r="D12" s="22"/>
      <c r="E12" s="22"/>
      <c r="F12" s="22"/>
      <c r="G12" s="22"/>
      <c r="H12" s="12">
        <f t="shared" si="0"/>
        <v>44165</v>
      </c>
    </row>
    <row r="13" spans="2:11" x14ac:dyDescent="0.3">
      <c r="B13" s="6" t="s">
        <v>22</v>
      </c>
      <c r="C13" s="23"/>
      <c r="D13" s="23"/>
      <c r="E13" s="23"/>
      <c r="F13" s="22"/>
      <c r="G13" s="23"/>
      <c r="H13" s="12">
        <f t="shared" si="0"/>
        <v>44165</v>
      </c>
      <c r="K13" s="4"/>
    </row>
    <row r="14" spans="2:11" x14ac:dyDescent="0.3">
      <c r="B14" s="6" t="s">
        <v>19</v>
      </c>
      <c r="C14" s="22"/>
      <c r="D14" s="22"/>
      <c r="E14" s="22"/>
      <c r="F14" s="22">
        <v>108000</v>
      </c>
      <c r="G14" s="22"/>
      <c r="H14" s="12">
        <f t="shared" si="0"/>
        <v>44165</v>
      </c>
    </row>
    <row r="15" spans="2:11" x14ac:dyDescent="0.3">
      <c r="B15" s="6" t="s">
        <v>14</v>
      </c>
      <c r="C15" s="22">
        <v>644000</v>
      </c>
      <c r="D15" s="22"/>
      <c r="E15" s="22"/>
      <c r="F15" s="22">
        <v>108000</v>
      </c>
      <c r="G15" s="22"/>
      <c r="H15" s="12">
        <f t="shared" si="0"/>
        <v>44165</v>
      </c>
    </row>
    <row r="16" spans="2:11" x14ac:dyDescent="0.3">
      <c r="B16" s="6" t="s">
        <v>24</v>
      </c>
      <c r="C16" s="22"/>
      <c r="D16" s="22"/>
      <c r="E16" s="22"/>
      <c r="F16" s="49"/>
      <c r="G16" s="22"/>
      <c r="H16" s="12">
        <f t="shared" si="0"/>
        <v>44165</v>
      </c>
    </row>
    <row r="17" spans="1:8" x14ac:dyDescent="0.3">
      <c r="B17" s="6" t="s">
        <v>21</v>
      </c>
      <c r="C17" s="22"/>
      <c r="D17" s="22"/>
      <c r="E17" s="22"/>
      <c r="F17" s="22"/>
      <c r="G17" s="22"/>
      <c r="H17" s="12">
        <f t="shared" si="0"/>
        <v>44165</v>
      </c>
    </row>
    <row r="18" spans="1:8" x14ac:dyDescent="0.3">
      <c r="B18" s="6" t="s">
        <v>18</v>
      </c>
      <c r="C18" s="22"/>
      <c r="D18" s="22"/>
      <c r="E18" s="22"/>
      <c r="F18" s="22"/>
      <c r="G18" s="22"/>
      <c r="H18" s="12">
        <f t="shared" si="0"/>
        <v>44165</v>
      </c>
    </row>
    <row r="19" spans="1:8" x14ac:dyDescent="0.3">
      <c r="B19" s="6" t="s">
        <v>16</v>
      </c>
      <c r="C19" s="22"/>
      <c r="D19" s="22"/>
      <c r="E19" s="22"/>
      <c r="F19" s="22"/>
      <c r="G19" s="22"/>
      <c r="H19" s="12">
        <f t="shared" si="0"/>
        <v>44165</v>
      </c>
    </row>
    <row r="20" spans="1:8" x14ac:dyDescent="0.3">
      <c r="B20" s="50" t="s">
        <v>27</v>
      </c>
      <c r="C20" s="51">
        <f>SUBTOTAL(109,November30_2020[KSI_AGO])</f>
        <v>644000</v>
      </c>
      <c r="D20" s="51">
        <f>SUBTOTAL(109,November30_2020[KSI_PMS])</f>
        <v>270000</v>
      </c>
      <c r="E20" s="51">
        <f>SUBTOTAL(109,November30_2020[BUIPE_AGO])</f>
        <v>0</v>
      </c>
      <c r="F20" s="51">
        <f>SUBTOTAL(109,November30_2020[BUIPE_PMS])</f>
        <v>378000</v>
      </c>
      <c r="G20" s="51">
        <f>SUBTOTAL(109,November30_2020[AKOSOMBO_AGO])</f>
        <v>0</v>
      </c>
      <c r="H20" s="52"/>
    </row>
    <row r="21" spans="1:8" x14ac:dyDescent="0.3">
      <c r="B21" s="8"/>
      <c r="C21" s="24"/>
      <c r="D21" s="24"/>
      <c r="E21" s="24"/>
      <c r="F21" s="24"/>
      <c r="G21" s="24"/>
      <c r="H21"/>
    </row>
    <row r="22" spans="1:8" x14ac:dyDescent="0.3">
      <c r="B22" s="1" t="s">
        <v>6</v>
      </c>
      <c r="C22" s="1" t="s">
        <v>4</v>
      </c>
      <c r="D22" s="5">
        <f>SUMIF(November30_2020[[#Headers],[KSI_AGO]:[AKOSOMBO_AGO]],"*"&amp;C22,November30_2020[[#Totals],[KSI_AGO]:[AKOSOMBO_AGO]])</f>
        <v>644000</v>
      </c>
      <c r="E22" s="1" t="s">
        <v>5</v>
      </c>
      <c r="F22" s="5">
        <f>SUMIF(November30_2020[[#Headers],[KSI_AGO]:[AKOSOMBO_AGO]],"*"&amp;E22,November30_2020[[#Totals],[KSI_AGO]:[AKOSOMBO_AGO]])</f>
        <v>648000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B00-000000000000}">
      <formula1>INDIRECT("BDC_List[BDC List]")</formula1>
    </dataValidation>
  </dataValidations>
  <pageMargins left="0.7" right="0.7" top="0.75" bottom="0.75" header="0.3" footer="0.3"/>
  <tableParts count="1">
    <tablePart r:id="rId1"/>
  </tableParts>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sheetPr codeName="Sheet237"/>
  <dimension ref="A1:K32"/>
  <sheetViews>
    <sheetView workbookViewId="0">
      <selection activeCell="C16" sqref="C1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44166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44166</v>
      </c>
    </row>
    <row r="7" spans="2:11" x14ac:dyDescent="0.3">
      <c r="B7" s="6" t="s">
        <v>37</v>
      </c>
      <c r="C7" s="22"/>
      <c r="D7" s="22"/>
      <c r="E7" s="22"/>
      <c r="F7" s="22"/>
      <c r="G7" s="22"/>
      <c r="H7" s="67">
        <f>$G$3</f>
        <v>44166</v>
      </c>
    </row>
    <row r="8" spans="2:11" x14ac:dyDescent="0.3">
      <c r="B8" s="6" t="s">
        <v>17</v>
      </c>
      <c r="C8" s="22"/>
      <c r="D8" s="22"/>
      <c r="E8" s="22"/>
      <c r="F8" s="22">
        <v>54000</v>
      </c>
      <c r="G8" s="22"/>
      <c r="H8" s="12">
        <f t="shared" si="0"/>
        <v>44166</v>
      </c>
    </row>
    <row r="9" spans="2:11" ht="15.6" x14ac:dyDescent="0.3">
      <c r="B9" s="34" t="s">
        <v>0</v>
      </c>
      <c r="C9" s="60"/>
      <c r="D9" s="60"/>
      <c r="E9" s="60"/>
      <c r="F9" s="60"/>
      <c r="G9" s="61"/>
      <c r="H9" s="12">
        <f t="shared" si="0"/>
        <v>44166</v>
      </c>
    </row>
    <row r="10" spans="2:11" x14ac:dyDescent="0.3">
      <c r="B10" s="6" t="s">
        <v>25</v>
      </c>
      <c r="C10" s="22"/>
      <c r="D10" s="22"/>
      <c r="E10" s="22"/>
      <c r="F10" s="22"/>
      <c r="G10" s="22"/>
      <c r="H10" s="12">
        <f t="shared" si="0"/>
        <v>44166</v>
      </c>
    </row>
    <row r="11" spans="2:11" x14ac:dyDescent="0.3">
      <c r="B11" s="6" t="s">
        <v>15</v>
      </c>
      <c r="C11" s="22">
        <v>54000</v>
      </c>
      <c r="D11" s="22"/>
      <c r="E11" s="22"/>
      <c r="F11" s="48">
        <v>108000</v>
      </c>
      <c r="G11" s="22"/>
      <c r="H11" s="12">
        <f t="shared" si="0"/>
        <v>44166</v>
      </c>
    </row>
    <row r="12" spans="2:11" x14ac:dyDescent="0.3">
      <c r="B12" s="6" t="s">
        <v>26</v>
      </c>
      <c r="C12" s="22"/>
      <c r="D12" s="22"/>
      <c r="E12" s="22"/>
      <c r="F12" s="22"/>
      <c r="G12" s="22"/>
      <c r="H12" s="12">
        <f t="shared" si="0"/>
        <v>44166</v>
      </c>
    </row>
    <row r="13" spans="2:11" x14ac:dyDescent="0.3">
      <c r="B13" s="6" t="s">
        <v>22</v>
      </c>
      <c r="C13" s="23"/>
      <c r="D13" s="23"/>
      <c r="E13" s="23"/>
      <c r="F13" s="22"/>
      <c r="G13" s="23"/>
      <c r="H13" s="12">
        <f t="shared" si="0"/>
        <v>44166</v>
      </c>
      <c r="K13" s="4"/>
    </row>
    <row r="14" spans="2:11" x14ac:dyDescent="0.3">
      <c r="B14" s="6" t="s">
        <v>19</v>
      </c>
      <c r="C14" s="22">
        <v>108000</v>
      </c>
      <c r="D14" s="22"/>
      <c r="E14" s="22"/>
      <c r="F14" s="22"/>
      <c r="G14" s="22">
        <v>270000</v>
      </c>
      <c r="H14" s="12">
        <f t="shared" si="0"/>
        <v>44166</v>
      </c>
    </row>
    <row r="15" spans="2:11" x14ac:dyDescent="0.3">
      <c r="B15" s="6" t="s">
        <v>14</v>
      </c>
      <c r="C15" s="22">
        <v>54000</v>
      </c>
      <c r="D15" s="22">
        <v>162000</v>
      </c>
      <c r="E15" s="22"/>
      <c r="F15" s="22">
        <v>54000</v>
      </c>
      <c r="G15" s="22"/>
      <c r="H15" s="12">
        <f t="shared" si="0"/>
        <v>44166</v>
      </c>
    </row>
    <row r="16" spans="2:11" x14ac:dyDescent="0.3">
      <c r="B16" s="6" t="s">
        <v>24</v>
      </c>
      <c r="C16" s="22"/>
      <c r="D16" s="22"/>
      <c r="E16" s="22"/>
      <c r="F16" s="49"/>
      <c r="G16" s="22"/>
      <c r="H16" s="12">
        <f t="shared" si="0"/>
        <v>44166</v>
      </c>
    </row>
    <row r="17" spans="1:8" x14ac:dyDescent="0.3">
      <c r="B17" s="6" t="s">
        <v>21</v>
      </c>
      <c r="C17" s="22"/>
      <c r="D17" s="22"/>
      <c r="E17" s="22"/>
      <c r="F17" s="22"/>
      <c r="G17" s="22"/>
      <c r="H17" s="12">
        <f t="shared" si="0"/>
        <v>44166</v>
      </c>
    </row>
    <row r="18" spans="1:8" x14ac:dyDescent="0.3">
      <c r="B18" s="6" t="s">
        <v>18</v>
      </c>
      <c r="C18" s="22"/>
      <c r="D18" s="22"/>
      <c r="E18" s="22"/>
      <c r="F18" s="22"/>
      <c r="G18" s="22"/>
      <c r="H18" s="12">
        <f t="shared" si="0"/>
        <v>44166</v>
      </c>
    </row>
    <row r="19" spans="1:8" x14ac:dyDescent="0.3">
      <c r="B19" s="6" t="s">
        <v>16</v>
      </c>
      <c r="C19" s="22"/>
      <c r="D19" s="22"/>
      <c r="E19" s="22"/>
      <c r="F19" s="22"/>
      <c r="G19" s="22"/>
      <c r="H19" s="12">
        <f t="shared" si="0"/>
        <v>44166</v>
      </c>
    </row>
    <row r="20" spans="1:8" x14ac:dyDescent="0.3">
      <c r="B20" s="50" t="s">
        <v>27</v>
      </c>
      <c r="C20" s="51">
        <f>SUBTOTAL(109,December01_2020[KSI_AGO])</f>
        <v>216000</v>
      </c>
      <c r="D20" s="51">
        <f>SUBTOTAL(109,December01_2020[KSI_PMS])</f>
        <v>162000</v>
      </c>
      <c r="E20" s="51">
        <f>SUBTOTAL(109,December01_2020[BUIPE_AGO])</f>
        <v>0</v>
      </c>
      <c r="F20" s="51">
        <f>SUBTOTAL(109,December01_2020[BUIPE_PMS])</f>
        <v>216000</v>
      </c>
      <c r="G20" s="51">
        <f>SUBTOTAL(109,December01_2020[AKOSOMBO_AGO])</f>
        <v>270000</v>
      </c>
      <c r="H20" s="52"/>
    </row>
    <row r="21" spans="1:8" x14ac:dyDescent="0.3">
      <c r="B21" s="8"/>
      <c r="C21" s="24"/>
      <c r="D21" s="24"/>
      <c r="E21" s="24"/>
      <c r="F21" s="24"/>
      <c r="G21" s="24"/>
      <c r="H21"/>
    </row>
    <row r="22" spans="1:8" x14ac:dyDescent="0.3">
      <c r="B22" s="1" t="s">
        <v>6</v>
      </c>
      <c r="C22" s="1" t="s">
        <v>4</v>
      </c>
      <c r="D22" s="5">
        <f>SUMIF(December01_2020[[#Headers],[KSI_AGO]:[AKOSOMBO_AGO]],"*"&amp;C22,December01_2020[[#Totals],[KSI_AGO]:[AKOSOMBO_AGO]])</f>
        <v>486000</v>
      </c>
      <c r="E22" s="1" t="s">
        <v>5</v>
      </c>
      <c r="F22" s="5">
        <f>SUMIF(December01_2020[[#Headers],[KSI_AGO]:[AKOSOMBO_AGO]],"*"&amp;E22,December01_2020[[#Totals],[KSI_AGO]:[AKOSOMBO_AGO]])</f>
        <v>378000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C00-000000000000}">
      <formula1>INDIRECT("BDC_List[BDC List]")</formula1>
    </dataValidation>
  </dataValidations>
  <pageMargins left="0.7" right="0.7" top="0.75" bottom="0.75" header="0.3" footer="0.3"/>
  <tableParts count="1">
    <tablePart r:id="rId1"/>
  </tableParts>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sheetPr codeName="Sheet238"/>
  <dimension ref="A1:K32"/>
  <sheetViews>
    <sheetView topLeftCell="D1" workbookViewId="0">
      <selection activeCell="G10" sqref="G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44167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44167</v>
      </c>
    </row>
    <row r="7" spans="2:11" x14ac:dyDescent="0.3">
      <c r="B7" s="6" t="s">
        <v>37</v>
      </c>
      <c r="C7" s="22"/>
      <c r="D7" s="22"/>
      <c r="E7" s="22"/>
      <c r="F7" s="22"/>
      <c r="G7" s="22"/>
      <c r="H7" s="67">
        <f>$G$3</f>
        <v>44167</v>
      </c>
    </row>
    <row r="8" spans="2:11" x14ac:dyDescent="0.3">
      <c r="B8" s="6" t="s">
        <v>17</v>
      </c>
      <c r="C8" s="22"/>
      <c r="D8" s="22"/>
      <c r="E8" s="22"/>
      <c r="F8" s="22"/>
      <c r="G8" s="22"/>
      <c r="H8" s="12">
        <f t="shared" si="0"/>
        <v>44167</v>
      </c>
    </row>
    <row r="9" spans="2:11" ht="15.6" x14ac:dyDescent="0.3">
      <c r="B9" s="34" t="s">
        <v>0</v>
      </c>
      <c r="C9" s="60">
        <v>54000</v>
      </c>
      <c r="D9" s="60">
        <v>955000</v>
      </c>
      <c r="E9" s="60"/>
      <c r="F9" s="60">
        <v>54000</v>
      </c>
      <c r="G9" s="61"/>
      <c r="H9" s="12">
        <f t="shared" si="0"/>
        <v>44167</v>
      </c>
    </row>
    <row r="10" spans="2:11" x14ac:dyDescent="0.3">
      <c r="B10" s="6" t="s">
        <v>25</v>
      </c>
      <c r="C10" s="22"/>
      <c r="D10" s="22"/>
      <c r="E10" s="22"/>
      <c r="F10" s="22"/>
      <c r="G10" s="22"/>
      <c r="H10" s="12">
        <f t="shared" si="0"/>
        <v>44167</v>
      </c>
    </row>
    <row r="11" spans="2:11" x14ac:dyDescent="0.3">
      <c r="B11" s="6" t="s">
        <v>15</v>
      </c>
      <c r="C11" s="22">
        <v>320000</v>
      </c>
      <c r="D11" s="22">
        <v>198000</v>
      </c>
      <c r="E11" s="22">
        <v>162000</v>
      </c>
      <c r="F11" s="48">
        <v>162000</v>
      </c>
      <c r="G11" s="22"/>
      <c r="H11" s="12">
        <f t="shared" si="0"/>
        <v>44167</v>
      </c>
    </row>
    <row r="12" spans="2:11" x14ac:dyDescent="0.3">
      <c r="B12" s="6" t="s">
        <v>26</v>
      </c>
      <c r="C12" s="22"/>
      <c r="D12" s="22"/>
      <c r="E12" s="22"/>
      <c r="F12" s="22"/>
      <c r="G12" s="22"/>
      <c r="H12" s="12">
        <f t="shared" si="0"/>
        <v>44167</v>
      </c>
    </row>
    <row r="13" spans="2:11" x14ac:dyDescent="0.3">
      <c r="B13" s="6" t="s">
        <v>22</v>
      </c>
      <c r="C13" s="23"/>
      <c r="D13" s="23"/>
      <c r="E13" s="23"/>
      <c r="F13" s="22"/>
      <c r="G13" s="23"/>
      <c r="H13" s="12">
        <f t="shared" si="0"/>
        <v>44167</v>
      </c>
      <c r="K13" s="4"/>
    </row>
    <row r="14" spans="2:11" x14ac:dyDescent="0.3">
      <c r="B14" s="6" t="s">
        <v>19</v>
      </c>
      <c r="C14" s="22">
        <v>374000</v>
      </c>
      <c r="D14" s="22"/>
      <c r="E14" s="22">
        <v>158000</v>
      </c>
      <c r="F14" s="22">
        <v>108000</v>
      </c>
      <c r="G14" s="22">
        <v>45000</v>
      </c>
      <c r="H14" s="12">
        <f t="shared" si="0"/>
        <v>44167</v>
      </c>
    </row>
    <row r="15" spans="2:11" x14ac:dyDescent="0.3">
      <c r="B15" s="6" t="s">
        <v>14</v>
      </c>
      <c r="C15" s="22">
        <v>473000</v>
      </c>
      <c r="D15" s="22">
        <v>533500</v>
      </c>
      <c r="E15" s="22">
        <v>108000</v>
      </c>
      <c r="F15" s="22">
        <v>108000</v>
      </c>
      <c r="G15" s="22">
        <v>207000</v>
      </c>
      <c r="H15" s="12">
        <f t="shared" si="0"/>
        <v>44167</v>
      </c>
    </row>
    <row r="16" spans="2:11" x14ac:dyDescent="0.3">
      <c r="B16" s="6" t="s">
        <v>24</v>
      </c>
      <c r="C16" s="22"/>
      <c r="D16" s="22"/>
      <c r="E16" s="22"/>
      <c r="F16" s="49"/>
      <c r="G16" s="22"/>
      <c r="H16" s="12">
        <f t="shared" si="0"/>
        <v>44167</v>
      </c>
    </row>
    <row r="17" spans="1:8" x14ac:dyDescent="0.3">
      <c r="B17" s="6" t="s">
        <v>21</v>
      </c>
      <c r="C17" s="22"/>
      <c r="D17" s="22"/>
      <c r="E17" s="22"/>
      <c r="F17" s="22"/>
      <c r="G17" s="22"/>
      <c r="H17" s="12">
        <f t="shared" si="0"/>
        <v>44167</v>
      </c>
    </row>
    <row r="18" spans="1:8" x14ac:dyDescent="0.3">
      <c r="B18" s="6" t="s">
        <v>18</v>
      </c>
      <c r="C18" s="22"/>
      <c r="D18" s="22"/>
      <c r="E18" s="22"/>
      <c r="F18" s="22"/>
      <c r="G18" s="22"/>
      <c r="H18" s="12">
        <f t="shared" si="0"/>
        <v>44167</v>
      </c>
    </row>
    <row r="19" spans="1:8" x14ac:dyDescent="0.3">
      <c r="B19" s="6" t="s">
        <v>16</v>
      </c>
      <c r="C19" s="22"/>
      <c r="D19" s="22"/>
      <c r="E19" s="22"/>
      <c r="F19" s="22"/>
      <c r="G19" s="22"/>
      <c r="H19" s="12">
        <f t="shared" si="0"/>
        <v>44167</v>
      </c>
    </row>
    <row r="20" spans="1:8" x14ac:dyDescent="0.3">
      <c r="B20" s="50" t="s">
        <v>27</v>
      </c>
      <c r="C20" s="51">
        <f>SUBTOTAL(109,December02_2020[KSI_AGO])</f>
        <v>1221000</v>
      </c>
      <c r="D20" s="51">
        <f>SUBTOTAL(109,December02_2020[KSI_PMS])</f>
        <v>1686500</v>
      </c>
      <c r="E20" s="51">
        <f>SUBTOTAL(109,December02_2020[BUIPE_AGO])</f>
        <v>428000</v>
      </c>
      <c r="F20" s="51">
        <f>SUBTOTAL(109,December02_2020[BUIPE_PMS])</f>
        <v>432000</v>
      </c>
      <c r="G20" s="51">
        <f>SUBTOTAL(109,December02_2020[AKOSOMBO_AGO])</f>
        <v>252000</v>
      </c>
      <c r="H20" s="52"/>
    </row>
    <row r="21" spans="1:8" x14ac:dyDescent="0.3">
      <c r="B21" s="8"/>
      <c r="C21" s="24"/>
      <c r="D21" s="24"/>
      <c r="E21" s="24"/>
      <c r="F21" s="24"/>
      <c r="G21" s="24"/>
      <c r="H21"/>
    </row>
    <row r="22" spans="1:8" x14ac:dyDescent="0.3">
      <c r="B22" s="1" t="s">
        <v>6</v>
      </c>
      <c r="C22" s="1" t="s">
        <v>4</v>
      </c>
      <c r="D22" s="5">
        <f>SUMIF(December02_2020[[#Headers],[KSI_AGO]:[AKOSOMBO_AGO]],"*"&amp;C22,December02_2020[[#Totals],[KSI_AGO]:[AKOSOMBO_AGO]])</f>
        <v>1901000</v>
      </c>
      <c r="E22" s="1" t="s">
        <v>5</v>
      </c>
      <c r="F22" s="5">
        <f>SUMIF(December02_2020[[#Headers],[KSI_AGO]:[AKOSOMBO_AGO]],"*"&amp;E22,December02_2020[[#Totals],[KSI_AGO]:[AKOSOMBO_AGO]])</f>
        <v>2118500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D00-000000000000}">
      <formula1>INDIRECT("BDC_List[BDC List]")</formula1>
    </dataValidation>
  </dataValidations>
  <pageMargins left="0.7" right="0.7" top="0.75" bottom="0.75" header="0.3" footer="0.3"/>
  <tableParts count="1">
    <tablePart r:id="rId1"/>
  </tableParts>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sheetPr codeName="Sheet239"/>
  <dimension ref="A1:K32"/>
  <sheetViews>
    <sheetView topLeftCell="D1" workbookViewId="0">
      <selection activeCell="F10" sqref="F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44168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44168</v>
      </c>
    </row>
    <row r="7" spans="2:11" x14ac:dyDescent="0.3">
      <c r="B7" s="6" t="s">
        <v>37</v>
      </c>
      <c r="C7" s="22"/>
      <c r="D7" s="22"/>
      <c r="E7" s="22"/>
      <c r="F7" s="22"/>
      <c r="G7" s="22"/>
      <c r="H7" s="67">
        <f>$G$3</f>
        <v>44168</v>
      </c>
    </row>
    <row r="8" spans="2:11" x14ac:dyDescent="0.3">
      <c r="B8" s="6" t="s">
        <v>17</v>
      </c>
      <c r="C8" s="22"/>
      <c r="D8" s="22"/>
      <c r="E8" s="22"/>
      <c r="F8" s="22">
        <v>108000</v>
      </c>
      <c r="G8" s="22"/>
      <c r="H8" s="12">
        <f t="shared" si="0"/>
        <v>44168</v>
      </c>
    </row>
    <row r="9" spans="2:11" ht="15.6" x14ac:dyDescent="0.3">
      <c r="B9" s="34" t="s">
        <v>0</v>
      </c>
      <c r="C9" s="60"/>
      <c r="D9" s="60">
        <v>320000</v>
      </c>
      <c r="E9" s="60"/>
      <c r="F9" s="60">
        <v>108000</v>
      </c>
      <c r="G9" s="61"/>
      <c r="H9" s="12">
        <f t="shared" si="0"/>
        <v>44168</v>
      </c>
    </row>
    <row r="10" spans="2:11" x14ac:dyDescent="0.3">
      <c r="B10" s="6" t="s">
        <v>25</v>
      </c>
      <c r="C10" s="22"/>
      <c r="D10" s="22"/>
      <c r="E10" s="22"/>
      <c r="F10" s="22"/>
      <c r="G10" s="22"/>
      <c r="H10" s="12">
        <f t="shared" si="0"/>
        <v>44168</v>
      </c>
    </row>
    <row r="11" spans="2:11" x14ac:dyDescent="0.3">
      <c r="B11" s="6" t="s">
        <v>15</v>
      </c>
      <c r="C11" s="22">
        <v>270000</v>
      </c>
      <c r="D11" s="22"/>
      <c r="E11" s="22">
        <v>54000</v>
      </c>
      <c r="F11" s="48"/>
      <c r="G11" s="22"/>
      <c r="H11" s="12">
        <f t="shared" si="0"/>
        <v>44168</v>
      </c>
    </row>
    <row r="12" spans="2:11" x14ac:dyDescent="0.3">
      <c r="B12" s="6" t="s">
        <v>26</v>
      </c>
      <c r="C12" s="22"/>
      <c r="D12" s="22"/>
      <c r="E12" s="22"/>
      <c r="F12" s="22"/>
      <c r="G12" s="22"/>
      <c r="H12" s="12">
        <f t="shared" si="0"/>
        <v>44168</v>
      </c>
    </row>
    <row r="13" spans="2:11" x14ac:dyDescent="0.3">
      <c r="B13" s="6" t="s">
        <v>22</v>
      </c>
      <c r="C13" s="23"/>
      <c r="D13" s="23"/>
      <c r="E13" s="23"/>
      <c r="F13" s="22"/>
      <c r="G13" s="23"/>
      <c r="H13" s="12">
        <f t="shared" si="0"/>
        <v>44168</v>
      </c>
      <c r="K13" s="4"/>
    </row>
    <row r="14" spans="2:11" x14ac:dyDescent="0.3">
      <c r="B14" s="6" t="s">
        <v>19</v>
      </c>
      <c r="C14" s="22">
        <v>216000</v>
      </c>
      <c r="D14" s="22"/>
      <c r="E14" s="22">
        <v>108000</v>
      </c>
      <c r="F14" s="22">
        <v>54000</v>
      </c>
      <c r="G14" s="22">
        <v>423000</v>
      </c>
      <c r="H14" s="12">
        <f t="shared" si="0"/>
        <v>44168</v>
      </c>
    </row>
    <row r="15" spans="2:11" x14ac:dyDescent="0.3">
      <c r="B15" s="6" t="s">
        <v>14</v>
      </c>
      <c r="C15" s="22">
        <v>324000</v>
      </c>
      <c r="D15" s="22">
        <v>797000</v>
      </c>
      <c r="E15" s="22">
        <v>162000</v>
      </c>
      <c r="F15" s="22">
        <v>54000</v>
      </c>
      <c r="G15" s="22">
        <v>378000</v>
      </c>
      <c r="H15" s="12">
        <f t="shared" si="0"/>
        <v>44168</v>
      </c>
    </row>
    <row r="16" spans="2:11" x14ac:dyDescent="0.3">
      <c r="B16" s="6" t="s">
        <v>24</v>
      </c>
      <c r="C16" s="22"/>
      <c r="D16" s="22"/>
      <c r="E16" s="22"/>
      <c r="F16" s="49"/>
      <c r="G16" s="22"/>
      <c r="H16" s="12">
        <f t="shared" si="0"/>
        <v>44168</v>
      </c>
    </row>
    <row r="17" spans="1:8" x14ac:dyDescent="0.3">
      <c r="B17" s="6" t="s">
        <v>21</v>
      </c>
      <c r="C17" s="22"/>
      <c r="D17" s="22"/>
      <c r="E17" s="22"/>
      <c r="F17" s="22">
        <v>54000</v>
      </c>
      <c r="G17" s="22"/>
      <c r="H17" s="12">
        <f t="shared" si="0"/>
        <v>44168</v>
      </c>
    </row>
    <row r="18" spans="1:8" x14ac:dyDescent="0.3">
      <c r="B18" s="6" t="s">
        <v>18</v>
      </c>
      <c r="C18" s="22"/>
      <c r="D18" s="22">
        <v>162000</v>
      </c>
      <c r="E18" s="22"/>
      <c r="F18" s="22"/>
      <c r="G18" s="22"/>
      <c r="H18" s="12">
        <f t="shared" si="0"/>
        <v>44168</v>
      </c>
    </row>
    <row r="19" spans="1:8" x14ac:dyDescent="0.3">
      <c r="B19" s="6" t="s">
        <v>16</v>
      </c>
      <c r="C19" s="22"/>
      <c r="D19" s="22"/>
      <c r="E19" s="22"/>
      <c r="F19" s="22"/>
      <c r="G19" s="22"/>
      <c r="H19" s="12">
        <f t="shared" si="0"/>
        <v>44168</v>
      </c>
    </row>
    <row r="20" spans="1:8" x14ac:dyDescent="0.3">
      <c r="B20" s="50" t="s">
        <v>27</v>
      </c>
      <c r="C20" s="51">
        <f>SUBTOTAL(109,December03_2020[KSI_AGO])</f>
        <v>810000</v>
      </c>
      <c r="D20" s="51">
        <f>SUBTOTAL(109,December03_2020[KSI_PMS])</f>
        <v>1279000</v>
      </c>
      <c r="E20" s="51">
        <f>SUBTOTAL(109,December03_2020[BUIPE_AGO])</f>
        <v>324000</v>
      </c>
      <c r="F20" s="51">
        <f>SUBTOTAL(109,December03_2020[BUIPE_PMS])</f>
        <v>378000</v>
      </c>
      <c r="G20" s="51">
        <f>SUBTOTAL(109,December03_2020[AKOSOMBO_AGO])</f>
        <v>801000</v>
      </c>
      <c r="H20" s="52"/>
    </row>
    <row r="21" spans="1:8" x14ac:dyDescent="0.3">
      <c r="B21" s="8"/>
      <c r="C21" s="24"/>
      <c r="D21" s="24"/>
      <c r="E21" s="24"/>
      <c r="F21" s="24"/>
      <c r="G21" s="24"/>
      <c r="H21"/>
    </row>
    <row r="22" spans="1:8" x14ac:dyDescent="0.3">
      <c r="B22" s="1" t="s">
        <v>6</v>
      </c>
      <c r="C22" s="1" t="s">
        <v>4</v>
      </c>
      <c r="D22" s="5">
        <f>SUMIF(December03_2020[[#Headers],[KSI_AGO]:[AKOSOMBO_AGO]],"*"&amp;C22,December03_2020[[#Totals],[KSI_AGO]:[AKOSOMBO_AGO]])</f>
        <v>1935000</v>
      </c>
      <c r="E22" s="1" t="s">
        <v>5</v>
      </c>
      <c r="F22" s="5">
        <f>SUMIF(December03_2020[[#Headers],[KSI_AGO]:[AKOSOMBO_AGO]],"*"&amp;E22,December03_2020[[#Totals],[KSI_AGO]:[AKOSOMBO_AGO]])</f>
        <v>1657000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E00-000000000000}">
      <formula1>INDIRECT("BDC_List[BDC List]")</formula1>
    </dataValidation>
  </dataValidations>
  <pageMargins left="0.7" right="0.7" top="0.75" bottom="0.75" header="0.3" footer="0.3"/>
  <tableParts count="1">
    <tablePart r:id="rId1"/>
  </tableParts>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sheetPr codeName="Sheet240"/>
  <dimension ref="A1:K32"/>
  <sheetViews>
    <sheetView workbookViewId="0">
      <selection activeCell="F15" sqref="F15"/>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44169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44169</v>
      </c>
    </row>
    <row r="7" spans="2:11" x14ac:dyDescent="0.3">
      <c r="B7" s="6" t="s">
        <v>37</v>
      </c>
      <c r="C7" s="22"/>
      <c r="D7" s="22"/>
      <c r="E7" s="22"/>
      <c r="F7" s="22"/>
      <c r="G7" s="22"/>
      <c r="H7" s="67">
        <f>$G$3</f>
        <v>44169</v>
      </c>
    </row>
    <row r="8" spans="2:11" x14ac:dyDescent="0.3">
      <c r="B8" s="6" t="s">
        <v>17</v>
      </c>
      <c r="C8" s="22"/>
      <c r="D8" s="22"/>
      <c r="E8" s="22"/>
      <c r="F8" s="22">
        <v>54000</v>
      </c>
      <c r="G8" s="22"/>
      <c r="H8" s="12">
        <f t="shared" si="0"/>
        <v>44169</v>
      </c>
    </row>
    <row r="9" spans="2:11" ht="15.6" x14ac:dyDescent="0.3">
      <c r="B9" s="34" t="s">
        <v>0</v>
      </c>
      <c r="C9" s="60"/>
      <c r="D9" s="60"/>
      <c r="E9" s="60"/>
      <c r="F9" s="60">
        <v>108000</v>
      </c>
      <c r="G9" s="61"/>
      <c r="H9" s="12">
        <f t="shared" si="0"/>
        <v>44169</v>
      </c>
    </row>
    <row r="10" spans="2:11" x14ac:dyDescent="0.3">
      <c r="B10" s="6" t="s">
        <v>25</v>
      </c>
      <c r="C10" s="22"/>
      <c r="D10" s="22"/>
      <c r="E10" s="22"/>
      <c r="F10" s="22"/>
      <c r="G10" s="22"/>
      <c r="H10" s="12">
        <f t="shared" si="0"/>
        <v>44169</v>
      </c>
    </row>
    <row r="11" spans="2:11" x14ac:dyDescent="0.3">
      <c r="B11" s="6" t="s">
        <v>15</v>
      </c>
      <c r="C11" s="22">
        <v>162000</v>
      </c>
      <c r="D11" s="22"/>
      <c r="E11" s="22">
        <v>162000</v>
      </c>
      <c r="F11" s="48">
        <v>108000</v>
      </c>
      <c r="G11" s="22"/>
      <c r="H11" s="12">
        <f t="shared" si="0"/>
        <v>44169</v>
      </c>
    </row>
    <row r="12" spans="2:11" x14ac:dyDescent="0.3">
      <c r="B12" s="6" t="s">
        <v>26</v>
      </c>
      <c r="C12" s="22"/>
      <c r="D12" s="22"/>
      <c r="E12" s="22"/>
      <c r="F12" s="22"/>
      <c r="G12" s="22"/>
      <c r="H12" s="12">
        <f t="shared" si="0"/>
        <v>44169</v>
      </c>
    </row>
    <row r="13" spans="2:11" x14ac:dyDescent="0.3">
      <c r="B13" s="6" t="s">
        <v>22</v>
      </c>
      <c r="C13" s="23"/>
      <c r="D13" s="23"/>
      <c r="E13" s="23"/>
      <c r="F13" s="22"/>
      <c r="G13" s="23"/>
      <c r="H13" s="12">
        <f t="shared" si="0"/>
        <v>44169</v>
      </c>
      <c r="K13" s="4"/>
    </row>
    <row r="14" spans="2:11" x14ac:dyDescent="0.3">
      <c r="B14" s="6" t="s">
        <v>19</v>
      </c>
      <c r="C14" s="22">
        <v>432000</v>
      </c>
      <c r="D14" s="22">
        <v>324000</v>
      </c>
      <c r="E14" s="22">
        <v>108000</v>
      </c>
      <c r="F14" s="22">
        <v>108000</v>
      </c>
      <c r="G14" s="22">
        <v>207000</v>
      </c>
      <c r="H14" s="12">
        <f t="shared" si="0"/>
        <v>44169</v>
      </c>
    </row>
    <row r="15" spans="2:11" x14ac:dyDescent="0.3">
      <c r="B15" s="6" t="s">
        <v>14</v>
      </c>
      <c r="C15" s="22">
        <v>428000</v>
      </c>
      <c r="D15" s="22">
        <v>423000</v>
      </c>
      <c r="E15" s="22">
        <v>162000</v>
      </c>
      <c r="F15" s="22"/>
      <c r="G15" s="22">
        <v>252000</v>
      </c>
      <c r="H15" s="12">
        <f t="shared" si="0"/>
        <v>44169</v>
      </c>
    </row>
    <row r="16" spans="2:11" x14ac:dyDescent="0.3">
      <c r="B16" s="6" t="s">
        <v>24</v>
      </c>
      <c r="C16" s="22">
        <v>269000</v>
      </c>
      <c r="D16" s="22"/>
      <c r="E16" s="22"/>
      <c r="F16" s="49"/>
      <c r="G16" s="22"/>
      <c r="H16" s="12">
        <f t="shared" si="0"/>
        <v>44169</v>
      </c>
    </row>
    <row r="17" spans="1:8" x14ac:dyDescent="0.3">
      <c r="B17" s="6" t="s">
        <v>21</v>
      </c>
      <c r="C17" s="22"/>
      <c r="D17" s="22"/>
      <c r="E17" s="22"/>
      <c r="F17" s="22"/>
      <c r="G17" s="22"/>
      <c r="H17" s="12">
        <f t="shared" si="0"/>
        <v>44169</v>
      </c>
    </row>
    <row r="18" spans="1:8" x14ac:dyDescent="0.3">
      <c r="B18" s="6" t="s">
        <v>18</v>
      </c>
      <c r="C18" s="22"/>
      <c r="D18" s="22">
        <v>913000</v>
      </c>
      <c r="E18" s="22"/>
      <c r="F18" s="22">
        <v>108000</v>
      </c>
      <c r="G18" s="22"/>
      <c r="H18" s="12">
        <f t="shared" si="0"/>
        <v>44169</v>
      </c>
    </row>
    <row r="19" spans="1:8" x14ac:dyDescent="0.3">
      <c r="B19" s="6" t="s">
        <v>16</v>
      </c>
      <c r="C19" s="22"/>
      <c r="D19" s="22"/>
      <c r="E19" s="22"/>
      <c r="F19" s="22"/>
      <c r="G19" s="22"/>
      <c r="H19" s="12">
        <f t="shared" si="0"/>
        <v>44169</v>
      </c>
    </row>
    <row r="20" spans="1:8" x14ac:dyDescent="0.3">
      <c r="B20" s="50" t="s">
        <v>27</v>
      </c>
      <c r="C20" s="51">
        <f>SUBTOTAL(109,December04_2020[KSI_AGO])</f>
        <v>1291000</v>
      </c>
      <c r="D20" s="51">
        <f>SUBTOTAL(109,December04_2020[KSI_PMS])</f>
        <v>1660000</v>
      </c>
      <c r="E20" s="51">
        <f>SUBTOTAL(109,December04_2020[BUIPE_AGO])</f>
        <v>432000</v>
      </c>
      <c r="F20" s="51">
        <f>SUBTOTAL(109,December04_2020[BUIPE_PMS])</f>
        <v>486000</v>
      </c>
      <c r="G20" s="51">
        <f>SUBTOTAL(109,December04_2020[AKOSOMBO_AGO])</f>
        <v>459000</v>
      </c>
      <c r="H20" s="52"/>
    </row>
    <row r="21" spans="1:8" x14ac:dyDescent="0.3">
      <c r="B21" s="8"/>
      <c r="C21" s="24"/>
      <c r="D21" s="24"/>
      <c r="E21" s="24"/>
      <c r="F21" s="24"/>
      <c r="G21" s="24"/>
      <c r="H21"/>
    </row>
    <row r="22" spans="1:8" x14ac:dyDescent="0.3">
      <c r="B22" s="1" t="s">
        <v>6</v>
      </c>
      <c r="C22" s="1" t="s">
        <v>4</v>
      </c>
      <c r="D22" s="5">
        <f>SUMIF(December04_2020[[#Headers],[KSI_AGO]:[AKOSOMBO_AGO]],"*"&amp;C22,December04_2020[[#Totals],[KSI_AGO]:[AKOSOMBO_AGO]])</f>
        <v>2182000</v>
      </c>
      <c r="E22" s="1" t="s">
        <v>5</v>
      </c>
      <c r="F22" s="5">
        <f>SUMIF(December04_2020[[#Headers],[KSI_AGO]:[AKOSOMBO_AGO]],"*"&amp;E22,December04_2020[[#Totals],[KSI_AGO]:[AKOSOMBO_AGO]])</f>
        <v>2146000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EF00-000000000000}">
      <formula1>INDIRECT("BDC_List[BDC List]")</formula1>
    </dataValidation>
  </dataValidations>
  <pageMargins left="0.7" right="0.7" top="0.75" bottom="0.75" header="0.3" footer="0.3"/>
  <tableParts count="1">
    <tablePart r:id="rId1"/>
  </tableParts>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sheetPr codeName="Sheet241"/>
  <dimension ref="A1:K32"/>
  <sheetViews>
    <sheetView workbookViewId="0">
      <selection activeCell="E19" sqref="E19"/>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44170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44170</v>
      </c>
    </row>
    <row r="7" spans="2:11" x14ac:dyDescent="0.3">
      <c r="B7" s="6" t="s">
        <v>37</v>
      </c>
      <c r="C7" s="22"/>
      <c r="D7" s="22"/>
      <c r="E7" s="22"/>
      <c r="F7" s="22"/>
      <c r="G7" s="22"/>
      <c r="H7" s="67">
        <f>$G$3</f>
        <v>44170</v>
      </c>
    </row>
    <row r="8" spans="2:11" x14ac:dyDescent="0.3">
      <c r="B8" s="6" t="s">
        <v>17</v>
      </c>
      <c r="C8" s="22">
        <v>54000</v>
      </c>
      <c r="D8" s="22">
        <v>54000</v>
      </c>
      <c r="E8" s="22"/>
      <c r="F8" s="22"/>
      <c r="G8" s="22"/>
      <c r="H8" s="12">
        <f t="shared" si="0"/>
        <v>44170</v>
      </c>
    </row>
    <row r="9" spans="2:11" ht="15.6" x14ac:dyDescent="0.3">
      <c r="B9" s="34" t="s">
        <v>0</v>
      </c>
      <c r="C9" s="60"/>
      <c r="D9" s="60"/>
      <c r="E9" s="60"/>
      <c r="F9" s="60"/>
      <c r="G9" s="61"/>
      <c r="H9" s="12">
        <f t="shared" si="0"/>
        <v>44170</v>
      </c>
    </row>
    <row r="10" spans="2:11" x14ac:dyDescent="0.3">
      <c r="B10" s="6" t="s">
        <v>25</v>
      </c>
      <c r="C10" s="22"/>
      <c r="D10" s="22">
        <v>54000</v>
      </c>
      <c r="E10" s="22"/>
      <c r="F10" s="22"/>
      <c r="G10" s="22"/>
      <c r="H10" s="12">
        <f t="shared" si="0"/>
        <v>44170</v>
      </c>
    </row>
    <row r="11" spans="2:11" x14ac:dyDescent="0.3">
      <c r="B11" s="6" t="s">
        <v>15</v>
      </c>
      <c r="C11" s="22">
        <v>216000</v>
      </c>
      <c r="D11" s="22"/>
      <c r="E11" s="22">
        <v>54000</v>
      </c>
      <c r="F11" s="48"/>
      <c r="G11" s="22"/>
      <c r="H11" s="12">
        <f t="shared" si="0"/>
        <v>44170</v>
      </c>
    </row>
    <row r="12" spans="2:11" x14ac:dyDescent="0.3">
      <c r="B12" s="6" t="s">
        <v>26</v>
      </c>
      <c r="C12" s="22"/>
      <c r="D12" s="22"/>
      <c r="E12" s="22"/>
      <c r="F12" s="22"/>
      <c r="G12" s="22"/>
      <c r="H12" s="12">
        <f t="shared" si="0"/>
        <v>44170</v>
      </c>
    </row>
    <row r="13" spans="2:11" x14ac:dyDescent="0.3">
      <c r="B13" s="6" t="s">
        <v>22</v>
      </c>
      <c r="C13" s="23"/>
      <c r="D13" s="23"/>
      <c r="E13" s="23"/>
      <c r="F13" s="22"/>
      <c r="G13" s="23"/>
      <c r="H13" s="12">
        <f t="shared" si="0"/>
        <v>44170</v>
      </c>
      <c r="K13" s="4"/>
    </row>
    <row r="14" spans="2:11" x14ac:dyDescent="0.3">
      <c r="B14" s="6" t="s">
        <v>19</v>
      </c>
      <c r="C14" s="22"/>
      <c r="D14" s="22"/>
      <c r="E14" s="22"/>
      <c r="F14" s="22"/>
      <c r="G14" s="22"/>
      <c r="H14" s="12">
        <f t="shared" si="0"/>
        <v>44170</v>
      </c>
    </row>
    <row r="15" spans="2:11" x14ac:dyDescent="0.3">
      <c r="B15" s="6" t="s">
        <v>14</v>
      </c>
      <c r="C15" s="22"/>
      <c r="D15" s="22">
        <v>108000</v>
      </c>
      <c r="E15" s="22">
        <v>54000</v>
      </c>
      <c r="F15" s="22"/>
      <c r="G15" s="22"/>
      <c r="H15" s="12">
        <f t="shared" si="0"/>
        <v>44170</v>
      </c>
    </row>
    <row r="16" spans="2:11" x14ac:dyDescent="0.3">
      <c r="B16" s="6" t="s">
        <v>24</v>
      </c>
      <c r="C16" s="22">
        <v>108000</v>
      </c>
      <c r="D16" s="22"/>
      <c r="E16" s="22"/>
      <c r="F16" s="49"/>
      <c r="G16" s="22"/>
      <c r="H16" s="12">
        <f t="shared" si="0"/>
        <v>44170</v>
      </c>
    </row>
    <row r="17" spans="1:8" x14ac:dyDescent="0.3">
      <c r="B17" s="6" t="s">
        <v>21</v>
      </c>
      <c r="C17" s="22"/>
      <c r="D17" s="22"/>
      <c r="E17" s="22"/>
      <c r="F17" s="22"/>
      <c r="G17" s="22"/>
      <c r="H17" s="12">
        <f t="shared" si="0"/>
        <v>44170</v>
      </c>
    </row>
    <row r="18" spans="1:8" x14ac:dyDescent="0.3">
      <c r="B18" s="6" t="s">
        <v>18</v>
      </c>
      <c r="C18" s="22"/>
      <c r="D18" s="22">
        <v>54000</v>
      </c>
      <c r="E18" s="22"/>
      <c r="F18" s="22"/>
      <c r="G18" s="22"/>
      <c r="H18" s="12">
        <f t="shared" si="0"/>
        <v>44170</v>
      </c>
    </row>
    <row r="19" spans="1:8" x14ac:dyDescent="0.3">
      <c r="B19" s="6" t="s">
        <v>16</v>
      </c>
      <c r="C19" s="22"/>
      <c r="D19" s="22"/>
      <c r="E19" s="22"/>
      <c r="F19" s="22"/>
      <c r="G19" s="22"/>
      <c r="H19" s="12">
        <f t="shared" si="0"/>
        <v>44170</v>
      </c>
    </row>
    <row r="20" spans="1:8" x14ac:dyDescent="0.3">
      <c r="B20" s="50" t="s">
        <v>27</v>
      </c>
      <c r="C20" s="51">
        <f>SUBTOTAL(109,December05_2020[KSI_AGO])</f>
        <v>378000</v>
      </c>
      <c r="D20" s="51">
        <f>SUBTOTAL(109,December05_2020[KSI_PMS])</f>
        <v>270000</v>
      </c>
      <c r="E20" s="51">
        <f>SUBTOTAL(109,December05_2020[BUIPE_AGO])</f>
        <v>108000</v>
      </c>
      <c r="F20" s="51">
        <f>SUBTOTAL(109,December05_2020[BUIPE_PMS])</f>
        <v>0</v>
      </c>
      <c r="G20" s="51">
        <f>SUBTOTAL(109,December05_2020[AKOSOMBO_AGO])</f>
        <v>0</v>
      </c>
      <c r="H20" s="52"/>
    </row>
    <row r="21" spans="1:8" x14ac:dyDescent="0.3">
      <c r="B21" s="8"/>
      <c r="C21" s="24"/>
      <c r="D21" s="24"/>
      <c r="E21" s="24"/>
      <c r="F21" s="24"/>
      <c r="G21" s="24"/>
      <c r="H21"/>
    </row>
    <row r="22" spans="1:8" x14ac:dyDescent="0.3">
      <c r="B22" s="1" t="s">
        <v>6</v>
      </c>
      <c r="C22" s="1" t="s">
        <v>4</v>
      </c>
      <c r="D22" s="5">
        <f>SUMIF(December05_2020[[#Headers],[KSI_AGO]:[AKOSOMBO_AGO]],"*"&amp;C22,December05_2020[[#Totals],[KSI_AGO]:[AKOSOMBO_AGO]])</f>
        <v>486000</v>
      </c>
      <c r="E22" s="1" t="s">
        <v>5</v>
      </c>
      <c r="F22" s="5">
        <f>SUMIF(December05_2020[[#Headers],[KSI_AGO]:[AKOSOMBO_AGO]],"*"&amp;E22,December05_2020[[#Totals],[KSI_AGO]:[AKOSOMBO_AGO]])</f>
        <v>270000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000-000000000000}">
      <formula1>INDIRECT("BDC_List[BDC List]")</formula1>
    </dataValidation>
  </dataValidations>
  <pageMargins left="0.7" right="0.7" top="0.75" bottom="0.75" header="0.3" footer="0.3"/>
  <tableParts count="1">
    <tablePart r:id="rId1"/>
  </tableParts>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sheetPr codeName="Sheet242"/>
  <dimension ref="A1:K32"/>
  <sheetViews>
    <sheetView topLeftCell="D1" workbookViewId="0">
      <selection activeCell="F10" sqref="F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44173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44173</v>
      </c>
    </row>
    <row r="7" spans="2:11" x14ac:dyDescent="0.3">
      <c r="B7" s="6" t="s">
        <v>37</v>
      </c>
      <c r="C7" s="22"/>
      <c r="D7" s="22"/>
      <c r="E7" s="22"/>
      <c r="F7" s="22"/>
      <c r="G7" s="22"/>
      <c r="H7" s="67">
        <f>$G$3</f>
        <v>44173</v>
      </c>
    </row>
    <row r="8" spans="2:11" x14ac:dyDescent="0.3">
      <c r="B8" s="6" t="s">
        <v>17</v>
      </c>
      <c r="C8" s="22">
        <v>378000</v>
      </c>
      <c r="D8" s="22">
        <v>540000</v>
      </c>
      <c r="E8" s="22"/>
      <c r="F8" s="22">
        <v>108000</v>
      </c>
      <c r="G8" s="22"/>
      <c r="H8" s="12">
        <f t="shared" si="0"/>
        <v>44173</v>
      </c>
    </row>
    <row r="9" spans="2:11" ht="15.6" x14ac:dyDescent="0.3">
      <c r="B9" s="34" t="s">
        <v>0</v>
      </c>
      <c r="C9" s="60"/>
      <c r="D9" s="60"/>
      <c r="E9" s="60"/>
      <c r="F9" s="60">
        <v>162000</v>
      </c>
      <c r="G9" s="61"/>
      <c r="H9" s="12">
        <f t="shared" si="0"/>
        <v>44173</v>
      </c>
    </row>
    <row r="10" spans="2:11" x14ac:dyDescent="0.3">
      <c r="B10" s="6" t="s">
        <v>25</v>
      </c>
      <c r="C10" s="22"/>
      <c r="D10" s="22">
        <v>432000</v>
      </c>
      <c r="E10" s="22"/>
      <c r="F10" s="22"/>
      <c r="G10" s="22"/>
      <c r="H10" s="12">
        <f t="shared" si="0"/>
        <v>44173</v>
      </c>
    </row>
    <row r="11" spans="2:11" x14ac:dyDescent="0.3">
      <c r="B11" s="6" t="s">
        <v>15</v>
      </c>
      <c r="C11" s="22">
        <v>108000</v>
      </c>
      <c r="D11" s="22"/>
      <c r="E11" s="22"/>
      <c r="F11" s="48">
        <v>108000</v>
      </c>
      <c r="G11" s="22"/>
      <c r="H11" s="12">
        <f t="shared" si="0"/>
        <v>44173</v>
      </c>
    </row>
    <row r="12" spans="2:11" x14ac:dyDescent="0.3">
      <c r="B12" s="6" t="s">
        <v>26</v>
      </c>
      <c r="C12" s="22"/>
      <c r="D12" s="22"/>
      <c r="E12" s="22"/>
      <c r="F12" s="22"/>
      <c r="G12" s="22"/>
      <c r="H12" s="12">
        <f t="shared" si="0"/>
        <v>44173</v>
      </c>
    </row>
    <row r="13" spans="2:11" x14ac:dyDescent="0.3">
      <c r="B13" s="6" t="s">
        <v>22</v>
      </c>
      <c r="C13" s="23"/>
      <c r="D13" s="23"/>
      <c r="E13" s="23"/>
      <c r="F13" s="22"/>
      <c r="G13" s="23"/>
      <c r="H13" s="12">
        <f t="shared" si="0"/>
        <v>44173</v>
      </c>
      <c r="K13" s="4"/>
    </row>
    <row r="14" spans="2:11" x14ac:dyDescent="0.3">
      <c r="B14" s="6" t="s">
        <v>19</v>
      </c>
      <c r="C14" s="22">
        <v>540000</v>
      </c>
      <c r="D14" s="22"/>
      <c r="E14" s="22"/>
      <c r="F14" s="22">
        <v>162000</v>
      </c>
      <c r="G14" s="22"/>
      <c r="H14" s="12">
        <f t="shared" si="0"/>
        <v>44173</v>
      </c>
    </row>
    <row r="15" spans="2:11" x14ac:dyDescent="0.3">
      <c r="B15" s="6" t="s">
        <v>14</v>
      </c>
      <c r="C15" s="22">
        <v>529000</v>
      </c>
      <c r="D15" s="22">
        <v>216000</v>
      </c>
      <c r="E15" s="22"/>
      <c r="F15" s="22">
        <v>108000</v>
      </c>
      <c r="G15" s="22"/>
      <c r="H15" s="12">
        <f t="shared" si="0"/>
        <v>44173</v>
      </c>
    </row>
    <row r="16" spans="2:11" x14ac:dyDescent="0.3">
      <c r="B16" s="6" t="s">
        <v>24</v>
      </c>
      <c r="C16" s="22">
        <v>594000</v>
      </c>
      <c r="D16" s="22"/>
      <c r="E16" s="22"/>
      <c r="F16" s="49"/>
      <c r="G16" s="22"/>
      <c r="H16" s="12">
        <f t="shared" si="0"/>
        <v>44173</v>
      </c>
    </row>
    <row r="17" spans="1:8" x14ac:dyDescent="0.3">
      <c r="B17" s="6" t="s">
        <v>21</v>
      </c>
      <c r="C17" s="22"/>
      <c r="D17" s="22"/>
      <c r="E17" s="22"/>
      <c r="F17" s="22"/>
      <c r="G17" s="22"/>
      <c r="H17" s="12">
        <f t="shared" si="0"/>
        <v>44173</v>
      </c>
    </row>
    <row r="18" spans="1:8" x14ac:dyDescent="0.3">
      <c r="B18" s="6" t="s">
        <v>18</v>
      </c>
      <c r="C18" s="22"/>
      <c r="D18" s="22">
        <v>270000</v>
      </c>
      <c r="E18" s="22"/>
      <c r="F18" s="22">
        <v>108000</v>
      </c>
      <c r="G18" s="22"/>
      <c r="H18" s="12">
        <f t="shared" si="0"/>
        <v>44173</v>
      </c>
    </row>
    <row r="19" spans="1:8" x14ac:dyDescent="0.3">
      <c r="B19" s="6" t="s">
        <v>16</v>
      </c>
      <c r="C19" s="22"/>
      <c r="D19" s="22"/>
      <c r="E19" s="22"/>
      <c r="F19" s="22"/>
      <c r="G19" s="22"/>
      <c r="H19" s="12">
        <f t="shared" si="0"/>
        <v>44173</v>
      </c>
    </row>
    <row r="20" spans="1:8" x14ac:dyDescent="0.3">
      <c r="B20" s="50" t="s">
        <v>27</v>
      </c>
      <c r="C20" s="51">
        <f>SUM(December08_2020[KSI_AGO])</f>
        <v>2149000</v>
      </c>
      <c r="D20" s="51">
        <f>SUM(December08_2020[KSI_PMS])</f>
        <v>1458000</v>
      </c>
      <c r="E20" s="51">
        <f>SUM(December08_2020[BUIPE_AGO])</f>
        <v>0</v>
      </c>
      <c r="F20" s="51">
        <f>SUM(December08_2020[BUIPE_PMS])</f>
        <v>756000</v>
      </c>
      <c r="G20" s="51">
        <f>SUM(December08_2020[AKOSOMBO_AGO])</f>
        <v>0</v>
      </c>
      <c r="H20" s="52"/>
    </row>
    <row r="21" spans="1:8" x14ac:dyDescent="0.3">
      <c r="B21" s="8"/>
      <c r="C21" s="24"/>
      <c r="D21" s="24"/>
      <c r="E21" s="24"/>
      <c r="F21" s="24"/>
      <c r="G21" s="24"/>
      <c r="H21"/>
    </row>
    <row r="22" spans="1:8" x14ac:dyDescent="0.3">
      <c r="B22" s="1" t="s">
        <v>6</v>
      </c>
      <c r="C22" s="1" t="s">
        <v>4</v>
      </c>
      <c r="D22" s="5">
        <f>SUMIF(December08_2020[[#Headers],[KSI_AGO]:[AKOSOMBO_AGO]],"*"&amp;C22,December08_2020[[#Totals],[KSI_AGO]:[AKOSOMBO_AGO]])</f>
        <v>2149000</v>
      </c>
      <c r="E22" s="1" t="s">
        <v>5</v>
      </c>
      <c r="F22" s="5">
        <f>SUMIF(December08_2020[[#Headers],[KSI_AGO]:[AKOSOMBO_AGO]],"*"&amp;E22,December08_2020[[#Totals],[KSI_AGO]:[AKOSOMBO_AGO]])</f>
        <v>2214000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100-000000000000}">
      <formula1>INDIRECT("BDC_List[BDC List]")</formula1>
    </dataValidation>
  </dataValidations>
  <pageMargins left="0.7" right="0.7" top="0.75" bottom="0.75" header="0.3" footer="0.3"/>
  <tableParts count="1">
    <tablePart r:id="rId1"/>
  </tableParts>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sheetPr codeName="Sheet243"/>
  <dimension ref="A1:K32"/>
  <sheetViews>
    <sheetView topLeftCell="B1" workbookViewId="0">
      <selection activeCell="C11" sqref="C11"/>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44174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44174</v>
      </c>
    </row>
    <row r="7" spans="2:11" x14ac:dyDescent="0.3">
      <c r="B7" s="6" t="s">
        <v>37</v>
      </c>
      <c r="C7" s="22"/>
      <c r="D7" s="22"/>
      <c r="E7" s="22"/>
      <c r="F7" s="22"/>
      <c r="G7" s="22"/>
      <c r="H7" s="67">
        <f>$G$3</f>
        <v>44174</v>
      </c>
    </row>
    <row r="8" spans="2:11" x14ac:dyDescent="0.3">
      <c r="B8" s="6" t="s">
        <v>17</v>
      </c>
      <c r="C8" s="22">
        <v>319500</v>
      </c>
      <c r="D8" s="22">
        <v>486000</v>
      </c>
      <c r="E8" s="22"/>
      <c r="F8" s="22">
        <v>54000</v>
      </c>
      <c r="G8" s="22"/>
      <c r="H8" s="12">
        <f t="shared" si="0"/>
        <v>44174</v>
      </c>
    </row>
    <row r="9" spans="2:11" ht="15.6" x14ac:dyDescent="0.3">
      <c r="B9" s="34" t="s">
        <v>0</v>
      </c>
      <c r="C9" s="60"/>
      <c r="D9" s="60"/>
      <c r="E9" s="60"/>
      <c r="F9" s="60"/>
      <c r="G9" s="61"/>
      <c r="H9" s="12">
        <f t="shared" si="0"/>
        <v>44174</v>
      </c>
    </row>
    <row r="10" spans="2:11" x14ac:dyDescent="0.3">
      <c r="B10" s="6" t="s">
        <v>25</v>
      </c>
      <c r="C10" s="22">
        <v>306000</v>
      </c>
      <c r="D10" s="22">
        <v>485000</v>
      </c>
      <c r="E10" s="22">
        <v>370000</v>
      </c>
      <c r="F10" s="22">
        <v>216000</v>
      </c>
      <c r="G10" s="22"/>
      <c r="H10" s="12">
        <f t="shared" si="0"/>
        <v>44174</v>
      </c>
    </row>
    <row r="11" spans="2:11" x14ac:dyDescent="0.3">
      <c r="B11" s="6" t="s">
        <v>15</v>
      </c>
      <c r="C11" s="22">
        <v>54000</v>
      </c>
      <c r="D11" s="22"/>
      <c r="E11" s="22"/>
      <c r="F11" s="48">
        <v>158000</v>
      </c>
      <c r="G11" s="22"/>
      <c r="H11" s="12">
        <f t="shared" si="0"/>
        <v>44174</v>
      </c>
    </row>
    <row r="12" spans="2:11" x14ac:dyDescent="0.3">
      <c r="B12" s="6" t="s">
        <v>26</v>
      </c>
      <c r="C12" s="22"/>
      <c r="D12" s="22"/>
      <c r="E12" s="22"/>
      <c r="F12" s="22"/>
      <c r="G12" s="22"/>
      <c r="H12" s="12">
        <f t="shared" si="0"/>
        <v>44174</v>
      </c>
    </row>
    <row r="13" spans="2:11" x14ac:dyDescent="0.3">
      <c r="B13" s="6" t="s">
        <v>22</v>
      </c>
      <c r="C13" s="23"/>
      <c r="D13" s="23"/>
      <c r="E13" s="23"/>
      <c r="F13" s="22"/>
      <c r="G13" s="23"/>
      <c r="H13" s="12">
        <f t="shared" si="0"/>
        <v>44174</v>
      </c>
      <c r="K13" s="4"/>
    </row>
    <row r="14" spans="2:11" x14ac:dyDescent="0.3">
      <c r="B14" s="6" t="s">
        <v>19</v>
      </c>
      <c r="C14" s="22">
        <v>316000</v>
      </c>
      <c r="D14" s="22"/>
      <c r="E14" s="22"/>
      <c r="F14" s="22">
        <v>104000</v>
      </c>
      <c r="G14" s="22">
        <v>432000</v>
      </c>
      <c r="H14" s="12">
        <f t="shared" si="0"/>
        <v>44174</v>
      </c>
    </row>
    <row r="15" spans="2:11" x14ac:dyDescent="0.3">
      <c r="B15" s="6" t="s">
        <v>14</v>
      </c>
      <c r="C15" s="22">
        <v>54000</v>
      </c>
      <c r="D15" s="22">
        <v>108000</v>
      </c>
      <c r="E15" s="22"/>
      <c r="F15" s="22">
        <v>54000</v>
      </c>
      <c r="G15" s="22">
        <v>162000</v>
      </c>
      <c r="H15" s="12">
        <f t="shared" si="0"/>
        <v>44174</v>
      </c>
    </row>
    <row r="16" spans="2:11" x14ac:dyDescent="0.3">
      <c r="B16" s="6" t="s">
        <v>24</v>
      </c>
      <c r="C16" s="22">
        <v>526500</v>
      </c>
      <c r="D16" s="22"/>
      <c r="E16" s="22"/>
      <c r="F16" s="49"/>
      <c r="G16" s="22"/>
      <c r="H16" s="12">
        <f t="shared" si="0"/>
        <v>44174</v>
      </c>
    </row>
    <row r="17" spans="1:8" x14ac:dyDescent="0.3">
      <c r="B17" s="6" t="s">
        <v>21</v>
      </c>
      <c r="C17" s="22"/>
      <c r="D17" s="22">
        <v>45000</v>
      </c>
      <c r="E17" s="22"/>
      <c r="F17" s="22"/>
      <c r="G17" s="22"/>
      <c r="H17" s="12">
        <f t="shared" si="0"/>
        <v>44174</v>
      </c>
    </row>
    <row r="18" spans="1:8" x14ac:dyDescent="0.3">
      <c r="B18" s="6" t="s">
        <v>18</v>
      </c>
      <c r="C18" s="22"/>
      <c r="D18" s="22">
        <v>324000</v>
      </c>
      <c r="E18" s="22"/>
      <c r="F18" s="22">
        <v>54000</v>
      </c>
      <c r="G18" s="22"/>
      <c r="H18" s="12">
        <f t="shared" si="0"/>
        <v>44174</v>
      </c>
    </row>
    <row r="19" spans="1:8" x14ac:dyDescent="0.3">
      <c r="B19" s="6" t="s">
        <v>16</v>
      </c>
      <c r="C19" s="22"/>
      <c r="D19" s="22"/>
      <c r="E19" s="22"/>
      <c r="F19" s="22"/>
      <c r="G19" s="22"/>
      <c r="H19" s="12">
        <f t="shared" si="0"/>
        <v>44174</v>
      </c>
    </row>
    <row r="20" spans="1:8" x14ac:dyDescent="0.3">
      <c r="B20" s="50" t="s">
        <v>27</v>
      </c>
      <c r="C20" s="51">
        <f>SUM(December09_2020[KSI_AGO])</f>
        <v>1576000</v>
      </c>
      <c r="D20" s="51">
        <f>SUM(December09_2020[KSI_PMS])</f>
        <v>1448000</v>
      </c>
      <c r="E20" s="51">
        <f>SUM(December09_2020[BUIPE_AGO])</f>
        <v>370000</v>
      </c>
      <c r="F20" s="51">
        <f>SUM(December09_2020[BUIPE_PMS])</f>
        <v>640000</v>
      </c>
      <c r="G20" s="51">
        <f>SUM(December09_2020[AKOSOMBO_AGO])</f>
        <v>594000</v>
      </c>
      <c r="H20" s="52"/>
    </row>
    <row r="21" spans="1:8" x14ac:dyDescent="0.3">
      <c r="B21" s="8"/>
      <c r="C21" s="24"/>
      <c r="D21" s="24"/>
      <c r="E21" s="24"/>
      <c r="F21" s="24"/>
      <c r="G21" s="24"/>
      <c r="H21"/>
    </row>
    <row r="22" spans="1:8" x14ac:dyDescent="0.3">
      <c r="B22" s="1" t="s">
        <v>6</v>
      </c>
      <c r="C22" s="1" t="s">
        <v>4</v>
      </c>
      <c r="D22" s="5">
        <f>SUMIF(December09_2020[[#Headers],[KSI_AGO]:[AKOSOMBO_AGO]],"*"&amp;C22,December09_2020[[#Totals],[KSI_AGO]:[AKOSOMBO_AGO]])</f>
        <v>2540000</v>
      </c>
      <c r="E22" s="1" t="s">
        <v>5</v>
      </c>
      <c r="F22" s="5">
        <f>SUMIF(December09_2020[[#Headers],[KSI_AGO]:[AKOSOMBO_AGO]],"*"&amp;E22,December09_2020[[#Totals],[KSI_AGO]:[AKOSOMBO_AGO]])</f>
        <v>2088000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200-000000000000}">
      <formula1>INDIRECT("BDC_List[BDC List]")</formula1>
    </dataValidation>
  </dataValidations>
  <pageMargins left="0.7" right="0.7" top="0.75" bottom="0.75" header="0.3" footer="0.3"/>
  <pageSetup orientation="portrait" r:id="rId1"/>
  <tableParts count="1">
    <tablePart r:id="rId2"/>
  </tableParts>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sheetPr codeName="Sheet244"/>
  <dimension ref="A1:K32"/>
  <sheetViews>
    <sheetView workbookViewId="0">
      <selection activeCell="E12" sqref="E1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44175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44175</v>
      </c>
    </row>
    <row r="7" spans="2:11" x14ac:dyDescent="0.3">
      <c r="B7" s="6" t="s">
        <v>37</v>
      </c>
      <c r="C7" s="22"/>
      <c r="D7" s="22"/>
      <c r="E7" s="22"/>
      <c r="F7" s="22"/>
      <c r="G7" s="22"/>
      <c r="H7" s="67">
        <f>$G$3</f>
        <v>44175</v>
      </c>
    </row>
    <row r="8" spans="2:11" x14ac:dyDescent="0.3">
      <c r="B8" s="6" t="s">
        <v>17</v>
      </c>
      <c r="C8" s="22">
        <v>311000</v>
      </c>
      <c r="D8" s="22">
        <v>594000</v>
      </c>
      <c r="E8" s="22"/>
      <c r="F8" s="22">
        <v>54000</v>
      </c>
      <c r="G8" s="22"/>
      <c r="H8" s="12">
        <f t="shared" si="0"/>
        <v>44175</v>
      </c>
    </row>
    <row r="9" spans="2:11" ht="15.6" x14ac:dyDescent="0.3">
      <c r="B9" s="34" t="s">
        <v>0</v>
      </c>
      <c r="C9" s="60"/>
      <c r="D9" s="60"/>
      <c r="E9" s="60"/>
      <c r="F9" s="60"/>
      <c r="G9" s="61"/>
      <c r="H9" s="12">
        <f t="shared" si="0"/>
        <v>44175</v>
      </c>
    </row>
    <row r="10" spans="2:11" x14ac:dyDescent="0.3">
      <c r="B10" s="6" t="s">
        <v>25</v>
      </c>
      <c r="C10" s="22">
        <v>270000</v>
      </c>
      <c r="D10" s="22">
        <v>648000</v>
      </c>
      <c r="E10" s="22">
        <v>531000</v>
      </c>
      <c r="F10" s="22">
        <v>203000</v>
      </c>
      <c r="G10" s="22"/>
      <c r="H10" s="12">
        <f t="shared" si="0"/>
        <v>44175</v>
      </c>
    </row>
    <row r="11" spans="2:11" x14ac:dyDescent="0.3">
      <c r="B11" s="6" t="s">
        <v>15</v>
      </c>
      <c r="C11" s="22"/>
      <c r="D11" s="22"/>
      <c r="E11" s="22"/>
      <c r="F11" s="48">
        <v>54000</v>
      </c>
      <c r="G11" s="22"/>
      <c r="H11" s="12">
        <f t="shared" si="0"/>
        <v>44175</v>
      </c>
    </row>
    <row r="12" spans="2:11" x14ac:dyDescent="0.3">
      <c r="B12" s="6" t="s">
        <v>26</v>
      </c>
      <c r="C12" s="22">
        <v>162000</v>
      </c>
      <c r="D12" s="22"/>
      <c r="E12" s="22">
        <v>153000</v>
      </c>
      <c r="F12" s="22"/>
      <c r="G12" s="22"/>
      <c r="H12" s="12">
        <f t="shared" si="0"/>
        <v>44175</v>
      </c>
    </row>
    <row r="13" spans="2:11" x14ac:dyDescent="0.3">
      <c r="B13" s="6" t="s">
        <v>22</v>
      </c>
      <c r="C13" s="23"/>
      <c r="D13" s="23"/>
      <c r="E13" s="23"/>
      <c r="F13" s="22"/>
      <c r="G13" s="23"/>
      <c r="H13" s="12">
        <f t="shared" si="0"/>
        <v>44175</v>
      </c>
      <c r="K13" s="4"/>
    </row>
    <row r="14" spans="2:11" x14ac:dyDescent="0.3">
      <c r="B14" s="6" t="s">
        <v>19</v>
      </c>
      <c r="C14" s="22"/>
      <c r="D14" s="22"/>
      <c r="E14" s="22"/>
      <c r="F14" s="22"/>
      <c r="G14" s="22"/>
      <c r="H14" s="12">
        <f t="shared" si="0"/>
        <v>44175</v>
      </c>
    </row>
    <row r="15" spans="2:11" x14ac:dyDescent="0.3">
      <c r="B15" s="6" t="s">
        <v>14</v>
      </c>
      <c r="C15" s="22">
        <v>207000</v>
      </c>
      <c r="D15" s="22">
        <v>152000</v>
      </c>
      <c r="E15" s="22"/>
      <c r="F15" s="22"/>
      <c r="G15" s="22"/>
      <c r="H15" s="12">
        <f t="shared" si="0"/>
        <v>44175</v>
      </c>
    </row>
    <row r="16" spans="2:11" x14ac:dyDescent="0.3">
      <c r="B16" s="6" t="s">
        <v>24</v>
      </c>
      <c r="C16" s="22">
        <v>540000</v>
      </c>
      <c r="D16" s="22"/>
      <c r="E16" s="22"/>
      <c r="F16" s="49"/>
      <c r="G16" s="22"/>
      <c r="H16" s="12">
        <f t="shared" si="0"/>
        <v>44175</v>
      </c>
    </row>
    <row r="17" spans="1:8" x14ac:dyDescent="0.3">
      <c r="B17" s="6" t="s">
        <v>21</v>
      </c>
      <c r="C17" s="22"/>
      <c r="D17" s="22"/>
      <c r="E17" s="22"/>
      <c r="F17" s="22"/>
      <c r="G17" s="22"/>
      <c r="H17" s="12">
        <f t="shared" si="0"/>
        <v>44175</v>
      </c>
    </row>
    <row r="18" spans="1:8" x14ac:dyDescent="0.3">
      <c r="B18" s="6" t="s">
        <v>18</v>
      </c>
      <c r="C18" s="22"/>
      <c r="D18" s="22">
        <v>378000</v>
      </c>
      <c r="E18" s="22"/>
      <c r="F18" s="22">
        <v>108000</v>
      </c>
      <c r="G18" s="22"/>
      <c r="H18" s="12">
        <f t="shared" si="0"/>
        <v>44175</v>
      </c>
    </row>
    <row r="19" spans="1:8" x14ac:dyDescent="0.3">
      <c r="B19" s="6" t="s">
        <v>16</v>
      </c>
      <c r="C19" s="22">
        <v>53000</v>
      </c>
      <c r="D19" s="22"/>
      <c r="E19" s="22"/>
      <c r="F19" s="22"/>
      <c r="G19" s="22"/>
      <c r="H19" s="12">
        <f t="shared" si="0"/>
        <v>44175</v>
      </c>
    </row>
    <row r="20" spans="1:8" x14ac:dyDescent="0.3">
      <c r="B20" s="50" t="s">
        <v>27</v>
      </c>
      <c r="C20" s="51">
        <f>SUM(December10_2020[KSI_AGO])</f>
        <v>1543000</v>
      </c>
      <c r="D20" s="51">
        <f>SUM(December10_2020[KSI_PMS])</f>
        <v>1772000</v>
      </c>
      <c r="E20" s="51">
        <f>SUM(December10_2020[BUIPE_AGO])</f>
        <v>684000</v>
      </c>
      <c r="F20" s="51">
        <f>SUM(December10_2020[BUIPE_PMS])</f>
        <v>419000</v>
      </c>
      <c r="G20" s="51">
        <f>SUM(December10_2020[AKOSOMBO_AGO])</f>
        <v>0</v>
      </c>
      <c r="H20" s="52"/>
    </row>
    <row r="21" spans="1:8" x14ac:dyDescent="0.3">
      <c r="B21" s="8"/>
      <c r="C21" s="24"/>
      <c r="D21" s="24"/>
      <c r="E21" s="24"/>
      <c r="F21" s="24"/>
      <c r="G21" s="24"/>
      <c r="H21"/>
    </row>
    <row r="22" spans="1:8" x14ac:dyDescent="0.3">
      <c r="B22" s="1" t="s">
        <v>6</v>
      </c>
      <c r="C22" s="1" t="s">
        <v>4</v>
      </c>
      <c r="D22" s="5">
        <f>SUMIF(December10_2020[[#Headers],[KSI_AGO]:[AKOSOMBO_AGO]],"*"&amp;C22,December10_2020[[#Totals],[KSI_AGO]:[AKOSOMBO_AGO]])</f>
        <v>2227000</v>
      </c>
      <c r="E22" s="1" t="s">
        <v>5</v>
      </c>
      <c r="F22" s="5">
        <f>SUMIF(December10_2020[[#Headers],[KSI_AGO]:[AKOSOMBO_AGO]],"*"&amp;E22,December10_2020[[#Totals],[KSI_AGO]:[AKOSOMBO_AGO]])</f>
        <v>2191000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300-000000000000}">
      <formula1>INDIRECT("BDC_List[BDC List]")</formula1>
    </dataValidation>
  </dataValidations>
  <pageMargins left="0.7" right="0.7" top="0.75" bottom="0.75" header="0.3" footer="0.3"/>
  <tableParts count="1">
    <tablePart r:id="rId1"/>
  </tableParts>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sheetPr codeName="Sheet245"/>
  <dimension ref="A1:K32"/>
  <sheetViews>
    <sheetView topLeftCell="A2" workbookViewId="0">
      <selection activeCell="G14" sqref="G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44176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44176</v>
      </c>
    </row>
    <row r="7" spans="2:11" x14ac:dyDescent="0.3">
      <c r="B7" s="6" t="s">
        <v>37</v>
      </c>
      <c r="C7" s="22"/>
      <c r="D7" s="22"/>
      <c r="E7" s="22"/>
      <c r="F7" s="22"/>
      <c r="G7" s="22"/>
      <c r="H7" s="67">
        <f>$G$3</f>
        <v>44176</v>
      </c>
    </row>
    <row r="8" spans="2:11" x14ac:dyDescent="0.3">
      <c r="B8" s="6" t="s">
        <v>17</v>
      </c>
      <c r="C8" s="22">
        <v>54000</v>
      </c>
      <c r="D8" s="22">
        <v>423000</v>
      </c>
      <c r="E8" s="22"/>
      <c r="F8" s="22">
        <v>108000</v>
      </c>
      <c r="G8" s="22"/>
      <c r="H8" s="12">
        <f t="shared" si="0"/>
        <v>44176</v>
      </c>
    </row>
    <row r="9" spans="2:11" ht="15.6" x14ac:dyDescent="0.3">
      <c r="B9" s="34" t="s">
        <v>0</v>
      </c>
      <c r="C9" s="60">
        <v>374000</v>
      </c>
      <c r="D9" s="60">
        <v>423000</v>
      </c>
      <c r="E9" s="60"/>
      <c r="F9" s="60"/>
      <c r="G9" s="61"/>
      <c r="H9" s="12">
        <f t="shared" si="0"/>
        <v>44176</v>
      </c>
    </row>
    <row r="10" spans="2:11" x14ac:dyDescent="0.3">
      <c r="B10" s="6" t="s">
        <v>25</v>
      </c>
      <c r="C10" s="22">
        <v>207000</v>
      </c>
      <c r="D10" s="22">
        <v>319500</v>
      </c>
      <c r="E10" s="22">
        <v>216000</v>
      </c>
      <c r="F10" s="22"/>
      <c r="G10" s="22"/>
      <c r="H10" s="12">
        <f t="shared" si="0"/>
        <v>44176</v>
      </c>
    </row>
    <row r="11" spans="2:11" ht="17.25" customHeight="1" x14ac:dyDescent="0.3">
      <c r="B11" s="6" t="s">
        <v>15</v>
      </c>
      <c r="C11" s="22">
        <v>45000</v>
      </c>
      <c r="D11" s="22"/>
      <c r="E11" s="22"/>
      <c r="F11" s="48">
        <v>162000</v>
      </c>
      <c r="G11" s="22"/>
      <c r="H11" s="12">
        <f t="shared" si="0"/>
        <v>44176</v>
      </c>
    </row>
    <row r="12" spans="2:11" x14ac:dyDescent="0.3">
      <c r="B12" s="6" t="s">
        <v>26</v>
      </c>
      <c r="C12" s="22">
        <v>269500</v>
      </c>
      <c r="D12" s="22">
        <v>262000</v>
      </c>
      <c r="E12" s="22">
        <v>162000</v>
      </c>
      <c r="F12" s="22">
        <v>162000</v>
      </c>
      <c r="G12" s="22"/>
      <c r="H12" s="12">
        <f t="shared" si="0"/>
        <v>44176</v>
      </c>
    </row>
    <row r="13" spans="2:11" x14ac:dyDescent="0.3">
      <c r="B13" s="6" t="s">
        <v>22</v>
      </c>
      <c r="C13" s="23"/>
      <c r="D13" s="23"/>
      <c r="E13" s="23"/>
      <c r="F13" s="22"/>
      <c r="G13" s="23"/>
      <c r="H13" s="12">
        <f t="shared" si="0"/>
        <v>44176</v>
      </c>
      <c r="K13" s="4"/>
    </row>
    <row r="14" spans="2:11" x14ac:dyDescent="0.3">
      <c r="B14" s="6" t="s">
        <v>19</v>
      </c>
      <c r="C14" s="22">
        <v>47000</v>
      </c>
      <c r="D14" s="22"/>
      <c r="E14" s="22"/>
      <c r="F14" s="22"/>
      <c r="G14" s="22">
        <v>216000</v>
      </c>
      <c r="H14" s="12">
        <f t="shared" si="0"/>
        <v>44176</v>
      </c>
    </row>
    <row r="15" spans="2:11" x14ac:dyDescent="0.3">
      <c r="B15" s="6" t="s">
        <v>14</v>
      </c>
      <c r="C15" s="22">
        <v>266000</v>
      </c>
      <c r="D15" s="22"/>
      <c r="E15" s="22"/>
      <c r="F15" s="22"/>
      <c r="G15" s="22"/>
      <c r="H15" s="12">
        <f t="shared" si="0"/>
        <v>44176</v>
      </c>
    </row>
    <row r="16" spans="2:11" x14ac:dyDescent="0.3">
      <c r="B16" s="6" t="s">
        <v>24</v>
      </c>
      <c r="C16" s="22">
        <v>324000</v>
      </c>
      <c r="D16" s="22"/>
      <c r="E16" s="22">
        <v>370000</v>
      </c>
      <c r="F16" s="49"/>
      <c r="G16" s="22"/>
      <c r="H16" s="12">
        <f t="shared" si="0"/>
        <v>44176</v>
      </c>
    </row>
    <row r="17" spans="1:8" x14ac:dyDescent="0.3">
      <c r="B17" s="6" t="s">
        <v>21</v>
      </c>
      <c r="C17" s="22"/>
      <c r="D17" s="22"/>
      <c r="E17" s="22"/>
      <c r="F17" s="22"/>
      <c r="G17" s="22"/>
      <c r="H17" s="12">
        <f t="shared" si="0"/>
        <v>44176</v>
      </c>
    </row>
    <row r="18" spans="1:8" x14ac:dyDescent="0.3">
      <c r="B18" s="6" t="s">
        <v>18</v>
      </c>
      <c r="C18" s="22"/>
      <c r="D18" s="22">
        <v>198000</v>
      </c>
      <c r="E18" s="22"/>
      <c r="F18" s="22"/>
      <c r="G18" s="22"/>
      <c r="H18" s="12">
        <f t="shared" si="0"/>
        <v>44176</v>
      </c>
    </row>
    <row r="19" spans="1:8" x14ac:dyDescent="0.3">
      <c r="B19" s="6" t="s">
        <v>16</v>
      </c>
      <c r="C19" s="22"/>
      <c r="D19" s="22">
        <v>378000</v>
      </c>
      <c r="E19" s="22"/>
      <c r="F19" s="22">
        <v>162000</v>
      </c>
      <c r="G19" s="22"/>
      <c r="H19" s="12">
        <f t="shared" si="0"/>
        <v>44176</v>
      </c>
    </row>
    <row r="20" spans="1:8" x14ac:dyDescent="0.3">
      <c r="B20" s="50" t="s">
        <v>27</v>
      </c>
      <c r="C20" s="51">
        <f>SUM(December11_2020[KSI_AGO])</f>
        <v>1586500</v>
      </c>
      <c r="D20" s="51">
        <f>SUM(December11_2020[KSI_PMS])</f>
        <v>2003500</v>
      </c>
      <c r="E20" s="51">
        <f>SUM(December11_2020[BUIPE_AGO])</f>
        <v>748000</v>
      </c>
      <c r="F20" s="51">
        <f>SUM(December11_2020[BUIPE_PMS])</f>
        <v>594000</v>
      </c>
      <c r="G20" s="51">
        <f>SUM(December11_2020[AKOSOMBO_AGO])</f>
        <v>216000</v>
      </c>
      <c r="H20" s="52"/>
    </row>
    <row r="21" spans="1:8" x14ac:dyDescent="0.3">
      <c r="B21" s="8"/>
      <c r="C21" s="24"/>
      <c r="D21" s="24"/>
      <c r="E21" s="24"/>
      <c r="F21" s="24"/>
      <c r="G21" s="24"/>
      <c r="H21"/>
    </row>
    <row r="22" spans="1:8" x14ac:dyDescent="0.3">
      <c r="B22" s="1" t="s">
        <v>6</v>
      </c>
      <c r="C22" s="1" t="s">
        <v>4</v>
      </c>
      <c r="D22" s="5">
        <f>SUMIF(December11_2020[[#Headers],[KSI_AGO]:[AKOSOMBO_AGO]],"*"&amp;C22,December11_2020[[#Totals],[KSI_AGO]:[AKOSOMBO_AGO]])</f>
        <v>2550500</v>
      </c>
      <c r="E22" s="1" t="s">
        <v>5</v>
      </c>
      <c r="F22" s="5">
        <f>SUMIF(December11_2020[[#Headers],[KSI_AGO]:[AKOSOMBO_AGO]],"*"&amp;E22,December11_2020[[#Totals],[KSI_AGO]:[AKOSOMBO_AGO]])</f>
        <v>2597500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400-000000000000}">
      <formula1>INDIRECT("BDC_List[BDC List]")</formula1>
    </dataValidation>
  </dataValidations>
  <pageMargins left="0.7" right="0.7" top="0.75" bottom="0.75" header="0.3" footer="0.3"/>
  <tableParts count="1">
    <tablePart r:id="rId1"/>
  </tableParts>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sheetPr codeName="Sheet246"/>
  <dimension ref="A1:K32"/>
  <sheetViews>
    <sheetView topLeftCell="C1" workbookViewId="0">
      <selection activeCell="G14" sqref="G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44179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44179</v>
      </c>
    </row>
    <row r="7" spans="2:11" x14ac:dyDescent="0.3">
      <c r="B7" s="6" t="s">
        <v>37</v>
      </c>
      <c r="C7" s="22"/>
      <c r="D7" s="22"/>
      <c r="E7" s="22"/>
      <c r="F7" s="22"/>
      <c r="G7" s="22"/>
      <c r="H7" s="67">
        <f>$G$3</f>
        <v>44179</v>
      </c>
    </row>
    <row r="8" spans="2:11" x14ac:dyDescent="0.3">
      <c r="B8" s="6" t="s">
        <v>17</v>
      </c>
      <c r="C8" s="22">
        <v>162000</v>
      </c>
      <c r="D8" s="22">
        <v>153000</v>
      </c>
      <c r="E8" s="22"/>
      <c r="F8" s="22"/>
      <c r="G8" s="22"/>
      <c r="H8" s="12">
        <f t="shared" si="0"/>
        <v>44179</v>
      </c>
    </row>
    <row r="9" spans="2:11" ht="15.6" x14ac:dyDescent="0.3">
      <c r="B9" s="34" t="s">
        <v>0</v>
      </c>
      <c r="C9" s="60">
        <v>270000</v>
      </c>
      <c r="D9" s="60">
        <v>162000</v>
      </c>
      <c r="E9" s="60"/>
      <c r="F9" s="60"/>
      <c r="G9" s="61"/>
      <c r="H9" s="12">
        <f t="shared" si="0"/>
        <v>44179</v>
      </c>
    </row>
    <row r="10" spans="2:11" x14ac:dyDescent="0.3">
      <c r="B10" s="6" t="s">
        <v>25</v>
      </c>
      <c r="C10" s="22">
        <v>216000</v>
      </c>
      <c r="D10" s="22">
        <v>108000</v>
      </c>
      <c r="E10" s="22">
        <v>216000</v>
      </c>
      <c r="F10" s="22">
        <v>54000</v>
      </c>
      <c r="G10" s="22"/>
      <c r="H10" s="12">
        <f t="shared" si="0"/>
        <v>44179</v>
      </c>
    </row>
    <row r="11" spans="2:11" x14ac:dyDescent="0.3">
      <c r="B11" s="6" t="s">
        <v>15</v>
      </c>
      <c r="C11" s="22"/>
      <c r="D11" s="22">
        <v>270000</v>
      </c>
      <c r="E11" s="22"/>
      <c r="F11" s="48">
        <v>162000</v>
      </c>
      <c r="G11" s="22"/>
      <c r="H11" s="12">
        <f t="shared" si="0"/>
        <v>44179</v>
      </c>
    </row>
    <row r="12" spans="2:11" x14ac:dyDescent="0.3">
      <c r="B12" s="6" t="s">
        <v>26</v>
      </c>
      <c r="C12" s="22">
        <v>216000</v>
      </c>
      <c r="D12" s="22">
        <v>104000</v>
      </c>
      <c r="E12" s="22"/>
      <c r="F12" s="22"/>
      <c r="G12" s="22"/>
      <c r="H12" s="12">
        <f t="shared" si="0"/>
        <v>44179</v>
      </c>
    </row>
    <row r="13" spans="2:11" x14ac:dyDescent="0.3">
      <c r="B13" s="6" t="s">
        <v>22</v>
      </c>
      <c r="C13" s="23"/>
      <c r="D13" s="23"/>
      <c r="E13" s="23"/>
      <c r="F13" s="22"/>
      <c r="G13" s="23"/>
      <c r="H13" s="12">
        <f t="shared" si="0"/>
        <v>44179</v>
      </c>
      <c r="K13" s="4"/>
    </row>
    <row r="14" spans="2:11" x14ac:dyDescent="0.3">
      <c r="B14" s="6" t="s">
        <v>19</v>
      </c>
      <c r="C14" s="22"/>
      <c r="D14" s="22">
        <v>324000</v>
      </c>
      <c r="E14" s="22">
        <v>324000</v>
      </c>
      <c r="F14" s="22"/>
      <c r="G14" s="22"/>
      <c r="H14" s="12">
        <f t="shared" si="0"/>
        <v>44179</v>
      </c>
    </row>
    <row r="15" spans="2:11" x14ac:dyDescent="0.3">
      <c r="B15" s="6" t="s">
        <v>14</v>
      </c>
      <c r="C15" s="22"/>
      <c r="D15" s="22">
        <v>162000</v>
      </c>
      <c r="E15" s="22"/>
      <c r="F15" s="22">
        <v>104000</v>
      </c>
      <c r="G15" s="22"/>
      <c r="H15" s="12">
        <f t="shared" si="0"/>
        <v>44179</v>
      </c>
    </row>
    <row r="16" spans="2:11" x14ac:dyDescent="0.3">
      <c r="B16" s="6" t="s">
        <v>24</v>
      </c>
      <c r="C16" s="22">
        <v>324000</v>
      </c>
      <c r="D16" s="22"/>
      <c r="E16" s="22">
        <v>211500</v>
      </c>
      <c r="F16" s="49"/>
      <c r="G16" s="22"/>
      <c r="H16" s="12">
        <f t="shared" si="0"/>
        <v>44179</v>
      </c>
    </row>
    <row r="17" spans="1:8" x14ac:dyDescent="0.3">
      <c r="B17" s="6" t="s">
        <v>21</v>
      </c>
      <c r="C17" s="22"/>
      <c r="D17" s="22"/>
      <c r="E17" s="22"/>
      <c r="F17" s="22"/>
      <c r="G17" s="22"/>
      <c r="H17" s="12">
        <f t="shared" si="0"/>
        <v>44179</v>
      </c>
    </row>
    <row r="18" spans="1:8" x14ac:dyDescent="0.3">
      <c r="B18" s="6" t="s">
        <v>18</v>
      </c>
      <c r="C18" s="22"/>
      <c r="D18" s="22"/>
      <c r="E18" s="22"/>
      <c r="F18" s="22"/>
      <c r="G18" s="22"/>
      <c r="H18" s="12">
        <f t="shared" si="0"/>
        <v>44179</v>
      </c>
    </row>
    <row r="19" spans="1:8" x14ac:dyDescent="0.3">
      <c r="B19" s="6" t="s">
        <v>16</v>
      </c>
      <c r="C19" s="22"/>
      <c r="D19" s="22">
        <v>216000</v>
      </c>
      <c r="E19" s="22"/>
      <c r="F19" s="22">
        <v>54000</v>
      </c>
      <c r="G19" s="22"/>
      <c r="H19" s="12">
        <f t="shared" si="0"/>
        <v>44179</v>
      </c>
    </row>
    <row r="20" spans="1:8" x14ac:dyDescent="0.3">
      <c r="B20" s="50" t="s">
        <v>27</v>
      </c>
      <c r="C20" s="51">
        <f>SUM(December14_2020[KSI_AGO])</f>
        <v>1188000</v>
      </c>
      <c r="D20" s="51">
        <f>SUM(December14_2020[KSI_PMS])</f>
        <v>1499000</v>
      </c>
      <c r="E20" s="51">
        <f>SUM(December14_2020[BUIPE_AGO])</f>
        <v>751500</v>
      </c>
      <c r="F20" s="51">
        <f>SUM(December14_2020[BUIPE_PMS])</f>
        <v>374000</v>
      </c>
      <c r="G20" s="51">
        <f>SUM(December14_2020[AKOSOMBO_AGO])</f>
        <v>0</v>
      </c>
      <c r="H20" s="52"/>
    </row>
    <row r="21" spans="1:8" x14ac:dyDescent="0.3">
      <c r="B21" s="8"/>
      <c r="C21" s="24"/>
      <c r="D21" s="24"/>
      <c r="E21" s="24"/>
      <c r="F21" s="24"/>
      <c r="G21" s="24"/>
      <c r="H21"/>
    </row>
    <row r="22" spans="1:8" x14ac:dyDescent="0.3">
      <c r="B22" s="1" t="s">
        <v>6</v>
      </c>
      <c r="C22" s="1" t="s">
        <v>4</v>
      </c>
      <c r="D22" s="5">
        <f>SUMIF(December14_2020[[#Headers],[KSI_AGO]:[AKOSOMBO_AGO]],"*"&amp;C22,December14_2020[[#Totals],[KSI_AGO]:[AKOSOMBO_AGO]])</f>
        <v>1939500</v>
      </c>
      <c r="E22" s="1" t="s">
        <v>5</v>
      </c>
      <c r="F22" s="5">
        <f>SUMIF(December14_2020[[#Headers],[KSI_AGO]:[AKOSOMBO_AGO]],"*"&amp;E22,December14_2020[[#Totals],[KSI_AGO]:[AKOSOMBO_AGO]])</f>
        <v>1873000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500-000000000000}">
      <formula1>INDIRECT("BDC_List[BDC List]")</formula1>
    </dataValidation>
  </dataValidations>
  <pageMargins left="0.7" right="0.7" top="0.75" bottom="0.75" header="0.3" footer="0.3"/>
  <tableParts count="1">
    <tablePart r:id="rId1"/>
  </tableParts>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sheetPr codeName="Sheet247"/>
  <dimension ref="A1:K32"/>
  <sheetViews>
    <sheetView topLeftCell="C1" workbookViewId="0">
      <selection activeCell="F7" sqref="F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44180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44180</v>
      </c>
    </row>
    <row r="7" spans="2:11" x14ac:dyDescent="0.3">
      <c r="B7" s="6" t="s">
        <v>37</v>
      </c>
      <c r="C7" s="22"/>
      <c r="D7" s="22"/>
      <c r="E7" s="22"/>
      <c r="F7" s="22"/>
      <c r="G7" s="22"/>
      <c r="H7" s="67">
        <f>$G$3</f>
        <v>44180</v>
      </c>
    </row>
    <row r="8" spans="2:11" x14ac:dyDescent="0.3">
      <c r="B8" s="6" t="s">
        <v>17</v>
      </c>
      <c r="C8" s="22">
        <v>202500</v>
      </c>
      <c r="D8" s="22">
        <v>54000</v>
      </c>
      <c r="E8" s="22"/>
      <c r="F8" s="22"/>
      <c r="G8" s="22"/>
      <c r="H8" s="12">
        <f t="shared" si="0"/>
        <v>44180</v>
      </c>
    </row>
    <row r="9" spans="2:11" ht="15.6" x14ac:dyDescent="0.3">
      <c r="B9" s="34" t="s">
        <v>0</v>
      </c>
      <c r="C9" s="60">
        <v>370000</v>
      </c>
      <c r="D9" s="60">
        <v>54000</v>
      </c>
      <c r="E9" s="60"/>
      <c r="F9" s="60"/>
      <c r="G9" s="61"/>
      <c r="H9" s="12">
        <f t="shared" si="0"/>
        <v>44180</v>
      </c>
    </row>
    <row r="10" spans="2:11" x14ac:dyDescent="0.3">
      <c r="B10" s="6" t="s">
        <v>25</v>
      </c>
      <c r="C10" s="22">
        <v>373500</v>
      </c>
      <c r="D10" s="22">
        <v>108000</v>
      </c>
      <c r="E10" s="22">
        <v>455000</v>
      </c>
      <c r="F10" s="22"/>
      <c r="G10" s="22"/>
      <c r="H10" s="12">
        <f t="shared" si="0"/>
        <v>44180</v>
      </c>
    </row>
    <row r="11" spans="2:11" x14ac:dyDescent="0.3">
      <c r="B11" s="6" t="s">
        <v>15</v>
      </c>
      <c r="C11" s="22">
        <v>104000</v>
      </c>
      <c r="D11" s="22">
        <v>162000</v>
      </c>
      <c r="E11" s="22"/>
      <c r="F11" s="48">
        <v>54000</v>
      </c>
      <c r="G11" s="22"/>
      <c r="H11" s="12">
        <f t="shared" si="0"/>
        <v>44180</v>
      </c>
    </row>
    <row r="12" spans="2:11" x14ac:dyDescent="0.3">
      <c r="B12" s="6" t="s">
        <v>26</v>
      </c>
      <c r="C12" s="22">
        <v>261500</v>
      </c>
      <c r="D12" s="22">
        <v>108000</v>
      </c>
      <c r="E12" s="22">
        <v>45000</v>
      </c>
      <c r="F12" s="22"/>
      <c r="G12" s="22"/>
      <c r="H12" s="12">
        <f t="shared" si="0"/>
        <v>44180</v>
      </c>
    </row>
    <row r="13" spans="2:11" x14ac:dyDescent="0.3">
      <c r="B13" s="6" t="s">
        <v>22</v>
      </c>
      <c r="C13" s="23"/>
      <c r="D13" s="23"/>
      <c r="E13" s="23"/>
      <c r="F13" s="22"/>
      <c r="G13" s="23"/>
      <c r="H13" s="12">
        <f t="shared" si="0"/>
        <v>44180</v>
      </c>
      <c r="K13" s="4"/>
    </row>
    <row r="14" spans="2:11" x14ac:dyDescent="0.3">
      <c r="B14" s="6" t="s">
        <v>19</v>
      </c>
      <c r="C14" s="22"/>
      <c r="D14" s="22">
        <v>432000</v>
      </c>
      <c r="E14" s="22"/>
      <c r="F14" s="22"/>
      <c r="G14" s="22"/>
      <c r="H14" s="12">
        <f t="shared" si="0"/>
        <v>44180</v>
      </c>
    </row>
    <row r="15" spans="2:11" x14ac:dyDescent="0.3">
      <c r="B15" s="6" t="s">
        <v>14</v>
      </c>
      <c r="C15" s="22"/>
      <c r="D15" s="22">
        <v>108000</v>
      </c>
      <c r="E15" s="22"/>
      <c r="F15" s="22"/>
      <c r="G15" s="22"/>
      <c r="H15" s="12">
        <f t="shared" si="0"/>
        <v>44180</v>
      </c>
    </row>
    <row r="16" spans="2:11" x14ac:dyDescent="0.3">
      <c r="B16" s="6" t="s">
        <v>24</v>
      </c>
      <c r="C16" s="22">
        <v>594000</v>
      </c>
      <c r="D16" s="22"/>
      <c r="E16" s="22">
        <v>162000</v>
      </c>
      <c r="F16" s="49"/>
      <c r="G16" s="22"/>
      <c r="H16" s="12">
        <f t="shared" si="0"/>
        <v>44180</v>
      </c>
    </row>
    <row r="17" spans="1:8" x14ac:dyDescent="0.3">
      <c r="B17" s="6" t="s">
        <v>21</v>
      </c>
      <c r="C17" s="22"/>
      <c r="D17" s="22"/>
      <c r="E17" s="22"/>
      <c r="F17" s="22"/>
      <c r="G17" s="22"/>
      <c r="H17" s="12">
        <f t="shared" si="0"/>
        <v>44180</v>
      </c>
    </row>
    <row r="18" spans="1:8" x14ac:dyDescent="0.3">
      <c r="B18" s="6" t="s">
        <v>18</v>
      </c>
      <c r="C18" s="22"/>
      <c r="D18" s="22"/>
      <c r="E18" s="22"/>
      <c r="F18" s="22"/>
      <c r="G18" s="22"/>
      <c r="H18" s="12">
        <f t="shared" si="0"/>
        <v>44180</v>
      </c>
    </row>
    <row r="19" spans="1:8" x14ac:dyDescent="0.3">
      <c r="B19" s="6" t="s">
        <v>16</v>
      </c>
      <c r="C19" s="22"/>
      <c r="D19" s="22">
        <v>261500</v>
      </c>
      <c r="E19" s="22"/>
      <c r="F19" s="22"/>
      <c r="G19" s="22"/>
      <c r="H19" s="12">
        <f t="shared" si="0"/>
        <v>44180</v>
      </c>
    </row>
    <row r="20" spans="1:8" x14ac:dyDescent="0.3">
      <c r="B20" s="50" t="s">
        <v>27</v>
      </c>
      <c r="C20" s="51">
        <f>SUM(December15_2020[KSI_AGO])</f>
        <v>1905500</v>
      </c>
      <c r="D20" s="51">
        <f>SUM(December15_2020[KSI_PMS])</f>
        <v>1287500</v>
      </c>
      <c r="E20" s="51">
        <f>SUM(December15_2020[BUIPE_AGO])</f>
        <v>662000</v>
      </c>
      <c r="F20" s="51">
        <f>SUM(December15_2020[BUIPE_PMS])</f>
        <v>54000</v>
      </c>
      <c r="G20" s="51">
        <f>SUM(December15_2020[AKOSOMBO_AGO])</f>
        <v>0</v>
      </c>
      <c r="H20" s="52"/>
    </row>
    <row r="21" spans="1:8" x14ac:dyDescent="0.3">
      <c r="B21" s="8"/>
      <c r="C21" s="24"/>
      <c r="D21" s="24"/>
      <c r="E21" s="24"/>
      <c r="F21" s="24"/>
      <c r="G21" s="24"/>
      <c r="H21"/>
    </row>
    <row r="22" spans="1:8" x14ac:dyDescent="0.3">
      <c r="B22" s="1" t="s">
        <v>6</v>
      </c>
      <c r="C22" s="1" t="s">
        <v>4</v>
      </c>
      <c r="D22" s="5">
        <f>SUMIF(December15_2020[[#Headers],[KSI_AGO]:[AKOSOMBO_AGO]],"*"&amp;C22,December15_2020[[#Totals],[KSI_AGO]:[AKOSOMBO_AGO]])</f>
        <v>2567500</v>
      </c>
      <c r="E22" s="1" t="s">
        <v>5</v>
      </c>
      <c r="F22" s="5">
        <f>SUMIF(December15_2020[[#Headers],[KSI_AGO]:[AKOSOMBO_AGO]],"*"&amp;E22,December15_2020[[#Totals],[KSI_AGO]:[AKOSOMBO_AGO]])</f>
        <v>1341500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600-000000000000}">
      <formula1>INDIRECT("BDC_List[BDC List]")</formula1>
    </dataValidation>
  </dataValidations>
  <pageMargins left="0.7" right="0.7" top="0.75" bottom="0.75" header="0.3" footer="0.3"/>
  <tableParts count="1">
    <tablePart r:id="rId1"/>
  </tableParts>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sheetPr codeName="Sheet248"/>
  <dimension ref="A1:K32"/>
  <sheetViews>
    <sheetView topLeftCell="D1" workbookViewId="0">
      <selection activeCell="G12" sqref="G1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44181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44181</v>
      </c>
    </row>
    <row r="7" spans="2:11" x14ac:dyDescent="0.3">
      <c r="B7" s="6" t="s">
        <v>37</v>
      </c>
      <c r="C7" s="22"/>
      <c r="D7" s="22"/>
      <c r="E7" s="22"/>
      <c r="F7" s="22"/>
      <c r="G7" s="22"/>
      <c r="H7" s="67">
        <f>$G$3</f>
        <v>44181</v>
      </c>
    </row>
    <row r="8" spans="2:11" x14ac:dyDescent="0.3">
      <c r="B8" s="6" t="s">
        <v>17</v>
      </c>
      <c r="C8" s="22">
        <v>324000</v>
      </c>
      <c r="D8" s="22">
        <v>162000</v>
      </c>
      <c r="E8" s="22"/>
      <c r="F8" s="22"/>
      <c r="G8" s="22"/>
      <c r="H8" s="12">
        <f t="shared" si="0"/>
        <v>44181</v>
      </c>
    </row>
    <row r="9" spans="2:11" ht="15.6" x14ac:dyDescent="0.3">
      <c r="B9" s="34" t="s">
        <v>0</v>
      </c>
      <c r="C9" s="60">
        <v>432000</v>
      </c>
      <c r="D9" s="60">
        <v>45000</v>
      </c>
      <c r="E9" s="60"/>
      <c r="F9" s="60"/>
      <c r="G9" s="61"/>
      <c r="H9" s="12">
        <f t="shared" si="0"/>
        <v>44181</v>
      </c>
    </row>
    <row r="10" spans="2:11" x14ac:dyDescent="0.3">
      <c r="B10" s="6" t="s">
        <v>25</v>
      </c>
      <c r="C10" s="22">
        <v>432000</v>
      </c>
      <c r="D10" s="22">
        <v>266000</v>
      </c>
      <c r="E10" s="22"/>
      <c r="F10" s="22">
        <v>54000</v>
      </c>
      <c r="G10" s="22"/>
      <c r="H10" s="12">
        <f t="shared" si="0"/>
        <v>44181</v>
      </c>
    </row>
    <row r="11" spans="2:11" x14ac:dyDescent="0.3">
      <c r="B11" s="6" t="s">
        <v>15</v>
      </c>
      <c r="C11" s="22"/>
      <c r="D11" s="22">
        <v>486000</v>
      </c>
      <c r="E11" s="22"/>
      <c r="F11" s="48">
        <v>216000</v>
      </c>
      <c r="G11" s="22"/>
      <c r="H11" s="12">
        <f t="shared" si="0"/>
        <v>44181</v>
      </c>
    </row>
    <row r="12" spans="2:11" x14ac:dyDescent="0.3">
      <c r="B12" s="6" t="s">
        <v>26</v>
      </c>
      <c r="C12" s="22">
        <v>311000</v>
      </c>
      <c r="D12" s="22">
        <v>270000</v>
      </c>
      <c r="E12" s="22">
        <v>95000</v>
      </c>
      <c r="F12" s="22"/>
      <c r="G12" s="22"/>
      <c r="H12" s="12">
        <f t="shared" si="0"/>
        <v>44181</v>
      </c>
    </row>
    <row r="13" spans="2:11" x14ac:dyDescent="0.3">
      <c r="B13" s="6" t="s">
        <v>22</v>
      </c>
      <c r="C13" s="23"/>
      <c r="D13" s="23"/>
      <c r="E13" s="23"/>
      <c r="F13" s="22"/>
      <c r="G13" s="23"/>
      <c r="H13" s="12">
        <f t="shared" si="0"/>
        <v>44181</v>
      </c>
      <c r="K13" s="4"/>
    </row>
    <row r="14" spans="2:11" x14ac:dyDescent="0.3">
      <c r="B14" s="6" t="s">
        <v>19</v>
      </c>
      <c r="C14" s="22"/>
      <c r="D14" s="22"/>
      <c r="E14" s="22">
        <v>162000</v>
      </c>
      <c r="F14" s="22"/>
      <c r="G14" s="22"/>
      <c r="H14" s="12">
        <f t="shared" si="0"/>
        <v>44181</v>
      </c>
    </row>
    <row r="15" spans="2:11" x14ac:dyDescent="0.3">
      <c r="B15" s="6" t="s">
        <v>14</v>
      </c>
      <c r="C15" s="22"/>
      <c r="D15" s="22">
        <v>360000</v>
      </c>
      <c r="E15" s="22"/>
      <c r="F15" s="22">
        <v>157500</v>
      </c>
      <c r="G15" s="22"/>
      <c r="H15" s="12">
        <f t="shared" si="0"/>
        <v>44181</v>
      </c>
    </row>
    <row r="16" spans="2:11" x14ac:dyDescent="0.3">
      <c r="B16" s="6" t="s">
        <v>24</v>
      </c>
      <c r="C16" s="22">
        <v>918000</v>
      </c>
      <c r="D16" s="22"/>
      <c r="E16" s="22">
        <v>162000</v>
      </c>
      <c r="F16" s="49"/>
      <c r="G16" s="22"/>
      <c r="H16" s="12">
        <f t="shared" si="0"/>
        <v>44181</v>
      </c>
    </row>
    <row r="17" spans="1:8" x14ac:dyDescent="0.3">
      <c r="B17" s="6" t="s">
        <v>21</v>
      </c>
      <c r="C17" s="22"/>
      <c r="D17" s="22"/>
      <c r="E17" s="22"/>
      <c r="F17" s="22"/>
      <c r="G17" s="22"/>
      <c r="H17" s="12">
        <f t="shared" si="0"/>
        <v>44181</v>
      </c>
    </row>
    <row r="18" spans="1:8" x14ac:dyDescent="0.3">
      <c r="B18" s="6" t="s">
        <v>18</v>
      </c>
      <c r="C18" s="22"/>
      <c r="D18" s="22"/>
      <c r="E18" s="22"/>
      <c r="F18" s="22">
        <v>104000</v>
      </c>
      <c r="G18" s="22"/>
      <c r="H18" s="12">
        <f t="shared" si="0"/>
        <v>44181</v>
      </c>
    </row>
    <row r="19" spans="1:8" x14ac:dyDescent="0.3">
      <c r="B19" s="6" t="s">
        <v>16</v>
      </c>
      <c r="C19" s="22"/>
      <c r="D19" s="22">
        <v>428000</v>
      </c>
      <c r="E19" s="22"/>
      <c r="F19" s="22">
        <v>162000</v>
      </c>
      <c r="G19" s="22"/>
      <c r="H19" s="12">
        <f t="shared" si="0"/>
        <v>44181</v>
      </c>
    </row>
    <row r="20" spans="1:8" x14ac:dyDescent="0.3">
      <c r="B20" s="50" t="s">
        <v>27</v>
      </c>
      <c r="C20" s="51">
        <f>SUM(December16_2020[KSI_AGO])</f>
        <v>2417000</v>
      </c>
      <c r="D20" s="51">
        <f>SUM(December16_2020[KSI_PMS])</f>
        <v>2017000</v>
      </c>
      <c r="E20" s="51">
        <f>SUM(December16_2020[BUIPE_AGO])</f>
        <v>419000</v>
      </c>
      <c r="F20" s="51">
        <f>SUM(December16_2020[BUIPE_PMS])</f>
        <v>693500</v>
      </c>
      <c r="G20" s="51">
        <f>SUM(December16_2020[AKOSOMBO_AGO])</f>
        <v>0</v>
      </c>
      <c r="H20" s="52"/>
    </row>
    <row r="21" spans="1:8" x14ac:dyDescent="0.3">
      <c r="B21" s="8"/>
      <c r="C21" s="24"/>
      <c r="D21" s="24"/>
      <c r="E21" s="24"/>
      <c r="F21" s="24"/>
      <c r="G21" s="24"/>
      <c r="H21"/>
    </row>
    <row r="22" spans="1:8" x14ac:dyDescent="0.3">
      <c r="B22" s="1" t="s">
        <v>6</v>
      </c>
      <c r="C22" s="1" t="s">
        <v>4</v>
      </c>
      <c r="D22" s="5">
        <f>SUMIF(December16_2020[[#Headers],[KSI_AGO]:[AKOSOMBO_AGO]],"*"&amp;C22,December16_2020[[#Totals],[KSI_AGO]:[AKOSOMBO_AGO]])</f>
        <v>2836000</v>
      </c>
      <c r="E22" s="1" t="s">
        <v>5</v>
      </c>
      <c r="F22" s="5">
        <f>SUMIF(December16_2020[[#Headers],[KSI_AGO]:[AKOSOMBO_AGO]],"*"&amp;E22,December16_2020[[#Totals],[KSI_AGO]:[AKOSOMBO_AGO]])</f>
        <v>2710500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700-000000000000}">
      <formula1>INDIRECT("BDC_List[BDC List]")</formula1>
    </dataValidation>
  </dataValidations>
  <pageMargins left="0.7" right="0.7" top="0.75" bottom="0.75" header="0.3" footer="0.3"/>
  <tableParts count="1">
    <tablePart r:id="rId1"/>
  </tableParts>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sheetPr codeName="Sheet249"/>
  <dimension ref="A1:K32"/>
  <sheetViews>
    <sheetView topLeftCell="D1" workbookViewId="0">
      <selection activeCell="M27" sqref="M2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44182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44182</v>
      </c>
    </row>
    <row r="7" spans="2:11" x14ac:dyDescent="0.3">
      <c r="B7" s="6" t="s">
        <v>37</v>
      </c>
      <c r="C7" s="22"/>
      <c r="D7" s="22"/>
      <c r="E7" s="22"/>
      <c r="F7" s="22"/>
      <c r="G7" s="22"/>
      <c r="H7" s="67">
        <f>$G$3</f>
        <v>44182</v>
      </c>
    </row>
    <row r="8" spans="2:11" x14ac:dyDescent="0.3">
      <c r="B8" s="6" t="s">
        <v>17</v>
      </c>
      <c r="C8" s="22">
        <v>216000</v>
      </c>
      <c r="D8" s="22">
        <v>268000</v>
      </c>
      <c r="E8" s="22"/>
      <c r="F8" s="22"/>
      <c r="G8" s="22"/>
      <c r="H8" s="12">
        <f t="shared" si="0"/>
        <v>44182</v>
      </c>
    </row>
    <row r="9" spans="2:11" ht="15.6" x14ac:dyDescent="0.3">
      <c r="B9" s="34" t="s">
        <v>0</v>
      </c>
      <c r="C9" s="60"/>
      <c r="D9" s="60"/>
      <c r="E9" s="60"/>
      <c r="F9" s="60"/>
      <c r="G9" s="61"/>
      <c r="H9" s="12">
        <f t="shared" si="0"/>
        <v>44182</v>
      </c>
    </row>
    <row r="10" spans="2:11" x14ac:dyDescent="0.3">
      <c r="B10" s="6" t="s">
        <v>25</v>
      </c>
      <c r="C10" s="22">
        <v>216000</v>
      </c>
      <c r="D10" s="22">
        <v>270000</v>
      </c>
      <c r="E10" s="22">
        <v>54000</v>
      </c>
      <c r="F10" s="22">
        <v>54000</v>
      </c>
      <c r="G10" s="22"/>
      <c r="H10" s="12">
        <f t="shared" si="0"/>
        <v>44182</v>
      </c>
    </row>
    <row r="11" spans="2:11" x14ac:dyDescent="0.3">
      <c r="B11" s="6" t="s">
        <v>15</v>
      </c>
      <c r="C11" s="22"/>
      <c r="D11" s="22">
        <v>263000</v>
      </c>
      <c r="E11" s="22"/>
      <c r="F11" s="48">
        <v>216000</v>
      </c>
      <c r="G11" s="22"/>
      <c r="H11" s="12">
        <f t="shared" si="0"/>
        <v>44182</v>
      </c>
    </row>
    <row r="12" spans="2:11" x14ac:dyDescent="0.3">
      <c r="B12" s="6" t="s">
        <v>26</v>
      </c>
      <c r="C12" s="22">
        <v>212000</v>
      </c>
      <c r="D12" s="22">
        <v>216000</v>
      </c>
      <c r="E12" s="22">
        <v>45000</v>
      </c>
      <c r="F12" s="22">
        <v>54000</v>
      </c>
      <c r="G12" s="22"/>
      <c r="H12" s="12">
        <f t="shared" si="0"/>
        <v>44182</v>
      </c>
    </row>
    <row r="13" spans="2:11" x14ac:dyDescent="0.3">
      <c r="B13" s="6" t="s">
        <v>22</v>
      </c>
      <c r="C13" s="23"/>
      <c r="D13" s="23"/>
      <c r="E13" s="23"/>
      <c r="F13" s="22"/>
      <c r="G13" s="23"/>
      <c r="H13" s="12">
        <f t="shared" si="0"/>
        <v>44182</v>
      </c>
      <c r="K13" s="4"/>
    </row>
    <row r="14" spans="2:11" x14ac:dyDescent="0.3">
      <c r="B14" s="6" t="s">
        <v>19</v>
      </c>
      <c r="C14" s="22"/>
      <c r="D14" s="22"/>
      <c r="E14" s="22">
        <v>324000</v>
      </c>
      <c r="F14" s="22"/>
      <c r="G14" s="22"/>
      <c r="H14" s="12">
        <f t="shared" si="0"/>
        <v>44182</v>
      </c>
    </row>
    <row r="15" spans="2:11" x14ac:dyDescent="0.3">
      <c r="B15" s="6" t="s">
        <v>14</v>
      </c>
      <c r="C15" s="22">
        <v>162000</v>
      </c>
      <c r="D15" s="22">
        <v>266000</v>
      </c>
      <c r="E15" s="22"/>
      <c r="F15" s="22">
        <v>216000</v>
      </c>
      <c r="G15" s="22"/>
      <c r="H15" s="12">
        <f t="shared" si="0"/>
        <v>44182</v>
      </c>
    </row>
    <row r="16" spans="2:11" x14ac:dyDescent="0.3">
      <c r="B16" s="6" t="s">
        <v>24</v>
      </c>
      <c r="C16" s="22">
        <v>324000</v>
      </c>
      <c r="D16" s="22"/>
      <c r="E16" s="22">
        <v>54000</v>
      </c>
      <c r="F16" s="49"/>
      <c r="G16" s="22"/>
      <c r="H16" s="12">
        <f t="shared" si="0"/>
        <v>44182</v>
      </c>
    </row>
    <row r="17" spans="1:8" x14ac:dyDescent="0.3">
      <c r="B17" s="6" t="s">
        <v>21</v>
      </c>
      <c r="C17" s="22"/>
      <c r="D17" s="22"/>
      <c r="E17" s="22"/>
      <c r="F17" s="22"/>
      <c r="G17" s="22"/>
      <c r="H17" s="12">
        <f t="shared" si="0"/>
        <v>44182</v>
      </c>
    </row>
    <row r="18" spans="1:8" x14ac:dyDescent="0.3">
      <c r="B18" s="6" t="s">
        <v>18</v>
      </c>
      <c r="C18" s="22">
        <v>324000</v>
      </c>
      <c r="D18" s="22"/>
      <c r="E18" s="22">
        <v>54000</v>
      </c>
      <c r="F18" s="22">
        <v>54000</v>
      </c>
      <c r="G18" s="22"/>
      <c r="H18" s="12">
        <f t="shared" si="0"/>
        <v>44182</v>
      </c>
    </row>
    <row r="19" spans="1:8" x14ac:dyDescent="0.3">
      <c r="B19" s="6" t="s">
        <v>16</v>
      </c>
      <c r="C19" s="22">
        <v>343000</v>
      </c>
      <c r="D19" s="22">
        <v>270000</v>
      </c>
      <c r="E19" s="22">
        <v>369000</v>
      </c>
      <c r="F19" s="22">
        <v>162000</v>
      </c>
      <c r="G19" s="22"/>
      <c r="H19" s="12">
        <f t="shared" si="0"/>
        <v>44182</v>
      </c>
    </row>
    <row r="20" spans="1:8" x14ac:dyDescent="0.3">
      <c r="B20" s="50" t="s">
        <v>27</v>
      </c>
      <c r="C20" s="51">
        <f>SUM(December17_2020[KSI_AGO])</f>
        <v>1797000</v>
      </c>
      <c r="D20" s="51">
        <f>SUM(December17_2020[KSI_PMS])</f>
        <v>1553000</v>
      </c>
      <c r="E20" s="51">
        <f>SUM(December17_2020[BUIPE_AGO])</f>
        <v>900000</v>
      </c>
      <c r="F20" s="51">
        <f>SUM(December17_2020[BUIPE_PMS])</f>
        <v>756000</v>
      </c>
      <c r="G20" s="51">
        <f>SUM(December17_2020[AKOSOMBO_AGO])</f>
        <v>0</v>
      </c>
      <c r="H20" s="52"/>
    </row>
    <row r="21" spans="1:8" x14ac:dyDescent="0.3">
      <c r="B21" s="8"/>
      <c r="C21" s="24"/>
      <c r="D21" s="24"/>
      <c r="E21" s="24"/>
      <c r="F21" s="24"/>
      <c r="G21" s="24"/>
      <c r="H21"/>
    </row>
    <row r="22" spans="1:8" x14ac:dyDescent="0.3">
      <c r="B22" s="1" t="s">
        <v>6</v>
      </c>
      <c r="C22" s="1" t="s">
        <v>4</v>
      </c>
      <c r="D22" s="5">
        <f>SUMIF(December17_2020[[#Headers],[KSI_AGO]:[AKOSOMBO_AGO]],"*"&amp;C22,December17_2020[[#Totals],[KSI_AGO]:[AKOSOMBO_AGO]])</f>
        <v>2697000</v>
      </c>
      <c r="E22" s="1" t="s">
        <v>5</v>
      </c>
      <c r="F22" s="5">
        <f>SUMIF(December17_2020[[#Headers],[KSI_AGO]:[AKOSOMBO_AGO]],"*"&amp;E22,December17_2020[[#Totals],[KSI_AGO]:[AKOSOMBO_AGO]])</f>
        <v>2309000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800-000000000000}">
      <formula1>INDIRECT("BDC_List[BDC List]")</formula1>
    </dataValidation>
  </dataValidations>
  <pageMargins left="0.7" right="0.7" top="0.75" bottom="0.75" header="0.3" footer="0.3"/>
  <tableParts count="1">
    <tablePart r:id="rId1"/>
  </tableParts>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sheetPr codeName="Sheet250"/>
  <dimension ref="A1:K32"/>
  <sheetViews>
    <sheetView workbookViewId="0">
      <selection activeCell="E20" sqref="E2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44183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44183</v>
      </c>
    </row>
    <row r="7" spans="2:11" x14ac:dyDescent="0.3">
      <c r="B7" s="6" t="s">
        <v>37</v>
      </c>
      <c r="C7" s="22"/>
      <c r="D7" s="22"/>
      <c r="E7" s="22"/>
      <c r="F7" s="22"/>
      <c r="G7" s="22"/>
      <c r="H7" s="67">
        <f>$G$3</f>
        <v>44183</v>
      </c>
    </row>
    <row r="8" spans="2:11" x14ac:dyDescent="0.3">
      <c r="B8" s="6" t="s">
        <v>17</v>
      </c>
      <c r="C8" s="22">
        <v>95000</v>
      </c>
      <c r="D8" s="22">
        <v>216000</v>
      </c>
      <c r="E8" s="22"/>
      <c r="F8" s="22"/>
      <c r="G8" s="22"/>
      <c r="H8" s="12">
        <f t="shared" si="0"/>
        <v>44183</v>
      </c>
    </row>
    <row r="9" spans="2:11" ht="15.6" x14ac:dyDescent="0.3">
      <c r="B9" s="34" t="s">
        <v>0</v>
      </c>
      <c r="C9" s="60">
        <v>54000</v>
      </c>
      <c r="D9" s="60"/>
      <c r="E9" s="60"/>
      <c r="F9" s="60"/>
      <c r="G9" s="61"/>
      <c r="H9" s="12">
        <f t="shared" si="0"/>
        <v>44183</v>
      </c>
    </row>
    <row r="10" spans="2:11" x14ac:dyDescent="0.3">
      <c r="B10" s="6" t="s">
        <v>25</v>
      </c>
      <c r="C10" s="22">
        <v>216000</v>
      </c>
      <c r="D10" s="22">
        <v>216000</v>
      </c>
      <c r="E10" s="22"/>
      <c r="F10" s="22">
        <v>320000</v>
      </c>
      <c r="G10" s="22"/>
      <c r="H10" s="12">
        <f t="shared" si="0"/>
        <v>44183</v>
      </c>
    </row>
    <row r="11" spans="2:11" x14ac:dyDescent="0.3">
      <c r="B11" s="6" t="s">
        <v>15</v>
      </c>
      <c r="C11" s="22"/>
      <c r="D11" s="22">
        <v>54000</v>
      </c>
      <c r="E11" s="22"/>
      <c r="F11" s="48">
        <v>428000</v>
      </c>
      <c r="G11" s="22"/>
      <c r="H11" s="12">
        <f t="shared" si="0"/>
        <v>44183</v>
      </c>
    </row>
    <row r="12" spans="2:11" x14ac:dyDescent="0.3">
      <c r="B12" s="6" t="s">
        <v>26</v>
      </c>
      <c r="C12" s="22"/>
      <c r="D12" s="22">
        <v>158000</v>
      </c>
      <c r="E12" s="22"/>
      <c r="F12" s="22"/>
      <c r="G12" s="22"/>
      <c r="H12" s="12">
        <f t="shared" si="0"/>
        <v>44183</v>
      </c>
    </row>
    <row r="13" spans="2:11" x14ac:dyDescent="0.3">
      <c r="B13" s="6" t="s">
        <v>22</v>
      </c>
      <c r="C13" s="23"/>
      <c r="D13" s="23"/>
      <c r="E13" s="23"/>
      <c r="F13" s="22"/>
      <c r="G13" s="23"/>
      <c r="H13" s="12">
        <f t="shared" si="0"/>
        <v>44183</v>
      </c>
      <c r="K13" s="4"/>
    </row>
    <row r="14" spans="2:11" x14ac:dyDescent="0.3">
      <c r="B14" s="6" t="s">
        <v>19</v>
      </c>
      <c r="C14" s="22">
        <v>216000</v>
      </c>
      <c r="D14" s="22"/>
      <c r="E14" s="22">
        <v>324000</v>
      </c>
      <c r="F14" s="22"/>
      <c r="G14" s="22"/>
      <c r="H14" s="12">
        <f t="shared" si="0"/>
        <v>44183</v>
      </c>
    </row>
    <row r="15" spans="2:11" x14ac:dyDescent="0.3">
      <c r="B15" s="6" t="s">
        <v>14</v>
      </c>
      <c r="C15" s="22"/>
      <c r="D15" s="22">
        <v>370000</v>
      </c>
      <c r="E15" s="22"/>
      <c r="F15" s="22">
        <v>162000</v>
      </c>
      <c r="G15" s="22"/>
      <c r="H15" s="12">
        <f t="shared" si="0"/>
        <v>44183</v>
      </c>
    </row>
    <row r="16" spans="2:11" x14ac:dyDescent="0.3">
      <c r="B16" s="6" t="s">
        <v>24</v>
      </c>
      <c r="C16" s="22">
        <v>270000</v>
      </c>
      <c r="D16" s="22"/>
      <c r="E16" s="22"/>
      <c r="F16" s="49"/>
      <c r="G16" s="22"/>
      <c r="H16" s="12">
        <f t="shared" si="0"/>
        <v>44183</v>
      </c>
    </row>
    <row r="17" spans="1:8" x14ac:dyDescent="0.3">
      <c r="B17" s="6" t="s">
        <v>21</v>
      </c>
      <c r="C17" s="22"/>
      <c r="D17" s="22"/>
      <c r="E17" s="22"/>
      <c r="F17" s="22"/>
      <c r="G17" s="22"/>
      <c r="H17" s="12">
        <f t="shared" si="0"/>
        <v>44183</v>
      </c>
    </row>
    <row r="18" spans="1:8" x14ac:dyDescent="0.3">
      <c r="B18" s="6" t="s">
        <v>18</v>
      </c>
      <c r="C18" s="22">
        <v>207000</v>
      </c>
      <c r="D18" s="22"/>
      <c r="E18" s="22"/>
      <c r="F18" s="22">
        <v>216000</v>
      </c>
      <c r="G18" s="22"/>
      <c r="H18" s="12">
        <f t="shared" si="0"/>
        <v>44183</v>
      </c>
    </row>
    <row r="19" spans="1:8" x14ac:dyDescent="0.3">
      <c r="B19" s="6" t="s">
        <v>16</v>
      </c>
      <c r="C19" s="22">
        <v>212000</v>
      </c>
      <c r="D19" s="22"/>
      <c r="E19" s="22">
        <v>324000</v>
      </c>
      <c r="F19" s="22">
        <v>162000</v>
      </c>
      <c r="G19" s="22"/>
      <c r="H19" s="12">
        <f t="shared" si="0"/>
        <v>44183</v>
      </c>
    </row>
    <row r="20" spans="1:8" x14ac:dyDescent="0.3">
      <c r="B20" s="50" t="s">
        <v>27</v>
      </c>
      <c r="C20" s="51">
        <f>SUM(December18_2020[KSI_AGO])</f>
        <v>1270000</v>
      </c>
      <c r="D20" s="51">
        <f>SUM(December18_2020[KSI_PMS])</f>
        <v>1014000</v>
      </c>
      <c r="E20" s="51">
        <f>SUM(December18_2020[BUIPE_AGO])</f>
        <v>648000</v>
      </c>
      <c r="F20" s="51">
        <f>SUM(December18_2020[BUIPE_PMS])</f>
        <v>1288000</v>
      </c>
      <c r="G20" s="51">
        <f>SUM(December18_2020[AKOSOMBO_AGO])</f>
        <v>0</v>
      </c>
      <c r="H20" s="52"/>
    </row>
    <row r="21" spans="1:8" x14ac:dyDescent="0.3">
      <c r="B21" s="8"/>
      <c r="C21" s="24"/>
      <c r="D21" s="24"/>
      <c r="E21" s="24"/>
      <c r="F21" s="24"/>
      <c r="G21" s="24"/>
      <c r="H21"/>
    </row>
    <row r="22" spans="1:8" x14ac:dyDescent="0.3">
      <c r="B22" s="1" t="s">
        <v>6</v>
      </c>
      <c r="C22" s="1" t="s">
        <v>4</v>
      </c>
      <c r="D22" s="5">
        <f>SUMIF(December18_2020[[#Headers],[KSI_AGO]:[AKOSOMBO_AGO]],"*"&amp;C22,December18_2020[[#Totals],[KSI_AGO]:[AKOSOMBO_AGO]])</f>
        <v>1918000</v>
      </c>
      <c r="E22" s="1" t="s">
        <v>5</v>
      </c>
      <c r="F22" s="5">
        <f>SUMIF(December18_2020[[#Headers],[KSI_AGO]:[AKOSOMBO_AGO]],"*"&amp;E22,December18_2020[[#Totals],[KSI_AGO]:[AKOSOMBO_AGO]])</f>
        <v>2302000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900-000000000000}">
      <formula1>INDIRECT("BDC_List[BDC List]")</formula1>
    </dataValidation>
  </dataValidations>
  <pageMargins left="0.7" right="0.7" top="0.75" bottom="0.75" header="0.3" footer="0.3"/>
  <tableParts count="1">
    <tablePart r:id="rId1"/>
  </tableParts>
</worksheet>
</file>

<file path=xl/worksheets/sheet2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sheetPr codeName="Sheet251"/>
  <dimension ref="A1:K32"/>
  <sheetViews>
    <sheetView workbookViewId="0">
      <selection activeCell="E27" sqref="E2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44186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44186</v>
      </c>
    </row>
    <row r="7" spans="2:11" x14ac:dyDescent="0.3">
      <c r="B7" s="6" t="s">
        <v>37</v>
      </c>
      <c r="C7" s="22"/>
      <c r="D7" s="22"/>
      <c r="E7" s="22"/>
      <c r="F7" s="22"/>
      <c r="G7" s="22"/>
      <c r="H7" s="67">
        <f>$G$3</f>
        <v>44186</v>
      </c>
    </row>
    <row r="8" spans="2:11" x14ac:dyDescent="0.3">
      <c r="B8" s="6" t="s">
        <v>17</v>
      </c>
      <c r="C8" s="22"/>
      <c r="D8" s="22"/>
      <c r="E8" s="22"/>
      <c r="F8" s="22">
        <v>54000</v>
      </c>
      <c r="G8" s="22"/>
      <c r="H8" s="12">
        <f t="shared" si="0"/>
        <v>44186</v>
      </c>
    </row>
    <row r="9" spans="2:11" ht="15.6" x14ac:dyDescent="0.3">
      <c r="B9" s="34" t="s">
        <v>0</v>
      </c>
      <c r="C9" s="60"/>
      <c r="D9" s="60"/>
      <c r="E9" s="60"/>
      <c r="F9" s="60"/>
      <c r="G9" s="61"/>
      <c r="H9" s="12">
        <f t="shared" si="0"/>
        <v>44186</v>
      </c>
    </row>
    <row r="10" spans="2:11" x14ac:dyDescent="0.3">
      <c r="B10" s="6" t="s">
        <v>25</v>
      </c>
      <c r="C10" s="22"/>
      <c r="D10" s="22"/>
      <c r="E10" s="22"/>
      <c r="F10" s="22">
        <v>108000</v>
      </c>
      <c r="G10" s="22"/>
      <c r="H10" s="12">
        <f t="shared" si="0"/>
        <v>44186</v>
      </c>
    </row>
    <row r="11" spans="2:11" x14ac:dyDescent="0.3">
      <c r="B11" s="6" t="s">
        <v>15</v>
      </c>
      <c r="C11" s="22"/>
      <c r="D11" s="22"/>
      <c r="E11" s="22"/>
      <c r="F11" s="48">
        <v>108000</v>
      </c>
      <c r="G11" s="22"/>
      <c r="H11" s="12">
        <f t="shared" si="0"/>
        <v>44186</v>
      </c>
    </row>
    <row r="12" spans="2:11" x14ac:dyDescent="0.3">
      <c r="B12" s="6" t="s">
        <v>26</v>
      </c>
      <c r="C12" s="22"/>
      <c r="D12" s="22"/>
      <c r="E12" s="22"/>
      <c r="F12" s="22">
        <v>45000</v>
      </c>
      <c r="G12" s="22"/>
      <c r="H12" s="12">
        <f t="shared" si="0"/>
        <v>44186</v>
      </c>
    </row>
    <row r="13" spans="2:11" x14ac:dyDescent="0.3">
      <c r="B13" s="6" t="s">
        <v>22</v>
      </c>
      <c r="C13" s="23"/>
      <c r="D13" s="23"/>
      <c r="E13" s="23"/>
      <c r="F13" s="22"/>
      <c r="G13" s="23"/>
      <c r="H13" s="12">
        <f t="shared" si="0"/>
        <v>44186</v>
      </c>
      <c r="K13" s="4"/>
    </row>
    <row r="14" spans="2:11" x14ac:dyDescent="0.3">
      <c r="B14" s="6" t="s">
        <v>19</v>
      </c>
      <c r="C14" s="22"/>
      <c r="D14" s="22">
        <v>315000</v>
      </c>
      <c r="E14" s="22">
        <v>477000</v>
      </c>
      <c r="F14" s="22"/>
      <c r="G14" s="22"/>
      <c r="H14" s="12">
        <f t="shared" si="0"/>
        <v>44186</v>
      </c>
    </row>
    <row r="15" spans="2:11" x14ac:dyDescent="0.3">
      <c r="B15" s="6" t="s">
        <v>14</v>
      </c>
      <c r="C15" s="22"/>
      <c r="D15" s="22"/>
      <c r="E15" s="22"/>
      <c r="F15" s="22">
        <v>54000</v>
      </c>
      <c r="G15" s="22"/>
      <c r="H15" s="12">
        <f t="shared" si="0"/>
        <v>44186</v>
      </c>
    </row>
    <row r="16" spans="2:11" x14ac:dyDescent="0.3">
      <c r="B16" s="6" t="s">
        <v>24</v>
      </c>
      <c r="C16" s="22"/>
      <c r="D16" s="22"/>
      <c r="E16" s="22"/>
      <c r="F16" s="49"/>
      <c r="G16" s="22"/>
      <c r="H16" s="12">
        <f t="shared" si="0"/>
        <v>44186</v>
      </c>
    </row>
    <row r="17" spans="1:8" x14ac:dyDescent="0.3">
      <c r="B17" s="6" t="s">
        <v>21</v>
      </c>
      <c r="C17" s="22"/>
      <c r="D17" s="22"/>
      <c r="E17" s="22"/>
      <c r="F17" s="22"/>
      <c r="G17" s="22"/>
      <c r="H17" s="12">
        <f t="shared" si="0"/>
        <v>44186</v>
      </c>
    </row>
    <row r="18" spans="1:8" x14ac:dyDescent="0.3">
      <c r="B18" s="6" t="s">
        <v>18</v>
      </c>
      <c r="C18" s="22"/>
      <c r="D18" s="22"/>
      <c r="E18" s="22"/>
      <c r="F18" s="22">
        <v>54000</v>
      </c>
      <c r="G18" s="22"/>
      <c r="H18" s="12">
        <f t="shared" si="0"/>
        <v>44186</v>
      </c>
    </row>
    <row r="19" spans="1:8" x14ac:dyDescent="0.3">
      <c r="B19" s="6" t="s">
        <v>16</v>
      </c>
      <c r="C19" s="22"/>
      <c r="D19" s="22"/>
      <c r="E19" s="22">
        <v>423000</v>
      </c>
      <c r="F19" s="22">
        <v>108000</v>
      </c>
      <c r="G19" s="22"/>
      <c r="H19" s="12">
        <f t="shared" si="0"/>
        <v>44186</v>
      </c>
    </row>
    <row r="20" spans="1:8" x14ac:dyDescent="0.3">
      <c r="B20" s="50" t="s">
        <v>27</v>
      </c>
      <c r="C20" s="51">
        <f>SUM(December21_2020[KSI_AGO])</f>
        <v>0</v>
      </c>
      <c r="D20" s="51">
        <f>SUM(December21_2020[KSI_PMS])</f>
        <v>315000</v>
      </c>
      <c r="E20" s="51">
        <f>SUM(December21_2020[BUIPE_AGO])</f>
        <v>900000</v>
      </c>
      <c r="F20" s="51">
        <f>SUM(December21_2020[BUIPE_PMS])</f>
        <v>531000</v>
      </c>
      <c r="G20" s="51">
        <f>SUM(December21_2020[AKOSOMBO_AGO])</f>
        <v>0</v>
      </c>
      <c r="H20" s="52"/>
    </row>
    <row r="21" spans="1:8" x14ac:dyDescent="0.3">
      <c r="B21" s="8"/>
      <c r="C21" s="24"/>
      <c r="D21" s="24"/>
      <c r="E21" s="24"/>
      <c r="F21" s="24"/>
      <c r="G21" s="24"/>
      <c r="H21"/>
    </row>
    <row r="22" spans="1:8" x14ac:dyDescent="0.3">
      <c r="B22" s="1" t="s">
        <v>6</v>
      </c>
      <c r="C22" s="1" t="s">
        <v>4</v>
      </c>
      <c r="D22" s="5">
        <f>SUMIF(December21_2020[[#Headers],[KSI_AGO]:[AKOSOMBO_AGO]],"*"&amp;C22,December21_2020[[#Totals],[KSI_AGO]:[AKOSOMBO_AGO]])</f>
        <v>900000</v>
      </c>
      <c r="E22" s="1" t="s">
        <v>5</v>
      </c>
      <c r="F22" s="5">
        <f>SUMIF(December21_2020[[#Headers],[KSI_AGO]:[AKOSOMBO_AGO]],"*"&amp;E22,December21_2020[[#Totals],[KSI_AGO]:[AKOSOMBO_AGO]])</f>
        <v>846000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185FA223-2D62-483C-9A04-713B435D8916}">
      <formula1>INDIRECT("BDC_List[BDC List]")</formula1>
    </dataValidation>
  </dataValidations>
  <pageMargins left="0.7" right="0.7" top="0.75" bottom="0.75" header="0.3" footer="0.3"/>
  <legacyDrawing r:id="rId1"/>
  <tableParts count="1">
    <tablePart r:id="rId2"/>
  </tableParts>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sheetPr codeName="Sheet252"/>
  <dimension ref="A1:K32"/>
  <sheetViews>
    <sheetView workbookViewId="0">
      <selection activeCell="D15" sqref="D15"/>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44187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44187</v>
      </c>
    </row>
    <row r="7" spans="2:11" x14ac:dyDescent="0.3">
      <c r="B7" s="6" t="s">
        <v>37</v>
      </c>
      <c r="C7" s="22"/>
      <c r="D7" s="22"/>
      <c r="E7" s="22"/>
      <c r="F7" s="22"/>
      <c r="G7" s="22">
        <v>594000</v>
      </c>
      <c r="H7" s="67">
        <f>$G$3</f>
        <v>44187</v>
      </c>
    </row>
    <row r="8" spans="2:11" x14ac:dyDescent="0.3">
      <c r="B8" s="6" t="s">
        <v>17</v>
      </c>
      <c r="C8" s="22"/>
      <c r="D8" s="22"/>
      <c r="E8" s="22"/>
      <c r="F8" s="22">
        <v>108000</v>
      </c>
      <c r="G8" s="22"/>
      <c r="H8" s="12">
        <f t="shared" si="0"/>
        <v>44187</v>
      </c>
    </row>
    <row r="9" spans="2:11" ht="15.6" x14ac:dyDescent="0.3">
      <c r="B9" s="34" t="s">
        <v>0</v>
      </c>
      <c r="C9" s="60"/>
      <c r="D9" s="60">
        <v>54000</v>
      </c>
      <c r="E9" s="60"/>
      <c r="F9" s="60"/>
      <c r="G9" s="61"/>
      <c r="H9" s="12">
        <f t="shared" si="0"/>
        <v>44187</v>
      </c>
    </row>
    <row r="10" spans="2:11" x14ac:dyDescent="0.3">
      <c r="B10" s="6" t="s">
        <v>25</v>
      </c>
      <c r="C10" s="22"/>
      <c r="D10" s="22"/>
      <c r="E10" s="22"/>
      <c r="F10" s="22">
        <v>108000</v>
      </c>
      <c r="G10" s="22"/>
      <c r="H10" s="12">
        <f t="shared" si="0"/>
        <v>44187</v>
      </c>
    </row>
    <row r="11" spans="2:11" x14ac:dyDescent="0.3">
      <c r="B11" s="6" t="s">
        <v>15</v>
      </c>
      <c r="C11" s="22"/>
      <c r="D11" s="22">
        <v>45000</v>
      </c>
      <c r="E11" s="22"/>
      <c r="F11" s="48">
        <v>108000</v>
      </c>
      <c r="G11" s="22"/>
      <c r="H11" s="12">
        <f t="shared" si="0"/>
        <v>44187</v>
      </c>
    </row>
    <row r="12" spans="2:11" x14ac:dyDescent="0.3">
      <c r="B12" s="6" t="s">
        <v>26</v>
      </c>
      <c r="C12" s="22"/>
      <c r="D12" s="22">
        <v>50000</v>
      </c>
      <c r="E12" s="22"/>
      <c r="F12" s="22"/>
      <c r="G12" s="22"/>
      <c r="H12" s="12">
        <f t="shared" si="0"/>
        <v>44187</v>
      </c>
    </row>
    <row r="13" spans="2:11" x14ac:dyDescent="0.3">
      <c r="B13" s="6" t="s">
        <v>22</v>
      </c>
      <c r="C13" s="23"/>
      <c r="D13" s="23"/>
      <c r="E13" s="23"/>
      <c r="F13" s="22"/>
      <c r="G13" s="23"/>
      <c r="H13" s="12">
        <f t="shared" si="0"/>
        <v>44187</v>
      </c>
      <c r="K13" s="4"/>
    </row>
    <row r="14" spans="2:11" x14ac:dyDescent="0.3">
      <c r="B14" s="6" t="s">
        <v>19</v>
      </c>
      <c r="C14" s="22"/>
      <c r="D14" s="22">
        <v>270000</v>
      </c>
      <c r="E14" s="22">
        <v>162000</v>
      </c>
      <c r="F14" s="22"/>
      <c r="G14" s="22"/>
      <c r="H14" s="12">
        <f t="shared" si="0"/>
        <v>44187</v>
      </c>
    </row>
    <row r="15" spans="2:11" x14ac:dyDescent="0.3">
      <c r="B15" s="6" t="s">
        <v>14</v>
      </c>
      <c r="C15" s="22"/>
      <c r="D15" s="22"/>
      <c r="E15" s="22"/>
      <c r="F15" s="22">
        <v>108000</v>
      </c>
      <c r="G15" s="22"/>
      <c r="H15" s="12">
        <f t="shared" si="0"/>
        <v>44187</v>
      </c>
    </row>
    <row r="16" spans="2:11" x14ac:dyDescent="0.3">
      <c r="B16" s="6" t="s">
        <v>24</v>
      </c>
      <c r="C16" s="22">
        <v>54000</v>
      </c>
      <c r="D16" s="22"/>
      <c r="E16" s="22"/>
      <c r="F16" s="49"/>
      <c r="G16" s="22"/>
      <c r="H16" s="12">
        <f t="shared" si="0"/>
        <v>44187</v>
      </c>
    </row>
    <row r="17" spans="1:8" x14ac:dyDescent="0.3">
      <c r="B17" s="6" t="s">
        <v>21</v>
      </c>
      <c r="C17" s="22"/>
      <c r="D17" s="22"/>
      <c r="E17" s="22"/>
      <c r="F17" s="22"/>
      <c r="G17" s="22"/>
      <c r="H17" s="12">
        <f t="shared" si="0"/>
        <v>44187</v>
      </c>
    </row>
    <row r="18" spans="1:8" x14ac:dyDescent="0.3">
      <c r="B18" s="6" t="s">
        <v>18</v>
      </c>
      <c r="C18" s="22">
        <v>103500</v>
      </c>
      <c r="D18" s="22"/>
      <c r="E18" s="22"/>
      <c r="F18" s="22"/>
      <c r="G18" s="22"/>
      <c r="H18" s="12">
        <f t="shared" si="0"/>
        <v>44187</v>
      </c>
    </row>
    <row r="19" spans="1:8" x14ac:dyDescent="0.3">
      <c r="B19" s="6" t="s">
        <v>16</v>
      </c>
      <c r="C19" s="22"/>
      <c r="D19" s="22"/>
      <c r="E19" s="22">
        <v>108000</v>
      </c>
      <c r="F19" s="22">
        <v>162000</v>
      </c>
      <c r="G19" s="22"/>
      <c r="H19" s="12">
        <f t="shared" si="0"/>
        <v>44187</v>
      </c>
    </row>
    <row r="20" spans="1:8" x14ac:dyDescent="0.3">
      <c r="B20" s="50" t="s">
        <v>27</v>
      </c>
      <c r="C20" s="51">
        <f>SUM(December22_2020[KSI_AGO])</f>
        <v>157500</v>
      </c>
      <c r="D20" s="51">
        <f>SUM(December22_2020[KSI_PMS])</f>
        <v>419000</v>
      </c>
      <c r="E20" s="51">
        <f>SUM(December22_2020[BUIPE_AGO])</f>
        <v>270000</v>
      </c>
      <c r="F20" s="51">
        <f>SUM(December22_2020[BUIPE_PMS])</f>
        <v>594000</v>
      </c>
      <c r="G20" s="51">
        <f>SUM(December22_2020[AKOSOMBO_AGO])</f>
        <v>594000</v>
      </c>
      <c r="H20" s="52"/>
    </row>
    <row r="21" spans="1:8" x14ac:dyDescent="0.3">
      <c r="B21" s="8"/>
      <c r="C21" s="24"/>
      <c r="D21" s="24"/>
      <c r="E21" s="24"/>
      <c r="F21" s="24"/>
      <c r="G21" s="24"/>
      <c r="H21"/>
    </row>
    <row r="22" spans="1:8" x14ac:dyDescent="0.3">
      <c r="B22" s="1" t="s">
        <v>6</v>
      </c>
      <c r="C22" s="1" t="s">
        <v>4</v>
      </c>
      <c r="D22" s="5">
        <f>SUMIF(December22_2020[[#Headers],[KSI_AGO]:[AKOSOMBO_AGO]],"*"&amp;C22,December22_2020[[#Totals],[KSI_AGO]:[AKOSOMBO_AGO]])</f>
        <v>1021500</v>
      </c>
      <c r="E22" s="1" t="s">
        <v>5</v>
      </c>
      <c r="F22" s="5">
        <f>SUMIF(December22_2020[[#Headers],[KSI_AGO]:[AKOSOMBO_AGO]],"*"&amp;E22,December22_2020[[#Totals],[KSI_AGO]:[AKOSOMBO_AGO]])</f>
        <v>1013000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B00-000000000000}">
      <formula1>INDIRECT("BDC_List[BDC List]")</formula1>
    </dataValidation>
  </dataValidations>
  <pageMargins left="0.7" right="0.7" top="0.75" bottom="0.75" header="0.3" footer="0.3"/>
  <tableParts count="1">
    <tablePart r:id="rId1"/>
  </tableParts>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sheetPr codeName="Sheet253"/>
  <dimension ref="A1:K32"/>
  <sheetViews>
    <sheetView workbookViewId="0">
      <selection activeCell="G16" sqref="G1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44188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44188</v>
      </c>
    </row>
    <row r="7" spans="2:11" x14ac:dyDescent="0.3">
      <c r="B7" s="6" t="s">
        <v>37</v>
      </c>
      <c r="C7" s="22">
        <v>324000</v>
      </c>
      <c r="D7" s="22"/>
      <c r="E7" s="22"/>
      <c r="F7" s="22"/>
      <c r="G7" s="22"/>
      <c r="H7" s="67">
        <f>$G$3</f>
        <v>44188</v>
      </c>
    </row>
    <row r="8" spans="2:11" x14ac:dyDescent="0.3">
      <c r="B8" s="6" t="s">
        <v>17</v>
      </c>
      <c r="C8" s="22">
        <v>54000</v>
      </c>
      <c r="D8" s="22"/>
      <c r="E8" s="22"/>
      <c r="F8" s="22"/>
      <c r="G8" s="22"/>
      <c r="H8" s="12">
        <f t="shared" si="0"/>
        <v>44188</v>
      </c>
    </row>
    <row r="9" spans="2:11" ht="15.6" x14ac:dyDescent="0.3">
      <c r="B9" s="34" t="s">
        <v>0</v>
      </c>
      <c r="C9" s="60"/>
      <c r="D9" s="60">
        <v>257000</v>
      </c>
      <c r="E9" s="60"/>
      <c r="F9" s="60"/>
      <c r="G9" s="61"/>
      <c r="H9" s="12">
        <f t="shared" si="0"/>
        <v>44188</v>
      </c>
    </row>
    <row r="10" spans="2:11" x14ac:dyDescent="0.3">
      <c r="B10" s="6" t="s">
        <v>25</v>
      </c>
      <c r="C10" s="22">
        <v>482000</v>
      </c>
      <c r="D10" s="22">
        <v>424000</v>
      </c>
      <c r="E10" s="22"/>
      <c r="F10" s="22"/>
      <c r="G10" s="22"/>
      <c r="H10" s="12">
        <f t="shared" si="0"/>
        <v>44188</v>
      </c>
    </row>
    <row r="11" spans="2:11" x14ac:dyDescent="0.3">
      <c r="B11" s="6" t="s">
        <v>15</v>
      </c>
      <c r="C11" s="22"/>
      <c r="D11" s="22">
        <v>270000</v>
      </c>
      <c r="E11" s="22"/>
      <c r="F11" s="48"/>
      <c r="G11" s="22"/>
      <c r="H11" s="12">
        <f t="shared" si="0"/>
        <v>44188</v>
      </c>
    </row>
    <row r="12" spans="2:11" x14ac:dyDescent="0.3">
      <c r="B12" s="6" t="s">
        <v>26</v>
      </c>
      <c r="C12" s="22"/>
      <c r="D12" s="22">
        <v>54000</v>
      </c>
      <c r="E12" s="22"/>
      <c r="F12" s="22">
        <v>45000</v>
      </c>
      <c r="G12" s="22"/>
      <c r="H12" s="12">
        <f t="shared" si="0"/>
        <v>44188</v>
      </c>
    </row>
    <row r="13" spans="2:11" x14ac:dyDescent="0.3">
      <c r="B13" s="6" t="s">
        <v>22</v>
      </c>
      <c r="C13" s="23"/>
      <c r="D13" s="23">
        <v>216000</v>
      </c>
      <c r="E13" s="23"/>
      <c r="F13" s="22"/>
      <c r="G13" s="23"/>
      <c r="H13" s="12">
        <f t="shared" si="0"/>
        <v>44188</v>
      </c>
      <c r="K13" s="4"/>
    </row>
    <row r="14" spans="2:11" x14ac:dyDescent="0.3">
      <c r="B14" s="6" t="s">
        <v>19</v>
      </c>
      <c r="C14" s="22">
        <v>634000</v>
      </c>
      <c r="D14" s="22"/>
      <c r="E14" s="22"/>
      <c r="F14" s="22"/>
      <c r="G14" s="22"/>
      <c r="H14" s="12">
        <f t="shared" si="0"/>
        <v>44188</v>
      </c>
    </row>
    <row r="15" spans="2:11" x14ac:dyDescent="0.3">
      <c r="B15" s="6" t="s">
        <v>14</v>
      </c>
      <c r="C15" s="22">
        <v>212000</v>
      </c>
      <c r="D15" s="22">
        <v>315000</v>
      </c>
      <c r="E15" s="22"/>
      <c r="F15" s="22"/>
      <c r="G15" s="22"/>
      <c r="H15" s="12">
        <f t="shared" si="0"/>
        <v>44188</v>
      </c>
    </row>
    <row r="16" spans="2:11" x14ac:dyDescent="0.3">
      <c r="B16" s="6" t="s">
        <v>24</v>
      </c>
      <c r="C16" s="22"/>
      <c r="D16" s="22"/>
      <c r="E16" s="22"/>
      <c r="F16" s="49"/>
      <c r="G16" s="22"/>
      <c r="H16" s="12">
        <f t="shared" si="0"/>
        <v>44188</v>
      </c>
    </row>
    <row r="17" spans="1:8" x14ac:dyDescent="0.3">
      <c r="B17" s="6" t="s">
        <v>21</v>
      </c>
      <c r="C17" s="22"/>
      <c r="D17" s="22"/>
      <c r="E17" s="22"/>
      <c r="F17" s="22"/>
      <c r="G17" s="22"/>
      <c r="H17" s="12">
        <f t="shared" si="0"/>
        <v>44188</v>
      </c>
    </row>
    <row r="18" spans="1:8" x14ac:dyDescent="0.3">
      <c r="B18" s="6" t="s">
        <v>18</v>
      </c>
      <c r="C18" s="22">
        <v>324000</v>
      </c>
      <c r="D18" s="22"/>
      <c r="E18" s="22"/>
      <c r="F18" s="22"/>
      <c r="G18" s="22"/>
      <c r="H18" s="12">
        <f t="shared" si="0"/>
        <v>44188</v>
      </c>
    </row>
    <row r="19" spans="1:8" x14ac:dyDescent="0.3">
      <c r="B19" s="6" t="s">
        <v>16</v>
      </c>
      <c r="C19" s="22">
        <v>432000</v>
      </c>
      <c r="D19" s="22"/>
      <c r="E19" s="22"/>
      <c r="F19" s="22"/>
      <c r="G19" s="22"/>
      <c r="H19" s="12">
        <f t="shared" si="0"/>
        <v>44188</v>
      </c>
    </row>
    <row r="20" spans="1:8" x14ac:dyDescent="0.3">
      <c r="B20" s="50" t="s">
        <v>27</v>
      </c>
      <c r="C20" s="51">
        <f>SUM(December23_2020[KSI_AGO])</f>
        <v>2462000</v>
      </c>
      <c r="D20" s="51">
        <f>SUM(December23_2020[KSI_PMS])</f>
        <v>1536000</v>
      </c>
      <c r="E20" s="51">
        <f>SUM(December23_2020[BUIPE_AGO])</f>
        <v>0</v>
      </c>
      <c r="F20" s="51">
        <f>SUM(December23_2020[BUIPE_PMS])</f>
        <v>45000</v>
      </c>
      <c r="G20" s="51">
        <f>SUM(December23_2020[AKOSOMBO_AGO])</f>
        <v>0</v>
      </c>
      <c r="H20" s="52"/>
    </row>
    <row r="21" spans="1:8" x14ac:dyDescent="0.3">
      <c r="B21" s="8"/>
      <c r="C21" s="24"/>
      <c r="D21" s="24"/>
      <c r="E21" s="24"/>
      <c r="F21" s="24"/>
      <c r="G21" s="24"/>
      <c r="H21"/>
    </row>
    <row r="22" spans="1:8" x14ac:dyDescent="0.3">
      <c r="B22" s="1" t="s">
        <v>6</v>
      </c>
      <c r="C22" s="1" t="s">
        <v>4</v>
      </c>
      <c r="D22" s="5">
        <f>SUMIF(December23_2020[[#Headers],[KSI_AGO]:[AKOSOMBO_AGO]],"*"&amp;C22,December23_2020[[#Totals],[KSI_AGO]:[AKOSOMBO_AGO]])</f>
        <v>2462000</v>
      </c>
      <c r="E22" s="1" t="s">
        <v>5</v>
      </c>
      <c r="F22" s="5">
        <f>SUMIF(December23_2020[[#Headers],[KSI_AGO]:[AKOSOMBO_AGO]],"*"&amp;E22,December23_2020[[#Totals],[KSI_AGO]:[AKOSOMBO_AGO]])</f>
        <v>1581000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C00-000000000000}">
      <formula1>INDIRECT("BDC_List[BDC List]")</formula1>
    </dataValidation>
  </dataValidations>
  <pageMargins left="0.7" right="0.7" top="0.75" bottom="0.75" header="0.3" footer="0.3"/>
  <tableParts count="1">
    <tablePart r:id="rId1"/>
  </tableParts>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sheetPr codeName="Sheet254"/>
  <dimension ref="A1:K32"/>
  <sheetViews>
    <sheetView topLeftCell="C1" workbookViewId="0">
      <selection activeCell="F16" sqref="F1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44189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44189</v>
      </c>
    </row>
    <row r="7" spans="2:11" x14ac:dyDescent="0.3">
      <c r="B7" s="6" t="s">
        <v>37</v>
      </c>
      <c r="C7" s="22">
        <v>148500</v>
      </c>
      <c r="D7" s="22"/>
      <c r="E7" s="22"/>
      <c r="F7" s="22"/>
      <c r="G7" s="22"/>
      <c r="H7" s="67">
        <f>$G$3</f>
        <v>44189</v>
      </c>
    </row>
    <row r="8" spans="2:11" x14ac:dyDescent="0.3">
      <c r="B8" s="6" t="s">
        <v>17</v>
      </c>
      <c r="C8" s="22">
        <v>162000</v>
      </c>
      <c r="D8" s="22">
        <v>199000</v>
      </c>
      <c r="E8" s="22"/>
      <c r="F8" s="22"/>
      <c r="G8" s="22"/>
      <c r="H8" s="12">
        <f t="shared" si="0"/>
        <v>44189</v>
      </c>
    </row>
    <row r="9" spans="2:11" ht="15.6" x14ac:dyDescent="0.3">
      <c r="B9" s="34" t="s">
        <v>0</v>
      </c>
      <c r="C9" s="60"/>
      <c r="D9" s="60">
        <v>270000</v>
      </c>
      <c r="E9" s="60"/>
      <c r="F9" s="60"/>
      <c r="G9" s="61"/>
      <c r="H9" s="12">
        <f t="shared" si="0"/>
        <v>44189</v>
      </c>
    </row>
    <row r="10" spans="2:11" x14ac:dyDescent="0.3">
      <c r="B10" s="6" t="s">
        <v>25</v>
      </c>
      <c r="C10" s="22">
        <v>536000</v>
      </c>
      <c r="D10" s="22">
        <v>266000</v>
      </c>
      <c r="E10" s="22"/>
      <c r="F10" s="22"/>
      <c r="G10" s="22"/>
      <c r="H10" s="12">
        <f t="shared" si="0"/>
        <v>44189</v>
      </c>
    </row>
    <row r="11" spans="2:11" x14ac:dyDescent="0.3">
      <c r="B11" s="6" t="s">
        <v>15</v>
      </c>
      <c r="C11" s="22"/>
      <c r="D11" s="22">
        <v>315000</v>
      </c>
      <c r="E11" s="22"/>
      <c r="F11" s="48"/>
      <c r="G11" s="22"/>
      <c r="H11" s="12">
        <f t="shared" si="0"/>
        <v>44189</v>
      </c>
    </row>
    <row r="12" spans="2:11" x14ac:dyDescent="0.3">
      <c r="B12" s="6" t="s">
        <v>26</v>
      </c>
      <c r="C12" s="22">
        <v>54000</v>
      </c>
      <c r="D12" s="22">
        <v>108000</v>
      </c>
      <c r="E12" s="22"/>
      <c r="F12" s="22"/>
      <c r="G12" s="22"/>
      <c r="H12" s="12">
        <f t="shared" si="0"/>
        <v>44189</v>
      </c>
    </row>
    <row r="13" spans="2:11" x14ac:dyDescent="0.3">
      <c r="B13" s="6" t="s">
        <v>22</v>
      </c>
      <c r="C13" s="23"/>
      <c r="D13" s="23">
        <v>270000</v>
      </c>
      <c r="E13" s="23"/>
      <c r="F13" s="22"/>
      <c r="G13" s="23"/>
      <c r="H13" s="12">
        <f t="shared" si="0"/>
        <v>44189</v>
      </c>
      <c r="K13" s="4"/>
    </row>
    <row r="14" spans="2:11" x14ac:dyDescent="0.3">
      <c r="B14" s="6" t="s">
        <v>19</v>
      </c>
      <c r="C14" s="22">
        <v>356000</v>
      </c>
      <c r="D14" s="22">
        <v>54000</v>
      </c>
      <c r="E14" s="22"/>
      <c r="F14" s="22"/>
      <c r="G14" s="22"/>
      <c r="H14" s="12">
        <f t="shared" si="0"/>
        <v>44189</v>
      </c>
    </row>
    <row r="15" spans="2:11" x14ac:dyDescent="0.3">
      <c r="B15" s="6" t="s">
        <v>14</v>
      </c>
      <c r="C15" s="22"/>
      <c r="D15" s="22">
        <v>324000</v>
      </c>
      <c r="E15" s="22"/>
      <c r="F15" s="22"/>
      <c r="G15" s="22"/>
      <c r="H15" s="12">
        <f t="shared" si="0"/>
        <v>44189</v>
      </c>
    </row>
    <row r="16" spans="2:11" x14ac:dyDescent="0.3">
      <c r="B16" s="6" t="s">
        <v>24</v>
      </c>
      <c r="C16" s="22"/>
      <c r="D16" s="22"/>
      <c r="E16" s="22"/>
      <c r="F16" s="49"/>
      <c r="G16" s="22"/>
      <c r="H16" s="12">
        <f t="shared" si="0"/>
        <v>44189</v>
      </c>
    </row>
    <row r="17" spans="1:8" x14ac:dyDescent="0.3">
      <c r="B17" s="6" t="s">
        <v>21</v>
      </c>
      <c r="C17" s="22"/>
      <c r="D17" s="22"/>
      <c r="E17" s="22"/>
      <c r="F17" s="22"/>
      <c r="G17" s="22"/>
      <c r="H17" s="12">
        <f t="shared" si="0"/>
        <v>44189</v>
      </c>
    </row>
    <row r="18" spans="1:8" x14ac:dyDescent="0.3">
      <c r="B18" s="6" t="s">
        <v>18</v>
      </c>
      <c r="C18" s="22">
        <v>369000</v>
      </c>
      <c r="D18" s="22"/>
      <c r="E18" s="22"/>
      <c r="F18" s="22"/>
      <c r="G18" s="22"/>
      <c r="H18" s="12">
        <f t="shared" si="0"/>
        <v>44189</v>
      </c>
    </row>
    <row r="19" spans="1:8" x14ac:dyDescent="0.3">
      <c r="B19" s="6" t="s">
        <v>16</v>
      </c>
      <c r="C19" s="22">
        <v>308000</v>
      </c>
      <c r="D19" s="22"/>
      <c r="E19" s="22"/>
      <c r="F19" s="22"/>
      <c r="G19" s="22"/>
      <c r="H19" s="12">
        <f t="shared" si="0"/>
        <v>44189</v>
      </c>
    </row>
    <row r="20" spans="1:8" x14ac:dyDescent="0.3">
      <c r="B20" s="50" t="s">
        <v>27</v>
      </c>
      <c r="C20" s="51">
        <f>SUM(December24_2020[KSI_AGO])</f>
        <v>1933500</v>
      </c>
      <c r="D20" s="51">
        <f>SUM(December24_2020[KSI_PMS])</f>
        <v>1806000</v>
      </c>
      <c r="E20" s="51">
        <f>SUM(December24_2020[BUIPE_AGO])</f>
        <v>0</v>
      </c>
      <c r="F20" s="51">
        <f>SUM(December24_2020[BUIPE_PMS])</f>
        <v>0</v>
      </c>
      <c r="G20" s="51">
        <f>SUM(December24_2020[AKOSOMBO_AGO])</f>
        <v>0</v>
      </c>
      <c r="H20" s="52"/>
    </row>
    <row r="21" spans="1:8" x14ac:dyDescent="0.3">
      <c r="B21" s="8"/>
      <c r="C21" s="24"/>
      <c r="D21" s="24"/>
      <c r="E21" s="24"/>
      <c r="F21" s="24"/>
      <c r="G21" s="24"/>
      <c r="H21"/>
    </row>
    <row r="22" spans="1:8" x14ac:dyDescent="0.3">
      <c r="B22" s="1" t="s">
        <v>6</v>
      </c>
      <c r="C22" s="1" t="s">
        <v>4</v>
      </c>
      <c r="D22" s="5">
        <f>SUMIF(December24_2020[[#Headers],[KSI_AGO]:[AKOSOMBO_AGO]],"*"&amp;C22,December24_2020[[#Totals],[KSI_AGO]:[AKOSOMBO_AGO]])</f>
        <v>1933500</v>
      </c>
      <c r="E22" s="1" t="s">
        <v>5</v>
      </c>
      <c r="F22" s="5">
        <f>SUMIF(December24_2020[[#Headers],[KSI_AGO]:[AKOSOMBO_AGO]],"*"&amp;E22,December24_2020[[#Totals],[KSI_AGO]:[AKOSOMBO_AGO]])</f>
        <v>1806000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D00-000000000000}">
      <formula1>INDIRECT("BDC_List[BDC List]")</formula1>
    </dataValidation>
  </dataValidations>
  <pageMargins left="0.7" right="0.7" top="0.75" bottom="0.75" header="0.3" footer="0.3"/>
  <tableParts count="1">
    <tablePart r:id="rId1"/>
  </tableParts>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sheetPr codeName="Sheet255"/>
  <dimension ref="A1:K32"/>
  <sheetViews>
    <sheetView workbookViewId="0">
      <selection activeCell="E10" sqref="E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44194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44194</v>
      </c>
    </row>
    <row r="7" spans="2:11" x14ac:dyDescent="0.3">
      <c r="B7" s="6" t="s">
        <v>37</v>
      </c>
      <c r="C7" s="22">
        <v>54000</v>
      </c>
      <c r="D7" s="22"/>
      <c r="E7" s="22"/>
      <c r="F7" s="22"/>
      <c r="G7" s="22"/>
      <c r="H7" s="67">
        <f>$G$3</f>
        <v>44194</v>
      </c>
    </row>
    <row r="8" spans="2:11" x14ac:dyDescent="0.3">
      <c r="B8" s="6" t="s">
        <v>17</v>
      </c>
      <c r="C8" s="22">
        <v>680500</v>
      </c>
      <c r="D8" s="22">
        <v>153000</v>
      </c>
      <c r="E8" s="22"/>
      <c r="F8" s="22">
        <v>99000</v>
      </c>
      <c r="G8" s="22"/>
      <c r="H8" s="12">
        <f t="shared" si="0"/>
        <v>44194</v>
      </c>
    </row>
    <row r="9" spans="2:11" ht="15.6" x14ac:dyDescent="0.3">
      <c r="B9" s="34" t="s">
        <v>0</v>
      </c>
      <c r="C9" s="60"/>
      <c r="D9" s="60">
        <v>162000</v>
      </c>
      <c r="E9" s="60"/>
      <c r="F9" s="60">
        <v>162000</v>
      </c>
      <c r="G9" s="61"/>
      <c r="H9" s="12">
        <f t="shared" si="0"/>
        <v>44194</v>
      </c>
    </row>
    <row r="10" spans="2:11" x14ac:dyDescent="0.3">
      <c r="B10" s="6" t="s">
        <v>25</v>
      </c>
      <c r="C10" s="22">
        <v>486000</v>
      </c>
      <c r="D10" s="22">
        <v>216000</v>
      </c>
      <c r="E10" s="22"/>
      <c r="F10" s="22">
        <v>54000</v>
      </c>
      <c r="G10" s="22"/>
      <c r="H10" s="12">
        <f t="shared" si="0"/>
        <v>44194</v>
      </c>
    </row>
    <row r="11" spans="2:11" x14ac:dyDescent="0.3">
      <c r="B11" s="6" t="s">
        <v>15</v>
      </c>
      <c r="C11" s="22"/>
      <c r="D11" s="22">
        <v>270000</v>
      </c>
      <c r="E11" s="22"/>
      <c r="F11" s="48">
        <v>99000</v>
      </c>
      <c r="G11" s="22"/>
      <c r="H11" s="12">
        <f t="shared" si="0"/>
        <v>44194</v>
      </c>
    </row>
    <row r="12" spans="2:11" x14ac:dyDescent="0.3">
      <c r="B12" s="6" t="s">
        <v>26</v>
      </c>
      <c r="C12" s="22"/>
      <c r="D12" s="22"/>
      <c r="E12" s="22"/>
      <c r="F12" s="22"/>
      <c r="G12" s="22"/>
      <c r="H12" s="12">
        <f t="shared" si="0"/>
        <v>44194</v>
      </c>
    </row>
    <row r="13" spans="2:11" x14ac:dyDescent="0.3">
      <c r="B13" s="6" t="s">
        <v>22</v>
      </c>
      <c r="C13" s="23"/>
      <c r="D13" s="23">
        <v>216000</v>
      </c>
      <c r="E13" s="23"/>
      <c r="F13" s="22"/>
      <c r="G13" s="23"/>
      <c r="H13" s="12">
        <f t="shared" si="0"/>
        <v>44194</v>
      </c>
      <c r="K13" s="4"/>
    </row>
    <row r="14" spans="2:11" x14ac:dyDescent="0.3">
      <c r="B14" s="6" t="s">
        <v>19</v>
      </c>
      <c r="C14" s="22">
        <v>369000</v>
      </c>
      <c r="D14" s="22"/>
      <c r="E14" s="22"/>
      <c r="F14" s="22"/>
      <c r="G14" s="22"/>
      <c r="H14" s="12">
        <f t="shared" si="0"/>
        <v>44194</v>
      </c>
    </row>
    <row r="15" spans="2:11" x14ac:dyDescent="0.3">
      <c r="B15" s="6" t="s">
        <v>14</v>
      </c>
      <c r="C15" s="22"/>
      <c r="D15" s="22">
        <v>216000</v>
      </c>
      <c r="E15" s="22"/>
      <c r="F15" s="22">
        <v>45000</v>
      </c>
      <c r="G15" s="22"/>
      <c r="H15" s="12">
        <f t="shared" si="0"/>
        <v>44194</v>
      </c>
    </row>
    <row r="16" spans="2:11" x14ac:dyDescent="0.3">
      <c r="B16" s="6" t="s">
        <v>24</v>
      </c>
      <c r="C16" s="22"/>
      <c r="D16" s="22"/>
      <c r="E16" s="22"/>
      <c r="F16" s="49"/>
      <c r="G16" s="22"/>
      <c r="H16" s="12">
        <f t="shared" si="0"/>
        <v>44194</v>
      </c>
    </row>
    <row r="17" spans="1:8" x14ac:dyDescent="0.3">
      <c r="B17" s="6" t="s">
        <v>21</v>
      </c>
      <c r="C17" s="22"/>
      <c r="D17" s="22"/>
      <c r="E17" s="22"/>
      <c r="F17" s="22"/>
      <c r="G17" s="22"/>
      <c r="H17" s="12">
        <f t="shared" si="0"/>
        <v>44194</v>
      </c>
    </row>
    <row r="18" spans="1:8" x14ac:dyDescent="0.3">
      <c r="B18" s="6" t="s">
        <v>18</v>
      </c>
      <c r="C18" s="22">
        <v>162000</v>
      </c>
      <c r="D18" s="22"/>
      <c r="E18" s="22"/>
      <c r="F18" s="22"/>
      <c r="G18" s="22"/>
      <c r="H18" s="12">
        <f t="shared" si="0"/>
        <v>44194</v>
      </c>
    </row>
    <row r="19" spans="1:8" x14ac:dyDescent="0.3">
      <c r="B19" s="6" t="s">
        <v>16</v>
      </c>
      <c r="C19" s="22">
        <v>108000</v>
      </c>
      <c r="D19" s="22"/>
      <c r="E19" s="22">
        <v>162000</v>
      </c>
      <c r="F19" s="22">
        <v>50000</v>
      </c>
      <c r="G19" s="22"/>
      <c r="H19" s="12">
        <f t="shared" si="0"/>
        <v>44194</v>
      </c>
    </row>
    <row r="20" spans="1:8" x14ac:dyDescent="0.3">
      <c r="B20" s="50" t="s">
        <v>27</v>
      </c>
      <c r="C20" s="51">
        <f>SUM(December29_2020112131416171819222324252624107131415161920212224678910111213141516171041917252326272467891012131415161718192021[KSI_AGO])</f>
        <v>1859500</v>
      </c>
      <c r="D20" s="51">
        <f>SUM(December29_2020112131416171819222324252624107131415161920212224678910111213141516171041917252326272467891012131415161718192021[KSI_PMS])</f>
        <v>1233000</v>
      </c>
      <c r="E20" s="51">
        <f>SUM(December29_2020112131416171819222324252624107131415161920212224678910111213141516171041917252326272467891012131415161718192021[BUIPE_AGO])</f>
        <v>162000</v>
      </c>
      <c r="F20" s="51">
        <f>SUM(December29_2020112131416171819222324252624107131415161920212224678910111213141516171041917252326272467891012131415161718192021[BUIPE_PMS])</f>
        <v>509000</v>
      </c>
      <c r="G20" s="51">
        <f>SUM(December29_2020112131416171819222324252624107131415161920212224678910111213141516171041917252326272467891012131415161718192021[AKOSOMBO_AGO])</f>
        <v>0</v>
      </c>
      <c r="H20" s="52"/>
    </row>
    <row r="21" spans="1:8" x14ac:dyDescent="0.3">
      <c r="B21" s="8"/>
      <c r="C21" s="24"/>
      <c r="D21" s="24"/>
      <c r="E21" s="24"/>
      <c r="F21" s="24"/>
      <c r="G21" s="24"/>
      <c r="H21"/>
    </row>
    <row r="22" spans="1:8" x14ac:dyDescent="0.3">
      <c r="B22" s="1" t="s">
        <v>6</v>
      </c>
      <c r="C22" s="1" t="s">
        <v>4</v>
      </c>
      <c r="D22" s="5">
        <f>SUMIF(December29_2020112131416171819222324252624107131415161920212224678910111213141516171041917252326272467891012131415161718192021[[#Headers],[KSI_AGO]:[AKOSOMBO_AGO]],"*"&amp;C22,December29_2020112131416171819222324252624107131415161920212224678910111213141516171041917252326272467891012131415161718192021[[#Totals],[KSI_AGO]:[AKOSOMBO_AGO]])</f>
        <v>2021500</v>
      </c>
      <c r="E22" s="1" t="s">
        <v>5</v>
      </c>
      <c r="F22" s="5">
        <f>SUMIF(December29_2020112131416171819222324252624107131415161920212224678910111213141516171041917252326272467891012131415161718192021[[#Headers],[KSI_AGO]:[AKOSOMBO_AGO]],"*"&amp;E22,December29_2020112131416171819222324252624107131415161920212224678910111213141516171041917252326272467891012131415161718192021[[#Totals],[KSI_AGO]:[AKOSOMBO_AGO]])</f>
        <v>1742000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E00-000000000000}">
      <formula1>INDIRECT("BDC_List[BDC List]")</formula1>
    </dataValidation>
  </dataValidations>
  <pageMargins left="0.7" right="0.7" top="0.75" bottom="0.75" header="0.3" footer="0.3"/>
  <tableParts count="1">
    <tablePart r:id="rId1"/>
  </tableParts>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sheetPr codeName="Sheet256"/>
  <dimension ref="A1:K32"/>
  <sheetViews>
    <sheetView workbookViewId="0">
      <selection activeCell="G11" sqref="G11"/>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44195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44195</v>
      </c>
    </row>
    <row r="7" spans="2:11" x14ac:dyDescent="0.3">
      <c r="B7" s="6" t="s">
        <v>37</v>
      </c>
      <c r="C7" s="22">
        <v>50000</v>
      </c>
      <c r="D7" s="22"/>
      <c r="E7" s="22"/>
      <c r="F7" s="22"/>
      <c r="G7" s="22"/>
      <c r="H7" s="67">
        <f>$G$3</f>
        <v>44195</v>
      </c>
    </row>
    <row r="8" spans="2:11" x14ac:dyDescent="0.3">
      <c r="B8" s="6" t="s">
        <v>17</v>
      </c>
      <c r="C8" s="22">
        <v>755500</v>
      </c>
      <c r="D8" s="22">
        <v>207500</v>
      </c>
      <c r="E8" s="22"/>
      <c r="F8" s="22">
        <v>108000</v>
      </c>
      <c r="G8" s="22">
        <v>536000</v>
      </c>
      <c r="H8" s="12">
        <f t="shared" si="0"/>
        <v>44195</v>
      </c>
    </row>
    <row r="9" spans="2:11" ht="15.6" x14ac:dyDescent="0.3">
      <c r="B9" s="34" t="s">
        <v>0</v>
      </c>
      <c r="C9" s="60"/>
      <c r="D9" s="60">
        <v>216000</v>
      </c>
      <c r="E9" s="60"/>
      <c r="F9" s="60">
        <v>108000</v>
      </c>
      <c r="G9" s="61"/>
      <c r="H9" s="12">
        <f t="shared" si="0"/>
        <v>44195</v>
      </c>
    </row>
    <row r="10" spans="2:11" x14ac:dyDescent="0.3">
      <c r="B10" s="6" t="s">
        <v>25</v>
      </c>
      <c r="C10" s="22">
        <v>315000</v>
      </c>
      <c r="D10" s="22">
        <v>162000</v>
      </c>
      <c r="E10" s="22"/>
      <c r="F10" s="22">
        <v>216000</v>
      </c>
      <c r="G10" s="22"/>
      <c r="H10" s="12">
        <f t="shared" si="0"/>
        <v>44195</v>
      </c>
    </row>
    <row r="11" spans="2:11" x14ac:dyDescent="0.3">
      <c r="B11" s="6" t="s">
        <v>15</v>
      </c>
      <c r="C11" s="22"/>
      <c r="D11" s="22">
        <v>161000</v>
      </c>
      <c r="E11" s="22"/>
      <c r="F11" s="48">
        <v>108000</v>
      </c>
      <c r="G11" s="22"/>
      <c r="H11" s="12">
        <f t="shared" si="0"/>
        <v>44195</v>
      </c>
    </row>
    <row r="12" spans="2:11" x14ac:dyDescent="0.3">
      <c r="B12" s="6" t="s">
        <v>26</v>
      </c>
      <c r="C12" s="22"/>
      <c r="D12" s="22"/>
      <c r="E12" s="22"/>
      <c r="F12" s="22">
        <v>45000</v>
      </c>
      <c r="G12" s="22"/>
      <c r="H12" s="12">
        <f t="shared" si="0"/>
        <v>44195</v>
      </c>
    </row>
    <row r="13" spans="2:11" x14ac:dyDescent="0.3">
      <c r="B13" s="6" t="s">
        <v>22</v>
      </c>
      <c r="C13" s="23"/>
      <c r="D13" s="23">
        <v>162000</v>
      </c>
      <c r="E13" s="23"/>
      <c r="F13" s="22"/>
      <c r="G13" s="23"/>
      <c r="H13" s="12">
        <f t="shared" si="0"/>
        <v>44195</v>
      </c>
      <c r="K13" s="4"/>
    </row>
    <row r="14" spans="2:11" x14ac:dyDescent="0.3">
      <c r="B14" s="6" t="s">
        <v>19</v>
      </c>
      <c r="C14" s="22">
        <v>324000</v>
      </c>
      <c r="D14" s="22"/>
      <c r="E14" s="22">
        <v>216000</v>
      </c>
      <c r="F14" s="22"/>
      <c r="G14" s="22"/>
      <c r="H14" s="12">
        <f t="shared" si="0"/>
        <v>44195</v>
      </c>
    </row>
    <row r="15" spans="2:11" x14ac:dyDescent="0.3">
      <c r="B15" s="6" t="s">
        <v>14</v>
      </c>
      <c r="C15" s="22"/>
      <c r="D15" s="22">
        <v>216000</v>
      </c>
      <c r="E15" s="22"/>
      <c r="F15" s="22">
        <v>108000</v>
      </c>
      <c r="G15" s="22"/>
      <c r="H15" s="12">
        <f t="shared" si="0"/>
        <v>44195</v>
      </c>
    </row>
    <row r="16" spans="2:11" x14ac:dyDescent="0.3">
      <c r="B16" s="6" t="s">
        <v>24</v>
      </c>
      <c r="C16" s="22"/>
      <c r="D16" s="22"/>
      <c r="E16" s="22"/>
      <c r="F16" s="49"/>
      <c r="G16" s="22"/>
      <c r="H16" s="12">
        <f t="shared" si="0"/>
        <v>44195</v>
      </c>
    </row>
    <row r="17" spans="1:8" x14ac:dyDescent="0.3">
      <c r="B17" s="6" t="s">
        <v>21</v>
      </c>
      <c r="C17" s="22"/>
      <c r="D17" s="22"/>
      <c r="E17" s="22"/>
      <c r="F17" s="22"/>
      <c r="G17" s="22"/>
      <c r="H17" s="12">
        <f t="shared" si="0"/>
        <v>44195</v>
      </c>
    </row>
    <row r="18" spans="1:8" x14ac:dyDescent="0.3">
      <c r="B18" s="6" t="s">
        <v>18</v>
      </c>
      <c r="C18" s="22">
        <v>216000</v>
      </c>
      <c r="D18" s="22"/>
      <c r="E18" s="22"/>
      <c r="F18" s="22">
        <v>54000</v>
      </c>
      <c r="G18" s="22"/>
      <c r="H18" s="12">
        <f t="shared" si="0"/>
        <v>44195</v>
      </c>
    </row>
    <row r="19" spans="1:8" x14ac:dyDescent="0.3">
      <c r="B19" s="6" t="s">
        <v>16</v>
      </c>
      <c r="C19" s="22">
        <v>101000</v>
      </c>
      <c r="D19" s="22"/>
      <c r="E19" s="22">
        <v>108000</v>
      </c>
      <c r="F19" s="22">
        <v>108000</v>
      </c>
      <c r="G19" s="22"/>
      <c r="H19" s="12">
        <f t="shared" si="0"/>
        <v>44195</v>
      </c>
    </row>
    <row r="20" spans="1:8" x14ac:dyDescent="0.3">
      <c r="B20" s="50" t="s">
        <v>27</v>
      </c>
      <c r="C20" s="51">
        <f>SUM(December30_2020[KSI_AGO])</f>
        <v>1761500</v>
      </c>
      <c r="D20" s="51">
        <f>SUM(December30_2020[KSI_PMS])</f>
        <v>1124500</v>
      </c>
      <c r="E20" s="51">
        <f>SUM(December30_2020[BUIPE_AGO])</f>
        <v>324000</v>
      </c>
      <c r="F20" s="51">
        <f>SUM(December30_2020[BUIPE_PMS])</f>
        <v>855000</v>
      </c>
      <c r="G20" s="51">
        <f>SUM(December30_2020[AKOSOMBO_AGO])</f>
        <v>536000</v>
      </c>
      <c r="H20" s="52"/>
    </row>
    <row r="21" spans="1:8" x14ac:dyDescent="0.3">
      <c r="B21" s="8"/>
      <c r="C21" s="24"/>
      <c r="D21" s="24"/>
      <c r="E21" s="24"/>
      <c r="F21" s="24"/>
      <c r="G21" s="24"/>
      <c r="H21"/>
    </row>
    <row r="22" spans="1:8" x14ac:dyDescent="0.3">
      <c r="B22" s="1" t="s">
        <v>6</v>
      </c>
      <c r="C22" s="1" t="s">
        <v>4</v>
      </c>
      <c r="D22" s="5">
        <f>SUMIF(December30_2020[[#Headers],[KSI_AGO]:[AKOSOMBO_AGO]],"*"&amp;C22,December30_2020[[#Totals],[KSI_AGO]:[AKOSOMBO_AGO]])</f>
        <v>2621500</v>
      </c>
      <c r="E22" s="1" t="s">
        <v>5</v>
      </c>
      <c r="F22" s="5">
        <f>SUMIF(December30_2020[[#Headers],[KSI_AGO]:[AKOSOMBO_AGO]],"*"&amp;E22,December30_2020[[#Totals],[KSI_AGO]:[AKOSOMBO_AGO]])</f>
        <v>1979500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FF00-000000000000}">
      <formula1>INDIRECT("BDC_List[BDC List]")</formula1>
    </dataValidation>
  </dataValidations>
  <pageMargins left="0.7" right="0.7" top="0.75" bottom="0.75" header="0.3" footer="0.3"/>
  <tableParts count="1">
    <tablePart r:id="rId1"/>
  </tableParts>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sheetPr codeName="Sheet257"/>
  <dimension ref="A1:K32"/>
  <sheetViews>
    <sheetView workbookViewId="0">
      <selection activeCell="F11" sqref="F11"/>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44196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44196</v>
      </c>
    </row>
    <row r="7" spans="2:11" x14ac:dyDescent="0.3">
      <c r="B7" s="6" t="s">
        <v>37</v>
      </c>
      <c r="C7" s="22"/>
      <c r="D7" s="22"/>
      <c r="E7" s="22"/>
      <c r="F7" s="22"/>
      <c r="G7" s="22"/>
      <c r="H7" s="67">
        <f>$G$3</f>
        <v>44196</v>
      </c>
    </row>
    <row r="8" spans="2:11" x14ac:dyDescent="0.3">
      <c r="B8" s="6" t="s">
        <v>17</v>
      </c>
      <c r="C8" s="22">
        <v>311000</v>
      </c>
      <c r="D8" s="22">
        <v>162000</v>
      </c>
      <c r="E8" s="22"/>
      <c r="F8" s="22"/>
      <c r="G8" s="22"/>
      <c r="H8" s="12">
        <f t="shared" si="0"/>
        <v>44196</v>
      </c>
    </row>
    <row r="9" spans="2:11" ht="15.6" x14ac:dyDescent="0.3">
      <c r="B9" s="34" t="s">
        <v>0</v>
      </c>
      <c r="C9" s="60"/>
      <c r="D9" s="60">
        <v>54000</v>
      </c>
      <c r="E9" s="60"/>
      <c r="F9" s="60"/>
      <c r="G9" s="61"/>
      <c r="H9" s="12">
        <f t="shared" si="0"/>
        <v>44196</v>
      </c>
    </row>
    <row r="10" spans="2:11" x14ac:dyDescent="0.3">
      <c r="B10" s="6" t="s">
        <v>25</v>
      </c>
      <c r="C10" s="22">
        <v>99000</v>
      </c>
      <c r="D10" s="22">
        <v>108000</v>
      </c>
      <c r="E10" s="22"/>
      <c r="F10" s="22"/>
      <c r="G10" s="22"/>
      <c r="H10" s="12">
        <f t="shared" si="0"/>
        <v>44196</v>
      </c>
    </row>
    <row r="11" spans="2:11" x14ac:dyDescent="0.3">
      <c r="B11" s="6" t="s">
        <v>15</v>
      </c>
      <c r="C11" s="22"/>
      <c r="D11" s="22"/>
      <c r="E11" s="22"/>
      <c r="F11" s="48"/>
      <c r="G11" s="22"/>
      <c r="H11" s="12">
        <f t="shared" si="0"/>
        <v>44196</v>
      </c>
    </row>
    <row r="12" spans="2:11" x14ac:dyDescent="0.3">
      <c r="B12" s="6" t="s">
        <v>26</v>
      </c>
      <c r="C12" s="22"/>
      <c r="D12" s="22"/>
      <c r="E12" s="22"/>
      <c r="F12" s="22"/>
      <c r="G12" s="22"/>
      <c r="H12" s="12">
        <f t="shared" si="0"/>
        <v>44196</v>
      </c>
    </row>
    <row r="13" spans="2:11" x14ac:dyDescent="0.3">
      <c r="B13" s="6" t="s">
        <v>22</v>
      </c>
      <c r="C13" s="23"/>
      <c r="D13" s="23">
        <v>54000</v>
      </c>
      <c r="E13" s="23"/>
      <c r="F13" s="22"/>
      <c r="G13" s="23"/>
      <c r="H13" s="12">
        <f t="shared" si="0"/>
        <v>44196</v>
      </c>
      <c r="K13" s="4"/>
    </row>
    <row r="14" spans="2:11" x14ac:dyDescent="0.3">
      <c r="B14" s="6" t="s">
        <v>19</v>
      </c>
      <c r="C14" s="22">
        <v>99000</v>
      </c>
      <c r="D14" s="22">
        <v>486000</v>
      </c>
      <c r="E14" s="22"/>
      <c r="F14" s="22"/>
      <c r="G14" s="22"/>
      <c r="H14" s="12">
        <f t="shared" si="0"/>
        <v>44196</v>
      </c>
    </row>
    <row r="15" spans="2:11" x14ac:dyDescent="0.3">
      <c r="B15" s="6" t="s">
        <v>14</v>
      </c>
      <c r="C15" s="22"/>
      <c r="D15" s="22"/>
      <c r="E15" s="22"/>
      <c r="F15" s="22"/>
      <c r="G15" s="22"/>
      <c r="H15" s="12">
        <f t="shared" si="0"/>
        <v>44196</v>
      </c>
    </row>
    <row r="16" spans="2:11" x14ac:dyDescent="0.3">
      <c r="B16" s="6" t="s">
        <v>24</v>
      </c>
      <c r="C16" s="22"/>
      <c r="D16" s="22">
        <v>54000</v>
      </c>
      <c r="E16" s="22"/>
      <c r="F16" s="49"/>
      <c r="G16" s="22"/>
      <c r="H16" s="12">
        <f t="shared" si="0"/>
        <v>44196</v>
      </c>
    </row>
    <row r="17" spans="1:8" x14ac:dyDescent="0.3">
      <c r="B17" s="6" t="s">
        <v>21</v>
      </c>
      <c r="C17" s="22"/>
      <c r="D17" s="22"/>
      <c r="E17" s="22"/>
      <c r="F17" s="22"/>
      <c r="G17" s="22"/>
      <c r="H17" s="12">
        <f t="shared" si="0"/>
        <v>44196</v>
      </c>
    </row>
    <row r="18" spans="1:8" x14ac:dyDescent="0.3">
      <c r="B18" s="6" t="s">
        <v>18</v>
      </c>
      <c r="C18" s="22">
        <v>324000</v>
      </c>
      <c r="D18" s="22"/>
      <c r="E18" s="22"/>
      <c r="F18" s="22"/>
      <c r="G18" s="22"/>
      <c r="H18" s="12">
        <f t="shared" si="0"/>
        <v>44196</v>
      </c>
    </row>
    <row r="19" spans="1:8" x14ac:dyDescent="0.3">
      <c r="B19" s="6" t="s">
        <v>16</v>
      </c>
      <c r="C19" s="22"/>
      <c r="D19" s="22"/>
      <c r="E19" s="22"/>
      <c r="F19" s="22"/>
      <c r="G19" s="22"/>
      <c r="H19" s="12">
        <f t="shared" si="0"/>
        <v>44196</v>
      </c>
    </row>
    <row r="20" spans="1:8" x14ac:dyDescent="0.3">
      <c r="B20" s="50" t="s">
        <v>27</v>
      </c>
      <c r="C20" s="51">
        <f>SUM(December31_2020[KSI_AGO])</f>
        <v>833000</v>
      </c>
      <c r="D20" s="51">
        <f>SUM(December31_2020[KSI_PMS])</f>
        <v>918000</v>
      </c>
      <c r="E20" s="51">
        <f>SUM(December31_2020[BUIPE_AGO])</f>
        <v>0</v>
      </c>
      <c r="F20" s="51">
        <f>SUM(December31_2020[BUIPE_PMS])</f>
        <v>0</v>
      </c>
      <c r="G20" s="51">
        <f>SUM(December31_2020[AKOSOMBO_AGO])</f>
        <v>0</v>
      </c>
      <c r="H20" s="52"/>
    </row>
    <row r="21" spans="1:8" x14ac:dyDescent="0.3">
      <c r="B21" s="8"/>
      <c r="C21" s="24"/>
      <c r="D21" s="24"/>
      <c r="E21" s="24"/>
      <c r="F21" s="24"/>
      <c r="G21" s="24"/>
      <c r="H21"/>
    </row>
    <row r="22" spans="1:8" x14ac:dyDescent="0.3">
      <c r="B22" s="1" t="s">
        <v>6</v>
      </c>
      <c r="C22" s="1" t="s">
        <v>4</v>
      </c>
      <c r="D22" s="5">
        <f>SUMIF(December31_2020[[#Headers],[KSI_AGO]:[AKOSOMBO_AGO]],"*"&amp;C22,December31_2020[[#Totals],[KSI_AGO]:[AKOSOMBO_AGO]])</f>
        <v>833000</v>
      </c>
      <c r="E22" s="1" t="s">
        <v>5</v>
      </c>
      <c r="F22" s="5">
        <f>SUMIF(December31_2020[[#Headers],[KSI_AGO]:[AKOSOMBO_AGO]],"*"&amp;E22,December31_2020[[#Totals],[KSI_AGO]:[AKOSOMBO_AGO]])</f>
        <v>918000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001-000000000000}">
      <formula1>INDIRECT("BDC_List[BDC List]")</formula1>
    </dataValidation>
  </dataValidations>
  <pageMargins left="0.7" right="0.7" top="0.75" bottom="0.75" header="0.3" footer="0.3"/>
  <tableParts count="1">
    <tablePart r:id="rId1"/>
  </tableParts>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2E0E-7DE5-42B6-ACA2-89BF4CC9A0F0}">
  <sheetPr codeName="Sheet258"/>
  <dimension ref="A1:K32"/>
  <sheetViews>
    <sheetView workbookViewId="0">
      <selection activeCell="G15" sqref="G15"/>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44200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44200</v>
      </c>
    </row>
    <row r="7" spans="2:11" x14ac:dyDescent="0.3">
      <c r="B7" s="6" t="s">
        <v>37</v>
      </c>
      <c r="C7" s="22"/>
      <c r="D7" s="22"/>
      <c r="E7" s="22"/>
      <c r="F7" s="22"/>
      <c r="G7" s="22"/>
      <c r="H7" s="67">
        <f t="shared" si="0"/>
        <v>44200</v>
      </c>
    </row>
    <row r="8" spans="2:11" x14ac:dyDescent="0.3">
      <c r="B8" s="6" t="s">
        <v>17</v>
      </c>
      <c r="C8" s="22">
        <v>54000</v>
      </c>
      <c r="D8" s="22"/>
      <c r="E8" s="22"/>
      <c r="F8" s="22"/>
      <c r="G8" s="22">
        <v>320000</v>
      </c>
      <c r="H8" s="12">
        <f t="shared" si="0"/>
        <v>44200</v>
      </c>
    </row>
    <row r="9" spans="2:11" ht="15.6" x14ac:dyDescent="0.3">
      <c r="B9" s="34" t="s">
        <v>0</v>
      </c>
      <c r="C9" s="60"/>
      <c r="D9" s="60">
        <v>647500</v>
      </c>
      <c r="E9" s="60"/>
      <c r="F9" s="60">
        <v>216000</v>
      </c>
      <c r="G9" s="61"/>
      <c r="H9" s="12">
        <f t="shared" si="0"/>
        <v>44200</v>
      </c>
    </row>
    <row r="10" spans="2:11" x14ac:dyDescent="0.3">
      <c r="B10" s="6" t="s">
        <v>25</v>
      </c>
      <c r="C10" s="22"/>
      <c r="D10" s="22">
        <v>108000</v>
      </c>
      <c r="E10" s="22"/>
      <c r="F10" s="22"/>
      <c r="G10" s="22"/>
      <c r="H10" s="12">
        <f t="shared" si="0"/>
        <v>44200</v>
      </c>
    </row>
    <row r="11" spans="2:11" x14ac:dyDescent="0.3">
      <c r="B11" s="6" t="s">
        <v>15</v>
      </c>
      <c r="C11" s="22">
        <v>270000</v>
      </c>
      <c r="D11" s="22">
        <v>216000</v>
      </c>
      <c r="E11" s="22">
        <v>54000</v>
      </c>
      <c r="F11" s="48"/>
      <c r="G11" s="22">
        <v>162000</v>
      </c>
      <c r="H11" s="12">
        <f t="shared" si="0"/>
        <v>44200</v>
      </c>
    </row>
    <row r="12" spans="2:11" x14ac:dyDescent="0.3">
      <c r="B12" s="6" t="s">
        <v>26</v>
      </c>
      <c r="C12" s="22"/>
      <c r="D12" s="22"/>
      <c r="E12" s="22"/>
      <c r="F12" s="22"/>
      <c r="G12" s="22"/>
      <c r="H12" s="12">
        <f t="shared" si="0"/>
        <v>44200</v>
      </c>
    </row>
    <row r="13" spans="2:11" x14ac:dyDescent="0.3">
      <c r="B13" s="6" t="s">
        <v>22</v>
      </c>
      <c r="C13" s="23"/>
      <c r="D13" s="23">
        <v>108000</v>
      </c>
      <c r="E13" s="23"/>
      <c r="F13" s="22"/>
      <c r="G13" s="23"/>
      <c r="H13" s="12">
        <f t="shared" si="0"/>
        <v>44200</v>
      </c>
      <c r="K13" s="4"/>
    </row>
    <row r="14" spans="2:11" x14ac:dyDescent="0.3">
      <c r="B14" s="6" t="s">
        <v>19</v>
      </c>
      <c r="C14" s="22"/>
      <c r="D14" s="22">
        <v>54000</v>
      </c>
      <c r="E14" s="22"/>
      <c r="F14" s="22"/>
      <c r="G14" s="22"/>
      <c r="H14" s="12">
        <f t="shared" si="0"/>
        <v>44200</v>
      </c>
    </row>
    <row r="15" spans="2:11" x14ac:dyDescent="0.3">
      <c r="B15" s="6" t="s">
        <v>14</v>
      </c>
      <c r="C15" s="22"/>
      <c r="D15" s="22">
        <v>108000</v>
      </c>
      <c r="E15" s="22"/>
      <c r="F15" s="22"/>
      <c r="G15" s="22"/>
      <c r="H15" s="12">
        <f t="shared" si="0"/>
        <v>44200</v>
      </c>
    </row>
    <row r="16" spans="2:11" x14ac:dyDescent="0.3">
      <c r="B16" s="6" t="s">
        <v>24</v>
      </c>
      <c r="C16" s="22"/>
      <c r="D16" s="22"/>
      <c r="E16" s="22"/>
      <c r="F16" s="49"/>
      <c r="G16" s="22"/>
      <c r="H16" s="12">
        <f t="shared" si="0"/>
        <v>44200</v>
      </c>
    </row>
    <row r="17" spans="1:8" x14ac:dyDescent="0.3">
      <c r="B17" s="6" t="s">
        <v>21</v>
      </c>
      <c r="C17" s="22"/>
      <c r="D17" s="22"/>
      <c r="E17" s="22"/>
      <c r="F17" s="22"/>
      <c r="G17" s="22"/>
      <c r="H17" s="12">
        <f t="shared" si="0"/>
        <v>44200</v>
      </c>
    </row>
    <row r="18" spans="1:8" x14ac:dyDescent="0.3">
      <c r="B18" s="6" t="s">
        <v>18</v>
      </c>
      <c r="C18" s="22">
        <v>639000</v>
      </c>
      <c r="D18" s="22"/>
      <c r="E18" s="22"/>
      <c r="F18" s="22"/>
      <c r="G18" s="22"/>
      <c r="H18" s="12">
        <f t="shared" si="0"/>
        <v>44200</v>
      </c>
    </row>
    <row r="19" spans="1:8" x14ac:dyDescent="0.3">
      <c r="B19" s="6" t="s">
        <v>16</v>
      </c>
      <c r="C19" s="22"/>
      <c r="D19" s="22"/>
      <c r="E19" s="22"/>
      <c r="F19" s="22"/>
      <c r="G19" s="22"/>
      <c r="H19" s="12">
        <f t="shared" si="0"/>
        <v>44200</v>
      </c>
    </row>
    <row r="20" spans="1:8" x14ac:dyDescent="0.3">
      <c r="B20" s="50" t="s">
        <v>27</v>
      </c>
      <c r="C20" s="51">
        <f>SUM(January04_2021[KSI_AGO])</f>
        <v>963000</v>
      </c>
      <c r="D20" s="51">
        <f>SUM(January04_2021[KSI_PMS])</f>
        <v>1241500</v>
      </c>
      <c r="E20" s="51">
        <f>SUM(January04_2021[BUIPE_AGO])</f>
        <v>54000</v>
      </c>
      <c r="F20" s="51">
        <f>SUM(January04_2021[BUIPE_PMS])</f>
        <v>216000</v>
      </c>
      <c r="G20" s="51">
        <f>SUM(January04_2021[AKOSOMBO_AGO])</f>
        <v>482000</v>
      </c>
      <c r="H20" s="52"/>
    </row>
    <row r="21" spans="1:8" x14ac:dyDescent="0.3">
      <c r="B21" s="8"/>
      <c r="C21" s="24"/>
      <c r="D21" s="24"/>
      <c r="E21" s="24"/>
      <c r="F21" s="24"/>
      <c r="G21" s="24"/>
      <c r="H21"/>
    </row>
    <row r="22" spans="1:8" x14ac:dyDescent="0.3">
      <c r="B22" s="1" t="s">
        <v>6</v>
      </c>
      <c r="C22" s="1" t="s">
        <v>4</v>
      </c>
      <c r="D22" s="5">
        <f>SUMIF(January04_2021[[#Headers],[KSI_AGO]:[AKOSOMBO_AGO]],"*"&amp;C22,January04_2021[[#Totals],[KSI_AGO]:[AKOSOMBO_AGO]])</f>
        <v>1499000</v>
      </c>
      <c r="E22" s="1" t="s">
        <v>5</v>
      </c>
      <c r="F22" s="5">
        <f>SUMIF(January04_2021[[#Headers],[KSI_AGO]:[AKOSOMBO_AGO]],"*"&amp;E22,January04_2021[[#Totals],[KSI_AGO]:[AKOSOMBO_AGO]])</f>
        <v>1457500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0000000-0002-0000-0000-000000000000}">
      <formula1>INDIRECT("BDC_List[BDC List]")</formula1>
    </dataValidation>
  </dataValidations>
  <pageMargins left="0.7" right="0.7" top="0.75" bottom="0.75" header="0.3" footer="0.3"/>
  <tableParts count="1">
    <tablePart r:id="rId1"/>
  </tableParts>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D40C-544B-4D97-9C9C-CCE894B4DFCA}">
  <sheetPr codeName="Sheet259"/>
  <dimension ref="A1:K32"/>
  <sheetViews>
    <sheetView workbookViewId="0">
      <selection activeCell="B24" sqref="B2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44201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44201</v>
      </c>
    </row>
    <row r="7" spans="2:11" x14ac:dyDescent="0.3">
      <c r="B7" s="6" t="s">
        <v>37</v>
      </c>
      <c r="C7" s="22"/>
      <c r="D7" s="22"/>
      <c r="E7" s="22"/>
      <c r="F7" s="22"/>
      <c r="G7" s="22"/>
      <c r="H7" s="67">
        <f>$G$3</f>
        <v>44201</v>
      </c>
    </row>
    <row r="8" spans="2:11" x14ac:dyDescent="0.3">
      <c r="B8" s="6" t="s">
        <v>17</v>
      </c>
      <c r="C8" s="22"/>
      <c r="D8" s="22">
        <v>162000</v>
      </c>
      <c r="E8" s="22"/>
      <c r="F8" s="22">
        <v>54000</v>
      </c>
      <c r="G8" s="22"/>
      <c r="H8" s="12">
        <f t="shared" si="0"/>
        <v>44201</v>
      </c>
    </row>
    <row r="9" spans="2:11" ht="15.6" x14ac:dyDescent="0.3">
      <c r="B9" s="34" t="s">
        <v>0</v>
      </c>
      <c r="C9" s="60"/>
      <c r="D9" s="60">
        <v>377000</v>
      </c>
      <c r="E9" s="60"/>
      <c r="F9" s="60">
        <v>216000</v>
      </c>
      <c r="G9" s="61"/>
      <c r="H9" s="12">
        <f t="shared" si="0"/>
        <v>44201</v>
      </c>
    </row>
    <row r="10" spans="2:11" x14ac:dyDescent="0.3">
      <c r="B10" s="6" t="s">
        <v>25</v>
      </c>
      <c r="C10" s="22">
        <v>45000</v>
      </c>
      <c r="D10" s="22">
        <v>162000</v>
      </c>
      <c r="E10" s="22"/>
      <c r="F10" s="22"/>
      <c r="G10" s="22"/>
      <c r="H10" s="12">
        <f t="shared" si="0"/>
        <v>44201</v>
      </c>
    </row>
    <row r="11" spans="2:11" x14ac:dyDescent="0.3">
      <c r="B11" s="6" t="s">
        <v>15</v>
      </c>
      <c r="C11" s="22">
        <v>702000</v>
      </c>
      <c r="D11" s="22">
        <v>108000</v>
      </c>
      <c r="E11" s="22">
        <v>108000</v>
      </c>
      <c r="F11" s="48"/>
      <c r="G11" s="22">
        <v>54000</v>
      </c>
      <c r="H11" s="12">
        <f t="shared" si="0"/>
        <v>44201</v>
      </c>
    </row>
    <row r="12" spans="2:11" x14ac:dyDescent="0.3">
      <c r="B12" s="6" t="s">
        <v>26</v>
      </c>
      <c r="C12" s="22"/>
      <c r="D12" s="22">
        <v>54000</v>
      </c>
      <c r="E12" s="22"/>
      <c r="F12" s="22"/>
      <c r="G12" s="22"/>
      <c r="H12" s="12">
        <f t="shared" si="0"/>
        <v>44201</v>
      </c>
    </row>
    <row r="13" spans="2:11" x14ac:dyDescent="0.3">
      <c r="B13" s="6" t="s">
        <v>22</v>
      </c>
      <c r="C13" s="23"/>
      <c r="D13" s="23">
        <v>162000</v>
      </c>
      <c r="E13" s="23"/>
      <c r="F13" s="22"/>
      <c r="G13" s="23"/>
      <c r="H13" s="12">
        <f t="shared" si="0"/>
        <v>44201</v>
      </c>
      <c r="K13" s="4"/>
    </row>
    <row r="14" spans="2:11" x14ac:dyDescent="0.3">
      <c r="B14" s="6" t="s">
        <v>19</v>
      </c>
      <c r="C14" s="22"/>
      <c r="D14" s="22">
        <v>162000</v>
      </c>
      <c r="E14" s="22"/>
      <c r="F14" s="22"/>
      <c r="G14" s="22"/>
      <c r="H14" s="12">
        <f t="shared" si="0"/>
        <v>44201</v>
      </c>
    </row>
    <row r="15" spans="2:11" x14ac:dyDescent="0.3">
      <c r="B15" s="6" t="s">
        <v>14</v>
      </c>
      <c r="C15" s="22">
        <v>432000</v>
      </c>
      <c r="D15" s="22">
        <v>108000</v>
      </c>
      <c r="E15" s="22">
        <v>54000</v>
      </c>
      <c r="F15" s="22"/>
      <c r="G15" s="22"/>
      <c r="H15" s="12">
        <f t="shared" si="0"/>
        <v>44201</v>
      </c>
    </row>
    <row r="16" spans="2:11" x14ac:dyDescent="0.3">
      <c r="B16" s="6" t="s">
        <v>24</v>
      </c>
      <c r="C16" s="22"/>
      <c r="D16" s="22"/>
      <c r="E16" s="22"/>
      <c r="F16" s="49"/>
      <c r="G16" s="22"/>
      <c r="H16" s="12">
        <f t="shared" si="0"/>
        <v>44201</v>
      </c>
    </row>
    <row r="17" spans="1:8" x14ac:dyDescent="0.3">
      <c r="B17" s="6" t="s">
        <v>21</v>
      </c>
      <c r="C17" s="22"/>
      <c r="D17" s="22"/>
      <c r="E17" s="22"/>
      <c r="F17" s="22"/>
      <c r="G17" s="22"/>
      <c r="H17" s="12">
        <f t="shared" si="0"/>
        <v>44201</v>
      </c>
    </row>
    <row r="18" spans="1:8" x14ac:dyDescent="0.3">
      <c r="B18" s="6" t="s">
        <v>18</v>
      </c>
      <c r="C18" s="22">
        <v>95000</v>
      </c>
      <c r="D18" s="22"/>
      <c r="E18" s="22"/>
      <c r="F18" s="22"/>
      <c r="G18" s="22"/>
      <c r="H18" s="12">
        <f t="shared" si="0"/>
        <v>44201</v>
      </c>
    </row>
    <row r="19" spans="1:8" x14ac:dyDescent="0.3">
      <c r="B19" s="6" t="s">
        <v>16</v>
      </c>
      <c r="C19" s="22"/>
      <c r="D19" s="22">
        <v>54000</v>
      </c>
      <c r="E19" s="22"/>
      <c r="F19" s="22">
        <v>54000</v>
      </c>
      <c r="G19" s="22"/>
      <c r="H19" s="12">
        <f t="shared" si="0"/>
        <v>44201</v>
      </c>
    </row>
    <row r="20" spans="1:8" x14ac:dyDescent="0.3">
      <c r="B20" s="50" t="s">
        <v>27</v>
      </c>
      <c r="C20" s="51">
        <f>SUM(January05_2021[KSI_AGO])</f>
        <v>1274000</v>
      </c>
      <c r="D20" s="51">
        <f>SUM(January05_2021[KSI_PMS])</f>
        <v>1349000</v>
      </c>
      <c r="E20" s="51">
        <f>SUM(January05_2021[BUIPE_AGO])</f>
        <v>162000</v>
      </c>
      <c r="F20" s="51">
        <f>SUM(January05_2021[BUIPE_PMS])</f>
        <v>324000</v>
      </c>
      <c r="G20" s="51">
        <f>SUM(January05_2021[AKOSOMBO_AGO])</f>
        <v>54000</v>
      </c>
      <c r="H20" s="52"/>
    </row>
    <row r="21" spans="1:8" x14ac:dyDescent="0.3">
      <c r="B21" s="8"/>
      <c r="C21" s="24"/>
      <c r="D21" s="24"/>
      <c r="E21" s="24"/>
      <c r="F21" s="24"/>
      <c r="G21" s="24"/>
      <c r="H21"/>
    </row>
    <row r="22" spans="1:8" x14ac:dyDescent="0.3">
      <c r="B22" s="1" t="s">
        <v>6</v>
      </c>
      <c r="C22" s="1" t="s">
        <v>4</v>
      </c>
      <c r="D22" s="5">
        <f>SUMIF(January05_2021[[#Headers],[KSI_AGO]:[AKOSOMBO_AGO]],"*"&amp;C22,January05_2021[[#Totals],[KSI_AGO]:[AKOSOMBO_AGO]])</f>
        <v>1490000</v>
      </c>
      <c r="E22" s="1" t="s">
        <v>5</v>
      </c>
      <c r="F22" s="5">
        <f>SUMIF(January05_2021[[#Headers],[KSI_AGO]:[AKOSOMBO_AGO]],"*"&amp;E22,January05_2021[[#Totals],[KSI_AGO]:[AKOSOMBO_AGO]])</f>
        <v>1673000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FC5FFEE-EDDD-4216-862A-9762A1239714}">
      <formula1>INDIRECT("BDC_List[BDC List]")</formula1>
    </dataValidation>
  </dataValidations>
  <pageMargins left="0.7" right="0.7" top="0.75" bottom="0.75" header="0.3" footer="0.3"/>
  <tableParts count="1">
    <tablePart r:id="rId1"/>
  </tableParts>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B4F61-FFBE-4A41-8C67-59ADF44F76A4}">
  <sheetPr codeName="Sheet260"/>
  <dimension ref="A1:K32"/>
  <sheetViews>
    <sheetView workbookViewId="0">
      <selection activeCell="G15" sqref="G15"/>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44202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44202</v>
      </c>
    </row>
    <row r="7" spans="2:11" x14ac:dyDescent="0.3">
      <c r="B7" s="6" t="s">
        <v>37</v>
      </c>
      <c r="C7" s="22"/>
      <c r="D7" s="22"/>
      <c r="E7" s="22"/>
      <c r="F7" s="22"/>
      <c r="G7" s="22"/>
      <c r="H7" s="67">
        <f>$G$3</f>
        <v>44202</v>
      </c>
    </row>
    <row r="8" spans="2:11" x14ac:dyDescent="0.3">
      <c r="B8" s="6" t="s">
        <v>17</v>
      </c>
      <c r="C8" s="22"/>
      <c r="D8" s="22">
        <v>54000</v>
      </c>
      <c r="E8" s="22"/>
      <c r="F8" s="22"/>
      <c r="G8" s="22"/>
      <c r="H8" s="12">
        <f t="shared" si="0"/>
        <v>44202</v>
      </c>
    </row>
    <row r="9" spans="2:11" ht="15.6" x14ac:dyDescent="0.3">
      <c r="B9" s="34" t="s">
        <v>0</v>
      </c>
      <c r="C9" s="60"/>
      <c r="D9" s="60">
        <v>377000</v>
      </c>
      <c r="E9" s="60"/>
      <c r="F9" s="60"/>
      <c r="G9" s="61"/>
      <c r="H9" s="12">
        <f t="shared" si="0"/>
        <v>44202</v>
      </c>
    </row>
    <row r="10" spans="2:11" ht="18" customHeight="1" x14ac:dyDescent="0.3">
      <c r="B10" s="6" t="s">
        <v>25</v>
      </c>
      <c r="C10" s="22"/>
      <c r="D10" s="22">
        <v>54000</v>
      </c>
      <c r="E10" s="22"/>
      <c r="F10" s="22"/>
      <c r="G10" s="22"/>
      <c r="H10" s="12">
        <f t="shared" si="0"/>
        <v>44202</v>
      </c>
    </row>
    <row r="11" spans="2:11" x14ac:dyDescent="0.3">
      <c r="B11" s="6" t="s">
        <v>15</v>
      </c>
      <c r="C11" s="22">
        <v>266000</v>
      </c>
      <c r="D11" s="22"/>
      <c r="E11" s="22"/>
      <c r="F11" s="48">
        <v>54000</v>
      </c>
      <c r="G11" s="22">
        <v>266000</v>
      </c>
      <c r="H11" s="12">
        <f t="shared" si="0"/>
        <v>44202</v>
      </c>
    </row>
    <row r="12" spans="2:11" x14ac:dyDescent="0.3">
      <c r="B12" s="6" t="s">
        <v>26</v>
      </c>
      <c r="C12" s="22"/>
      <c r="D12" s="22"/>
      <c r="E12" s="22"/>
      <c r="F12" s="22"/>
      <c r="G12" s="22"/>
      <c r="H12" s="12">
        <f t="shared" si="0"/>
        <v>44202</v>
      </c>
    </row>
    <row r="13" spans="2:11" x14ac:dyDescent="0.3">
      <c r="B13" s="6" t="s">
        <v>22</v>
      </c>
      <c r="C13" s="23"/>
      <c r="D13" s="23">
        <v>54000</v>
      </c>
      <c r="E13" s="23"/>
      <c r="F13" s="22"/>
      <c r="G13" s="23"/>
      <c r="H13" s="12">
        <f t="shared" si="0"/>
        <v>44202</v>
      </c>
      <c r="K13" s="4"/>
    </row>
    <row r="14" spans="2:11" x14ac:dyDescent="0.3">
      <c r="B14" s="6" t="s">
        <v>19</v>
      </c>
      <c r="C14" s="22"/>
      <c r="D14" s="22">
        <v>594000</v>
      </c>
      <c r="E14" s="22"/>
      <c r="F14" s="22"/>
      <c r="G14" s="22"/>
      <c r="H14" s="12">
        <f t="shared" si="0"/>
        <v>44202</v>
      </c>
    </row>
    <row r="15" spans="2:11" x14ac:dyDescent="0.3">
      <c r="B15" s="6" t="s">
        <v>14</v>
      </c>
      <c r="C15" s="22">
        <v>427000</v>
      </c>
      <c r="D15" s="22">
        <v>153000</v>
      </c>
      <c r="E15" s="22">
        <v>324000</v>
      </c>
      <c r="F15" s="22"/>
      <c r="G15" s="22"/>
      <c r="H15" s="12">
        <f t="shared" si="0"/>
        <v>44202</v>
      </c>
    </row>
    <row r="16" spans="2:11" x14ac:dyDescent="0.3">
      <c r="B16" s="6" t="s">
        <v>24</v>
      </c>
      <c r="C16" s="22"/>
      <c r="D16" s="22"/>
      <c r="E16" s="22"/>
      <c r="F16" s="49"/>
      <c r="G16" s="22"/>
      <c r="H16" s="12">
        <f t="shared" si="0"/>
        <v>44202</v>
      </c>
    </row>
    <row r="17" spans="1:8" x14ac:dyDescent="0.3">
      <c r="B17" s="6" t="s">
        <v>21</v>
      </c>
      <c r="C17" s="22"/>
      <c r="D17" s="22"/>
      <c r="E17" s="22"/>
      <c r="F17" s="22"/>
      <c r="G17" s="22"/>
      <c r="H17" s="12">
        <f t="shared" si="0"/>
        <v>44202</v>
      </c>
    </row>
    <row r="18" spans="1:8" x14ac:dyDescent="0.3">
      <c r="B18" s="6" t="s">
        <v>18</v>
      </c>
      <c r="C18" s="22">
        <v>50000</v>
      </c>
      <c r="D18" s="22"/>
      <c r="E18" s="22"/>
      <c r="F18" s="22"/>
      <c r="G18" s="22"/>
      <c r="H18" s="12">
        <f t="shared" si="0"/>
        <v>44202</v>
      </c>
    </row>
    <row r="19" spans="1:8" x14ac:dyDescent="0.3">
      <c r="B19" s="6" t="s">
        <v>16</v>
      </c>
      <c r="C19" s="22"/>
      <c r="D19" s="22">
        <v>108000</v>
      </c>
      <c r="E19" s="22"/>
      <c r="F19" s="22"/>
      <c r="G19" s="22"/>
      <c r="H19" s="12">
        <f t="shared" si="0"/>
        <v>44202</v>
      </c>
    </row>
    <row r="20" spans="1:8" x14ac:dyDescent="0.3">
      <c r="B20" s="50" t="s">
        <v>27</v>
      </c>
      <c r="C20" s="51">
        <f>SUM(January06_2021[KSI_AGO])</f>
        <v>743000</v>
      </c>
      <c r="D20" s="51">
        <f>SUM(January06_2021[KSI_PMS])</f>
        <v>1394000</v>
      </c>
      <c r="E20" s="51">
        <f>SUM(January06_2021[BUIPE_AGO])</f>
        <v>324000</v>
      </c>
      <c r="F20" s="51">
        <f>SUM(January06_2021[BUIPE_PMS])</f>
        <v>54000</v>
      </c>
      <c r="G20" s="51">
        <f>SUM(January06_2021[AKOSOMBO_AGO])</f>
        <v>266000</v>
      </c>
      <c r="H20" s="52"/>
    </row>
    <row r="21" spans="1:8" x14ac:dyDescent="0.3">
      <c r="B21" s="8"/>
      <c r="C21" s="24"/>
      <c r="D21" s="24"/>
      <c r="E21" s="24"/>
      <c r="F21" s="24"/>
      <c r="G21" s="24"/>
      <c r="H21"/>
    </row>
    <row r="22" spans="1:8" x14ac:dyDescent="0.3">
      <c r="B22" s="1" t="s">
        <v>6</v>
      </c>
      <c r="C22" s="1" t="s">
        <v>4</v>
      </c>
      <c r="D22" s="5">
        <f>SUMIF(January06_2021[[#Headers],[KSI_AGO]:[AKOSOMBO_AGO]],"*"&amp;C22,January06_2021[[#Totals],[KSI_AGO]:[AKOSOMBO_AGO]])</f>
        <v>1333000</v>
      </c>
      <c r="E22" s="1" t="s">
        <v>5</v>
      </c>
      <c r="F22" s="5">
        <f>SUMIF(January06_2021[[#Headers],[KSI_AGO]:[AKOSOMBO_AGO]],"*"&amp;E22,January06_2021[[#Totals],[KSI_AGO]:[AKOSOMBO_AGO]])</f>
        <v>1448000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2A00F6C3-89E1-4BDF-BD23-D06DC1AF5F17}">
      <formula1>INDIRECT("BDC_List[BDC List]")</formula1>
    </dataValidation>
  </dataValidations>
  <pageMargins left="0.7" right="0.7" top="0.75" bottom="0.75" header="0.3" footer="0.3"/>
  <tableParts count="1">
    <tablePart r:id="rId1"/>
  </tableParts>
</worksheet>
</file>

<file path=xl/worksheets/sheet2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B3464-7F95-4D3D-BA9C-0BE7FD4923ED}">
  <sheetPr codeName="Sheet261"/>
  <dimension ref="A1:K32"/>
  <sheetViews>
    <sheetView workbookViewId="0">
      <selection activeCell="D16" sqref="D1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44204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44204</v>
      </c>
    </row>
    <row r="7" spans="2:11" x14ac:dyDescent="0.3">
      <c r="B7" s="6" t="s">
        <v>37</v>
      </c>
      <c r="C7" s="22"/>
      <c r="D7" s="22"/>
      <c r="E7" s="22"/>
      <c r="F7" s="22"/>
      <c r="G7" s="22"/>
      <c r="H7" s="67">
        <f>$G$3</f>
        <v>44204</v>
      </c>
    </row>
    <row r="8" spans="2:11" x14ac:dyDescent="0.3">
      <c r="B8" s="6" t="s">
        <v>17</v>
      </c>
      <c r="C8" s="22"/>
      <c r="D8" s="22">
        <v>103500</v>
      </c>
      <c r="E8" s="22"/>
      <c r="F8" s="22">
        <v>54000</v>
      </c>
      <c r="G8" s="22"/>
      <c r="H8" s="12">
        <f t="shared" si="0"/>
        <v>44204</v>
      </c>
    </row>
    <row r="9" spans="2:11" ht="15.6" x14ac:dyDescent="0.3">
      <c r="B9" s="34" t="s">
        <v>0</v>
      </c>
      <c r="C9" s="60"/>
      <c r="D9" s="60">
        <v>470000</v>
      </c>
      <c r="E9" s="60"/>
      <c r="F9" s="60">
        <v>270000</v>
      </c>
      <c r="G9" s="61"/>
      <c r="H9" s="12">
        <f t="shared" si="0"/>
        <v>44204</v>
      </c>
    </row>
    <row r="10" spans="2:11" ht="18" customHeight="1" x14ac:dyDescent="0.3">
      <c r="B10" s="6" t="s">
        <v>25</v>
      </c>
      <c r="C10" s="22">
        <v>540000</v>
      </c>
      <c r="D10" s="22">
        <v>216000</v>
      </c>
      <c r="E10" s="22">
        <v>261000</v>
      </c>
      <c r="F10" s="22">
        <v>54000</v>
      </c>
      <c r="G10" s="22"/>
      <c r="H10" s="12">
        <f t="shared" si="0"/>
        <v>44204</v>
      </c>
    </row>
    <row r="11" spans="2:11" x14ac:dyDescent="0.3">
      <c r="B11" s="6" t="s">
        <v>15</v>
      </c>
      <c r="C11" s="22">
        <v>162000</v>
      </c>
      <c r="D11" s="22">
        <v>54000</v>
      </c>
      <c r="E11" s="22">
        <v>45000</v>
      </c>
      <c r="F11" s="48">
        <v>108000</v>
      </c>
      <c r="G11" s="22">
        <v>428000</v>
      </c>
      <c r="H11" s="12">
        <f t="shared" si="0"/>
        <v>44204</v>
      </c>
    </row>
    <row r="12" spans="2:11" x14ac:dyDescent="0.3">
      <c r="B12" s="6" t="s">
        <v>26</v>
      </c>
      <c r="C12" s="22"/>
      <c r="D12" s="22"/>
      <c r="E12" s="22"/>
      <c r="F12" s="22"/>
      <c r="G12" s="22"/>
      <c r="H12" s="12">
        <f t="shared" si="0"/>
        <v>44204</v>
      </c>
    </row>
    <row r="13" spans="2:11" x14ac:dyDescent="0.3">
      <c r="B13" s="6" t="s">
        <v>22</v>
      </c>
      <c r="C13" s="23"/>
      <c r="D13" s="23">
        <v>45000</v>
      </c>
      <c r="E13" s="23"/>
      <c r="F13" s="22"/>
      <c r="G13" s="23"/>
      <c r="H13" s="12">
        <f t="shared" si="0"/>
        <v>44204</v>
      </c>
      <c r="K13" s="4"/>
    </row>
    <row r="14" spans="2:11" x14ac:dyDescent="0.3">
      <c r="B14" s="6" t="s">
        <v>19</v>
      </c>
      <c r="C14" s="22"/>
      <c r="D14" s="22"/>
      <c r="E14" s="22"/>
      <c r="F14" s="22"/>
      <c r="G14" s="22"/>
      <c r="H14" s="12">
        <f t="shared" si="0"/>
        <v>44204</v>
      </c>
    </row>
    <row r="15" spans="2:11" x14ac:dyDescent="0.3">
      <c r="B15" s="6" t="s">
        <v>14</v>
      </c>
      <c r="C15" s="22">
        <v>828000</v>
      </c>
      <c r="D15" s="22">
        <v>162000</v>
      </c>
      <c r="E15" s="22">
        <v>378000</v>
      </c>
      <c r="F15" s="22">
        <v>108000</v>
      </c>
      <c r="G15" s="22"/>
      <c r="H15" s="12">
        <f t="shared" si="0"/>
        <v>44204</v>
      </c>
    </row>
    <row r="16" spans="2:11" x14ac:dyDescent="0.3">
      <c r="B16" s="6" t="s">
        <v>24</v>
      </c>
      <c r="C16" s="22"/>
      <c r="D16" s="22">
        <v>103500</v>
      </c>
      <c r="E16" s="22"/>
      <c r="F16" s="49"/>
      <c r="G16" s="22"/>
      <c r="H16" s="12">
        <f t="shared" si="0"/>
        <v>44204</v>
      </c>
    </row>
    <row r="17" spans="1:8" x14ac:dyDescent="0.3">
      <c r="B17" s="6" t="s">
        <v>21</v>
      </c>
      <c r="C17" s="22"/>
      <c r="D17" s="22"/>
      <c r="E17" s="22"/>
      <c r="F17" s="22"/>
      <c r="G17" s="22"/>
      <c r="H17" s="12">
        <f t="shared" si="0"/>
        <v>44204</v>
      </c>
    </row>
    <row r="18" spans="1:8" x14ac:dyDescent="0.3">
      <c r="B18" s="6" t="s">
        <v>18</v>
      </c>
      <c r="C18" s="22"/>
      <c r="D18" s="22"/>
      <c r="E18" s="22"/>
      <c r="F18" s="22"/>
      <c r="G18" s="22"/>
      <c r="H18" s="12">
        <f t="shared" si="0"/>
        <v>44204</v>
      </c>
    </row>
    <row r="19" spans="1:8" x14ac:dyDescent="0.3">
      <c r="B19" s="6" t="s">
        <v>16</v>
      </c>
      <c r="C19" s="22"/>
      <c r="D19" s="22">
        <v>54000</v>
      </c>
      <c r="E19" s="22"/>
      <c r="F19" s="22">
        <v>108000</v>
      </c>
      <c r="G19" s="22"/>
      <c r="H19" s="12">
        <f t="shared" si="0"/>
        <v>44204</v>
      </c>
    </row>
    <row r="20" spans="1:8" x14ac:dyDescent="0.3">
      <c r="B20" s="50" t="s">
        <v>27</v>
      </c>
      <c r="C20" s="51">
        <f>SUM(January08_2021[KSI_AGO])</f>
        <v>1530000</v>
      </c>
      <c r="D20" s="51">
        <f>SUM(January08_2021[KSI_PMS])</f>
        <v>1208000</v>
      </c>
      <c r="E20" s="51">
        <f>SUM(January08_2021[BUIPE_AGO])</f>
        <v>684000</v>
      </c>
      <c r="F20" s="51">
        <f>SUM(January08_2021[BUIPE_PMS])</f>
        <v>702000</v>
      </c>
      <c r="G20" s="51">
        <f>SUM(January08_2021[AKOSOMBO_AGO])</f>
        <v>428000</v>
      </c>
      <c r="H20" s="52"/>
    </row>
    <row r="21" spans="1:8" x14ac:dyDescent="0.3">
      <c r="B21" s="8"/>
      <c r="C21" s="24"/>
      <c r="D21" s="24"/>
      <c r="E21" s="24"/>
      <c r="F21" s="24"/>
      <c r="G21" s="24"/>
      <c r="H21"/>
    </row>
    <row r="22" spans="1:8" x14ac:dyDescent="0.3">
      <c r="B22" s="1" t="s">
        <v>6</v>
      </c>
      <c r="C22" s="1" t="s">
        <v>4</v>
      </c>
      <c r="D22" s="5">
        <f>SUMIF(January08_2021[[#Headers],[KSI_AGO]:[AKOSOMBO_AGO]],"*"&amp;C22,January08_2021[[#Totals],[KSI_AGO]:[AKOSOMBO_AGO]])</f>
        <v>2642000</v>
      </c>
      <c r="E22" s="1" t="s">
        <v>5</v>
      </c>
      <c r="F22" s="5">
        <f>SUMIF(January08_2021[[#Headers],[KSI_AGO]:[AKOSOMBO_AGO]],"*"&amp;E22,January08_2021[[#Totals],[KSI_AGO]:[AKOSOMBO_AGO]])</f>
        <v>1910000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E45F78D6-5C0A-4FCE-BF51-290A678DE278}">
      <formula1>INDIRECT("BDC_List[BDC List]")</formula1>
    </dataValidation>
  </dataValidations>
  <pageMargins left="0.7" right="0.7" top="0.75" bottom="0.75" header="0.3" footer="0.3"/>
  <legacyDrawing r:id="rId1"/>
  <tableParts count="1">
    <tablePart r:id="rId2"/>
  </tableParts>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C5184-C87E-4159-BD00-007B296A1267}">
  <sheetPr codeName="Sheet262"/>
  <dimension ref="A1:K32"/>
  <sheetViews>
    <sheetView workbookViewId="0">
      <selection activeCell="C16" sqref="C1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30.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44205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44205</v>
      </c>
    </row>
    <row r="7" spans="2:11" x14ac:dyDescent="0.3">
      <c r="B7" s="6" t="s">
        <v>37</v>
      </c>
      <c r="C7" s="22"/>
      <c r="D7" s="22"/>
      <c r="E7" s="22"/>
      <c r="F7" s="22"/>
      <c r="G7" s="22"/>
      <c r="H7" s="67">
        <f>$G$3</f>
        <v>44205</v>
      </c>
    </row>
    <row r="8" spans="2:11" x14ac:dyDescent="0.3">
      <c r="B8" s="6" t="s">
        <v>17</v>
      </c>
      <c r="C8" s="22"/>
      <c r="D8" s="22">
        <v>162000</v>
      </c>
      <c r="E8" s="22"/>
      <c r="F8" s="22">
        <v>54000</v>
      </c>
      <c r="G8" s="22">
        <v>90000</v>
      </c>
      <c r="H8" s="12">
        <f t="shared" si="0"/>
        <v>44205</v>
      </c>
    </row>
    <row r="9" spans="2:11" ht="15.6" x14ac:dyDescent="0.3">
      <c r="B9" s="34" t="s">
        <v>0</v>
      </c>
      <c r="C9" s="60"/>
      <c r="D9" s="60">
        <v>540000</v>
      </c>
      <c r="E9" s="60"/>
      <c r="F9" s="60">
        <v>216000</v>
      </c>
      <c r="G9" s="61"/>
      <c r="H9" s="12">
        <f t="shared" si="0"/>
        <v>44205</v>
      </c>
    </row>
    <row r="10" spans="2:11" ht="18" customHeight="1" x14ac:dyDescent="0.3">
      <c r="B10" s="6" t="s">
        <v>25</v>
      </c>
      <c r="C10" s="22">
        <v>756000</v>
      </c>
      <c r="D10" s="22">
        <v>162000</v>
      </c>
      <c r="E10" s="22">
        <v>216000</v>
      </c>
      <c r="F10" s="22"/>
      <c r="G10" s="22"/>
      <c r="H10" s="12">
        <f t="shared" si="0"/>
        <v>44205</v>
      </c>
    </row>
    <row r="11" spans="2:11" x14ac:dyDescent="0.3">
      <c r="B11" s="6" t="s">
        <v>15</v>
      </c>
      <c r="C11" s="22">
        <v>259000</v>
      </c>
      <c r="D11" s="22">
        <v>145000</v>
      </c>
      <c r="E11" s="22"/>
      <c r="F11" s="48">
        <v>108000</v>
      </c>
      <c r="G11" s="22">
        <v>90000</v>
      </c>
      <c r="H11" s="12">
        <f t="shared" si="0"/>
        <v>44205</v>
      </c>
    </row>
    <row r="12" spans="2:11" x14ac:dyDescent="0.3">
      <c r="B12" s="6" t="s">
        <v>26</v>
      </c>
      <c r="C12" s="22"/>
      <c r="D12" s="22"/>
      <c r="E12" s="22"/>
      <c r="F12" s="22"/>
      <c r="G12" s="22"/>
      <c r="H12" s="12">
        <f t="shared" si="0"/>
        <v>44205</v>
      </c>
    </row>
    <row r="13" spans="2:11" x14ac:dyDescent="0.3">
      <c r="B13" s="6" t="s">
        <v>22</v>
      </c>
      <c r="C13" s="23"/>
      <c r="D13" s="23">
        <v>162000</v>
      </c>
      <c r="E13" s="23"/>
      <c r="F13" s="22"/>
      <c r="G13" s="23"/>
      <c r="H13" s="12">
        <f t="shared" si="0"/>
        <v>44205</v>
      </c>
      <c r="K13" s="4"/>
    </row>
    <row r="14" spans="2:11" x14ac:dyDescent="0.3">
      <c r="B14" s="6" t="s">
        <v>19</v>
      </c>
      <c r="C14" s="22">
        <v>324000</v>
      </c>
      <c r="D14" s="22">
        <v>108000</v>
      </c>
      <c r="E14" s="22"/>
      <c r="F14" s="22"/>
      <c r="G14" s="22"/>
      <c r="H14" s="12">
        <f t="shared" si="0"/>
        <v>44205</v>
      </c>
    </row>
    <row r="15" spans="2:11" x14ac:dyDescent="0.3">
      <c r="B15" s="6" t="s">
        <v>14</v>
      </c>
      <c r="C15" s="22">
        <v>518000</v>
      </c>
      <c r="D15" s="22">
        <v>108000</v>
      </c>
      <c r="E15" s="22">
        <v>108000</v>
      </c>
      <c r="F15" s="22">
        <v>54000</v>
      </c>
      <c r="G15" s="22"/>
      <c r="H15" s="12">
        <f t="shared" si="0"/>
        <v>44205</v>
      </c>
    </row>
    <row r="16" spans="2:11" x14ac:dyDescent="0.3">
      <c r="B16" s="6" t="s">
        <v>24</v>
      </c>
      <c r="C16" s="22"/>
      <c r="D16" s="22">
        <v>378000</v>
      </c>
      <c r="E16" s="22"/>
      <c r="F16" s="49"/>
      <c r="G16" s="22"/>
      <c r="H16" s="12">
        <f t="shared" si="0"/>
        <v>44205</v>
      </c>
    </row>
    <row r="17" spans="1:8" x14ac:dyDescent="0.3">
      <c r="B17" s="6" t="s">
        <v>21</v>
      </c>
      <c r="C17" s="22"/>
      <c r="D17" s="22"/>
      <c r="E17" s="22"/>
      <c r="F17" s="22"/>
      <c r="G17" s="22"/>
      <c r="H17" s="12">
        <f t="shared" si="0"/>
        <v>44205</v>
      </c>
    </row>
    <row r="18" spans="1:8" x14ac:dyDescent="0.3">
      <c r="B18" s="6" t="s">
        <v>18</v>
      </c>
      <c r="C18" s="22"/>
      <c r="D18" s="22"/>
      <c r="E18" s="22"/>
      <c r="F18" s="22"/>
      <c r="G18" s="22"/>
      <c r="H18" s="12">
        <f t="shared" si="0"/>
        <v>44205</v>
      </c>
    </row>
    <row r="19" spans="1:8" x14ac:dyDescent="0.3">
      <c r="B19" s="6" t="s">
        <v>16</v>
      </c>
      <c r="C19" s="22"/>
      <c r="D19" s="22">
        <v>108000</v>
      </c>
      <c r="E19" s="22"/>
      <c r="F19" s="22">
        <v>108000</v>
      </c>
      <c r="G19" s="22"/>
      <c r="H19" s="12">
        <f t="shared" si="0"/>
        <v>44205</v>
      </c>
    </row>
    <row r="20" spans="1:8" x14ac:dyDescent="0.3">
      <c r="B20" s="50" t="s">
        <v>27</v>
      </c>
      <c r="C20" s="51">
        <f>SUM(January09_2021[KSI_AGO])</f>
        <v>1857000</v>
      </c>
      <c r="D20" s="51">
        <f>SUM(January09_2021[KSI_PMS])</f>
        <v>1873000</v>
      </c>
      <c r="E20" s="51">
        <f>SUM(January09_2021[BUIPE_AGO])</f>
        <v>324000</v>
      </c>
      <c r="F20" s="51">
        <f>SUM(January09_2021[BUIPE_PMS])</f>
        <v>540000</v>
      </c>
      <c r="G20" s="51">
        <f>SUM(January09_2021[AKOSOMBO_AGO])</f>
        <v>180000</v>
      </c>
      <c r="H20" s="52"/>
    </row>
    <row r="21" spans="1:8" x14ac:dyDescent="0.3">
      <c r="B21" s="8"/>
      <c r="C21" s="24"/>
      <c r="D21" s="24"/>
      <c r="E21" s="24"/>
      <c r="F21" s="24"/>
      <c r="G21" s="24"/>
      <c r="H21"/>
    </row>
    <row r="22" spans="1:8" x14ac:dyDescent="0.3">
      <c r="B22" s="1" t="s">
        <v>6</v>
      </c>
      <c r="C22" s="1" t="s">
        <v>4</v>
      </c>
      <c r="D22" s="5">
        <f>SUMIF(January09_2021[[#Headers],[KSI_AGO]:[AKOSOMBO_AGO]],"*"&amp;C22,January09_2021[[#Totals],[KSI_AGO]:[AKOSOMBO_AGO]])</f>
        <v>2361000</v>
      </c>
      <c r="E22" s="1" t="s">
        <v>5</v>
      </c>
      <c r="F22" s="5">
        <f>SUMIF(January09_2021[[#Headers],[KSI_AGO]:[AKOSOMBO_AGO]],"*"&amp;E22,January09_2021[[#Totals],[KSI_AGO]:[AKOSOMBO_AGO]])</f>
        <v>2413000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FF54AEBA-5CE6-46F5-B5B8-3F5663DDE24F}">
      <formula1>INDIRECT("BDC_List[BDC List]")</formula1>
    </dataValidation>
  </dataValidations>
  <pageMargins left="0.7" right="0.7" top="0.75" bottom="0.75" header="0.3" footer="0.3"/>
  <tableParts count="1">
    <tablePart r:id="rId1"/>
  </tableParts>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D75AB-089E-41A5-B155-032DE1F12187}">
  <sheetPr codeName="Sheet263"/>
  <dimension ref="A1:K32"/>
  <sheetViews>
    <sheetView workbookViewId="0">
      <selection activeCell="E22" sqref="E2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3.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44207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44207</v>
      </c>
    </row>
    <row r="7" spans="2:11" x14ac:dyDescent="0.3">
      <c r="B7" s="6" t="s">
        <v>37</v>
      </c>
      <c r="C7" s="22"/>
      <c r="D7" s="22"/>
      <c r="E7" s="22"/>
      <c r="F7" s="22"/>
      <c r="G7" s="22"/>
      <c r="H7" s="67">
        <f>$G$3</f>
        <v>44207</v>
      </c>
    </row>
    <row r="8" spans="2:11" x14ac:dyDescent="0.3">
      <c r="B8" s="6" t="s">
        <v>17</v>
      </c>
      <c r="C8" s="22"/>
      <c r="D8" s="22">
        <v>158000</v>
      </c>
      <c r="E8" s="22"/>
      <c r="F8" s="22"/>
      <c r="G8" s="22">
        <v>54000</v>
      </c>
      <c r="H8" s="12">
        <f t="shared" si="0"/>
        <v>44207</v>
      </c>
    </row>
    <row r="9" spans="2:11" ht="15.6" x14ac:dyDescent="0.3">
      <c r="B9" s="34" t="s">
        <v>0</v>
      </c>
      <c r="C9" s="60"/>
      <c r="D9" s="60">
        <v>216000</v>
      </c>
      <c r="E9" s="60"/>
      <c r="F9" s="60">
        <v>324000</v>
      </c>
      <c r="G9" s="61"/>
      <c r="H9" s="12">
        <f t="shared" si="0"/>
        <v>44207</v>
      </c>
    </row>
    <row r="10" spans="2:11" ht="18" customHeight="1" x14ac:dyDescent="0.3">
      <c r="B10" s="6" t="s">
        <v>25</v>
      </c>
      <c r="C10" s="22">
        <v>590000</v>
      </c>
      <c r="D10" s="22">
        <v>162000</v>
      </c>
      <c r="E10" s="22"/>
      <c r="F10" s="22">
        <v>54000</v>
      </c>
      <c r="G10" s="22"/>
      <c r="H10" s="12">
        <f t="shared" si="0"/>
        <v>44207</v>
      </c>
    </row>
    <row r="11" spans="2:11" x14ac:dyDescent="0.3">
      <c r="B11" s="6" t="s">
        <v>15</v>
      </c>
      <c r="C11" s="22"/>
      <c r="D11" s="22">
        <v>54000</v>
      </c>
      <c r="E11" s="22"/>
      <c r="F11" s="48">
        <v>90000</v>
      </c>
      <c r="G11" s="22"/>
      <c r="H11" s="12">
        <f t="shared" si="0"/>
        <v>44207</v>
      </c>
    </row>
    <row r="12" spans="2:11" x14ac:dyDescent="0.3">
      <c r="B12" s="6" t="s">
        <v>26</v>
      </c>
      <c r="C12" s="22"/>
      <c r="D12" s="22"/>
      <c r="E12" s="22"/>
      <c r="F12" s="22"/>
      <c r="G12" s="22"/>
      <c r="H12" s="12">
        <f t="shared" si="0"/>
        <v>44207</v>
      </c>
    </row>
    <row r="13" spans="2:11" x14ac:dyDescent="0.3">
      <c r="B13" s="6" t="s">
        <v>22</v>
      </c>
      <c r="C13" s="23"/>
      <c r="D13" s="23">
        <v>216000</v>
      </c>
      <c r="E13" s="23"/>
      <c r="F13" s="22"/>
      <c r="G13" s="23"/>
      <c r="H13" s="12">
        <f t="shared" si="0"/>
        <v>44207</v>
      </c>
      <c r="K13" s="4"/>
    </row>
    <row r="14" spans="2:11" x14ac:dyDescent="0.3">
      <c r="B14" s="6" t="s">
        <v>19</v>
      </c>
      <c r="C14" s="22">
        <v>752000</v>
      </c>
      <c r="D14" s="22"/>
      <c r="E14" s="22"/>
      <c r="F14" s="22"/>
      <c r="G14" s="22"/>
      <c r="H14" s="12">
        <f t="shared" si="0"/>
        <v>44207</v>
      </c>
    </row>
    <row r="15" spans="2:11" x14ac:dyDescent="0.3">
      <c r="B15" s="6" t="s">
        <v>14</v>
      </c>
      <c r="C15" s="22">
        <v>702000</v>
      </c>
      <c r="D15" s="22">
        <v>47000</v>
      </c>
      <c r="E15" s="22"/>
      <c r="F15" s="22"/>
      <c r="G15" s="22"/>
      <c r="H15" s="12">
        <f t="shared" si="0"/>
        <v>44207</v>
      </c>
    </row>
    <row r="16" spans="2:11" x14ac:dyDescent="0.3">
      <c r="B16" s="6" t="s">
        <v>24</v>
      </c>
      <c r="C16" s="22"/>
      <c r="D16" s="22">
        <v>54000</v>
      </c>
      <c r="E16" s="22"/>
      <c r="F16" s="49"/>
      <c r="G16" s="22"/>
      <c r="H16" s="12">
        <f t="shared" si="0"/>
        <v>44207</v>
      </c>
    </row>
    <row r="17" spans="1:8" x14ac:dyDescent="0.3">
      <c r="B17" s="6" t="s">
        <v>21</v>
      </c>
      <c r="C17" s="22"/>
      <c r="D17" s="22"/>
      <c r="E17" s="22"/>
      <c r="F17" s="22"/>
      <c r="G17" s="22"/>
      <c r="H17" s="12">
        <f t="shared" si="0"/>
        <v>44207</v>
      </c>
    </row>
    <row r="18" spans="1:8" x14ac:dyDescent="0.3">
      <c r="B18" s="6" t="s">
        <v>18</v>
      </c>
      <c r="C18" s="22">
        <v>54000</v>
      </c>
      <c r="D18" s="22">
        <v>162000</v>
      </c>
      <c r="E18" s="22">
        <v>54000</v>
      </c>
      <c r="F18" s="22"/>
      <c r="G18" s="22"/>
      <c r="H18" s="12">
        <f t="shared" si="0"/>
        <v>44207</v>
      </c>
    </row>
    <row r="19" spans="1:8" x14ac:dyDescent="0.3">
      <c r="B19" s="6" t="s">
        <v>16</v>
      </c>
      <c r="C19" s="22"/>
      <c r="D19" s="22">
        <v>54000</v>
      </c>
      <c r="E19" s="22"/>
      <c r="F19" s="22">
        <v>378000</v>
      </c>
      <c r="G19" s="22"/>
      <c r="H19" s="12">
        <f t="shared" si="0"/>
        <v>44207</v>
      </c>
    </row>
    <row r="20" spans="1:8" x14ac:dyDescent="0.3">
      <c r="B20" s="50" t="s">
        <v>27</v>
      </c>
      <c r="C20" s="51">
        <f>SUM(January11_2021[KSI_AGO])</f>
        <v>2098000</v>
      </c>
      <c r="D20" s="51">
        <f>SUM(January11_2021[KSI_PMS])</f>
        <v>1123000</v>
      </c>
      <c r="E20" s="51">
        <f>SUM(January11_2021[BUIPE_AGO])</f>
        <v>54000</v>
      </c>
      <c r="F20" s="51">
        <f>SUM(January11_2021[BUIPE_PMS])</f>
        <v>846000</v>
      </c>
      <c r="G20" s="51">
        <f>SUM(January11_2021[AKOSOMBO_AGO])</f>
        <v>54000</v>
      </c>
      <c r="H20" s="52"/>
    </row>
    <row r="21" spans="1:8" x14ac:dyDescent="0.3">
      <c r="B21" s="8"/>
      <c r="C21" s="24"/>
      <c r="D21" s="24"/>
      <c r="E21" s="24"/>
      <c r="F21" s="24"/>
      <c r="G21" s="24"/>
      <c r="H21"/>
    </row>
    <row r="22" spans="1:8" x14ac:dyDescent="0.3">
      <c r="B22" s="1" t="s">
        <v>6</v>
      </c>
      <c r="C22" s="1" t="s">
        <v>4</v>
      </c>
      <c r="D22" s="5">
        <f>SUMIF(January11_2021[[#Headers],[KSI_AGO]:[AKOSOMBO_AGO]],"*"&amp;C22,January11_2021[[#Totals],[KSI_AGO]:[AKOSOMBO_AGO]])</f>
        <v>2206000</v>
      </c>
      <c r="E22" s="1" t="s">
        <v>5</v>
      </c>
      <c r="F22" s="5">
        <f>SUMIF(January11_2021[[#Headers],[KSI_AGO]:[AKOSOMBO_AGO]],"*"&amp;E22,January11_2021[[#Totals],[KSI_AGO]:[AKOSOMBO_AGO]])</f>
        <v>1969000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5E185E61-3BD2-4B3C-B35D-F7442215F3B4}">
      <formula1>INDIRECT("BDC_List[BDC List]")</formula1>
    </dataValidation>
  </dataValidations>
  <pageMargins left="0.7" right="0.7" top="0.75" bottom="0.75" header="0.3" footer="0.3"/>
  <tableParts count="1">
    <tablePart r:id="rId1"/>
  </tableParts>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D7B3-ECFF-402D-BB6D-533282E67C9D}">
  <sheetPr codeName="Sheet264"/>
  <dimension ref="A1:K32"/>
  <sheetViews>
    <sheetView workbookViewId="0">
      <selection activeCell="D15" sqref="D15"/>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3.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44208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44208</v>
      </c>
    </row>
    <row r="7" spans="2:11" x14ac:dyDescent="0.3">
      <c r="B7" s="6" t="s">
        <v>37</v>
      </c>
      <c r="C7" s="22"/>
      <c r="D7" s="22"/>
      <c r="E7" s="22"/>
      <c r="F7" s="22"/>
      <c r="G7" s="22"/>
      <c r="H7" s="67">
        <f>$G$3</f>
        <v>44208</v>
      </c>
    </row>
    <row r="8" spans="2:11" x14ac:dyDescent="0.3">
      <c r="B8" s="6" t="s">
        <v>17</v>
      </c>
      <c r="C8" s="22"/>
      <c r="D8" s="22">
        <v>108000</v>
      </c>
      <c r="E8" s="22"/>
      <c r="F8" s="22"/>
      <c r="G8" s="22"/>
      <c r="H8" s="12">
        <f t="shared" si="0"/>
        <v>44208</v>
      </c>
    </row>
    <row r="9" spans="2:11" ht="15.6" x14ac:dyDescent="0.3">
      <c r="B9" s="34" t="s">
        <v>0</v>
      </c>
      <c r="C9" s="60"/>
      <c r="D9" s="60">
        <v>108000</v>
      </c>
      <c r="E9" s="60"/>
      <c r="F9" s="60">
        <v>162000</v>
      </c>
      <c r="G9" s="61"/>
      <c r="H9" s="12">
        <f t="shared" si="0"/>
        <v>44208</v>
      </c>
    </row>
    <row r="10" spans="2:11" ht="18" customHeight="1" x14ac:dyDescent="0.3">
      <c r="B10" s="6" t="s">
        <v>25</v>
      </c>
      <c r="C10" s="22">
        <v>108000</v>
      </c>
      <c r="D10" s="22">
        <v>153000</v>
      </c>
      <c r="E10" s="22"/>
      <c r="F10" s="22"/>
      <c r="G10" s="22"/>
      <c r="H10" s="12">
        <f t="shared" si="0"/>
        <v>44208</v>
      </c>
    </row>
    <row r="11" spans="2:11" x14ac:dyDescent="0.3">
      <c r="B11" s="6" t="s">
        <v>15</v>
      </c>
      <c r="C11" s="22"/>
      <c r="D11" s="22">
        <v>162000</v>
      </c>
      <c r="E11" s="22"/>
      <c r="F11" s="48"/>
      <c r="G11" s="22"/>
      <c r="H11" s="12">
        <f t="shared" si="0"/>
        <v>44208</v>
      </c>
    </row>
    <row r="12" spans="2:11" x14ac:dyDescent="0.3">
      <c r="B12" s="6" t="s">
        <v>26</v>
      </c>
      <c r="C12" s="22"/>
      <c r="D12" s="22">
        <v>108000</v>
      </c>
      <c r="E12" s="22"/>
      <c r="F12" s="22">
        <v>54000</v>
      </c>
      <c r="G12" s="22"/>
      <c r="H12" s="12">
        <f t="shared" si="0"/>
        <v>44208</v>
      </c>
    </row>
    <row r="13" spans="2:11" x14ac:dyDescent="0.3">
      <c r="B13" s="6" t="s">
        <v>22</v>
      </c>
      <c r="C13" s="23"/>
      <c r="D13" s="23">
        <v>153000</v>
      </c>
      <c r="E13" s="23"/>
      <c r="F13" s="22"/>
      <c r="G13" s="23"/>
      <c r="H13" s="12">
        <f t="shared" si="0"/>
        <v>44208</v>
      </c>
      <c r="K13" s="4"/>
    </row>
    <row r="14" spans="2:11" x14ac:dyDescent="0.3">
      <c r="B14" s="6" t="s">
        <v>19</v>
      </c>
      <c r="C14" s="22">
        <v>747000</v>
      </c>
      <c r="D14" s="22"/>
      <c r="E14" s="22">
        <v>216000</v>
      </c>
      <c r="F14" s="22"/>
      <c r="G14" s="22"/>
      <c r="H14" s="12">
        <f t="shared" si="0"/>
        <v>44208</v>
      </c>
    </row>
    <row r="15" spans="2:11" x14ac:dyDescent="0.3">
      <c r="B15" s="6" t="s">
        <v>14</v>
      </c>
      <c r="C15" s="22">
        <v>531000</v>
      </c>
      <c r="D15" s="22">
        <v>108000</v>
      </c>
      <c r="E15" s="22">
        <v>45000</v>
      </c>
      <c r="F15" s="22">
        <v>54000</v>
      </c>
      <c r="G15" s="22"/>
      <c r="H15" s="12">
        <f t="shared" si="0"/>
        <v>44208</v>
      </c>
    </row>
    <row r="16" spans="2:11" x14ac:dyDescent="0.3">
      <c r="B16" s="6" t="s">
        <v>24</v>
      </c>
      <c r="C16" s="22"/>
      <c r="D16" s="22">
        <v>158000</v>
      </c>
      <c r="E16" s="22"/>
      <c r="F16" s="49"/>
      <c r="G16" s="22"/>
      <c r="H16" s="12">
        <f t="shared" si="0"/>
        <v>44208</v>
      </c>
    </row>
    <row r="17" spans="1:8" x14ac:dyDescent="0.3">
      <c r="B17" s="6" t="s">
        <v>21</v>
      </c>
      <c r="C17" s="22"/>
      <c r="D17" s="22"/>
      <c r="E17" s="22"/>
      <c r="F17" s="22"/>
      <c r="G17" s="22"/>
      <c r="H17" s="12">
        <f t="shared" si="0"/>
        <v>44208</v>
      </c>
    </row>
    <row r="18" spans="1:8" x14ac:dyDescent="0.3">
      <c r="B18" s="6" t="s">
        <v>18</v>
      </c>
      <c r="C18" s="22"/>
      <c r="D18" s="22">
        <v>99000</v>
      </c>
      <c r="E18" s="22"/>
      <c r="F18" s="22"/>
      <c r="G18" s="22"/>
      <c r="H18" s="12">
        <f t="shared" si="0"/>
        <v>44208</v>
      </c>
    </row>
    <row r="19" spans="1:8" x14ac:dyDescent="0.3">
      <c r="B19" s="6" t="s">
        <v>16</v>
      </c>
      <c r="C19" s="22">
        <v>536000</v>
      </c>
      <c r="D19" s="22">
        <v>108000</v>
      </c>
      <c r="E19" s="22">
        <v>216000</v>
      </c>
      <c r="F19" s="22">
        <v>162000</v>
      </c>
      <c r="G19" s="22"/>
      <c r="H19" s="12">
        <f t="shared" si="0"/>
        <v>44208</v>
      </c>
    </row>
    <row r="20" spans="1:8" x14ac:dyDescent="0.3">
      <c r="B20" s="50" t="s">
        <v>27</v>
      </c>
      <c r="C20" s="51">
        <f>SUM(January12_2021[KSI_AGO])</f>
        <v>1922000</v>
      </c>
      <c r="D20" s="51">
        <f>SUM(January12_2021[KSI_PMS])</f>
        <v>1265000</v>
      </c>
      <c r="E20" s="51">
        <f>SUM(January12_2021[BUIPE_AGO])</f>
        <v>477000</v>
      </c>
      <c r="F20" s="51">
        <f>SUM(January12_2021[BUIPE_PMS])</f>
        <v>432000</v>
      </c>
      <c r="G20" s="51">
        <f>SUM(January12_2021[AKOSOMBO_AGO])</f>
        <v>0</v>
      </c>
      <c r="H20" s="52"/>
    </row>
    <row r="21" spans="1:8" x14ac:dyDescent="0.3">
      <c r="B21" s="8"/>
      <c r="C21" s="24"/>
      <c r="D21" s="24"/>
      <c r="E21" s="24"/>
      <c r="F21" s="24"/>
      <c r="G21" s="24"/>
      <c r="H21"/>
    </row>
    <row r="22" spans="1:8" x14ac:dyDescent="0.3">
      <c r="B22" s="1" t="s">
        <v>6</v>
      </c>
      <c r="C22" s="1" t="s">
        <v>4</v>
      </c>
      <c r="D22" s="5">
        <f>SUMIF(January12_2021[[#Headers],[KSI_AGO]:[AKOSOMBO_AGO]],"*"&amp;C22,January12_2021[[#Totals],[KSI_AGO]:[AKOSOMBO_AGO]])</f>
        <v>2399000</v>
      </c>
      <c r="E22" s="1" t="s">
        <v>5</v>
      </c>
      <c r="F22" s="5">
        <f>SUMIF(January12_2021[[#Headers],[KSI_AGO]:[AKOSOMBO_AGO]],"*"&amp;E22,January12_2021[[#Totals],[KSI_AGO]:[AKOSOMBO_AGO]])</f>
        <v>1697000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2FB13964-88AE-4DA6-AFE3-157465E155C9}">
      <formula1>INDIRECT("BDC_List[BDC List]")</formula1>
    </dataValidation>
  </dataValidations>
  <pageMargins left="0.7" right="0.7" top="0.75" bottom="0.75" header="0.3" footer="0.3"/>
  <tableParts count="1">
    <tablePart r:id="rId1"/>
  </tableParts>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C8D03-A9FA-4E90-8BF3-DCADDB7977AF}">
  <sheetPr codeName="Sheet265"/>
  <dimension ref="A1:K32"/>
  <sheetViews>
    <sheetView workbookViewId="0">
      <selection activeCell="D17" sqref="D1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9.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44209</v>
      </c>
    </row>
    <row r="4" spans="2:11" ht="16.2" thickBot="1" x14ac:dyDescent="0.35">
      <c r="B4" s="140"/>
      <c r="C4" s="140"/>
      <c r="D4" s="140"/>
      <c r="E4" s="140"/>
      <c r="F4" s="140"/>
      <c r="G4" s="140"/>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44209</v>
      </c>
    </row>
    <row r="7" spans="2:11" x14ac:dyDescent="0.3">
      <c r="B7" s="6" t="s">
        <v>37</v>
      </c>
      <c r="C7" s="22"/>
      <c r="D7" s="22"/>
      <c r="E7" s="22"/>
      <c r="F7" s="22"/>
      <c r="G7" s="22"/>
      <c r="H7" s="67">
        <f>$G$3</f>
        <v>44209</v>
      </c>
    </row>
    <row r="8" spans="2:11" x14ac:dyDescent="0.3">
      <c r="B8" s="6" t="s">
        <v>17</v>
      </c>
      <c r="C8" s="22"/>
      <c r="D8" s="22">
        <v>54000</v>
      </c>
      <c r="E8" s="22"/>
      <c r="F8" s="22"/>
      <c r="G8" s="22"/>
      <c r="H8" s="12">
        <f t="shared" si="0"/>
        <v>44209</v>
      </c>
    </row>
    <row r="9" spans="2:11" ht="15.6" x14ac:dyDescent="0.3">
      <c r="B9" s="34" t="s">
        <v>0</v>
      </c>
      <c r="C9" s="60"/>
      <c r="D9" s="60">
        <v>270000</v>
      </c>
      <c r="E9" s="60"/>
      <c r="F9" s="60">
        <v>99000</v>
      </c>
      <c r="G9" s="61"/>
      <c r="H9" s="12">
        <f t="shared" si="0"/>
        <v>44209</v>
      </c>
    </row>
    <row r="10" spans="2:11" ht="18" customHeight="1" x14ac:dyDescent="0.3">
      <c r="B10" s="6" t="s">
        <v>25</v>
      </c>
      <c r="C10" s="22"/>
      <c r="D10" s="22">
        <v>108000</v>
      </c>
      <c r="E10" s="22"/>
      <c r="F10" s="22"/>
      <c r="G10" s="22"/>
      <c r="H10" s="12">
        <f t="shared" si="0"/>
        <v>44209</v>
      </c>
    </row>
    <row r="11" spans="2:11" x14ac:dyDescent="0.3">
      <c r="B11" s="6" t="s">
        <v>15</v>
      </c>
      <c r="C11" s="22"/>
      <c r="D11" s="22"/>
      <c r="E11" s="22"/>
      <c r="F11" s="48">
        <v>54000</v>
      </c>
      <c r="G11" s="22"/>
      <c r="H11" s="12">
        <f t="shared" si="0"/>
        <v>44209</v>
      </c>
    </row>
    <row r="12" spans="2:11" x14ac:dyDescent="0.3">
      <c r="B12" s="6" t="s">
        <v>26</v>
      </c>
      <c r="C12" s="22"/>
      <c r="D12" s="22">
        <v>207000</v>
      </c>
      <c r="E12" s="22"/>
      <c r="F12" s="22">
        <v>108000</v>
      </c>
      <c r="G12" s="22"/>
      <c r="H12" s="12">
        <f t="shared" si="0"/>
        <v>44209</v>
      </c>
    </row>
    <row r="13" spans="2:11" x14ac:dyDescent="0.3">
      <c r="B13" s="6" t="s">
        <v>22</v>
      </c>
      <c r="C13" s="23"/>
      <c r="D13" s="23">
        <v>315000</v>
      </c>
      <c r="E13" s="23"/>
      <c r="F13" s="22"/>
      <c r="G13" s="23"/>
      <c r="H13" s="12">
        <f t="shared" si="0"/>
        <v>44209</v>
      </c>
      <c r="K13" s="4"/>
    </row>
    <row r="14" spans="2:11" x14ac:dyDescent="0.3">
      <c r="B14" s="6" t="s">
        <v>19</v>
      </c>
      <c r="C14" s="22">
        <v>635000</v>
      </c>
      <c r="D14" s="22">
        <v>54000</v>
      </c>
      <c r="E14" s="22">
        <v>216000</v>
      </c>
      <c r="F14" s="22"/>
      <c r="G14" s="22"/>
      <c r="H14" s="12">
        <f t="shared" si="0"/>
        <v>44209</v>
      </c>
    </row>
    <row r="15" spans="2:11" x14ac:dyDescent="0.3">
      <c r="B15" s="6" t="s">
        <v>14</v>
      </c>
      <c r="C15" s="22">
        <v>216000</v>
      </c>
      <c r="D15" s="22">
        <v>158000</v>
      </c>
      <c r="E15" s="22">
        <v>90000</v>
      </c>
      <c r="F15" s="22">
        <v>50000</v>
      </c>
      <c r="G15" s="22"/>
      <c r="H15" s="12">
        <f t="shared" si="0"/>
        <v>44209</v>
      </c>
    </row>
    <row r="16" spans="2:11" x14ac:dyDescent="0.3">
      <c r="B16" s="6" t="s">
        <v>24</v>
      </c>
      <c r="C16" s="22"/>
      <c r="D16" s="22">
        <v>108000</v>
      </c>
      <c r="E16" s="22"/>
      <c r="F16" s="49"/>
      <c r="G16" s="22"/>
      <c r="H16" s="12">
        <f t="shared" si="0"/>
        <v>44209</v>
      </c>
    </row>
    <row r="17" spans="1:8" x14ac:dyDescent="0.3">
      <c r="B17" s="6" t="s">
        <v>21</v>
      </c>
      <c r="C17" s="22"/>
      <c r="D17" s="22"/>
      <c r="E17" s="22"/>
      <c r="F17" s="22"/>
      <c r="G17" s="22"/>
      <c r="H17" s="12">
        <f t="shared" si="0"/>
        <v>44209</v>
      </c>
    </row>
    <row r="18" spans="1:8" x14ac:dyDescent="0.3">
      <c r="B18" s="6" t="s">
        <v>18</v>
      </c>
      <c r="C18" s="22">
        <v>162000</v>
      </c>
      <c r="D18" s="22">
        <v>162000</v>
      </c>
      <c r="E18" s="22">
        <v>108000</v>
      </c>
      <c r="F18" s="22">
        <v>50000</v>
      </c>
      <c r="G18" s="22">
        <v>486000</v>
      </c>
      <c r="H18" s="12">
        <f t="shared" si="0"/>
        <v>44209</v>
      </c>
    </row>
    <row r="19" spans="1:8" x14ac:dyDescent="0.3">
      <c r="B19" s="6" t="s">
        <v>16</v>
      </c>
      <c r="C19" s="22">
        <v>261500</v>
      </c>
      <c r="D19" s="22">
        <v>90000</v>
      </c>
      <c r="E19" s="22">
        <v>270000</v>
      </c>
      <c r="F19" s="22">
        <v>108000</v>
      </c>
      <c r="G19" s="22"/>
      <c r="H19" s="12">
        <f t="shared" si="0"/>
        <v>44209</v>
      </c>
    </row>
    <row r="20" spans="1:8" x14ac:dyDescent="0.3">
      <c r="B20" s="50" t="s">
        <v>27</v>
      </c>
      <c r="C20" s="51">
        <f>SUM(January13_2021[KSI_AGO])</f>
        <v>1274500</v>
      </c>
      <c r="D20" s="51">
        <f>SUM(January13_2021[KSI_PMS])</f>
        <v>1526000</v>
      </c>
      <c r="E20" s="51">
        <f>SUM(January13_2021[BUIPE_AGO])</f>
        <v>684000</v>
      </c>
      <c r="F20" s="51">
        <f>SUM(January13_2021[BUIPE_PMS])</f>
        <v>469000</v>
      </c>
      <c r="G20" s="51">
        <f>SUM(January13_2021[AKOSOMBO_AGO])</f>
        <v>486000</v>
      </c>
      <c r="H20" s="52"/>
    </row>
    <row r="21" spans="1:8" x14ac:dyDescent="0.3">
      <c r="B21" s="8"/>
      <c r="C21" s="24"/>
      <c r="D21" s="24"/>
      <c r="E21" s="24"/>
      <c r="F21" s="24"/>
      <c r="G21" s="24"/>
      <c r="H21"/>
    </row>
    <row r="22" spans="1:8" x14ac:dyDescent="0.3">
      <c r="B22" s="1" t="s">
        <v>6</v>
      </c>
      <c r="C22" s="1" t="s">
        <v>4</v>
      </c>
      <c r="D22" s="5">
        <f>SUMIF(January13_2021[[#Headers],[KSI_AGO]:[AKOSOMBO_AGO]],"*"&amp;C22,January13_2021[[#Totals],[KSI_AGO]:[AKOSOMBO_AGO]])</f>
        <v>2444500</v>
      </c>
      <c r="E22" s="1" t="s">
        <v>5</v>
      </c>
      <c r="F22" s="5">
        <f>SUMIF(January13_2021[[#Headers],[KSI_AGO]:[AKOSOMBO_AGO]],"*"&amp;E22,January13_2021[[#Totals],[KSI_AGO]:[AKOSOMBO_AGO]])</f>
        <v>1995000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D2A64FC4-EB3A-492B-8CD8-339D9E807EAC}">
      <formula1>INDIRECT("BDC_List[BDC List]")</formula1>
    </dataValidation>
  </dataValidations>
  <pageMargins left="0.7" right="0.7" top="0.75" bottom="0.75" header="0.3" footer="0.3"/>
  <pageSetup orientation="portrait" horizontalDpi="300" verticalDpi="300" r:id="rId1"/>
  <tableParts count="1">
    <tablePart r:id="rId2"/>
  </tableParts>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7F0D-CB9A-43CD-955A-24BB7507F5C1}">
  <sheetPr codeName="Sheet266"/>
  <dimension ref="A1:K32"/>
  <sheetViews>
    <sheetView workbookViewId="0">
      <selection activeCell="F14" sqref="F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44210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44210</v>
      </c>
    </row>
    <row r="7" spans="2:11" x14ac:dyDescent="0.3">
      <c r="B7" s="6" t="s">
        <v>37</v>
      </c>
      <c r="C7" s="22"/>
      <c r="D7" s="22"/>
      <c r="E7" s="22"/>
      <c r="F7" s="22"/>
      <c r="G7" s="22"/>
      <c r="H7" s="67">
        <f>$G$3</f>
        <v>44210</v>
      </c>
    </row>
    <row r="8" spans="2:11" x14ac:dyDescent="0.3">
      <c r="B8" s="6" t="s">
        <v>17</v>
      </c>
      <c r="C8" s="22">
        <v>536000</v>
      </c>
      <c r="D8" s="22">
        <v>54000</v>
      </c>
      <c r="E8" s="22"/>
      <c r="F8" s="22">
        <v>54000</v>
      </c>
      <c r="G8" s="22"/>
      <c r="H8" s="12">
        <f t="shared" si="0"/>
        <v>44210</v>
      </c>
    </row>
    <row r="9" spans="2:11" ht="15.6" x14ac:dyDescent="0.3">
      <c r="B9" s="34" t="s">
        <v>0</v>
      </c>
      <c r="C9" s="60"/>
      <c r="D9" s="60">
        <v>201000</v>
      </c>
      <c r="E9" s="60"/>
      <c r="F9" s="60">
        <v>270000</v>
      </c>
      <c r="G9" s="61"/>
      <c r="H9" s="12">
        <f t="shared" si="0"/>
        <v>44210</v>
      </c>
    </row>
    <row r="10" spans="2:11" ht="18" customHeight="1" x14ac:dyDescent="0.3">
      <c r="B10" s="6" t="s">
        <v>25</v>
      </c>
      <c r="C10" s="22"/>
      <c r="D10" s="22"/>
      <c r="E10" s="22"/>
      <c r="F10" s="22"/>
      <c r="G10" s="22"/>
      <c r="H10" s="12">
        <f t="shared" si="0"/>
        <v>44210</v>
      </c>
    </row>
    <row r="11" spans="2:11" x14ac:dyDescent="0.3">
      <c r="B11" s="6" t="s">
        <v>15</v>
      </c>
      <c r="C11" s="22"/>
      <c r="D11" s="22"/>
      <c r="E11" s="22"/>
      <c r="F11" s="48"/>
      <c r="G11" s="22"/>
      <c r="H11" s="12">
        <f t="shared" si="0"/>
        <v>44210</v>
      </c>
    </row>
    <row r="12" spans="2:11" x14ac:dyDescent="0.3">
      <c r="B12" s="6" t="s">
        <v>26</v>
      </c>
      <c r="C12" s="22"/>
      <c r="D12" s="22">
        <v>54000</v>
      </c>
      <c r="E12" s="22"/>
      <c r="F12" s="22">
        <v>99000</v>
      </c>
      <c r="G12" s="22"/>
      <c r="H12" s="12">
        <f t="shared" si="0"/>
        <v>44210</v>
      </c>
    </row>
    <row r="13" spans="2:11" x14ac:dyDescent="0.3">
      <c r="B13" s="6" t="s">
        <v>22</v>
      </c>
      <c r="C13" s="23"/>
      <c r="D13" s="23">
        <v>54000</v>
      </c>
      <c r="E13" s="23"/>
      <c r="F13" s="22"/>
      <c r="G13" s="23"/>
      <c r="H13" s="12">
        <f t="shared" si="0"/>
        <v>44210</v>
      </c>
      <c r="K13" s="4"/>
    </row>
    <row r="14" spans="2:11" x14ac:dyDescent="0.3">
      <c r="B14" s="6" t="s">
        <v>19</v>
      </c>
      <c r="C14" s="22">
        <v>540000</v>
      </c>
      <c r="D14" s="22">
        <v>702000</v>
      </c>
      <c r="E14" s="22">
        <v>54000</v>
      </c>
      <c r="F14" s="22"/>
      <c r="G14" s="22"/>
      <c r="H14" s="12">
        <f t="shared" si="0"/>
        <v>44210</v>
      </c>
    </row>
    <row r="15" spans="2:11" x14ac:dyDescent="0.3">
      <c r="B15" s="6" t="s">
        <v>14</v>
      </c>
      <c r="C15" s="22"/>
      <c r="D15" s="22">
        <v>54000</v>
      </c>
      <c r="E15" s="22"/>
      <c r="F15" s="22">
        <v>54000</v>
      </c>
      <c r="G15" s="22"/>
      <c r="H15" s="12">
        <f t="shared" si="0"/>
        <v>44210</v>
      </c>
    </row>
    <row r="16" spans="2:11" x14ac:dyDescent="0.3">
      <c r="B16" s="6" t="s">
        <v>24</v>
      </c>
      <c r="C16" s="22"/>
      <c r="D16" s="22">
        <v>54000</v>
      </c>
      <c r="E16" s="22"/>
      <c r="F16" s="49"/>
      <c r="G16" s="22"/>
      <c r="H16" s="12">
        <f t="shared" si="0"/>
        <v>44210</v>
      </c>
    </row>
    <row r="17" spans="1:8" x14ac:dyDescent="0.3">
      <c r="B17" s="6" t="s">
        <v>21</v>
      </c>
      <c r="C17" s="22"/>
      <c r="D17" s="22"/>
      <c r="E17" s="22"/>
      <c r="F17" s="22"/>
      <c r="G17" s="22"/>
      <c r="H17" s="12">
        <f t="shared" si="0"/>
        <v>44210</v>
      </c>
    </row>
    <row r="18" spans="1:8" x14ac:dyDescent="0.3">
      <c r="B18" s="6" t="s">
        <v>18</v>
      </c>
      <c r="C18" s="22"/>
      <c r="D18" s="22">
        <v>54000</v>
      </c>
      <c r="E18" s="22">
        <v>158000</v>
      </c>
      <c r="F18" s="22">
        <v>54000</v>
      </c>
      <c r="G18" s="22">
        <v>324000</v>
      </c>
      <c r="H18" s="12">
        <f t="shared" si="0"/>
        <v>44210</v>
      </c>
    </row>
    <row r="19" spans="1:8" x14ac:dyDescent="0.3">
      <c r="B19" s="6" t="s">
        <v>16</v>
      </c>
      <c r="C19" s="22">
        <v>108000</v>
      </c>
      <c r="D19" s="22"/>
      <c r="E19" s="22">
        <v>108000</v>
      </c>
      <c r="F19" s="22"/>
      <c r="G19" s="22"/>
      <c r="H19" s="12">
        <f t="shared" si="0"/>
        <v>44210</v>
      </c>
    </row>
    <row r="20" spans="1:8" x14ac:dyDescent="0.3">
      <c r="B20" s="50" t="s">
        <v>27</v>
      </c>
      <c r="C20" s="51">
        <f>SUM(January14_2021[KSI_AGO])</f>
        <v>1184000</v>
      </c>
      <c r="D20" s="51">
        <f>SUM(January14_2021[KSI_PMS])</f>
        <v>1227000</v>
      </c>
      <c r="E20" s="51">
        <f>SUM(January14_2021[BUIPE_AGO])</f>
        <v>320000</v>
      </c>
      <c r="F20" s="51">
        <f>SUM(January14_2021[BUIPE_PMS])</f>
        <v>531000</v>
      </c>
      <c r="G20" s="51">
        <f>SUM(January14_2021[AKOSOMBO_AGO])</f>
        <v>324000</v>
      </c>
      <c r="H20" s="52"/>
    </row>
    <row r="21" spans="1:8" x14ac:dyDescent="0.3">
      <c r="B21" s="8"/>
      <c r="C21" s="24"/>
      <c r="D21" s="24"/>
      <c r="E21" s="24"/>
      <c r="F21" s="24"/>
      <c r="G21" s="24"/>
      <c r="H21"/>
    </row>
    <row r="22" spans="1:8" x14ac:dyDescent="0.3">
      <c r="B22" s="1" t="s">
        <v>6</v>
      </c>
      <c r="C22" s="1" t="s">
        <v>4</v>
      </c>
      <c r="D22" s="5">
        <f>SUMIF(January14_2021[[#Headers],[KSI_AGO]:[AKOSOMBO_AGO]],"*"&amp;C22,January14_2021[[#Totals],[KSI_AGO]:[AKOSOMBO_AGO]])</f>
        <v>1828000</v>
      </c>
      <c r="E22" s="1" t="s">
        <v>5</v>
      </c>
      <c r="F22" s="5">
        <f>SUMIF(January14_2021[[#Headers],[KSI_AGO]:[AKOSOMBO_AGO]],"*"&amp;E22,January14_2021[[#Totals],[KSI_AGO]:[AKOSOMBO_AGO]])</f>
        <v>1758000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D447A85-6842-4BA1-BC94-A06ABAC2BD2E}">
      <formula1>INDIRECT("BDC_List[BDC List]")</formula1>
    </dataValidation>
  </dataValidations>
  <pageMargins left="0.7" right="0.7" top="0.75" bottom="0.75" header="0.3" footer="0.3"/>
  <tableParts count="1">
    <tablePart r:id="rId1"/>
  </tableParts>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68203-9D4C-4CEA-ABE3-2D853E40300E}">
  <sheetPr codeName="Sheet267"/>
  <dimension ref="A1:K32"/>
  <sheetViews>
    <sheetView workbookViewId="0">
      <selection activeCell="B11" sqref="B11"/>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44211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44211</v>
      </c>
    </row>
    <row r="7" spans="2:11" x14ac:dyDescent="0.3">
      <c r="B7" s="6" t="s">
        <v>37</v>
      </c>
      <c r="C7" s="22"/>
      <c r="D7" s="22"/>
      <c r="E7" s="22"/>
      <c r="F7" s="22"/>
      <c r="G7" s="22"/>
      <c r="H7" s="67">
        <f>$G$3</f>
        <v>44211</v>
      </c>
    </row>
    <row r="8" spans="2:11" x14ac:dyDescent="0.3">
      <c r="B8" s="6" t="s">
        <v>17</v>
      </c>
      <c r="C8" s="22">
        <v>585000</v>
      </c>
      <c r="D8" s="22">
        <v>108000</v>
      </c>
      <c r="E8" s="22"/>
      <c r="F8" s="22"/>
      <c r="G8" s="22"/>
      <c r="H8" s="12">
        <f t="shared" si="0"/>
        <v>44211</v>
      </c>
    </row>
    <row r="9" spans="2:11" ht="15.6" x14ac:dyDescent="0.3">
      <c r="B9" s="34" t="s">
        <v>0</v>
      </c>
      <c r="C9" s="60"/>
      <c r="D9" s="60">
        <v>693000</v>
      </c>
      <c r="E9" s="60"/>
      <c r="F9" s="60">
        <v>324000</v>
      </c>
      <c r="G9" s="61"/>
      <c r="H9" s="12">
        <f t="shared" si="0"/>
        <v>44211</v>
      </c>
    </row>
    <row r="10" spans="2:11" ht="18" customHeight="1" x14ac:dyDescent="0.3">
      <c r="B10" s="6" t="s">
        <v>25</v>
      </c>
      <c r="C10" s="22"/>
      <c r="D10" s="22">
        <v>162000</v>
      </c>
      <c r="E10" s="22"/>
      <c r="F10" s="22">
        <v>54000</v>
      </c>
      <c r="G10" s="22"/>
      <c r="H10" s="12">
        <f t="shared" si="0"/>
        <v>44211</v>
      </c>
    </row>
    <row r="11" spans="2:11" x14ac:dyDescent="0.3">
      <c r="B11" s="6" t="s">
        <v>15</v>
      </c>
      <c r="C11" s="22">
        <v>50000</v>
      </c>
      <c r="D11" s="22">
        <v>54000</v>
      </c>
      <c r="E11" s="22"/>
      <c r="F11" s="48">
        <v>54000</v>
      </c>
      <c r="G11" s="22"/>
      <c r="H11" s="12">
        <f t="shared" si="0"/>
        <v>44211</v>
      </c>
    </row>
    <row r="12" spans="2:11" x14ac:dyDescent="0.3">
      <c r="B12" s="6" t="s">
        <v>26</v>
      </c>
      <c r="C12" s="22">
        <v>108000</v>
      </c>
      <c r="D12" s="22">
        <v>54000</v>
      </c>
      <c r="E12" s="22">
        <v>162000</v>
      </c>
      <c r="F12" s="22">
        <v>54000</v>
      </c>
      <c r="G12" s="22"/>
      <c r="H12" s="12">
        <f t="shared" si="0"/>
        <v>44211</v>
      </c>
    </row>
    <row r="13" spans="2:11" x14ac:dyDescent="0.3">
      <c r="B13" s="6" t="s">
        <v>22</v>
      </c>
      <c r="C13" s="23"/>
      <c r="D13" s="23">
        <v>108000</v>
      </c>
      <c r="E13" s="23"/>
      <c r="F13" s="22"/>
      <c r="G13" s="23"/>
      <c r="H13" s="12">
        <f t="shared" si="0"/>
        <v>44211</v>
      </c>
      <c r="K13" s="4"/>
    </row>
    <row r="14" spans="2:11" x14ac:dyDescent="0.3">
      <c r="B14" s="6" t="s">
        <v>19</v>
      </c>
      <c r="C14" s="22"/>
      <c r="D14" s="22">
        <v>54000</v>
      </c>
      <c r="E14" s="22">
        <v>216000</v>
      </c>
      <c r="F14" s="22"/>
      <c r="G14" s="22"/>
      <c r="H14" s="12">
        <f t="shared" si="0"/>
        <v>44211</v>
      </c>
    </row>
    <row r="15" spans="2:11" x14ac:dyDescent="0.3">
      <c r="B15" s="6" t="s">
        <v>14</v>
      </c>
      <c r="C15" s="22">
        <v>324000</v>
      </c>
      <c r="D15" s="22">
        <v>108000</v>
      </c>
      <c r="E15" s="22"/>
      <c r="F15" s="22"/>
      <c r="G15" s="22"/>
      <c r="H15" s="12">
        <f t="shared" si="0"/>
        <v>44211</v>
      </c>
    </row>
    <row r="16" spans="2:11" x14ac:dyDescent="0.3">
      <c r="B16" s="6" t="s">
        <v>24</v>
      </c>
      <c r="C16" s="22"/>
      <c r="D16" s="22"/>
      <c r="E16" s="22"/>
      <c r="F16" s="49"/>
      <c r="G16" s="22"/>
      <c r="H16" s="12">
        <f t="shared" si="0"/>
        <v>44211</v>
      </c>
    </row>
    <row r="17" spans="1:8" x14ac:dyDescent="0.3">
      <c r="B17" s="6" t="s">
        <v>21</v>
      </c>
      <c r="C17" s="22"/>
      <c r="D17" s="22"/>
      <c r="E17" s="22"/>
      <c r="F17" s="22"/>
      <c r="G17" s="22"/>
      <c r="H17" s="12">
        <f t="shared" si="0"/>
        <v>44211</v>
      </c>
    </row>
    <row r="18" spans="1:8" x14ac:dyDescent="0.3">
      <c r="B18" s="6" t="s">
        <v>18</v>
      </c>
      <c r="C18" s="22"/>
      <c r="D18" s="22">
        <v>54000</v>
      </c>
      <c r="E18" s="22">
        <v>162000</v>
      </c>
      <c r="F18" s="22">
        <v>54000</v>
      </c>
      <c r="G18" s="22">
        <v>190000</v>
      </c>
      <c r="H18" s="12">
        <f t="shared" si="0"/>
        <v>44211</v>
      </c>
    </row>
    <row r="19" spans="1:8" x14ac:dyDescent="0.3">
      <c r="B19" s="6" t="s">
        <v>16</v>
      </c>
      <c r="C19" s="22"/>
      <c r="D19" s="22"/>
      <c r="E19" s="22">
        <v>162000</v>
      </c>
      <c r="F19" s="22"/>
      <c r="G19" s="22"/>
      <c r="H19" s="12">
        <f t="shared" si="0"/>
        <v>44211</v>
      </c>
    </row>
    <row r="20" spans="1:8" x14ac:dyDescent="0.3">
      <c r="B20" s="50" t="s">
        <v>27</v>
      </c>
      <c r="C20" s="51">
        <f>SUM(January15_2021[KSI_AGO])</f>
        <v>1067000</v>
      </c>
      <c r="D20" s="51">
        <f>SUM(January15_2021[KSI_PMS])</f>
        <v>1395000</v>
      </c>
      <c r="E20" s="51">
        <f>SUM(January15_2021[BUIPE_AGO])</f>
        <v>702000</v>
      </c>
      <c r="F20" s="51">
        <f>SUM(January15_2021[BUIPE_PMS])</f>
        <v>540000</v>
      </c>
      <c r="G20" s="51">
        <f>SUM(January15_2021[AKOSOMBO_AGO])</f>
        <v>190000</v>
      </c>
      <c r="H20" s="52"/>
    </row>
    <row r="21" spans="1:8" x14ac:dyDescent="0.3">
      <c r="B21" s="8"/>
      <c r="C21" s="24"/>
      <c r="D21" s="24"/>
      <c r="E21" s="24"/>
      <c r="F21" s="24"/>
      <c r="G21" s="24"/>
      <c r="H21"/>
    </row>
    <row r="22" spans="1:8" x14ac:dyDescent="0.3">
      <c r="B22" s="1" t="s">
        <v>6</v>
      </c>
      <c r="C22" s="1" t="s">
        <v>4</v>
      </c>
      <c r="D22" s="5">
        <f>SUMIF(January15_2021[[#Headers],[KSI_AGO]:[AKOSOMBO_AGO]],"*"&amp;C22,January15_2021[[#Totals],[KSI_AGO]:[AKOSOMBO_AGO]])</f>
        <v>1959000</v>
      </c>
      <c r="E22" s="1" t="s">
        <v>5</v>
      </c>
      <c r="F22" s="5">
        <f>SUMIF(January15_2021[[#Headers],[KSI_AGO]:[AKOSOMBO_AGO]],"*"&amp;E22,January15_2021[[#Totals],[KSI_AGO]:[AKOSOMBO_AGO]])</f>
        <v>1935000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6670C48B-8FCA-4BC7-BB49-9ECAB7AB864C}">
      <formula1>INDIRECT("BDC_List[BDC List]")</formula1>
    </dataValidation>
  </dataValidations>
  <pageMargins left="0.7" right="0.7" top="0.75" bottom="0.75" header="0.3" footer="0.3"/>
  <tableParts count="1">
    <tablePart r:id="rId1"/>
  </tableParts>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1C2E-BC34-4696-932A-48C6C7E8609D}">
  <sheetPr codeName="Sheet268"/>
  <dimension ref="A1:K32"/>
  <sheetViews>
    <sheetView workbookViewId="0">
      <selection activeCell="C11" sqref="C11"/>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44212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44212</v>
      </c>
    </row>
    <row r="7" spans="2:11" x14ac:dyDescent="0.3">
      <c r="B7" s="6" t="s">
        <v>37</v>
      </c>
      <c r="C7" s="22"/>
      <c r="D7" s="22"/>
      <c r="E7" s="22"/>
      <c r="F7" s="22"/>
      <c r="G7" s="22"/>
      <c r="H7" s="67">
        <f>$G$3</f>
        <v>44212</v>
      </c>
    </row>
    <row r="8" spans="2:11" x14ac:dyDescent="0.3">
      <c r="B8" s="6" t="s">
        <v>17</v>
      </c>
      <c r="C8" s="22">
        <v>536000</v>
      </c>
      <c r="D8" s="22">
        <v>108000</v>
      </c>
      <c r="E8" s="22"/>
      <c r="F8" s="22"/>
      <c r="G8" s="22"/>
      <c r="H8" s="12">
        <f t="shared" si="0"/>
        <v>44212</v>
      </c>
    </row>
    <row r="9" spans="2:11" ht="15.6" x14ac:dyDescent="0.3">
      <c r="B9" s="34" t="s">
        <v>0</v>
      </c>
      <c r="C9" s="60"/>
      <c r="D9" s="60">
        <v>315000</v>
      </c>
      <c r="E9" s="60"/>
      <c r="F9" s="60">
        <v>216000</v>
      </c>
      <c r="G9" s="61"/>
      <c r="H9" s="12">
        <f t="shared" si="0"/>
        <v>44212</v>
      </c>
    </row>
    <row r="10" spans="2:11" ht="18" customHeight="1" x14ac:dyDescent="0.3">
      <c r="B10" s="6" t="s">
        <v>25</v>
      </c>
      <c r="C10" s="22"/>
      <c r="D10" s="22">
        <v>374000</v>
      </c>
      <c r="E10" s="22"/>
      <c r="F10" s="22">
        <v>108000</v>
      </c>
      <c r="G10" s="22"/>
      <c r="H10" s="12">
        <f t="shared" si="0"/>
        <v>44212</v>
      </c>
    </row>
    <row r="11" spans="2:11" x14ac:dyDescent="0.3">
      <c r="B11" s="6" t="s">
        <v>15</v>
      </c>
      <c r="C11" s="22">
        <v>428000</v>
      </c>
      <c r="D11" s="22"/>
      <c r="E11" s="22">
        <v>45000</v>
      </c>
      <c r="F11" s="48"/>
      <c r="G11" s="22"/>
      <c r="H11" s="12">
        <f t="shared" si="0"/>
        <v>44212</v>
      </c>
    </row>
    <row r="12" spans="2:11" x14ac:dyDescent="0.3">
      <c r="B12" s="6" t="s">
        <v>26</v>
      </c>
      <c r="C12" s="22">
        <v>482000</v>
      </c>
      <c r="D12" s="22">
        <v>108000</v>
      </c>
      <c r="E12" s="22">
        <v>54000</v>
      </c>
      <c r="F12" s="22"/>
      <c r="G12" s="22"/>
      <c r="H12" s="12">
        <f t="shared" si="0"/>
        <v>44212</v>
      </c>
    </row>
    <row r="13" spans="2:11" x14ac:dyDescent="0.3">
      <c r="B13" s="6" t="s">
        <v>22</v>
      </c>
      <c r="C13" s="23"/>
      <c r="D13" s="23">
        <v>162000</v>
      </c>
      <c r="E13" s="23"/>
      <c r="F13" s="22"/>
      <c r="G13" s="23"/>
      <c r="H13" s="12">
        <f t="shared" si="0"/>
        <v>44212</v>
      </c>
      <c r="K13" s="4"/>
    </row>
    <row r="14" spans="2:11" x14ac:dyDescent="0.3">
      <c r="B14" s="6" t="s">
        <v>19</v>
      </c>
      <c r="C14" s="22"/>
      <c r="D14" s="22">
        <v>162000</v>
      </c>
      <c r="E14" s="22">
        <v>270000</v>
      </c>
      <c r="F14" s="22"/>
      <c r="G14" s="22"/>
      <c r="H14" s="12">
        <f t="shared" si="0"/>
        <v>44212</v>
      </c>
    </row>
    <row r="15" spans="2:11" x14ac:dyDescent="0.3">
      <c r="B15" s="6" t="s">
        <v>14</v>
      </c>
      <c r="C15" s="22"/>
      <c r="D15" s="22">
        <v>108000</v>
      </c>
      <c r="E15" s="22"/>
      <c r="F15" s="22">
        <v>162000</v>
      </c>
      <c r="G15" s="22"/>
      <c r="H15" s="12">
        <f t="shared" si="0"/>
        <v>44212</v>
      </c>
    </row>
    <row r="16" spans="2:11" x14ac:dyDescent="0.3">
      <c r="B16" s="6" t="s">
        <v>24</v>
      </c>
      <c r="C16" s="22"/>
      <c r="D16" s="22"/>
      <c r="E16" s="22"/>
      <c r="F16" s="49"/>
      <c r="G16" s="22"/>
      <c r="H16" s="12">
        <f t="shared" si="0"/>
        <v>44212</v>
      </c>
    </row>
    <row r="17" spans="1:8" x14ac:dyDescent="0.3">
      <c r="B17" s="6" t="s">
        <v>21</v>
      </c>
      <c r="C17" s="22"/>
      <c r="D17" s="22"/>
      <c r="E17" s="22"/>
      <c r="F17" s="22"/>
      <c r="G17" s="22"/>
      <c r="H17" s="12">
        <f t="shared" si="0"/>
        <v>44212</v>
      </c>
    </row>
    <row r="18" spans="1:8" x14ac:dyDescent="0.3">
      <c r="B18" s="6" t="s">
        <v>18</v>
      </c>
      <c r="C18" s="22"/>
      <c r="D18" s="22">
        <v>108000</v>
      </c>
      <c r="E18" s="22">
        <v>54000</v>
      </c>
      <c r="F18" s="22">
        <v>54000</v>
      </c>
      <c r="G18" s="22"/>
      <c r="H18" s="12">
        <f t="shared" si="0"/>
        <v>44212</v>
      </c>
    </row>
    <row r="19" spans="1:8" x14ac:dyDescent="0.3">
      <c r="B19" s="6" t="s">
        <v>16</v>
      </c>
      <c r="C19" s="22"/>
      <c r="D19" s="22"/>
      <c r="E19" s="22">
        <v>162000</v>
      </c>
      <c r="F19" s="22"/>
      <c r="G19" s="22"/>
      <c r="H19" s="12">
        <f t="shared" si="0"/>
        <v>44212</v>
      </c>
    </row>
    <row r="20" spans="1:8" x14ac:dyDescent="0.3">
      <c r="B20" s="50" t="s">
        <v>27</v>
      </c>
      <c r="C20" s="51">
        <f>SUM(January16_2021[KSI_AGO])</f>
        <v>1446000</v>
      </c>
      <c r="D20" s="51">
        <f>SUBTOTAL(109,January16_2021[KSI_PMS])</f>
        <v>1445000</v>
      </c>
      <c r="E20" s="51">
        <f>SUM(January16_2021[BUIPE_AGO])</f>
        <v>585000</v>
      </c>
      <c r="F20" s="51">
        <f>SUM(January16_2021[BUIPE_PMS])</f>
        <v>540000</v>
      </c>
      <c r="G20" s="51">
        <f>SUM(January16_2021[AKOSOMBO_AGO])</f>
        <v>0</v>
      </c>
      <c r="H20" s="52"/>
    </row>
    <row r="21" spans="1:8" x14ac:dyDescent="0.3">
      <c r="B21" s="8"/>
      <c r="C21" s="24"/>
      <c r="D21" s="24"/>
      <c r="E21" s="24"/>
      <c r="F21" s="24"/>
      <c r="G21" s="24"/>
      <c r="H21"/>
    </row>
    <row r="22" spans="1:8" x14ac:dyDescent="0.3">
      <c r="B22" s="1" t="s">
        <v>6</v>
      </c>
      <c r="C22" s="1" t="s">
        <v>4</v>
      </c>
      <c r="D22" s="5">
        <f>SUMIF(January16_2021[[#Headers],[KSI_AGO]:[AKOSOMBO_AGO]],"*"&amp;C22,January16_2021[[#Totals],[KSI_AGO]:[AKOSOMBO_AGO]])</f>
        <v>2031000</v>
      </c>
      <c r="E22" s="1" t="s">
        <v>5</v>
      </c>
      <c r="F22" s="5">
        <f>SUMIF(January16_2021[[#Headers],[KSI_AGO]:[AKOSOMBO_AGO]],"*"&amp;E22,January16_2021[[#Totals],[KSI_AGO]:[AKOSOMBO_AGO]])</f>
        <v>1985000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51D7F9AE-B0B1-43B3-8EFC-71F478B7BC08}">
      <formula1>INDIRECT("BDC_List[BDC List]")</formula1>
    </dataValidation>
  </dataValidations>
  <pageMargins left="0.7" right="0.7" top="0.75" bottom="0.75" header="0.3" footer="0.3"/>
  <tableParts count="1">
    <tablePart r:id="rId1"/>
  </tableParts>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9372A-27AF-4EDC-89E4-8CEE539784F8}">
  <sheetPr codeName="Sheet269"/>
  <dimension ref="A1:K32"/>
  <sheetViews>
    <sheetView workbookViewId="0">
      <selection activeCell="E15" sqref="E15"/>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44214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44214</v>
      </c>
    </row>
    <row r="7" spans="2:11" x14ac:dyDescent="0.3">
      <c r="B7" s="6" t="s">
        <v>37</v>
      </c>
      <c r="C7" s="22"/>
      <c r="D7" s="22"/>
      <c r="E7" s="22"/>
      <c r="F7" s="22"/>
      <c r="G7" s="22"/>
      <c r="H7" s="67">
        <f>$G$3</f>
        <v>44214</v>
      </c>
    </row>
    <row r="8" spans="2:11" x14ac:dyDescent="0.3">
      <c r="B8" s="6" t="s">
        <v>17</v>
      </c>
      <c r="C8" s="22">
        <v>162000</v>
      </c>
      <c r="D8" s="22">
        <v>162000</v>
      </c>
      <c r="E8" s="22"/>
      <c r="F8" s="22">
        <v>54000</v>
      </c>
      <c r="G8" s="22"/>
      <c r="H8" s="12">
        <f t="shared" si="0"/>
        <v>44214</v>
      </c>
    </row>
    <row r="9" spans="2:11" ht="15.6" x14ac:dyDescent="0.3">
      <c r="B9" s="34" t="s">
        <v>0</v>
      </c>
      <c r="C9" s="60"/>
      <c r="D9" s="60">
        <v>482000</v>
      </c>
      <c r="E9" s="60"/>
      <c r="F9" s="60">
        <v>162000</v>
      </c>
      <c r="G9" s="61"/>
      <c r="H9" s="12">
        <f t="shared" si="0"/>
        <v>44214</v>
      </c>
    </row>
    <row r="10" spans="2:11" ht="18" customHeight="1" x14ac:dyDescent="0.3">
      <c r="B10" s="6" t="s">
        <v>25</v>
      </c>
      <c r="C10" s="22"/>
      <c r="D10" s="22">
        <v>266000</v>
      </c>
      <c r="E10" s="22"/>
      <c r="F10" s="22">
        <v>108000</v>
      </c>
      <c r="G10" s="22"/>
      <c r="H10" s="12">
        <f t="shared" si="0"/>
        <v>44214</v>
      </c>
    </row>
    <row r="11" spans="2:11" x14ac:dyDescent="0.3">
      <c r="B11" s="6" t="s">
        <v>15</v>
      </c>
      <c r="C11" s="22">
        <v>482000</v>
      </c>
      <c r="D11" s="22"/>
      <c r="E11" s="22"/>
      <c r="F11" s="48">
        <v>54000</v>
      </c>
      <c r="G11" s="22"/>
      <c r="H11" s="12">
        <f t="shared" si="0"/>
        <v>44214</v>
      </c>
    </row>
    <row r="12" spans="2:11" x14ac:dyDescent="0.3">
      <c r="B12" s="6" t="s">
        <v>26</v>
      </c>
      <c r="C12" s="22">
        <v>212000</v>
      </c>
      <c r="D12" s="22"/>
      <c r="E12" s="22"/>
      <c r="F12" s="22"/>
      <c r="G12" s="22"/>
      <c r="H12" s="12">
        <f t="shared" si="0"/>
        <v>44214</v>
      </c>
    </row>
    <row r="13" spans="2:11" x14ac:dyDescent="0.3">
      <c r="B13" s="6" t="s">
        <v>22</v>
      </c>
      <c r="C13" s="23"/>
      <c r="D13" s="23">
        <v>270000</v>
      </c>
      <c r="E13" s="23"/>
      <c r="F13" s="22"/>
      <c r="G13" s="23"/>
      <c r="H13" s="12">
        <f t="shared" si="0"/>
        <v>44214</v>
      </c>
      <c r="K13" s="4"/>
    </row>
    <row r="14" spans="2:11" x14ac:dyDescent="0.3">
      <c r="B14" s="6" t="s">
        <v>19</v>
      </c>
      <c r="C14" s="22"/>
      <c r="D14" s="22">
        <v>104000</v>
      </c>
      <c r="E14" s="22">
        <v>428000</v>
      </c>
      <c r="F14" s="22"/>
      <c r="G14" s="22"/>
      <c r="H14" s="12">
        <f t="shared" si="0"/>
        <v>44214</v>
      </c>
    </row>
    <row r="15" spans="2:11" x14ac:dyDescent="0.3">
      <c r="B15" s="6" t="s">
        <v>14</v>
      </c>
      <c r="C15" s="22"/>
      <c r="D15" s="22">
        <v>108000</v>
      </c>
      <c r="E15" s="22"/>
      <c r="F15" s="22">
        <v>162000</v>
      </c>
      <c r="G15" s="22"/>
      <c r="H15" s="12">
        <f t="shared" si="0"/>
        <v>44214</v>
      </c>
    </row>
    <row r="16" spans="2:11" x14ac:dyDescent="0.3">
      <c r="B16" s="6" t="s">
        <v>24</v>
      </c>
      <c r="C16" s="22"/>
      <c r="D16" s="22"/>
      <c r="E16" s="22"/>
      <c r="F16" s="49"/>
      <c r="G16" s="22"/>
      <c r="H16" s="12">
        <f t="shared" si="0"/>
        <v>44214</v>
      </c>
    </row>
    <row r="17" spans="1:8" x14ac:dyDescent="0.3">
      <c r="B17" s="6" t="s">
        <v>21</v>
      </c>
      <c r="C17" s="22"/>
      <c r="D17" s="22"/>
      <c r="E17" s="22"/>
      <c r="F17" s="22"/>
      <c r="G17" s="22"/>
      <c r="H17" s="12">
        <f t="shared" si="0"/>
        <v>44214</v>
      </c>
    </row>
    <row r="18" spans="1:8" x14ac:dyDescent="0.3">
      <c r="B18" s="6" t="s">
        <v>18</v>
      </c>
      <c r="C18" s="22"/>
      <c r="D18" s="22">
        <v>108000</v>
      </c>
      <c r="E18" s="22"/>
      <c r="F18" s="22"/>
      <c r="G18" s="22"/>
      <c r="H18" s="12">
        <f t="shared" si="0"/>
        <v>44214</v>
      </c>
    </row>
    <row r="19" spans="1:8" x14ac:dyDescent="0.3">
      <c r="B19" s="6" t="s">
        <v>16</v>
      </c>
      <c r="C19" s="22"/>
      <c r="D19" s="22"/>
      <c r="E19" s="22">
        <v>270000</v>
      </c>
      <c r="F19" s="22">
        <v>104000</v>
      </c>
      <c r="G19" s="22"/>
      <c r="H19" s="12">
        <f t="shared" si="0"/>
        <v>44214</v>
      </c>
    </row>
    <row r="20" spans="1:8" x14ac:dyDescent="0.3">
      <c r="B20" s="50" t="s">
        <v>27</v>
      </c>
      <c r="C20" s="51">
        <f>SUM(January18_2021[KSI_AGO])</f>
        <v>856000</v>
      </c>
      <c r="D20" s="51">
        <f>SUBTOTAL(109,January18_2021[KSI_PMS])</f>
        <v>1500000</v>
      </c>
      <c r="E20" s="51">
        <f>SUM(January18_2021[BUIPE_AGO])</f>
        <v>698000</v>
      </c>
      <c r="F20" s="51">
        <f>SUM(January18_2021[BUIPE_PMS])</f>
        <v>644000</v>
      </c>
      <c r="G20" s="51">
        <f>SUM(January18_2021[AKOSOMBO_AGO])</f>
        <v>0</v>
      </c>
      <c r="H20" s="52"/>
    </row>
    <row r="21" spans="1:8" x14ac:dyDescent="0.3">
      <c r="B21" s="8"/>
      <c r="C21" s="24"/>
      <c r="D21" s="24"/>
      <c r="E21" s="24"/>
      <c r="F21" s="24"/>
      <c r="G21" s="24"/>
      <c r="H21"/>
    </row>
    <row r="22" spans="1:8" x14ac:dyDescent="0.3">
      <c r="B22" s="1" t="s">
        <v>6</v>
      </c>
      <c r="C22" s="1" t="s">
        <v>4</v>
      </c>
      <c r="D22" s="5">
        <f>SUMIF(January18_2021[[#Headers],[KSI_AGO]:[AKOSOMBO_AGO]],"*"&amp;C22,January18_2021[[#Totals],[KSI_AGO]:[AKOSOMBO_AGO]])</f>
        <v>1554000</v>
      </c>
      <c r="E22" s="1" t="s">
        <v>5</v>
      </c>
      <c r="F22" s="5">
        <f>SUMIF(January18_2021[[#Headers],[KSI_AGO]:[AKOSOMBO_AGO]],"*"&amp;E22,January18_2021[[#Totals],[KSI_AGO]:[AKOSOMBO_AGO]])</f>
        <v>2144000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04B4AB3D-B5E3-4034-88D5-FEEBE3E498CA}">
      <formula1>INDIRECT("BDC_List[BDC List]")</formula1>
    </dataValidation>
  </dataValidations>
  <pageMargins left="0.7" right="0.7" top="0.75" bottom="0.75" header="0.3" footer="0.3"/>
  <tableParts count="1">
    <tablePart r:id="rId1"/>
  </tableParts>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5D56-3A93-4D44-9251-979ECA3EB675}">
  <sheetPr codeName="Sheet270"/>
  <dimension ref="A1:K32"/>
  <sheetViews>
    <sheetView workbookViewId="0">
      <selection activeCell="B7" sqref="B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44215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44215</v>
      </c>
    </row>
    <row r="7" spans="2:11" ht="19.5" customHeight="1" x14ac:dyDescent="0.3">
      <c r="B7" s="6" t="s">
        <v>37</v>
      </c>
      <c r="C7" s="22"/>
      <c r="D7" s="22"/>
      <c r="E7" s="22"/>
      <c r="F7" s="22"/>
      <c r="G7" s="22"/>
      <c r="H7" s="67">
        <f>$G$3</f>
        <v>44215</v>
      </c>
    </row>
    <row r="8" spans="2:11" x14ac:dyDescent="0.3">
      <c r="B8" s="6" t="s">
        <v>17</v>
      </c>
      <c r="C8" s="22">
        <v>162000</v>
      </c>
      <c r="D8" s="22">
        <v>54000</v>
      </c>
      <c r="E8" s="22"/>
      <c r="F8" s="22"/>
      <c r="G8" s="22"/>
      <c r="H8" s="12">
        <f t="shared" si="0"/>
        <v>44215</v>
      </c>
    </row>
    <row r="9" spans="2:11" ht="15.6" x14ac:dyDescent="0.3">
      <c r="B9" s="34" t="s">
        <v>0</v>
      </c>
      <c r="C9" s="60"/>
      <c r="D9" s="60">
        <v>377000</v>
      </c>
      <c r="E9" s="60"/>
      <c r="F9" s="60">
        <v>270000</v>
      </c>
      <c r="G9" s="61"/>
      <c r="H9" s="12">
        <f t="shared" si="0"/>
        <v>44215</v>
      </c>
    </row>
    <row r="10" spans="2:11" ht="18" customHeight="1" x14ac:dyDescent="0.3">
      <c r="B10" s="6" t="s">
        <v>25</v>
      </c>
      <c r="C10" s="22">
        <v>428000</v>
      </c>
      <c r="D10" s="22">
        <v>108000</v>
      </c>
      <c r="E10" s="22"/>
      <c r="F10" s="22">
        <v>108000</v>
      </c>
      <c r="G10" s="22"/>
      <c r="H10" s="12">
        <f t="shared" si="0"/>
        <v>44215</v>
      </c>
    </row>
    <row r="11" spans="2:11" x14ac:dyDescent="0.3">
      <c r="B11" s="6" t="s">
        <v>15</v>
      </c>
      <c r="C11" s="22">
        <v>682000</v>
      </c>
      <c r="D11" s="22"/>
      <c r="E11" s="22">
        <v>45000</v>
      </c>
      <c r="F11" s="48">
        <v>54000</v>
      </c>
      <c r="G11" s="22"/>
      <c r="H11" s="12">
        <f t="shared" si="0"/>
        <v>44215</v>
      </c>
    </row>
    <row r="12" spans="2:11" x14ac:dyDescent="0.3">
      <c r="B12" s="6" t="s">
        <v>26</v>
      </c>
      <c r="C12" s="22">
        <v>369000</v>
      </c>
      <c r="D12" s="22"/>
      <c r="E12" s="22">
        <v>45000</v>
      </c>
      <c r="F12" s="22"/>
      <c r="G12" s="22"/>
      <c r="H12" s="12">
        <f t="shared" si="0"/>
        <v>44215</v>
      </c>
    </row>
    <row r="13" spans="2:11" x14ac:dyDescent="0.3">
      <c r="B13" s="6" t="s">
        <v>22</v>
      </c>
      <c r="C13" s="23"/>
      <c r="D13" s="23">
        <v>54000</v>
      </c>
      <c r="E13" s="23"/>
      <c r="F13" s="22"/>
      <c r="G13" s="23"/>
      <c r="H13" s="12">
        <f t="shared" si="0"/>
        <v>44215</v>
      </c>
      <c r="K13" s="4"/>
    </row>
    <row r="14" spans="2:11" x14ac:dyDescent="0.3">
      <c r="B14" s="6" t="s">
        <v>19</v>
      </c>
      <c r="C14" s="22"/>
      <c r="D14" s="22">
        <v>675000</v>
      </c>
      <c r="E14" s="22">
        <v>594000</v>
      </c>
      <c r="F14" s="22"/>
      <c r="G14" s="22"/>
      <c r="H14" s="12">
        <f t="shared" si="0"/>
        <v>44215</v>
      </c>
    </row>
    <row r="15" spans="2:11" x14ac:dyDescent="0.3">
      <c r="B15" s="6" t="s">
        <v>14</v>
      </c>
      <c r="C15" s="22"/>
      <c r="D15" s="22">
        <v>100000</v>
      </c>
      <c r="E15" s="22"/>
      <c r="F15" s="22">
        <v>54000</v>
      </c>
      <c r="G15" s="22"/>
      <c r="H15" s="12">
        <f t="shared" si="0"/>
        <v>44215</v>
      </c>
    </row>
    <row r="16" spans="2:11" x14ac:dyDescent="0.3">
      <c r="B16" s="6" t="s">
        <v>24</v>
      </c>
      <c r="C16" s="22"/>
      <c r="D16" s="22"/>
      <c r="E16" s="22"/>
      <c r="F16" s="49"/>
      <c r="G16" s="22"/>
      <c r="H16" s="12">
        <f t="shared" si="0"/>
        <v>44215</v>
      </c>
    </row>
    <row r="17" spans="1:8" x14ac:dyDescent="0.3">
      <c r="B17" s="6" t="s">
        <v>21</v>
      </c>
      <c r="C17" s="22"/>
      <c r="D17" s="22"/>
      <c r="E17" s="22"/>
      <c r="F17" s="22"/>
      <c r="G17" s="22"/>
      <c r="H17" s="12">
        <f t="shared" si="0"/>
        <v>44215</v>
      </c>
    </row>
    <row r="18" spans="1:8" x14ac:dyDescent="0.3">
      <c r="B18" s="6" t="s">
        <v>18</v>
      </c>
      <c r="C18" s="22"/>
      <c r="D18" s="22"/>
      <c r="E18" s="22"/>
      <c r="F18" s="22"/>
      <c r="G18" s="22"/>
      <c r="H18" s="12">
        <f t="shared" si="0"/>
        <v>44215</v>
      </c>
    </row>
    <row r="19" spans="1:8" x14ac:dyDescent="0.3">
      <c r="B19" s="6" t="s">
        <v>16</v>
      </c>
      <c r="C19" s="22">
        <v>99000</v>
      </c>
      <c r="D19" s="22"/>
      <c r="E19" s="22">
        <v>153000</v>
      </c>
      <c r="F19" s="22">
        <v>54000</v>
      </c>
      <c r="G19" s="22"/>
      <c r="H19" s="12">
        <f t="shared" si="0"/>
        <v>44215</v>
      </c>
    </row>
    <row r="20" spans="1:8" x14ac:dyDescent="0.3">
      <c r="B20" s="50" t="s">
        <v>27</v>
      </c>
      <c r="C20" s="51">
        <f>SUM(January19_2021[KSI_AGO])</f>
        <v>1740000</v>
      </c>
      <c r="D20" s="51">
        <f>SUBTOTAL(109,January19_2021[KSI_PMS])</f>
        <v>1368000</v>
      </c>
      <c r="E20" s="51">
        <f>SUM(January19_2021[BUIPE_AGO])</f>
        <v>837000</v>
      </c>
      <c r="F20" s="51">
        <f>SUM(January19_2021[BUIPE_PMS])</f>
        <v>540000</v>
      </c>
      <c r="G20" s="51">
        <f>SUM(January19_2021[AKOSOMBO_AGO])</f>
        <v>0</v>
      </c>
      <c r="H20" s="52"/>
    </row>
    <row r="21" spans="1:8" x14ac:dyDescent="0.3">
      <c r="B21" s="8"/>
      <c r="C21" s="24"/>
      <c r="D21" s="24"/>
      <c r="E21" s="24"/>
      <c r="F21" s="24"/>
      <c r="G21" s="24"/>
      <c r="H21"/>
    </row>
    <row r="22" spans="1:8" x14ac:dyDescent="0.3">
      <c r="B22" s="1" t="s">
        <v>6</v>
      </c>
      <c r="C22" s="1" t="s">
        <v>4</v>
      </c>
      <c r="D22" s="5">
        <f>SUMIF(January19_2021[[#Headers],[KSI_AGO]:[AKOSOMBO_AGO]],"*"&amp;C22,January19_2021[[#Totals],[KSI_AGO]:[AKOSOMBO_AGO]])</f>
        <v>2577000</v>
      </c>
      <c r="E22" s="1" t="s">
        <v>5</v>
      </c>
      <c r="F22" s="5">
        <f>SUMIF(January19_2021[[#Headers],[KSI_AGO]:[AKOSOMBO_AGO]],"*"&amp;E22,January19_2021[[#Totals],[KSI_AGO]:[AKOSOMBO_AGO]])</f>
        <v>1908000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3C135431-AF0B-4F51-AF95-581E906ACB70}">
      <formula1>INDIRECT("BDC_List[BDC List]")</formula1>
    </dataValidation>
  </dataValidations>
  <pageMargins left="0.7" right="0.7" top="0.75" bottom="0.75" header="0.3" footer="0.3"/>
  <tableParts count="1">
    <tablePart r:id="rId1"/>
  </tableParts>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F5781-3A96-4DB0-A2D2-91D60C7FA098}">
  <sheetPr codeName="Sheet271"/>
  <dimension ref="A1:K32"/>
  <sheetViews>
    <sheetView workbookViewId="0">
      <selection activeCell="C26" sqref="C2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44216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44216</v>
      </c>
    </row>
    <row r="7" spans="2:11" ht="19.5" customHeight="1" x14ac:dyDescent="0.3">
      <c r="B7" s="6" t="s">
        <v>37</v>
      </c>
      <c r="C7" s="22"/>
      <c r="D7" s="22"/>
      <c r="E7" s="22"/>
      <c r="F7" s="22"/>
      <c r="G7" s="22"/>
      <c r="H7" s="67">
        <f>$G$3</f>
        <v>44216</v>
      </c>
    </row>
    <row r="8" spans="2:11" x14ac:dyDescent="0.3">
      <c r="B8" s="6" t="s">
        <v>17</v>
      </c>
      <c r="C8" s="22"/>
      <c r="D8" s="22">
        <v>162000</v>
      </c>
      <c r="E8" s="22"/>
      <c r="F8" s="22">
        <v>54000</v>
      </c>
      <c r="G8" s="22"/>
      <c r="H8" s="12">
        <f t="shared" si="0"/>
        <v>44216</v>
      </c>
    </row>
    <row r="9" spans="2:11" ht="15.6" x14ac:dyDescent="0.3">
      <c r="B9" s="34" t="s">
        <v>0</v>
      </c>
      <c r="C9" s="60">
        <v>297000</v>
      </c>
      <c r="D9" s="60">
        <v>270000</v>
      </c>
      <c r="E9" s="60">
        <v>212000</v>
      </c>
      <c r="F9" s="60">
        <v>270000</v>
      </c>
      <c r="G9" s="61">
        <v>216000</v>
      </c>
      <c r="H9" s="12">
        <f t="shared" si="0"/>
        <v>44216</v>
      </c>
    </row>
    <row r="10" spans="2:11" ht="18" customHeight="1" x14ac:dyDescent="0.3">
      <c r="B10" s="6" t="s">
        <v>25</v>
      </c>
      <c r="C10" s="22">
        <v>1130000</v>
      </c>
      <c r="D10" s="22">
        <v>161000</v>
      </c>
      <c r="E10" s="22"/>
      <c r="F10" s="22">
        <v>108000</v>
      </c>
      <c r="G10" s="22"/>
      <c r="H10" s="12">
        <f t="shared" si="0"/>
        <v>44216</v>
      </c>
    </row>
    <row r="11" spans="2:11" x14ac:dyDescent="0.3">
      <c r="B11" s="6" t="s">
        <v>15</v>
      </c>
      <c r="C11" s="22">
        <v>212000</v>
      </c>
      <c r="D11" s="22"/>
      <c r="E11" s="22"/>
      <c r="F11" s="48">
        <v>54000</v>
      </c>
      <c r="G11" s="22"/>
      <c r="H11" s="12">
        <f t="shared" si="0"/>
        <v>44216</v>
      </c>
    </row>
    <row r="12" spans="2:11" x14ac:dyDescent="0.3">
      <c r="B12" s="6" t="s">
        <v>26</v>
      </c>
      <c r="C12" s="22">
        <v>108000</v>
      </c>
      <c r="D12" s="22">
        <v>108000</v>
      </c>
      <c r="E12" s="22">
        <v>135000</v>
      </c>
      <c r="F12" s="22">
        <v>108000</v>
      </c>
      <c r="G12" s="22"/>
      <c r="H12" s="12">
        <f t="shared" si="0"/>
        <v>44216</v>
      </c>
    </row>
    <row r="13" spans="2:11" x14ac:dyDescent="0.3">
      <c r="B13" s="6" t="s">
        <v>22</v>
      </c>
      <c r="C13" s="23"/>
      <c r="D13" s="23"/>
      <c r="E13" s="23"/>
      <c r="F13" s="22"/>
      <c r="G13" s="23"/>
      <c r="H13" s="12">
        <f t="shared" si="0"/>
        <v>44216</v>
      </c>
      <c r="K13" s="4"/>
    </row>
    <row r="14" spans="2:11" x14ac:dyDescent="0.3">
      <c r="B14" s="6" t="s">
        <v>19</v>
      </c>
      <c r="C14" s="22"/>
      <c r="D14" s="22">
        <v>54000</v>
      </c>
      <c r="E14" s="22"/>
      <c r="F14" s="22"/>
      <c r="G14" s="22"/>
      <c r="H14" s="12">
        <f t="shared" si="0"/>
        <v>44216</v>
      </c>
    </row>
    <row r="15" spans="2:11" x14ac:dyDescent="0.3">
      <c r="B15" s="6" t="s">
        <v>14</v>
      </c>
      <c r="C15" s="22"/>
      <c r="D15" s="22">
        <v>162000</v>
      </c>
      <c r="E15" s="22"/>
      <c r="F15" s="22">
        <v>108000</v>
      </c>
      <c r="G15" s="22"/>
      <c r="H15" s="12">
        <f t="shared" si="0"/>
        <v>44216</v>
      </c>
    </row>
    <row r="16" spans="2:11" x14ac:dyDescent="0.3">
      <c r="B16" s="6" t="s">
        <v>24</v>
      </c>
      <c r="C16" s="22"/>
      <c r="D16" s="22">
        <v>108000</v>
      </c>
      <c r="E16" s="22"/>
      <c r="F16" s="49"/>
      <c r="G16" s="22"/>
      <c r="H16" s="12">
        <f t="shared" si="0"/>
        <v>44216</v>
      </c>
    </row>
    <row r="17" spans="1:8" x14ac:dyDescent="0.3">
      <c r="B17" s="6" t="s">
        <v>21</v>
      </c>
      <c r="C17" s="22"/>
      <c r="D17" s="22"/>
      <c r="E17" s="22"/>
      <c r="F17" s="22"/>
      <c r="G17" s="22"/>
      <c r="H17" s="12">
        <f t="shared" si="0"/>
        <v>44216</v>
      </c>
    </row>
    <row r="18" spans="1:8" x14ac:dyDescent="0.3">
      <c r="B18" s="6" t="s">
        <v>18</v>
      </c>
      <c r="C18" s="22"/>
      <c r="D18" s="22">
        <v>54000</v>
      </c>
      <c r="E18" s="22">
        <v>45000</v>
      </c>
      <c r="F18" s="22">
        <v>108000</v>
      </c>
      <c r="G18" s="22"/>
      <c r="H18" s="12">
        <f t="shared" si="0"/>
        <v>44216</v>
      </c>
    </row>
    <row r="19" spans="1:8" x14ac:dyDescent="0.3">
      <c r="B19" s="6" t="s">
        <v>16</v>
      </c>
      <c r="C19" s="22">
        <v>45000</v>
      </c>
      <c r="D19" s="22"/>
      <c r="E19" s="22"/>
      <c r="F19" s="22">
        <v>54000</v>
      </c>
      <c r="G19" s="22"/>
      <c r="H19" s="12">
        <f t="shared" si="0"/>
        <v>44216</v>
      </c>
    </row>
    <row r="20" spans="1:8" x14ac:dyDescent="0.3">
      <c r="B20" s="50" t="s">
        <v>27</v>
      </c>
      <c r="C20" s="51">
        <f>SUM(January20_2021[KSI_AGO])</f>
        <v>1792000</v>
      </c>
      <c r="D20" s="51">
        <f>SUBTOTAL(109,January20_2021[KSI_PMS])</f>
        <v>1079000</v>
      </c>
      <c r="E20" s="51">
        <f>SUM(January20_2021[BUIPE_AGO])</f>
        <v>392000</v>
      </c>
      <c r="F20" s="51">
        <f>SUM(January20_2021[BUIPE_PMS])</f>
        <v>864000</v>
      </c>
      <c r="G20" s="51">
        <f>SUM(January20_2021[AKOSOMBO_AGO])</f>
        <v>216000</v>
      </c>
      <c r="H20" s="52"/>
    </row>
    <row r="21" spans="1:8" x14ac:dyDescent="0.3">
      <c r="B21" s="8"/>
      <c r="C21" s="24"/>
      <c r="D21" s="24"/>
      <c r="E21" s="24"/>
      <c r="F21" s="24"/>
      <c r="G21" s="24"/>
      <c r="H21"/>
    </row>
    <row r="22" spans="1:8" x14ac:dyDescent="0.3">
      <c r="B22" s="1" t="s">
        <v>6</v>
      </c>
      <c r="C22" s="1" t="s">
        <v>4</v>
      </c>
      <c r="D22" s="5">
        <f>SUMIF(January20_2021[[#Headers],[KSI_AGO]:[AKOSOMBO_AGO]],"*"&amp;C22,January20_2021[[#Totals],[KSI_AGO]:[AKOSOMBO_AGO]])</f>
        <v>2400000</v>
      </c>
      <c r="E22" s="1" t="s">
        <v>5</v>
      </c>
      <c r="F22" s="5">
        <f>SUMIF(January20_2021[[#Headers],[KSI_AGO]:[AKOSOMBO_AGO]],"*"&amp;E22,January20_2021[[#Totals],[KSI_AGO]:[AKOSOMBO_AGO]])</f>
        <v>1943000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3646F790-F0AA-4B22-9F91-393AC18D059A}">
      <formula1>INDIRECT("BDC_List[BDC List]")</formula1>
    </dataValidation>
  </dataValidations>
  <pageMargins left="0.7" right="0.7" top="0.75" bottom="0.75" header="0.3" footer="0.3"/>
  <tableParts count="1">
    <tablePart r:id="rId1"/>
  </tableParts>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FA185-D020-4C33-BCCF-931D8BB021E6}">
  <sheetPr codeName="Sheet272"/>
  <dimension ref="A1:K32"/>
  <sheetViews>
    <sheetView workbookViewId="0">
      <selection activeCell="C26" sqref="C2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44217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44217</v>
      </c>
    </row>
    <row r="7" spans="2:11" ht="19.5" customHeight="1" x14ac:dyDescent="0.3">
      <c r="B7" s="6" t="s">
        <v>37</v>
      </c>
      <c r="C7" s="22"/>
      <c r="D7" s="22"/>
      <c r="E7" s="22"/>
      <c r="F7" s="22"/>
      <c r="G7" s="22"/>
      <c r="H7" s="67">
        <f>$G$3</f>
        <v>44217</v>
      </c>
    </row>
    <row r="8" spans="2:11" x14ac:dyDescent="0.3">
      <c r="B8" s="6" t="s">
        <v>17</v>
      </c>
      <c r="C8" s="22"/>
      <c r="D8" s="22">
        <v>152500</v>
      </c>
      <c r="E8" s="22"/>
      <c r="F8" s="22">
        <v>54000</v>
      </c>
      <c r="G8" s="22"/>
      <c r="H8" s="12">
        <f t="shared" si="0"/>
        <v>44217</v>
      </c>
    </row>
    <row r="9" spans="2:11" ht="15.6" x14ac:dyDescent="0.3">
      <c r="B9" s="34" t="s">
        <v>0</v>
      </c>
      <c r="C9" s="60">
        <v>1294000</v>
      </c>
      <c r="D9" s="60">
        <v>323000</v>
      </c>
      <c r="E9" s="60">
        <v>864000</v>
      </c>
      <c r="F9" s="60">
        <v>270000</v>
      </c>
      <c r="G9" s="61">
        <v>860000</v>
      </c>
      <c r="H9" s="12">
        <f t="shared" si="0"/>
        <v>44217</v>
      </c>
    </row>
    <row r="10" spans="2:11" ht="18" customHeight="1" x14ac:dyDescent="0.3">
      <c r="B10" s="6" t="s">
        <v>25</v>
      </c>
      <c r="C10" s="22"/>
      <c r="D10" s="22">
        <v>317500</v>
      </c>
      <c r="E10" s="22"/>
      <c r="F10" s="22">
        <v>162000</v>
      </c>
      <c r="G10" s="22"/>
      <c r="H10" s="12">
        <f t="shared" si="0"/>
        <v>44217</v>
      </c>
    </row>
    <row r="11" spans="2:11" x14ac:dyDescent="0.3">
      <c r="B11" s="6" t="s">
        <v>15</v>
      </c>
      <c r="C11" s="22">
        <v>54000</v>
      </c>
      <c r="D11" s="22"/>
      <c r="E11" s="22"/>
      <c r="F11" s="48">
        <v>108000</v>
      </c>
      <c r="G11" s="22"/>
      <c r="H11" s="12">
        <f t="shared" si="0"/>
        <v>44217</v>
      </c>
    </row>
    <row r="12" spans="2:11" x14ac:dyDescent="0.3">
      <c r="B12" s="6" t="s">
        <v>26</v>
      </c>
      <c r="C12" s="22"/>
      <c r="D12" s="22">
        <v>162000</v>
      </c>
      <c r="E12" s="22"/>
      <c r="F12" s="22">
        <v>54000</v>
      </c>
      <c r="G12" s="22"/>
      <c r="H12" s="12">
        <f t="shared" si="0"/>
        <v>44217</v>
      </c>
    </row>
    <row r="13" spans="2:11" x14ac:dyDescent="0.3">
      <c r="B13" s="6" t="s">
        <v>22</v>
      </c>
      <c r="C13" s="23"/>
      <c r="D13" s="23">
        <v>324000</v>
      </c>
      <c r="E13" s="23"/>
      <c r="F13" s="22"/>
      <c r="G13" s="23"/>
      <c r="H13" s="12">
        <f t="shared" si="0"/>
        <v>44217</v>
      </c>
      <c r="K13" s="4"/>
    </row>
    <row r="14" spans="2:11" x14ac:dyDescent="0.3">
      <c r="B14" s="6" t="s">
        <v>19</v>
      </c>
      <c r="C14" s="22"/>
      <c r="D14" s="22">
        <v>162000</v>
      </c>
      <c r="E14" s="22"/>
      <c r="F14" s="22"/>
      <c r="G14" s="22"/>
      <c r="H14" s="12">
        <f t="shared" si="0"/>
        <v>44217</v>
      </c>
    </row>
    <row r="15" spans="2:11" x14ac:dyDescent="0.3">
      <c r="B15" s="6" t="s">
        <v>14</v>
      </c>
      <c r="C15" s="22"/>
      <c r="D15" s="22">
        <v>158000</v>
      </c>
      <c r="E15" s="22"/>
      <c r="F15" s="22">
        <v>54000</v>
      </c>
      <c r="G15" s="22"/>
      <c r="H15" s="12">
        <f t="shared" si="0"/>
        <v>44217</v>
      </c>
    </row>
    <row r="16" spans="2:11" x14ac:dyDescent="0.3">
      <c r="B16" s="6" t="s">
        <v>24</v>
      </c>
      <c r="C16" s="22"/>
      <c r="D16" s="22">
        <v>153000</v>
      </c>
      <c r="E16" s="22"/>
      <c r="F16" s="49"/>
      <c r="G16" s="22"/>
      <c r="H16" s="12">
        <f t="shared" si="0"/>
        <v>44217</v>
      </c>
    </row>
    <row r="17" spans="1:8" x14ac:dyDescent="0.3">
      <c r="B17" s="6" t="s">
        <v>21</v>
      </c>
      <c r="C17" s="22"/>
      <c r="D17" s="22"/>
      <c r="E17" s="22"/>
      <c r="F17" s="22"/>
      <c r="G17" s="22"/>
      <c r="H17" s="12">
        <f t="shared" si="0"/>
        <v>44217</v>
      </c>
    </row>
    <row r="18" spans="1:8" x14ac:dyDescent="0.3">
      <c r="B18" s="6" t="s">
        <v>18</v>
      </c>
      <c r="C18" s="22"/>
      <c r="D18" s="22"/>
      <c r="E18" s="22"/>
      <c r="F18" s="22">
        <v>54000</v>
      </c>
      <c r="G18" s="22"/>
      <c r="H18" s="12">
        <f t="shared" si="0"/>
        <v>44217</v>
      </c>
    </row>
    <row r="19" spans="1:8" x14ac:dyDescent="0.3">
      <c r="B19" s="6" t="s">
        <v>16</v>
      </c>
      <c r="C19" s="22"/>
      <c r="D19" s="22"/>
      <c r="E19" s="22"/>
      <c r="F19" s="22"/>
      <c r="G19" s="22"/>
      <c r="H19" s="12">
        <f t="shared" si="0"/>
        <v>44217</v>
      </c>
    </row>
    <row r="20" spans="1:8" x14ac:dyDescent="0.3">
      <c r="B20" s="50" t="s">
        <v>27</v>
      </c>
      <c r="C20" s="51">
        <f>SUM(January21_2021[KSI_AGO])</f>
        <v>1348000</v>
      </c>
      <c r="D20" s="51">
        <f>SUBTOTAL(109,January21_2021[KSI_PMS])</f>
        <v>1752000</v>
      </c>
      <c r="E20" s="51">
        <f>SUM(January21_2021[BUIPE_AGO])</f>
        <v>864000</v>
      </c>
      <c r="F20" s="51">
        <f>SUM(January21_2021[BUIPE_PMS])</f>
        <v>756000</v>
      </c>
      <c r="G20" s="51">
        <f>SUM(January21_2021[AKOSOMBO_AGO])</f>
        <v>860000</v>
      </c>
      <c r="H20" s="52"/>
    </row>
    <row r="21" spans="1:8" x14ac:dyDescent="0.3">
      <c r="B21" s="8"/>
      <c r="C21" s="24"/>
      <c r="D21" s="24"/>
      <c r="E21" s="24"/>
      <c r="F21" s="24"/>
      <c r="G21" s="24"/>
      <c r="H21"/>
    </row>
    <row r="22" spans="1:8" x14ac:dyDescent="0.3">
      <c r="B22" s="1" t="s">
        <v>6</v>
      </c>
      <c r="C22" s="1" t="s">
        <v>4</v>
      </c>
      <c r="D22" s="5">
        <f>SUMIF(January21_2021[[#Headers],[KSI_AGO]:[AKOSOMBO_AGO]],"*"&amp;C22,January21_2021[[#Totals],[KSI_AGO]:[AKOSOMBO_AGO]])</f>
        <v>3072000</v>
      </c>
      <c r="E22" s="1" t="s">
        <v>5</v>
      </c>
      <c r="F22" s="5">
        <f>SUMIF(January21_2021[[#Headers],[KSI_AGO]:[AKOSOMBO_AGO]],"*"&amp;E22,January21_2021[[#Totals],[KSI_AGO]:[AKOSOMBO_AGO]])</f>
        <v>2508000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BA3D5B94-1B18-420E-8267-99BC2F98F8F9}">
      <formula1>INDIRECT("BDC_List[BDC List]")</formula1>
    </dataValidation>
  </dataValidations>
  <pageMargins left="0.7" right="0.7" top="0.75" bottom="0.75" header="0.3" footer="0.3"/>
  <tableParts count="1">
    <tablePart r:id="rId1"/>
  </tableParts>
</worksheet>
</file>

<file path=xl/worksheets/sheet2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8ABD1-4C2C-4419-B3C1-04EB340D2B41}">
  <sheetPr codeName="Sheet273"/>
  <dimension ref="A1:K32"/>
  <sheetViews>
    <sheetView workbookViewId="0">
      <selection activeCell="J4" sqref="J4:K16"/>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44218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44218</v>
      </c>
    </row>
    <row r="7" spans="2:11" ht="19.5" customHeight="1" x14ac:dyDescent="0.3">
      <c r="B7" s="6" t="s">
        <v>37</v>
      </c>
      <c r="C7" s="62">
        <v>162000</v>
      </c>
      <c r="D7" s="22"/>
      <c r="E7" s="22">
        <v>486000</v>
      </c>
      <c r="F7" s="22"/>
      <c r="G7" s="22"/>
      <c r="H7" s="67">
        <f>$G$3</f>
        <v>44218</v>
      </c>
    </row>
    <row r="8" spans="2:11" x14ac:dyDescent="0.3">
      <c r="B8" s="6" t="s">
        <v>17</v>
      </c>
      <c r="C8" s="62">
        <v>153000</v>
      </c>
      <c r="D8" s="22">
        <v>144000</v>
      </c>
      <c r="E8" s="22"/>
      <c r="F8" s="22">
        <v>162000</v>
      </c>
      <c r="G8" s="22"/>
      <c r="H8" s="12">
        <f t="shared" si="0"/>
        <v>44218</v>
      </c>
    </row>
    <row r="9" spans="2:11" ht="15.6" x14ac:dyDescent="0.3">
      <c r="B9" s="34" t="s">
        <v>0</v>
      </c>
      <c r="C9" s="74">
        <v>635000</v>
      </c>
      <c r="D9" s="60">
        <v>324000</v>
      </c>
      <c r="E9" s="60">
        <v>320000</v>
      </c>
      <c r="F9" s="60">
        <v>270000</v>
      </c>
      <c r="G9" s="61">
        <v>212000</v>
      </c>
      <c r="H9" s="12">
        <f t="shared" si="0"/>
        <v>44218</v>
      </c>
    </row>
    <row r="10" spans="2:11" ht="18" customHeight="1" x14ac:dyDescent="0.3">
      <c r="B10" s="6" t="s">
        <v>25</v>
      </c>
      <c r="C10" s="62">
        <v>158000</v>
      </c>
      <c r="D10" s="22">
        <v>108000</v>
      </c>
      <c r="E10" s="22"/>
      <c r="F10" s="22">
        <v>108000</v>
      </c>
      <c r="G10" s="22"/>
      <c r="H10" s="12">
        <f t="shared" si="0"/>
        <v>44218</v>
      </c>
    </row>
    <row r="11" spans="2:11" x14ac:dyDescent="0.3">
      <c r="B11" s="6" t="s">
        <v>15</v>
      </c>
      <c r="C11" s="62">
        <v>209000</v>
      </c>
      <c r="D11" s="22"/>
      <c r="E11" s="22">
        <v>482000</v>
      </c>
      <c r="F11" s="48"/>
      <c r="G11" s="22"/>
      <c r="H11" s="12">
        <f t="shared" si="0"/>
        <v>44218</v>
      </c>
    </row>
    <row r="12" spans="2:11" x14ac:dyDescent="0.3">
      <c r="B12" s="6" t="s">
        <v>26</v>
      </c>
      <c r="C12" s="62">
        <v>54000</v>
      </c>
      <c r="D12" s="22">
        <v>54000</v>
      </c>
      <c r="E12" s="22"/>
      <c r="F12" s="22">
        <v>54000</v>
      </c>
      <c r="G12" s="22"/>
      <c r="H12" s="12">
        <f t="shared" si="0"/>
        <v>44218</v>
      </c>
    </row>
    <row r="13" spans="2:11" x14ac:dyDescent="0.3">
      <c r="B13" s="6" t="s">
        <v>22</v>
      </c>
      <c r="C13" s="43"/>
      <c r="D13" s="23">
        <v>108000</v>
      </c>
      <c r="E13" s="23"/>
      <c r="F13" s="22"/>
      <c r="G13" s="23"/>
      <c r="H13" s="12">
        <f t="shared" si="0"/>
        <v>44218</v>
      </c>
      <c r="K13" s="4"/>
    </row>
    <row r="14" spans="2:11" x14ac:dyDescent="0.3">
      <c r="B14" s="6" t="s">
        <v>19</v>
      </c>
      <c r="C14" s="62"/>
      <c r="D14" s="22">
        <v>54000</v>
      </c>
      <c r="E14" s="22"/>
      <c r="F14" s="22">
        <v>54000</v>
      </c>
      <c r="G14" s="22"/>
      <c r="H14" s="12">
        <f t="shared" si="0"/>
        <v>44218</v>
      </c>
    </row>
    <row r="15" spans="2:11" x14ac:dyDescent="0.3">
      <c r="B15" s="6" t="s">
        <v>14</v>
      </c>
      <c r="C15" s="22"/>
      <c r="D15" s="22">
        <v>162000</v>
      </c>
      <c r="E15" s="22"/>
      <c r="F15" s="22">
        <v>108000</v>
      </c>
      <c r="G15" s="22"/>
      <c r="H15" s="12">
        <f t="shared" si="0"/>
        <v>44218</v>
      </c>
    </row>
    <row r="16" spans="2:11" x14ac:dyDescent="0.3">
      <c r="B16" s="6" t="s">
        <v>24</v>
      </c>
      <c r="C16" s="22"/>
      <c r="D16" s="22">
        <v>103500</v>
      </c>
      <c r="E16" s="22"/>
      <c r="F16" s="49"/>
      <c r="G16" s="22"/>
      <c r="H16" s="12">
        <f t="shared" si="0"/>
        <v>44218</v>
      </c>
    </row>
    <row r="17" spans="1:8" x14ac:dyDescent="0.3">
      <c r="B17" s="6" t="s">
        <v>21</v>
      </c>
      <c r="C17" s="22"/>
      <c r="D17" s="22"/>
      <c r="E17" s="22"/>
      <c r="F17" s="22"/>
      <c r="G17" s="22"/>
      <c r="H17" s="12">
        <f t="shared" si="0"/>
        <v>44218</v>
      </c>
    </row>
    <row r="18" spans="1:8" x14ac:dyDescent="0.3">
      <c r="B18" s="6" t="s">
        <v>18</v>
      </c>
      <c r="C18" s="22"/>
      <c r="D18" s="22">
        <v>54000</v>
      </c>
      <c r="E18" s="22"/>
      <c r="F18" s="22">
        <v>54000</v>
      </c>
      <c r="G18" s="22"/>
      <c r="H18" s="12">
        <f t="shared" si="0"/>
        <v>44218</v>
      </c>
    </row>
    <row r="19" spans="1:8" x14ac:dyDescent="0.3">
      <c r="B19" s="6" t="s">
        <v>16</v>
      </c>
      <c r="C19" s="22"/>
      <c r="D19" s="22"/>
      <c r="E19" s="22"/>
      <c r="F19" s="22">
        <v>54000</v>
      </c>
      <c r="G19" s="22"/>
      <c r="H19" s="12">
        <f t="shared" si="0"/>
        <v>44218</v>
      </c>
    </row>
    <row r="20" spans="1:8" x14ac:dyDescent="0.3">
      <c r="B20" s="50" t="s">
        <v>27</v>
      </c>
      <c r="C20" s="51">
        <f>SUM(January22_2021[KSI_AGO])</f>
        <v>1371000</v>
      </c>
      <c r="D20" s="51">
        <f>SUBTOTAL(109,January22_2021[KSI_PMS])</f>
        <v>1111500</v>
      </c>
      <c r="E20" s="51">
        <f>SUM(January22_2021[BUIPE_AGO])</f>
        <v>1288000</v>
      </c>
      <c r="F20" s="51">
        <f>SUM(January22_2021[BUIPE_PMS])</f>
        <v>864000</v>
      </c>
      <c r="G20" s="51">
        <f>SUM(January22_2021[AKOSOMBO_AGO])</f>
        <v>212000</v>
      </c>
      <c r="H20" s="52"/>
    </row>
    <row r="21" spans="1:8" x14ac:dyDescent="0.3">
      <c r="B21" s="8"/>
      <c r="C21" s="24"/>
      <c r="D21" s="24"/>
      <c r="E21" s="24"/>
      <c r="F21" s="24"/>
      <c r="G21" s="24"/>
      <c r="H21"/>
    </row>
    <row r="22" spans="1:8" x14ac:dyDescent="0.3">
      <c r="B22" s="1" t="s">
        <v>6</v>
      </c>
      <c r="C22" s="1" t="s">
        <v>4</v>
      </c>
      <c r="D22" s="5">
        <f>SUMIF(January22_2021[[#Headers],[KSI_AGO]:[AKOSOMBO_AGO]],"*"&amp;C22,January22_2021[[#Totals],[KSI_AGO]:[AKOSOMBO_AGO]])</f>
        <v>2871000</v>
      </c>
      <c r="E22" s="1" t="s">
        <v>5</v>
      </c>
      <c r="F22" s="5">
        <f>SUMIF(January22_2021[[#Headers],[KSI_AGO]:[AKOSOMBO_AGO]],"*"&amp;E22,January22_2021[[#Totals],[KSI_AGO]:[AKOSOMBO_AGO]])</f>
        <v>1975500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70B7745E-3CF3-4CDB-BAB8-817D0E49C5C6}">
      <formula1>INDIRECT("BDC_List[BDC List]")</formula1>
    </dataValidation>
  </dataValidations>
  <pageMargins left="0.7" right="0.7" top="0.75" bottom="0.75" header="0.3" footer="0.3"/>
  <legacyDrawing r:id="rId1"/>
  <tableParts count="1">
    <tablePart r:id="rId2"/>
  </tableParts>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E177-773E-4D8F-908E-88BBC3F19F4F}">
  <sheetPr codeName="Sheet274"/>
  <dimension ref="A1:K32"/>
  <sheetViews>
    <sheetView workbookViewId="0">
      <selection activeCell="E24" sqref="E2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44221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44221</v>
      </c>
    </row>
    <row r="7" spans="2:11" ht="19.5" customHeight="1" x14ac:dyDescent="0.3">
      <c r="B7" s="6" t="s">
        <v>37</v>
      </c>
      <c r="C7" s="22"/>
      <c r="D7" s="22"/>
      <c r="E7" s="22">
        <v>108000</v>
      </c>
      <c r="F7" s="22"/>
      <c r="G7" s="22"/>
      <c r="H7" s="67">
        <f>$G$3</f>
        <v>44221</v>
      </c>
    </row>
    <row r="8" spans="2:11" x14ac:dyDescent="0.3">
      <c r="B8" s="6" t="s">
        <v>17</v>
      </c>
      <c r="C8" s="22">
        <v>207000</v>
      </c>
      <c r="D8" s="22">
        <v>270000</v>
      </c>
      <c r="E8" s="22"/>
      <c r="F8" s="22">
        <v>54000</v>
      </c>
      <c r="G8" s="22">
        <v>324000</v>
      </c>
      <c r="H8" s="12">
        <f t="shared" si="0"/>
        <v>44221</v>
      </c>
    </row>
    <row r="9" spans="2:11" ht="15.6" x14ac:dyDescent="0.3">
      <c r="B9" s="34" t="s">
        <v>0</v>
      </c>
      <c r="C9" s="60">
        <v>427000</v>
      </c>
      <c r="D9" s="60"/>
      <c r="E9" s="60"/>
      <c r="F9" s="60">
        <v>54000</v>
      </c>
      <c r="G9" s="61">
        <v>216000</v>
      </c>
      <c r="H9" s="12">
        <f t="shared" si="0"/>
        <v>44221</v>
      </c>
    </row>
    <row r="10" spans="2:11" ht="18" customHeight="1" x14ac:dyDescent="0.3">
      <c r="B10" s="6" t="s">
        <v>25</v>
      </c>
      <c r="C10" s="22">
        <v>54000</v>
      </c>
      <c r="D10" s="22">
        <v>54000</v>
      </c>
      <c r="E10" s="22"/>
      <c r="F10" s="22"/>
      <c r="G10" s="22"/>
      <c r="H10" s="12">
        <f t="shared" si="0"/>
        <v>44221</v>
      </c>
    </row>
    <row r="11" spans="2:11" x14ac:dyDescent="0.3">
      <c r="B11" s="6" t="s">
        <v>15</v>
      </c>
      <c r="C11" s="22">
        <v>481500</v>
      </c>
      <c r="D11" s="22">
        <v>54000</v>
      </c>
      <c r="E11" s="22">
        <v>369000</v>
      </c>
      <c r="F11" s="48"/>
      <c r="G11" s="22"/>
      <c r="H11" s="12">
        <f t="shared" si="0"/>
        <v>44221</v>
      </c>
    </row>
    <row r="12" spans="2:11" x14ac:dyDescent="0.3">
      <c r="B12" s="6" t="s">
        <v>26</v>
      </c>
      <c r="C12" s="22">
        <v>54000</v>
      </c>
      <c r="D12" s="22">
        <v>212000</v>
      </c>
      <c r="E12" s="22"/>
      <c r="F12" s="22">
        <v>54000</v>
      </c>
      <c r="G12" s="22"/>
      <c r="H12" s="12">
        <f t="shared" si="0"/>
        <v>44221</v>
      </c>
    </row>
    <row r="13" spans="2:11" x14ac:dyDescent="0.3">
      <c r="B13" s="6" t="s">
        <v>22</v>
      </c>
      <c r="C13" s="23"/>
      <c r="D13" s="23">
        <v>47500</v>
      </c>
      <c r="E13" s="23"/>
      <c r="F13" s="22"/>
      <c r="G13" s="23"/>
      <c r="H13" s="12">
        <f t="shared" si="0"/>
        <v>44221</v>
      </c>
      <c r="K13" s="4"/>
    </row>
    <row r="14" spans="2:11" x14ac:dyDescent="0.3">
      <c r="B14" s="6" t="s">
        <v>19</v>
      </c>
      <c r="C14" s="22">
        <v>50000</v>
      </c>
      <c r="D14" s="22">
        <v>162000</v>
      </c>
      <c r="E14" s="22"/>
      <c r="F14" s="22">
        <v>154000</v>
      </c>
      <c r="G14" s="22"/>
      <c r="H14" s="12">
        <f t="shared" si="0"/>
        <v>44221</v>
      </c>
    </row>
    <row r="15" spans="2:11" x14ac:dyDescent="0.3">
      <c r="B15" s="6" t="s">
        <v>14</v>
      </c>
      <c r="C15" s="22">
        <v>162000</v>
      </c>
      <c r="D15" s="22">
        <v>50000</v>
      </c>
      <c r="E15" s="22"/>
      <c r="F15" s="22">
        <v>54000</v>
      </c>
      <c r="G15" s="22"/>
      <c r="H15" s="12">
        <f t="shared" si="0"/>
        <v>44221</v>
      </c>
    </row>
    <row r="16" spans="2:11" x14ac:dyDescent="0.3">
      <c r="B16" s="6" t="s">
        <v>24</v>
      </c>
      <c r="C16" s="22"/>
      <c r="D16" s="22">
        <v>261000</v>
      </c>
      <c r="E16" s="22"/>
      <c r="F16" s="49"/>
      <c r="G16" s="22"/>
      <c r="H16" s="12">
        <f t="shared" si="0"/>
        <v>44221</v>
      </c>
    </row>
    <row r="17" spans="1:8" x14ac:dyDescent="0.3">
      <c r="B17" s="6" t="s">
        <v>21</v>
      </c>
      <c r="C17" s="22"/>
      <c r="D17" s="22"/>
      <c r="E17" s="22"/>
      <c r="F17" s="22"/>
      <c r="G17" s="22"/>
      <c r="H17" s="12">
        <f t="shared" si="0"/>
        <v>44221</v>
      </c>
    </row>
    <row r="18" spans="1:8" x14ac:dyDescent="0.3">
      <c r="B18" s="6" t="s">
        <v>18</v>
      </c>
      <c r="C18" s="22"/>
      <c r="D18" s="22">
        <v>104000</v>
      </c>
      <c r="E18" s="22"/>
      <c r="F18" s="22">
        <v>54000</v>
      </c>
      <c r="G18" s="22"/>
      <c r="H18" s="12">
        <f t="shared" si="0"/>
        <v>44221</v>
      </c>
    </row>
    <row r="19" spans="1:8" x14ac:dyDescent="0.3">
      <c r="B19" s="6" t="s">
        <v>16</v>
      </c>
      <c r="C19" s="22"/>
      <c r="D19" s="22">
        <v>103500</v>
      </c>
      <c r="E19" s="22"/>
      <c r="F19" s="22">
        <v>162000</v>
      </c>
      <c r="G19" s="22"/>
      <c r="H19" s="12">
        <f t="shared" si="0"/>
        <v>44221</v>
      </c>
    </row>
    <row r="20" spans="1:8" x14ac:dyDescent="0.3">
      <c r="B20" s="50" t="s">
        <v>27</v>
      </c>
      <c r="C20" s="51">
        <f>SUM(January25_2021[KSI_AGO])</f>
        <v>1435500</v>
      </c>
      <c r="D20" s="51">
        <f>SUBTOTAL(109,January25_2021[KSI_PMS])</f>
        <v>1318000</v>
      </c>
      <c r="E20" s="51">
        <f>SUM(January25_2021[BUIPE_AGO])</f>
        <v>477000</v>
      </c>
      <c r="F20" s="51">
        <f>SUM(January25_2021[BUIPE_PMS])</f>
        <v>586000</v>
      </c>
      <c r="G20" s="51">
        <f>SUM(January25_2021[AKOSOMBO_AGO])</f>
        <v>540000</v>
      </c>
      <c r="H20" s="52"/>
    </row>
    <row r="21" spans="1:8" x14ac:dyDescent="0.3">
      <c r="B21" s="8"/>
      <c r="C21" s="24"/>
      <c r="D21" s="24"/>
      <c r="E21" s="24"/>
      <c r="F21" s="24"/>
      <c r="G21" s="24"/>
      <c r="H21"/>
    </row>
    <row r="22" spans="1:8" x14ac:dyDescent="0.3">
      <c r="B22" s="1" t="s">
        <v>6</v>
      </c>
      <c r="C22" s="1" t="s">
        <v>4</v>
      </c>
      <c r="D22" s="5">
        <f>SUMIF(January25_2021[[#Headers],[KSI_AGO]:[AKOSOMBO_AGO]],"*"&amp;C22,January25_2021[[#Totals],[KSI_AGO]:[AKOSOMBO_AGO]])</f>
        <v>2452500</v>
      </c>
      <c r="E22" s="1" t="s">
        <v>5</v>
      </c>
      <c r="F22" s="5">
        <f>SUMIF(January25_2021[[#Headers],[KSI_AGO]:[AKOSOMBO_AGO]],"*"&amp;E22,January25_2021[[#Totals],[KSI_AGO]:[AKOSOMBO_AGO]])</f>
        <v>1904000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B18E5FF8-FAD9-4D82-97F9-994A07B6A6D1}">
      <formula1>INDIRECT("BDC_List[BDC List]")</formula1>
    </dataValidation>
  </dataValidations>
  <pageMargins left="0.7" right="0.7" top="0.75" bottom="0.75" header="0.3" footer="0.3"/>
  <tableParts count="1">
    <tablePart r:id="rId1"/>
  </tableParts>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60934-994B-4E4C-8B2D-D6A3ACE9DECD}">
  <sheetPr codeName="Sheet275"/>
  <dimension ref="A1:K32"/>
  <sheetViews>
    <sheetView workbookViewId="0">
      <selection activeCell="B12" sqref="B1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44222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44222</v>
      </c>
    </row>
    <row r="7" spans="2:11" ht="19.5" customHeight="1" x14ac:dyDescent="0.3">
      <c r="B7" s="6" t="s">
        <v>37</v>
      </c>
      <c r="C7" s="22">
        <v>216000</v>
      </c>
      <c r="D7" s="22"/>
      <c r="E7" s="22"/>
      <c r="F7" s="22"/>
      <c r="G7" s="22"/>
      <c r="H7" s="67">
        <f>$G$3</f>
        <v>44222</v>
      </c>
    </row>
    <row r="8" spans="2:11" x14ac:dyDescent="0.3">
      <c r="B8" s="6" t="s">
        <v>17</v>
      </c>
      <c r="C8" s="22">
        <v>374000</v>
      </c>
      <c r="D8" s="22"/>
      <c r="E8" s="22"/>
      <c r="F8" s="22">
        <v>162000</v>
      </c>
      <c r="G8" s="22">
        <v>536000</v>
      </c>
      <c r="H8" s="12">
        <f t="shared" si="0"/>
        <v>44222</v>
      </c>
    </row>
    <row r="9" spans="2:11" ht="15.6" x14ac:dyDescent="0.3">
      <c r="B9" s="34" t="s">
        <v>0</v>
      </c>
      <c r="C9" s="60">
        <v>756000</v>
      </c>
      <c r="D9" s="60"/>
      <c r="E9" s="60"/>
      <c r="F9" s="60"/>
      <c r="G9" s="61"/>
      <c r="H9" s="12">
        <f t="shared" si="0"/>
        <v>44222</v>
      </c>
    </row>
    <row r="10" spans="2:11" ht="18" customHeight="1" x14ac:dyDescent="0.3">
      <c r="B10" s="6" t="s">
        <v>25</v>
      </c>
      <c r="C10" s="22"/>
      <c r="D10" s="22">
        <v>54000</v>
      </c>
      <c r="E10" s="22"/>
      <c r="F10" s="22">
        <v>54000</v>
      </c>
      <c r="G10" s="22"/>
      <c r="H10" s="12">
        <f t="shared" si="0"/>
        <v>44222</v>
      </c>
    </row>
    <row r="11" spans="2:11" x14ac:dyDescent="0.3">
      <c r="B11" s="6" t="s">
        <v>15</v>
      </c>
      <c r="C11" s="22">
        <v>270000</v>
      </c>
      <c r="D11" s="22"/>
      <c r="E11" s="22">
        <v>99000</v>
      </c>
      <c r="F11" s="48">
        <v>108000</v>
      </c>
      <c r="G11" s="22"/>
      <c r="H11" s="12">
        <f t="shared" si="0"/>
        <v>44222</v>
      </c>
    </row>
    <row r="12" spans="2:11" x14ac:dyDescent="0.3">
      <c r="B12" s="6" t="s">
        <v>26</v>
      </c>
      <c r="C12" s="22"/>
      <c r="D12" s="22">
        <v>54000</v>
      </c>
      <c r="E12" s="22"/>
      <c r="F12" s="22"/>
      <c r="G12" s="22"/>
      <c r="H12" s="12">
        <f t="shared" si="0"/>
        <v>44222</v>
      </c>
    </row>
    <row r="13" spans="2:11" x14ac:dyDescent="0.3">
      <c r="B13" s="6" t="s">
        <v>22</v>
      </c>
      <c r="C13" s="23"/>
      <c r="D13" s="23">
        <v>108000</v>
      </c>
      <c r="E13" s="23"/>
      <c r="F13" s="22"/>
      <c r="G13" s="23"/>
      <c r="H13" s="12">
        <f t="shared" si="0"/>
        <v>44222</v>
      </c>
      <c r="K13" s="4"/>
    </row>
    <row r="14" spans="2:11" x14ac:dyDescent="0.3">
      <c r="B14" s="6" t="s">
        <v>19</v>
      </c>
      <c r="C14" s="22"/>
      <c r="D14" s="22">
        <v>702000</v>
      </c>
      <c r="E14" s="22"/>
      <c r="F14" s="22"/>
      <c r="G14" s="22"/>
      <c r="H14" s="12">
        <f t="shared" si="0"/>
        <v>44222</v>
      </c>
    </row>
    <row r="15" spans="2:11" x14ac:dyDescent="0.3">
      <c r="B15" s="6" t="s">
        <v>14</v>
      </c>
      <c r="C15" s="22">
        <v>378000</v>
      </c>
      <c r="D15" s="22">
        <v>108000</v>
      </c>
      <c r="E15" s="22"/>
      <c r="F15" s="22">
        <v>108000</v>
      </c>
      <c r="G15" s="22"/>
      <c r="H15" s="12">
        <f t="shared" si="0"/>
        <v>44222</v>
      </c>
    </row>
    <row r="16" spans="2:11" x14ac:dyDescent="0.3">
      <c r="B16" s="6" t="s">
        <v>24</v>
      </c>
      <c r="C16" s="22"/>
      <c r="D16" s="22">
        <v>108000</v>
      </c>
      <c r="E16" s="22"/>
      <c r="F16" s="49"/>
      <c r="G16" s="22"/>
      <c r="H16" s="12">
        <f t="shared" si="0"/>
        <v>44222</v>
      </c>
    </row>
    <row r="17" spans="1:8" x14ac:dyDescent="0.3">
      <c r="B17" s="6" t="s">
        <v>21</v>
      </c>
      <c r="C17" s="22"/>
      <c r="D17" s="22"/>
      <c r="E17" s="22"/>
      <c r="F17" s="22"/>
      <c r="G17" s="22"/>
      <c r="H17" s="12">
        <f t="shared" si="0"/>
        <v>44222</v>
      </c>
    </row>
    <row r="18" spans="1:8" x14ac:dyDescent="0.3">
      <c r="B18" s="6" t="s">
        <v>18</v>
      </c>
      <c r="C18" s="22">
        <v>50000</v>
      </c>
      <c r="D18" s="22"/>
      <c r="E18" s="22"/>
      <c r="F18" s="22">
        <v>104000</v>
      </c>
      <c r="G18" s="22"/>
      <c r="H18" s="12">
        <f t="shared" si="0"/>
        <v>44222</v>
      </c>
    </row>
    <row r="19" spans="1:8" x14ac:dyDescent="0.3">
      <c r="B19" s="6" t="s">
        <v>16</v>
      </c>
      <c r="C19" s="22"/>
      <c r="D19" s="22"/>
      <c r="E19" s="22"/>
      <c r="F19" s="22">
        <v>54000</v>
      </c>
      <c r="G19" s="22"/>
      <c r="H19" s="12">
        <f t="shared" si="0"/>
        <v>44222</v>
      </c>
    </row>
    <row r="20" spans="1:8" x14ac:dyDescent="0.3">
      <c r="B20" s="50" t="s">
        <v>27</v>
      </c>
      <c r="C20" s="51">
        <f>SUM(January26_2021[KSI_AGO])</f>
        <v>2044000</v>
      </c>
      <c r="D20" s="51">
        <f>SUBTOTAL(109,January26_2021[KSI_PMS])</f>
        <v>1134000</v>
      </c>
      <c r="E20" s="51">
        <f>SUM(January26_2021[BUIPE_AGO])</f>
        <v>99000</v>
      </c>
      <c r="F20" s="51">
        <f>SUM(January26_2021[BUIPE_PMS])</f>
        <v>590000</v>
      </c>
      <c r="G20" s="51">
        <f>SUM(January26_2021[AKOSOMBO_AGO])</f>
        <v>536000</v>
      </c>
      <c r="H20" s="52"/>
    </row>
    <row r="21" spans="1:8" x14ac:dyDescent="0.3">
      <c r="B21" s="8"/>
      <c r="C21" s="24"/>
      <c r="D21" s="24"/>
      <c r="E21" s="24"/>
      <c r="F21" s="24"/>
      <c r="G21" s="24"/>
      <c r="H21"/>
    </row>
    <row r="22" spans="1:8" x14ac:dyDescent="0.3">
      <c r="B22" s="1" t="s">
        <v>6</v>
      </c>
      <c r="C22" s="1" t="s">
        <v>4</v>
      </c>
      <c r="D22" s="5">
        <f>SUMIF(January26_2021[[#Headers],[KSI_AGO]:[AKOSOMBO_AGO]],"*"&amp;C22,January26_2021[[#Totals],[KSI_AGO]:[AKOSOMBO_AGO]])</f>
        <v>2679000</v>
      </c>
      <c r="E22" s="1" t="s">
        <v>5</v>
      </c>
      <c r="F22" s="5">
        <f>SUMIF(January26_2021[[#Headers],[KSI_AGO]:[AKOSOMBO_AGO]],"*"&amp;E22,January26_2021[[#Totals],[KSI_AGO]:[AKOSOMBO_AGO]])</f>
        <v>1724000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E72E69AB-D1B2-4C7B-94F9-96E7B48E5988}">
      <formula1>INDIRECT("BDC_List[BDC List]")</formula1>
    </dataValidation>
  </dataValidations>
  <pageMargins left="0.7" right="0.7" top="0.75" bottom="0.75" header="0.3" footer="0.3"/>
  <tableParts count="1">
    <tablePart r:id="rId1"/>
  </tableParts>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39BC-9BAC-47B0-AB62-AAE84A4D7CD7}">
  <sheetPr codeName="Sheet276"/>
  <dimension ref="A1:K32"/>
  <sheetViews>
    <sheetView workbookViewId="0">
      <selection activeCell="C17" sqref="C17"/>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44223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44223</v>
      </c>
    </row>
    <row r="7" spans="2:11" ht="19.5" customHeight="1" x14ac:dyDescent="0.3">
      <c r="B7" s="6" t="s">
        <v>37</v>
      </c>
      <c r="C7" s="22">
        <v>158000</v>
      </c>
      <c r="D7" s="22"/>
      <c r="E7" s="22"/>
      <c r="F7" s="22"/>
      <c r="G7" s="22"/>
      <c r="H7" s="67">
        <f>$G$3</f>
        <v>44223</v>
      </c>
    </row>
    <row r="8" spans="2:11" x14ac:dyDescent="0.3">
      <c r="B8" s="6" t="s">
        <v>17</v>
      </c>
      <c r="C8" s="22">
        <v>266000</v>
      </c>
      <c r="D8" s="22">
        <v>108000</v>
      </c>
      <c r="E8" s="22"/>
      <c r="F8" s="22">
        <v>54000</v>
      </c>
      <c r="G8" s="22">
        <v>140000</v>
      </c>
      <c r="H8" s="12">
        <f t="shared" si="0"/>
        <v>44223</v>
      </c>
    </row>
    <row r="9" spans="2:11" ht="15.6" x14ac:dyDescent="0.3">
      <c r="B9" s="34" t="s">
        <v>0</v>
      </c>
      <c r="C9" s="60">
        <v>900000</v>
      </c>
      <c r="D9" s="60"/>
      <c r="E9" s="60"/>
      <c r="F9" s="60"/>
      <c r="G9" s="61">
        <v>45000</v>
      </c>
      <c r="H9" s="12">
        <f t="shared" si="0"/>
        <v>44223</v>
      </c>
    </row>
    <row r="10" spans="2:11" ht="18" customHeight="1" x14ac:dyDescent="0.3">
      <c r="B10" s="6" t="s">
        <v>25</v>
      </c>
      <c r="C10" s="22"/>
      <c r="D10" s="22">
        <v>216000</v>
      </c>
      <c r="E10" s="22"/>
      <c r="F10" s="22">
        <v>162000</v>
      </c>
      <c r="G10" s="22"/>
      <c r="H10" s="12">
        <f t="shared" si="0"/>
        <v>44223</v>
      </c>
    </row>
    <row r="11" spans="2:11" x14ac:dyDescent="0.3">
      <c r="B11" s="6" t="s">
        <v>15</v>
      </c>
      <c r="C11" s="22">
        <v>162000</v>
      </c>
      <c r="D11" s="22">
        <v>216000</v>
      </c>
      <c r="E11" s="22"/>
      <c r="F11" s="48">
        <v>162000</v>
      </c>
      <c r="G11" s="22"/>
      <c r="H11" s="12">
        <f t="shared" si="0"/>
        <v>44223</v>
      </c>
    </row>
    <row r="12" spans="2:11" x14ac:dyDescent="0.3">
      <c r="B12" s="6" t="s">
        <v>26</v>
      </c>
      <c r="C12" s="22"/>
      <c r="D12" s="22">
        <v>54000</v>
      </c>
      <c r="E12" s="22"/>
      <c r="F12" s="22">
        <v>108000</v>
      </c>
      <c r="G12" s="22"/>
      <c r="H12" s="12">
        <f t="shared" si="0"/>
        <v>44223</v>
      </c>
    </row>
    <row r="13" spans="2:11" x14ac:dyDescent="0.3">
      <c r="B13" s="6" t="s">
        <v>22</v>
      </c>
      <c r="C13" s="23"/>
      <c r="D13" s="23">
        <v>108000</v>
      </c>
      <c r="E13" s="23"/>
      <c r="F13" s="22"/>
      <c r="G13" s="23"/>
      <c r="H13" s="12">
        <f t="shared" si="0"/>
        <v>44223</v>
      </c>
      <c r="K13" s="4"/>
    </row>
    <row r="14" spans="2:11" x14ac:dyDescent="0.3">
      <c r="B14" s="6" t="s">
        <v>19</v>
      </c>
      <c r="C14" s="22"/>
      <c r="D14" s="22">
        <v>108000</v>
      </c>
      <c r="E14" s="22"/>
      <c r="F14" s="22">
        <v>261000</v>
      </c>
      <c r="G14" s="22"/>
      <c r="H14" s="12">
        <f t="shared" si="0"/>
        <v>44223</v>
      </c>
    </row>
    <row r="15" spans="2:11" x14ac:dyDescent="0.3">
      <c r="B15" s="6" t="s">
        <v>14</v>
      </c>
      <c r="C15" s="22">
        <v>748000</v>
      </c>
      <c r="D15" s="22">
        <v>54000</v>
      </c>
      <c r="E15" s="22"/>
      <c r="F15" s="22">
        <v>108000</v>
      </c>
      <c r="G15" s="22"/>
      <c r="H15" s="12">
        <f t="shared" si="0"/>
        <v>44223</v>
      </c>
    </row>
    <row r="16" spans="2:11" x14ac:dyDescent="0.3">
      <c r="B16" s="6" t="s">
        <v>24</v>
      </c>
      <c r="C16" s="22"/>
      <c r="D16" s="22">
        <v>54000</v>
      </c>
      <c r="E16" s="22"/>
      <c r="F16" s="49"/>
      <c r="G16" s="22"/>
      <c r="H16" s="12">
        <f t="shared" si="0"/>
        <v>44223</v>
      </c>
    </row>
    <row r="17" spans="1:8" x14ac:dyDescent="0.3">
      <c r="B17" s="6" t="s">
        <v>21</v>
      </c>
      <c r="C17" s="22"/>
      <c r="D17" s="22"/>
      <c r="E17" s="22"/>
      <c r="F17" s="22"/>
      <c r="G17" s="22"/>
      <c r="H17" s="12">
        <f t="shared" si="0"/>
        <v>44223</v>
      </c>
    </row>
    <row r="18" spans="1:8" x14ac:dyDescent="0.3">
      <c r="B18" s="6" t="s">
        <v>18</v>
      </c>
      <c r="C18" s="22"/>
      <c r="D18" s="22">
        <v>54000</v>
      </c>
      <c r="E18" s="22">
        <v>90000</v>
      </c>
      <c r="F18" s="22">
        <v>54000</v>
      </c>
      <c r="G18" s="22"/>
      <c r="H18" s="12">
        <f t="shared" si="0"/>
        <v>44223</v>
      </c>
    </row>
    <row r="19" spans="1:8" x14ac:dyDescent="0.3">
      <c r="B19" s="6" t="s">
        <v>16</v>
      </c>
      <c r="C19" s="22"/>
      <c r="D19" s="22">
        <v>108000</v>
      </c>
      <c r="E19" s="22"/>
      <c r="F19" s="22">
        <v>162000</v>
      </c>
      <c r="G19" s="22"/>
      <c r="H19" s="12">
        <f t="shared" si="0"/>
        <v>44223</v>
      </c>
    </row>
    <row r="20" spans="1:8" x14ac:dyDescent="0.3">
      <c r="B20" s="50" t="s">
        <v>27</v>
      </c>
      <c r="C20" s="51">
        <f>SUM(January27_2021[KSI_AGO])</f>
        <v>2234000</v>
      </c>
      <c r="D20" s="51">
        <f>SUBTOTAL(109,January27_2021[KSI_PMS])</f>
        <v>1080000</v>
      </c>
      <c r="E20" s="51">
        <f>SUM(January27_2021[BUIPE_AGO])</f>
        <v>90000</v>
      </c>
      <c r="F20" s="51">
        <f>SUM(January27_2021[BUIPE_PMS])</f>
        <v>1071000</v>
      </c>
      <c r="G20" s="51">
        <f>SUM(January27_2021[AKOSOMBO_AGO])</f>
        <v>185000</v>
      </c>
      <c r="H20" s="52"/>
    </row>
    <row r="21" spans="1:8" x14ac:dyDescent="0.3">
      <c r="B21" s="8"/>
      <c r="C21" s="24"/>
      <c r="D21" s="24"/>
      <c r="E21" s="24"/>
      <c r="F21" s="24"/>
      <c r="G21" s="24"/>
      <c r="H21"/>
    </row>
    <row r="22" spans="1:8" x14ac:dyDescent="0.3">
      <c r="B22" s="1" t="s">
        <v>6</v>
      </c>
      <c r="C22" s="1" t="s">
        <v>4</v>
      </c>
      <c r="D22" s="5">
        <f>SUMIF(January27_2021[[#Headers],[KSI_AGO]:[AKOSOMBO_AGO]],"*"&amp;C22,January27_2021[[#Totals],[KSI_AGO]:[AKOSOMBO_AGO]])</f>
        <v>2509000</v>
      </c>
      <c r="E22" s="1" t="s">
        <v>5</v>
      </c>
      <c r="F22" s="5">
        <f>SUMIF(January27_2021[[#Headers],[KSI_AGO]:[AKOSOMBO_AGO]],"*"&amp;E22,January27_2021[[#Totals],[KSI_AGO]:[AKOSOMBO_AGO]])</f>
        <v>2151000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48A51BC6-EB02-4074-B6C0-7F8440443F5A}">
      <formula1>INDIRECT("BDC_List[BDC List]")</formula1>
    </dataValidation>
  </dataValidations>
  <pageMargins left="0.7" right="0.7" top="0.75" bottom="0.75" header="0.3" footer="0.3"/>
  <tableParts count="1">
    <tablePart r:id="rId1"/>
  </tableParts>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C3279-33FF-4CD0-81A9-C13B193606BF}">
  <sheetPr codeName="Sheet277"/>
  <dimension ref="A1:K32"/>
  <sheetViews>
    <sheetView workbookViewId="0">
      <selection activeCell="C14" sqref="C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44224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44224</v>
      </c>
    </row>
    <row r="7" spans="2:11" ht="19.5" customHeight="1" x14ac:dyDescent="0.3">
      <c r="B7" s="6" t="s">
        <v>37</v>
      </c>
      <c r="C7" s="22"/>
      <c r="D7" s="22"/>
      <c r="E7" s="22"/>
      <c r="F7" s="22"/>
      <c r="G7" s="22"/>
      <c r="H7" s="67">
        <f>$G$3</f>
        <v>44224</v>
      </c>
    </row>
    <row r="8" spans="2:11" x14ac:dyDescent="0.3">
      <c r="B8" s="6" t="s">
        <v>17</v>
      </c>
      <c r="C8" s="22">
        <v>153000</v>
      </c>
      <c r="D8" s="22">
        <v>149000</v>
      </c>
      <c r="E8" s="22"/>
      <c r="F8" s="22">
        <v>108000</v>
      </c>
      <c r="G8" s="22"/>
      <c r="H8" s="12">
        <f t="shared" si="0"/>
        <v>44224</v>
      </c>
    </row>
    <row r="9" spans="2:11" ht="15.6" x14ac:dyDescent="0.3">
      <c r="B9" s="34" t="s">
        <v>0</v>
      </c>
      <c r="C9" s="60">
        <v>590000</v>
      </c>
      <c r="D9" s="60"/>
      <c r="E9" s="60"/>
      <c r="F9" s="60"/>
      <c r="G9" s="61">
        <v>50000</v>
      </c>
      <c r="H9" s="12">
        <f t="shared" si="0"/>
        <v>44224</v>
      </c>
    </row>
    <row r="10" spans="2:11" ht="18" customHeight="1" x14ac:dyDescent="0.3">
      <c r="B10" s="6" t="s">
        <v>25</v>
      </c>
      <c r="C10" s="22">
        <v>692000</v>
      </c>
      <c r="D10" s="22">
        <v>162000</v>
      </c>
      <c r="E10" s="22"/>
      <c r="F10" s="22">
        <v>103500</v>
      </c>
      <c r="G10" s="22">
        <v>540000</v>
      </c>
      <c r="H10" s="12">
        <f t="shared" si="0"/>
        <v>44224</v>
      </c>
    </row>
    <row r="11" spans="2:11" x14ac:dyDescent="0.3">
      <c r="B11" s="6" t="s">
        <v>15</v>
      </c>
      <c r="C11" s="22">
        <v>140000</v>
      </c>
      <c r="D11" s="22">
        <v>108000</v>
      </c>
      <c r="E11" s="22"/>
      <c r="F11" s="48">
        <v>108000</v>
      </c>
      <c r="G11" s="22"/>
      <c r="H11" s="12">
        <f t="shared" si="0"/>
        <v>44224</v>
      </c>
    </row>
    <row r="12" spans="2:11" x14ac:dyDescent="0.3">
      <c r="B12" s="6" t="s">
        <v>26</v>
      </c>
      <c r="C12" s="22"/>
      <c r="D12" s="22">
        <v>151000</v>
      </c>
      <c r="E12" s="22"/>
      <c r="F12" s="22">
        <v>108000</v>
      </c>
      <c r="G12" s="22"/>
      <c r="H12" s="12">
        <f t="shared" si="0"/>
        <v>44224</v>
      </c>
    </row>
    <row r="13" spans="2:11" x14ac:dyDescent="0.3">
      <c r="B13" s="6" t="s">
        <v>22</v>
      </c>
      <c r="C13" s="23"/>
      <c r="D13" s="23">
        <v>108000</v>
      </c>
      <c r="E13" s="23"/>
      <c r="F13" s="22"/>
      <c r="G13" s="23"/>
      <c r="H13" s="12">
        <f t="shared" si="0"/>
        <v>44224</v>
      </c>
      <c r="K13" s="4"/>
    </row>
    <row r="14" spans="2:11" x14ac:dyDescent="0.3">
      <c r="B14" s="6" t="s">
        <v>19</v>
      </c>
      <c r="C14" s="22"/>
      <c r="D14" s="22">
        <v>108000</v>
      </c>
      <c r="E14" s="22"/>
      <c r="F14" s="22">
        <v>108000</v>
      </c>
      <c r="G14" s="22"/>
      <c r="H14" s="12">
        <f t="shared" si="0"/>
        <v>44224</v>
      </c>
    </row>
    <row r="15" spans="2:11" x14ac:dyDescent="0.3">
      <c r="B15" s="6" t="s">
        <v>14</v>
      </c>
      <c r="C15" s="22">
        <v>317500</v>
      </c>
      <c r="D15" s="22">
        <v>54000</v>
      </c>
      <c r="E15" s="22"/>
      <c r="F15" s="22">
        <v>108000</v>
      </c>
      <c r="G15" s="22"/>
      <c r="H15" s="12">
        <f t="shared" si="0"/>
        <v>44224</v>
      </c>
    </row>
    <row r="16" spans="2:11" x14ac:dyDescent="0.3">
      <c r="B16" s="6" t="s">
        <v>24</v>
      </c>
      <c r="C16" s="22"/>
      <c r="D16" s="22">
        <v>108000</v>
      </c>
      <c r="E16" s="22"/>
      <c r="F16" s="49"/>
      <c r="G16" s="22"/>
      <c r="H16" s="12">
        <f t="shared" si="0"/>
        <v>44224</v>
      </c>
    </row>
    <row r="17" spans="1:8" x14ac:dyDescent="0.3">
      <c r="B17" s="6" t="s">
        <v>21</v>
      </c>
      <c r="C17" s="22"/>
      <c r="D17" s="22"/>
      <c r="E17" s="22"/>
      <c r="F17" s="22"/>
      <c r="G17" s="22"/>
      <c r="H17" s="12">
        <f t="shared" si="0"/>
        <v>44224</v>
      </c>
    </row>
    <row r="18" spans="1:8" x14ac:dyDescent="0.3">
      <c r="B18" s="6" t="s">
        <v>18</v>
      </c>
      <c r="C18" s="22"/>
      <c r="D18" s="22"/>
      <c r="E18" s="22"/>
      <c r="F18" s="22">
        <v>54000</v>
      </c>
      <c r="G18" s="22"/>
      <c r="H18" s="12">
        <f t="shared" si="0"/>
        <v>44224</v>
      </c>
    </row>
    <row r="19" spans="1:8" x14ac:dyDescent="0.3">
      <c r="B19" s="6" t="s">
        <v>16</v>
      </c>
      <c r="C19" s="22"/>
      <c r="D19" s="22">
        <v>108000</v>
      </c>
      <c r="E19" s="22"/>
      <c r="F19" s="22">
        <v>104000</v>
      </c>
      <c r="G19" s="22"/>
      <c r="H19" s="12">
        <f t="shared" si="0"/>
        <v>44224</v>
      </c>
    </row>
    <row r="20" spans="1:8" x14ac:dyDescent="0.3">
      <c r="B20" s="50" t="s">
        <v>27</v>
      </c>
      <c r="C20" s="51">
        <f>SUM(January28_2021[KSI_AGO])</f>
        <v>1892500</v>
      </c>
      <c r="D20" s="51">
        <f>SUBTOTAL(109,January28_2021[KSI_PMS])</f>
        <v>1056000</v>
      </c>
      <c r="E20" s="51">
        <f>SUM(January28_2021[BUIPE_AGO])</f>
        <v>0</v>
      </c>
      <c r="F20" s="51">
        <f>SUM(January28_2021[BUIPE_PMS])</f>
        <v>801500</v>
      </c>
      <c r="G20" s="51">
        <f>SUM(January28_2021[AKOSOMBO_AGO])</f>
        <v>590000</v>
      </c>
      <c r="H20" s="52"/>
    </row>
    <row r="21" spans="1:8" x14ac:dyDescent="0.3">
      <c r="B21" s="8"/>
      <c r="C21" s="24"/>
      <c r="D21" s="24"/>
      <c r="E21" s="24"/>
      <c r="F21" s="24"/>
      <c r="G21" s="24"/>
      <c r="H21"/>
    </row>
    <row r="22" spans="1:8" x14ac:dyDescent="0.3">
      <c r="B22" s="1" t="s">
        <v>6</v>
      </c>
      <c r="C22" s="1" t="s">
        <v>4</v>
      </c>
      <c r="D22" s="5">
        <f>SUMIF(January28_2021[[#Headers],[KSI_AGO]:[AKOSOMBO_AGO]],"*"&amp;C22,January28_2021[[#Totals],[KSI_AGO]:[AKOSOMBO_AGO]])</f>
        <v>2482500</v>
      </c>
      <c r="E22" s="1" t="s">
        <v>5</v>
      </c>
      <c r="F22" s="5">
        <f>SUMIF(January28_2021[[#Headers],[KSI_AGO]:[AKOSOMBO_AGO]],"*"&amp;E22,January28_2021[[#Totals],[KSI_AGO]:[AKOSOMBO_AGO]])</f>
        <v>1857500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2D3FBDEC-2D50-44F8-B40B-E18FB01A2EAD}">
      <formula1>INDIRECT("BDC_List[BDC List]")</formula1>
    </dataValidation>
  </dataValidations>
  <pageMargins left="0.7" right="0.7" top="0.75" bottom="0.75" header="0.3" footer="0.3"/>
  <tableParts count="1">
    <tablePart r:id="rId1"/>
  </tableParts>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727F3-B637-42C9-BF88-F058C3CA07E9}">
  <sheetPr codeName="Sheet278"/>
  <dimension ref="A1:K32"/>
  <sheetViews>
    <sheetView workbookViewId="0">
      <selection activeCell="G10" sqref="G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44225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44225</v>
      </c>
    </row>
    <row r="7" spans="2:11" ht="19.5" customHeight="1" x14ac:dyDescent="0.3">
      <c r="B7" s="6" t="s">
        <v>37</v>
      </c>
      <c r="C7" s="22">
        <v>54000</v>
      </c>
      <c r="D7" s="22"/>
      <c r="E7" s="22"/>
      <c r="F7" s="22"/>
      <c r="G7" s="22"/>
      <c r="H7" s="67">
        <f>$G$3</f>
        <v>44225</v>
      </c>
    </row>
    <row r="8" spans="2:11" x14ac:dyDescent="0.3">
      <c r="B8" s="6" t="s">
        <v>17</v>
      </c>
      <c r="C8" s="22">
        <v>693000</v>
      </c>
      <c r="D8" s="22">
        <v>54000</v>
      </c>
      <c r="E8" s="22"/>
      <c r="F8" s="22">
        <v>99000</v>
      </c>
      <c r="G8" s="22"/>
      <c r="H8" s="12">
        <f t="shared" si="0"/>
        <v>44225</v>
      </c>
    </row>
    <row r="9" spans="2:11" ht="15.6" x14ac:dyDescent="0.3">
      <c r="B9" s="34" t="s">
        <v>0</v>
      </c>
      <c r="C9" s="60">
        <v>47000</v>
      </c>
      <c r="D9" s="60"/>
      <c r="E9" s="60"/>
      <c r="F9" s="60"/>
      <c r="G9" s="61"/>
      <c r="H9" s="12">
        <f t="shared" si="0"/>
        <v>44225</v>
      </c>
    </row>
    <row r="10" spans="2:11" ht="18" customHeight="1" x14ac:dyDescent="0.3">
      <c r="B10" s="6" t="s">
        <v>25</v>
      </c>
      <c r="C10" s="22">
        <v>648000</v>
      </c>
      <c r="D10" s="22">
        <v>202500</v>
      </c>
      <c r="E10" s="22"/>
      <c r="F10" s="22">
        <v>216000</v>
      </c>
      <c r="G10" s="22">
        <v>369000</v>
      </c>
      <c r="H10" s="12">
        <f t="shared" si="0"/>
        <v>44225</v>
      </c>
    </row>
    <row r="11" spans="2:11" x14ac:dyDescent="0.3">
      <c r="B11" s="6" t="s">
        <v>15</v>
      </c>
      <c r="C11" s="22">
        <v>203000</v>
      </c>
      <c r="D11" s="22">
        <v>104000</v>
      </c>
      <c r="E11" s="22"/>
      <c r="F11" s="48">
        <v>108000</v>
      </c>
      <c r="G11" s="22"/>
      <c r="H11" s="12">
        <f t="shared" si="0"/>
        <v>44225</v>
      </c>
    </row>
    <row r="12" spans="2:11" x14ac:dyDescent="0.3">
      <c r="B12" s="6" t="s">
        <v>26</v>
      </c>
      <c r="C12" s="22"/>
      <c r="D12" s="22">
        <v>162000</v>
      </c>
      <c r="E12" s="22"/>
      <c r="F12" s="22"/>
      <c r="G12" s="22"/>
      <c r="H12" s="12">
        <f t="shared" si="0"/>
        <v>44225</v>
      </c>
    </row>
    <row r="13" spans="2:11" x14ac:dyDescent="0.3">
      <c r="B13" s="6" t="s">
        <v>22</v>
      </c>
      <c r="C13" s="23"/>
      <c r="D13" s="23">
        <v>158000</v>
      </c>
      <c r="E13" s="23"/>
      <c r="F13" s="22"/>
      <c r="G13" s="23"/>
      <c r="H13" s="12">
        <f t="shared" si="0"/>
        <v>44225</v>
      </c>
      <c r="K13" s="4"/>
    </row>
    <row r="14" spans="2:11" x14ac:dyDescent="0.3">
      <c r="B14" s="6" t="s">
        <v>19</v>
      </c>
      <c r="C14" s="22"/>
      <c r="D14" s="22">
        <v>104000</v>
      </c>
      <c r="E14" s="22"/>
      <c r="F14" s="22">
        <v>54000</v>
      </c>
      <c r="G14" s="22"/>
      <c r="H14" s="12">
        <f t="shared" si="0"/>
        <v>44225</v>
      </c>
    </row>
    <row r="15" spans="2:11" x14ac:dyDescent="0.3">
      <c r="B15" s="6" t="s">
        <v>14</v>
      </c>
      <c r="C15" s="22">
        <v>639000</v>
      </c>
      <c r="D15" s="22">
        <v>103500</v>
      </c>
      <c r="E15" s="22"/>
      <c r="F15" s="22">
        <v>108000</v>
      </c>
      <c r="G15" s="22"/>
      <c r="H15" s="12">
        <f t="shared" si="0"/>
        <v>44225</v>
      </c>
    </row>
    <row r="16" spans="2:11" x14ac:dyDescent="0.3">
      <c r="B16" s="6" t="s">
        <v>24</v>
      </c>
      <c r="C16" s="22">
        <v>378000</v>
      </c>
      <c r="D16" s="22"/>
      <c r="E16" s="22"/>
      <c r="F16" s="49"/>
      <c r="G16" s="22"/>
      <c r="H16" s="12">
        <f t="shared" si="0"/>
        <v>44225</v>
      </c>
    </row>
    <row r="17" spans="1:8" x14ac:dyDescent="0.3">
      <c r="B17" s="6" t="s">
        <v>21</v>
      </c>
      <c r="C17" s="22"/>
      <c r="D17" s="22"/>
      <c r="E17" s="22"/>
      <c r="F17" s="22"/>
      <c r="G17" s="22"/>
      <c r="H17" s="12">
        <f t="shared" si="0"/>
        <v>44225</v>
      </c>
    </row>
    <row r="18" spans="1:8" x14ac:dyDescent="0.3">
      <c r="B18" s="6" t="s">
        <v>18</v>
      </c>
      <c r="C18" s="22"/>
      <c r="D18" s="22">
        <v>104000</v>
      </c>
      <c r="E18" s="22"/>
      <c r="F18" s="22">
        <v>54000</v>
      </c>
      <c r="G18" s="22"/>
      <c r="H18" s="12">
        <f t="shared" si="0"/>
        <v>44225</v>
      </c>
    </row>
    <row r="19" spans="1:8" x14ac:dyDescent="0.3">
      <c r="B19" s="6" t="s">
        <v>16</v>
      </c>
      <c r="C19" s="22"/>
      <c r="D19" s="22">
        <v>148000</v>
      </c>
      <c r="E19" s="22"/>
      <c r="F19" s="22">
        <v>158000</v>
      </c>
      <c r="G19" s="22"/>
      <c r="H19" s="12">
        <f t="shared" si="0"/>
        <v>44225</v>
      </c>
    </row>
    <row r="20" spans="1:8" x14ac:dyDescent="0.3">
      <c r="B20" s="50" t="s">
        <v>27</v>
      </c>
      <c r="C20" s="51">
        <f>SUM(January29_2021[KSI_AGO])</f>
        <v>2662000</v>
      </c>
      <c r="D20" s="51">
        <f>SUBTOTAL(109,January29_2021[KSI_PMS])</f>
        <v>1140000</v>
      </c>
      <c r="E20" s="51">
        <f>SUM(January29_2021[BUIPE_AGO])</f>
        <v>0</v>
      </c>
      <c r="F20" s="51">
        <f>SUM(January29_2021[BUIPE_PMS])</f>
        <v>797000</v>
      </c>
      <c r="G20" s="51">
        <f>SUM(January29_2021[AKOSOMBO_AGO])</f>
        <v>369000</v>
      </c>
      <c r="H20" s="52"/>
    </row>
    <row r="21" spans="1:8" x14ac:dyDescent="0.3">
      <c r="B21" s="8"/>
      <c r="C21" s="24"/>
      <c r="D21" s="24"/>
      <c r="E21" s="24"/>
      <c r="F21" s="24"/>
      <c r="G21" s="24"/>
      <c r="H21"/>
    </row>
    <row r="22" spans="1:8" x14ac:dyDescent="0.3">
      <c r="B22" s="1" t="s">
        <v>6</v>
      </c>
      <c r="C22" s="1" t="s">
        <v>4</v>
      </c>
      <c r="D22" s="5">
        <f>SUMIF(January29_2021[[#Headers],[KSI_AGO]:[AKOSOMBO_AGO]],"*"&amp;C22,January29_2021[[#Totals],[KSI_AGO]:[AKOSOMBO_AGO]])</f>
        <v>3031000</v>
      </c>
      <c r="E22" s="1" t="s">
        <v>5</v>
      </c>
      <c r="F22" s="5">
        <f>SUMIF(January29_2021[[#Headers],[KSI_AGO]:[AKOSOMBO_AGO]],"*"&amp;E22,January29_2021[[#Totals],[KSI_AGO]:[AKOSOMBO_AGO]])</f>
        <v>1937000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AC6A72EB-5425-48F9-AE1E-F4E6175C3BE4}">
      <formula1>INDIRECT("BDC_List[BDC List]")</formula1>
    </dataValidation>
  </dataValidations>
  <pageMargins left="0.7" right="0.7" top="0.75" bottom="0.75" header="0.3" footer="0.3"/>
  <tableParts count="1">
    <tablePart r:id="rId1"/>
  </tableParts>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2035-2571-4204-AEEF-C7E5208387E9}">
  <sheetPr codeName="Sheet279"/>
  <dimension ref="A1:K32"/>
  <sheetViews>
    <sheetView workbookViewId="0">
      <selection activeCell="G18" sqref="G18"/>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44228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44228</v>
      </c>
    </row>
    <row r="7" spans="2:11" ht="16.5" customHeight="1" x14ac:dyDescent="0.3">
      <c r="B7" s="6" t="s">
        <v>37</v>
      </c>
      <c r="C7" s="22"/>
      <c r="D7" s="22"/>
      <c r="E7" s="22"/>
      <c r="F7" s="22"/>
      <c r="G7" s="22"/>
      <c r="H7" s="67">
        <f>$G$3</f>
        <v>44228</v>
      </c>
    </row>
    <row r="8" spans="2:11" x14ac:dyDescent="0.3">
      <c r="B8" s="6" t="s">
        <v>17</v>
      </c>
      <c r="C8" s="22"/>
      <c r="D8" s="22">
        <v>108000</v>
      </c>
      <c r="E8" s="22"/>
      <c r="F8" s="22"/>
      <c r="G8" s="22"/>
      <c r="H8" s="12">
        <f t="shared" si="0"/>
        <v>44228</v>
      </c>
    </row>
    <row r="9" spans="2:11" ht="15.6" x14ac:dyDescent="0.3">
      <c r="B9" s="34" t="s">
        <v>0</v>
      </c>
      <c r="C9" s="60"/>
      <c r="D9" s="60"/>
      <c r="E9" s="60"/>
      <c r="F9" s="60"/>
      <c r="G9" s="61"/>
      <c r="H9" s="12">
        <f t="shared" si="0"/>
        <v>44228</v>
      </c>
    </row>
    <row r="10" spans="2:11" x14ac:dyDescent="0.3">
      <c r="B10" s="6" t="s">
        <v>25</v>
      </c>
      <c r="C10" s="22"/>
      <c r="D10" s="22">
        <v>108000</v>
      </c>
      <c r="E10" s="22"/>
      <c r="F10" s="22"/>
      <c r="G10" s="22"/>
      <c r="H10" s="12">
        <f t="shared" si="0"/>
        <v>44228</v>
      </c>
    </row>
    <row r="11" spans="2:11" x14ac:dyDescent="0.3">
      <c r="B11" s="6" t="s">
        <v>15</v>
      </c>
      <c r="C11" s="22"/>
      <c r="D11" s="22">
        <v>108000</v>
      </c>
      <c r="E11" s="22"/>
      <c r="F11" s="48">
        <v>54000</v>
      </c>
      <c r="G11" s="22"/>
      <c r="H11" s="12">
        <f t="shared" si="0"/>
        <v>44228</v>
      </c>
    </row>
    <row r="12" spans="2:11" x14ac:dyDescent="0.3">
      <c r="B12" s="6" t="s">
        <v>26</v>
      </c>
      <c r="C12" s="22"/>
      <c r="D12" s="22">
        <v>54000</v>
      </c>
      <c r="E12" s="22"/>
      <c r="F12" s="22"/>
      <c r="G12" s="22"/>
      <c r="H12" s="12">
        <f t="shared" si="0"/>
        <v>44228</v>
      </c>
    </row>
    <row r="13" spans="2:11" x14ac:dyDescent="0.3">
      <c r="B13" s="6" t="s">
        <v>22</v>
      </c>
      <c r="C13" s="23"/>
      <c r="D13" s="23">
        <v>54000</v>
      </c>
      <c r="E13" s="23"/>
      <c r="F13" s="22"/>
      <c r="G13" s="23"/>
      <c r="H13" s="12">
        <f t="shared" si="0"/>
        <v>44228</v>
      </c>
      <c r="K13" s="4"/>
    </row>
    <row r="14" spans="2:11" x14ac:dyDescent="0.3">
      <c r="B14" s="6" t="s">
        <v>19</v>
      </c>
      <c r="C14" s="22"/>
      <c r="D14" s="22">
        <v>54000</v>
      </c>
      <c r="E14" s="22"/>
      <c r="F14" s="22"/>
      <c r="G14" s="22"/>
      <c r="H14" s="12">
        <f t="shared" si="0"/>
        <v>44228</v>
      </c>
    </row>
    <row r="15" spans="2:11" x14ac:dyDescent="0.3">
      <c r="B15" s="6" t="s">
        <v>14</v>
      </c>
      <c r="C15" s="22"/>
      <c r="D15" s="22">
        <v>54000</v>
      </c>
      <c r="E15" s="22"/>
      <c r="F15" s="22"/>
      <c r="G15" s="22"/>
      <c r="H15" s="12">
        <f t="shared" si="0"/>
        <v>44228</v>
      </c>
    </row>
    <row r="16" spans="2:11" x14ac:dyDescent="0.3">
      <c r="B16" s="6" t="s">
        <v>24</v>
      </c>
      <c r="C16" s="22"/>
      <c r="D16" s="22">
        <v>54000</v>
      </c>
      <c r="E16" s="22"/>
      <c r="F16" s="49"/>
      <c r="G16" s="22"/>
      <c r="H16" s="12">
        <f t="shared" si="0"/>
        <v>44228</v>
      </c>
    </row>
    <row r="17" spans="1:8" x14ac:dyDescent="0.3">
      <c r="B17" s="6" t="s">
        <v>21</v>
      </c>
      <c r="C17" s="22"/>
      <c r="D17" s="22"/>
      <c r="E17" s="22"/>
      <c r="F17" s="22"/>
      <c r="G17" s="22"/>
      <c r="H17" s="12">
        <f t="shared" si="0"/>
        <v>44228</v>
      </c>
    </row>
    <row r="18" spans="1:8" x14ac:dyDescent="0.3">
      <c r="B18" s="6" t="s">
        <v>18</v>
      </c>
      <c r="C18" s="22"/>
      <c r="D18" s="22">
        <v>54000</v>
      </c>
      <c r="E18" s="22"/>
      <c r="F18" s="22">
        <v>54000</v>
      </c>
      <c r="G18" s="22"/>
      <c r="H18" s="12">
        <f t="shared" si="0"/>
        <v>44228</v>
      </c>
    </row>
    <row r="19" spans="1:8" x14ac:dyDescent="0.3">
      <c r="B19" s="6" t="s">
        <v>16</v>
      </c>
      <c r="C19" s="22"/>
      <c r="D19" s="22">
        <v>162000</v>
      </c>
      <c r="E19" s="22"/>
      <c r="F19" s="22">
        <v>54000</v>
      </c>
      <c r="G19" s="22"/>
      <c r="H19" s="12">
        <f t="shared" si="0"/>
        <v>44228</v>
      </c>
    </row>
    <row r="20" spans="1:8" x14ac:dyDescent="0.3">
      <c r="B20" s="50" t="s">
        <v>27</v>
      </c>
      <c r="C20" s="51">
        <f>SUM(February01_2021[KSI_AGO])</f>
        <v>0</v>
      </c>
      <c r="D20" s="51">
        <f>SUBTOTAL(109,February01_2021[KSI_PMS])</f>
        <v>810000</v>
      </c>
      <c r="E20" s="51">
        <f>SUM(February01_2021[BUIPE_AGO])</f>
        <v>0</v>
      </c>
      <c r="F20" s="51">
        <f>SUM(February01_2021[BUIPE_PMS])</f>
        <v>162000</v>
      </c>
      <c r="G20" s="51">
        <f>SUM(February01_2021[AKOSOMBO_AGO])</f>
        <v>0</v>
      </c>
      <c r="H20" s="52"/>
    </row>
    <row r="21" spans="1:8" x14ac:dyDescent="0.3">
      <c r="B21" s="8"/>
      <c r="C21" s="24"/>
      <c r="D21" s="24"/>
      <c r="E21" s="24"/>
      <c r="F21" s="24"/>
      <c r="G21" s="24"/>
      <c r="H21"/>
    </row>
    <row r="22" spans="1:8" x14ac:dyDescent="0.3">
      <c r="B22" s="1" t="s">
        <v>6</v>
      </c>
      <c r="C22" s="1" t="s">
        <v>4</v>
      </c>
      <c r="D22" s="5">
        <f>SUMIF(February01_2021[[#Headers],[KSI_AGO]:[AKOSOMBO_AGO]],"*"&amp;C22,February01_2021[[#Totals],[KSI_AGO]:[AKOSOMBO_AGO]])</f>
        <v>0</v>
      </c>
      <c r="E22" s="1" t="s">
        <v>5</v>
      </c>
      <c r="F22" s="5">
        <f>SUMIF(February01_2021[[#Headers],[KSI_AGO]:[AKOSOMBO_AGO]],"*"&amp;E22,February01_2021[[#Totals],[KSI_AGO]:[AKOSOMBO_AGO]])</f>
        <v>972000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C4A54146-F146-4D50-A3BC-BA7DCEE3BC1C}">
      <formula1>INDIRECT("BDC_List[BDC List]")</formula1>
    </dataValidation>
  </dataValidations>
  <pageMargins left="0.7" right="0.7" top="0.75" bottom="0.75" header="0.3" footer="0.3"/>
  <tableParts count="1">
    <tablePart r:id="rId1"/>
  </tableParts>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056E-8DC8-483B-8847-981FBD51247B}">
  <sheetPr codeName="Sheet280"/>
  <dimension ref="A1:K32"/>
  <sheetViews>
    <sheetView workbookViewId="0">
      <selection activeCell="C18" sqref="C18"/>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44229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44229</v>
      </c>
    </row>
    <row r="7" spans="2:11" ht="16.5" customHeight="1" x14ac:dyDescent="0.3">
      <c r="B7" s="6" t="s">
        <v>37</v>
      </c>
      <c r="C7" s="22"/>
      <c r="D7" s="22"/>
      <c r="E7" s="22"/>
      <c r="F7" s="22"/>
      <c r="G7" s="22"/>
      <c r="H7" s="67">
        <f>$G$3</f>
        <v>44229</v>
      </c>
    </row>
    <row r="8" spans="2:11" x14ac:dyDescent="0.3">
      <c r="B8" s="6" t="s">
        <v>17</v>
      </c>
      <c r="C8" s="22"/>
      <c r="D8" s="22">
        <v>158000</v>
      </c>
      <c r="E8" s="22"/>
      <c r="F8" s="22">
        <v>54000</v>
      </c>
      <c r="G8" s="22"/>
      <c r="H8" s="12">
        <f t="shared" si="0"/>
        <v>44229</v>
      </c>
    </row>
    <row r="9" spans="2:11" ht="15.6" x14ac:dyDescent="0.3">
      <c r="B9" s="34" t="s">
        <v>0</v>
      </c>
      <c r="C9" s="60"/>
      <c r="D9" s="60"/>
      <c r="E9" s="60"/>
      <c r="F9" s="60"/>
      <c r="G9" s="61"/>
      <c r="H9" s="12">
        <f t="shared" si="0"/>
        <v>44229</v>
      </c>
    </row>
    <row r="10" spans="2:11" x14ac:dyDescent="0.3">
      <c r="B10" s="6" t="s">
        <v>25</v>
      </c>
      <c r="C10" s="22"/>
      <c r="D10" s="22">
        <v>207000</v>
      </c>
      <c r="E10" s="22"/>
      <c r="F10" s="22"/>
      <c r="G10" s="22"/>
      <c r="H10" s="12">
        <f t="shared" si="0"/>
        <v>44229</v>
      </c>
    </row>
    <row r="11" spans="2:11" x14ac:dyDescent="0.3">
      <c r="B11" s="6" t="s">
        <v>15</v>
      </c>
      <c r="C11" s="22"/>
      <c r="D11" s="22">
        <v>54000</v>
      </c>
      <c r="E11" s="22"/>
      <c r="F11" s="48">
        <v>54000</v>
      </c>
      <c r="G11" s="22"/>
      <c r="H11" s="12">
        <f t="shared" si="0"/>
        <v>44229</v>
      </c>
    </row>
    <row r="12" spans="2:11" x14ac:dyDescent="0.3">
      <c r="B12" s="6" t="s">
        <v>26</v>
      </c>
      <c r="C12" s="22"/>
      <c r="D12" s="22">
        <v>162000</v>
      </c>
      <c r="E12" s="22"/>
      <c r="F12" s="22"/>
      <c r="G12" s="22"/>
      <c r="H12" s="12">
        <f t="shared" si="0"/>
        <v>44229</v>
      </c>
    </row>
    <row r="13" spans="2:11" x14ac:dyDescent="0.3">
      <c r="B13" s="6" t="s">
        <v>22</v>
      </c>
      <c r="C13" s="23"/>
      <c r="D13" s="23">
        <v>99000</v>
      </c>
      <c r="E13" s="23"/>
      <c r="F13" s="22"/>
      <c r="G13" s="23"/>
      <c r="H13" s="12">
        <f t="shared" si="0"/>
        <v>44229</v>
      </c>
      <c r="K13" s="4"/>
    </row>
    <row r="14" spans="2:11" x14ac:dyDescent="0.3">
      <c r="B14" s="6" t="s">
        <v>19</v>
      </c>
      <c r="C14" s="22"/>
      <c r="D14" s="22">
        <v>108000</v>
      </c>
      <c r="E14" s="22"/>
      <c r="F14" s="22">
        <v>108000</v>
      </c>
      <c r="G14" s="22"/>
      <c r="H14" s="12">
        <f t="shared" si="0"/>
        <v>44229</v>
      </c>
    </row>
    <row r="15" spans="2:11" x14ac:dyDescent="0.3">
      <c r="B15" s="6" t="s">
        <v>14</v>
      </c>
      <c r="C15" s="22"/>
      <c r="D15" s="22"/>
      <c r="E15" s="22"/>
      <c r="F15" s="22"/>
      <c r="G15" s="22"/>
      <c r="H15" s="12">
        <f t="shared" si="0"/>
        <v>44229</v>
      </c>
    </row>
    <row r="16" spans="2:11" x14ac:dyDescent="0.3">
      <c r="B16" s="6" t="s">
        <v>24</v>
      </c>
      <c r="C16" s="22"/>
      <c r="D16" s="22">
        <v>54000</v>
      </c>
      <c r="E16" s="22"/>
      <c r="F16" s="49"/>
      <c r="G16" s="22"/>
      <c r="H16" s="12">
        <f t="shared" si="0"/>
        <v>44229</v>
      </c>
    </row>
    <row r="17" spans="1:8" x14ac:dyDescent="0.3">
      <c r="B17" s="6" t="s">
        <v>21</v>
      </c>
      <c r="C17" s="22"/>
      <c r="D17" s="22"/>
      <c r="E17" s="22"/>
      <c r="F17" s="22"/>
      <c r="G17" s="22"/>
      <c r="H17" s="12">
        <f t="shared" si="0"/>
        <v>44229</v>
      </c>
    </row>
    <row r="18" spans="1:8" x14ac:dyDescent="0.3">
      <c r="B18" s="6" t="s">
        <v>18</v>
      </c>
      <c r="C18" s="22"/>
      <c r="D18" s="22">
        <v>104000</v>
      </c>
      <c r="E18" s="22"/>
      <c r="F18" s="22"/>
      <c r="G18" s="22"/>
      <c r="H18" s="12">
        <f t="shared" si="0"/>
        <v>44229</v>
      </c>
    </row>
    <row r="19" spans="1:8" x14ac:dyDescent="0.3">
      <c r="B19" s="6" t="s">
        <v>16</v>
      </c>
      <c r="C19" s="22"/>
      <c r="D19" s="22">
        <v>54000</v>
      </c>
      <c r="E19" s="22"/>
      <c r="F19" s="22">
        <v>54000</v>
      </c>
      <c r="G19" s="22"/>
      <c r="H19" s="12">
        <f t="shared" si="0"/>
        <v>44229</v>
      </c>
    </row>
    <row r="20" spans="1:8" x14ac:dyDescent="0.3">
      <c r="B20" s="50" t="s">
        <v>27</v>
      </c>
      <c r="C20" s="51">
        <f>SUM(February02_2021[KSI_AGO])</f>
        <v>0</v>
      </c>
      <c r="D20" s="51">
        <f>SUBTOTAL(109,February02_2021[KSI_PMS])</f>
        <v>1000000</v>
      </c>
      <c r="E20" s="51">
        <f>SUM(February02_2021[BUIPE_AGO])</f>
        <v>0</v>
      </c>
      <c r="F20" s="51">
        <f>SUM(February02_2021[BUIPE_PMS])</f>
        <v>270000</v>
      </c>
      <c r="G20" s="51">
        <f>SUM(February02_2021[AKOSOMBO_AGO])</f>
        <v>0</v>
      </c>
      <c r="H20" s="52"/>
    </row>
    <row r="21" spans="1:8" x14ac:dyDescent="0.3">
      <c r="B21" s="8"/>
      <c r="C21" s="24"/>
      <c r="D21" s="24"/>
      <c r="E21" s="24"/>
      <c r="F21" s="24"/>
      <c r="G21" s="24"/>
      <c r="H21"/>
    </row>
    <row r="22" spans="1:8" x14ac:dyDescent="0.3">
      <c r="B22" s="1" t="s">
        <v>6</v>
      </c>
      <c r="C22" s="1" t="s">
        <v>4</v>
      </c>
      <c r="D22" s="5">
        <f>SUMIF(February02_2021[[#Headers],[KSI_AGO]:[AKOSOMBO_AGO]],"*"&amp;C22,February02_2021[[#Totals],[KSI_AGO]:[AKOSOMBO_AGO]])</f>
        <v>0</v>
      </c>
      <c r="E22" s="1" t="s">
        <v>5</v>
      </c>
      <c r="F22" s="5">
        <f>SUMIF(February02_2021[[#Headers],[KSI_AGO]:[AKOSOMBO_AGO]],"*"&amp;E22,February02_2021[[#Totals],[KSI_AGO]:[AKOSOMBO_AGO]])</f>
        <v>1270000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D103A177-8C2F-4683-A82B-98B44CA32740}">
      <formula1>INDIRECT("BDC_List[BDC List]")</formula1>
    </dataValidation>
  </dataValidations>
  <pageMargins left="0.7" right="0.7" top="0.75" bottom="0.75" header="0.3" footer="0.3"/>
  <tableParts count="1">
    <tablePart r:id="rId1"/>
  </tableParts>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4857-8352-42C2-BFF4-76C19BE5DF26}">
  <sheetPr codeName="Sheet281"/>
  <dimension ref="A1:K32"/>
  <sheetViews>
    <sheetView workbookViewId="0">
      <selection activeCell="B12" sqref="B12"/>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44230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44230</v>
      </c>
    </row>
    <row r="7" spans="2:11" ht="16.5" customHeight="1" x14ac:dyDescent="0.3">
      <c r="B7" s="6" t="s">
        <v>37</v>
      </c>
      <c r="C7" s="22"/>
      <c r="D7" s="22"/>
      <c r="E7" s="22"/>
      <c r="F7" s="22"/>
      <c r="G7" s="22"/>
      <c r="H7" s="67">
        <f>$G$3</f>
        <v>44230</v>
      </c>
    </row>
    <row r="8" spans="2:11" x14ac:dyDescent="0.3">
      <c r="B8" s="6" t="s">
        <v>17</v>
      </c>
      <c r="C8" s="22"/>
      <c r="D8" s="22">
        <v>99000</v>
      </c>
      <c r="E8" s="22"/>
      <c r="F8" s="22"/>
      <c r="G8" s="22"/>
      <c r="H8" s="12">
        <f t="shared" si="0"/>
        <v>44230</v>
      </c>
    </row>
    <row r="9" spans="2:11" ht="15.6" x14ac:dyDescent="0.3">
      <c r="B9" s="34" t="s">
        <v>0</v>
      </c>
      <c r="C9" s="60">
        <v>54000</v>
      </c>
      <c r="D9" s="60"/>
      <c r="E9" s="60"/>
      <c r="F9" s="60"/>
      <c r="G9" s="61"/>
      <c r="H9" s="12">
        <f t="shared" si="0"/>
        <v>44230</v>
      </c>
    </row>
    <row r="10" spans="2:11" x14ac:dyDescent="0.3">
      <c r="B10" s="6" t="s">
        <v>25</v>
      </c>
      <c r="C10" s="22"/>
      <c r="D10" s="22">
        <v>108000</v>
      </c>
      <c r="E10" s="22"/>
      <c r="F10" s="22">
        <v>54000</v>
      </c>
      <c r="G10" s="22"/>
      <c r="H10" s="12">
        <f t="shared" si="0"/>
        <v>44230</v>
      </c>
    </row>
    <row r="11" spans="2:11" x14ac:dyDescent="0.3">
      <c r="B11" s="6" t="s">
        <v>15</v>
      </c>
      <c r="C11" s="22"/>
      <c r="D11" s="22"/>
      <c r="E11" s="22"/>
      <c r="F11" s="48"/>
      <c r="G11" s="22"/>
      <c r="H11" s="12">
        <f t="shared" si="0"/>
        <v>44230</v>
      </c>
    </row>
    <row r="12" spans="2:11" x14ac:dyDescent="0.3">
      <c r="B12" s="6" t="s">
        <v>26</v>
      </c>
      <c r="C12" s="22">
        <v>324000</v>
      </c>
      <c r="D12" s="22">
        <v>54000</v>
      </c>
      <c r="E12" s="22">
        <v>486000</v>
      </c>
      <c r="F12" s="22">
        <v>54000</v>
      </c>
      <c r="G12" s="22"/>
      <c r="H12" s="12">
        <f t="shared" si="0"/>
        <v>44230</v>
      </c>
    </row>
    <row r="13" spans="2:11" x14ac:dyDescent="0.3">
      <c r="B13" s="6" t="s">
        <v>22</v>
      </c>
      <c r="C13" s="23"/>
      <c r="D13" s="23">
        <v>162000</v>
      </c>
      <c r="E13" s="23"/>
      <c r="F13" s="22"/>
      <c r="G13" s="23"/>
      <c r="H13" s="12">
        <f t="shared" si="0"/>
        <v>44230</v>
      </c>
      <c r="K13" s="4"/>
    </row>
    <row r="14" spans="2:11" x14ac:dyDescent="0.3">
      <c r="B14" s="6" t="s">
        <v>19</v>
      </c>
      <c r="C14" s="22">
        <v>162000</v>
      </c>
      <c r="D14" s="22"/>
      <c r="E14" s="22"/>
      <c r="F14" s="22"/>
      <c r="G14" s="22"/>
      <c r="H14" s="12">
        <f t="shared" si="0"/>
        <v>44230</v>
      </c>
    </row>
    <row r="15" spans="2:11" x14ac:dyDescent="0.3">
      <c r="B15" s="6" t="s">
        <v>14</v>
      </c>
      <c r="C15" s="22">
        <v>428000</v>
      </c>
      <c r="D15" s="22">
        <v>107000</v>
      </c>
      <c r="E15" s="22"/>
      <c r="F15" s="22">
        <v>54000</v>
      </c>
      <c r="G15" s="22"/>
      <c r="H15" s="12">
        <f t="shared" si="0"/>
        <v>44230</v>
      </c>
    </row>
    <row r="16" spans="2:11" x14ac:dyDescent="0.3">
      <c r="B16" s="6" t="s">
        <v>24</v>
      </c>
      <c r="C16" s="22">
        <v>207000</v>
      </c>
      <c r="D16" s="22">
        <v>54000</v>
      </c>
      <c r="E16" s="22"/>
      <c r="F16" s="49"/>
      <c r="G16" s="22"/>
      <c r="H16" s="12">
        <f t="shared" si="0"/>
        <v>44230</v>
      </c>
    </row>
    <row r="17" spans="1:8" x14ac:dyDescent="0.3">
      <c r="B17" s="6" t="s">
        <v>21</v>
      </c>
      <c r="C17" s="22"/>
      <c r="D17" s="22"/>
      <c r="E17" s="22"/>
      <c r="F17" s="22"/>
      <c r="G17" s="22"/>
      <c r="H17" s="12">
        <f t="shared" si="0"/>
        <v>44230</v>
      </c>
    </row>
    <row r="18" spans="1:8" x14ac:dyDescent="0.3">
      <c r="B18" s="6" t="s">
        <v>18</v>
      </c>
      <c r="C18" s="22"/>
      <c r="D18" s="22">
        <v>216000</v>
      </c>
      <c r="E18" s="22"/>
      <c r="F18" s="22">
        <v>108000</v>
      </c>
      <c r="G18" s="22"/>
      <c r="H18" s="12">
        <f t="shared" si="0"/>
        <v>44230</v>
      </c>
    </row>
    <row r="19" spans="1:8" x14ac:dyDescent="0.3">
      <c r="B19" s="6" t="s">
        <v>16</v>
      </c>
      <c r="C19" s="22"/>
      <c r="D19" s="22">
        <v>54000</v>
      </c>
      <c r="E19" s="22"/>
      <c r="F19" s="22"/>
      <c r="G19" s="22"/>
      <c r="H19" s="12">
        <f t="shared" si="0"/>
        <v>44230</v>
      </c>
    </row>
    <row r="20" spans="1:8" x14ac:dyDescent="0.3">
      <c r="B20" s="50" t="s">
        <v>27</v>
      </c>
      <c r="C20" s="51">
        <f>SUM(February03_2021[KSI_AGO])</f>
        <v>1175000</v>
      </c>
      <c r="D20" s="51">
        <f>SUBTOTAL(109,February03_2021[KSI_PMS])</f>
        <v>854000</v>
      </c>
      <c r="E20" s="51">
        <f>SUM(February03_2021[BUIPE_AGO])</f>
        <v>486000</v>
      </c>
      <c r="F20" s="51">
        <f>SUM(February03_2021[BUIPE_PMS])</f>
        <v>270000</v>
      </c>
      <c r="G20" s="51">
        <f>SUM(February03_2021[AKOSOMBO_AGO])</f>
        <v>0</v>
      </c>
      <c r="H20" s="52"/>
    </row>
    <row r="21" spans="1:8" x14ac:dyDescent="0.3">
      <c r="B21" s="8"/>
      <c r="C21" s="24"/>
      <c r="D21" s="24"/>
      <c r="E21" s="24"/>
      <c r="F21" s="24"/>
      <c r="G21" s="24"/>
      <c r="H21"/>
    </row>
    <row r="22" spans="1:8" x14ac:dyDescent="0.3">
      <c r="B22" s="1" t="s">
        <v>6</v>
      </c>
      <c r="C22" s="1" t="s">
        <v>4</v>
      </c>
      <c r="D22" s="5">
        <f>SUMIF(February03_2021[[#Headers],[KSI_AGO]:[AKOSOMBO_AGO]],"*"&amp;C22,February03_2021[[#Totals],[KSI_AGO]:[AKOSOMBO_AGO]])</f>
        <v>1661000</v>
      </c>
      <c r="E22" s="1" t="s">
        <v>5</v>
      </c>
      <c r="F22" s="5">
        <f>SUMIF(February03_2021[[#Headers],[KSI_AGO]:[AKOSOMBO_AGO]],"*"&amp;E22,February03_2021[[#Totals],[KSI_AGO]:[AKOSOMBO_AGO]])</f>
        <v>1124000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FC539B21-45FD-415D-85F2-A258331C69BD}">
      <formula1>INDIRECT("BDC_List[BDC List]")</formula1>
    </dataValidation>
  </dataValidations>
  <pageMargins left="0.7" right="0.7" top="0.75" bottom="0.75" header="0.3" footer="0.3"/>
  <tableParts count="1">
    <tablePart r:id="rId1"/>
  </tableParts>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B98C-7E04-420E-BD36-73BB44EFC75A}">
  <sheetPr codeName="Sheet282"/>
  <dimension ref="A1:K32"/>
  <sheetViews>
    <sheetView workbookViewId="0">
      <selection activeCell="B10" sqref="B10"/>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44231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44231</v>
      </c>
    </row>
    <row r="7" spans="2:11" ht="16.5" customHeight="1" x14ac:dyDescent="0.3">
      <c r="B7" s="6" t="s">
        <v>37</v>
      </c>
      <c r="C7" s="22"/>
      <c r="D7" s="22"/>
      <c r="E7" s="22"/>
      <c r="F7" s="22"/>
      <c r="G7" s="22"/>
      <c r="H7" s="67">
        <f>$G$3</f>
        <v>44231</v>
      </c>
    </row>
    <row r="8" spans="2:11" x14ac:dyDescent="0.3">
      <c r="B8" s="6" t="s">
        <v>17</v>
      </c>
      <c r="C8" s="22">
        <v>153000</v>
      </c>
      <c r="D8" s="22">
        <v>153000</v>
      </c>
      <c r="E8" s="22"/>
      <c r="F8" s="22">
        <v>99000</v>
      </c>
      <c r="G8" s="22"/>
      <c r="H8" s="12">
        <f t="shared" si="0"/>
        <v>44231</v>
      </c>
    </row>
    <row r="9" spans="2:11" ht="15.6" x14ac:dyDescent="0.3">
      <c r="B9" s="34" t="s">
        <v>0</v>
      </c>
      <c r="C9" s="60"/>
      <c r="D9" s="60"/>
      <c r="E9" s="60"/>
      <c r="F9" s="60"/>
      <c r="G9" s="61"/>
      <c r="H9" s="12">
        <f t="shared" si="0"/>
        <v>44231</v>
      </c>
    </row>
    <row r="10" spans="2:11" x14ac:dyDescent="0.3">
      <c r="B10" s="6" t="s">
        <v>25</v>
      </c>
      <c r="C10" s="22">
        <v>473000</v>
      </c>
      <c r="D10" s="22">
        <v>208500</v>
      </c>
      <c r="E10" s="22"/>
      <c r="F10" s="22">
        <v>54000</v>
      </c>
      <c r="G10" s="22">
        <v>90000</v>
      </c>
      <c r="H10" s="12">
        <f t="shared" si="0"/>
        <v>44231</v>
      </c>
    </row>
    <row r="11" spans="2:11" x14ac:dyDescent="0.3">
      <c r="B11" s="6" t="s">
        <v>15</v>
      </c>
      <c r="C11" s="22">
        <v>54000</v>
      </c>
      <c r="D11" s="22">
        <v>108000</v>
      </c>
      <c r="E11" s="22"/>
      <c r="F11" s="48">
        <v>99000</v>
      </c>
      <c r="G11" s="22"/>
      <c r="H11" s="12">
        <f t="shared" si="0"/>
        <v>44231</v>
      </c>
    </row>
    <row r="12" spans="2:11" x14ac:dyDescent="0.3">
      <c r="B12" s="6" t="s">
        <v>26</v>
      </c>
      <c r="C12" s="22">
        <v>373500</v>
      </c>
      <c r="D12" s="22">
        <v>162000</v>
      </c>
      <c r="E12" s="22"/>
      <c r="F12" s="22">
        <v>54000</v>
      </c>
      <c r="G12" s="22"/>
      <c r="H12" s="12">
        <f t="shared" si="0"/>
        <v>44231</v>
      </c>
    </row>
    <row r="13" spans="2:11" x14ac:dyDescent="0.3">
      <c r="B13" s="6" t="s">
        <v>22</v>
      </c>
      <c r="C13" s="23"/>
      <c r="D13" s="23">
        <v>216000</v>
      </c>
      <c r="E13" s="23"/>
      <c r="F13" s="22"/>
      <c r="G13" s="23"/>
      <c r="H13" s="12">
        <f t="shared" si="0"/>
        <v>44231</v>
      </c>
      <c r="K13" s="4"/>
    </row>
    <row r="14" spans="2:11" x14ac:dyDescent="0.3">
      <c r="B14" s="6" t="s">
        <v>19</v>
      </c>
      <c r="C14" s="22">
        <v>683000</v>
      </c>
      <c r="D14" s="22">
        <v>108000</v>
      </c>
      <c r="E14" s="22"/>
      <c r="F14" s="22">
        <v>162000</v>
      </c>
      <c r="G14" s="22"/>
      <c r="H14" s="12">
        <f t="shared" si="0"/>
        <v>44231</v>
      </c>
    </row>
    <row r="15" spans="2:11" x14ac:dyDescent="0.3">
      <c r="B15" s="6" t="s">
        <v>14</v>
      </c>
      <c r="C15" s="22">
        <v>485000</v>
      </c>
      <c r="D15" s="22">
        <v>50000</v>
      </c>
      <c r="E15" s="22"/>
      <c r="F15" s="22">
        <v>162000</v>
      </c>
      <c r="G15" s="22"/>
      <c r="H15" s="12">
        <f t="shared" si="0"/>
        <v>44231</v>
      </c>
    </row>
    <row r="16" spans="2:11" x14ac:dyDescent="0.3">
      <c r="B16" s="6" t="s">
        <v>24</v>
      </c>
      <c r="C16" s="22">
        <v>378000</v>
      </c>
      <c r="D16" s="22">
        <v>162000</v>
      </c>
      <c r="E16" s="22"/>
      <c r="F16" s="49"/>
      <c r="G16" s="22"/>
      <c r="H16" s="12">
        <f t="shared" si="0"/>
        <v>44231</v>
      </c>
    </row>
    <row r="17" spans="1:8" x14ac:dyDescent="0.3">
      <c r="B17" s="6" t="s">
        <v>21</v>
      </c>
      <c r="C17" s="22"/>
      <c r="D17" s="22"/>
      <c r="E17" s="22"/>
      <c r="F17" s="22"/>
      <c r="G17" s="22"/>
      <c r="H17" s="12">
        <f t="shared" si="0"/>
        <v>44231</v>
      </c>
    </row>
    <row r="18" spans="1:8" x14ac:dyDescent="0.3">
      <c r="B18" s="6" t="s">
        <v>18</v>
      </c>
      <c r="C18" s="22"/>
      <c r="D18" s="22">
        <v>157500</v>
      </c>
      <c r="E18" s="22"/>
      <c r="F18" s="22">
        <v>216000</v>
      </c>
      <c r="G18" s="22"/>
      <c r="H18" s="12">
        <f t="shared" si="0"/>
        <v>44231</v>
      </c>
    </row>
    <row r="19" spans="1:8" x14ac:dyDescent="0.3">
      <c r="B19" s="6" t="s">
        <v>16</v>
      </c>
      <c r="C19" s="22"/>
      <c r="D19" s="22">
        <v>54000</v>
      </c>
      <c r="E19" s="22"/>
      <c r="F19" s="22">
        <v>162000</v>
      </c>
      <c r="G19" s="22"/>
      <c r="H19" s="12">
        <f t="shared" si="0"/>
        <v>44231</v>
      </c>
    </row>
    <row r="20" spans="1:8" x14ac:dyDescent="0.3">
      <c r="B20" s="50" t="s">
        <v>27</v>
      </c>
      <c r="C20" s="51">
        <f>SUM(February04_2021[KSI_AGO])</f>
        <v>2599500</v>
      </c>
      <c r="D20" s="51">
        <f>SUBTOTAL(109,February04_2021[KSI_PMS])</f>
        <v>1379000</v>
      </c>
      <c r="E20" s="51">
        <f>SUM(February04_2021[BUIPE_AGO])</f>
        <v>0</v>
      </c>
      <c r="F20" s="51">
        <f>SUM(February04_2021[BUIPE_PMS])</f>
        <v>1008000</v>
      </c>
      <c r="G20" s="51">
        <f>SUM(February04_2021[AKOSOMBO_AGO])</f>
        <v>90000</v>
      </c>
      <c r="H20" s="52"/>
    </row>
    <row r="21" spans="1:8" x14ac:dyDescent="0.3">
      <c r="B21" s="8"/>
      <c r="C21" s="24"/>
      <c r="D21" s="24"/>
      <c r="E21" s="24"/>
      <c r="F21" s="24"/>
      <c r="G21" s="24"/>
      <c r="H21"/>
    </row>
    <row r="22" spans="1:8" x14ac:dyDescent="0.3">
      <c r="B22" s="1" t="s">
        <v>6</v>
      </c>
      <c r="C22" s="1" t="s">
        <v>4</v>
      </c>
      <c r="D22" s="5">
        <f>SUMIF(February04_2021[[#Headers],[KSI_AGO]:[AKOSOMBO_AGO]],"*"&amp;C22,February04_2021[[#Totals],[KSI_AGO]:[AKOSOMBO_AGO]])</f>
        <v>2689500</v>
      </c>
      <c r="E22" s="1" t="s">
        <v>5</v>
      </c>
      <c r="F22" s="5">
        <f>SUMIF(February04_2021[[#Headers],[KSI_AGO]:[AKOSOMBO_AGO]],"*"&amp;E22,February04_2021[[#Totals],[KSI_AGO]:[AKOSOMBO_AGO]])</f>
        <v>2387000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C55BA188-7FC5-4443-A37A-E8F255C9C0C8}">
      <formula1>INDIRECT("BDC_List[BDC List]")</formula1>
    </dataValidation>
  </dataValidations>
  <pageMargins left="0.7" right="0.7" top="0.75" bottom="0.75" header="0.3" footer="0.3"/>
  <tableParts count="1">
    <tablePart r:id="rId1"/>
  </tableParts>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5ADE2-16B9-4124-869B-A7C4E3F07376}">
  <sheetPr codeName="Sheet283"/>
  <dimension ref="A1:K32"/>
  <sheetViews>
    <sheetView workbookViewId="0">
      <selection activeCell="D13" sqref="D13"/>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44232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44232</v>
      </c>
    </row>
    <row r="7" spans="2:11" ht="16.5" customHeight="1" x14ac:dyDescent="0.3">
      <c r="B7" s="6" t="s">
        <v>37</v>
      </c>
      <c r="C7" s="22"/>
      <c r="D7" s="22"/>
      <c r="E7" s="22"/>
      <c r="F7" s="22"/>
      <c r="G7" s="22"/>
      <c r="H7" s="67">
        <f t="shared" si="0"/>
        <v>44232</v>
      </c>
    </row>
    <row r="8" spans="2:11" x14ac:dyDescent="0.3">
      <c r="B8" s="6" t="s">
        <v>17</v>
      </c>
      <c r="C8" s="22"/>
      <c r="D8" s="22">
        <v>162000</v>
      </c>
      <c r="E8" s="22"/>
      <c r="F8" s="22">
        <v>95000</v>
      </c>
      <c r="G8" s="22"/>
      <c r="H8" s="12">
        <f t="shared" si="0"/>
        <v>44232</v>
      </c>
    </row>
    <row r="9" spans="2:11" ht="15.6" x14ac:dyDescent="0.3">
      <c r="B9" s="34" t="s">
        <v>0</v>
      </c>
      <c r="C9" s="60"/>
      <c r="D9" s="60"/>
      <c r="E9" s="60"/>
      <c r="F9" s="60"/>
      <c r="G9" s="61"/>
      <c r="H9" s="12">
        <f t="shared" si="0"/>
        <v>44232</v>
      </c>
    </row>
    <row r="10" spans="2:11" x14ac:dyDescent="0.3">
      <c r="B10" s="6" t="s">
        <v>25</v>
      </c>
      <c r="C10" s="22">
        <v>162000</v>
      </c>
      <c r="D10" s="22">
        <v>296000</v>
      </c>
      <c r="E10" s="22"/>
      <c r="F10" s="22">
        <v>54000</v>
      </c>
      <c r="G10" s="22"/>
      <c r="H10" s="12">
        <f t="shared" si="0"/>
        <v>44232</v>
      </c>
    </row>
    <row r="11" spans="2:11" x14ac:dyDescent="0.3">
      <c r="B11" s="6" t="s">
        <v>15</v>
      </c>
      <c r="C11" s="22"/>
      <c r="D11" s="22">
        <v>270000</v>
      </c>
      <c r="E11" s="22"/>
      <c r="F11" s="48">
        <v>108000</v>
      </c>
      <c r="G11" s="22"/>
      <c r="H11" s="12">
        <f t="shared" si="0"/>
        <v>44232</v>
      </c>
    </row>
    <row r="12" spans="2:11" x14ac:dyDescent="0.3">
      <c r="B12" s="6" t="s">
        <v>26</v>
      </c>
      <c r="C12" s="22">
        <v>318000</v>
      </c>
      <c r="D12" s="22">
        <v>153000</v>
      </c>
      <c r="E12" s="22"/>
      <c r="F12" s="22">
        <v>45000</v>
      </c>
      <c r="G12" s="22"/>
      <c r="H12" s="12">
        <f t="shared" si="0"/>
        <v>44232</v>
      </c>
    </row>
    <row r="13" spans="2:11" x14ac:dyDescent="0.3">
      <c r="B13" s="6" t="s">
        <v>22</v>
      </c>
      <c r="C13" s="23"/>
      <c r="D13" s="23">
        <v>154000</v>
      </c>
      <c r="E13" s="23"/>
      <c r="F13" s="22"/>
      <c r="G13" s="23"/>
      <c r="H13" s="12">
        <f t="shared" si="0"/>
        <v>44232</v>
      </c>
      <c r="K13" s="4"/>
    </row>
    <row r="14" spans="2:11" x14ac:dyDescent="0.3">
      <c r="B14" s="6" t="s">
        <v>19</v>
      </c>
      <c r="C14" s="22">
        <v>378000</v>
      </c>
      <c r="D14" s="22">
        <v>162000</v>
      </c>
      <c r="E14" s="22"/>
      <c r="F14" s="22">
        <v>54000</v>
      </c>
      <c r="G14" s="22"/>
      <c r="H14" s="12">
        <f t="shared" si="0"/>
        <v>44232</v>
      </c>
    </row>
    <row r="15" spans="2:11" x14ac:dyDescent="0.3">
      <c r="B15" s="6" t="s">
        <v>14</v>
      </c>
      <c r="C15" s="22">
        <v>374000</v>
      </c>
      <c r="D15" s="22">
        <v>266000</v>
      </c>
      <c r="E15" s="22"/>
      <c r="F15" s="22">
        <v>54000</v>
      </c>
      <c r="G15" s="22"/>
      <c r="H15" s="12">
        <f t="shared" si="0"/>
        <v>44232</v>
      </c>
    </row>
    <row r="16" spans="2:11" x14ac:dyDescent="0.3">
      <c r="B16" s="6" t="s">
        <v>24</v>
      </c>
      <c r="C16" s="22"/>
      <c r="D16" s="22">
        <v>108000</v>
      </c>
      <c r="E16" s="22"/>
      <c r="F16" s="49"/>
      <c r="G16" s="22"/>
      <c r="H16" s="12">
        <f t="shared" si="0"/>
        <v>44232</v>
      </c>
    </row>
    <row r="17" spans="1:8" x14ac:dyDescent="0.3">
      <c r="B17" s="6" t="s">
        <v>21</v>
      </c>
      <c r="C17" s="22"/>
      <c r="D17" s="22"/>
      <c r="E17" s="22"/>
      <c r="F17" s="22"/>
      <c r="G17" s="22"/>
      <c r="H17" s="12">
        <f t="shared" si="0"/>
        <v>44232</v>
      </c>
    </row>
    <row r="18" spans="1:8" x14ac:dyDescent="0.3">
      <c r="B18" s="6" t="s">
        <v>18</v>
      </c>
      <c r="C18" s="22"/>
      <c r="D18" s="22">
        <v>108000</v>
      </c>
      <c r="E18" s="22"/>
      <c r="F18" s="22"/>
      <c r="G18" s="22"/>
      <c r="H18" s="12">
        <f t="shared" si="0"/>
        <v>44232</v>
      </c>
    </row>
    <row r="19" spans="1:8" x14ac:dyDescent="0.3">
      <c r="B19" s="6" t="s">
        <v>16</v>
      </c>
      <c r="C19" s="22">
        <v>320000</v>
      </c>
      <c r="D19" s="22">
        <v>108000</v>
      </c>
      <c r="E19" s="22">
        <v>540000</v>
      </c>
      <c r="F19" s="22">
        <v>45000</v>
      </c>
      <c r="G19" s="22">
        <v>594000</v>
      </c>
      <c r="H19" s="12">
        <f t="shared" si="0"/>
        <v>44232</v>
      </c>
    </row>
    <row r="20" spans="1:8" x14ac:dyDescent="0.3">
      <c r="B20" s="50" t="s">
        <v>27</v>
      </c>
      <c r="C20" s="51">
        <f>SUM(February05_2021[KSI_AGO])</f>
        <v>1552000</v>
      </c>
      <c r="D20" s="51">
        <f>SUBTOTAL(109,February05_2021[KSI_PMS])</f>
        <v>1787000</v>
      </c>
      <c r="E20" s="51">
        <f>SUM(February05_2021[BUIPE_AGO])</f>
        <v>540000</v>
      </c>
      <c r="F20" s="51">
        <f>SUM(February05_2021[BUIPE_PMS])</f>
        <v>455000</v>
      </c>
      <c r="G20" s="51">
        <f>SUM(February05_2021[AKOSOMBO_AGO])</f>
        <v>594000</v>
      </c>
      <c r="H20" s="52"/>
    </row>
    <row r="21" spans="1:8" x14ac:dyDescent="0.3">
      <c r="B21" s="8"/>
      <c r="C21" s="24"/>
      <c r="D21" s="24"/>
      <c r="E21" s="24"/>
      <c r="F21" s="24"/>
      <c r="G21" s="24"/>
      <c r="H21"/>
    </row>
    <row r="22" spans="1:8" x14ac:dyDescent="0.3">
      <c r="B22" s="1" t="s">
        <v>6</v>
      </c>
      <c r="C22" s="1" t="s">
        <v>4</v>
      </c>
      <c r="D22" s="5">
        <f>SUMIF(February05_2021[[#Headers],[KSI_AGO]:[AKOSOMBO_AGO]],"*"&amp;C22,February05_2021[[#Totals],[KSI_AGO]:[AKOSOMBO_AGO]])</f>
        <v>2686000</v>
      </c>
      <c r="E22" s="1" t="s">
        <v>5</v>
      </c>
      <c r="F22" s="5">
        <f>SUMIF(February05_2021[[#Headers],[KSI_AGO]:[AKOSOMBO_AGO]],"*"&amp;E22,February05_2021[[#Totals],[KSI_AGO]:[AKOSOMBO_AGO]])</f>
        <v>2242000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2924DFDB-ED7B-4F8A-8AF5-8CEECF35BA69}">
      <formula1>INDIRECT("BDC_List[BDC List]")</formula1>
    </dataValidation>
  </dataValidations>
  <pageMargins left="0.7" right="0.7" top="0.75" bottom="0.75" header="0.3" footer="0.3"/>
  <tableParts count="1">
    <tablePart r:id="rId1"/>
  </tableParts>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56807-1798-4D7B-9E4F-5C0774D15E7A}">
  <sheetPr codeName="Sheet284"/>
  <dimension ref="A1:K32"/>
  <sheetViews>
    <sheetView workbookViewId="0">
      <selection activeCell="C14" sqref="C14"/>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44235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44235</v>
      </c>
    </row>
    <row r="7" spans="2:11" ht="16.5" customHeight="1" x14ac:dyDescent="0.3">
      <c r="B7" s="6" t="s">
        <v>37</v>
      </c>
      <c r="C7" s="22"/>
      <c r="D7" s="22"/>
      <c r="E7" s="22"/>
      <c r="F7" s="22"/>
      <c r="G7" s="22"/>
      <c r="H7" s="67">
        <f t="shared" si="0"/>
        <v>44235</v>
      </c>
    </row>
    <row r="8" spans="2:11" x14ac:dyDescent="0.3">
      <c r="B8" s="6" t="s">
        <v>17</v>
      </c>
      <c r="C8" s="22"/>
      <c r="D8" s="22">
        <v>54000</v>
      </c>
      <c r="E8" s="22"/>
      <c r="F8" s="22">
        <v>108000</v>
      </c>
      <c r="G8" s="22"/>
      <c r="H8" s="12">
        <f t="shared" si="0"/>
        <v>44235</v>
      </c>
    </row>
    <row r="9" spans="2:11" ht="15.6" x14ac:dyDescent="0.3">
      <c r="B9" s="34" t="s">
        <v>0</v>
      </c>
      <c r="C9" s="60"/>
      <c r="D9" s="60"/>
      <c r="E9" s="60"/>
      <c r="F9" s="60"/>
      <c r="G9" s="61"/>
      <c r="H9" s="12">
        <f t="shared" si="0"/>
        <v>44235</v>
      </c>
    </row>
    <row r="10" spans="2:11" x14ac:dyDescent="0.3">
      <c r="B10" s="6" t="s">
        <v>25</v>
      </c>
      <c r="C10" s="22">
        <v>54000</v>
      </c>
      <c r="D10" s="22">
        <v>54000</v>
      </c>
      <c r="E10" s="22"/>
      <c r="F10" s="22"/>
      <c r="G10" s="22"/>
      <c r="H10" s="12">
        <f t="shared" si="0"/>
        <v>44235</v>
      </c>
    </row>
    <row r="11" spans="2:11" x14ac:dyDescent="0.3">
      <c r="B11" s="6" t="s">
        <v>15</v>
      </c>
      <c r="C11" s="22"/>
      <c r="D11" s="22">
        <v>54000</v>
      </c>
      <c r="E11" s="22"/>
      <c r="F11" s="48">
        <v>158000</v>
      </c>
      <c r="G11" s="22"/>
      <c r="H11" s="12">
        <f t="shared" si="0"/>
        <v>44235</v>
      </c>
    </row>
    <row r="12" spans="2:11" x14ac:dyDescent="0.3">
      <c r="B12" s="6" t="s">
        <v>26</v>
      </c>
      <c r="C12" s="22">
        <v>162000</v>
      </c>
      <c r="D12" s="22"/>
      <c r="E12" s="22"/>
      <c r="F12" s="22">
        <v>108000</v>
      </c>
      <c r="G12" s="22">
        <v>324000</v>
      </c>
      <c r="H12" s="12">
        <f t="shared" si="0"/>
        <v>44235</v>
      </c>
    </row>
    <row r="13" spans="2:11" x14ac:dyDescent="0.3">
      <c r="B13" s="6" t="s">
        <v>22</v>
      </c>
      <c r="C13" s="23"/>
      <c r="D13" s="23"/>
      <c r="E13" s="23"/>
      <c r="F13" s="22"/>
      <c r="G13" s="23"/>
      <c r="H13" s="12">
        <f t="shared" si="0"/>
        <v>44235</v>
      </c>
      <c r="K13" s="4"/>
    </row>
    <row r="14" spans="2:11" x14ac:dyDescent="0.3">
      <c r="B14" s="6" t="s">
        <v>19</v>
      </c>
      <c r="C14" s="22">
        <v>432000</v>
      </c>
      <c r="D14" s="22">
        <v>810000</v>
      </c>
      <c r="E14" s="22"/>
      <c r="F14" s="22">
        <v>108000</v>
      </c>
      <c r="G14" s="22"/>
      <c r="H14" s="12">
        <f t="shared" si="0"/>
        <v>44235</v>
      </c>
    </row>
    <row r="15" spans="2:11" x14ac:dyDescent="0.3">
      <c r="B15" s="6" t="s">
        <v>14</v>
      </c>
      <c r="C15" s="22">
        <v>659000</v>
      </c>
      <c r="D15" s="22"/>
      <c r="E15" s="22"/>
      <c r="F15" s="22">
        <v>216000</v>
      </c>
      <c r="G15" s="22"/>
      <c r="H15" s="12">
        <f t="shared" si="0"/>
        <v>44235</v>
      </c>
    </row>
    <row r="16" spans="2:11" x14ac:dyDescent="0.3">
      <c r="B16" s="6" t="s">
        <v>24</v>
      </c>
      <c r="C16" s="22"/>
      <c r="D16" s="22">
        <v>54000</v>
      </c>
      <c r="E16" s="22"/>
      <c r="F16" s="49"/>
      <c r="G16" s="22"/>
      <c r="H16" s="12">
        <f t="shared" si="0"/>
        <v>44235</v>
      </c>
    </row>
    <row r="17" spans="1:8" x14ac:dyDescent="0.3">
      <c r="B17" s="6" t="s">
        <v>21</v>
      </c>
      <c r="C17" s="22"/>
      <c r="D17" s="22"/>
      <c r="E17" s="22"/>
      <c r="F17" s="22"/>
      <c r="G17" s="22"/>
      <c r="H17" s="12">
        <f t="shared" si="0"/>
        <v>44235</v>
      </c>
    </row>
    <row r="18" spans="1:8" x14ac:dyDescent="0.3">
      <c r="B18" s="6" t="s">
        <v>18</v>
      </c>
      <c r="C18" s="22"/>
      <c r="D18" s="22"/>
      <c r="E18" s="22"/>
      <c r="F18" s="22">
        <v>54000</v>
      </c>
      <c r="G18" s="22"/>
      <c r="H18" s="12">
        <f t="shared" si="0"/>
        <v>44235</v>
      </c>
    </row>
    <row r="19" spans="1:8" x14ac:dyDescent="0.3">
      <c r="B19" s="6" t="s">
        <v>16</v>
      </c>
      <c r="C19" s="22">
        <v>378000</v>
      </c>
      <c r="D19" s="22">
        <v>108000</v>
      </c>
      <c r="E19" s="22">
        <v>54000</v>
      </c>
      <c r="F19" s="22"/>
      <c r="G19" s="22"/>
      <c r="H19" s="12">
        <f t="shared" si="0"/>
        <v>44235</v>
      </c>
    </row>
    <row r="20" spans="1:8" x14ac:dyDescent="0.3">
      <c r="B20" s="50" t="s">
        <v>27</v>
      </c>
      <c r="C20" s="51">
        <f>SUM(February08_2021[KSI_AGO])</f>
        <v>1685000</v>
      </c>
      <c r="D20" s="51">
        <f>SUBTOTAL(109,February08_2021[KSI_PMS])</f>
        <v>1134000</v>
      </c>
      <c r="E20" s="51">
        <f>SUM(February08_2021[BUIPE_AGO])</f>
        <v>54000</v>
      </c>
      <c r="F20" s="51">
        <f>SUM(February08_2021[BUIPE_PMS])</f>
        <v>752000</v>
      </c>
      <c r="G20" s="51">
        <f>SUM(February08_2021[AKOSOMBO_AGO])</f>
        <v>324000</v>
      </c>
      <c r="H20" s="52"/>
    </row>
    <row r="21" spans="1:8" x14ac:dyDescent="0.3">
      <c r="B21" s="8"/>
      <c r="C21" s="24"/>
      <c r="D21" s="24"/>
      <c r="E21" s="24"/>
      <c r="F21" s="24"/>
      <c r="G21" s="24"/>
      <c r="H21"/>
    </row>
    <row r="22" spans="1:8" x14ac:dyDescent="0.3">
      <c r="B22" s="1" t="s">
        <v>6</v>
      </c>
      <c r="C22" s="1" t="s">
        <v>4</v>
      </c>
      <c r="D22" s="5">
        <f>SUMIF(February08_2021[[#Headers],[KSI_AGO]:[AKOSOMBO_AGO]],"*"&amp;C22,February08_2021[[#Totals],[KSI_AGO]:[AKOSOMBO_AGO]])</f>
        <v>2063000</v>
      </c>
      <c r="E22" s="1" t="s">
        <v>5</v>
      </c>
      <c r="F22" s="5">
        <f>SUMIF(February08_2021[[#Headers],[KSI_AGO]:[AKOSOMBO_AGO]],"*"&amp;E22,February08_2021[[#Totals],[KSI_AGO]:[AKOSOMBO_AGO]])</f>
        <v>1886000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77858CEA-9851-47AD-A962-B3C03DCA0160}">
      <formula1>INDIRECT("BDC_List[BDC List]")</formula1>
    </dataValidation>
  </dataValidations>
  <pageMargins left="0.7" right="0.7" top="0.75" bottom="0.75" header="0.3" footer="0.3"/>
  <tableParts count="1">
    <tablePart r:id="rId1"/>
  </tableParts>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5151-197B-4846-8679-908597264574}">
  <sheetPr codeName="Sheet285"/>
  <dimension ref="A1:K32"/>
  <sheetViews>
    <sheetView workbookViewId="0">
      <selection activeCell="B13" sqref="B13"/>
    </sheetView>
  </sheetViews>
  <sheetFormatPr defaultColWidth="9.109375" defaultRowHeight="14.4" x14ac:dyDescent="0.3"/>
  <cols>
    <col min="1" max="1" width="6.88671875" style="1" customWidth="1"/>
    <col min="2" max="2" width="35.5546875" style="1" customWidth="1"/>
    <col min="3" max="3" width="15.33203125" style="1" customWidth="1"/>
    <col min="4" max="4" width="15" style="1" customWidth="1"/>
    <col min="5" max="5" width="18.44140625" style="1" bestFit="1" customWidth="1"/>
    <col min="6" max="6" width="18.109375" style="1" customWidth="1"/>
    <col min="7" max="7" width="27.332031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44236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44236</v>
      </c>
    </row>
    <row r="7" spans="2:11" ht="16.5" customHeight="1" x14ac:dyDescent="0.3">
      <c r="B7" s="6" t="s">
        <v>37</v>
      </c>
      <c r="C7" s="22"/>
      <c r="D7" s="22"/>
      <c r="E7" s="22"/>
      <c r="F7" s="22"/>
      <c r="G7" s="22"/>
      <c r="H7" s="67">
        <f t="shared" si="0"/>
        <v>44236</v>
      </c>
    </row>
    <row r="8" spans="2:11" x14ac:dyDescent="0.3">
      <c r="B8" s="6" t="s">
        <v>17</v>
      </c>
      <c r="C8" s="22"/>
      <c r="D8" s="22">
        <v>108000</v>
      </c>
      <c r="E8" s="22"/>
      <c r="F8" s="22">
        <v>162000</v>
      </c>
      <c r="G8" s="22"/>
      <c r="H8" s="12">
        <f t="shared" si="0"/>
        <v>44236</v>
      </c>
    </row>
    <row r="9" spans="2:11" ht="15.6" x14ac:dyDescent="0.3">
      <c r="B9" s="34" t="s">
        <v>0</v>
      </c>
      <c r="C9" s="60">
        <v>968000</v>
      </c>
      <c r="D9" s="60"/>
      <c r="E9" s="60"/>
      <c r="F9" s="60"/>
      <c r="G9" s="61"/>
      <c r="H9" s="12">
        <f t="shared" si="0"/>
        <v>44236</v>
      </c>
    </row>
    <row r="10" spans="2:11" x14ac:dyDescent="0.3">
      <c r="B10" s="6" t="s">
        <v>25</v>
      </c>
      <c r="C10" s="22"/>
      <c r="D10" s="22">
        <v>99000</v>
      </c>
      <c r="E10" s="22"/>
      <c r="F10" s="22">
        <v>54000</v>
      </c>
      <c r="G10" s="22"/>
      <c r="H10" s="12">
        <f t="shared" si="0"/>
        <v>44236</v>
      </c>
    </row>
    <row r="11" spans="2:11" x14ac:dyDescent="0.3">
      <c r="B11" s="6" t="s">
        <v>15</v>
      </c>
      <c r="C11" s="22"/>
      <c r="D11" s="22">
        <v>54000</v>
      </c>
      <c r="E11" s="22"/>
      <c r="F11" s="48">
        <v>108000</v>
      </c>
      <c r="G11" s="22"/>
      <c r="H11" s="12">
        <f t="shared" si="0"/>
        <v>44236</v>
      </c>
    </row>
    <row r="12" spans="2:11" x14ac:dyDescent="0.3">
      <c r="B12" s="6" t="s">
        <v>26</v>
      </c>
      <c r="C12" s="22">
        <v>216000</v>
      </c>
      <c r="D12" s="22">
        <v>211500</v>
      </c>
      <c r="E12" s="22"/>
      <c r="F12" s="22">
        <v>103500</v>
      </c>
      <c r="G12" s="22"/>
      <c r="H12" s="12">
        <f t="shared" si="0"/>
        <v>44236</v>
      </c>
    </row>
    <row r="13" spans="2:11" x14ac:dyDescent="0.3">
      <c r="B13" s="6" t="s">
        <v>22</v>
      </c>
      <c r="C13" s="23"/>
      <c r="D13" s="23">
        <v>157500</v>
      </c>
      <c r="E13" s="23"/>
      <c r="F13" s="22"/>
      <c r="G13" s="23"/>
      <c r="H13" s="12">
        <f t="shared" si="0"/>
        <v>44236</v>
      </c>
      <c r="K13" s="4"/>
    </row>
    <row r="14" spans="2:11" x14ac:dyDescent="0.3">
      <c r="B14" s="6" t="s">
        <v>19</v>
      </c>
      <c r="C14" s="22">
        <v>216000</v>
      </c>
      <c r="D14" s="22">
        <v>54000</v>
      </c>
      <c r="E14" s="22"/>
      <c r="F14" s="22">
        <v>162000</v>
      </c>
      <c r="G14" s="22"/>
      <c r="H14" s="12">
        <f t="shared" si="0"/>
        <v>44236</v>
      </c>
    </row>
    <row r="15" spans="2:11" x14ac:dyDescent="0.3">
      <c r="B15" s="6" t="s">
        <v>14</v>
      </c>
      <c r="C15" s="22">
        <v>432000</v>
      </c>
      <c r="D15" s="22">
        <v>207000</v>
      </c>
      <c r="E15" s="22"/>
      <c r="F15" s="22">
        <v>135000</v>
      </c>
      <c r="G15" s="22"/>
      <c r="H15" s="12">
        <f t="shared" si="0"/>
        <v>44236</v>
      </c>
    </row>
    <row r="16" spans="2:11" x14ac:dyDescent="0.3">
      <c r="B16" s="6" t="s">
        <v>24</v>
      </c>
      <c r="C16" s="22">
        <v>431000</v>
      </c>
      <c r="D16" s="22">
        <v>53000</v>
      </c>
      <c r="E16" s="22"/>
      <c r="F16" s="49"/>
      <c r="G16" s="22"/>
      <c r="H16" s="12">
        <f t="shared" si="0"/>
        <v>44236</v>
      </c>
    </row>
    <row r="17" spans="1:8" x14ac:dyDescent="0.3">
      <c r="B17" s="6" t="s">
        <v>21</v>
      </c>
      <c r="C17" s="22"/>
      <c r="D17" s="22"/>
      <c r="E17" s="22"/>
      <c r="F17" s="22"/>
      <c r="G17" s="22"/>
      <c r="H17" s="12">
        <f t="shared" si="0"/>
        <v>44236</v>
      </c>
    </row>
    <row r="18" spans="1:8" x14ac:dyDescent="0.3">
      <c r="B18" s="6" t="s">
        <v>18</v>
      </c>
      <c r="C18" s="22"/>
      <c r="D18" s="22">
        <v>162000</v>
      </c>
      <c r="E18" s="22"/>
      <c r="F18" s="22">
        <v>157500</v>
      </c>
      <c r="G18" s="22"/>
      <c r="H18" s="12">
        <f t="shared" si="0"/>
        <v>44236</v>
      </c>
    </row>
    <row r="19" spans="1:8" x14ac:dyDescent="0.3">
      <c r="B19" s="6" t="s">
        <v>16</v>
      </c>
      <c r="C19" s="22">
        <v>261000</v>
      </c>
      <c r="D19" s="22">
        <v>54000</v>
      </c>
      <c r="E19" s="22"/>
      <c r="F19" s="22">
        <v>108000</v>
      </c>
      <c r="G19" s="22"/>
      <c r="H19" s="12">
        <f t="shared" si="0"/>
        <v>44236</v>
      </c>
    </row>
    <row r="20" spans="1:8" x14ac:dyDescent="0.3">
      <c r="B20" s="50" t="s">
        <v>27</v>
      </c>
      <c r="C20" s="51">
        <f>SUM(February09_2021[KSI_AGO])</f>
        <v>2524000</v>
      </c>
      <c r="D20" s="51">
        <f>SUBTOTAL(109,February09_2021[KSI_PMS])</f>
        <v>1160000</v>
      </c>
      <c r="E20" s="51">
        <f>SUM(February09_2021[BUIPE_AGO])</f>
        <v>0</v>
      </c>
      <c r="F20" s="51">
        <f>SUM(February09_2021[BUIPE_PMS])</f>
        <v>990000</v>
      </c>
      <c r="G20" s="51">
        <f>SUM(February09_2021[AKOSOMBO_AGO])</f>
        <v>0</v>
      </c>
      <c r="H20" s="52"/>
    </row>
    <row r="21" spans="1:8" x14ac:dyDescent="0.3">
      <c r="B21" s="8"/>
      <c r="C21" s="24"/>
      <c r="D21" s="24"/>
      <c r="E21" s="24"/>
      <c r="F21" s="24"/>
      <c r="G21" s="24"/>
      <c r="H21"/>
    </row>
    <row r="22" spans="1:8" x14ac:dyDescent="0.3">
      <c r="B22" s="1" t="s">
        <v>6</v>
      </c>
      <c r="C22" s="1" t="s">
        <v>4</v>
      </c>
      <c r="D22" s="5">
        <f>SUMIF(February09_2021[[#Headers],[KSI_AGO]:[AKOSOMBO_AGO]],"*"&amp;C22,February09_2021[[#Totals],[KSI_AGO]:[AKOSOMBO_AGO]])</f>
        <v>2524000</v>
      </c>
      <c r="E22" s="1" t="s">
        <v>5</v>
      </c>
      <c r="F22" s="5">
        <f>SUMIF(February09_2021[[#Headers],[KSI_AGO]:[AKOSOMBO_AGO]],"*"&amp;E22,February09_2021[[#Totals],[KSI_AGO]:[AKOSOMBO_AGO]])</f>
        <v>2150000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C9480FC1-2E44-43DF-8B16-9F1DFD4AF9F6}">
      <formula1>INDIRECT("BDC_List[BDC List]")</formula1>
    </dataValidation>
  </dataValidations>
  <pageMargins left="0.7" right="0.7" top="0.75" bottom="0.75" header="0.3" footer="0.3"/>
  <tableParts count="1">
    <tablePart r:id="rId1"/>
  </tableParts>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6122B-F6DD-4D92-83E2-B309ED472FB4}">
  <sheetPr codeName="Sheet286"/>
  <dimension ref="A1:K32"/>
  <sheetViews>
    <sheetView workbookViewId="0">
      <selection activeCell="E15" sqref="E15"/>
    </sheetView>
  </sheetViews>
  <sheetFormatPr defaultColWidth="9.109375" defaultRowHeight="14.4" x14ac:dyDescent="0.3"/>
  <cols>
    <col min="1" max="1" width="6.88671875" style="1" customWidth="1"/>
    <col min="2" max="2" width="27.5546875" style="1" customWidth="1"/>
    <col min="3" max="3" width="13.8867187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44237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44237</v>
      </c>
    </row>
    <row r="7" spans="2:11" ht="16.5" customHeight="1" x14ac:dyDescent="0.3">
      <c r="B7" s="6" t="s">
        <v>37</v>
      </c>
      <c r="C7" s="22"/>
      <c r="D7" s="22"/>
      <c r="E7" s="22"/>
      <c r="F7" s="22"/>
      <c r="G7" s="22"/>
      <c r="H7" s="67">
        <f t="shared" si="0"/>
        <v>44237</v>
      </c>
    </row>
    <row r="8" spans="2:11" x14ac:dyDescent="0.3">
      <c r="B8" s="6" t="s">
        <v>17</v>
      </c>
      <c r="C8" s="22"/>
      <c r="D8" s="22">
        <v>216000</v>
      </c>
      <c r="E8" s="22"/>
      <c r="F8" s="22">
        <v>108000</v>
      </c>
      <c r="G8" s="22"/>
      <c r="H8" s="12">
        <f t="shared" si="0"/>
        <v>44237</v>
      </c>
    </row>
    <row r="9" spans="2:11" ht="15.6" x14ac:dyDescent="0.3">
      <c r="B9" s="34" t="s">
        <v>0</v>
      </c>
      <c r="C9" s="60">
        <v>1345500</v>
      </c>
      <c r="D9" s="60"/>
      <c r="E9" s="60"/>
      <c r="F9" s="60"/>
      <c r="G9" s="61"/>
      <c r="H9" s="12">
        <f t="shared" si="0"/>
        <v>44237</v>
      </c>
    </row>
    <row r="10" spans="2:11" x14ac:dyDescent="0.3">
      <c r="B10" s="6" t="s">
        <v>25</v>
      </c>
      <c r="C10" s="22"/>
      <c r="D10" s="22">
        <v>207500</v>
      </c>
      <c r="E10" s="22"/>
      <c r="F10" s="22">
        <v>108000</v>
      </c>
      <c r="G10" s="22">
        <v>270000</v>
      </c>
      <c r="H10" s="12">
        <f t="shared" si="0"/>
        <v>44237</v>
      </c>
    </row>
    <row r="11" spans="2:11" x14ac:dyDescent="0.3">
      <c r="B11" s="6" t="s">
        <v>15</v>
      </c>
      <c r="C11" s="22"/>
      <c r="D11" s="22">
        <v>261000</v>
      </c>
      <c r="E11" s="22"/>
      <c r="F11" s="48">
        <v>54000</v>
      </c>
      <c r="G11" s="22"/>
      <c r="H11" s="12">
        <f t="shared" si="0"/>
        <v>44237</v>
      </c>
    </row>
    <row r="12" spans="2:11" x14ac:dyDescent="0.3">
      <c r="B12" s="6" t="s">
        <v>26</v>
      </c>
      <c r="C12" s="22"/>
      <c r="D12" s="22">
        <v>146500</v>
      </c>
      <c r="E12" s="22"/>
      <c r="F12" s="22">
        <v>54000</v>
      </c>
      <c r="G12" s="22"/>
      <c r="H12" s="12">
        <f t="shared" si="0"/>
        <v>44237</v>
      </c>
    </row>
    <row r="13" spans="2:11" x14ac:dyDescent="0.3">
      <c r="B13" s="6" t="s">
        <v>22</v>
      </c>
      <c r="C13" s="23"/>
      <c r="D13" s="23">
        <v>108000</v>
      </c>
      <c r="E13" s="23"/>
      <c r="F13" s="22"/>
      <c r="G13" s="23"/>
      <c r="H13" s="12">
        <f t="shared" si="0"/>
        <v>44237</v>
      </c>
      <c r="K13" s="4"/>
    </row>
    <row r="14" spans="2:11" x14ac:dyDescent="0.3">
      <c r="B14" s="6" t="s">
        <v>19</v>
      </c>
      <c r="C14" s="22">
        <v>108000</v>
      </c>
      <c r="D14" s="22"/>
      <c r="E14" s="22"/>
      <c r="F14" s="22">
        <v>54000</v>
      </c>
      <c r="G14" s="22"/>
      <c r="H14" s="12">
        <f t="shared" si="0"/>
        <v>44237</v>
      </c>
    </row>
    <row r="15" spans="2:11" x14ac:dyDescent="0.3">
      <c r="B15" s="6" t="s">
        <v>14</v>
      </c>
      <c r="C15" s="22">
        <v>320000</v>
      </c>
      <c r="D15" s="22">
        <v>373500</v>
      </c>
      <c r="E15" s="22"/>
      <c r="F15" s="22">
        <v>108000</v>
      </c>
      <c r="G15" s="22"/>
      <c r="H15" s="12">
        <f t="shared" si="0"/>
        <v>44237</v>
      </c>
    </row>
    <row r="16" spans="2:11" x14ac:dyDescent="0.3">
      <c r="B16" s="6" t="s">
        <v>24</v>
      </c>
      <c r="C16" s="22">
        <v>378000</v>
      </c>
      <c r="D16" s="22">
        <v>216000</v>
      </c>
      <c r="E16" s="22"/>
      <c r="F16" s="49"/>
      <c r="G16" s="22"/>
      <c r="H16" s="12">
        <f t="shared" si="0"/>
        <v>44237</v>
      </c>
    </row>
    <row r="17" spans="1:8" x14ac:dyDescent="0.3">
      <c r="B17" s="6" t="s">
        <v>21</v>
      </c>
      <c r="C17" s="22"/>
      <c r="D17" s="22"/>
      <c r="E17" s="22"/>
      <c r="F17" s="22"/>
      <c r="G17" s="22"/>
      <c r="H17" s="12">
        <f t="shared" si="0"/>
        <v>44237</v>
      </c>
    </row>
    <row r="18" spans="1:8" x14ac:dyDescent="0.3">
      <c r="B18" s="6" t="s">
        <v>18</v>
      </c>
      <c r="C18" s="22"/>
      <c r="D18" s="22">
        <v>162000</v>
      </c>
      <c r="E18" s="22"/>
      <c r="F18" s="22">
        <v>153000</v>
      </c>
      <c r="G18" s="22"/>
      <c r="H18" s="12">
        <f t="shared" si="0"/>
        <v>44237</v>
      </c>
    </row>
    <row r="19" spans="1:8" x14ac:dyDescent="0.3">
      <c r="B19" s="6" t="s">
        <v>16</v>
      </c>
      <c r="C19" s="22">
        <v>216000</v>
      </c>
      <c r="D19" s="22">
        <v>157500</v>
      </c>
      <c r="E19" s="22"/>
      <c r="F19" s="22">
        <v>54000</v>
      </c>
      <c r="G19" s="22"/>
      <c r="H19" s="12">
        <f t="shared" si="0"/>
        <v>44237</v>
      </c>
    </row>
    <row r="20" spans="1:8" x14ac:dyDescent="0.3">
      <c r="B20" s="50" t="s">
        <v>27</v>
      </c>
      <c r="C20" s="51">
        <f>SUM(February10_2021[KSI_AGO])</f>
        <v>2367500</v>
      </c>
      <c r="D20" s="51">
        <f>SUBTOTAL(109,February10_2021[KSI_PMS])</f>
        <v>1848000</v>
      </c>
      <c r="E20" s="51">
        <f>SUM(February10_2021[BUIPE_AGO])</f>
        <v>0</v>
      </c>
      <c r="F20" s="51">
        <f>SUM(February10_2021[BUIPE_PMS])</f>
        <v>693000</v>
      </c>
      <c r="G20" s="51">
        <f>SUM(February10_2021[AKOSOMBO_AGO])</f>
        <v>270000</v>
      </c>
      <c r="H20" s="52"/>
    </row>
    <row r="21" spans="1:8" x14ac:dyDescent="0.3">
      <c r="B21" s="8"/>
      <c r="C21" s="24"/>
      <c r="D21" s="24"/>
      <c r="E21" s="24"/>
      <c r="F21" s="24"/>
      <c r="G21" s="24"/>
      <c r="H21"/>
    </row>
    <row r="22" spans="1:8" x14ac:dyDescent="0.3">
      <c r="B22" s="1" t="s">
        <v>6</v>
      </c>
      <c r="C22" s="1" t="s">
        <v>4</v>
      </c>
      <c r="D22" s="5">
        <f>SUMIF(February10_2021[[#Headers],[KSI_AGO]:[AKOSOMBO_AGO]],"*"&amp;C22,February10_2021[[#Totals],[KSI_AGO]:[AKOSOMBO_AGO]])</f>
        <v>2637500</v>
      </c>
      <c r="E22" s="1" t="s">
        <v>5</v>
      </c>
      <c r="F22" s="5">
        <f>SUMIF(February10_2021[[#Headers],[KSI_AGO]:[AKOSOMBO_AGO]],"*"&amp;E22,February10_2021[[#Totals],[KSI_AGO]:[AKOSOMBO_AGO]])</f>
        <v>2541000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4A4C336B-5BA1-451C-B578-970157E2D81D}">
      <formula1>INDIRECT("BDC_List[BDC List]")</formula1>
    </dataValidation>
  </dataValidations>
  <pageMargins left="0.7" right="0.7" top="0.75" bottom="0.75" header="0.3" footer="0.3"/>
  <tableParts count="1">
    <tablePart r:id="rId1"/>
  </tableParts>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F880-6BC8-4ED3-AE2B-96F9A909B6E0}">
  <sheetPr codeName="Sheet287"/>
  <dimension ref="A1:K32"/>
  <sheetViews>
    <sheetView workbookViewId="0">
      <selection activeCell="D10" sqref="D10"/>
    </sheetView>
  </sheetViews>
  <sheetFormatPr defaultColWidth="9.109375" defaultRowHeight="14.4" x14ac:dyDescent="0.3"/>
  <cols>
    <col min="1" max="1" width="6.88671875" style="1" customWidth="1"/>
    <col min="2" max="2" width="27.5546875" style="1" customWidth="1"/>
    <col min="3" max="3" width="13.8867187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44238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44238</v>
      </c>
    </row>
    <row r="7" spans="2:11" ht="16.5" customHeight="1" x14ac:dyDescent="0.3">
      <c r="B7" s="6" t="s">
        <v>37</v>
      </c>
      <c r="C7" s="22"/>
      <c r="D7" s="22"/>
      <c r="E7" s="22"/>
      <c r="F7" s="22"/>
      <c r="G7" s="22"/>
      <c r="H7" s="67">
        <f t="shared" si="0"/>
        <v>44238</v>
      </c>
    </row>
    <row r="8" spans="2:11" x14ac:dyDescent="0.3">
      <c r="B8" s="6" t="s">
        <v>17</v>
      </c>
      <c r="C8" s="22"/>
      <c r="D8" s="22"/>
      <c r="E8" s="22"/>
      <c r="F8" s="22">
        <v>108000</v>
      </c>
      <c r="G8" s="22"/>
      <c r="H8" s="12">
        <f t="shared" si="0"/>
        <v>44238</v>
      </c>
    </row>
    <row r="9" spans="2:11" ht="15.6" x14ac:dyDescent="0.3">
      <c r="B9" s="34" t="s">
        <v>0</v>
      </c>
      <c r="C9" s="60">
        <v>644000</v>
      </c>
      <c r="D9" s="60"/>
      <c r="E9" s="60"/>
      <c r="F9" s="60"/>
      <c r="G9" s="61"/>
      <c r="H9" s="12">
        <f t="shared" si="0"/>
        <v>44238</v>
      </c>
    </row>
    <row r="10" spans="2:11" x14ac:dyDescent="0.3">
      <c r="B10" s="6" t="s">
        <v>25</v>
      </c>
      <c r="C10" s="22">
        <v>324000</v>
      </c>
      <c r="D10" s="22">
        <v>162000</v>
      </c>
      <c r="E10" s="22"/>
      <c r="F10" s="22">
        <v>54000</v>
      </c>
      <c r="G10" s="22">
        <v>486000</v>
      </c>
      <c r="H10" s="12">
        <f t="shared" si="0"/>
        <v>44238</v>
      </c>
    </row>
    <row r="11" spans="2:11" x14ac:dyDescent="0.3">
      <c r="B11" s="6" t="s">
        <v>15</v>
      </c>
      <c r="C11" s="22"/>
      <c r="D11" s="22">
        <v>216000</v>
      </c>
      <c r="E11" s="22"/>
      <c r="F11" s="48">
        <v>162000</v>
      </c>
      <c r="G11" s="22"/>
      <c r="H11" s="12">
        <f t="shared" si="0"/>
        <v>44238</v>
      </c>
    </row>
    <row r="12" spans="2:11" x14ac:dyDescent="0.3">
      <c r="B12" s="6" t="s">
        <v>26</v>
      </c>
      <c r="C12" s="22"/>
      <c r="D12" s="22">
        <v>211500</v>
      </c>
      <c r="E12" s="22"/>
      <c r="F12" s="22"/>
      <c r="G12" s="22"/>
      <c r="H12" s="12">
        <f t="shared" si="0"/>
        <v>44238</v>
      </c>
    </row>
    <row r="13" spans="2:11" x14ac:dyDescent="0.3">
      <c r="B13" s="6" t="s">
        <v>22</v>
      </c>
      <c r="C13" s="23"/>
      <c r="D13" s="23">
        <v>162000</v>
      </c>
      <c r="E13" s="23"/>
      <c r="F13" s="22"/>
      <c r="G13" s="23"/>
      <c r="H13" s="12">
        <f t="shared" si="0"/>
        <v>44238</v>
      </c>
      <c r="K13" s="4"/>
    </row>
    <row r="14" spans="2:11" x14ac:dyDescent="0.3">
      <c r="B14" s="6" t="s">
        <v>19</v>
      </c>
      <c r="C14" s="22"/>
      <c r="D14" s="22">
        <v>108000</v>
      </c>
      <c r="E14" s="22"/>
      <c r="F14" s="22">
        <v>162000</v>
      </c>
      <c r="G14" s="22"/>
      <c r="H14" s="12">
        <f t="shared" si="0"/>
        <v>44238</v>
      </c>
    </row>
    <row r="15" spans="2:11" x14ac:dyDescent="0.3">
      <c r="B15" s="6" t="s">
        <v>14</v>
      </c>
      <c r="C15" s="22">
        <v>54000</v>
      </c>
      <c r="D15" s="22">
        <v>270000</v>
      </c>
      <c r="E15" s="22"/>
      <c r="F15" s="22">
        <v>216000</v>
      </c>
      <c r="G15" s="22"/>
      <c r="H15" s="12">
        <f t="shared" si="0"/>
        <v>44238</v>
      </c>
    </row>
    <row r="16" spans="2:11" x14ac:dyDescent="0.3">
      <c r="B16" s="6" t="s">
        <v>24</v>
      </c>
      <c r="C16" s="22"/>
      <c r="D16" s="22">
        <v>108000</v>
      </c>
      <c r="E16" s="22"/>
      <c r="F16" s="49"/>
      <c r="G16" s="22"/>
      <c r="H16" s="12">
        <f t="shared" si="0"/>
        <v>44238</v>
      </c>
    </row>
    <row r="17" spans="1:8" x14ac:dyDescent="0.3">
      <c r="B17" s="6" t="s">
        <v>21</v>
      </c>
      <c r="C17" s="22"/>
      <c r="D17" s="22"/>
      <c r="E17" s="22"/>
      <c r="F17" s="22"/>
      <c r="G17" s="22"/>
      <c r="H17" s="12">
        <f t="shared" si="0"/>
        <v>44238</v>
      </c>
    </row>
    <row r="18" spans="1:8" x14ac:dyDescent="0.3">
      <c r="B18" s="6" t="s">
        <v>18</v>
      </c>
      <c r="C18" s="22"/>
      <c r="D18" s="22">
        <v>108000</v>
      </c>
      <c r="E18" s="22"/>
      <c r="F18" s="22">
        <v>54000</v>
      </c>
      <c r="G18" s="22"/>
      <c r="H18" s="12">
        <f t="shared" si="0"/>
        <v>44238</v>
      </c>
    </row>
    <row r="19" spans="1:8" x14ac:dyDescent="0.3">
      <c r="B19" s="6" t="s">
        <v>16</v>
      </c>
      <c r="C19" s="22"/>
      <c r="D19" s="22">
        <v>108000</v>
      </c>
      <c r="E19" s="22"/>
      <c r="F19" s="22"/>
      <c r="G19" s="22"/>
      <c r="H19" s="12">
        <f t="shared" si="0"/>
        <v>44238</v>
      </c>
    </row>
    <row r="20" spans="1:8" x14ac:dyDescent="0.3">
      <c r="B20" s="50" t="s">
        <v>27</v>
      </c>
      <c r="C20" s="51">
        <f>SUM(February11_2021[KSI_AGO])</f>
        <v>1022000</v>
      </c>
      <c r="D20" s="51">
        <f>SUBTOTAL(109,February11_2021[KSI_PMS])</f>
        <v>1453500</v>
      </c>
      <c r="E20" s="51">
        <f>SUM(February11_2021[BUIPE_AGO])</f>
        <v>0</v>
      </c>
      <c r="F20" s="51">
        <f>SUM(February11_2021[BUIPE_PMS])</f>
        <v>756000</v>
      </c>
      <c r="G20" s="51">
        <f>SUM(February11_2021[AKOSOMBO_AGO])</f>
        <v>486000</v>
      </c>
      <c r="H20" s="52"/>
    </row>
    <row r="21" spans="1:8" x14ac:dyDescent="0.3">
      <c r="B21" s="8"/>
      <c r="C21" s="24"/>
      <c r="D21" s="24"/>
      <c r="E21" s="24"/>
      <c r="F21" s="24"/>
      <c r="G21" s="24"/>
      <c r="H21"/>
    </row>
    <row r="22" spans="1:8" x14ac:dyDescent="0.3">
      <c r="B22" s="1" t="s">
        <v>6</v>
      </c>
      <c r="C22" s="1" t="s">
        <v>4</v>
      </c>
      <c r="D22" s="5">
        <f>SUMIF(February11_2021[[#Headers],[KSI_AGO]:[AKOSOMBO_AGO]],"*"&amp;C22,February11_2021[[#Totals],[KSI_AGO]:[AKOSOMBO_AGO]])</f>
        <v>1508000</v>
      </c>
      <c r="E22" s="1" t="s">
        <v>5</v>
      </c>
      <c r="F22" s="5">
        <f>SUMIF(February11_2021[[#Headers],[KSI_AGO]:[AKOSOMBO_AGO]],"*"&amp;E22,February11_2021[[#Totals],[KSI_AGO]:[AKOSOMBO_AGO]])</f>
        <v>2209500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54146A62-72FF-482D-BCFB-ECFB73ED9037}">
      <formula1>INDIRECT("BDC_List[BDC List]")</formula1>
    </dataValidation>
  </dataValidations>
  <pageMargins left="0.7" right="0.7" top="0.75" bottom="0.75" header="0.3" footer="0.3"/>
  <tableParts count="1">
    <tablePart r:id="rId1"/>
  </tableParts>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854C6-728B-4FF7-99B5-1E88B3C38DC5}">
  <sheetPr codeName="Sheet288"/>
  <dimension ref="A1:K32"/>
  <sheetViews>
    <sheetView workbookViewId="0">
      <selection activeCell="B15" sqref="B15"/>
    </sheetView>
  </sheetViews>
  <sheetFormatPr defaultColWidth="9.109375" defaultRowHeight="14.4" x14ac:dyDescent="0.3"/>
  <cols>
    <col min="1" max="1" width="6.88671875" style="1" customWidth="1"/>
    <col min="2" max="2" width="27.5546875" style="1" customWidth="1"/>
    <col min="3" max="3" width="13.8867187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44239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44239</v>
      </c>
    </row>
    <row r="7" spans="2:11" ht="16.5" customHeight="1" x14ac:dyDescent="0.3">
      <c r="B7" s="6" t="s">
        <v>37</v>
      </c>
      <c r="C7" s="22"/>
      <c r="D7" s="22">
        <v>162000</v>
      </c>
      <c r="E7" s="22"/>
      <c r="F7" s="22"/>
      <c r="G7" s="22"/>
      <c r="H7" s="67">
        <f t="shared" si="0"/>
        <v>44239</v>
      </c>
    </row>
    <row r="8" spans="2:11" x14ac:dyDescent="0.3">
      <c r="B8" s="6" t="s">
        <v>17</v>
      </c>
      <c r="C8" s="22">
        <v>378000</v>
      </c>
      <c r="D8" s="22">
        <v>162000</v>
      </c>
      <c r="E8" s="22">
        <v>324000</v>
      </c>
      <c r="F8" s="22">
        <v>45000</v>
      </c>
      <c r="G8" s="22"/>
      <c r="H8" s="12">
        <f t="shared" si="0"/>
        <v>44239</v>
      </c>
    </row>
    <row r="9" spans="2:11" ht="15.6" x14ac:dyDescent="0.3">
      <c r="B9" s="34" t="s">
        <v>0</v>
      </c>
      <c r="C9" s="60">
        <v>756000</v>
      </c>
      <c r="D9" s="60"/>
      <c r="E9" s="60"/>
      <c r="F9" s="60"/>
      <c r="G9" s="61"/>
      <c r="H9" s="12">
        <f t="shared" si="0"/>
        <v>44239</v>
      </c>
    </row>
    <row r="10" spans="2:11" x14ac:dyDescent="0.3">
      <c r="B10" s="6" t="s">
        <v>25</v>
      </c>
      <c r="C10" s="22">
        <v>153000</v>
      </c>
      <c r="D10" s="22">
        <v>45000</v>
      </c>
      <c r="E10" s="22"/>
      <c r="F10" s="22">
        <v>54000</v>
      </c>
      <c r="G10" s="22">
        <v>154000</v>
      </c>
      <c r="H10" s="12">
        <f t="shared" si="0"/>
        <v>44239</v>
      </c>
    </row>
    <row r="11" spans="2:11" x14ac:dyDescent="0.3">
      <c r="B11" s="6" t="s">
        <v>15</v>
      </c>
      <c r="C11" s="22"/>
      <c r="D11" s="22">
        <v>216000</v>
      </c>
      <c r="E11" s="22"/>
      <c r="F11" s="48">
        <v>108000</v>
      </c>
      <c r="G11" s="22"/>
      <c r="H11" s="12">
        <f t="shared" si="0"/>
        <v>44239</v>
      </c>
    </row>
    <row r="12" spans="2:11" x14ac:dyDescent="0.3">
      <c r="B12" s="6" t="s">
        <v>26</v>
      </c>
      <c r="C12" s="22"/>
      <c r="D12" s="22">
        <v>157500</v>
      </c>
      <c r="E12" s="22"/>
      <c r="F12" s="22">
        <v>45000</v>
      </c>
      <c r="G12" s="22"/>
      <c r="H12" s="12">
        <f t="shared" si="0"/>
        <v>44239</v>
      </c>
    </row>
    <row r="13" spans="2:11" x14ac:dyDescent="0.3">
      <c r="B13" s="6" t="s">
        <v>22</v>
      </c>
      <c r="C13" s="23"/>
      <c r="D13" s="23">
        <v>144000</v>
      </c>
      <c r="E13" s="23"/>
      <c r="F13" s="22"/>
      <c r="G13" s="23"/>
      <c r="H13" s="12">
        <f t="shared" si="0"/>
        <v>44239</v>
      </c>
      <c r="K13" s="4"/>
    </row>
    <row r="14" spans="2:11" x14ac:dyDescent="0.3">
      <c r="B14" s="6" t="s">
        <v>19</v>
      </c>
      <c r="C14" s="22">
        <v>265500</v>
      </c>
      <c r="D14" s="22">
        <v>301500</v>
      </c>
      <c r="E14" s="22">
        <v>752000</v>
      </c>
      <c r="F14" s="22"/>
      <c r="G14" s="22">
        <v>270000</v>
      </c>
      <c r="H14" s="12">
        <f t="shared" si="0"/>
        <v>44239</v>
      </c>
    </row>
    <row r="15" spans="2:11" x14ac:dyDescent="0.3">
      <c r="B15" s="6" t="s">
        <v>14</v>
      </c>
      <c r="C15" s="22"/>
      <c r="D15" s="22">
        <v>211500</v>
      </c>
      <c r="E15" s="22"/>
      <c r="F15" s="22">
        <v>162000</v>
      </c>
      <c r="G15" s="22"/>
      <c r="H15" s="12">
        <f t="shared" si="0"/>
        <v>44239</v>
      </c>
    </row>
    <row r="16" spans="2:11" x14ac:dyDescent="0.3">
      <c r="B16" s="6" t="s">
        <v>24</v>
      </c>
      <c r="C16" s="22"/>
      <c r="D16" s="22">
        <v>153000</v>
      </c>
      <c r="E16" s="22"/>
      <c r="F16" s="49"/>
      <c r="G16" s="22"/>
      <c r="H16" s="12">
        <f t="shared" si="0"/>
        <v>44239</v>
      </c>
    </row>
    <row r="17" spans="1:8" x14ac:dyDescent="0.3">
      <c r="B17" s="6" t="s">
        <v>21</v>
      </c>
      <c r="C17" s="22"/>
      <c r="D17" s="22">
        <v>162000</v>
      </c>
      <c r="E17" s="22"/>
      <c r="F17" s="22"/>
      <c r="G17" s="22"/>
      <c r="H17" s="12">
        <f t="shared" si="0"/>
        <v>44239</v>
      </c>
    </row>
    <row r="18" spans="1:8" x14ac:dyDescent="0.3">
      <c r="B18" s="6" t="s">
        <v>18</v>
      </c>
      <c r="C18" s="22"/>
      <c r="D18" s="22">
        <v>54000</v>
      </c>
      <c r="E18" s="22"/>
      <c r="F18" s="22">
        <v>108000</v>
      </c>
      <c r="G18" s="22"/>
      <c r="H18" s="12">
        <f t="shared" si="0"/>
        <v>44239</v>
      </c>
    </row>
    <row r="19" spans="1:8" x14ac:dyDescent="0.3">
      <c r="B19" s="6" t="s">
        <v>16</v>
      </c>
      <c r="C19" s="22"/>
      <c r="D19" s="22"/>
      <c r="E19" s="22"/>
      <c r="F19" s="22"/>
      <c r="G19" s="22"/>
      <c r="H19" s="12">
        <f t="shared" si="0"/>
        <v>44239</v>
      </c>
    </row>
    <row r="20" spans="1:8" x14ac:dyDescent="0.3">
      <c r="B20" s="50" t="s">
        <v>27</v>
      </c>
      <c r="C20" s="51">
        <f>SUM(February12_2021[KSI_AGO])</f>
        <v>1552500</v>
      </c>
      <c r="D20" s="51">
        <f>SUBTOTAL(109,February12_2021[KSI_PMS])</f>
        <v>1768500</v>
      </c>
      <c r="E20" s="51">
        <f>SUM(February12_2021[BUIPE_AGO])</f>
        <v>1076000</v>
      </c>
      <c r="F20" s="51">
        <f>SUM(February12_2021[BUIPE_PMS])</f>
        <v>522000</v>
      </c>
      <c r="G20" s="51">
        <f>SUM(February12_2021[AKOSOMBO_AGO])</f>
        <v>424000</v>
      </c>
      <c r="H20" s="52"/>
    </row>
    <row r="21" spans="1:8" x14ac:dyDescent="0.3">
      <c r="B21" s="8"/>
      <c r="C21" s="24"/>
      <c r="D21" s="24"/>
      <c r="E21" s="24"/>
      <c r="F21" s="24"/>
      <c r="G21" s="24"/>
      <c r="H21"/>
    </row>
    <row r="22" spans="1:8" x14ac:dyDescent="0.3">
      <c r="B22" s="1" t="s">
        <v>6</v>
      </c>
      <c r="C22" s="1" t="s">
        <v>4</v>
      </c>
      <c r="D22" s="5">
        <f>SUMIF(February12_2021[[#Headers],[KSI_AGO]:[AKOSOMBO_AGO]],"*"&amp;C22,February12_2021[[#Totals],[KSI_AGO]:[AKOSOMBO_AGO]])</f>
        <v>3052500</v>
      </c>
      <c r="E22" s="1" t="s">
        <v>5</v>
      </c>
      <c r="F22" s="5">
        <f>SUMIF(February12_2021[[#Headers],[KSI_AGO]:[AKOSOMBO_AGO]],"*"&amp;E22,February12_2021[[#Totals],[KSI_AGO]:[AKOSOMBO_AGO]])</f>
        <v>2290500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BD2539C9-C4FF-4116-BDA5-930FF7EE7A2D}">
      <formula1>INDIRECT("BDC_List[BDC List]")</formula1>
    </dataValidation>
  </dataValidations>
  <pageMargins left="0.7" right="0.7" top="0.75" bottom="0.75" header="0.3" footer="0.3"/>
  <tableParts count="1">
    <tablePart r:id="rId1"/>
  </tableParts>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CF931-5B7A-41B2-9C98-23A9F2D23698}">
  <sheetPr codeName="Sheet289"/>
  <dimension ref="A1:K32"/>
  <sheetViews>
    <sheetView workbookViewId="0">
      <selection activeCell="B26" sqref="B26"/>
    </sheetView>
  </sheetViews>
  <sheetFormatPr defaultColWidth="9.109375" defaultRowHeight="14.4" x14ac:dyDescent="0.3"/>
  <cols>
    <col min="1" max="1" width="6.88671875" style="1" customWidth="1"/>
    <col min="2" max="2" width="27.5546875" style="1" customWidth="1"/>
    <col min="3" max="3" width="13.8867187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44240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44240</v>
      </c>
    </row>
    <row r="7" spans="2:11" ht="16.5" customHeight="1" x14ac:dyDescent="0.3">
      <c r="B7" s="6" t="s">
        <v>37</v>
      </c>
      <c r="C7" s="22"/>
      <c r="D7" s="22">
        <v>158000</v>
      </c>
      <c r="E7" s="22"/>
      <c r="F7" s="22"/>
      <c r="G7" s="22"/>
      <c r="H7" s="67">
        <f t="shared" si="0"/>
        <v>44240</v>
      </c>
    </row>
    <row r="8" spans="2:11" x14ac:dyDescent="0.3">
      <c r="B8" s="6" t="s">
        <v>17</v>
      </c>
      <c r="C8" s="22">
        <v>365000</v>
      </c>
      <c r="D8" s="22">
        <v>216000</v>
      </c>
      <c r="E8" s="22">
        <v>108000</v>
      </c>
      <c r="F8" s="22"/>
      <c r="G8" s="22"/>
      <c r="H8" s="12">
        <f t="shared" si="0"/>
        <v>44240</v>
      </c>
    </row>
    <row r="9" spans="2:11" ht="15.6" x14ac:dyDescent="0.3">
      <c r="B9" s="34" t="s">
        <v>0</v>
      </c>
      <c r="C9" s="60">
        <v>540000</v>
      </c>
      <c r="D9" s="60"/>
      <c r="E9" s="60"/>
      <c r="F9" s="60"/>
      <c r="G9" s="61"/>
      <c r="H9" s="12">
        <f t="shared" si="0"/>
        <v>44240</v>
      </c>
    </row>
    <row r="10" spans="2:11" x14ac:dyDescent="0.3">
      <c r="B10" s="6" t="s">
        <v>25</v>
      </c>
      <c r="C10" s="22">
        <v>270000</v>
      </c>
      <c r="D10" s="22">
        <v>208000</v>
      </c>
      <c r="E10" s="22"/>
      <c r="F10" s="22">
        <v>54000</v>
      </c>
      <c r="G10" s="22"/>
      <c r="H10" s="12">
        <f t="shared" si="0"/>
        <v>44240</v>
      </c>
    </row>
    <row r="11" spans="2:11" x14ac:dyDescent="0.3">
      <c r="B11" s="6" t="s">
        <v>15</v>
      </c>
      <c r="C11" s="22"/>
      <c r="D11" s="22">
        <v>151000</v>
      </c>
      <c r="E11" s="22"/>
      <c r="F11" s="48">
        <v>108000</v>
      </c>
      <c r="G11" s="22"/>
      <c r="H11" s="12">
        <f t="shared" si="0"/>
        <v>44240</v>
      </c>
    </row>
    <row r="12" spans="2:11" x14ac:dyDescent="0.3">
      <c r="B12" s="6" t="s">
        <v>26</v>
      </c>
      <c r="C12" s="22"/>
      <c r="D12" s="22">
        <v>208000</v>
      </c>
      <c r="E12" s="22"/>
      <c r="F12" s="22">
        <v>54000</v>
      </c>
      <c r="G12" s="22"/>
      <c r="H12" s="12">
        <f t="shared" si="0"/>
        <v>44240</v>
      </c>
    </row>
    <row r="13" spans="2:11" x14ac:dyDescent="0.3">
      <c r="B13" s="6" t="s">
        <v>22</v>
      </c>
      <c r="C13" s="23"/>
      <c r="D13" s="23"/>
      <c r="E13" s="23"/>
      <c r="F13" s="22"/>
      <c r="G13" s="23"/>
      <c r="H13" s="12">
        <f t="shared" si="0"/>
        <v>44240</v>
      </c>
      <c r="K13" s="4"/>
    </row>
    <row r="14" spans="2:11" x14ac:dyDescent="0.3">
      <c r="B14" s="6" t="s">
        <v>19</v>
      </c>
      <c r="C14" s="22">
        <v>319500</v>
      </c>
      <c r="D14" s="22">
        <v>108000</v>
      </c>
      <c r="E14" s="22">
        <v>248000</v>
      </c>
      <c r="F14" s="22">
        <v>108000</v>
      </c>
      <c r="G14" s="22">
        <v>216000</v>
      </c>
      <c r="H14" s="12">
        <f t="shared" si="0"/>
        <v>44240</v>
      </c>
    </row>
    <row r="15" spans="2:11" x14ac:dyDescent="0.3">
      <c r="B15" s="6" t="s">
        <v>14</v>
      </c>
      <c r="C15" s="22"/>
      <c r="D15" s="22">
        <v>266000</v>
      </c>
      <c r="E15" s="22"/>
      <c r="F15" s="22">
        <v>54000</v>
      </c>
      <c r="G15" s="22"/>
      <c r="H15" s="12">
        <f t="shared" si="0"/>
        <v>44240</v>
      </c>
    </row>
    <row r="16" spans="2:11" x14ac:dyDescent="0.3">
      <c r="B16" s="6" t="s">
        <v>24</v>
      </c>
      <c r="C16" s="22">
        <v>307000</v>
      </c>
      <c r="D16" s="22">
        <v>162000</v>
      </c>
      <c r="E16" s="22"/>
      <c r="F16" s="49"/>
      <c r="G16" s="22"/>
      <c r="H16" s="12">
        <f t="shared" si="0"/>
        <v>44240</v>
      </c>
    </row>
    <row r="17" spans="1:8" x14ac:dyDescent="0.3">
      <c r="B17" s="6" t="s">
        <v>21</v>
      </c>
      <c r="C17" s="22"/>
      <c r="D17" s="22"/>
      <c r="E17" s="22"/>
      <c r="F17" s="22"/>
      <c r="G17" s="22"/>
      <c r="H17" s="12">
        <f t="shared" si="0"/>
        <v>44240</v>
      </c>
    </row>
    <row r="18" spans="1:8" x14ac:dyDescent="0.3">
      <c r="B18" s="6" t="s">
        <v>18</v>
      </c>
      <c r="C18" s="22"/>
      <c r="D18" s="22">
        <v>162000</v>
      </c>
      <c r="E18" s="22"/>
      <c r="F18" s="22">
        <v>108000</v>
      </c>
      <c r="G18" s="22"/>
      <c r="H18" s="12">
        <f t="shared" si="0"/>
        <v>44240</v>
      </c>
    </row>
    <row r="19" spans="1:8" x14ac:dyDescent="0.3">
      <c r="B19" s="6" t="s">
        <v>16</v>
      </c>
      <c r="C19" s="22"/>
      <c r="D19" s="22"/>
      <c r="E19" s="22"/>
      <c r="F19" s="22"/>
      <c r="G19" s="22"/>
      <c r="H19" s="12">
        <f t="shared" si="0"/>
        <v>44240</v>
      </c>
    </row>
    <row r="20" spans="1:8" x14ac:dyDescent="0.3">
      <c r="B20" s="50" t="s">
        <v>27</v>
      </c>
      <c r="C20" s="51">
        <f>SUM(February13_2021[KSI_AGO])</f>
        <v>1801500</v>
      </c>
      <c r="D20" s="51">
        <f>SUBTOTAL(109,February13_2021[KSI_PMS])</f>
        <v>1639000</v>
      </c>
      <c r="E20" s="51">
        <f>SUM(February13_2021[BUIPE_AGO])</f>
        <v>356000</v>
      </c>
      <c r="F20" s="51">
        <f>SUM(February13_2021[BUIPE_PMS])</f>
        <v>486000</v>
      </c>
      <c r="G20" s="51">
        <f>SUM(February13_2021[AKOSOMBO_AGO])</f>
        <v>216000</v>
      </c>
      <c r="H20" s="52"/>
    </row>
    <row r="21" spans="1:8" x14ac:dyDescent="0.3">
      <c r="B21" s="8"/>
      <c r="C21" s="24"/>
      <c r="D21" s="24"/>
      <c r="E21" s="24"/>
      <c r="F21" s="24"/>
      <c r="G21" s="24"/>
      <c r="H21"/>
    </row>
    <row r="22" spans="1:8" x14ac:dyDescent="0.3">
      <c r="B22" s="1" t="s">
        <v>6</v>
      </c>
      <c r="C22" s="1" t="s">
        <v>4</v>
      </c>
      <c r="D22" s="5">
        <f>SUMIF(February13_2021[[#Headers],[KSI_AGO]:[AKOSOMBO_AGO]],"*"&amp;C22,February13_2021[[#Totals],[KSI_AGO]:[AKOSOMBO_AGO]])</f>
        <v>2373500</v>
      </c>
      <c r="E22" s="1" t="s">
        <v>5</v>
      </c>
      <c r="F22" s="5">
        <f>SUMIF(February13_2021[[#Headers],[KSI_AGO]:[AKOSOMBO_AGO]],"*"&amp;E22,February13_2021[[#Totals],[KSI_AGO]:[AKOSOMBO_AGO]])</f>
        <v>2125000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6A767DE3-3236-4680-8652-1FACD4D25CAF}">
      <formula1>INDIRECT("BDC_List[BDC List]")</formula1>
    </dataValidation>
  </dataValidations>
  <pageMargins left="0.7" right="0.7" top="0.75" bottom="0.75" header="0.3" footer="0.3"/>
  <tableParts count="1">
    <tablePart r:id="rId1"/>
  </tableParts>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7E1DB-CA15-41FC-AC1B-A54B4A415B87}">
  <sheetPr codeName="Sheet290"/>
  <dimension ref="A1:K32"/>
  <sheetViews>
    <sheetView workbookViewId="0">
      <selection activeCell="B11" sqref="B11"/>
    </sheetView>
  </sheetViews>
  <sheetFormatPr defaultColWidth="9.109375" defaultRowHeight="14.4" x14ac:dyDescent="0.3"/>
  <cols>
    <col min="1" max="1" width="6.88671875" style="1" customWidth="1"/>
    <col min="2" max="2" width="27.5546875" style="1" customWidth="1"/>
    <col min="3" max="3" width="13.8867187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44242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44242</v>
      </c>
    </row>
    <row r="7" spans="2:11" ht="16.5" customHeight="1" x14ac:dyDescent="0.3">
      <c r="B7" s="6" t="s">
        <v>37</v>
      </c>
      <c r="C7" s="22"/>
      <c r="D7" s="22">
        <v>148500</v>
      </c>
      <c r="E7" s="22"/>
      <c r="F7" s="22"/>
      <c r="G7" s="22"/>
      <c r="H7" s="67">
        <f t="shared" si="0"/>
        <v>44242</v>
      </c>
    </row>
    <row r="8" spans="2:11" x14ac:dyDescent="0.3">
      <c r="B8" s="6" t="s">
        <v>17</v>
      </c>
      <c r="C8" s="22">
        <v>315000</v>
      </c>
      <c r="D8" s="22"/>
      <c r="E8" s="22">
        <v>54000</v>
      </c>
      <c r="F8" s="22">
        <v>108000</v>
      </c>
      <c r="G8" s="22">
        <v>270000</v>
      </c>
      <c r="H8" s="12">
        <f t="shared" si="0"/>
        <v>44242</v>
      </c>
    </row>
    <row r="9" spans="2:11" ht="15.6" x14ac:dyDescent="0.3">
      <c r="B9" s="34" t="s">
        <v>0</v>
      </c>
      <c r="C9" s="60">
        <v>369000</v>
      </c>
      <c r="D9" s="60"/>
      <c r="E9" s="60"/>
      <c r="F9" s="60"/>
      <c r="G9" s="61"/>
      <c r="H9" s="12">
        <f t="shared" si="0"/>
        <v>44242</v>
      </c>
    </row>
    <row r="10" spans="2:11" x14ac:dyDescent="0.3">
      <c r="B10" s="6" t="s">
        <v>25</v>
      </c>
      <c r="C10" s="22">
        <v>153000</v>
      </c>
      <c r="D10" s="22"/>
      <c r="E10" s="22"/>
      <c r="F10" s="22">
        <v>54000</v>
      </c>
      <c r="G10" s="22">
        <v>90000</v>
      </c>
      <c r="H10" s="12">
        <f t="shared" si="0"/>
        <v>44242</v>
      </c>
    </row>
    <row r="11" spans="2:11" x14ac:dyDescent="0.3">
      <c r="B11" s="6" t="s">
        <v>15</v>
      </c>
      <c r="C11" s="22"/>
      <c r="D11" s="22">
        <v>45000</v>
      </c>
      <c r="E11" s="22"/>
      <c r="F11" s="48">
        <v>108000</v>
      </c>
      <c r="G11" s="22"/>
      <c r="H11" s="12">
        <f t="shared" si="0"/>
        <v>44242</v>
      </c>
    </row>
    <row r="12" spans="2:11" x14ac:dyDescent="0.3">
      <c r="B12" s="6" t="s">
        <v>26</v>
      </c>
      <c r="C12" s="22"/>
      <c r="D12" s="22"/>
      <c r="E12" s="22"/>
      <c r="F12" s="22">
        <v>270000</v>
      </c>
      <c r="G12" s="22"/>
      <c r="H12" s="12">
        <f t="shared" si="0"/>
        <v>44242</v>
      </c>
    </row>
    <row r="13" spans="2:11" x14ac:dyDescent="0.3">
      <c r="B13" s="6" t="s">
        <v>22</v>
      </c>
      <c r="C13" s="23"/>
      <c r="D13" s="23"/>
      <c r="E13" s="23"/>
      <c r="F13" s="22"/>
      <c r="G13" s="23"/>
      <c r="H13" s="12">
        <f t="shared" si="0"/>
        <v>44242</v>
      </c>
      <c r="K13" s="4"/>
    </row>
    <row r="14" spans="2:11" x14ac:dyDescent="0.3">
      <c r="B14" s="6" t="s">
        <v>19</v>
      </c>
      <c r="C14" s="22">
        <v>153000</v>
      </c>
      <c r="D14" s="22">
        <v>630000</v>
      </c>
      <c r="E14" s="22"/>
      <c r="F14" s="22"/>
      <c r="G14" s="22">
        <v>414000</v>
      </c>
      <c r="H14" s="12">
        <f t="shared" si="0"/>
        <v>44242</v>
      </c>
    </row>
    <row r="15" spans="2:11" x14ac:dyDescent="0.3">
      <c r="B15" s="6" t="s">
        <v>14</v>
      </c>
      <c r="C15" s="22"/>
      <c r="D15" s="22">
        <v>162000</v>
      </c>
      <c r="E15" s="22"/>
      <c r="F15" s="22">
        <v>216000</v>
      </c>
      <c r="G15" s="22"/>
      <c r="H15" s="12">
        <f t="shared" si="0"/>
        <v>44242</v>
      </c>
    </row>
    <row r="16" spans="2:11" x14ac:dyDescent="0.3">
      <c r="B16" s="6" t="s">
        <v>24</v>
      </c>
      <c r="C16" s="22">
        <v>54000</v>
      </c>
      <c r="D16" s="22">
        <v>54000</v>
      </c>
      <c r="E16" s="22"/>
      <c r="F16" s="49"/>
      <c r="G16" s="22"/>
      <c r="H16" s="12">
        <f t="shared" si="0"/>
        <v>44242</v>
      </c>
    </row>
    <row r="17" spans="1:8" x14ac:dyDescent="0.3">
      <c r="B17" s="6" t="s">
        <v>21</v>
      </c>
      <c r="C17" s="22"/>
      <c r="D17" s="22">
        <v>99000</v>
      </c>
      <c r="E17" s="22"/>
      <c r="F17" s="22"/>
      <c r="G17" s="22"/>
      <c r="H17" s="12">
        <f t="shared" si="0"/>
        <v>44242</v>
      </c>
    </row>
    <row r="18" spans="1:8" x14ac:dyDescent="0.3">
      <c r="B18" s="6" t="s">
        <v>18</v>
      </c>
      <c r="C18" s="22"/>
      <c r="D18" s="22"/>
      <c r="E18" s="22"/>
      <c r="F18" s="22">
        <v>103500</v>
      </c>
      <c r="G18" s="22"/>
      <c r="H18" s="12">
        <f t="shared" si="0"/>
        <v>44242</v>
      </c>
    </row>
    <row r="19" spans="1:8" x14ac:dyDescent="0.3">
      <c r="B19" s="6" t="s">
        <v>16</v>
      </c>
      <c r="C19" s="22"/>
      <c r="D19" s="22"/>
      <c r="E19" s="22"/>
      <c r="F19" s="22"/>
      <c r="G19" s="22"/>
      <c r="H19" s="12">
        <f t="shared" si="0"/>
        <v>44242</v>
      </c>
    </row>
    <row r="20" spans="1:8" x14ac:dyDescent="0.3">
      <c r="B20" s="50" t="s">
        <v>27</v>
      </c>
      <c r="C20" s="51">
        <f>SUM(February15_2021[KSI_AGO])</f>
        <v>1044000</v>
      </c>
      <c r="D20" s="51">
        <f>SUBTOTAL(109,February15_2021[KSI_PMS])</f>
        <v>1138500</v>
      </c>
      <c r="E20" s="51">
        <f>SUM(February15_2021[BUIPE_AGO])</f>
        <v>54000</v>
      </c>
      <c r="F20" s="51">
        <f>SUM(February15_2021[BUIPE_PMS])</f>
        <v>859500</v>
      </c>
      <c r="G20" s="51">
        <f>SUM(February15_2021[AKOSOMBO_AGO])</f>
        <v>774000</v>
      </c>
      <c r="H20" s="52"/>
    </row>
    <row r="21" spans="1:8" x14ac:dyDescent="0.3">
      <c r="B21" s="8"/>
      <c r="C21" s="24"/>
      <c r="D21" s="24"/>
      <c r="E21" s="24"/>
      <c r="F21" s="24"/>
      <c r="G21" s="24"/>
      <c r="H21"/>
    </row>
    <row r="22" spans="1:8" x14ac:dyDescent="0.3">
      <c r="B22" s="1" t="s">
        <v>6</v>
      </c>
      <c r="C22" s="1" t="s">
        <v>4</v>
      </c>
      <c r="D22" s="5">
        <f>SUMIF(February15_2021[[#Headers],[KSI_AGO]:[AKOSOMBO_AGO]],"*"&amp;C22,February15_2021[[#Totals],[KSI_AGO]:[AKOSOMBO_AGO]])</f>
        <v>1872000</v>
      </c>
      <c r="E22" s="1" t="s">
        <v>5</v>
      </c>
      <c r="F22" s="5">
        <f>SUMIF(February15_2021[[#Headers],[KSI_AGO]:[AKOSOMBO_AGO]],"*"&amp;E22,February15_2021[[#Totals],[KSI_AGO]:[AKOSOMBO_AGO]])</f>
        <v>1998000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F8ADAA42-2AA7-43D8-9D57-C4836DEC15F6}">
      <formula1>INDIRECT("BDC_List[BDC List]")</formula1>
    </dataValidation>
  </dataValidations>
  <pageMargins left="0.7" right="0.7" top="0.75" bottom="0.75" header="0.3" footer="0.3"/>
  <tableParts count="1">
    <tablePart r:id="rId1"/>
  </tableParts>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DE57-2F1D-4AF2-B559-CDDB16FE2A7B}">
  <sheetPr codeName="Sheet291"/>
  <dimension ref="A1:K32"/>
  <sheetViews>
    <sheetView workbookViewId="0">
      <selection activeCell="C14" sqref="C14"/>
    </sheetView>
  </sheetViews>
  <sheetFormatPr defaultColWidth="9.109375" defaultRowHeight="14.4" x14ac:dyDescent="0.3"/>
  <cols>
    <col min="1" max="1" width="6.88671875" style="1" customWidth="1"/>
    <col min="2" max="2" width="27.5546875" style="1" customWidth="1"/>
    <col min="3" max="3" width="13.8867187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44243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19" si="0">$G$3</f>
        <v>44243</v>
      </c>
    </row>
    <row r="7" spans="2:11" ht="16.5" customHeight="1" x14ac:dyDescent="0.3">
      <c r="B7" s="6" t="s">
        <v>37</v>
      </c>
      <c r="C7" s="22"/>
      <c r="D7" s="22">
        <v>108000</v>
      </c>
      <c r="E7" s="22"/>
      <c r="F7" s="22"/>
      <c r="G7" s="22"/>
      <c r="H7" s="67">
        <f t="shared" si="0"/>
        <v>44243</v>
      </c>
    </row>
    <row r="8" spans="2:11" x14ac:dyDescent="0.3">
      <c r="B8" s="6" t="s">
        <v>17</v>
      </c>
      <c r="C8" s="22">
        <v>270000</v>
      </c>
      <c r="D8" s="22">
        <v>108000</v>
      </c>
      <c r="E8" s="22"/>
      <c r="F8" s="22">
        <v>45000</v>
      </c>
      <c r="G8" s="22"/>
      <c r="H8" s="12">
        <f t="shared" si="0"/>
        <v>44243</v>
      </c>
    </row>
    <row r="9" spans="2:11" ht="15.6" x14ac:dyDescent="0.3">
      <c r="B9" s="34" t="s">
        <v>0</v>
      </c>
      <c r="C9" s="60">
        <v>477000</v>
      </c>
      <c r="D9" s="60"/>
      <c r="E9" s="60"/>
      <c r="F9" s="60"/>
      <c r="G9" s="61"/>
      <c r="H9" s="12">
        <f t="shared" si="0"/>
        <v>44243</v>
      </c>
    </row>
    <row r="10" spans="2:11" x14ac:dyDescent="0.3">
      <c r="B10" s="6" t="s">
        <v>25</v>
      </c>
      <c r="C10" s="22">
        <v>212000</v>
      </c>
      <c r="D10" s="22">
        <v>162000</v>
      </c>
      <c r="E10" s="22"/>
      <c r="F10" s="22">
        <v>162000</v>
      </c>
      <c r="G10" s="22"/>
      <c r="H10" s="12">
        <f t="shared" si="0"/>
        <v>44243</v>
      </c>
    </row>
    <row r="11" spans="2:11" x14ac:dyDescent="0.3">
      <c r="B11" s="6" t="s">
        <v>15</v>
      </c>
      <c r="C11" s="22"/>
      <c r="D11" s="22">
        <v>103500</v>
      </c>
      <c r="E11" s="22"/>
      <c r="F11" s="48">
        <v>432000</v>
      </c>
      <c r="G11" s="22"/>
      <c r="H11" s="12">
        <f t="shared" si="0"/>
        <v>44243</v>
      </c>
    </row>
    <row r="12" spans="2:11" x14ac:dyDescent="0.3">
      <c r="B12" s="6" t="s">
        <v>26</v>
      </c>
      <c r="C12" s="22"/>
      <c r="D12" s="22">
        <v>103500</v>
      </c>
      <c r="E12" s="22"/>
      <c r="F12" s="22"/>
      <c r="G12" s="22"/>
      <c r="H12" s="12">
        <f t="shared" si="0"/>
        <v>44243</v>
      </c>
    </row>
    <row r="13" spans="2:11" x14ac:dyDescent="0.3">
      <c r="B13" s="6" t="s">
        <v>22</v>
      </c>
      <c r="C13" s="23"/>
      <c r="D13" s="23">
        <v>162000</v>
      </c>
      <c r="E13" s="23"/>
      <c r="F13" s="22"/>
      <c r="G13" s="23"/>
      <c r="H13" s="12">
        <f t="shared" si="0"/>
        <v>44243</v>
      </c>
      <c r="K13" s="4"/>
    </row>
    <row r="14" spans="2:11" x14ac:dyDescent="0.3">
      <c r="B14" s="6" t="s">
        <v>19</v>
      </c>
      <c r="C14" s="22">
        <v>157500</v>
      </c>
      <c r="D14" s="22"/>
      <c r="E14" s="22"/>
      <c r="F14" s="22"/>
      <c r="G14" s="22">
        <v>50000</v>
      </c>
      <c r="H14" s="12">
        <f t="shared" si="0"/>
        <v>44243</v>
      </c>
    </row>
    <row r="15" spans="2:11" x14ac:dyDescent="0.3">
      <c r="B15" s="6" t="s">
        <v>14</v>
      </c>
      <c r="C15" s="22"/>
      <c r="D15" s="22">
        <v>162000</v>
      </c>
      <c r="E15" s="22"/>
      <c r="F15" s="22">
        <v>540000</v>
      </c>
      <c r="G15" s="22"/>
      <c r="H15" s="12">
        <f t="shared" si="0"/>
        <v>44243</v>
      </c>
    </row>
    <row r="16" spans="2:11" x14ac:dyDescent="0.3">
      <c r="B16" s="6" t="s">
        <v>24</v>
      </c>
      <c r="C16" s="22">
        <v>207000</v>
      </c>
      <c r="D16" s="22">
        <v>103500</v>
      </c>
      <c r="E16" s="22"/>
      <c r="F16" s="49"/>
      <c r="G16" s="22"/>
      <c r="H16" s="12">
        <f t="shared" si="0"/>
        <v>44243</v>
      </c>
    </row>
    <row r="17" spans="1:8" x14ac:dyDescent="0.3">
      <c r="B17" s="6" t="s">
        <v>21</v>
      </c>
      <c r="C17" s="22"/>
      <c r="D17" s="22">
        <v>108000</v>
      </c>
      <c r="E17" s="22"/>
      <c r="F17" s="22"/>
      <c r="G17" s="22"/>
      <c r="H17" s="12">
        <f t="shared" si="0"/>
        <v>44243</v>
      </c>
    </row>
    <row r="18" spans="1:8" x14ac:dyDescent="0.3">
      <c r="B18" s="6" t="s">
        <v>18</v>
      </c>
      <c r="C18" s="22"/>
      <c r="D18" s="22"/>
      <c r="E18" s="22"/>
      <c r="F18" s="22">
        <v>270000</v>
      </c>
      <c r="G18" s="22"/>
      <c r="H18" s="12">
        <f t="shared" si="0"/>
        <v>44243</v>
      </c>
    </row>
    <row r="19" spans="1:8" x14ac:dyDescent="0.3">
      <c r="B19" s="6" t="s">
        <v>16</v>
      </c>
      <c r="C19" s="22"/>
      <c r="D19" s="22"/>
      <c r="E19" s="22"/>
      <c r="F19" s="22"/>
      <c r="G19" s="22"/>
      <c r="H19" s="12">
        <f t="shared" si="0"/>
        <v>44243</v>
      </c>
    </row>
    <row r="20" spans="1:8" x14ac:dyDescent="0.3">
      <c r="B20" s="50" t="s">
        <v>27</v>
      </c>
      <c r="C20" s="51">
        <f>SUM(February16_2021[KSI_AGO])</f>
        <v>1323500</v>
      </c>
      <c r="D20" s="51">
        <f>SUBTOTAL(109,February16_2021[KSI_PMS])</f>
        <v>1120500</v>
      </c>
      <c r="E20" s="51">
        <f>SUM(February16_2021[BUIPE_AGO])</f>
        <v>0</v>
      </c>
      <c r="F20" s="51">
        <f>SUM(February16_2021[BUIPE_PMS])</f>
        <v>1449000</v>
      </c>
      <c r="G20" s="51">
        <f>SUM(February16_2021[AKOSOMBO_AGO])</f>
        <v>50000</v>
      </c>
      <c r="H20" s="52"/>
    </row>
    <row r="21" spans="1:8" x14ac:dyDescent="0.3">
      <c r="B21" s="8"/>
      <c r="C21" s="24"/>
      <c r="D21" s="24"/>
      <c r="E21" s="24"/>
      <c r="F21" s="24"/>
      <c r="G21" s="24"/>
      <c r="H21"/>
    </row>
    <row r="22" spans="1:8" x14ac:dyDescent="0.3">
      <c r="B22" s="1" t="s">
        <v>6</v>
      </c>
      <c r="C22" s="1" t="s">
        <v>4</v>
      </c>
      <c r="D22" s="5">
        <f>SUMIF(February16_2021[[#Headers],[KSI_AGO]:[AKOSOMBO_AGO]],"*"&amp;C22,February16_2021[[#Totals],[KSI_AGO]:[AKOSOMBO_AGO]])</f>
        <v>1373500</v>
      </c>
      <c r="E22" s="1" t="s">
        <v>5</v>
      </c>
      <c r="F22" s="5">
        <f>SUMIF(February16_2021[[#Headers],[KSI_AGO]:[AKOSOMBO_AGO]],"*"&amp;E22,February16_2021[[#Totals],[KSI_AGO]:[AKOSOMBO_AGO]])</f>
        <v>2569500</v>
      </c>
    </row>
    <row r="29" spans="1:8" x14ac:dyDescent="0.3">
      <c r="A29" s="8" t="s">
        <v>29</v>
      </c>
    </row>
    <row r="31" spans="1:8" x14ac:dyDescent="0.3">
      <c r="C31" s="11" t="s">
        <v>7</v>
      </c>
      <c r="D31" s="10"/>
      <c r="E31" s="10"/>
      <c r="F31" s="10"/>
      <c r="G31" s="10"/>
    </row>
    <row r="32" spans="1:8" x14ac:dyDescent="0.3">
      <c r="B32" s="9"/>
      <c r="C32" s="10"/>
      <c r="D32" s="10"/>
      <c r="E32" s="10"/>
      <c r="F32" s="10"/>
      <c r="G32" s="10"/>
    </row>
  </sheetData>
  <mergeCells count="4">
    <mergeCell ref="B1:G1"/>
    <mergeCell ref="B2:C2"/>
    <mergeCell ref="B3:C3"/>
    <mergeCell ref="B4:G4"/>
  </mergeCells>
  <dataValidations count="1">
    <dataValidation type="list" allowBlank="1" showInputMessage="1" showErrorMessage="1" sqref="B6:B19" xr:uid="{81E31B1E-BCA7-4CC9-8DFF-49971290A580}">
      <formula1>INDIRECT("BDC_List[BDC List]")</formula1>
    </dataValidation>
  </dataValidations>
  <pageMargins left="0.7" right="0.7" top="0.75" bottom="0.75" header="0.3" footer="0.3"/>
  <tableParts count="1">
    <tablePart r:id="rId1"/>
  </tableParts>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7B39-1C8A-4AA5-BE2A-F0A84068E167}">
  <sheetPr codeName="Sheet292"/>
  <dimension ref="A1:K33"/>
  <sheetViews>
    <sheetView workbookViewId="0">
      <selection activeCell="B5" sqref="B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44244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44244</v>
      </c>
    </row>
    <row r="7" spans="2:11" ht="16.5" customHeight="1" x14ac:dyDescent="0.3">
      <c r="B7" s="6" t="s">
        <v>37</v>
      </c>
      <c r="C7" s="22"/>
      <c r="D7" s="22">
        <v>108000</v>
      </c>
      <c r="E7" s="22"/>
      <c r="F7" s="22"/>
      <c r="G7" s="22"/>
      <c r="H7" s="67">
        <f t="shared" si="0"/>
        <v>44244</v>
      </c>
    </row>
    <row r="8" spans="2:11" x14ac:dyDescent="0.3">
      <c r="B8" s="6" t="s">
        <v>17</v>
      </c>
      <c r="C8" s="22">
        <v>430000</v>
      </c>
      <c r="D8" s="22">
        <v>108000</v>
      </c>
      <c r="E8" s="22"/>
      <c r="F8" s="22"/>
      <c r="G8" s="22">
        <v>135000</v>
      </c>
      <c r="H8" s="12">
        <f t="shared" si="0"/>
        <v>44244</v>
      </c>
    </row>
    <row r="9" spans="2:11" ht="15.6" x14ac:dyDescent="0.3">
      <c r="B9" s="34" t="s">
        <v>0</v>
      </c>
      <c r="C9" s="60">
        <v>486000</v>
      </c>
      <c r="D9" s="60"/>
      <c r="E9" s="60"/>
      <c r="F9" s="60"/>
      <c r="G9" s="61"/>
      <c r="H9" s="12">
        <f t="shared" si="0"/>
        <v>44244</v>
      </c>
    </row>
    <row r="10" spans="2:11" x14ac:dyDescent="0.3">
      <c r="B10" s="6" t="s">
        <v>25</v>
      </c>
      <c r="C10" s="22">
        <v>108000</v>
      </c>
      <c r="D10" s="22">
        <v>324000</v>
      </c>
      <c r="E10" s="22"/>
      <c r="F10" s="22"/>
      <c r="G10" s="22"/>
      <c r="H10" s="12">
        <f t="shared" si="0"/>
        <v>44244</v>
      </c>
    </row>
    <row r="11" spans="2:11" x14ac:dyDescent="0.3">
      <c r="B11" s="6" t="s">
        <v>15</v>
      </c>
      <c r="C11" s="22"/>
      <c r="D11" s="22">
        <v>108000</v>
      </c>
      <c r="E11" s="22"/>
      <c r="F11" s="48">
        <v>864000</v>
      </c>
      <c r="G11" s="22"/>
      <c r="H11" s="12">
        <f t="shared" si="0"/>
        <v>44244</v>
      </c>
    </row>
    <row r="12" spans="2:11" x14ac:dyDescent="0.3">
      <c r="B12" s="6" t="s">
        <v>54</v>
      </c>
      <c r="C12" s="22">
        <v>374000</v>
      </c>
      <c r="D12" s="22"/>
      <c r="E12" s="22"/>
      <c r="F12" s="22"/>
      <c r="G12" s="22"/>
      <c r="H12" s="75">
        <f>$G$3</f>
        <v>44244</v>
      </c>
    </row>
    <row r="13" spans="2:11" x14ac:dyDescent="0.3">
      <c r="B13" s="6" t="s">
        <v>26</v>
      </c>
      <c r="C13" s="22"/>
      <c r="D13" s="22">
        <v>108000</v>
      </c>
      <c r="E13" s="22"/>
      <c r="F13" s="22"/>
      <c r="G13" s="22"/>
      <c r="H13" s="12">
        <f t="shared" si="0"/>
        <v>44244</v>
      </c>
    </row>
    <row r="14" spans="2:11" x14ac:dyDescent="0.3">
      <c r="B14" s="6" t="s">
        <v>22</v>
      </c>
      <c r="C14" s="23"/>
      <c r="D14" s="23">
        <v>216000</v>
      </c>
      <c r="E14" s="23"/>
      <c r="F14" s="22"/>
      <c r="G14" s="23"/>
      <c r="H14" s="12">
        <f t="shared" si="0"/>
        <v>44244</v>
      </c>
      <c r="K14" s="4"/>
    </row>
    <row r="15" spans="2:11" x14ac:dyDescent="0.3">
      <c r="B15" s="6" t="s">
        <v>19</v>
      </c>
      <c r="C15" s="22">
        <v>270000</v>
      </c>
      <c r="D15" s="22"/>
      <c r="E15" s="22"/>
      <c r="F15" s="22"/>
      <c r="G15" s="22">
        <v>50000</v>
      </c>
      <c r="H15" s="12">
        <f t="shared" si="0"/>
        <v>44244</v>
      </c>
    </row>
    <row r="16" spans="2:11" x14ac:dyDescent="0.3">
      <c r="B16" s="6" t="s">
        <v>14</v>
      </c>
      <c r="C16" s="22"/>
      <c r="D16" s="22">
        <v>216000</v>
      </c>
      <c r="E16" s="22"/>
      <c r="F16" s="22">
        <v>162000</v>
      </c>
      <c r="G16" s="22"/>
      <c r="H16" s="12">
        <f t="shared" si="0"/>
        <v>44244</v>
      </c>
    </row>
    <row r="17" spans="1:8" x14ac:dyDescent="0.3">
      <c r="B17" s="6" t="s">
        <v>24</v>
      </c>
      <c r="C17" s="22">
        <v>270000</v>
      </c>
      <c r="D17" s="22">
        <v>52000</v>
      </c>
      <c r="E17" s="22"/>
      <c r="F17" s="49"/>
      <c r="G17" s="22"/>
      <c r="H17" s="12">
        <f t="shared" si="0"/>
        <v>44244</v>
      </c>
    </row>
    <row r="18" spans="1:8" x14ac:dyDescent="0.3">
      <c r="B18" s="6" t="s">
        <v>21</v>
      </c>
      <c r="C18" s="22"/>
      <c r="D18" s="22">
        <v>108000</v>
      </c>
      <c r="E18" s="22"/>
      <c r="F18" s="22"/>
      <c r="G18" s="22"/>
      <c r="H18" s="12">
        <f t="shared" si="0"/>
        <v>44244</v>
      </c>
    </row>
    <row r="19" spans="1:8" x14ac:dyDescent="0.3">
      <c r="B19" s="6" t="s">
        <v>18</v>
      </c>
      <c r="C19" s="22"/>
      <c r="D19" s="22"/>
      <c r="E19" s="22"/>
      <c r="F19" s="22">
        <v>270000</v>
      </c>
      <c r="G19" s="22"/>
      <c r="H19" s="12">
        <f t="shared" si="0"/>
        <v>44244</v>
      </c>
    </row>
    <row r="20" spans="1:8" x14ac:dyDescent="0.3">
      <c r="B20" s="6" t="s">
        <v>16</v>
      </c>
      <c r="C20" s="22"/>
      <c r="D20" s="22"/>
      <c r="E20" s="22"/>
      <c r="F20" s="22"/>
      <c r="G20" s="22"/>
      <c r="H20" s="12">
        <f t="shared" si="0"/>
        <v>44244</v>
      </c>
    </row>
    <row r="21" spans="1:8" x14ac:dyDescent="0.3">
      <c r="B21" s="50" t="s">
        <v>27</v>
      </c>
      <c r="C21" s="51">
        <f>SUM(February17_2021[KSI_AGO])</f>
        <v>1938000</v>
      </c>
      <c r="D21" s="51">
        <f>SUBTOTAL(109,February17_2021[KSI_PMS])</f>
        <v>1348000</v>
      </c>
      <c r="E21" s="51">
        <f>SUM(February17_2021[BUIPE_AGO])</f>
        <v>0</v>
      </c>
      <c r="F21" s="51">
        <f>SUM(February17_2021[BUIPE_PMS])</f>
        <v>1296000</v>
      </c>
      <c r="G21" s="51">
        <f>SUM(February17_2021[AKOSOMBO_AGO])</f>
        <v>185000</v>
      </c>
      <c r="H21" s="52"/>
    </row>
    <row r="22" spans="1:8" x14ac:dyDescent="0.3">
      <c r="B22" s="8"/>
      <c r="C22" s="24"/>
      <c r="D22" s="24"/>
      <c r="E22" s="24"/>
      <c r="F22" s="24"/>
      <c r="G22" s="24"/>
      <c r="H22"/>
    </row>
    <row r="23" spans="1:8" x14ac:dyDescent="0.3">
      <c r="B23" s="1" t="s">
        <v>6</v>
      </c>
      <c r="C23" s="1" t="s">
        <v>4</v>
      </c>
      <c r="D23" s="5">
        <f>SUMIF(February17_2021[[#Headers],[KSI_AGO]:[AKOSOMBO_AGO]],"*"&amp;C23,February17_2021[[#Totals],[KSI_AGO]:[AKOSOMBO_AGO]])</f>
        <v>2123000</v>
      </c>
      <c r="E23" s="1" t="s">
        <v>5</v>
      </c>
      <c r="F23" s="5">
        <f>SUMIF(February17_2021[[#Headers],[KSI_AGO]:[AKOSOMBO_AGO]],"*"&amp;E23,February17_2021[[#Totals],[KSI_AGO]:[AKOSOMBO_AGO]])</f>
        <v>2644000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A6FCC822-866E-42B4-97B9-25D58D91C354}">
      <formula1>INDIRECT("BDC_List[BDC List]")</formula1>
    </dataValidation>
  </dataValidations>
  <pageMargins left="0.7" right="0.7" top="0.75" bottom="0.75" header="0.3" footer="0.3"/>
  <tableParts count="1">
    <tablePart r:id="rId1"/>
  </tableParts>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5B1D-31AE-4E0D-8B94-D26CD517BB3F}">
  <sheetPr codeName="Sheet293"/>
  <dimension ref="A1:K33"/>
  <sheetViews>
    <sheetView workbookViewId="0">
      <selection activeCell="B9" sqref="B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44245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44245</v>
      </c>
    </row>
    <row r="7" spans="2:11" ht="16.5" customHeight="1" x14ac:dyDescent="0.3">
      <c r="B7" s="6" t="s">
        <v>37</v>
      </c>
      <c r="C7" s="22"/>
      <c r="D7" s="22">
        <v>108000</v>
      </c>
      <c r="E7" s="22"/>
      <c r="F7" s="22"/>
      <c r="G7" s="22"/>
      <c r="H7" s="67">
        <f t="shared" si="0"/>
        <v>44245</v>
      </c>
    </row>
    <row r="8" spans="2:11" x14ac:dyDescent="0.3">
      <c r="B8" s="6" t="s">
        <v>17</v>
      </c>
      <c r="C8" s="22">
        <v>756000</v>
      </c>
      <c r="D8" s="22">
        <v>54000</v>
      </c>
      <c r="E8" s="22"/>
      <c r="F8" s="22">
        <v>45000</v>
      </c>
      <c r="G8" s="22">
        <v>50000</v>
      </c>
      <c r="H8" s="12">
        <f t="shared" si="0"/>
        <v>44245</v>
      </c>
    </row>
    <row r="9" spans="2:11" ht="15.6" x14ac:dyDescent="0.3">
      <c r="B9" s="34" t="s">
        <v>0</v>
      </c>
      <c r="C9" s="60">
        <v>162000</v>
      </c>
      <c r="D9" s="60"/>
      <c r="E9" s="60"/>
      <c r="F9" s="60"/>
      <c r="G9" s="61"/>
      <c r="H9" s="12">
        <f t="shared" si="0"/>
        <v>44245</v>
      </c>
    </row>
    <row r="10" spans="2:11" x14ac:dyDescent="0.3">
      <c r="B10" s="6" t="s">
        <v>25</v>
      </c>
      <c r="C10" s="22">
        <v>270000</v>
      </c>
      <c r="D10" s="22">
        <v>216000</v>
      </c>
      <c r="E10" s="22"/>
      <c r="F10" s="22">
        <v>153000</v>
      </c>
      <c r="G10" s="22"/>
      <c r="H10" s="12">
        <f t="shared" si="0"/>
        <v>44245</v>
      </c>
    </row>
    <row r="11" spans="2:11" x14ac:dyDescent="0.3">
      <c r="B11" s="6" t="s">
        <v>15</v>
      </c>
      <c r="C11" s="22"/>
      <c r="D11" s="22">
        <v>162000</v>
      </c>
      <c r="E11" s="22"/>
      <c r="F11" s="48">
        <v>324000</v>
      </c>
      <c r="G11" s="22"/>
      <c r="H11" s="12">
        <f t="shared" si="0"/>
        <v>44245</v>
      </c>
    </row>
    <row r="12" spans="2:11" x14ac:dyDescent="0.3">
      <c r="B12" s="6" t="s">
        <v>54</v>
      </c>
      <c r="C12" s="22">
        <v>540000</v>
      </c>
      <c r="D12" s="22"/>
      <c r="E12" s="22"/>
      <c r="F12" s="22"/>
      <c r="G12" s="22"/>
      <c r="H12" s="75">
        <f>$G$3</f>
        <v>44245</v>
      </c>
    </row>
    <row r="13" spans="2:11" x14ac:dyDescent="0.3">
      <c r="B13" s="6" t="s">
        <v>26</v>
      </c>
      <c r="C13" s="22"/>
      <c r="D13" s="22">
        <v>104000</v>
      </c>
      <c r="E13" s="22"/>
      <c r="F13" s="22"/>
      <c r="G13" s="22"/>
      <c r="H13" s="12">
        <f t="shared" si="0"/>
        <v>44245</v>
      </c>
    </row>
    <row r="14" spans="2:11" x14ac:dyDescent="0.3">
      <c r="B14" s="6" t="s">
        <v>22</v>
      </c>
      <c r="C14" s="23"/>
      <c r="D14" s="23">
        <v>162000</v>
      </c>
      <c r="E14" s="23"/>
      <c r="F14" s="22"/>
      <c r="G14" s="23"/>
      <c r="H14" s="12">
        <f t="shared" si="0"/>
        <v>44245</v>
      </c>
      <c r="K14" s="4"/>
    </row>
    <row r="15" spans="2:11" x14ac:dyDescent="0.3">
      <c r="B15" s="6" t="s">
        <v>19</v>
      </c>
      <c r="C15" s="22">
        <v>374000</v>
      </c>
      <c r="D15" s="22">
        <v>90000</v>
      </c>
      <c r="E15" s="22"/>
      <c r="F15" s="22"/>
      <c r="G15" s="22"/>
      <c r="H15" s="12">
        <f t="shared" si="0"/>
        <v>44245</v>
      </c>
    </row>
    <row r="16" spans="2:11" x14ac:dyDescent="0.3">
      <c r="B16" s="6" t="s">
        <v>14</v>
      </c>
      <c r="C16" s="22"/>
      <c r="D16" s="22">
        <v>162000</v>
      </c>
      <c r="E16" s="22"/>
      <c r="F16" s="22"/>
      <c r="G16" s="22"/>
      <c r="H16" s="12">
        <f t="shared" si="0"/>
        <v>44245</v>
      </c>
    </row>
    <row r="17" spans="1:8" x14ac:dyDescent="0.3">
      <c r="B17" s="6" t="s">
        <v>24</v>
      </c>
      <c r="C17" s="22">
        <v>215500</v>
      </c>
      <c r="D17" s="22">
        <v>162000</v>
      </c>
      <c r="E17" s="22"/>
      <c r="F17" s="49"/>
      <c r="G17" s="22"/>
      <c r="H17" s="12">
        <f t="shared" si="0"/>
        <v>44245</v>
      </c>
    </row>
    <row r="18" spans="1:8" x14ac:dyDescent="0.3">
      <c r="B18" s="6" t="s">
        <v>21</v>
      </c>
      <c r="C18" s="22"/>
      <c r="D18" s="22"/>
      <c r="E18" s="22"/>
      <c r="F18" s="22"/>
      <c r="G18" s="22"/>
      <c r="H18" s="12">
        <f t="shared" si="0"/>
        <v>44245</v>
      </c>
    </row>
    <row r="19" spans="1:8" x14ac:dyDescent="0.3">
      <c r="B19" s="6" t="s">
        <v>18</v>
      </c>
      <c r="C19" s="22"/>
      <c r="D19" s="22">
        <v>54000</v>
      </c>
      <c r="E19" s="22"/>
      <c r="F19" s="22"/>
      <c r="G19" s="22"/>
      <c r="H19" s="12">
        <f t="shared" si="0"/>
        <v>44245</v>
      </c>
    </row>
    <row r="20" spans="1:8" x14ac:dyDescent="0.3">
      <c r="B20" s="6" t="s">
        <v>16</v>
      </c>
      <c r="C20" s="22"/>
      <c r="D20" s="22"/>
      <c r="E20" s="22"/>
      <c r="F20" s="22"/>
      <c r="G20" s="22"/>
      <c r="H20" s="12">
        <f t="shared" si="0"/>
        <v>44245</v>
      </c>
    </row>
    <row r="21" spans="1:8" x14ac:dyDescent="0.3">
      <c r="B21" s="50" t="s">
        <v>27</v>
      </c>
      <c r="C21" s="51">
        <f>SUM(February18_2021[KSI_AGO])</f>
        <v>2317500</v>
      </c>
      <c r="D21" s="51">
        <f>SUBTOTAL(109,February18_2021[KSI_PMS])</f>
        <v>1274000</v>
      </c>
      <c r="E21" s="51">
        <f>SUM(February18_2021[BUIPE_AGO])</f>
        <v>0</v>
      </c>
      <c r="F21" s="51">
        <f>SUM(February18_2021[BUIPE_PMS])</f>
        <v>522000</v>
      </c>
      <c r="G21" s="51">
        <f>SUM(February18_2021[AKOSOMBO_AGO])</f>
        <v>50000</v>
      </c>
      <c r="H21" s="52"/>
    </row>
    <row r="22" spans="1:8" x14ac:dyDescent="0.3">
      <c r="B22" s="8"/>
      <c r="C22" s="24"/>
      <c r="D22" s="24"/>
      <c r="E22" s="24"/>
      <c r="F22" s="24"/>
      <c r="G22" s="24"/>
      <c r="H22"/>
    </row>
    <row r="23" spans="1:8" x14ac:dyDescent="0.3">
      <c r="B23" s="1" t="s">
        <v>6</v>
      </c>
      <c r="C23" s="1" t="s">
        <v>4</v>
      </c>
      <c r="D23" s="5">
        <f>SUMIF(February18_2021[[#Headers],[KSI_AGO]:[AKOSOMBO_AGO]],"*"&amp;C23,February18_2021[[#Totals],[KSI_AGO]:[AKOSOMBO_AGO]])</f>
        <v>2367500</v>
      </c>
      <c r="E23" s="1" t="s">
        <v>5</v>
      </c>
      <c r="F23" s="5">
        <f>SUMIF(February18_2021[[#Headers],[KSI_AGO]:[AKOSOMBO_AGO]],"*"&amp;E23,February18_2021[[#Totals],[KSI_AGO]:[AKOSOMBO_AGO]])</f>
        <v>1796000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DB035BD4-E666-48F9-BDA4-84CAAEC99EDB}">
      <formula1>INDIRECT("BDC_List[BDC List]")</formula1>
    </dataValidation>
  </dataValidations>
  <pageMargins left="0.7" right="0.7" top="0.75" bottom="0.75" header="0.3" footer="0.3"/>
  <tableParts count="1">
    <tablePart r:id="rId1"/>
  </tableParts>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27400-C5B7-482B-ADC0-B5B5CDBEA5A6}">
  <sheetPr codeName="Sheet294"/>
  <dimension ref="A1:K33"/>
  <sheetViews>
    <sheetView workbookViewId="0">
      <selection activeCell="C15" sqref="C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44246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44246</v>
      </c>
    </row>
    <row r="7" spans="2:11" ht="16.5" customHeight="1" x14ac:dyDescent="0.3">
      <c r="B7" s="6" t="s">
        <v>37</v>
      </c>
      <c r="C7" s="22"/>
      <c r="D7" s="22">
        <v>320000</v>
      </c>
      <c r="E7" s="22"/>
      <c r="F7" s="22"/>
      <c r="G7" s="22"/>
      <c r="H7" s="67">
        <f t="shared" si="0"/>
        <v>44246</v>
      </c>
    </row>
    <row r="8" spans="2:11" x14ac:dyDescent="0.3">
      <c r="B8" s="6" t="s">
        <v>17</v>
      </c>
      <c r="C8" s="22">
        <v>108000</v>
      </c>
      <c r="D8" s="22">
        <v>270000</v>
      </c>
      <c r="E8" s="22"/>
      <c r="F8" s="22"/>
      <c r="G8" s="22"/>
      <c r="H8" s="12">
        <f t="shared" si="0"/>
        <v>44246</v>
      </c>
    </row>
    <row r="9" spans="2:11" ht="15.6" x14ac:dyDescent="0.3">
      <c r="B9" s="34" t="s">
        <v>0</v>
      </c>
      <c r="C9" s="60">
        <v>162000</v>
      </c>
      <c r="D9" s="60"/>
      <c r="E9" s="60"/>
      <c r="F9" s="60"/>
      <c r="G9" s="61"/>
      <c r="H9" s="12">
        <f t="shared" si="0"/>
        <v>44246</v>
      </c>
    </row>
    <row r="10" spans="2:11" x14ac:dyDescent="0.3">
      <c r="B10" s="6" t="s">
        <v>25</v>
      </c>
      <c r="C10" s="22">
        <v>270000</v>
      </c>
      <c r="D10" s="22">
        <v>162000</v>
      </c>
      <c r="E10" s="22"/>
      <c r="F10" s="22"/>
      <c r="G10" s="22"/>
      <c r="H10" s="12">
        <f t="shared" si="0"/>
        <v>44246</v>
      </c>
    </row>
    <row r="11" spans="2:11" x14ac:dyDescent="0.3">
      <c r="B11" s="6" t="s">
        <v>15</v>
      </c>
      <c r="C11" s="22"/>
      <c r="D11" s="22">
        <v>324000</v>
      </c>
      <c r="E11" s="22"/>
      <c r="F11" s="48"/>
      <c r="G11" s="22"/>
      <c r="H11" s="12">
        <f t="shared" si="0"/>
        <v>44246</v>
      </c>
    </row>
    <row r="12" spans="2:11" x14ac:dyDescent="0.3">
      <c r="B12" s="6" t="s">
        <v>54</v>
      </c>
      <c r="C12" s="22">
        <v>270000</v>
      </c>
      <c r="D12" s="22"/>
      <c r="E12" s="22"/>
      <c r="F12" s="22"/>
      <c r="G12" s="22"/>
      <c r="H12" s="75">
        <f>$G$3</f>
        <v>44246</v>
      </c>
    </row>
    <row r="13" spans="2:11" x14ac:dyDescent="0.3">
      <c r="B13" s="6" t="s">
        <v>26</v>
      </c>
      <c r="C13" s="22">
        <v>162000</v>
      </c>
      <c r="D13" s="22"/>
      <c r="E13" s="22"/>
      <c r="F13" s="22"/>
      <c r="G13" s="22"/>
      <c r="H13" s="12">
        <f t="shared" si="0"/>
        <v>44246</v>
      </c>
    </row>
    <row r="14" spans="2:11" x14ac:dyDescent="0.3">
      <c r="B14" s="6" t="s">
        <v>22</v>
      </c>
      <c r="C14" s="23"/>
      <c r="D14" s="23">
        <v>216000</v>
      </c>
      <c r="E14" s="23"/>
      <c r="F14" s="22"/>
      <c r="G14" s="23"/>
      <c r="H14" s="12">
        <f t="shared" si="0"/>
        <v>44246</v>
      </c>
      <c r="K14" s="4"/>
    </row>
    <row r="15" spans="2:11" x14ac:dyDescent="0.3">
      <c r="B15" s="6" t="s">
        <v>19</v>
      </c>
      <c r="C15" s="22">
        <v>216000</v>
      </c>
      <c r="D15" s="22"/>
      <c r="E15" s="22"/>
      <c r="F15" s="22"/>
      <c r="G15" s="22"/>
      <c r="H15" s="12">
        <f t="shared" si="0"/>
        <v>44246</v>
      </c>
    </row>
    <row r="16" spans="2:11" x14ac:dyDescent="0.3">
      <c r="B16" s="6" t="s">
        <v>14</v>
      </c>
      <c r="C16" s="22"/>
      <c r="D16" s="22">
        <v>324000</v>
      </c>
      <c r="E16" s="22"/>
      <c r="F16" s="22"/>
      <c r="G16" s="22"/>
      <c r="H16" s="12">
        <f t="shared" si="0"/>
        <v>44246</v>
      </c>
    </row>
    <row r="17" spans="1:8" x14ac:dyDescent="0.3">
      <c r="B17" s="6" t="s">
        <v>24</v>
      </c>
      <c r="C17" s="22"/>
      <c r="D17" s="22">
        <v>432000</v>
      </c>
      <c r="E17" s="22"/>
      <c r="F17" s="49"/>
      <c r="G17" s="22"/>
      <c r="H17" s="12">
        <f t="shared" si="0"/>
        <v>44246</v>
      </c>
    </row>
    <row r="18" spans="1:8" x14ac:dyDescent="0.3">
      <c r="B18" s="6" t="s">
        <v>21</v>
      </c>
      <c r="C18" s="22">
        <v>162000</v>
      </c>
      <c r="D18" s="22">
        <v>49500</v>
      </c>
      <c r="E18" s="22"/>
      <c r="F18" s="22"/>
      <c r="G18" s="22"/>
      <c r="H18" s="12">
        <f t="shared" si="0"/>
        <v>44246</v>
      </c>
    </row>
    <row r="19" spans="1:8" x14ac:dyDescent="0.3">
      <c r="B19" s="6" t="s">
        <v>18</v>
      </c>
      <c r="C19" s="22"/>
      <c r="D19" s="22">
        <v>54000</v>
      </c>
      <c r="E19" s="22"/>
      <c r="F19" s="22"/>
      <c r="G19" s="22"/>
      <c r="H19" s="12">
        <f t="shared" si="0"/>
        <v>44246</v>
      </c>
    </row>
    <row r="20" spans="1:8" x14ac:dyDescent="0.3">
      <c r="B20" s="6" t="s">
        <v>16</v>
      </c>
      <c r="C20" s="22"/>
      <c r="D20" s="22"/>
      <c r="E20" s="22"/>
      <c r="F20" s="22"/>
      <c r="G20" s="22"/>
      <c r="H20" s="12">
        <f t="shared" si="0"/>
        <v>44246</v>
      </c>
    </row>
    <row r="21" spans="1:8" x14ac:dyDescent="0.3">
      <c r="B21" s="50" t="s">
        <v>27</v>
      </c>
      <c r="C21" s="51">
        <f>SUM(February19_2021[KSI_AGO])</f>
        <v>1350000</v>
      </c>
      <c r="D21" s="51">
        <f>SUBTOTAL(109,February19_2021[KSI_PMS])</f>
        <v>2151500</v>
      </c>
      <c r="E21" s="51">
        <f>SUM(February19_2021[BUIPE_AGO])</f>
        <v>0</v>
      </c>
      <c r="F21" s="51">
        <f>SUM(February19_2021[BUIPE_PMS])</f>
        <v>0</v>
      </c>
      <c r="G21" s="51">
        <f>SUM(February19_2021[AKOSOMBO_AGO])</f>
        <v>0</v>
      </c>
      <c r="H21" s="52"/>
    </row>
    <row r="22" spans="1:8" x14ac:dyDescent="0.3">
      <c r="B22" s="8"/>
      <c r="C22" s="24"/>
      <c r="D22" s="24"/>
      <c r="E22" s="24"/>
      <c r="F22" s="24"/>
      <c r="G22" s="24"/>
      <c r="H22"/>
    </row>
    <row r="23" spans="1:8" x14ac:dyDescent="0.3">
      <c r="B23" s="1" t="s">
        <v>6</v>
      </c>
      <c r="C23" s="1" t="s">
        <v>4</v>
      </c>
      <c r="D23" s="5">
        <f>SUMIF(February19_2021[[#Headers],[KSI_AGO]:[AKOSOMBO_AGO]],"*"&amp;C23,February19_2021[[#Totals],[KSI_AGO]:[AKOSOMBO_AGO]])</f>
        <v>1350000</v>
      </c>
      <c r="E23" s="1" t="s">
        <v>5</v>
      </c>
      <c r="F23" s="5">
        <f>SUMIF(February19_2021[[#Headers],[KSI_AGO]:[AKOSOMBO_AGO]],"*"&amp;E23,February19_2021[[#Totals],[KSI_AGO]:[AKOSOMBO_AGO]])</f>
        <v>2151500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00CEBEBD-0993-4603-A6C2-2DDF56E9C587}">
      <formula1>INDIRECT("BDC_List[BDC List]")</formula1>
    </dataValidation>
  </dataValidations>
  <pageMargins left="0.7" right="0.7" top="0.75" bottom="0.75" header="0.3" footer="0.3"/>
  <tableParts count="1">
    <tablePart r:id="rId1"/>
  </tableParts>
</worksheet>
</file>

<file path=xl/worksheets/sheet2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3A0B6-6A45-4321-BFA4-020C892567DE}">
  <sheetPr codeName="Sheet295"/>
  <dimension ref="A1:K33"/>
  <sheetViews>
    <sheetView workbookViewId="0">
      <selection activeCell="B13" sqref="B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44249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44249</v>
      </c>
    </row>
    <row r="7" spans="2:11" ht="16.5" customHeight="1" x14ac:dyDescent="0.3">
      <c r="B7" s="6" t="s">
        <v>37</v>
      </c>
      <c r="C7" s="22"/>
      <c r="D7" s="22">
        <v>216000</v>
      </c>
      <c r="E7" s="22"/>
      <c r="F7" s="22"/>
      <c r="G7" s="22"/>
      <c r="H7" s="67">
        <f t="shared" si="0"/>
        <v>44249</v>
      </c>
    </row>
    <row r="8" spans="2:11" x14ac:dyDescent="0.3">
      <c r="B8" s="6" t="s">
        <v>17</v>
      </c>
      <c r="C8" s="22">
        <v>377500</v>
      </c>
      <c r="D8" s="22">
        <v>270000</v>
      </c>
      <c r="E8" s="22"/>
      <c r="F8" s="22"/>
      <c r="G8" s="22">
        <v>45000</v>
      </c>
      <c r="H8" s="12">
        <f t="shared" si="0"/>
        <v>44249</v>
      </c>
    </row>
    <row r="9" spans="2:11" ht="15.6" x14ac:dyDescent="0.3">
      <c r="B9" s="34" t="s">
        <v>0</v>
      </c>
      <c r="C9" s="60">
        <v>45000</v>
      </c>
      <c r="D9" s="60"/>
      <c r="E9" s="60"/>
      <c r="F9" s="60"/>
      <c r="G9" s="61"/>
      <c r="H9" s="12">
        <f t="shared" si="0"/>
        <v>44249</v>
      </c>
    </row>
    <row r="10" spans="2:11" x14ac:dyDescent="0.3">
      <c r="B10" s="6" t="s">
        <v>25</v>
      </c>
      <c r="C10" s="22">
        <v>153000</v>
      </c>
      <c r="D10" s="22"/>
      <c r="E10" s="22"/>
      <c r="F10" s="22"/>
      <c r="G10" s="22"/>
      <c r="H10" s="12">
        <f t="shared" si="0"/>
        <v>44249</v>
      </c>
    </row>
    <row r="11" spans="2:11" x14ac:dyDescent="0.3">
      <c r="B11" s="6" t="s">
        <v>15</v>
      </c>
      <c r="C11" s="22"/>
      <c r="D11" s="22">
        <v>270000</v>
      </c>
      <c r="E11" s="22"/>
      <c r="F11" s="48"/>
      <c r="G11" s="22"/>
      <c r="H11" s="12">
        <f t="shared" si="0"/>
        <v>44249</v>
      </c>
    </row>
    <row r="12" spans="2:11" x14ac:dyDescent="0.3">
      <c r="B12" s="6" t="s">
        <v>54</v>
      </c>
      <c r="C12" s="22">
        <v>378000</v>
      </c>
      <c r="D12" s="22"/>
      <c r="E12" s="22"/>
      <c r="F12" s="22"/>
      <c r="G12" s="22"/>
      <c r="H12" s="75">
        <f>$G$3</f>
        <v>44249</v>
      </c>
    </row>
    <row r="13" spans="2:11" x14ac:dyDescent="0.3">
      <c r="B13" s="6" t="s">
        <v>26</v>
      </c>
      <c r="C13" s="22">
        <v>270000</v>
      </c>
      <c r="D13" s="22">
        <v>157000</v>
      </c>
      <c r="E13" s="22"/>
      <c r="F13" s="22"/>
      <c r="G13" s="22">
        <v>351000</v>
      </c>
      <c r="H13" s="12">
        <f t="shared" si="0"/>
        <v>44249</v>
      </c>
    </row>
    <row r="14" spans="2:11" x14ac:dyDescent="0.3">
      <c r="B14" s="6" t="s">
        <v>22</v>
      </c>
      <c r="C14" s="23"/>
      <c r="D14" s="23">
        <v>104000</v>
      </c>
      <c r="E14" s="23"/>
      <c r="F14" s="22"/>
      <c r="G14" s="23"/>
      <c r="H14" s="12">
        <f t="shared" si="0"/>
        <v>44249</v>
      </c>
      <c r="K14" s="4"/>
    </row>
    <row r="15" spans="2:11" x14ac:dyDescent="0.3">
      <c r="B15" s="6" t="s">
        <v>19</v>
      </c>
      <c r="C15" s="22">
        <v>108000</v>
      </c>
      <c r="D15" s="22"/>
      <c r="E15" s="22"/>
      <c r="F15" s="22"/>
      <c r="G15" s="22"/>
      <c r="H15" s="12">
        <f t="shared" si="0"/>
        <v>44249</v>
      </c>
    </row>
    <row r="16" spans="2:11" x14ac:dyDescent="0.3">
      <c r="B16" s="6" t="s">
        <v>14</v>
      </c>
      <c r="C16" s="22"/>
      <c r="D16" s="22">
        <v>269000</v>
      </c>
      <c r="E16" s="22"/>
      <c r="F16" s="22"/>
      <c r="G16" s="22"/>
      <c r="H16" s="12">
        <f t="shared" si="0"/>
        <v>44249</v>
      </c>
    </row>
    <row r="17" spans="1:8" x14ac:dyDescent="0.3">
      <c r="B17" s="6" t="s">
        <v>24</v>
      </c>
      <c r="C17" s="22"/>
      <c r="D17" s="22">
        <v>216000</v>
      </c>
      <c r="E17" s="22"/>
      <c r="F17" s="49"/>
      <c r="G17" s="22"/>
      <c r="H17" s="12">
        <f t="shared" si="0"/>
        <v>44249</v>
      </c>
    </row>
    <row r="18" spans="1:8" x14ac:dyDescent="0.3">
      <c r="B18" s="6" t="s">
        <v>21</v>
      </c>
      <c r="C18" s="22">
        <v>270000</v>
      </c>
      <c r="D18" s="22">
        <v>108000</v>
      </c>
      <c r="E18" s="22"/>
      <c r="F18" s="22"/>
      <c r="G18" s="22"/>
      <c r="H18" s="12">
        <f t="shared" si="0"/>
        <v>44249</v>
      </c>
    </row>
    <row r="19" spans="1:8" x14ac:dyDescent="0.3">
      <c r="B19" s="6" t="s">
        <v>18</v>
      </c>
      <c r="C19" s="22"/>
      <c r="D19" s="22">
        <v>270000</v>
      </c>
      <c r="E19" s="22"/>
      <c r="F19" s="22"/>
      <c r="G19" s="22"/>
      <c r="H19" s="12">
        <f t="shared" si="0"/>
        <v>44249</v>
      </c>
    </row>
    <row r="20" spans="1:8" x14ac:dyDescent="0.3">
      <c r="B20" s="6" t="s">
        <v>16</v>
      </c>
      <c r="C20" s="22"/>
      <c r="D20" s="22"/>
      <c r="E20" s="22"/>
      <c r="F20" s="22"/>
      <c r="G20" s="22"/>
      <c r="H20" s="12">
        <f t="shared" si="0"/>
        <v>44249</v>
      </c>
    </row>
    <row r="21" spans="1:8" x14ac:dyDescent="0.3">
      <c r="B21" s="50" t="s">
        <v>27</v>
      </c>
      <c r="C21" s="51">
        <f>SUM(February22_2021[KSI_AGO])</f>
        <v>1601500</v>
      </c>
      <c r="D21" s="51">
        <f>SUBTOTAL(109,February22_2021[KSI_PMS])</f>
        <v>1880000</v>
      </c>
      <c r="E21" s="51">
        <f>SUM(February22_2021[BUIPE_AGO])</f>
        <v>0</v>
      </c>
      <c r="F21" s="51">
        <f>SUM(February22_2021[BUIPE_PMS])</f>
        <v>0</v>
      </c>
      <c r="G21" s="51">
        <f>SUM(February22_2021[AKOSOMBO_AGO])</f>
        <v>396000</v>
      </c>
      <c r="H21" s="52"/>
    </row>
    <row r="22" spans="1:8" x14ac:dyDescent="0.3">
      <c r="B22" s="8"/>
      <c r="C22" s="24"/>
      <c r="D22" s="24"/>
      <c r="E22" s="24"/>
      <c r="F22" s="24"/>
      <c r="G22" s="24"/>
      <c r="H22"/>
    </row>
    <row r="23" spans="1:8" x14ac:dyDescent="0.3">
      <c r="B23" s="1" t="s">
        <v>6</v>
      </c>
      <c r="C23" s="1" t="s">
        <v>4</v>
      </c>
      <c r="D23" s="5">
        <f>SUMIF(February22_2021[[#Headers],[KSI_AGO]:[AKOSOMBO_AGO]],"*"&amp;C23,February22_2021[[#Totals],[KSI_AGO]:[AKOSOMBO_AGO]])</f>
        <v>1997500</v>
      </c>
      <c r="E23" s="1" t="s">
        <v>5</v>
      </c>
      <c r="F23" s="5">
        <f>SUMIF(February22_2021[[#Headers],[KSI_AGO]:[AKOSOMBO_AGO]],"*"&amp;E23,February22_2021[[#Totals],[KSI_AGO]:[AKOSOMBO_AGO]])</f>
        <v>1880000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0AD42E27-202D-4D15-9B45-2526A356C259}">
      <formula1>INDIRECT("BDC_List[BDC List]")</formula1>
    </dataValidation>
  </dataValidations>
  <pageMargins left="0.7" right="0.7" top="0.75" bottom="0.75" header="0.3" footer="0.3"/>
  <legacyDrawing r:id="rId1"/>
  <tableParts count="1">
    <tablePart r:id="rId2"/>
  </tableParts>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C5746-D321-437B-B868-D80ADEE38DBD}">
  <sheetPr codeName="Sheet296"/>
  <dimension ref="A1:K33"/>
  <sheetViews>
    <sheetView workbookViewId="0">
      <selection activeCell="D26" sqref="D2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44250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44250</v>
      </c>
    </row>
    <row r="7" spans="2:11" ht="16.5" customHeight="1" x14ac:dyDescent="0.3">
      <c r="B7" s="6" t="s">
        <v>37</v>
      </c>
      <c r="C7" s="22"/>
      <c r="D7" s="22">
        <v>374000</v>
      </c>
      <c r="E7" s="22"/>
      <c r="F7" s="22"/>
      <c r="G7" s="22"/>
      <c r="H7" s="67">
        <f t="shared" si="0"/>
        <v>44250</v>
      </c>
    </row>
    <row r="8" spans="2:11" x14ac:dyDescent="0.3">
      <c r="B8" s="6" t="s">
        <v>17</v>
      </c>
      <c r="C8" s="22">
        <v>373500</v>
      </c>
      <c r="D8" s="22">
        <v>216000</v>
      </c>
      <c r="E8" s="22"/>
      <c r="F8" s="22"/>
      <c r="G8" s="22"/>
      <c r="H8" s="12">
        <f t="shared" si="0"/>
        <v>44250</v>
      </c>
    </row>
    <row r="9" spans="2:11" ht="15.6" x14ac:dyDescent="0.3">
      <c r="B9" s="34" t="s">
        <v>0</v>
      </c>
      <c r="C9" s="60">
        <v>45000</v>
      </c>
      <c r="D9" s="60"/>
      <c r="E9" s="60"/>
      <c r="F9" s="60"/>
      <c r="G9" s="61"/>
      <c r="H9" s="12">
        <f t="shared" si="0"/>
        <v>44250</v>
      </c>
    </row>
    <row r="10" spans="2:11" x14ac:dyDescent="0.3">
      <c r="B10" s="6" t="s">
        <v>25</v>
      </c>
      <c r="C10" s="22">
        <v>54000</v>
      </c>
      <c r="D10" s="22"/>
      <c r="E10" s="22"/>
      <c r="F10" s="22"/>
      <c r="G10" s="22"/>
      <c r="H10" s="12">
        <f t="shared" si="0"/>
        <v>44250</v>
      </c>
    </row>
    <row r="11" spans="2:11" x14ac:dyDescent="0.3">
      <c r="B11" s="6" t="s">
        <v>15</v>
      </c>
      <c r="C11" s="22"/>
      <c r="D11" s="22">
        <v>378000</v>
      </c>
      <c r="E11" s="22"/>
      <c r="F11" s="48">
        <v>135000</v>
      </c>
      <c r="G11" s="22"/>
      <c r="H11" s="12">
        <f t="shared" si="0"/>
        <v>44250</v>
      </c>
    </row>
    <row r="12" spans="2:11" x14ac:dyDescent="0.3">
      <c r="B12" s="6" t="s">
        <v>54</v>
      </c>
      <c r="C12" s="22">
        <v>216000</v>
      </c>
      <c r="D12" s="22"/>
      <c r="E12" s="22"/>
      <c r="F12" s="22"/>
      <c r="G12" s="22"/>
      <c r="H12" s="75">
        <f>$G$3</f>
        <v>44250</v>
      </c>
    </row>
    <row r="13" spans="2:11" x14ac:dyDescent="0.3">
      <c r="B13" s="6" t="s">
        <v>26</v>
      </c>
      <c r="C13" s="22">
        <v>431000</v>
      </c>
      <c r="D13" s="22">
        <v>216000</v>
      </c>
      <c r="E13" s="22"/>
      <c r="F13" s="22"/>
      <c r="G13" s="22">
        <v>45000</v>
      </c>
      <c r="H13" s="12">
        <f t="shared" si="0"/>
        <v>44250</v>
      </c>
    </row>
    <row r="14" spans="2:11" x14ac:dyDescent="0.3">
      <c r="B14" s="6" t="s">
        <v>22</v>
      </c>
      <c r="C14" s="23"/>
      <c r="D14" s="23"/>
      <c r="E14" s="23"/>
      <c r="F14" s="22"/>
      <c r="G14" s="23"/>
      <c r="H14" s="12">
        <f t="shared" si="0"/>
        <v>44250</v>
      </c>
      <c r="K14" s="4"/>
    </row>
    <row r="15" spans="2:11" x14ac:dyDescent="0.3">
      <c r="B15" s="6" t="s">
        <v>19</v>
      </c>
      <c r="C15" s="22">
        <v>45000</v>
      </c>
      <c r="D15" s="22"/>
      <c r="E15" s="22"/>
      <c r="F15" s="22"/>
      <c r="G15" s="22"/>
      <c r="H15" s="12">
        <f t="shared" si="0"/>
        <v>44250</v>
      </c>
    </row>
    <row r="16" spans="2:11" x14ac:dyDescent="0.3">
      <c r="B16" s="6" t="s">
        <v>14</v>
      </c>
      <c r="C16" s="22"/>
      <c r="D16" s="22">
        <v>216000</v>
      </c>
      <c r="E16" s="22"/>
      <c r="F16" s="22">
        <v>45000</v>
      </c>
      <c r="G16" s="22"/>
      <c r="H16" s="12">
        <f t="shared" si="0"/>
        <v>44250</v>
      </c>
    </row>
    <row r="17" spans="1:8" x14ac:dyDescent="0.3">
      <c r="B17" s="6" t="s">
        <v>24</v>
      </c>
      <c r="C17" s="22">
        <v>92000</v>
      </c>
      <c r="D17" s="22">
        <v>378000</v>
      </c>
      <c r="E17" s="22"/>
      <c r="F17" s="49"/>
      <c r="G17" s="22"/>
      <c r="H17" s="12">
        <f t="shared" si="0"/>
        <v>44250</v>
      </c>
    </row>
    <row r="18" spans="1:8" x14ac:dyDescent="0.3">
      <c r="B18" s="6" t="s">
        <v>21</v>
      </c>
      <c r="C18" s="22">
        <v>486000</v>
      </c>
      <c r="D18" s="22">
        <v>162000</v>
      </c>
      <c r="E18" s="22"/>
      <c r="F18" s="22"/>
      <c r="G18" s="22"/>
      <c r="H18" s="12">
        <f t="shared" si="0"/>
        <v>44250</v>
      </c>
    </row>
    <row r="19" spans="1:8" x14ac:dyDescent="0.3">
      <c r="B19" s="6" t="s">
        <v>18</v>
      </c>
      <c r="C19" s="22"/>
      <c r="D19" s="22">
        <v>54000</v>
      </c>
      <c r="E19" s="22"/>
      <c r="F19" s="22"/>
      <c r="G19" s="22"/>
      <c r="H19" s="12">
        <f t="shared" si="0"/>
        <v>44250</v>
      </c>
    </row>
    <row r="20" spans="1:8" x14ac:dyDescent="0.3">
      <c r="B20" s="6" t="s">
        <v>16</v>
      </c>
      <c r="C20" s="22"/>
      <c r="D20" s="22"/>
      <c r="E20" s="22"/>
      <c r="F20" s="22"/>
      <c r="G20" s="22"/>
      <c r="H20" s="12">
        <f t="shared" si="0"/>
        <v>44250</v>
      </c>
    </row>
    <row r="21" spans="1:8" x14ac:dyDescent="0.3">
      <c r="B21" s="50" t="s">
        <v>27</v>
      </c>
      <c r="C21" s="51">
        <f>SUM(February23_2021[KSI_AGO])</f>
        <v>1742500</v>
      </c>
      <c r="D21" s="51">
        <f>SUBTOTAL(109,February23_2021[KSI_PMS])</f>
        <v>1994000</v>
      </c>
      <c r="E21" s="51">
        <f>SUM(February23_2021[BUIPE_AGO])</f>
        <v>0</v>
      </c>
      <c r="F21" s="51">
        <f>SUM(February23_2021[BUIPE_PMS])</f>
        <v>180000</v>
      </c>
      <c r="G21" s="51">
        <f>SUM(February23_2021[AKOSOMBO_AGO])</f>
        <v>45000</v>
      </c>
      <c r="H21" s="52"/>
    </row>
    <row r="22" spans="1:8" x14ac:dyDescent="0.3">
      <c r="B22" s="8"/>
      <c r="C22" s="24"/>
      <c r="D22" s="24"/>
      <c r="E22" s="24"/>
      <c r="F22" s="24"/>
      <c r="G22" s="24"/>
      <c r="H22"/>
    </row>
    <row r="23" spans="1:8" x14ac:dyDescent="0.3">
      <c r="B23" s="1" t="s">
        <v>6</v>
      </c>
      <c r="C23" s="1" t="s">
        <v>4</v>
      </c>
      <c r="D23" s="5">
        <f>SUMIF(February23_2021[[#Headers],[KSI_AGO]:[AKOSOMBO_AGO]],"*"&amp;C23,February23_2021[[#Totals],[KSI_AGO]:[AKOSOMBO_AGO]])</f>
        <v>1787500</v>
      </c>
      <c r="E23" s="1" t="s">
        <v>5</v>
      </c>
      <c r="F23" s="5">
        <f>SUMIF(February23_2021[[#Headers],[KSI_AGO]:[AKOSOMBO_AGO]],"*"&amp;E23,February23_2021[[#Totals],[KSI_AGO]:[AKOSOMBO_AGO]])</f>
        <v>2174000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D033520E-57CB-447D-AD4E-D569071633A4}">
      <formula1>INDIRECT("BDC_List[BDC List]")</formula1>
    </dataValidation>
  </dataValidations>
  <pageMargins left="0.7" right="0.7" top="0.75" bottom="0.75" header="0.3" footer="0.3"/>
  <tableParts count="1">
    <tablePart r:id="rId1"/>
  </tableParts>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D8229-40C5-4917-A748-E4970CE1146F}">
  <sheetPr codeName="Sheet297"/>
  <dimension ref="A1:K33"/>
  <sheetViews>
    <sheetView workbookViewId="0">
      <selection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44251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44251</v>
      </c>
    </row>
    <row r="7" spans="2:11" ht="16.5" customHeight="1" x14ac:dyDescent="0.3">
      <c r="B7" s="6" t="s">
        <v>37</v>
      </c>
      <c r="C7" s="22"/>
      <c r="D7" s="22">
        <v>157500</v>
      </c>
      <c r="E7" s="22"/>
      <c r="F7" s="22"/>
      <c r="G7" s="22"/>
      <c r="H7" s="67">
        <f t="shared" si="0"/>
        <v>44251</v>
      </c>
    </row>
    <row r="8" spans="2:11" x14ac:dyDescent="0.3">
      <c r="B8" s="6" t="s">
        <v>17</v>
      </c>
      <c r="C8" s="22">
        <v>864000</v>
      </c>
      <c r="D8" s="22">
        <v>216000</v>
      </c>
      <c r="E8" s="22"/>
      <c r="F8" s="22"/>
      <c r="G8" s="22"/>
      <c r="H8" s="12">
        <f t="shared" si="0"/>
        <v>44251</v>
      </c>
    </row>
    <row r="9" spans="2:11" ht="15.6" x14ac:dyDescent="0.3">
      <c r="B9" s="34" t="s">
        <v>0</v>
      </c>
      <c r="C9" s="60"/>
      <c r="D9" s="60"/>
      <c r="E9" s="60"/>
      <c r="F9" s="60"/>
      <c r="G9" s="61"/>
      <c r="H9" s="12">
        <f t="shared" si="0"/>
        <v>44251</v>
      </c>
    </row>
    <row r="10" spans="2:11" x14ac:dyDescent="0.3">
      <c r="B10" s="6" t="s">
        <v>25</v>
      </c>
      <c r="C10" s="22"/>
      <c r="D10" s="22"/>
      <c r="E10" s="22"/>
      <c r="F10" s="22"/>
      <c r="G10" s="22"/>
      <c r="H10" s="12">
        <f t="shared" si="0"/>
        <v>44251</v>
      </c>
    </row>
    <row r="11" spans="2:11" x14ac:dyDescent="0.3">
      <c r="B11" s="6" t="s">
        <v>15</v>
      </c>
      <c r="C11" s="22"/>
      <c r="D11" s="22">
        <v>324000</v>
      </c>
      <c r="E11" s="22"/>
      <c r="F11" s="48"/>
      <c r="G11" s="22"/>
      <c r="H11" s="12">
        <f t="shared" si="0"/>
        <v>44251</v>
      </c>
    </row>
    <row r="12" spans="2:11" x14ac:dyDescent="0.3">
      <c r="B12" s="6" t="s">
        <v>54</v>
      </c>
      <c r="C12" s="22"/>
      <c r="D12" s="22"/>
      <c r="E12" s="22"/>
      <c r="F12" s="22"/>
      <c r="G12" s="22"/>
      <c r="H12" s="75">
        <f>$G$3</f>
        <v>44251</v>
      </c>
    </row>
    <row r="13" spans="2:11" x14ac:dyDescent="0.3">
      <c r="B13" s="6" t="s">
        <v>26</v>
      </c>
      <c r="C13" s="22">
        <v>585000</v>
      </c>
      <c r="D13" s="22">
        <v>266000</v>
      </c>
      <c r="E13" s="22"/>
      <c r="F13" s="22"/>
      <c r="G13" s="22"/>
      <c r="H13" s="12">
        <f t="shared" si="0"/>
        <v>44251</v>
      </c>
    </row>
    <row r="14" spans="2:11" x14ac:dyDescent="0.3">
      <c r="B14" s="6" t="s">
        <v>22</v>
      </c>
      <c r="C14" s="23"/>
      <c r="D14" s="23">
        <v>188000</v>
      </c>
      <c r="E14" s="23"/>
      <c r="F14" s="22"/>
      <c r="G14" s="23"/>
      <c r="H14" s="12">
        <f t="shared" si="0"/>
        <v>44251</v>
      </c>
      <c r="K14" s="4"/>
    </row>
    <row r="15" spans="2:11" x14ac:dyDescent="0.3">
      <c r="B15" s="6" t="s">
        <v>19</v>
      </c>
      <c r="C15" s="22">
        <v>90000</v>
      </c>
      <c r="D15" s="22">
        <v>45000</v>
      </c>
      <c r="E15" s="22"/>
      <c r="F15" s="22"/>
      <c r="G15" s="22"/>
      <c r="H15" s="12">
        <f t="shared" si="0"/>
        <v>44251</v>
      </c>
    </row>
    <row r="16" spans="2:11" x14ac:dyDescent="0.3">
      <c r="B16" s="6" t="s">
        <v>14</v>
      </c>
      <c r="C16" s="22"/>
      <c r="D16" s="22">
        <v>432000</v>
      </c>
      <c r="E16" s="22"/>
      <c r="F16" s="22"/>
      <c r="G16" s="22"/>
      <c r="H16" s="12">
        <f t="shared" si="0"/>
        <v>44251</v>
      </c>
    </row>
    <row r="17" spans="1:8" x14ac:dyDescent="0.3">
      <c r="B17" s="6" t="s">
        <v>24</v>
      </c>
      <c r="C17" s="22"/>
      <c r="D17" s="22">
        <v>324000</v>
      </c>
      <c r="E17" s="22"/>
      <c r="F17" s="49"/>
      <c r="G17" s="22"/>
      <c r="H17" s="12">
        <f t="shared" si="0"/>
        <v>44251</v>
      </c>
    </row>
    <row r="18" spans="1:8" x14ac:dyDescent="0.3">
      <c r="B18" s="6" t="s">
        <v>21</v>
      </c>
      <c r="C18" s="22">
        <v>211500</v>
      </c>
      <c r="D18" s="22"/>
      <c r="E18" s="22"/>
      <c r="F18" s="22"/>
      <c r="G18" s="22"/>
      <c r="H18" s="12">
        <f t="shared" si="0"/>
        <v>44251</v>
      </c>
    </row>
    <row r="19" spans="1:8" x14ac:dyDescent="0.3">
      <c r="B19" s="6" t="s">
        <v>18</v>
      </c>
      <c r="C19" s="22"/>
      <c r="D19" s="22"/>
      <c r="E19" s="22"/>
      <c r="F19" s="22"/>
      <c r="G19" s="22"/>
      <c r="H19" s="12">
        <f t="shared" si="0"/>
        <v>44251</v>
      </c>
    </row>
    <row r="20" spans="1:8" x14ac:dyDescent="0.3">
      <c r="B20" s="6" t="s">
        <v>16</v>
      </c>
      <c r="C20" s="22"/>
      <c r="D20" s="22"/>
      <c r="E20" s="22"/>
      <c r="F20" s="22"/>
      <c r="G20" s="22"/>
      <c r="H20" s="12">
        <f t="shared" si="0"/>
        <v>44251</v>
      </c>
    </row>
    <row r="21" spans="1:8" x14ac:dyDescent="0.3">
      <c r="B21" s="50" t="s">
        <v>27</v>
      </c>
      <c r="C21" s="51">
        <f>SUM(February24_2021[KSI_AGO])</f>
        <v>1750500</v>
      </c>
      <c r="D21" s="51">
        <f>SUBTOTAL(109,February24_2021[KSI_PMS])</f>
        <v>1952500</v>
      </c>
      <c r="E21" s="51">
        <f>SUM(February24_2021[BUIPE_AGO])</f>
        <v>0</v>
      </c>
      <c r="F21" s="51">
        <f>SUM(February24_2021[BUIPE_PMS])</f>
        <v>0</v>
      </c>
      <c r="G21" s="51">
        <f>SUM(February24_2021[AKOSOMBO_AGO])</f>
        <v>0</v>
      </c>
      <c r="H21" s="52"/>
    </row>
    <row r="22" spans="1:8" x14ac:dyDescent="0.3">
      <c r="B22" s="8"/>
      <c r="C22" s="24"/>
      <c r="D22" s="24"/>
      <c r="E22" s="24"/>
      <c r="F22" s="24"/>
      <c r="G22" s="24"/>
      <c r="H22"/>
    </row>
    <row r="23" spans="1:8" x14ac:dyDescent="0.3">
      <c r="B23" s="1" t="s">
        <v>6</v>
      </c>
      <c r="C23" s="1" t="s">
        <v>4</v>
      </c>
      <c r="D23" s="5">
        <f>SUMIF(February24_2021[[#Headers],[KSI_AGO]:[AKOSOMBO_AGO]],"*"&amp;C23,February24_2021[[#Totals],[KSI_AGO]:[AKOSOMBO_AGO]])</f>
        <v>1750500</v>
      </c>
      <c r="E23" s="1" t="s">
        <v>5</v>
      </c>
      <c r="F23" s="5">
        <f>SUMIF(February24_2021[[#Headers],[KSI_AGO]:[AKOSOMBO_AGO]],"*"&amp;E23,February24_2021[[#Totals],[KSI_AGO]:[AKOSOMBO_AGO]])</f>
        <v>1952500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C325B0EB-904C-4682-89B0-F1E210D7378E}">
      <formula1>INDIRECT("BDC_List[BDC List]")</formula1>
    </dataValidation>
  </dataValidations>
  <pageMargins left="0.7" right="0.7" top="0.75" bottom="0.75" header="0.3" footer="0.3"/>
  <tableParts count="1">
    <tablePart r:id="rId1"/>
  </tableParts>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7EF94-998D-4353-A168-D5B79FAB545C}">
  <sheetPr codeName="Sheet298"/>
  <dimension ref="A1:K33"/>
  <sheetViews>
    <sheetView workbookViewId="0">
      <selection activeCell="B11" sqref="B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44252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44252</v>
      </c>
    </row>
    <row r="7" spans="2:11" ht="16.5" customHeight="1" x14ac:dyDescent="0.3">
      <c r="B7" s="6" t="s">
        <v>37</v>
      </c>
      <c r="C7" s="22"/>
      <c r="D7" s="22">
        <v>92500</v>
      </c>
      <c r="E7" s="22"/>
      <c r="F7" s="22"/>
      <c r="G7" s="22"/>
      <c r="H7" s="67">
        <f t="shared" si="0"/>
        <v>44252</v>
      </c>
    </row>
    <row r="8" spans="2:11" x14ac:dyDescent="0.3">
      <c r="B8" s="6" t="s">
        <v>17</v>
      </c>
      <c r="C8" s="22">
        <v>702000</v>
      </c>
      <c r="D8" s="22">
        <v>158000</v>
      </c>
      <c r="E8" s="22"/>
      <c r="F8" s="22"/>
      <c r="G8" s="22"/>
      <c r="H8" s="12">
        <f t="shared" si="0"/>
        <v>44252</v>
      </c>
    </row>
    <row r="9" spans="2:11" ht="15.6" x14ac:dyDescent="0.3">
      <c r="B9" s="34" t="s">
        <v>0</v>
      </c>
      <c r="C9" s="60"/>
      <c r="D9" s="60"/>
      <c r="E9" s="60"/>
      <c r="F9" s="60"/>
      <c r="G9" s="61">
        <v>486000</v>
      </c>
      <c r="H9" s="12">
        <f t="shared" si="0"/>
        <v>44252</v>
      </c>
    </row>
    <row r="10" spans="2:11" x14ac:dyDescent="0.3">
      <c r="B10" s="6" t="s">
        <v>25</v>
      </c>
      <c r="C10" s="22">
        <v>540000</v>
      </c>
      <c r="D10" s="22"/>
      <c r="E10" s="22"/>
      <c r="F10" s="22"/>
      <c r="G10" s="22"/>
      <c r="H10" s="12">
        <f t="shared" si="0"/>
        <v>44252</v>
      </c>
    </row>
    <row r="11" spans="2:11" x14ac:dyDescent="0.3">
      <c r="B11" s="6" t="s">
        <v>15</v>
      </c>
      <c r="C11" s="22"/>
      <c r="D11" s="22">
        <v>269000</v>
      </c>
      <c r="E11" s="22"/>
      <c r="F11" s="48"/>
      <c r="G11" s="22"/>
      <c r="H11" s="12">
        <f t="shared" si="0"/>
        <v>44252</v>
      </c>
    </row>
    <row r="12" spans="2:11" x14ac:dyDescent="0.3">
      <c r="B12" s="6" t="s">
        <v>54</v>
      </c>
      <c r="C12" s="22"/>
      <c r="D12" s="22"/>
      <c r="E12" s="22"/>
      <c r="F12" s="22"/>
      <c r="G12" s="22"/>
      <c r="H12" s="75">
        <f>$G$3</f>
        <v>44252</v>
      </c>
    </row>
    <row r="13" spans="2:11" x14ac:dyDescent="0.3">
      <c r="B13" s="6" t="s">
        <v>26</v>
      </c>
      <c r="C13" s="22">
        <v>486000</v>
      </c>
      <c r="D13" s="22">
        <v>540000</v>
      </c>
      <c r="E13" s="22"/>
      <c r="F13" s="22">
        <v>369000</v>
      </c>
      <c r="G13" s="22"/>
      <c r="H13" s="12">
        <f t="shared" si="0"/>
        <v>44252</v>
      </c>
    </row>
    <row r="14" spans="2:11" x14ac:dyDescent="0.3">
      <c r="B14" s="6" t="s">
        <v>22</v>
      </c>
      <c r="C14" s="23"/>
      <c r="D14" s="23"/>
      <c r="E14" s="23"/>
      <c r="F14" s="22"/>
      <c r="G14" s="23"/>
      <c r="H14" s="12">
        <f t="shared" si="0"/>
        <v>44252</v>
      </c>
      <c r="K14" s="4"/>
    </row>
    <row r="15" spans="2:11" x14ac:dyDescent="0.3">
      <c r="B15" s="6" t="s">
        <v>19</v>
      </c>
      <c r="C15" s="22"/>
      <c r="D15" s="22">
        <v>45000</v>
      </c>
      <c r="E15" s="22"/>
      <c r="F15" s="22"/>
      <c r="G15" s="22"/>
      <c r="H15" s="12">
        <f t="shared" si="0"/>
        <v>44252</v>
      </c>
    </row>
    <row r="16" spans="2:11" x14ac:dyDescent="0.3">
      <c r="B16" s="6" t="s">
        <v>14</v>
      </c>
      <c r="C16" s="22"/>
      <c r="D16" s="22">
        <v>378000</v>
      </c>
      <c r="E16" s="22"/>
      <c r="F16" s="22"/>
      <c r="G16" s="22"/>
      <c r="H16" s="12">
        <f t="shared" si="0"/>
        <v>44252</v>
      </c>
    </row>
    <row r="17" spans="1:8" x14ac:dyDescent="0.3">
      <c r="B17" s="6" t="s">
        <v>24</v>
      </c>
      <c r="C17" s="22">
        <v>45000</v>
      </c>
      <c r="D17" s="22">
        <v>378000</v>
      </c>
      <c r="E17" s="22"/>
      <c r="F17" s="49"/>
      <c r="G17" s="22"/>
      <c r="H17" s="12">
        <f t="shared" si="0"/>
        <v>44252</v>
      </c>
    </row>
    <row r="18" spans="1:8" x14ac:dyDescent="0.3">
      <c r="B18" s="6" t="s">
        <v>21</v>
      </c>
      <c r="C18" s="22">
        <v>54000</v>
      </c>
      <c r="D18" s="22"/>
      <c r="E18" s="22"/>
      <c r="F18" s="22"/>
      <c r="G18" s="22"/>
      <c r="H18" s="12">
        <f t="shared" si="0"/>
        <v>44252</v>
      </c>
    </row>
    <row r="19" spans="1:8" x14ac:dyDescent="0.3">
      <c r="B19" s="6" t="s">
        <v>18</v>
      </c>
      <c r="C19" s="22"/>
      <c r="D19" s="22"/>
      <c r="E19" s="22"/>
      <c r="F19" s="22"/>
      <c r="G19" s="22"/>
      <c r="H19" s="12">
        <f t="shared" si="0"/>
        <v>44252</v>
      </c>
    </row>
    <row r="20" spans="1:8" x14ac:dyDescent="0.3">
      <c r="B20" s="6" t="s">
        <v>16</v>
      </c>
      <c r="C20" s="22"/>
      <c r="D20" s="22"/>
      <c r="E20" s="22"/>
      <c r="F20" s="22"/>
      <c r="G20" s="22"/>
      <c r="H20" s="12">
        <f t="shared" si="0"/>
        <v>44252</v>
      </c>
    </row>
    <row r="21" spans="1:8" x14ac:dyDescent="0.3">
      <c r="B21" s="50" t="s">
        <v>27</v>
      </c>
      <c r="C21" s="51">
        <f>SUM(February25_2021[KSI_AGO])</f>
        <v>1827000</v>
      </c>
      <c r="D21" s="51">
        <f>SUBTOTAL(109,February25_2021[KSI_PMS])</f>
        <v>1860500</v>
      </c>
      <c r="E21" s="51">
        <f>SUM(February25_2021[BUIPE_AGO])</f>
        <v>0</v>
      </c>
      <c r="F21" s="51">
        <f>SUM(February25_2021[BUIPE_PMS])</f>
        <v>369000</v>
      </c>
      <c r="G21" s="51">
        <f>SUM(February25_2021[AKOSOMBO_AGO])</f>
        <v>486000</v>
      </c>
      <c r="H21" s="52"/>
    </row>
    <row r="22" spans="1:8" x14ac:dyDescent="0.3">
      <c r="B22" s="8"/>
      <c r="C22" s="24"/>
      <c r="D22" s="24"/>
      <c r="E22" s="24"/>
      <c r="F22" s="24"/>
      <c r="G22" s="24"/>
      <c r="H22"/>
    </row>
    <row r="23" spans="1:8" x14ac:dyDescent="0.3">
      <c r="B23" s="1" t="s">
        <v>6</v>
      </c>
      <c r="C23" s="1" t="s">
        <v>4</v>
      </c>
      <c r="D23" s="5">
        <f>SUMIF(February25_2021[[#Headers],[KSI_AGO]:[AKOSOMBO_AGO]],"*"&amp;C23,February25_2021[[#Totals],[KSI_AGO]:[AKOSOMBO_AGO]])</f>
        <v>2313000</v>
      </c>
      <c r="E23" s="1" t="s">
        <v>5</v>
      </c>
      <c r="F23" s="5">
        <f>SUMIF(February25_2021[[#Headers],[KSI_AGO]:[AKOSOMBO_AGO]],"*"&amp;E23,February25_2021[[#Totals],[KSI_AGO]:[AKOSOMBO_AGO]])</f>
        <v>2229500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CC481A46-8F61-4424-8FA2-68567B712B3F}">
      <formula1>INDIRECT("BDC_List[BDC List]")</formula1>
    </dataValidation>
  </dataValidations>
  <pageMargins left="0.7" right="0.7" top="0.75" bottom="0.75" header="0.3" footer="0.3"/>
  <tableParts count="1">
    <tablePart r:id="rId1"/>
  </tableParts>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B45C-F1A4-4290-907B-5F4D5B1BA2D5}">
  <sheetPr codeName="Sheet299"/>
  <dimension ref="A1:K33"/>
  <sheetViews>
    <sheetView workbookViewId="0">
      <selection activeCell="C13" sqref="C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44253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44253</v>
      </c>
    </row>
    <row r="7" spans="2:11" ht="16.5" customHeight="1" x14ac:dyDescent="0.3">
      <c r="B7" s="6" t="s">
        <v>37</v>
      </c>
      <c r="C7" s="22"/>
      <c r="D7" s="22">
        <v>45000</v>
      </c>
      <c r="E7" s="22"/>
      <c r="F7" s="22"/>
      <c r="G7" s="22"/>
      <c r="H7" s="67">
        <f t="shared" si="0"/>
        <v>44253</v>
      </c>
    </row>
    <row r="8" spans="2:11" x14ac:dyDescent="0.3">
      <c r="B8" s="6" t="s">
        <v>17</v>
      </c>
      <c r="C8" s="22"/>
      <c r="D8" s="22">
        <v>200000</v>
      </c>
      <c r="E8" s="22"/>
      <c r="F8" s="22"/>
      <c r="G8" s="22"/>
      <c r="H8" s="12">
        <f t="shared" si="0"/>
        <v>44253</v>
      </c>
    </row>
    <row r="9" spans="2:11" ht="15.6" x14ac:dyDescent="0.3">
      <c r="B9" s="34" t="s">
        <v>0</v>
      </c>
      <c r="C9" s="60"/>
      <c r="D9" s="60"/>
      <c r="E9" s="60"/>
      <c r="F9" s="60"/>
      <c r="G9" s="61">
        <v>424000</v>
      </c>
      <c r="H9" s="12">
        <f t="shared" si="0"/>
        <v>44253</v>
      </c>
    </row>
    <row r="10" spans="2:11" x14ac:dyDescent="0.3">
      <c r="B10" s="6" t="s">
        <v>25</v>
      </c>
      <c r="C10" s="22">
        <v>1391000</v>
      </c>
      <c r="D10" s="22"/>
      <c r="E10" s="22"/>
      <c r="F10" s="22"/>
      <c r="G10" s="22"/>
      <c r="H10" s="12">
        <f t="shared" si="0"/>
        <v>44253</v>
      </c>
    </row>
    <row r="11" spans="2:11" x14ac:dyDescent="0.3">
      <c r="B11" s="6" t="s">
        <v>15</v>
      </c>
      <c r="C11" s="22"/>
      <c r="D11" s="22">
        <v>108000</v>
      </c>
      <c r="E11" s="22"/>
      <c r="F11" s="48"/>
      <c r="G11" s="22"/>
      <c r="H11" s="12">
        <f t="shared" si="0"/>
        <v>44253</v>
      </c>
    </row>
    <row r="12" spans="2:11" x14ac:dyDescent="0.3">
      <c r="B12" s="6" t="s">
        <v>54</v>
      </c>
      <c r="C12" s="22"/>
      <c r="D12" s="22"/>
      <c r="E12" s="22"/>
      <c r="F12" s="22"/>
      <c r="G12" s="22"/>
      <c r="H12" s="75">
        <f>$G$3</f>
        <v>44253</v>
      </c>
    </row>
    <row r="13" spans="2:11" x14ac:dyDescent="0.3">
      <c r="B13" s="6" t="s">
        <v>26</v>
      </c>
      <c r="C13" s="22"/>
      <c r="D13" s="22">
        <v>162000</v>
      </c>
      <c r="E13" s="22"/>
      <c r="F13" s="22">
        <v>162000</v>
      </c>
      <c r="G13" s="22"/>
      <c r="H13" s="12">
        <f t="shared" si="0"/>
        <v>44253</v>
      </c>
    </row>
    <row r="14" spans="2:11" x14ac:dyDescent="0.3">
      <c r="B14" s="6" t="s">
        <v>22</v>
      </c>
      <c r="C14" s="23"/>
      <c r="D14" s="23"/>
      <c r="E14" s="23"/>
      <c r="F14" s="22"/>
      <c r="G14" s="23"/>
      <c r="H14" s="12">
        <f t="shared" si="0"/>
        <v>44253</v>
      </c>
      <c r="K14" s="4"/>
    </row>
    <row r="15" spans="2:11" x14ac:dyDescent="0.3">
      <c r="B15" s="6" t="s">
        <v>19</v>
      </c>
      <c r="C15" s="22"/>
      <c r="D15" s="22">
        <v>972000</v>
      </c>
      <c r="E15" s="22"/>
      <c r="F15" s="22"/>
      <c r="G15" s="22"/>
      <c r="H15" s="12">
        <f t="shared" si="0"/>
        <v>44253</v>
      </c>
    </row>
    <row r="16" spans="2:11" x14ac:dyDescent="0.3">
      <c r="B16" s="6" t="s">
        <v>14</v>
      </c>
      <c r="C16" s="22"/>
      <c r="D16" s="22">
        <v>162000</v>
      </c>
      <c r="E16" s="22"/>
      <c r="F16" s="22"/>
      <c r="G16" s="22"/>
      <c r="H16" s="12">
        <f t="shared" si="0"/>
        <v>44253</v>
      </c>
    </row>
    <row r="17" spans="1:8" x14ac:dyDescent="0.3">
      <c r="B17" s="6" t="s">
        <v>24</v>
      </c>
      <c r="C17" s="22"/>
      <c r="D17" s="22">
        <v>108000</v>
      </c>
      <c r="E17" s="22"/>
      <c r="F17" s="49"/>
      <c r="G17" s="22"/>
      <c r="H17" s="12">
        <f t="shared" si="0"/>
        <v>44253</v>
      </c>
    </row>
    <row r="18" spans="1:8" x14ac:dyDescent="0.3">
      <c r="B18" s="6" t="s">
        <v>21</v>
      </c>
      <c r="C18" s="22"/>
      <c r="D18" s="22"/>
      <c r="E18" s="22"/>
      <c r="F18" s="22"/>
      <c r="G18" s="22"/>
      <c r="H18" s="12">
        <f t="shared" si="0"/>
        <v>44253</v>
      </c>
    </row>
    <row r="19" spans="1:8" x14ac:dyDescent="0.3">
      <c r="B19" s="6" t="s">
        <v>18</v>
      </c>
      <c r="C19" s="22"/>
      <c r="D19" s="22"/>
      <c r="E19" s="22"/>
      <c r="F19" s="22"/>
      <c r="G19" s="22">
        <v>216000</v>
      </c>
      <c r="H19" s="12">
        <f t="shared" si="0"/>
        <v>44253</v>
      </c>
    </row>
    <row r="20" spans="1:8" x14ac:dyDescent="0.3">
      <c r="B20" s="6" t="s">
        <v>16</v>
      </c>
      <c r="C20" s="22"/>
      <c r="D20" s="22">
        <v>54000</v>
      </c>
      <c r="E20" s="22"/>
      <c r="F20" s="22">
        <v>216000</v>
      </c>
      <c r="G20" s="22"/>
      <c r="H20" s="12">
        <f t="shared" si="0"/>
        <v>44253</v>
      </c>
    </row>
    <row r="21" spans="1:8" x14ac:dyDescent="0.3">
      <c r="B21" s="50" t="s">
        <v>27</v>
      </c>
      <c r="C21" s="51">
        <f>SUM(February26_2021[KSI_AGO])</f>
        <v>1391000</v>
      </c>
      <c r="D21" s="51">
        <f>SUBTOTAL(109,February26_2021[KSI_PMS])</f>
        <v>1811000</v>
      </c>
      <c r="E21" s="51">
        <f>SUM(February26_2021[BUIPE_AGO])</f>
        <v>0</v>
      </c>
      <c r="F21" s="51">
        <f>SUM(February26_2021[BUIPE_PMS])</f>
        <v>378000</v>
      </c>
      <c r="G21" s="51">
        <f>SUM(February26_2021[AKOSOMBO_AGO])</f>
        <v>640000</v>
      </c>
      <c r="H21" s="52"/>
    </row>
    <row r="22" spans="1:8" x14ac:dyDescent="0.3">
      <c r="B22" s="8"/>
      <c r="C22" s="24"/>
      <c r="D22" s="24"/>
      <c r="E22" s="24"/>
      <c r="F22" s="24"/>
      <c r="G22" s="24"/>
      <c r="H22"/>
    </row>
    <row r="23" spans="1:8" x14ac:dyDescent="0.3">
      <c r="B23" s="1" t="s">
        <v>6</v>
      </c>
      <c r="C23" s="1" t="s">
        <v>4</v>
      </c>
      <c r="D23" s="5">
        <f>SUMIF(February26_2021[[#Headers],[KSI_AGO]:[AKOSOMBO_AGO]],"*"&amp;C23,February26_2021[[#Totals],[KSI_AGO]:[AKOSOMBO_AGO]])</f>
        <v>2031000</v>
      </c>
      <c r="E23" s="1" t="s">
        <v>5</v>
      </c>
      <c r="F23" s="5">
        <f>SUMIF(February26_2021[[#Headers],[KSI_AGO]:[AKOSOMBO_AGO]],"*"&amp;E23,February26_2021[[#Totals],[KSI_AGO]:[AKOSOMBO_AGO]])</f>
        <v>2189000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F17EF3B4-15CC-413D-A039-1078333651BA}">
      <formula1>INDIRECT("BDC_List[BDC List]")</formula1>
    </dataValidation>
  </dataValidations>
  <pageMargins left="0.7" right="0.7" top="0.75" bottom="0.75" header="0.3" footer="0.3"/>
  <tableParts count="1">
    <tablePart r:id="rId1"/>
  </tableParts>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E75EA-6EBC-4785-8D21-54484A576358}">
  <sheetPr codeName="Sheet300"/>
  <dimension ref="A1:K33"/>
  <sheetViews>
    <sheetView workbookViewId="0">
      <selection activeCell="D20" sqref="D2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44254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44254</v>
      </c>
    </row>
    <row r="7" spans="2:11" ht="16.5" customHeight="1" x14ac:dyDescent="0.3">
      <c r="B7" s="6" t="s">
        <v>37</v>
      </c>
      <c r="C7" s="22"/>
      <c r="D7" s="22"/>
      <c r="E7" s="22"/>
      <c r="F7" s="22"/>
      <c r="G7" s="22"/>
      <c r="H7" s="67">
        <f t="shared" si="0"/>
        <v>44254</v>
      </c>
    </row>
    <row r="8" spans="2:11" x14ac:dyDescent="0.3">
      <c r="B8" s="6" t="s">
        <v>17</v>
      </c>
      <c r="C8" s="22">
        <v>54000</v>
      </c>
      <c r="D8" s="22">
        <v>54000</v>
      </c>
      <c r="E8" s="22"/>
      <c r="F8" s="22"/>
      <c r="G8" s="22"/>
      <c r="H8" s="12">
        <f t="shared" si="0"/>
        <v>44254</v>
      </c>
    </row>
    <row r="9" spans="2:11" ht="15.6" x14ac:dyDescent="0.3">
      <c r="B9" s="34" t="s">
        <v>0</v>
      </c>
      <c r="C9" s="60"/>
      <c r="D9" s="60"/>
      <c r="E9" s="60"/>
      <c r="F9" s="60"/>
      <c r="G9" s="61">
        <v>90000</v>
      </c>
      <c r="H9" s="12">
        <f t="shared" si="0"/>
        <v>44254</v>
      </c>
    </row>
    <row r="10" spans="2:11" x14ac:dyDescent="0.3">
      <c r="B10" s="6" t="s">
        <v>25</v>
      </c>
      <c r="C10" s="22">
        <v>910000</v>
      </c>
      <c r="D10" s="22"/>
      <c r="E10" s="22"/>
      <c r="F10" s="22"/>
      <c r="G10" s="22"/>
      <c r="H10" s="12">
        <f t="shared" si="0"/>
        <v>44254</v>
      </c>
    </row>
    <row r="11" spans="2:11" x14ac:dyDescent="0.3">
      <c r="B11" s="6" t="s">
        <v>15</v>
      </c>
      <c r="C11" s="22"/>
      <c r="D11" s="22">
        <v>108000</v>
      </c>
      <c r="E11" s="22"/>
      <c r="F11" s="48"/>
      <c r="G11" s="22"/>
      <c r="H11" s="12">
        <f t="shared" si="0"/>
        <v>44254</v>
      </c>
    </row>
    <row r="12" spans="2:11" x14ac:dyDescent="0.3">
      <c r="B12" s="6" t="s">
        <v>54</v>
      </c>
      <c r="C12" s="22"/>
      <c r="D12" s="22"/>
      <c r="E12" s="22"/>
      <c r="F12" s="22"/>
      <c r="G12" s="22"/>
      <c r="H12" s="75">
        <f>$G$3</f>
        <v>44254</v>
      </c>
    </row>
    <row r="13" spans="2:11" x14ac:dyDescent="0.3">
      <c r="B13" s="6" t="s">
        <v>26</v>
      </c>
      <c r="C13" s="22">
        <v>54000</v>
      </c>
      <c r="D13" s="22">
        <v>377000</v>
      </c>
      <c r="E13" s="22"/>
      <c r="F13" s="22">
        <v>468000</v>
      </c>
      <c r="G13" s="22"/>
      <c r="H13" s="12">
        <f t="shared" si="0"/>
        <v>44254</v>
      </c>
    </row>
    <row r="14" spans="2:11" x14ac:dyDescent="0.3">
      <c r="B14" s="6" t="s">
        <v>22</v>
      </c>
      <c r="C14" s="23"/>
      <c r="D14" s="23"/>
      <c r="E14" s="23"/>
      <c r="F14" s="22"/>
      <c r="G14" s="23"/>
      <c r="H14" s="12">
        <f t="shared" si="0"/>
        <v>44254</v>
      </c>
      <c r="K14" s="4"/>
    </row>
    <row r="15" spans="2:11" x14ac:dyDescent="0.3">
      <c r="B15" s="6" t="s">
        <v>19</v>
      </c>
      <c r="C15" s="22"/>
      <c r="D15" s="22"/>
      <c r="E15" s="22"/>
      <c r="F15" s="22"/>
      <c r="G15" s="22"/>
      <c r="H15" s="12">
        <f t="shared" si="0"/>
        <v>44254</v>
      </c>
    </row>
    <row r="16" spans="2:11" x14ac:dyDescent="0.3">
      <c r="B16" s="6" t="s">
        <v>14</v>
      </c>
      <c r="C16" s="22">
        <v>858000</v>
      </c>
      <c r="D16" s="22">
        <v>378000</v>
      </c>
      <c r="E16" s="22">
        <v>316000</v>
      </c>
      <c r="F16" s="22">
        <v>45000</v>
      </c>
      <c r="G16" s="22"/>
      <c r="H16" s="12">
        <f t="shared" si="0"/>
        <v>44254</v>
      </c>
    </row>
    <row r="17" spans="1:8" x14ac:dyDescent="0.3">
      <c r="B17" s="6" t="s">
        <v>24</v>
      </c>
      <c r="C17" s="22"/>
      <c r="D17" s="22">
        <v>216000</v>
      </c>
      <c r="E17" s="22"/>
      <c r="F17" s="49"/>
      <c r="G17" s="22"/>
      <c r="H17" s="12">
        <f t="shared" si="0"/>
        <v>44254</v>
      </c>
    </row>
    <row r="18" spans="1:8" x14ac:dyDescent="0.3">
      <c r="B18" s="6" t="s">
        <v>21</v>
      </c>
      <c r="C18" s="22"/>
      <c r="D18" s="22"/>
      <c r="E18" s="22"/>
      <c r="F18" s="22"/>
      <c r="G18" s="22"/>
      <c r="H18" s="12">
        <f t="shared" si="0"/>
        <v>44254</v>
      </c>
    </row>
    <row r="19" spans="1:8" x14ac:dyDescent="0.3">
      <c r="B19" s="6" t="s">
        <v>18</v>
      </c>
      <c r="C19" s="22"/>
      <c r="D19" s="22"/>
      <c r="E19" s="22"/>
      <c r="F19" s="22"/>
      <c r="G19" s="22">
        <v>270000</v>
      </c>
      <c r="H19" s="12">
        <f t="shared" si="0"/>
        <v>44254</v>
      </c>
    </row>
    <row r="20" spans="1:8" x14ac:dyDescent="0.3">
      <c r="B20" s="6" t="s">
        <v>16</v>
      </c>
      <c r="C20" s="22"/>
      <c r="D20" s="22">
        <v>378000</v>
      </c>
      <c r="E20" s="22"/>
      <c r="F20" s="22">
        <v>150000</v>
      </c>
      <c r="G20" s="22"/>
      <c r="H20" s="12">
        <f t="shared" si="0"/>
        <v>44254</v>
      </c>
    </row>
    <row r="21" spans="1:8" x14ac:dyDescent="0.3">
      <c r="B21" s="50" t="s">
        <v>27</v>
      </c>
      <c r="C21" s="51">
        <f>SUM(February27_2021[KSI_AGO])</f>
        <v>1876000</v>
      </c>
      <c r="D21" s="51">
        <f>SUBTOTAL(109,February27_2021[KSI_PMS])</f>
        <v>1511000</v>
      </c>
      <c r="E21" s="51">
        <f>SUM(February27_2021[BUIPE_AGO])</f>
        <v>316000</v>
      </c>
      <c r="F21" s="51">
        <f>SUM(February27_2021[BUIPE_PMS])</f>
        <v>663000</v>
      </c>
      <c r="G21" s="51">
        <f>SUM(February27_2021[AKOSOMBO_AGO])</f>
        <v>360000</v>
      </c>
      <c r="H21" s="52"/>
    </row>
    <row r="22" spans="1:8" x14ac:dyDescent="0.3">
      <c r="B22" s="8"/>
      <c r="C22" s="24"/>
      <c r="D22" s="24"/>
      <c r="E22" s="24"/>
      <c r="F22" s="24"/>
      <c r="G22" s="24"/>
      <c r="H22"/>
    </row>
    <row r="23" spans="1:8" x14ac:dyDescent="0.3">
      <c r="B23" s="1" t="s">
        <v>6</v>
      </c>
      <c r="C23" s="1" t="s">
        <v>4</v>
      </c>
      <c r="D23" s="5">
        <f>SUMIF(February27_2021[[#Headers],[KSI_AGO]:[AKOSOMBO_AGO]],"*"&amp;C23,February27_2021[[#Totals],[KSI_AGO]:[AKOSOMBO_AGO]])</f>
        <v>2552000</v>
      </c>
      <c r="E23" s="1" t="s">
        <v>5</v>
      </c>
      <c r="F23" s="5">
        <f>SUMIF(February27_2021[[#Headers],[KSI_AGO]:[AKOSOMBO_AGO]],"*"&amp;E23,February27_2021[[#Totals],[KSI_AGO]:[AKOSOMBO_AGO]])</f>
        <v>2174000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EB1FB44C-D9C0-45B8-9C81-477AC232AE9C}">
      <formula1>INDIRECT("BDC_List[BDC List]")</formula1>
    </dataValidation>
  </dataValidations>
  <pageMargins left="0.7" right="0.7" top="0.75" bottom="0.75" header="0.3" footer="0.3"/>
  <tableParts count="1">
    <tablePart r:id="rId1"/>
  </tableParts>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2C2FA-E0AC-4612-91AB-7A23C6E73D19}">
  <sheetPr codeName="Sheet301"/>
  <dimension ref="A1:K33"/>
  <sheetViews>
    <sheetView workbookViewId="0">
      <selection activeCell="B19" sqref="B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44256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44256</v>
      </c>
    </row>
    <row r="7" spans="2:11" ht="16.5" customHeight="1" x14ac:dyDescent="0.3">
      <c r="B7" s="6" t="s">
        <v>37</v>
      </c>
      <c r="C7" s="22"/>
      <c r="D7" s="22"/>
      <c r="E7" s="22"/>
      <c r="F7" s="22"/>
      <c r="G7" s="22"/>
      <c r="H7" s="67">
        <f t="shared" si="0"/>
        <v>44256</v>
      </c>
    </row>
    <row r="8" spans="2:11" x14ac:dyDescent="0.3">
      <c r="B8" s="6" t="s">
        <v>17</v>
      </c>
      <c r="C8" s="22"/>
      <c r="D8" s="22"/>
      <c r="E8" s="22"/>
      <c r="F8" s="22"/>
      <c r="G8" s="22"/>
      <c r="H8" s="12">
        <f t="shared" si="0"/>
        <v>44256</v>
      </c>
    </row>
    <row r="9" spans="2:11" ht="15.6" x14ac:dyDescent="0.3">
      <c r="B9" s="34" t="s">
        <v>0</v>
      </c>
      <c r="C9" s="60"/>
      <c r="D9" s="60"/>
      <c r="E9" s="60"/>
      <c r="F9" s="60"/>
      <c r="G9" s="61"/>
      <c r="H9" s="12">
        <f t="shared" si="0"/>
        <v>44256</v>
      </c>
    </row>
    <row r="10" spans="2:11" x14ac:dyDescent="0.3">
      <c r="B10" s="6" t="s">
        <v>25</v>
      </c>
      <c r="C10" s="22"/>
      <c r="D10" s="22"/>
      <c r="E10" s="22"/>
      <c r="F10" s="22"/>
      <c r="G10" s="22"/>
      <c r="H10" s="12">
        <f t="shared" si="0"/>
        <v>44256</v>
      </c>
    </row>
    <row r="11" spans="2:11" x14ac:dyDescent="0.3">
      <c r="B11" s="6" t="s">
        <v>15</v>
      </c>
      <c r="C11" s="22"/>
      <c r="D11" s="22">
        <v>108000</v>
      </c>
      <c r="E11" s="22"/>
      <c r="F11" s="48"/>
      <c r="G11" s="22"/>
      <c r="H11" s="12">
        <f t="shared" si="0"/>
        <v>44256</v>
      </c>
    </row>
    <row r="12" spans="2:11" x14ac:dyDescent="0.3">
      <c r="B12" s="6" t="s">
        <v>54</v>
      </c>
      <c r="C12" s="22"/>
      <c r="D12" s="22"/>
      <c r="E12" s="22"/>
      <c r="F12" s="22"/>
      <c r="G12" s="22"/>
      <c r="H12" s="75">
        <f>$G$3</f>
        <v>44256</v>
      </c>
    </row>
    <row r="13" spans="2:11" x14ac:dyDescent="0.3">
      <c r="B13" s="6" t="s">
        <v>26</v>
      </c>
      <c r="C13" s="22"/>
      <c r="D13" s="22">
        <v>162000</v>
      </c>
      <c r="E13" s="22"/>
      <c r="F13" s="22"/>
      <c r="G13" s="22"/>
      <c r="H13" s="12">
        <f t="shared" si="0"/>
        <v>44256</v>
      </c>
    </row>
    <row r="14" spans="2:11" x14ac:dyDescent="0.3">
      <c r="B14" s="6" t="s">
        <v>22</v>
      </c>
      <c r="C14" s="23"/>
      <c r="D14" s="23"/>
      <c r="E14" s="23"/>
      <c r="F14" s="22"/>
      <c r="G14" s="23"/>
      <c r="H14" s="12">
        <f t="shared" si="0"/>
        <v>44256</v>
      </c>
      <c r="K14" s="4"/>
    </row>
    <row r="15" spans="2:11" x14ac:dyDescent="0.3">
      <c r="B15" s="6" t="s">
        <v>19</v>
      </c>
      <c r="C15" s="22"/>
      <c r="D15" s="22"/>
      <c r="E15" s="22"/>
      <c r="F15" s="22"/>
      <c r="G15" s="22"/>
      <c r="H15" s="12">
        <f t="shared" si="0"/>
        <v>44256</v>
      </c>
    </row>
    <row r="16" spans="2:11" x14ac:dyDescent="0.3">
      <c r="B16" s="6" t="s">
        <v>14</v>
      </c>
      <c r="C16" s="22">
        <v>500500</v>
      </c>
      <c r="D16" s="22"/>
      <c r="E16" s="22"/>
      <c r="F16" s="22"/>
      <c r="G16" s="22"/>
      <c r="H16" s="12">
        <f t="shared" si="0"/>
        <v>44256</v>
      </c>
    </row>
    <row r="17" spans="1:8" x14ac:dyDescent="0.3">
      <c r="B17" s="6" t="s">
        <v>24</v>
      </c>
      <c r="C17" s="22"/>
      <c r="D17" s="22">
        <v>104000</v>
      </c>
      <c r="E17" s="22"/>
      <c r="F17" s="49"/>
      <c r="G17" s="22"/>
      <c r="H17" s="12">
        <f t="shared" si="0"/>
        <v>44256</v>
      </c>
    </row>
    <row r="18" spans="1:8" x14ac:dyDescent="0.3">
      <c r="B18" s="6" t="s">
        <v>21</v>
      </c>
      <c r="C18" s="22"/>
      <c r="D18" s="22"/>
      <c r="E18" s="22"/>
      <c r="F18" s="22"/>
      <c r="G18" s="22"/>
      <c r="H18" s="12">
        <f t="shared" si="0"/>
        <v>44256</v>
      </c>
    </row>
    <row r="19" spans="1:8" x14ac:dyDescent="0.3">
      <c r="B19" s="6" t="s">
        <v>18</v>
      </c>
      <c r="C19" s="22"/>
      <c r="D19" s="22"/>
      <c r="E19" s="22"/>
      <c r="F19" s="22"/>
      <c r="G19" s="22"/>
      <c r="H19" s="12">
        <f t="shared" si="0"/>
        <v>44256</v>
      </c>
    </row>
    <row r="20" spans="1:8" x14ac:dyDescent="0.3">
      <c r="B20" s="6" t="s">
        <v>16</v>
      </c>
      <c r="C20" s="22"/>
      <c r="D20" s="22">
        <v>158000</v>
      </c>
      <c r="E20" s="22"/>
      <c r="F20" s="22"/>
      <c r="G20" s="22"/>
      <c r="H20" s="12">
        <f t="shared" si="0"/>
        <v>44256</v>
      </c>
    </row>
    <row r="21" spans="1:8" x14ac:dyDescent="0.3">
      <c r="B21" s="50" t="s">
        <v>27</v>
      </c>
      <c r="C21" s="51">
        <f>SUM(March01_2021[KSI_AGO])</f>
        <v>500500</v>
      </c>
      <c r="D21" s="51">
        <f>SUBTOTAL(109,March01_2021[KSI_PMS])</f>
        <v>532000</v>
      </c>
      <c r="E21" s="51">
        <f>SUM(March01_2021[BUIPE_AGO])</f>
        <v>0</v>
      </c>
      <c r="F21" s="51">
        <f>SUM(March01_2021[BUIPE_PMS])</f>
        <v>0</v>
      </c>
      <c r="G21" s="51">
        <f>SUM(March01_2021[AKOSOMBO_AGO])</f>
        <v>0</v>
      </c>
      <c r="H21" s="52"/>
    </row>
    <row r="22" spans="1:8" x14ac:dyDescent="0.3">
      <c r="B22" s="8"/>
      <c r="C22" s="24"/>
      <c r="D22" s="24"/>
      <c r="E22" s="24"/>
      <c r="F22" s="24"/>
      <c r="G22" s="24"/>
      <c r="H22"/>
    </row>
    <row r="23" spans="1:8" x14ac:dyDescent="0.3">
      <c r="B23" s="1" t="s">
        <v>6</v>
      </c>
      <c r="C23" s="1" t="s">
        <v>4</v>
      </c>
      <c r="D23" s="5">
        <f>SUMIF(March01_2021[[#Headers],[KSI_AGO]:[AKOSOMBO_AGO]],"*"&amp;C23,March01_2021[[#Totals],[KSI_AGO]:[AKOSOMBO_AGO]])</f>
        <v>500500</v>
      </c>
      <c r="E23" s="1" t="s">
        <v>5</v>
      </c>
      <c r="F23" s="5">
        <f>SUMIF(March01_2021[[#Headers],[KSI_AGO]:[AKOSOMBO_AGO]],"*"&amp;E23,March01_2021[[#Totals],[KSI_AGO]:[AKOSOMBO_AGO]])</f>
        <v>532000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1539B22A-92E7-48F5-AEEA-0AE517F0B021}">
      <formula1>INDIRECT("BDC_List[BDC List]")</formula1>
    </dataValidation>
  </dataValidations>
  <pageMargins left="0.7" right="0.7" top="0.75" bottom="0.75" header="0.3" footer="0.3"/>
  <tableParts count="1">
    <tablePart r:id="rId1"/>
  </tableParts>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1B60-E183-48D1-9602-B2144D36C5FC}">
  <sheetPr codeName="Sheet302"/>
  <dimension ref="A1:K33"/>
  <sheetViews>
    <sheetView workbookViewId="0">
      <selection activeCell="B14" sqref="B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44257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44257</v>
      </c>
    </row>
    <row r="7" spans="2:11" ht="16.5" customHeight="1" x14ac:dyDescent="0.3">
      <c r="B7" s="6" t="s">
        <v>37</v>
      </c>
      <c r="C7" s="22"/>
      <c r="D7" s="22"/>
      <c r="E7" s="22"/>
      <c r="F7" s="22"/>
      <c r="G7" s="22"/>
      <c r="H7" s="67">
        <f t="shared" si="0"/>
        <v>44257</v>
      </c>
    </row>
    <row r="8" spans="2:11" x14ac:dyDescent="0.3">
      <c r="B8" s="6" t="s">
        <v>17</v>
      </c>
      <c r="C8" s="22"/>
      <c r="D8" s="22"/>
      <c r="E8" s="22"/>
      <c r="F8" s="22"/>
      <c r="G8" s="22"/>
      <c r="H8" s="12">
        <f t="shared" si="0"/>
        <v>44257</v>
      </c>
    </row>
    <row r="9" spans="2:11" ht="15.6" x14ac:dyDescent="0.3">
      <c r="B9" s="34" t="s">
        <v>0</v>
      </c>
      <c r="C9" s="60"/>
      <c r="D9" s="60"/>
      <c r="E9" s="60"/>
      <c r="F9" s="60"/>
      <c r="G9" s="61"/>
      <c r="H9" s="12">
        <f t="shared" si="0"/>
        <v>44257</v>
      </c>
    </row>
    <row r="10" spans="2:11" x14ac:dyDescent="0.3">
      <c r="B10" s="6" t="s">
        <v>25</v>
      </c>
      <c r="C10" s="22"/>
      <c r="D10" s="22"/>
      <c r="E10" s="22"/>
      <c r="F10" s="22"/>
      <c r="G10" s="22"/>
      <c r="H10" s="12">
        <f t="shared" si="0"/>
        <v>44257</v>
      </c>
    </row>
    <row r="11" spans="2:11" x14ac:dyDescent="0.3">
      <c r="B11" s="6" t="s">
        <v>15</v>
      </c>
      <c r="C11" s="22"/>
      <c r="D11" s="22">
        <v>108000</v>
      </c>
      <c r="E11" s="22"/>
      <c r="F11" s="48"/>
      <c r="G11" s="22"/>
      <c r="H11" s="12">
        <f t="shared" si="0"/>
        <v>44257</v>
      </c>
    </row>
    <row r="12" spans="2:11" x14ac:dyDescent="0.3">
      <c r="B12" s="6" t="s">
        <v>54</v>
      </c>
      <c r="C12" s="22"/>
      <c r="D12" s="22"/>
      <c r="E12" s="22"/>
      <c r="F12" s="22"/>
      <c r="G12" s="22"/>
      <c r="H12" s="75">
        <f>$G$3</f>
        <v>44257</v>
      </c>
    </row>
    <row r="13" spans="2:11" x14ac:dyDescent="0.3">
      <c r="B13" s="6" t="s">
        <v>26</v>
      </c>
      <c r="C13" s="22"/>
      <c r="D13" s="22">
        <v>648000</v>
      </c>
      <c r="E13" s="22"/>
      <c r="F13" s="22"/>
      <c r="G13" s="22"/>
      <c r="H13" s="12">
        <f t="shared" si="0"/>
        <v>44257</v>
      </c>
    </row>
    <row r="14" spans="2:11" x14ac:dyDescent="0.3">
      <c r="B14" s="6" t="s">
        <v>22</v>
      </c>
      <c r="C14" s="23"/>
      <c r="D14" s="23"/>
      <c r="E14" s="23"/>
      <c r="F14" s="22"/>
      <c r="G14" s="23"/>
      <c r="H14" s="12">
        <f t="shared" si="0"/>
        <v>44257</v>
      </c>
      <c r="K14" s="4"/>
    </row>
    <row r="15" spans="2:11" x14ac:dyDescent="0.3">
      <c r="B15" s="6" t="s">
        <v>19</v>
      </c>
      <c r="C15" s="22"/>
      <c r="D15" s="22"/>
      <c r="E15" s="22"/>
      <c r="F15" s="22"/>
      <c r="G15" s="22"/>
      <c r="H15" s="12">
        <f t="shared" si="0"/>
        <v>44257</v>
      </c>
    </row>
    <row r="16" spans="2:11" x14ac:dyDescent="0.3">
      <c r="B16" s="6" t="s">
        <v>14</v>
      </c>
      <c r="C16" s="22">
        <v>540000</v>
      </c>
      <c r="D16" s="22">
        <v>54000</v>
      </c>
      <c r="E16" s="22">
        <v>162000</v>
      </c>
      <c r="F16" s="22">
        <v>45000</v>
      </c>
      <c r="G16" s="22"/>
      <c r="H16" s="12">
        <f t="shared" si="0"/>
        <v>44257</v>
      </c>
    </row>
    <row r="17" spans="1:8" x14ac:dyDescent="0.3">
      <c r="B17" s="6" t="s">
        <v>24</v>
      </c>
      <c r="C17" s="22"/>
      <c r="D17" s="22"/>
      <c r="E17" s="22"/>
      <c r="F17" s="49"/>
      <c r="G17" s="22"/>
      <c r="H17" s="12">
        <f t="shared" si="0"/>
        <v>44257</v>
      </c>
    </row>
    <row r="18" spans="1:8" x14ac:dyDescent="0.3">
      <c r="B18" s="6" t="s">
        <v>21</v>
      </c>
      <c r="C18" s="22"/>
      <c r="D18" s="22"/>
      <c r="E18" s="22"/>
      <c r="F18" s="22"/>
      <c r="G18" s="22"/>
      <c r="H18" s="12">
        <f t="shared" si="0"/>
        <v>44257</v>
      </c>
    </row>
    <row r="19" spans="1:8" x14ac:dyDescent="0.3">
      <c r="B19" s="6" t="s">
        <v>18</v>
      </c>
      <c r="C19" s="22"/>
      <c r="D19" s="22"/>
      <c r="E19" s="22"/>
      <c r="F19" s="22"/>
      <c r="G19" s="22">
        <v>918000</v>
      </c>
      <c r="H19" s="12">
        <f t="shared" si="0"/>
        <v>44257</v>
      </c>
    </row>
    <row r="20" spans="1:8" x14ac:dyDescent="0.3">
      <c r="B20" s="6" t="s">
        <v>16</v>
      </c>
      <c r="C20" s="22"/>
      <c r="D20" s="22">
        <v>755500</v>
      </c>
      <c r="E20" s="22"/>
      <c r="F20" s="22"/>
      <c r="G20" s="22"/>
      <c r="H20" s="12">
        <f t="shared" si="0"/>
        <v>44257</v>
      </c>
    </row>
    <row r="21" spans="1:8" x14ac:dyDescent="0.3">
      <c r="B21" s="50" t="s">
        <v>27</v>
      </c>
      <c r="C21" s="51">
        <f>SUM(March02_2021[KSI_AGO])</f>
        <v>540000</v>
      </c>
      <c r="D21" s="51">
        <f>SUBTOTAL(109,March02_2021[KSI_PMS])</f>
        <v>1565500</v>
      </c>
      <c r="E21" s="51">
        <f>SUM(March02_2021[BUIPE_AGO])</f>
        <v>162000</v>
      </c>
      <c r="F21" s="51">
        <f>SUM(March02_2021[BUIPE_PMS])</f>
        <v>45000</v>
      </c>
      <c r="G21" s="51">
        <f>SUM(March02_2021[AKOSOMBO_AGO])</f>
        <v>918000</v>
      </c>
      <c r="H21" s="52"/>
    </row>
    <row r="22" spans="1:8" x14ac:dyDescent="0.3">
      <c r="B22" s="8"/>
      <c r="C22" s="24"/>
      <c r="D22" s="24"/>
      <c r="E22" s="24"/>
      <c r="F22" s="24"/>
      <c r="G22" s="24"/>
      <c r="H22"/>
    </row>
    <row r="23" spans="1:8" x14ac:dyDescent="0.3">
      <c r="B23" s="1" t="s">
        <v>6</v>
      </c>
      <c r="C23" s="1" t="s">
        <v>4</v>
      </c>
      <c r="D23" s="5">
        <f>SUMIF(March02_2021[[#Headers],[KSI_AGO]:[AKOSOMBO_AGO]],"*"&amp;C23,March02_2021[[#Totals],[KSI_AGO]:[AKOSOMBO_AGO]])</f>
        <v>1620000</v>
      </c>
      <c r="E23" s="1" t="s">
        <v>5</v>
      </c>
      <c r="F23" s="5">
        <f>SUMIF(March02_2021[[#Headers],[KSI_AGO]:[AKOSOMBO_AGO]],"*"&amp;E23,March02_2021[[#Totals],[KSI_AGO]:[AKOSOMBO_AGO]])</f>
        <v>1610500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B24A712D-AC27-4EFE-9890-23334EDE66EE}">
      <formula1>INDIRECT("BDC_List[BDC List]")</formula1>
    </dataValidation>
  </dataValidations>
  <pageMargins left="0.7" right="0.7" top="0.75" bottom="0.75" header="0.3" footer="0.3"/>
  <tableParts count="1">
    <tablePart r:id="rId1"/>
  </tableParts>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4DA0C-FE45-458E-8087-35023BFBB4F0}">
  <sheetPr codeName="Sheet303"/>
  <dimension ref="A1:K33"/>
  <sheetViews>
    <sheetView workbookViewId="0">
      <selection activeCell="D25" sqref="D2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44258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44258</v>
      </c>
    </row>
    <row r="7" spans="2:11" ht="16.5" customHeight="1" x14ac:dyDescent="0.3">
      <c r="B7" s="6" t="s">
        <v>37</v>
      </c>
      <c r="C7" s="22"/>
      <c r="D7" s="22"/>
      <c r="E7" s="22"/>
      <c r="F7" s="22"/>
      <c r="G7" s="22"/>
      <c r="H7" s="67">
        <f t="shared" si="0"/>
        <v>44258</v>
      </c>
    </row>
    <row r="8" spans="2:11" x14ac:dyDescent="0.3">
      <c r="B8" s="6" t="s">
        <v>17</v>
      </c>
      <c r="C8" s="22">
        <v>1188000</v>
      </c>
      <c r="D8" s="22"/>
      <c r="E8" s="22">
        <v>324000</v>
      </c>
      <c r="F8" s="22"/>
      <c r="G8" s="22"/>
      <c r="H8" s="12">
        <f t="shared" si="0"/>
        <v>44258</v>
      </c>
    </row>
    <row r="9" spans="2:11" ht="15.6" x14ac:dyDescent="0.3">
      <c r="B9" s="34" t="s">
        <v>0</v>
      </c>
      <c r="C9" s="60"/>
      <c r="D9" s="60"/>
      <c r="E9" s="60"/>
      <c r="F9" s="60"/>
      <c r="G9" s="61">
        <v>145000</v>
      </c>
      <c r="H9" s="12">
        <f t="shared" si="0"/>
        <v>44258</v>
      </c>
    </row>
    <row r="10" spans="2:11" x14ac:dyDescent="0.3">
      <c r="B10" s="6" t="s">
        <v>25</v>
      </c>
      <c r="C10" s="22"/>
      <c r="D10" s="22"/>
      <c r="E10" s="22"/>
      <c r="F10" s="22"/>
      <c r="G10" s="22"/>
      <c r="H10" s="12">
        <f t="shared" si="0"/>
        <v>44258</v>
      </c>
    </row>
    <row r="11" spans="2:11" x14ac:dyDescent="0.3">
      <c r="B11" s="6" t="s">
        <v>15</v>
      </c>
      <c r="C11" s="22"/>
      <c r="D11" s="22">
        <v>216000</v>
      </c>
      <c r="E11" s="22"/>
      <c r="F11" s="48"/>
      <c r="G11" s="22"/>
      <c r="H11" s="12">
        <f t="shared" si="0"/>
        <v>44258</v>
      </c>
    </row>
    <row r="12" spans="2:11" x14ac:dyDescent="0.3">
      <c r="B12" s="6" t="s">
        <v>54</v>
      </c>
      <c r="C12" s="22"/>
      <c r="D12" s="22"/>
      <c r="E12" s="22"/>
      <c r="F12" s="22"/>
      <c r="G12" s="22"/>
      <c r="H12" s="75">
        <f>$G$3</f>
        <v>44258</v>
      </c>
    </row>
    <row r="13" spans="2:11" x14ac:dyDescent="0.3">
      <c r="B13" s="6" t="s">
        <v>26</v>
      </c>
      <c r="C13" s="22"/>
      <c r="D13" s="22">
        <v>398000</v>
      </c>
      <c r="E13" s="22"/>
      <c r="F13" s="22"/>
      <c r="G13" s="22"/>
      <c r="H13" s="12">
        <f t="shared" si="0"/>
        <v>44258</v>
      </c>
    </row>
    <row r="14" spans="2:11" x14ac:dyDescent="0.3">
      <c r="B14" s="6" t="s">
        <v>22</v>
      </c>
      <c r="C14" s="23"/>
      <c r="D14" s="23"/>
      <c r="E14" s="23"/>
      <c r="F14" s="22"/>
      <c r="G14" s="23"/>
      <c r="H14" s="12">
        <f t="shared" si="0"/>
        <v>44258</v>
      </c>
      <c r="K14" s="4"/>
    </row>
    <row r="15" spans="2:11" x14ac:dyDescent="0.3">
      <c r="B15" s="6" t="s">
        <v>19</v>
      </c>
      <c r="C15" s="22"/>
      <c r="D15" s="22"/>
      <c r="E15" s="22"/>
      <c r="F15" s="22"/>
      <c r="G15" s="22"/>
      <c r="H15" s="12">
        <f t="shared" si="0"/>
        <v>44258</v>
      </c>
    </row>
    <row r="16" spans="2:11" x14ac:dyDescent="0.3">
      <c r="B16" s="6" t="s">
        <v>14</v>
      </c>
      <c r="C16" s="22"/>
      <c r="D16" s="22">
        <v>1395000</v>
      </c>
      <c r="E16" s="22">
        <v>162000</v>
      </c>
      <c r="F16" s="22"/>
      <c r="G16" s="22"/>
      <c r="H16" s="12">
        <f t="shared" si="0"/>
        <v>44258</v>
      </c>
    </row>
    <row r="17" spans="1:8" x14ac:dyDescent="0.3">
      <c r="B17" s="6" t="s">
        <v>24</v>
      </c>
      <c r="C17" s="22"/>
      <c r="D17" s="22"/>
      <c r="E17" s="22"/>
      <c r="F17" s="49"/>
      <c r="G17" s="22"/>
      <c r="H17" s="12">
        <f t="shared" si="0"/>
        <v>44258</v>
      </c>
    </row>
    <row r="18" spans="1:8" x14ac:dyDescent="0.3">
      <c r="B18" s="6" t="s">
        <v>21</v>
      </c>
      <c r="C18" s="22"/>
      <c r="D18" s="22"/>
      <c r="E18" s="22"/>
      <c r="F18" s="22"/>
      <c r="G18" s="22"/>
      <c r="H18" s="12">
        <f t="shared" si="0"/>
        <v>44258</v>
      </c>
    </row>
    <row r="19" spans="1:8" x14ac:dyDescent="0.3">
      <c r="B19" s="6" t="s">
        <v>18</v>
      </c>
      <c r="C19" s="22"/>
      <c r="D19" s="22"/>
      <c r="E19" s="22"/>
      <c r="F19" s="22"/>
      <c r="G19" s="22">
        <v>270000</v>
      </c>
      <c r="H19" s="12">
        <f t="shared" si="0"/>
        <v>44258</v>
      </c>
    </row>
    <row r="20" spans="1:8" x14ac:dyDescent="0.3">
      <c r="B20" s="6" t="s">
        <v>16</v>
      </c>
      <c r="C20" s="22"/>
      <c r="D20" s="22">
        <v>216000</v>
      </c>
      <c r="E20" s="22"/>
      <c r="F20" s="22"/>
      <c r="G20" s="22"/>
      <c r="H20" s="12">
        <f t="shared" si="0"/>
        <v>44258</v>
      </c>
    </row>
    <row r="21" spans="1:8" x14ac:dyDescent="0.3">
      <c r="B21" s="50" t="s">
        <v>27</v>
      </c>
      <c r="C21" s="51">
        <f>SUM(March03_2021[KSI_AGO])</f>
        <v>1188000</v>
      </c>
      <c r="D21" s="51">
        <f>SUBTOTAL(109,March03_2021[KSI_PMS])</f>
        <v>2225000</v>
      </c>
      <c r="E21" s="51">
        <f>SUM(March03_2021[BUIPE_AGO])</f>
        <v>486000</v>
      </c>
      <c r="F21" s="51">
        <f>SUM(March03_2021[BUIPE_PMS])</f>
        <v>0</v>
      </c>
      <c r="G21" s="51">
        <f>SUM(March03_2021[AKOSOMBO_AGO])</f>
        <v>415000</v>
      </c>
      <c r="H21" s="52"/>
    </row>
    <row r="22" spans="1:8" x14ac:dyDescent="0.3">
      <c r="B22" s="8"/>
      <c r="C22" s="24"/>
      <c r="D22" s="24"/>
      <c r="E22" s="24"/>
      <c r="F22" s="24"/>
      <c r="G22" s="24"/>
      <c r="H22"/>
    </row>
    <row r="23" spans="1:8" x14ac:dyDescent="0.3">
      <c r="B23" s="1" t="s">
        <v>6</v>
      </c>
      <c r="C23" s="1" t="s">
        <v>4</v>
      </c>
      <c r="D23" s="5">
        <f>SUMIF(March03_2021[[#Headers],[KSI_AGO]:[AKOSOMBO_AGO]],"*"&amp;C23,March03_2021[[#Totals],[KSI_AGO]:[AKOSOMBO_AGO]])</f>
        <v>2089000</v>
      </c>
      <c r="E23" s="1" t="s">
        <v>5</v>
      </c>
      <c r="F23" s="5">
        <f>SUMIF(March03_2021[[#Headers],[KSI_AGO]:[AKOSOMBO_AGO]],"*"&amp;E23,March03_2021[[#Totals],[KSI_AGO]:[AKOSOMBO_AGO]])</f>
        <v>2225000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7428A8DF-81C1-475C-AEA9-AC9CBB24AE55}">
      <formula1>INDIRECT("BDC_List[BDC List]")</formula1>
    </dataValidation>
  </dataValidations>
  <pageMargins left="0.7" right="0.7" top="0.75" bottom="0.75" header="0.3" footer="0.3"/>
  <tableParts count="1">
    <tablePart r:id="rId1"/>
  </tableParts>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02EF-137B-483C-9A2F-6885D7C408B3}">
  <sheetPr codeName="Sheet304"/>
  <dimension ref="A1:K33"/>
  <sheetViews>
    <sheetView workbookViewId="0">
      <selection activeCell="D14" sqref="D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44259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44259</v>
      </c>
    </row>
    <row r="7" spans="2:11" ht="16.5" customHeight="1" x14ac:dyDescent="0.3">
      <c r="B7" s="6" t="s">
        <v>37</v>
      </c>
      <c r="C7" s="22"/>
      <c r="D7" s="22"/>
      <c r="E7" s="22"/>
      <c r="F7" s="22"/>
      <c r="G7" s="22"/>
      <c r="H7" s="67">
        <f t="shared" si="0"/>
        <v>44259</v>
      </c>
    </row>
    <row r="8" spans="2:11" x14ac:dyDescent="0.3">
      <c r="B8" s="6" t="s">
        <v>17</v>
      </c>
      <c r="C8" s="22">
        <v>1021500</v>
      </c>
      <c r="D8" s="22"/>
      <c r="E8" s="22">
        <v>406000</v>
      </c>
      <c r="F8" s="22"/>
      <c r="G8" s="22"/>
      <c r="H8" s="12">
        <f t="shared" si="0"/>
        <v>44259</v>
      </c>
    </row>
    <row r="9" spans="2:11" ht="15.6" x14ac:dyDescent="0.3">
      <c r="B9" s="34" t="s">
        <v>0</v>
      </c>
      <c r="C9" s="60"/>
      <c r="D9" s="60"/>
      <c r="E9" s="60"/>
      <c r="F9" s="60"/>
      <c r="G9" s="61">
        <v>577000</v>
      </c>
      <c r="H9" s="12">
        <f t="shared" si="0"/>
        <v>44259</v>
      </c>
    </row>
    <row r="10" spans="2:11" x14ac:dyDescent="0.3">
      <c r="B10" s="6" t="s">
        <v>25</v>
      </c>
      <c r="C10" s="22">
        <v>158000</v>
      </c>
      <c r="D10" s="22"/>
      <c r="E10" s="22"/>
      <c r="F10" s="22"/>
      <c r="G10" s="22"/>
      <c r="H10" s="12">
        <f t="shared" si="0"/>
        <v>44259</v>
      </c>
    </row>
    <row r="11" spans="2:11" x14ac:dyDescent="0.3">
      <c r="B11" s="6" t="s">
        <v>15</v>
      </c>
      <c r="C11" s="22"/>
      <c r="D11" s="22">
        <v>162000</v>
      </c>
      <c r="E11" s="22"/>
      <c r="F11" s="48"/>
      <c r="G11" s="22"/>
      <c r="H11" s="12">
        <f t="shared" si="0"/>
        <v>44259</v>
      </c>
    </row>
    <row r="12" spans="2:11" x14ac:dyDescent="0.3">
      <c r="B12" s="6" t="s">
        <v>54</v>
      </c>
      <c r="C12" s="22">
        <v>54000</v>
      </c>
      <c r="D12" s="22"/>
      <c r="E12" s="22"/>
      <c r="F12" s="22"/>
      <c r="G12" s="22"/>
      <c r="H12" s="67">
        <f>$G$3</f>
        <v>44259</v>
      </c>
    </row>
    <row r="13" spans="2:11" x14ac:dyDescent="0.3">
      <c r="B13" s="6" t="s">
        <v>26</v>
      </c>
      <c r="C13" s="22"/>
      <c r="D13" s="22"/>
      <c r="E13" s="22"/>
      <c r="F13" s="22"/>
      <c r="G13" s="22"/>
      <c r="H13" s="12">
        <f t="shared" si="0"/>
        <v>44259</v>
      </c>
    </row>
    <row r="14" spans="2:11" x14ac:dyDescent="0.3">
      <c r="B14" s="6" t="s">
        <v>22</v>
      </c>
      <c r="C14" s="23"/>
      <c r="D14" s="23"/>
      <c r="E14" s="23"/>
      <c r="F14" s="22"/>
      <c r="G14" s="23"/>
      <c r="H14" s="12">
        <f t="shared" si="0"/>
        <v>44259</v>
      </c>
      <c r="K14" s="4"/>
    </row>
    <row r="15" spans="2:11" x14ac:dyDescent="0.3">
      <c r="B15" s="6" t="s">
        <v>19</v>
      </c>
      <c r="C15" s="22"/>
      <c r="D15" s="22">
        <v>864000</v>
      </c>
      <c r="E15" s="22"/>
      <c r="F15" s="22"/>
      <c r="G15" s="22"/>
      <c r="H15" s="12">
        <f t="shared" si="0"/>
        <v>44259</v>
      </c>
    </row>
    <row r="16" spans="2:11" x14ac:dyDescent="0.3">
      <c r="B16" s="6" t="s">
        <v>14</v>
      </c>
      <c r="C16" s="22">
        <v>100000</v>
      </c>
      <c r="D16" s="22">
        <v>378000</v>
      </c>
      <c r="E16" s="22">
        <v>54000</v>
      </c>
      <c r="F16" s="22"/>
      <c r="G16" s="22"/>
      <c r="H16" s="12">
        <f t="shared" si="0"/>
        <v>44259</v>
      </c>
    </row>
    <row r="17" spans="1:8" x14ac:dyDescent="0.3">
      <c r="B17" s="6" t="s">
        <v>24</v>
      </c>
      <c r="C17" s="22"/>
      <c r="D17" s="22"/>
      <c r="E17" s="22"/>
      <c r="F17" s="49"/>
      <c r="G17" s="22"/>
      <c r="H17" s="12">
        <f t="shared" si="0"/>
        <v>44259</v>
      </c>
    </row>
    <row r="18" spans="1:8" x14ac:dyDescent="0.3">
      <c r="B18" s="6" t="s">
        <v>21</v>
      </c>
      <c r="C18" s="22"/>
      <c r="D18" s="22"/>
      <c r="E18" s="22"/>
      <c r="F18" s="22"/>
      <c r="G18" s="22"/>
      <c r="H18" s="12">
        <f t="shared" si="0"/>
        <v>44259</v>
      </c>
    </row>
    <row r="19" spans="1:8" x14ac:dyDescent="0.3">
      <c r="B19" s="6" t="s">
        <v>18</v>
      </c>
      <c r="C19" s="22"/>
      <c r="D19" s="22"/>
      <c r="E19" s="22"/>
      <c r="F19" s="22"/>
      <c r="G19" s="22"/>
      <c r="H19" s="12">
        <f t="shared" si="0"/>
        <v>44259</v>
      </c>
    </row>
    <row r="20" spans="1:8" x14ac:dyDescent="0.3">
      <c r="B20" s="6" t="s">
        <v>16</v>
      </c>
      <c r="C20" s="22"/>
      <c r="D20" s="22">
        <v>99000</v>
      </c>
      <c r="E20" s="22"/>
      <c r="F20" s="22"/>
      <c r="G20" s="22"/>
      <c r="H20" s="12">
        <f t="shared" si="0"/>
        <v>44259</v>
      </c>
    </row>
    <row r="21" spans="1:8" x14ac:dyDescent="0.3">
      <c r="B21" s="50" t="s">
        <v>27</v>
      </c>
      <c r="C21" s="51">
        <f>SUM(March04_2021[KSI_AGO])</f>
        <v>1333500</v>
      </c>
      <c r="D21" s="51">
        <f>SUBTOTAL(109,March04_2021[KSI_PMS])</f>
        <v>1503000</v>
      </c>
      <c r="E21" s="51">
        <f>SUM(March04_2021[BUIPE_AGO])</f>
        <v>460000</v>
      </c>
      <c r="F21" s="51">
        <f>SUM(March04_2021[BUIPE_PMS])</f>
        <v>0</v>
      </c>
      <c r="G21" s="51">
        <f>SUM(March04_2021[AKOSOMBO_AGO])</f>
        <v>577000</v>
      </c>
      <c r="H21" s="52"/>
    </row>
    <row r="22" spans="1:8" x14ac:dyDescent="0.3">
      <c r="B22" s="8"/>
      <c r="C22" s="24"/>
      <c r="D22" s="24"/>
      <c r="E22" s="24"/>
      <c r="F22" s="24"/>
      <c r="G22" s="24"/>
      <c r="H22"/>
    </row>
    <row r="23" spans="1:8" x14ac:dyDescent="0.3">
      <c r="B23" s="1" t="s">
        <v>6</v>
      </c>
      <c r="C23" s="1" t="s">
        <v>4</v>
      </c>
      <c r="D23" s="5">
        <f>SUMIF(March04_2021[[#Headers],[KSI_AGO]:[AKOSOMBO_AGO]],"*"&amp;C23,March04_2021[[#Totals],[KSI_AGO]:[AKOSOMBO_AGO]])</f>
        <v>2370500</v>
      </c>
      <c r="E23" s="1" t="s">
        <v>5</v>
      </c>
      <c r="F23" s="5">
        <f>SUMIF(March04_2021[[#Headers],[KSI_AGO]:[AKOSOMBO_AGO]],"*"&amp;E23,March04_2021[[#Totals],[KSI_AGO]:[AKOSOMBO_AGO]])</f>
        <v>1503000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FCEFFF71-0BB7-4649-A044-77ED337F60D4}">
      <formula1>INDIRECT("BDC_List[BDC List]")</formula1>
    </dataValidation>
  </dataValidations>
  <pageMargins left="0.7" right="0.7" top="0.75" bottom="0.75" header="0.3" footer="0.3"/>
  <tableParts count="1">
    <tablePart r:id="rId1"/>
  </tableParts>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396-CD27-40BA-B189-F320529E3EB6}">
  <sheetPr codeName="Sheet305"/>
  <dimension ref="A1:K33"/>
  <sheetViews>
    <sheetView workbookViewId="0">
      <selection activeCell="C15" sqref="C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44260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44260</v>
      </c>
    </row>
    <row r="7" spans="2:11" ht="16.5" customHeight="1" x14ac:dyDescent="0.3">
      <c r="B7" s="6" t="s">
        <v>37</v>
      </c>
      <c r="C7" s="22"/>
      <c r="D7" s="22"/>
      <c r="E7" s="22"/>
      <c r="F7" s="22"/>
      <c r="G7" s="22"/>
      <c r="H7" s="67">
        <f t="shared" si="0"/>
        <v>44260</v>
      </c>
    </row>
    <row r="8" spans="2:11" x14ac:dyDescent="0.3">
      <c r="B8" s="6" t="s">
        <v>17</v>
      </c>
      <c r="C8" s="22">
        <v>1674000</v>
      </c>
      <c r="D8" s="22"/>
      <c r="E8" s="22"/>
      <c r="F8" s="22"/>
      <c r="G8" s="22"/>
      <c r="H8" s="12">
        <f t="shared" si="0"/>
        <v>44260</v>
      </c>
    </row>
    <row r="9" spans="2:11" ht="15.6" x14ac:dyDescent="0.3">
      <c r="B9" s="34" t="s">
        <v>0</v>
      </c>
      <c r="C9" s="60"/>
      <c r="D9" s="60"/>
      <c r="E9" s="60"/>
      <c r="F9" s="60"/>
      <c r="G9" s="61">
        <v>486000</v>
      </c>
      <c r="H9" s="12">
        <f t="shared" si="0"/>
        <v>44260</v>
      </c>
    </row>
    <row r="10" spans="2:11" x14ac:dyDescent="0.3">
      <c r="B10" s="6" t="s">
        <v>25</v>
      </c>
      <c r="C10" s="22"/>
      <c r="D10" s="22"/>
      <c r="E10" s="22"/>
      <c r="F10" s="22"/>
      <c r="G10" s="22"/>
      <c r="H10" s="12">
        <f t="shared" si="0"/>
        <v>44260</v>
      </c>
    </row>
    <row r="11" spans="2:11" x14ac:dyDescent="0.3">
      <c r="B11" s="6" t="s">
        <v>15</v>
      </c>
      <c r="C11" s="22"/>
      <c r="D11" s="22"/>
      <c r="E11" s="22"/>
      <c r="F11" s="48"/>
      <c r="G11" s="22"/>
      <c r="H11" s="12">
        <f t="shared" si="0"/>
        <v>44260</v>
      </c>
    </row>
    <row r="12" spans="2:11" x14ac:dyDescent="0.3">
      <c r="B12" s="6" t="s">
        <v>54</v>
      </c>
      <c r="C12" s="22"/>
      <c r="D12" s="22"/>
      <c r="E12" s="22"/>
      <c r="F12" s="22"/>
      <c r="G12" s="22"/>
      <c r="H12" s="67">
        <f>$G$3</f>
        <v>44260</v>
      </c>
    </row>
    <row r="13" spans="2:11" x14ac:dyDescent="0.3">
      <c r="B13" s="6" t="s">
        <v>26</v>
      </c>
      <c r="C13" s="22"/>
      <c r="D13" s="22"/>
      <c r="E13" s="22"/>
      <c r="F13" s="22"/>
      <c r="G13" s="22"/>
      <c r="H13" s="12">
        <f t="shared" si="0"/>
        <v>44260</v>
      </c>
    </row>
    <row r="14" spans="2:11" x14ac:dyDescent="0.3">
      <c r="B14" s="6" t="s">
        <v>22</v>
      </c>
      <c r="C14" s="23"/>
      <c r="D14" s="23"/>
      <c r="E14" s="23"/>
      <c r="F14" s="22"/>
      <c r="G14" s="23"/>
      <c r="H14" s="12">
        <f t="shared" si="0"/>
        <v>44260</v>
      </c>
      <c r="K14" s="4"/>
    </row>
    <row r="15" spans="2:11" x14ac:dyDescent="0.3">
      <c r="B15" s="6" t="s">
        <v>19</v>
      </c>
      <c r="C15" s="22"/>
      <c r="D15" s="22"/>
      <c r="E15" s="22"/>
      <c r="F15" s="22"/>
      <c r="G15" s="22"/>
      <c r="H15" s="12">
        <f t="shared" si="0"/>
        <v>44260</v>
      </c>
    </row>
    <row r="16" spans="2:11" x14ac:dyDescent="0.3">
      <c r="B16" s="6" t="s">
        <v>14</v>
      </c>
      <c r="C16" s="22"/>
      <c r="D16" s="22"/>
      <c r="E16" s="22"/>
      <c r="F16" s="22"/>
      <c r="G16" s="22"/>
      <c r="H16" s="12">
        <f t="shared" si="0"/>
        <v>44260</v>
      </c>
    </row>
    <row r="17" spans="1:8" x14ac:dyDescent="0.3">
      <c r="B17" s="6" t="s">
        <v>24</v>
      </c>
      <c r="C17" s="22"/>
      <c r="D17" s="22"/>
      <c r="E17" s="22"/>
      <c r="F17" s="49"/>
      <c r="G17" s="22"/>
      <c r="H17" s="12">
        <f t="shared" si="0"/>
        <v>44260</v>
      </c>
    </row>
    <row r="18" spans="1:8" x14ac:dyDescent="0.3">
      <c r="B18" s="6" t="s">
        <v>21</v>
      </c>
      <c r="C18" s="22"/>
      <c r="D18" s="22"/>
      <c r="E18" s="22"/>
      <c r="F18" s="22"/>
      <c r="G18" s="22"/>
      <c r="H18" s="12">
        <f t="shared" si="0"/>
        <v>44260</v>
      </c>
    </row>
    <row r="19" spans="1:8" x14ac:dyDescent="0.3">
      <c r="B19" s="6" t="s">
        <v>18</v>
      </c>
      <c r="C19" s="22"/>
      <c r="D19" s="22"/>
      <c r="E19" s="22"/>
      <c r="F19" s="22"/>
      <c r="G19" s="22"/>
      <c r="H19" s="12">
        <f t="shared" si="0"/>
        <v>44260</v>
      </c>
    </row>
    <row r="20" spans="1:8" x14ac:dyDescent="0.3">
      <c r="B20" s="6" t="s">
        <v>16</v>
      </c>
      <c r="C20" s="22"/>
      <c r="D20" s="22">
        <v>45000</v>
      </c>
      <c r="E20" s="22"/>
      <c r="F20" s="22"/>
      <c r="G20" s="22"/>
      <c r="H20" s="12">
        <f t="shared" si="0"/>
        <v>44260</v>
      </c>
    </row>
    <row r="21" spans="1:8" x14ac:dyDescent="0.3">
      <c r="B21" s="50" t="s">
        <v>27</v>
      </c>
      <c r="C21" s="51">
        <f>SUM(March05_2021[KSI_AGO])</f>
        <v>1674000</v>
      </c>
      <c r="D21" s="51">
        <f>SUBTOTAL(109,March05_2021[KSI_PMS])</f>
        <v>45000</v>
      </c>
      <c r="E21" s="51">
        <f>SUM(March05_2021[BUIPE_AGO])</f>
        <v>0</v>
      </c>
      <c r="F21" s="51">
        <f>SUM(March05_2021[BUIPE_PMS])</f>
        <v>0</v>
      </c>
      <c r="G21" s="51">
        <f>SUM(March05_2021[AKOSOMBO_AGO])</f>
        <v>486000</v>
      </c>
      <c r="H21" s="52"/>
    </row>
    <row r="22" spans="1:8" x14ac:dyDescent="0.3">
      <c r="B22" s="8"/>
      <c r="C22" s="24"/>
      <c r="D22" s="24"/>
      <c r="E22" s="24"/>
      <c r="F22" s="24"/>
      <c r="G22" s="24"/>
      <c r="H22"/>
    </row>
    <row r="23" spans="1:8" x14ac:dyDescent="0.3">
      <c r="B23" s="1" t="s">
        <v>6</v>
      </c>
      <c r="C23" s="1" t="s">
        <v>4</v>
      </c>
      <c r="D23" s="5">
        <f>SUMIF(March05_2021[[#Headers],[KSI_AGO]:[AKOSOMBO_AGO]],"*"&amp;C23,March05_2021[[#Totals],[KSI_AGO]:[AKOSOMBO_AGO]])</f>
        <v>2160000</v>
      </c>
      <c r="E23" s="1" t="s">
        <v>5</v>
      </c>
      <c r="F23" s="5">
        <f>SUMIF(March05_2021[[#Headers],[KSI_AGO]:[AKOSOMBO_AGO]],"*"&amp;E23,March05_2021[[#Totals],[KSI_AGO]:[AKOSOMBO_AGO]])</f>
        <v>45000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0A5C2DCB-DA7B-4275-A068-79D551756421}">
      <formula1>INDIRECT("BDC_List[BDC List]")</formula1>
    </dataValidation>
  </dataValidations>
  <pageMargins left="0.7" right="0.7" top="0.75" bottom="0.75" header="0.3" footer="0.3"/>
  <tableParts count="1">
    <tablePart r:id="rId1"/>
  </tableParts>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C3E98-5506-4F22-843B-1D53B9D88D2B}">
  <sheetPr codeName="Sheet306"/>
  <dimension ref="A1:K33"/>
  <sheetViews>
    <sheetView workbookViewId="0">
      <selection activeCell="E14" sqref="E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44265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44265</v>
      </c>
    </row>
    <row r="7" spans="2:11" ht="16.5" customHeight="1" x14ac:dyDescent="0.3">
      <c r="B7" s="6" t="s">
        <v>37</v>
      </c>
      <c r="C7" s="22"/>
      <c r="D7" s="22"/>
      <c r="E7" s="22"/>
      <c r="F7" s="22"/>
      <c r="G7" s="22"/>
      <c r="H7" s="67">
        <f t="shared" si="0"/>
        <v>44265</v>
      </c>
    </row>
    <row r="8" spans="2:11" x14ac:dyDescent="0.3">
      <c r="B8" s="6" t="s">
        <v>17</v>
      </c>
      <c r="C8" s="22">
        <v>108000</v>
      </c>
      <c r="D8" s="22"/>
      <c r="E8" s="22">
        <v>145000</v>
      </c>
      <c r="F8" s="22"/>
      <c r="G8" s="22"/>
      <c r="H8" s="12">
        <f t="shared" si="0"/>
        <v>44265</v>
      </c>
    </row>
    <row r="9" spans="2:11" ht="15.6" x14ac:dyDescent="0.3">
      <c r="B9" s="34" t="s">
        <v>0</v>
      </c>
      <c r="C9" s="60"/>
      <c r="D9" s="60"/>
      <c r="E9" s="60"/>
      <c r="F9" s="60"/>
      <c r="G9" s="61">
        <v>216000</v>
      </c>
      <c r="H9" s="12">
        <f t="shared" si="0"/>
        <v>44265</v>
      </c>
    </row>
    <row r="10" spans="2:11" x14ac:dyDescent="0.3">
      <c r="B10" s="6" t="s">
        <v>25</v>
      </c>
      <c r="C10" s="22"/>
      <c r="D10" s="22"/>
      <c r="E10" s="22"/>
      <c r="F10" s="22"/>
      <c r="G10" s="22"/>
      <c r="H10" s="12">
        <f t="shared" si="0"/>
        <v>44265</v>
      </c>
    </row>
    <row r="11" spans="2:11" x14ac:dyDescent="0.3">
      <c r="B11" s="6" t="s">
        <v>15</v>
      </c>
      <c r="C11" s="22"/>
      <c r="D11" s="22"/>
      <c r="E11" s="22"/>
      <c r="F11" s="48"/>
      <c r="G11" s="22"/>
      <c r="H11" s="12">
        <f t="shared" si="0"/>
        <v>44265</v>
      </c>
    </row>
    <row r="12" spans="2:11" x14ac:dyDescent="0.3">
      <c r="B12" s="6" t="s">
        <v>54</v>
      </c>
      <c r="C12" s="22"/>
      <c r="D12" s="22"/>
      <c r="E12" s="22"/>
      <c r="F12" s="22"/>
      <c r="G12" s="22"/>
      <c r="H12" s="67">
        <f>$G$3</f>
        <v>44265</v>
      </c>
    </row>
    <row r="13" spans="2:11" x14ac:dyDescent="0.3">
      <c r="B13" s="6" t="s">
        <v>26</v>
      </c>
      <c r="C13" s="22"/>
      <c r="D13" s="22"/>
      <c r="E13" s="22"/>
      <c r="F13" s="22"/>
      <c r="G13" s="22"/>
      <c r="H13" s="12">
        <f t="shared" si="0"/>
        <v>44265</v>
      </c>
    </row>
    <row r="14" spans="2:11" x14ac:dyDescent="0.3">
      <c r="B14" s="6" t="s">
        <v>22</v>
      </c>
      <c r="C14" s="23"/>
      <c r="D14" s="23"/>
      <c r="E14" s="23"/>
      <c r="F14" s="22"/>
      <c r="G14" s="23"/>
      <c r="H14" s="12">
        <f t="shared" si="0"/>
        <v>44265</v>
      </c>
      <c r="K14" s="4"/>
    </row>
    <row r="15" spans="2:11" x14ac:dyDescent="0.3">
      <c r="B15" s="6" t="s">
        <v>19</v>
      </c>
      <c r="C15" s="22">
        <v>1890000</v>
      </c>
      <c r="D15" s="22"/>
      <c r="E15" s="22">
        <v>540000</v>
      </c>
      <c r="F15" s="22"/>
      <c r="G15" s="22"/>
      <c r="H15" s="12">
        <f t="shared" si="0"/>
        <v>44265</v>
      </c>
    </row>
    <row r="16" spans="2:11" x14ac:dyDescent="0.3">
      <c r="B16" s="6" t="s">
        <v>14</v>
      </c>
      <c r="C16" s="22"/>
      <c r="D16" s="22"/>
      <c r="E16" s="22"/>
      <c r="F16" s="22"/>
      <c r="G16" s="22"/>
      <c r="H16" s="12">
        <f t="shared" si="0"/>
        <v>44265</v>
      </c>
    </row>
    <row r="17" spans="1:8" x14ac:dyDescent="0.3">
      <c r="B17" s="6" t="s">
        <v>24</v>
      </c>
      <c r="C17" s="22"/>
      <c r="D17" s="22"/>
      <c r="E17" s="22"/>
      <c r="F17" s="49"/>
      <c r="G17" s="22"/>
      <c r="H17" s="12">
        <f t="shared" si="0"/>
        <v>44265</v>
      </c>
    </row>
    <row r="18" spans="1:8" x14ac:dyDescent="0.3">
      <c r="B18" s="6" t="s">
        <v>21</v>
      </c>
      <c r="C18" s="22"/>
      <c r="D18" s="22"/>
      <c r="E18" s="22"/>
      <c r="F18" s="22"/>
      <c r="G18" s="22"/>
      <c r="H18" s="12">
        <f t="shared" si="0"/>
        <v>44265</v>
      </c>
    </row>
    <row r="19" spans="1:8" x14ac:dyDescent="0.3">
      <c r="B19" s="6" t="s">
        <v>18</v>
      </c>
      <c r="C19" s="22"/>
      <c r="D19" s="22"/>
      <c r="E19" s="22"/>
      <c r="F19" s="22"/>
      <c r="G19" s="22">
        <v>54000</v>
      </c>
      <c r="H19" s="12">
        <f t="shared" si="0"/>
        <v>44265</v>
      </c>
    </row>
    <row r="20" spans="1:8" x14ac:dyDescent="0.3">
      <c r="B20" s="6" t="s">
        <v>16</v>
      </c>
      <c r="C20" s="22"/>
      <c r="D20" s="22"/>
      <c r="E20" s="22"/>
      <c r="F20" s="22"/>
      <c r="G20" s="22"/>
      <c r="H20" s="12">
        <f t="shared" si="0"/>
        <v>44265</v>
      </c>
    </row>
    <row r="21" spans="1:8" x14ac:dyDescent="0.3">
      <c r="B21" s="50" t="s">
        <v>27</v>
      </c>
      <c r="C21" s="51">
        <f>SUM(March10_2021[KSI_AGO])</f>
        <v>1998000</v>
      </c>
      <c r="D21" s="51">
        <f>SUBTOTAL(109,March10_2021[KSI_PMS])</f>
        <v>0</v>
      </c>
      <c r="E21" s="51">
        <f>SUM(March10_2021[BUIPE_AGO])</f>
        <v>685000</v>
      </c>
      <c r="F21" s="51">
        <f>SUM(March10_2021[BUIPE_PMS])</f>
        <v>0</v>
      </c>
      <c r="G21" s="51">
        <f>SUM(March10_2021[AKOSOMBO_AGO])</f>
        <v>270000</v>
      </c>
      <c r="H21" s="52"/>
    </row>
    <row r="22" spans="1:8" x14ac:dyDescent="0.3">
      <c r="B22" s="8"/>
      <c r="C22" s="24"/>
      <c r="D22" s="24"/>
      <c r="E22" s="24"/>
      <c r="F22" s="24"/>
      <c r="G22" s="24"/>
      <c r="H22"/>
    </row>
    <row r="23" spans="1:8" x14ac:dyDescent="0.3">
      <c r="B23" s="1" t="s">
        <v>6</v>
      </c>
      <c r="C23" s="1" t="s">
        <v>4</v>
      </c>
      <c r="D23" s="5">
        <f>SUMIF(March10_2021[[#Headers],[KSI_AGO]:[AKOSOMBO_AGO]],"*"&amp;C23,March10_2021[[#Totals],[KSI_AGO]:[AKOSOMBO_AGO]])</f>
        <v>2953000</v>
      </c>
      <c r="E23" s="1" t="s">
        <v>5</v>
      </c>
      <c r="F23" s="5">
        <f>SUMIF(March10_2021[[#Headers],[KSI_AGO]:[AKOSOMBO_AGO]],"*"&amp;E23,March10_2021[[#Totals],[KSI_AGO]:[AKOSOMBO_AGO]])</f>
        <v>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F340C383-C01A-4A0B-9624-8BF3547FDEDB}">
      <formula1>INDIRECT("BDC_List[BDC List]")</formula1>
    </dataValidation>
  </dataValidations>
  <pageMargins left="0.7" right="0.7" top="0.75" bottom="0.75" header="0.3" footer="0.3"/>
  <tableParts count="1">
    <tablePart r:id="rId1"/>
  </tableParts>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6DD76-C7E7-4CE6-8160-3B9FA6B2CD3C}">
  <sheetPr codeName="Sheet307"/>
  <dimension ref="A1:K33"/>
  <sheetViews>
    <sheetView workbookViewId="0">
      <selection activeCell="F18" sqref="F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44266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44266</v>
      </c>
    </row>
    <row r="7" spans="2:11" ht="16.5" customHeight="1" x14ac:dyDescent="0.3">
      <c r="B7" s="6" t="s">
        <v>37</v>
      </c>
      <c r="C7" s="22"/>
      <c r="D7" s="22"/>
      <c r="E7" s="22"/>
      <c r="F7" s="22"/>
      <c r="G7" s="22"/>
      <c r="H7" s="67">
        <f t="shared" si="0"/>
        <v>44266</v>
      </c>
    </row>
    <row r="8" spans="2:11" x14ac:dyDescent="0.3">
      <c r="B8" s="6" t="s">
        <v>17</v>
      </c>
      <c r="C8" s="22"/>
      <c r="D8" s="22"/>
      <c r="E8" s="22"/>
      <c r="F8" s="22"/>
      <c r="G8" s="22"/>
      <c r="H8" s="12">
        <f t="shared" si="0"/>
        <v>44266</v>
      </c>
    </row>
    <row r="9" spans="2:11" ht="15.6" x14ac:dyDescent="0.3">
      <c r="B9" s="34" t="s">
        <v>0</v>
      </c>
      <c r="C9" s="60"/>
      <c r="D9" s="60">
        <v>1232500</v>
      </c>
      <c r="E9" s="60"/>
      <c r="F9" s="60">
        <v>626000</v>
      </c>
      <c r="G9" s="61">
        <v>468000</v>
      </c>
      <c r="H9" s="12">
        <f t="shared" si="0"/>
        <v>44266</v>
      </c>
    </row>
    <row r="10" spans="2:11" x14ac:dyDescent="0.3">
      <c r="B10" s="6" t="s">
        <v>25</v>
      </c>
      <c r="C10" s="22"/>
      <c r="D10" s="22"/>
      <c r="E10" s="22"/>
      <c r="F10" s="22"/>
      <c r="G10" s="22"/>
      <c r="H10" s="12">
        <f t="shared" si="0"/>
        <v>44266</v>
      </c>
    </row>
    <row r="11" spans="2:11" x14ac:dyDescent="0.3">
      <c r="B11" s="6" t="s">
        <v>15</v>
      </c>
      <c r="C11" s="22"/>
      <c r="D11" s="22"/>
      <c r="E11" s="22"/>
      <c r="F11" s="48"/>
      <c r="G11" s="22"/>
      <c r="H11" s="12">
        <f t="shared" si="0"/>
        <v>44266</v>
      </c>
    </row>
    <row r="12" spans="2:11" x14ac:dyDescent="0.3">
      <c r="B12" s="6" t="s">
        <v>54</v>
      </c>
      <c r="C12" s="22"/>
      <c r="D12" s="22"/>
      <c r="E12" s="22"/>
      <c r="F12" s="22"/>
      <c r="G12" s="22"/>
      <c r="H12" s="67">
        <f>$G$3</f>
        <v>44266</v>
      </c>
    </row>
    <row r="13" spans="2:11" x14ac:dyDescent="0.3">
      <c r="B13" s="6" t="s">
        <v>26</v>
      </c>
      <c r="C13" s="22"/>
      <c r="D13" s="22"/>
      <c r="E13" s="22">
        <v>540000</v>
      </c>
      <c r="F13" s="22"/>
      <c r="G13" s="22"/>
      <c r="H13" s="12">
        <f t="shared" si="0"/>
        <v>44266</v>
      </c>
    </row>
    <row r="14" spans="2:11" x14ac:dyDescent="0.3">
      <c r="B14" s="6" t="s">
        <v>22</v>
      </c>
      <c r="C14" s="23"/>
      <c r="D14" s="23"/>
      <c r="E14" s="23"/>
      <c r="F14" s="22"/>
      <c r="G14" s="23"/>
      <c r="H14" s="12">
        <f t="shared" si="0"/>
        <v>44266</v>
      </c>
      <c r="K14" s="4"/>
    </row>
    <row r="15" spans="2:11" x14ac:dyDescent="0.3">
      <c r="B15" s="6" t="s">
        <v>19</v>
      </c>
      <c r="C15" s="22">
        <v>108000</v>
      </c>
      <c r="D15" s="22"/>
      <c r="E15" s="22">
        <v>405000</v>
      </c>
      <c r="F15" s="22"/>
      <c r="G15" s="22"/>
      <c r="H15" s="12">
        <f t="shared" si="0"/>
        <v>44266</v>
      </c>
    </row>
    <row r="16" spans="2:11" x14ac:dyDescent="0.3">
      <c r="B16" s="6" t="s">
        <v>14</v>
      </c>
      <c r="C16" s="22"/>
      <c r="D16" s="22"/>
      <c r="E16" s="22"/>
      <c r="F16" s="22"/>
      <c r="G16" s="22"/>
      <c r="H16" s="12">
        <f t="shared" si="0"/>
        <v>44266</v>
      </c>
    </row>
    <row r="17" spans="1:8" x14ac:dyDescent="0.3">
      <c r="B17" s="6" t="s">
        <v>24</v>
      </c>
      <c r="C17" s="22">
        <v>378000</v>
      </c>
      <c r="D17" s="22"/>
      <c r="E17" s="22"/>
      <c r="F17" s="49"/>
      <c r="G17" s="22"/>
      <c r="H17" s="12">
        <f t="shared" si="0"/>
        <v>44266</v>
      </c>
    </row>
    <row r="18" spans="1:8" x14ac:dyDescent="0.3">
      <c r="B18" s="6" t="s">
        <v>21</v>
      </c>
      <c r="C18" s="22"/>
      <c r="D18" s="22"/>
      <c r="E18" s="22"/>
      <c r="F18" s="22"/>
      <c r="G18" s="22"/>
      <c r="H18" s="12">
        <f t="shared" si="0"/>
        <v>44266</v>
      </c>
    </row>
    <row r="19" spans="1:8" x14ac:dyDescent="0.3">
      <c r="B19" s="6" t="s">
        <v>18</v>
      </c>
      <c r="C19" s="22"/>
      <c r="D19" s="22"/>
      <c r="E19" s="22"/>
      <c r="F19" s="22"/>
      <c r="G19" s="22"/>
      <c r="H19" s="12">
        <f t="shared" si="0"/>
        <v>44266</v>
      </c>
    </row>
    <row r="20" spans="1:8" x14ac:dyDescent="0.3">
      <c r="B20" s="6" t="s">
        <v>16</v>
      </c>
      <c r="C20" s="22">
        <v>589500</v>
      </c>
      <c r="D20" s="22"/>
      <c r="E20" s="22">
        <v>324000</v>
      </c>
      <c r="F20" s="22"/>
      <c r="G20" s="22"/>
      <c r="H20" s="12">
        <f t="shared" si="0"/>
        <v>44266</v>
      </c>
    </row>
    <row r="21" spans="1:8" x14ac:dyDescent="0.3">
      <c r="B21" s="50" t="s">
        <v>27</v>
      </c>
      <c r="C21" s="51">
        <f>SUM(March11_2021[KSI_AGO])</f>
        <v>1075500</v>
      </c>
      <c r="D21" s="51">
        <f>SUBTOTAL(109,March11_2021[KSI_PMS])</f>
        <v>1232500</v>
      </c>
      <c r="E21" s="51">
        <f>SUM(March11_2021[BUIPE_AGO])</f>
        <v>1269000</v>
      </c>
      <c r="F21" s="51">
        <f>SUM(March11_2021[BUIPE_PMS])</f>
        <v>626000</v>
      </c>
      <c r="G21" s="51">
        <f>SUM(March11_2021[AKOSOMBO_AGO])</f>
        <v>468000</v>
      </c>
      <c r="H21" s="52"/>
    </row>
    <row r="22" spans="1:8" x14ac:dyDescent="0.3">
      <c r="B22" s="8"/>
      <c r="C22" s="24"/>
      <c r="D22" s="24"/>
      <c r="E22" s="24"/>
      <c r="F22" s="24"/>
      <c r="G22" s="24"/>
      <c r="H22"/>
    </row>
    <row r="23" spans="1:8" x14ac:dyDescent="0.3">
      <c r="B23" s="1" t="s">
        <v>6</v>
      </c>
      <c r="C23" s="1" t="s">
        <v>4</v>
      </c>
      <c r="D23" s="5">
        <f>SUMIF(March11_2021[[#Headers],[KSI_AGO]:[AKOSOMBO_AGO]],"*"&amp;C23,March11_2021[[#Totals],[KSI_AGO]:[AKOSOMBO_AGO]])</f>
        <v>2812500</v>
      </c>
      <c r="E23" s="1" t="s">
        <v>5</v>
      </c>
      <c r="F23" s="5">
        <f>SUMIF(March11_2021[[#Headers],[KSI_AGO]:[AKOSOMBO_AGO]],"*"&amp;E23,March11_2021[[#Totals],[KSI_AGO]:[AKOSOMBO_AGO]])</f>
        <v>1858500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77E5EABC-2A7C-4042-A15C-BF48C4870D2F}">
      <formula1>INDIRECT("BDC_List[BDC List]")</formula1>
    </dataValidation>
  </dataValidations>
  <pageMargins left="0.7" right="0.7" top="0.75" bottom="0.75" header="0.3" footer="0.3"/>
  <tableParts count="1">
    <tablePart r:id="rId1"/>
  </tableParts>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A720-66FA-44C9-AA88-F9E07B4262A3}">
  <sheetPr codeName="Sheet308"/>
  <dimension ref="A1:K33"/>
  <sheetViews>
    <sheetView workbookViewId="0">
      <selection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44267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44267</v>
      </c>
    </row>
    <row r="7" spans="2:11" ht="16.5" customHeight="1" x14ac:dyDescent="0.3">
      <c r="B7" s="6" t="s">
        <v>37</v>
      </c>
      <c r="C7" s="22">
        <v>108000</v>
      </c>
      <c r="D7" s="22"/>
      <c r="E7" s="22">
        <v>162000</v>
      </c>
      <c r="F7" s="22"/>
      <c r="G7" s="22"/>
      <c r="H7" s="67">
        <f t="shared" si="0"/>
        <v>44267</v>
      </c>
    </row>
    <row r="8" spans="2:11" x14ac:dyDescent="0.3">
      <c r="B8" s="6" t="s">
        <v>17</v>
      </c>
      <c r="C8" s="22"/>
      <c r="D8" s="22"/>
      <c r="E8" s="22"/>
      <c r="F8" s="22"/>
      <c r="G8" s="22"/>
      <c r="H8" s="12">
        <f t="shared" si="0"/>
        <v>44267</v>
      </c>
    </row>
    <row r="9" spans="2:11" ht="15.6" x14ac:dyDescent="0.3">
      <c r="B9" s="34" t="s">
        <v>0</v>
      </c>
      <c r="C9" s="60"/>
      <c r="D9" s="60">
        <v>1814000</v>
      </c>
      <c r="E9" s="60"/>
      <c r="F9" s="60">
        <v>324000</v>
      </c>
      <c r="G9" s="61">
        <v>54000</v>
      </c>
      <c r="H9" s="12">
        <f t="shared" si="0"/>
        <v>44267</v>
      </c>
    </row>
    <row r="10" spans="2:11" x14ac:dyDescent="0.3">
      <c r="B10" s="6" t="s">
        <v>25</v>
      </c>
      <c r="C10" s="22"/>
      <c r="D10" s="22"/>
      <c r="E10" s="22"/>
      <c r="F10" s="22"/>
      <c r="G10" s="22"/>
      <c r="H10" s="12">
        <f t="shared" si="0"/>
        <v>44267</v>
      </c>
    </row>
    <row r="11" spans="2:11" x14ac:dyDescent="0.3">
      <c r="B11" s="6" t="s">
        <v>15</v>
      </c>
      <c r="C11" s="22"/>
      <c r="D11" s="22"/>
      <c r="E11" s="22"/>
      <c r="F11" s="48"/>
      <c r="G11" s="22"/>
      <c r="H11" s="12">
        <f t="shared" si="0"/>
        <v>44267</v>
      </c>
    </row>
    <row r="12" spans="2:11" x14ac:dyDescent="0.3">
      <c r="B12" s="6" t="s">
        <v>54</v>
      </c>
      <c r="C12" s="22"/>
      <c r="D12" s="22"/>
      <c r="E12" s="22"/>
      <c r="F12" s="22"/>
      <c r="G12" s="22"/>
      <c r="H12" s="67">
        <f>$G$3</f>
        <v>44267</v>
      </c>
    </row>
    <row r="13" spans="2:11" x14ac:dyDescent="0.3">
      <c r="B13" s="6" t="s">
        <v>26</v>
      </c>
      <c r="C13" s="22"/>
      <c r="D13" s="22"/>
      <c r="E13" s="22">
        <v>415000</v>
      </c>
      <c r="F13" s="22"/>
      <c r="G13" s="22"/>
      <c r="H13" s="12">
        <f t="shared" si="0"/>
        <v>44267</v>
      </c>
    </row>
    <row r="14" spans="2:11" x14ac:dyDescent="0.3">
      <c r="B14" s="6" t="s">
        <v>22</v>
      </c>
      <c r="C14" s="23"/>
      <c r="D14" s="23"/>
      <c r="E14" s="23"/>
      <c r="F14" s="22"/>
      <c r="G14" s="23"/>
      <c r="H14" s="12">
        <f t="shared" si="0"/>
        <v>44267</v>
      </c>
      <c r="K14" s="4"/>
    </row>
    <row r="15" spans="2:11" x14ac:dyDescent="0.3">
      <c r="B15" s="6" t="s">
        <v>19</v>
      </c>
      <c r="C15" s="22"/>
      <c r="D15" s="22"/>
      <c r="E15" s="22"/>
      <c r="F15" s="22"/>
      <c r="G15" s="22"/>
      <c r="H15" s="12">
        <f t="shared" si="0"/>
        <v>44267</v>
      </c>
    </row>
    <row r="16" spans="2:11" x14ac:dyDescent="0.3">
      <c r="B16" s="6" t="s">
        <v>14</v>
      </c>
      <c r="C16" s="22">
        <v>486000</v>
      </c>
      <c r="D16" s="22"/>
      <c r="E16" s="22">
        <v>477000</v>
      </c>
      <c r="F16" s="22">
        <v>374000</v>
      </c>
      <c r="G16" s="22"/>
      <c r="H16" s="12">
        <f t="shared" si="0"/>
        <v>44267</v>
      </c>
    </row>
    <row r="17" spans="1:8" x14ac:dyDescent="0.3">
      <c r="B17" s="6" t="s">
        <v>24</v>
      </c>
      <c r="C17" s="22">
        <v>648000</v>
      </c>
      <c r="D17" s="22"/>
      <c r="E17" s="22"/>
      <c r="F17" s="49"/>
      <c r="G17" s="22"/>
      <c r="H17" s="12">
        <f t="shared" si="0"/>
        <v>44267</v>
      </c>
    </row>
    <row r="18" spans="1:8" x14ac:dyDescent="0.3">
      <c r="B18" s="6" t="s">
        <v>21</v>
      </c>
      <c r="C18" s="22"/>
      <c r="D18" s="22"/>
      <c r="E18" s="22"/>
      <c r="F18" s="22"/>
      <c r="G18" s="22"/>
      <c r="H18" s="12">
        <f t="shared" si="0"/>
        <v>44267</v>
      </c>
    </row>
    <row r="19" spans="1:8" x14ac:dyDescent="0.3">
      <c r="B19" s="6" t="s">
        <v>18</v>
      </c>
      <c r="C19" s="22"/>
      <c r="D19" s="22"/>
      <c r="E19" s="22"/>
      <c r="F19" s="22"/>
      <c r="G19" s="22"/>
      <c r="H19" s="12">
        <f t="shared" si="0"/>
        <v>44267</v>
      </c>
    </row>
    <row r="20" spans="1:8" x14ac:dyDescent="0.3">
      <c r="B20" s="6" t="s">
        <v>16</v>
      </c>
      <c r="C20" s="22">
        <v>212000</v>
      </c>
      <c r="D20" s="22"/>
      <c r="E20" s="22">
        <v>266000</v>
      </c>
      <c r="F20" s="22"/>
      <c r="G20" s="22"/>
      <c r="H20" s="12">
        <f t="shared" si="0"/>
        <v>44267</v>
      </c>
    </row>
    <row r="21" spans="1:8" x14ac:dyDescent="0.3">
      <c r="B21" s="50" t="s">
        <v>27</v>
      </c>
      <c r="C21" s="51">
        <f>SUM(March12_2021[KSI_AGO])</f>
        <v>1454000</v>
      </c>
      <c r="D21" s="51">
        <f>SUBTOTAL(109,March12_2021[KSI_PMS])</f>
        <v>1814000</v>
      </c>
      <c r="E21" s="51">
        <f>SUM(March12_2021[BUIPE_AGO])</f>
        <v>1320000</v>
      </c>
      <c r="F21" s="51">
        <f>SUM(March12_2021[BUIPE_PMS])</f>
        <v>698000</v>
      </c>
      <c r="G21" s="51">
        <f>SUM(March12_2021[AKOSOMBO_AGO])</f>
        <v>54000</v>
      </c>
      <c r="H21" s="52"/>
    </row>
    <row r="22" spans="1:8" x14ac:dyDescent="0.3">
      <c r="B22" s="8"/>
      <c r="C22" s="24"/>
      <c r="D22" s="24"/>
      <c r="E22" s="24"/>
      <c r="F22" s="24"/>
      <c r="G22" s="24"/>
      <c r="H22"/>
    </row>
    <row r="23" spans="1:8" x14ac:dyDescent="0.3">
      <c r="B23" s="1" t="s">
        <v>6</v>
      </c>
      <c r="C23" s="1" t="s">
        <v>4</v>
      </c>
      <c r="D23" s="5">
        <f>SUMIF(March12_2021[[#Headers],[KSI_AGO]:[AKOSOMBO_AGO]],"*"&amp;C23,March12_2021[[#Totals],[KSI_AGO]:[AKOSOMBO_AGO]])</f>
        <v>2828000</v>
      </c>
      <c r="E23" s="1" t="s">
        <v>5</v>
      </c>
      <c r="F23" s="5">
        <f>SUMIF(March12_2021[[#Headers],[KSI_AGO]:[AKOSOMBO_AGO]],"*"&amp;E23,March12_2021[[#Totals],[KSI_AGO]:[AKOSOMBO_AGO]])</f>
        <v>2512000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18FB622F-611F-4841-AB4C-A5E797764AA3}">
      <formula1>INDIRECT("BDC_List[BDC List]")</formula1>
    </dataValidation>
  </dataValidations>
  <pageMargins left="0.7" right="0.7" top="0.75" bottom="0.75" header="0.3" footer="0.3"/>
  <tableParts count="1">
    <tablePart r:id="rId1"/>
  </tableParts>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E7145-CDD5-4E9F-9E95-2FDB62487C71}">
  <sheetPr codeName="Sheet309"/>
  <dimension ref="A1:K33"/>
  <sheetViews>
    <sheetView workbookViewId="0">
      <selection activeCell="C10" sqref="C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44270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44270</v>
      </c>
    </row>
    <row r="7" spans="2:11" ht="16.5" customHeight="1" x14ac:dyDescent="0.3">
      <c r="B7" s="6" t="s">
        <v>37</v>
      </c>
      <c r="C7" s="22">
        <v>153000</v>
      </c>
      <c r="D7" s="22"/>
      <c r="E7" s="22">
        <v>216000</v>
      </c>
      <c r="F7" s="22"/>
      <c r="G7" s="22"/>
      <c r="H7" s="67">
        <f t="shared" si="0"/>
        <v>44270</v>
      </c>
    </row>
    <row r="8" spans="2:11" x14ac:dyDescent="0.3">
      <c r="B8" s="6" t="s">
        <v>17</v>
      </c>
      <c r="C8" s="22"/>
      <c r="D8" s="22"/>
      <c r="E8" s="22"/>
      <c r="F8" s="22"/>
      <c r="G8" s="22"/>
      <c r="H8" s="12">
        <f t="shared" si="0"/>
        <v>44270</v>
      </c>
    </row>
    <row r="9" spans="2:11" ht="15.6" x14ac:dyDescent="0.3">
      <c r="B9" s="34" t="s">
        <v>0</v>
      </c>
      <c r="C9" s="60"/>
      <c r="D9" s="60">
        <v>756000</v>
      </c>
      <c r="E9" s="60"/>
      <c r="F9" s="60"/>
      <c r="G9" s="61">
        <v>54000</v>
      </c>
      <c r="H9" s="12">
        <f t="shared" si="0"/>
        <v>44270</v>
      </c>
    </row>
    <row r="10" spans="2:11" x14ac:dyDescent="0.3">
      <c r="B10" s="6" t="s">
        <v>25</v>
      </c>
      <c r="C10" s="22"/>
      <c r="D10" s="22"/>
      <c r="E10" s="22"/>
      <c r="F10" s="22"/>
      <c r="G10" s="22"/>
      <c r="H10" s="12">
        <f t="shared" si="0"/>
        <v>44270</v>
      </c>
    </row>
    <row r="11" spans="2:11" x14ac:dyDescent="0.3">
      <c r="B11" s="6" t="s">
        <v>15</v>
      </c>
      <c r="C11" s="22"/>
      <c r="D11" s="22"/>
      <c r="E11" s="22"/>
      <c r="F11" s="48"/>
      <c r="G11" s="22"/>
      <c r="H11" s="12">
        <f t="shared" si="0"/>
        <v>44270</v>
      </c>
    </row>
    <row r="12" spans="2:11" x14ac:dyDescent="0.3">
      <c r="B12" s="6" t="s">
        <v>54</v>
      </c>
      <c r="C12" s="22"/>
      <c r="D12" s="22"/>
      <c r="E12" s="22"/>
      <c r="F12" s="22"/>
      <c r="G12" s="22"/>
      <c r="H12" s="67">
        <f t="shared" si="0"/>
        <v>44270</v>
      </c>
    </row>
    <row r="13" spans="2:11" x14ac:dyDescent="0.3">
      <c r="B13" s="6" t="s">
        <v>26</v>
      </c>
      <c r="C13" s="22"/>
      <c r="D13" s="22">
        <v>45000</v>
      </c>
      <c r="E13" s="22">
        <v>45000</v>
      </c>
      <c r="F13" s="22"/>
      <c r="G13" s="22"/>
      <c r="H13" s="12">
        <f t="shared" si="0"/>
        <v>44270</v>
      </c>
    </row>
    <row r="14" spans="2:11" x14ac:dyDescent="0.3">
      <c r="B14" s="6" t="s">
        <v>22</v>
      </c>
      <c r="C14" s="23"/>
      <c r="D14" s="23"/>
      <c r="E14" s="23"/>
      <c r="F14" s="22"/>
      <c r="G14" s="23"/>
      <c r="H14" s="12">
        <f t="shared" si="0"/>
        <v>44270</v>
      </c>
      <c r="K14" s="4"/>
    </row>
    <row r="15" spans="2:11" x14ac:dyDescent="0.3">
      <c r="B15" s="6" t="s">
        <v>19</v>
      </c>
      <c r="C15" s="22"/>
      <c r="D15" s="22"/>
      <c r="E15" s="22">
        <v>54000</v>
      </c>
      <c r="F15" s="22"/>
      <c r="G15" s="22"/>
      <c r="H15" s="12">
        <f t="shared" si="0"/>
        <v>44270</v>
      </c>
    </row>
    <row r="16" spans="2:11" x14ac:dyDescent="0.3">
      <c r="B16" s="6" t="s">
        <v>14</v>
      </c>
      <c r="C16" s="22">
        <v>489000</v>
      </c>
      <c r="D16" s="22">
        <v>852000</v>
      </c>
      <c r="E16" s="22">
        <v>369000</v>
      </c>
      <c r="F16" s="22">
        <v>540000</v>
      </c>
      <c r="G16" s="22"/>
      <c r="H16" s="12">
        <f t="shared" si="0"/>
        <v>44270</v>
      </c>
    </row>
    <row r="17" spans="1:8" x14ac:dyDescent="0.3">
      <c r="B17" s="6" t="s">
        <v>24</v>
      </c>
      <c r="C17" s="22">
        <v>360000</v>
      </c>
      <c r="D17" s="22"/>
      <c r="E17" s="22"/>
      <c r="F17" s="49"/>
      <c r="G17" s="22"/>
      <c r="H17" s="12">
        <f t="shared" si="0"/>
        <v>44270</v>
      </c>
    </row>
    <row r="18" spans="1:8" x14ac:dyDescent="0.3">
      <c r="B18" s="6" t="s">
        <v>21</v>
      </c>
      <c r="C18" s="22"/>
      <c r="D18" s="22"/>
      <c r="E18" s="22"/>
      <c r="F18" s="22"/>
      <c r="G18" s="22"/>
      <c r="H18" s="12">
        <f t="shared" si="0"/>
        <v>44270</v>
      </c>
    </row>
    <row r="19" spans="1:8" x14ac:dyDescent="0.3">
      <c r="B19" s="6" t="s">
        <v>18</v>
      </c>
      <c r="C19" s="22"/>
      <c r="D19" s="22"/>
      <c r="E19" s="22"/>
      <c r="F19" s="22"/>
      <c r="G19" s="22"/>
      <c r="H19" s="12">
        <f t="shared" si="0"/>
        <v>44270</v>
      </c>
    </row>
    <row r="20" spans="1:8" x14ac:dyDescent="0.3">
      <c r="B20" s="6" t="s">
        <v>16</v>
      </c>
      <c r="C20" s="22">
        <v>158000</v>
      </c>
      <c r="D20" s="22">
        <v>45000</v>
      </c>
      <c r="E20" s="22">
        <v>150000</v>
      </c>
      <c r="F20" s="22"/>
      <c r="G20" s="22"/>
      <c r="H20" s="12">
        <f t="shared" si="0"/>
        <v>44270</v>
      </c>
    </row>
    <row r="21" spans="1:8" x14ac:dyDescent="0.3">
      <c r="B21" s="50" t="s">
        <v>27</v>
      </c>
      <c r="C21" s="51">
        <f>SUM(March15_2021[KSI_AGO])</f>
        <v>1160000</v>
      </c>
      <c r="D21" s="51">
        <f>SUBTOTAL(109,March15_2021[KSI_PMS])</f>
        <v>1698000</v>
      </c>
      <c r="E21" s="51">
        <f>SUM(March15_2021[BUIPE_AGO])</f>
        <v>834000</v>
      </c>
      <c r="F21" s="51">
        <f>SUM(March15_2021[BUIPE_PMS])</f>
        <v>540000</v>
      </c>
      <c r="G21" s="51">
        <f>SUM(March15_2021[AKOSOMBO_AGO])</f>
        <v>54000</v>
      </c>
      <c r="H21" s="52"/>
    </row>
    <row r="22" spans="1:8" x14ac:dyDescent="0.3">
      <c r="B22" s="8"/>
      <c r="C22" s="24"/>
      <c r="D22" s="24"/>
      <c r="E22" s="24"/>
      <c r="F22" s="24"/>
      <c r="G22" s="24"/>
      <c r="H22"/>
    </row>
    <row r="23" spans="1:8" x14ac:dyDescent="0.3">
      <c r="B23" s="1" t="s">
        <v>6</v>
      </c>
      <c r="C23" s="1" t="s">
        <v>4</v>
      </c>
      <c r="D23" s="5">
        <f>SUMIF(March15_2021[[#Headers],[KSI_AGO]:[AKOSOMBO_AGO]],"*"&amp;C23,March15_2021[[#Totals],[KSI_AGO]:[AKOSOMBO_AGO]])</f>
        <v>2048000</v>
      </c>
      <c r="E23" s="1" t="s">
        <v>5</v>
      </c>
      <c r="F23" s="5">
        <f>SUMIF(March15_2021[[#Headers],[KSI_AGO]:[AKOSOMBO_AGO]],"*"&amp;E23,March15_2021[[#Totals],[KSI_AGO]:[AKOSOMBO_AGO]])</f>
        <v>2238000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8C985158-101E-4F2F-9BC7-1D0EC29775FA}">
      <formula1>INDIRECT("BDC_List[BDC List]")</formula1>
    </dataValidation>
  </dataValidations>
  <pageMargins left="0.7" right="0.7" top="0.75" bottom="0.75" header="0.3" footer="0.3"/>
  <tableParts count="1">
    <tablePart r:id="rId1"/>
  </tableParts>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6B8E7-E610-420F-8100-B02780E49F38}">
  <sheetPr codeName="Sheet310"/>
  <dimension ref="A1:K33"/>
  <sheetViews>
    <sheetView workbookViewId="0">
      <selection activeCell="G18" sqref="G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44271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44271</v>
      </c>
    </row>
    <row r="7" spans="2:11" ht="16.5" customHeight="1" x14ac:dyDescent="0.3">
      <c r="B7" s="6" t="s">
        <v>37</v>
      </c>
      <c r="C7" s="22">
        <v>270000</v>
      </c>
      <c r="D7" s="22"/>
      <c r="E7" s="22">
        <v>270000</v>
      </c>
      <c r="F7" s="22"/>
      <c r="G7" s="22"/>
      <c r="H7" s="67">
        <f t="shared" si="0"/>
        <v>44271</v>
      </c>
    </row>
    <row r="8" spans="2:11" x14ac:dyDescent="0.3">
      <c r="B8" s="6" t="s">
        <v>17</v>
      </c>
      <c r="C8" s="22"/>
      <c r="D8" s="22"/>
      <c r="E8" s="22"/>
      <c r="F8" s="22"/>
      <c r="G8" s="22"/>
      <c r="H8" s="12">
        <f t="shared" si="0"/>
        <v>44271</v>
      </c>
    </row>
    <row r="9" spans="2:11" ht="15.6" x14ac:dyDescent="0.3">
      <c r="B9" s="34" t="s">
        <v>0</v>
      </c>
      <c r="C9" s="60"/>
      <c r="D9" s="60">
        <v>54000</v>
      </c>
      <c r="E9" s="60"/>
      <c r="F9" s="60"/>
      <c r="G9" s="61"/>
      <c r="H9" s="12">
        <f t="shared" si="0"/>
        <v>44271</v>
      </c>
    </row>
    <row r="10" spans="2:11" x14ac:dyDescent="0.3">
      <c r="B10" s="6" t="s">
        <v>25</v>
      </c>
      <c r="C10" s="22"/>
      <c r="D10" s="22"/>
      <c r="E10" s="22"/>
      <c r="F10" s="22"/>
      <c r="G10" s="22"/>
      <c r="H10" s="12">
        <f t="shared" si="0"/>
        <v>44271</v>
      </c>
    </row>
    <row r="11" spans="2:11" x14ac:dyDescent="0.3">
      <c r="B11" s="6" t="s">
        <v>15</v>
      </c>
      <c r="C11" s="22"/>
      <c r="D11" s="22"/>
      <c r="E11" s="22"/>
      <c r="F11" s="48"/>
      <c r="G11" s="22"/>
      <c r="H11" s="12">
        <f t="shared" si="0"/>
        <v>44271</v>
      </c>
    </row>
    <row r="12" spans="2:11" x14ac:dyDescent="0.3">
      <c r="B12" s="6" t="s">
        <v>54</v>
      </c>
      <c r="C12" s="22"/>
      <c r="D12" s="22"/>
      <c r="E12" s="22"/>
      <c r="F12" s="22"/>
      <c r="G12" s="22"/>
      <c r="H12" s="67">
        <f>$G$3</f>
        <v>44271</v>
      </c>
    </row>
    <row r="13" spans="2:11" x14ac:dyDescent="0.3">
      <c r="B13" s="6" t="s">
        <v>26</v>
      </c>
      <c r="C13" s="22"/>
      <c r="D13" s="22"/>
      <c r="E13" s="22"/>
      <c r="F13" s="22"/>
      <c r="G13" s="22"/>
      <c r="H13" s="12">
        <f t="shared" si="0"/>
        <v>44271</v>
      </c>
    </row>
    <row r="14" spans="2:11" x14ac:dyDescent="0.3">
      <c r="B14" s="6" t="s">
        <v>22</v>
      </c>
      <c r="C14" s="23"/>
      <c r="D14" s="23"/>
      <c r="E14" s="23"/>
      <c r="F14" s="22"/>
      <c r="G14" s="23"/>
      <c r="H14" s="12">
        <f t="shared" si="0"/>
        <v>44271</v>
      </c>
      <c r="K14" s="4"/>
    </row>
    <row r="15" spans="2:11" x14ac:dyDescent="0.3">
      <c r="B15" s="6" t="s">
        <v>19</v>
      </c>
      <c r="C15" s="22"/>
      <c r="D15" s="22">
        <v>324000</v>
      </c>
      <c r="E15" s="22"/>
      <c r="F15" s="22"/>
      <c r="G15" s="22"/>
      <c r="H15" s="12">
        <f t="shared" si="0"/>
        <v>44271</v>
      </c>
    </row>
    <row r="16" spans="2:11" x14ac:dyDescent="0.3">
      <c r="B16" s="6" t="s">
        <v>14</v>
      </c>
      <c r="C16" s="22">
        <v>1080000</v>
      </c>
      <c r="D16" s="22">
        <v>863000</v>
      </c>
      <c r="E16" s="22">
        <v>378000</v>
      </c>
      <c r="F16" s="22"/>
      <c r="G16" s="22"/>
      <c r="H16" s="12">
        <f t="shared" si="0"/>
        <v>44271</v>
      </c>
    </row>
    <row r="17" spans="1:8" x14ac:dyDescent="0.3">
      <c r="B17" s="6" t="s">
        <v>24</v>
      </c>
      <c r="C17" s="22">
        <v>162000</v>
      </c>
      <c r="D17" s="22"/>
      <c r="E17" s="22"/>
      <c r="F17" s="49"/>
      <c r="G17" s="22"/>
      <c r="H17" s="12">
        <f t="shared" si="0"/>
        <v>44271</v>
      </c>
    </row>
    <row r="18" spans="1:8" x14ac:dyDescent="0.3">
      <c r="B18" s="6" t="s">
        <v>21</v>
      </c>
      <c r="C18" s="22"/>
      <c r="D18" s="22"/>
      <c r="E18" s="22"/>
      <c r="F18" s="22"/>
      <c r="G18" s="22"/>
      <c r="H18" s="12">
        <f t="shared" si="0"/>
        <v>44271</v>
      </c>
    </row>
    <row r="19" spans="1:8" x14ac:dyDescent="0.3">
      <c r="B19" s="6" t="s">
        <v>18</v>
      </c>
      <c r="C19" s="22"/>
      <c r="D19" s="22"/>
      <c r="E19" s="22"/>
      <c r="F19" s="22"/>
      <c r="G19" s="22"/>
      <c r="H19" s="12">
        <f t="shared" si="0"/>
        <v>44271</v>
      </c>
    </row>
    <row r="20" spans="1:8" x14ac:dyDescent="0.3">
      <c r="B20" s="6" t="s">
        <v>16</v>
      </c>
      <c r="C20" s="22">
        <v>139000</v>
      </c>
      <c r="D20" s="22"/>
      <c r="E20" s="22"/>
      <c r="F20" s="22"/>
      <c r="G20" s="22"/>
      <c r="H20" s="12">
        <f t="shared" si="0"/>
        <v>44271</v>
      </c>
    </row>
    <row r="21" spans="1:8" x14ac:dyDescent="0.3">
      <c r="B21" s="50" t="s">
        <v>27</v>
      </c>
      <c r="C21" s="51">
        <f>SUM(March16_2021[KSI_AGO])</f>
        <v>1651000</v>
      </c>
      <c r="D21" s="51">
        <f>SUBTOTAL(109,March16_2021[KSI_PMS])</f>
        <v>1241000</v>
      </c>
      <c r="E21" s="51">
        <f>SUM(March16_2021[BUIPE_AGO])</f>
        <v>648000</v>
      </c>
      <c r="F21" s="51">
        <f>SUM(March16_2021[BUIPE_PMS])</f>
        <v>0</v>
      </c>
      <c r="G21" s="51">
        <f>SUM(March16_2021[AKOSOMBO_AGO])</f>
        <v>0</v>
      </c>
      <c r="H21" s="52"/>
    </row>
    <row r="22" spans="1:8" x14ac:dyDescent="0.3">
      <c r="B22" s="8"/>
      <c r="C22" s="24"/>
      <c r="D22" s="24"/>
      <c r="E22" s="24"/>
      <c r="F22" s="24"/>
      <c r="G22" s="24"/>
      <c r="H22"/>
    </row>
    <row r="23" spans="1:8" x14ac:dyDescent="0.3">
      <c r="B23" s="1" t="s">
        <v>6</v>
      </c>
      <c r="C23" s="1" t="s">
        <v>4</v>
      </c>
      <c r="D23" s="5">
        <f>SUMIF(March16_2021[[#Headers],[KSI_AGO]:[AKOSOMBO_AGO]],"*"&amp;C23,March16_2021[[#Totals],[KSI_AGO]:[AKOSOMBO_AGO]])</f>
        <v>2299000</v>
      </c>
      <c r="E23" s="1" t="s">
        <v>5</v>
      </c>
      <c r="F23" s="5">
        <f>SUMIF(March16_2021[[#Headers],[KSI_AGO]:[AKOSOMBO_AGO]],"*"&amp;E23,March16_2021[[#Totals],[KSI_AGO]:[AKOSOMBO_AGO]])</f>
        <v>1241000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D741FFCF-4588-4774-9E48-17D67FCB6CAC}">
      <formula1>INDIRECT("BDC_List[BDC List]")</formula1>
    </dataValidation>
  </dataValidations>
  <pageMargins left="0.7" right="0.7" top="0.75" bottom="0.75" header="0.3" footer="0.3"/>
  <tableParts count="1">
    <tablePart r:id="rId1"/>
  </tableParts>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B7888-FE9D-4D34-BB07-9EDFA025354C}">
  <sheetPr codeName="Sheet311"/>
  <dimension ref="A1:K33"/>
  <sheetViews>
    <sheetView workbookViewId="0">
      <selection activeCell="C12" sqref="C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44272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44272</v>
      </c>
    </row>
    <row r="7" spans="2:11" x14ac:dyDescent="0.3">
      <c r="B7" s="6" t="s">
        <v>37</v>
      </c>
      <c r="C7" s="22">
        <v>162000</v>
      </c>
      <c r="D7" s="22"/>
      <c r="E7" s="22">
        <v>108000</v>
      </c>
      <c r="F7" s="22"/>
      <c r="G7" s="22"/>
      <c r="H7" s="67">
        <f t="shared" si="0"/>
        <v>44272</v>
      </c>
    </row>
    <row r="8" spans="2:11" x14ac:dyDescent="0.3">
      <c r="B8" s="6" t="s">
        <v>17</v>
      </c>
      <c r="C8" s="22"/>
      <c r="D8" s="22"/>
      <c r="E8" s="22"/>
      <c r="F8" s="22"/>
      <c r="G8" s="22"/>
      <c r="H8" s="12">
        <f t="shared" si="0"/>
        <v>44272</v>
      </c>
    </row>
    <row r="9" spans="2:11" ht="15.6" x14ac:dyDescent="0.3">
      <c r="B9" s="34" t="s">
        <v>0</v>
      </c>
      <c r="C9" s="60"/>
      <c r="D9" s="60"/>
      <c r="E9" s="60"/>
      <c r="F9" s="60"/>
      <c r="G9" s="61"/>
      <c r="H9" s="12">
        <f t="shared" si="0"/>
        <v>44272</v>
      </c>
    </row>
    <row r="10" spans="2:11" x14ac:dyDescent="0.3">
      <c r="B10" s="6" t="s">
        <v>25</v>
      </c>
      <c r="C10" s="22"/>
      <c r="D10" s="22"/>
      <c r="E10" s="22"/>
      <c r="F10" s="22"/>
      <c r="G10" s="22"/>
      <c r="H10" s="12">
        <f t="shared" si="0"/>
        <v>44272</v>
      </c>
    </row>
    <row r="11" spans="2:11" x14ac:dyDescent="0.3">
      <c r="B11" s="6" t="s">
        <v>15</v>
      </c>
      <c r="C11" s="22">
        <v>587500</v>
      </c>
      <c r="D11" s="22"/>
      <c r="E11" s="22">
        <v>320000</v>
      </c>
      <c r="F11" s="48"/>
      <c r="G11" s="22"/>
      <c r="H11" s="12">
        <f t="shared" si="0"/>
        <v>44272</v>
      </c>
    </row>
    <row r="12" spans="2:11" x14ac:dyDescent="0.3">
      <c r="B12" s="6" t="s">
        <v>54</v>
      </c>
      <c r="C12" s="22"/>
      <c r="D12" s="22"/>
      <c r="E12" s="22"/>
      <c r="F12" s="22"/>
      <c r="G12" s="22"/>
      <c r="H12" s="67">
        <f t="shared" si="0"/>
        <v>44272</v>
      </c>
    </row>
    <row r="13" spans="2:11" x14ac:dyDescent="0.3">
      <c r="B13" s="6" t="s">
        <v>26</v>
      </c>
      <c r="C13" s="22"/>
      <c r="D13" s="22"/>
      <c r="E13" s="22"/>
      <c r="F13" s="22"/>
      <c r="G13" s="22"/>
      <c r="H13" s="12">
        <f t="shared" si="0"/>
        <v>44272</v>
      </c>
    </row>
    <row r="14" spans="2:11" x14ac:dyDescent="0.3">
      <c r="B14" s="6" t="s">
        <v>22</v>
      </c>
      <c r="C14" s="23"/>
      <c r="D14" s="23"/>
      <c r="E14" s="23"/>
      <c r="F14" s="22"/>
      <c r="G14" s="23"/>
      <c r="H14" s="12">
        <f t="shared" si="0"/>
        <v>44272</v>
      </c>
      <c r="K14" s="4"/>
    </row>
    <row r="15" spans="2:11" x14ac:dyDescent="0.3">
      <c r="B15" s="6" t="s">
        <v>19</v>
      </c>
      <c r="C15" s="22"/>
      <c r="D15" s="22">
        <v>432000</v>
      </c>
      <c r="E15" s="22"/>
      <c r="F15" s="22"/>
      <c r="G15" s="22"/>
      <c r="H15" s="12">
        <f t="shared" si="0"/>
        <v>44272</v>
      </c>
    </row>
    <row r="16" spans="2:11" x14ac:dyDescent="0.3">
      <c r="B16" s="6" t="s">
        <v>14</v>
      </c>
      <c r="C16" s="22">
        <v>742500</v>
      </c>
      <c r="D16" s="22"/>
      <c r="E16" s="22">
        <v>162000</v>
      </c>
      <c r="F16" s="22"/>
      <c r="G16" s="22"/>
      <c r="H16" s="12">
        <f t="shared" si="0"/>
        <v>44272</v>
      </c>
    </row>
    <row r="17" spans="1:8" x14ac:dyDescent="0.3">
      <c r="B17" s="6" t="s">
        <v>24</v>
      </c>
      <c r="C17" s="22">
        <v>216000</v>
      </c>
      <c r="D17" s="22"/>
      <c r="E17" s="22"/>
      <c r="F17" s="49"/>
      <c r="G17" s="22"/>
      <c r="H17" s="12">
        <f t="shared" si="0"/>
        <v>44272</v>
      </c>
    </row>
    <row r="18" spans="1:8" x14ac:dyDescent="0.3">
      <c r="B18" s="6" t="s">
        <v>21</v>
      </c>
      <c r="C18" s="22"/>
      <c r="D18" s="22"/>
      <c r="E18" s="22"/>
      <c r="F18" s="22"/>
      <c r="G18" s="22"/>
      <c r="H18" s="12">
        <f t="shared" si="0"/>
        <v>44272</v>
      </c>
    </row>
    <row r="19" spans="1:8" x14ac:dyDescent="0.3">
      <c r="B19" s="6" t="s">
        <v>18</v>
      </c>
      <c r="C19" s="22"/>
      <c r="D19" s="22"/>
      <c r="E19" s="22"/>
      <c r="F19" s="22"/>
      <c r="G19" s="22"/>
      <c r="H19" s="12">
        <f t="shared" si="0"/>
        <v>44272</v>
      </c>
    </row>
    <row r="20" spans="1:8" x14ac:dyDescent="0.3">
      <c r="B20" s="6" t="s">
        <v>16</v>
      </c>
      <c r="C20" s="22"/>
      <c r="D20" s="22"/>
      <c r="E20" s="22"/>
      <c r="F20" s="22"/>
      <c r="G20" s="22"/>
      <c r="H20" s="12">
        <f t="shared" si="0"/>
        <v>44272</v>
      </c>
    </row>
    <row r="21" spans="1:8" x14ac:dyDescent="0.3">
      <c r="B21" s="50" t="s">
        <v>27</v>
      </c>
      <c r="C21" s="51">
        <f>SUM(March17_2021[KSI_AGO])</f>
        <v>1708000</v>
      </c>
      <c r="D21" s="51">
        <f>SUBTOTAL(109,March17_2021[KSI_PMS])</f>
        <v>432000</v>
      </c>
      <c r="E21" s="51">
        <f>SUM(March17_2021[BUIPE_AGO])</f>
        <v>590000</v>
      </c>
      <c r="F21" s="51">
        <f>SUM(March17_2021[BUIPE_PMS])</f>
        <v>0</v>
      </c>
      <c r="G21" s="51">
        <f>SUM(March17_2021[AKOSOMBO_AGO])</f>
        <v>0</v>
      </c>
      <c r="H21" s="52"/>
    </row>
    <row r="22" spans="1:8" x14ac:dyDescent="0.3">
      <c r="B22" s="8"/>
      <c r="C22" s="24"/>
      <c r="D22" s="24"/>
      <c r="E22" s="24"/>
      <c r="F22" s="24"/>
      <c r="G22" s="24"/>
      <c r="H22"/>
    </row>
    <row r="23" spans="1:8" x14ac:dyDescent="0.3">
      <c r="B23" s="1" t="s">
        <v>6</v>
      </c>
      <c r="C23" s="1" t="s">
        <v>4</v>
      </c>
      <c r="D23" s="5">
        <f>SUMIF(March17_2021[[#Headers],[KSI_AGO]:[AKOSOMBO_AGO]],"*"&amp;C23,March17_2021[[#Totals],[KSI_AGO]:[AKOSOMBO_AGO]])</f>
        <v>2298000</v>
      </c>
      <c r="E23" s="1" t="s">
        <v>5</v>
      </c>
      <c r="F23" s="5">
        <f>SUMIF(March17_2021[[#Headers],[KSI_AGO]:[AKOSOMBO_AGO]],"*"&amp;E23,March17_2021[[#Totals],[KSI_AGO]:[AKOSOMBO_AGO]])</f>
        <v>432000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4FB531D8-93E9-4317-BB39-8FE8863C3257}">
      <formula1>INDIRECT("BDC_List[BDC List]")</formula1>
    </dataValidation>
  </dataValidations>
  <pageMargins left="0.7" right="0.7" top="0.75" bottom="0.75" header="0.3" footer="0.3"/>
  <tableParts count="1">
    <tablePart r:id="rId1"/>
  </tableParts>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03B0F-01C0-4450-89E8-6CEDE6B049D4}">
  <sheetPr codeName="Sheet312"/>
  <dimension ref="A1:K33"/>
  <sheetViews>
    <sheetView workbookViewId="0">
      <selection activeCell="C15" sqref="C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44273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44273</v>
      </c>
    </row>
    <row r="7" spans="2:11" x14ac:dyDescent="0.3">
      <c r="B7" s="6" t="s">
        <v>37</v>
      </c>
      <c r="C7" s="22">
        <v>270000</v>
      </c>
      <c r="D7" s="22"/>
      <c r="E7" s="22">
        <v>216000</v>
      </c>
      <c r="F7" s="22"/>
      <c r="G7" s="22"/>
      <c r="H7" s="67">
        <f t="shared" si="0"/>
        <v>44273</v>
      </c>
    </row>
    <row r="8" spans="2:11" x14ac:dyDescent="0.3">
      <c r="B8" s="6" t="s">
        <v>17</v>
      </c>
      <c r="C8" s="22"/>
      <c r="D8" s="22"/>
      <c r="E8" s="22"/>
      <c r="F8" s="22"/>
      <c r="G8" s="22"/>
      <c r="H8" s="12">
        <f t="shared" si="0"/>
        <v>44273</v>
      </c>
    </row>
    <row r="9" spans="2:11" ht="15.6" x14ac:dyDescent="0.3">
      <c r="B9" s="34" t="s">
        <v>0</v>
      </c>
      <c r="C9" s="60"/>
      <c r="D9" s="60"/>
      <c r="E9" s="60"/>
      <c r="F9" s="60"/>
      <c r="G9" s="61"/>
      <c r="H9" s="12">
        <f t="shared" si="0"/>
        <v>44273</v>
      </c>
    </row>
    <row r="10" spans="2:11" x14ac:dyDescent="0.3">
      <c r="B10" s="6" t="s">
        <v>25</v>
      </c>
      <c r="C10" s="22"/>
      <c r="D10" s="22"/>
      <c r="E10" s="22"/>
      <c r="F10" s="22"/>
      <c r="G10" s="22"/>
      <c r="H10" s="12">
        <f t="shared" si="0"/>
        <v>44273</v>
      </c>
    </row>
    <row r="11" spans="2:11" x14ac:dyDescent="0.3">
      <c r="B11" s="6" t="s">
        <v>15</v>
      </c>
      <c r="C11" s="22">
        <v>743000</v>
      </c>
      <c r="D11" s="22"/>
      <c r="E11" s="22">
        <v>162000</v>
      </c>
      <c r="F11" s="48"/>
      <c r="G11" s="22"/>
      <c r="H11" s="12">
        <f t="shared" si="0"/>
        <v>44273</v>
      </c>
    </row>
    <row r="12" spans="2:11" x14ac:dyDescent="0.3">
      <c r="B12" s="6" t="s">
        <v>54</v>
      </c>
      <c r="C12" s="22"/>
      <c r="D12" s="22"/>
      <c r="E12" s="22"/>
      <c r="F12" s="22"/>
      <c r="G12" s="22"/>
      <c r="H12" s="67">
        <f t="shared" si="0"/>
        <v>44273</v>
      </c>
    </row>
    <row r="13" spans="2:11" x14ac:dyDescent="0.3">
      <c r="B13" s="6" t="s">
        <v>26</v>
      </c>
      <c r="C13" s="22"/>
      <c r="D13" s="22"/>
      <c r="E13" s="22"/>
      <c r="F13" s="22"/>
      <c r="G13" s="22"/>
      <c r="H13" s="12">
        <f t="shared" si="0"/>
        <v>44273</v>
      </c>
    </row>
    <row r="14" spans="2:11" x14ac:dyDescent="0.3">
      <c r="B14" s="6" t="s">
        <v>22</v>
      </c>
      <c r="C14" s="23"/>
      <c r="D14" s="23"/>
      <c r="E14" s="23"/>
      <c r="F14" s="22"/>
      <c r="G14" s="23"/>
      <c r="H14" s="12">
        <f t="shared" si="0"/>
        <v>44273</v>
      </c>
      <c r="K14" s="4"/>
    </row>
    <row r="15" spans="2:11" x14ac:dyDescent="0.3">
      <c r="B15" s="6" t="s">
        <v>19</v>
      </c>
      <c r="C15" s="22"/>
      <c r="D15" s="22">
        <v>324000</v>
      </c>
      <c r="E15" s="22"/>
      <c r="F15" s="22"/>
      <c r="G15" s="22"/>
      <c r="H15" s="12">
        <f t="shared" si="0"/>
        <v>44273</v>
      </c>
    </row>
    <row r="16" spans="2:11" x14ac:dyDescent="0.3">
      <c r="B16" s="6" t="s">
        <v>14</v>
      </c>
      <c r="C16" s="22">
        <v>648000</v>
      </c>
      <c r="D16" s="22">
        <v>270000</v>
      </c>
      <c r="E16" s="22">
        <v>216000</v>
      </c>
      <c r="F16" s="22"/>
      <c r="G16" s="22"/>
      <c r="H16" s="12">
        <f t="shared" si="0"/>
        <v>44273</v>
      </c>
    </row>
    <row r="17" spans="1:8" x14ac:dyDescent="0.3">
      <c r="B17" s="6" t="s">
        <v>24</v>
      </c>
      <c r="C17" s="22">
        <v>54000</v>
      </c>
      <c r="D17" s="22"/>
      <c r="E17" s="22"/>
      <c r="F17" s="49"/>
      <c r="G17" s="22"/>
      <c r="H17" s="12">
        <f t="shared" si="0"/>
        <v>44273</v>
      </c>
    </row>
    <row r="18" spans="1:8" x14ac:dyDescent="0.3">
      <c r="B18" s="6" t="s">
        <v>21</v>
      </c>
      <c r="C18" s="22"/>
      <c r="D18" s="22"/>
      <c r="E18" s="22"/>
      <c r="F18" s="22"/>
      <c r="G18" s="22"/>
      <c r="H18" s="12">
        <f t="shared" si="0"/>
        <v>44273</v>
      </c>
    </row>
    <row r="19" spans="1:8" x14ac:dyDescent="0.3">
      <c r="B19" s="6" t="s">
        <v>18</v>
      </c>
      <c r="C19" s="22"/>
      <c r="D19" s="22"/>
      <c r="E19" s="22"/>
      <c r="F19" s="22"/>
      <c r="G19" s="22"/>
      <c r="H19" s="12">
        <f t="shared" si="0"/>
        <v>44273</v>
      </c>
    </row>
    <row r="20" spans="1:8" x14ac:dyDescent="0.3">
      <c r="B20" s="6" t="s">
        <v>16</v>
      </c>
      <c r="C20" s="22"/>
      <c r="D20" s="22"/>
      <c r="E20" s="22"/>
      <c r="F20" s="22"/>
      <c r="G20" s="22"/>
      <c r="H20" s="12">
        <f t="shared" si="0"/>
        <v>44273</v>
      </c>
    </row>
    <row r="21" spans="1:8" x14ac:dyDescent="0.3">
      <c r="B21" s="50" t="s">
        <v>27</v>
      </c>
      <c r="C21" s="51">
        <f>SUM(March18_2021[KSI_AGO])</f>
        <v>1715000</v>
      </c>
      <c r="D21" s="51">
        <f>SUBTOTAL(109,March18_2021[KSI_PMS])</f>
        <v>594000</v>
      </c>
      <c r="E21" s="51">
        <f>SUM(March18_2021[BUIPE_AGO])</f>
        <v>594000</v>
      </c>
      <c r="F21" s="51">
        <f>SUM(March18_2021[BUIPE_PMS])</f>
        <v>0</v>
      </c>
      <c r="G21" s="51">
        <f>SUM(March18_2021[AKOSOMBO_AGO])</f>
        <v>0</v>
      </c>
      <c r="H21" s="52"/>
    </row>
    <row r="22" spans="1:8" x14ac:dyDescent="0.3">
      <c r="B22" s="8"/>
      <c r="C22" s="24"/>
      <c r="D22" s="24"/>
      <c r="E22" s="24"/>
      <c r="F22" s="24"/>
      <c r="G22" s="24"/>
      <c r="H22"/>
    </row>
    <row r="23" spans="1:8" x14ac:dyDescent="0.3">
      <c r="B23" s="1" t="s">
        <v>6</v>
      </c>
      <c r="C23" s="1" t="s">
        <v>4</v>
      </c>
      <c r="D23" s="5">
        <f>SUMIF(March18_2021[[#Headers],[KSI_AGO]:[AKOSOMBO_AGO]],"*"&amp;C23,March18_2021[[#Totals],[KSI_AGO]:[AKOSOMBO_AGO]])</f>
        <v>2309000</v>
      </c>
      <c r="E23" s="1" t="s">
        <v>5</v>
      </c>
      <c r="F23" s="5">
        <f>SUMIF(March18_2021[[#Headers],[KSI_AGO]:[AKOSOMBO_AGO]],"*"&amp;E23,March18_2021[[#Totals],[KSI_AGO]:[AKOSOMBO_AGO]])</f>
        <v>594000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CEDAAC48-A895-408C-9C8E-01D2A4FD1231}">
      <formula1>INDIRECT("BDC_List[BDC List]")</formula1>
    </dataValidation>
  </dataValidations>
  <pageMargins left="0.7" right="0.7" top="0.75" bottom="0.75" header="0.3" footer="0.3"/>
  <tableParts count="1">
    <tablePart r:id="rId1"/>
  </tableParts>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5F2EA-AF86-4A81-9A8B-35A8A01CA654}">
  <sheetPr codeName="Sheet313"/>
  <dimension ref="A1:K33"/>
  <sheetViews>
    <sheetView workbookViewId="0">
      <selection activeCell="B13" sqref="B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44274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44274</v>
      </c>
    </row>
    <row r="7" spans="2:11" x14ac:dyDescent="0.3">
      <c r="B7" s="6" t="s">
        <v>37</v>
      </c>
      <c r="C7" s="22">
        <v>49500</v>
      </c>
      <c r="D7" s="22"/>
      <c r="E7" s="22"/>
      <c r="F7" s="22"/>
      <c r="G7" s="22"/>
      <c r="H7" s="67">
        <f t="shared" si="0"/>
        <v>44274</v>
      </c>
    </row>
    <row r="8" spans="2:11" x14ac:dyDescent="0.3">
      <c r="B8" s="6" t="s">
        <v>17</v>
      </c>
      <c r="C8" s="22">
        <v>378000</v>
      </c>
      <c r="D8" s="22">
        <v>540000</v>
      </c>
      <c r="E8" s="22"/>
      <c r="F8" s="22">
        <v>450000</v>
      </c>
      <c r="G8" s="22">
        <v>540000</v>
      </c>
      <c r="H8" s="12">
        <f t="shared" si="0"/>
        <v>44274</v>
      </c>
    </row>
    <row r="9" spans="2:11" ht="15.6" x14ac:dyDescent="0.3">
      <c r="B9" s="34" t="s">
        <v>0</v>
      </c>
      <c r="C9" s="60"/>
      <c r="D9" s="60"/>
      <c r="E9" s="60"/>
      <c r="F9" s="60"/>
      <c r="G9" s="61"/>
      <c r="H9" s="12">
        <f t="shared" si="0"/>
        <v>44274</v>
      </c>
    </row>
    <row r="10" spans="2:11" x14ac:dyDescent="0.3">
      <c r="B10" s="6" t="s">
        <v>25</v>
      </c>
      <c r="C10" s="22">
        <v>485000</v>
      </c>
      <c r="D10" s="22"/>
      <c r="E10" s="22"/>
      <c r="F10" s="22"/>
      <c r="G10" s="22"/>
      <c r="H10" s="12">
        <f t="shared" si="0"/>
        <v>44274</v>
      </c>
    </row>
    <row r="11" spans="2:11" x14ac:dyDescent="0.3">
      <c r="B11" s="6" t="s">
        <v>15</v>
      </c>
      <c r="C11" s="22">
        <v>103500</v>
      </c>
      <c r="D11" s="22"/>
      <c r="E11" s="22">
        <v>540000</v>
      </c>
      <c r="F11" s="48"/>
      <c r="G11" s="22"/>
      <c r="H11" s="12">
        <f t="shared" si="0"/>
        <v>44274</v>
      </c>
    </row>
    <row r="12" spans="2:11" x14ac:dyDescent="0.3">
      <c r="B12" s="6" t="s">
        <v>54</v>
      </c>
      <c r="C12" s="22"/>
      <c r="D12" s="22"/>
      <c r="E12" s="22"/>
      <c r="F12" s="22"/>
      <c r="G12" s="22"/>
      <c r="H12" s="67">
        <f t="shared" si="0"/>
        <v>44274</v>
      </c>
    </row>
    <row r="13" spans="2:11" x14ac:dyDescent="0.3">
      <c r="B13" s="6" t="s">
        <v>26</v>
      </c>
      <c r="C13" s="22"/>
      <c r="D13" s="22"/>
      <c r="E13" s="22"/>
      <c r="F13" s="22"/>
      <c r="G13" s="22"/>
      <c r="H13" s="12">
        <f t="shared" si="0"/>
        <v>44274</v>
      </c>
    </row>
    <row r="14" spans="2:11" x14ac:dyDescent="0.3">
      <c r="B14" s="6" t="s">
        <v>22</v>
      </c>
      <c r="C14" s="23"/>
      <c r="D14" s="23"/>
      <c r="E14" s="23"/>
      <c r="F14" s="22"/>
      <c r="G14" s="23"/>
      <c r="H14" s="12">
        <f t="shared" si="0"/>
        <v>44274</v>
      </c>
      <c r="K14" s="4"/>
    </row>
    <row r="15" spans="2:11" x14ac:dyDescent="0.3">
      <c r="B15" s="6" t="s">
        <v>19</v>
      </c>
      <c r="C15" s="22"/>
      <c r="D15" s="22">
        <v>696500</v>
      </c>
      <c r="E15" s="22"/>
      <c r="F15" s="22"/>
      <c r="G15" s="22"/>
      <c r="H15" s="12">
        <f t="shared" si="0"/>
        <v>44274</v>
      </c>
    </row>
    <row r="16" spans="2:11" x14ac:dyDescent="0.3">
      <c r="B16" s="6" t="s">
        <v>14</v>
      </c>
      <c r="C16" s="22">
        <v>216000</v>
      </c>
      <c r="D16" s="22">
        <v>648000</v>
      </c>
      <c r="E16" s="22">
        <v>216000</v>
      </c>
      <c r="F16" s="22">
        <v>135000</v>
      </c>
      <c r="G16" s="22"/>
      <c r="H16" s="12">
        <f t="shared" si="0"/>
        <v>44274</v>
      </c>
    </row>
    <row r="17" spans="1:8" x14ac:dyDescent="0.3">
      <c r="B17" s="6" t="s">
        <v>24</v>
      </c>
      <c r="C17" s="22">
        <v>162000</v>
      </c>
      <c r="D17" s="22"/>
      <c r="E17" s="22"/>
      <c r="F17" s="49"/>
      <c r="G17" s="22"/>
      <c r="H17" s="12">
        <f t="shared" si="0"/>
        <v>44274</v>
      </c>
    </row>
    <row r="18" spans="1:8" x14ac:dyDescent="0.3">
      <c r="B18" s="6" t="s">
        <v>21</v>
      </c>
      <c r="C18" s="22"/>
      <c r="D18" s="22"/>
      <c r="E18" s="22"/>
      <c r="F18" s="22"/>
      <c r="G18" s="22"/>
      <c r="H18" s="12">
        <f t="shared" si="0"/>
        <v>44274</v>
      </c>
    </row>
    <row r="19" spans="1:8" x14ac:dyDescent="0.3">
      <c r="B19" s="6" t="s">
        <v>18</v>
      </c>
      <c r="C19" s="22"/>
      <c r="D19" s="22"/>
      <c r="E19" s="22"/>
      <c r="F19" s="22"/>
      <c r="G19" s="22"/>
      <c r="H19" s="12">
        <f t="shared" si="0"/>
        <v>44274</v>
      </c>
    </row>
    <row r="20" spans="1:8" x14ac:dyDescent="0.3">
      <c r="B20" s="6" t="s">
        <v>16</v>
      </c>
      <c r="C20" s="22">
        <v>54000</v>
      </c>
      <c r="D20" s="22"/>
      <c r="E20" s="22">
        <v>50000</v>
      </c>
      <c r="F20" s="22"/>
      <c r="G20" s="22"/>
      <c r="H20" s="12">
        <f t="shared" si="0"/>
        <v>44274</v>
      </c>
    </row>
    <row r="21" spans="1:8" x14ac:dyDescent="0.3">
      <c r="B21" s="50" t="s">
        <v>27</v>
      </c>
      <c r="C21" s="51">
        <f>SUM(March19_2021[KSI_AGO])</f>
        <v>1448000</v>
      </c>
      <c r="D21" s="51">
        <f>SUBTOTAL(109,March19_2021[KSI_PMS])</f>
        <v>1884500</v>
      </c>
      <c r="E21" s="51">
        <f>SUM(March19_2021[BUIPE_AGO])</f>
        <v>806000</v>
      </c>
      <c r="F21" s="51">
        <f>SUM(March19_2021[BUIPE_PMS])</f>
        <v>585000</v>
      </c>
      <c r="G21" s="51">
        <f>SUM(March19_2021[AKOSOMBO_AGO])</f>
        <v>540000</v>
      </c>
      <c r="H21" s="52"/>
    </row>
    <row r="22" spans="1:8" x14ac:dyDescent="0.3">
      <c r="B22" s="8"/>
      <c r="C22" s="24"/>
      <c r="D22" s="24"/>
      <c r="E22" s="24"/>
      <c r="F22" s="24"/>
      <c r="G22" s="24"/>
      <c r="H22"/>
    </row>
    <row r="23" spans="1:8" x14ac:dyDescent="0.3">
      <c r="B23" s="1" t="s">
        <v>6</v>
      </c>
      <c r="C23" s="1" t="s">
        <v>4</v>
      </c>
      <c r="D23" s="5">
        <f>SUMIF(March19_2021[[#Headers],[KSI_AGO]:[AKOSOMBO_AGO]],"*"&amp;C23,March19_2021[[#Totals],[KSI_AGO]:[AKOSOMBO_AGO]])</f>
        <v>2794000</v>
      </c>
      <c r="E23" s="1" t="s">
        <v>5</v>
      </c>
      <c r="F23" s="5">
        <f>SUMIF(March19_2021[[#Headers],[KSI_AGO]:[AKOSOMBO_AGO]],"*"&amp;E23,March19_2021[[#Totals],[KSI_AGO]:[AKOSOMBO_AGO]])</f>
        <v>2469500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C4ECCA0B-1B3F-4F30-9922-4721ABDF7FB6}">
      <formula1>INDIRECT("BDC_List[BDC List]")</formula1>
    </dataValidation>
  </dataValidations>
  <pageMargins left="0.7" right="0.7" top="0.75" bottom="0.75" header="0.3" footer="0.3"/>
  <tableParts count="1">
    <tablePart r:id="rId1"/>
  </tableParts>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896D4-58EF-4EFE-B023-76177CF2546A}">
  <sheetPr codeName="Sheet314"/>
  <dimension ref="A1:K33"/>
  <sheetViews>
    <sheetView workbookViewId="0">
      <selection activeCell="B19" sqref="B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44277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44277</v>
      </c>
    </row>
    <row r="7" spans="2:11" x14ac:dyDescent="0.3">
      <c r="B7" s="6" t="s">
        <v>37</v>
      </c>
      <c r="C7" s="22"/>
      <c r="D7" s="22"/>
      <c r="E7" s="22"/>
      <c r="F7" s="22"/>
      <c r="G7" s="22"/>
      <c r="H7" s="67">
        <f t="shared" si="0"/>
        <v>44277</v>
      </c>
    </row>
    <row r="8" spans="2:11" x14ac:dyDescent="0.3">
      <c r="B8" s="6" t="s">
        <v>17</v>
      </c>
      <c r="C8" s="22">
        <v>324000</v>
      </c>
      <c r="D8" s="22">
        <v>324000</v>
      </c>
      <c r="E8" s="22">
        <v>45000</v>
      </c>
      <c r="F8" s="22">
        <v>50000</v>
      </c>
      <c r="G8" s="22">
        <v>460000</v>
      </c>
      <c r="H8" s="12">
        <f t="shared" si="0"/>
        <v>44277</v>
      </c>
    </row>
    <row r="9" spans="2:11" ht="15.6" x14ac:dyDescent="0.3">
      <c r="B9" s="34" t="s">
        <v>0</v>
      </c>
      <c r="C9" s="60"/>
      <c r="D9" s="60">
        <v>50000</v>
      </c>
      <c r="E9" s="60"/>
      <c r="F9" s="60"/>
      <c r="G9" s="61"/>
      <c r="H9" s="12">
        <f t="shared" si="0"/>
        <v>44277</v>
      </c>
    </row>
    <row r="10" spans="2:11" x14ac:dyDescent="0.3">
      <c r="B10" s="6" t="s">
        <v>25</v>
      </c>
      <c r="C10" s="22">
        <v>540000</v>
      </c>
      <c r="D10" s="22"/>
      <c r="E10" s="22"/>
      <c r="F10" s="22"/>
      <c r="G10" s="22"/>
      <c r="H10" s="12">
        <f t="shared" si="0"/>
        <v>44277</v>
      </c>
    </row>
    <row r="11" spans="2:11" x14ac:dyDescent="0.3">
      <c r="B11" s="6" t="s">
        <v>15</v>
      </c>
      <c r="C11" s="22">
        <v>378000</v>
      </c>
      <c r="D11" s="22">
        <v>108000</v>
      </c>
      <c r="E11" s="22">
        <v>320000</v>
      </c>
      <c r="F11" s="48">
        <v>918000</v>
      </c>
      <c r="G11" s="22"/>
      <c r="H11" s="12">
        <f t="shared" si="0"/>
        <v>44277</v>
      </c>
    </row>
    <row r="12" spans="2:11" x14ac:dyDescent="0.3">
      <c r="B12" s="6" t="s">
        <v>54</v>
      </c>
      <c r="C12" s="22"/>
      <c r="D12" s="22"/>
      <c r="E12" s="22"/>
      <c r="F12" s="22"/>
      <c r="G12" s="22"/>
      <c r="H12" s="67">
        <f t="shared" si="0"/>
        <v>44277</v>
      </c>
    </row>
    <row r="13" spans="2:11" x14ac:dyDescent="0.3">
      <c r="B13" s="6" t="s">
        <v>26</v>
      </c>
      <c r="C13" s="22"/>
      <c r="D13" s="22"/>
      <c r="E13" s="22"/>
      <c r="F13" s="22"/>
      <c r="G13" s="22"/>
      <c r="H13" s="12">
        <f t="shared" si="0"/>
        <v>44277</v>
      </c>
    </row>
    <row r="14" spans="2:11" x14ac:dyDescent="0.3">
      <c r="B14" s="6" t="s">
        <v>22</v>
      </c>
      <c r="C14" s="23"/>
      <c r="D14" s="23"/>
      <c r="E14" s="23"/>
      <c r="F14" s="22"/>
      <c r="G14" s="23"/>
      <c r="H14" s="12">
        <f t="shared" si="0"/>
        <v>44277</v>
      </c>
      <c r="K14" s="4"/>
    </row>
    <row r="15" spans="2:11" x14ac:dyDescent="0.3">
      <c r="B15" s="6" t="s">
        <v>19</v>
      </c>
      <c r="C15" s="22"/>
      <c r="D15" s="22">
        <v>266000</v>
      </c>
      <c r="E15" s="22"/>
      <c r="F15" s="22"/>
      <c r="G15" s="22"/>
      <c r="H15" s="12">
        <f t="shared" si="0"/>
        <v>44277</v>
      </c>
    </row>
    <row r="16" spans="2:11" x14ac:dyDescent="0.3">
      <c r="B16" s="6" t="s">
        <v>14</v>
      </c>
      <c r="C16" s="22">
        <v>162000</v>
      </c>
      <c r="D16" s="22">
        <v>158000</v>
      </c>
      <c r="E16" s="22"/>
      <c r="F16" s="22"/>
      <c r="G16" s="22"/>
      <c r="H16" s="12">
        <f t="shared" si="0"/>
        <v>44277</v>
      </c>
    </row>
    <row r="17" spans="1:8" x14ac:dyDescent="0.3">
      <c r="B17" s="6" t="s">
        <v>24</v>
      </c>
      <c r="C17" s="22"/>
      <c r="D17" s="22"/>
      <c r="E17" s="22"/>
      <c r="F17" s="49"/>
      <c r="G17" s="22"/>
      <c r="H17" s="12">
        <f t="shared" si="0"/>
        <v>44277</v>
      </c>
    </row>
    <row r="18" spans="1:8" x14ac:dyDescent="0.3">
      <c r="B18" s="6" t="s">
        <v>21</v>
      </c>
      <c r="C18" s="22"/>
      <c r="D18" s="22"/>
      <c r="E18" s="22"/>
      <c r="F18" s="22"/>
      <c r="G18" s="22"/>
      <c r="H18" s="12">
        <f t="shared" si="0"/>
        <v>44277</v>
      </c>
    </row>
    <row r="19" spans="1:8" x14ac:dyDescent="0.3">
      <c r="B19" s="6" t="s">
        <v>18</v>
      </c>
      <c r="C19" s="22"/>
      <c r="D19" s="22"/>
      <c r="E19" s="22"/>
      <c r="F19" s="22"/>
      <c r="G19" s="22"/>
      <c r="H19" s="12">
        <f t="shared" si="0"/>
        <v>44277</v>
      </c>
    </row>
    <row r="20" spans="1:8" x14ac:dyDescent="0.3">
      <c r="B20" s="6" t="s">
        <v>16</v>
      </c>
      <c r="C20" s="22"/>
      <c r="D20" s="22"/>
      <c r="E20" s="22"/>
      <c r="F20" s="22"/>
      <c r="G20" s="22"/>
      <c r="H20" s="12">
        <f t="shared" si="0"/>
        <v>44277</v>
      </c>
    </row>
    <row r="21" spans="1:8" x14ac:dyDescent="0.3">
      <c r="B21" s="50" t="s">
        <v>27</v>
      </c>
      <c r="C21" s="51">
        <f>SUM(March22_2021[KSI_AGO])</f>
        <v>1404000</v>
      </c>
      <c r="D21" s="51">
        <f>SUBTOTAL(109,March22_2021[KSI_PMS])</f>
        <v>906000</v>
      </c>
      <c r="E21" s="51">
        <f>SUM(March22_2021[BUIPE_AGO])</f>
        <v>365000</v>
      </c>
      <c r="F21" s="51">
        <f>SUM(March22_2021[BUIPE_PMS])</f>
        <v>968000</v>
      </c>
      <c r="G21" s="51">
        <f>SUM(March22_2021[AKOSOMBO_AGO])</f>
        <v>460000</v>
      </c>
      <c r="H21" s="52"/>
    </row>
    <row r="22" spans="1:8" x14ac:dyDescent="0.3">
      <c r="B22" s="8"/>
      <c r="C22" s="24"/>
      <c r="D22" s="24"/>
      <c r="E22" s="24"/>
      <c r="F22" s="24"/>
      <c r="G22" s="24"/>
      <c r="H22"/>
    </row>
    <row r="23" spans="1:8" x14ac:dyDescent="0.3">
      <c r="B23" s="1" t="s">
        <v>6</v>
      </c>
      <c r="C23" s="1" t="s">
        <v>4</v>
      </c>
      <c r="D23" s="5">
        <f>SUMIF(March22_2021[[#Headers],[KSI_AGO]:[AKOSOMBO_AGO]],"*"&amp;C23,March22_2021[[#Totals],[KSI_AGO]:[AKOSOMBO_AGO]])</f>
        <v>2229000</v>
      </c>
      <c r="E23" s="1" t="s">
        <v>5</v>
      </c>
      <c r="F23" s="5">
        <f>SUMIF(March22_2021[[#Headers],[KSI_AGO]:[AKOSOMBO_AGO]],"*"&amp;E23,March22_2021[[#Totals],[KSI_AGO]:[AKOSOMBO_AGO]])</f>
        <v>1874000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24820386-9EA2-4610-B006-0FF4EAE1A512}">
      <formula1>INDIRECT("BDC_List[BDC List]")</formula1>
    </dataValidation>
  </dataValidations>
  <pageMargins left="0.7" right="0.7" top="0.75" bottom="0.75" header="0.3" footer="0.3"/>
  <tableParts count="1">
    <tablePart r:id="rId1"/>
  </tableParts>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B0124-7D02-45F5-AD71-478F397866CF}">
  <sheetPr codeName="Sheet315"/>
  <dimension ref="A1:K33"/>
  <sheetViews>
    <sheetView workbookViewId="0">
      <selection activeCell="C16" sqref="C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44278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44278</v>
      </c>
    </row>
    <row r="7" spans="2:11" x14ac:dyDescent="0.3">
      <c r="B7" s="6" t="s">
        <v>37</v>
      </c>
      <c r="C7" s="22">
        <v>95000</v>
      </c>
      <c r="D7" s="22"/>
      <c r="E7" s="22">
        <v>216000</v>
      </c>
      <c r="F7" s="22"/>
      <c r="G7" s="22"/>
      <c r="H7" s="67">
        <f t="shared" si="0"/>
        <v>44278</v>
      </c>
    </row>
    <row r="8" spans="2:11" x14ac:dyDescent="0.3">
      <c r="B8" s="6" t="s">
        <v>17</v>
      </c>
      <c r="C8" s="22">
        <v>244000</v>
      </c>
      <c r="D8" s="22">
        <v>270000</v>
      </c>
      <c r="E8" s="22"/>
      <c r="F8" s="22"/>
      <c r="G8" s="22"/>
      <c r="H8" s="12">
        <f t="shared" si="0"/>
        <v>44278</v>
      </c>
    </row>
    <row r="9" spans="2:11" ht="15.6" x14ac:dyDescent="0.3">
      <c r="B9" s="34" t="s">
        <v>0</v>
      </c>
      <c r="C9" s="60"/>
      <c r="D9" s="60">
        <v>90000</v>
      </c>
      <c r="E9" s="60"/>
      <c r="F9" s="60"/>
      <c r="G9" s="61"/>
      <c r="H9" s="12">
        <f t="shared" si="0"/>
        <v>44278</v>
      </c>
    </row>
    <row r="10" spans="2:11" x14ac:dyDescent="0.3">
      <c r="B10" s="6" t="s">
        <v>25</v>
      </c>
      <c r="C10" s="22">
        <v>158000</v>
      </c>
      <c r="D10" s="22"/>
      <c r="E10" s="22"/>
      <c r="F10" s="22"/>
      <c r="G10" s="22"/>
      <c r="H10" s="12">
        <f t="shared" si="0"/>
        <v>44278</v>
      </c>
    </row>
    <row r="11" spans="2:11" x14ac:dyDescent="0.3">
      <c r="B11" s="6" t="s">
        <v>15</v>
      </c>
      <c r="C11" s="22">
        <v>594000</v>
      </c>
      <c r="D11" s="22">
        <v>374000</v>
      </c>
      <c r="E11" s="22">
        <v>482000</v>
      </c>
      <c r="F11" s="48">
        <v>860000</v>
      </c>
      <c r="G11" s="22"/>
      <c r="H11" s="12">
        <f t="shared" si="0"/>
        <v>44278</v>
      </c>
    </row>
    <row r="12" spans="2:11" x14ac:dyDescent="0.3">
      <c r="B12" s="6" t="s">
        <v>54</v>
      </c>
      <c r="C12" s="22"/>
      <c r="D12" s="22"/>
      <c r="E12" s="22"/>
      <c r="F12" s="22"/>
      <c r="G12" s="22"/>
      <c r="H12" s="67">
        <f t="shared" si="0"/>
        <v>44278</v>
      </c>
    </row>
    <row r="13" spans="2:11" x14ac:dyDescent="0.3">
      <c r="B13" s="6" t="s">
        <v>26</v>
      </c>
      <c r="C13" s="22"/>
      <c r="D13" s="22"/>
      <c r="E13" s="22"/>
      <c r="F13" s="22"/>
      <c r="G13" s="22"/>
      <c r="H13" s="12">
        <f t="shared" si="0"/>
        <v>44278</v>
      </c>
    </row>
    <row r="14" spans="2:11" x14ac:dyDescent="0.3">
      <c r="B14" s="6" t="s">
        <v>22</v>
      </c>
      <c r="C14" s="23"/>
      <c r="D14" s="23"/>
      <c r="E14" s="23"/>
      <c r="F14" s="22"/>
      <c r="G14" s="23"/>
      <c r="H14" s="12">
        <f t="shared" si="0"/>
        <v>44278</v>
      </c>
      <c r="K14" s="4"/>
    </row>
    <row r="15" spans="2:11" x14ac:dyDescent="0.3">
      <c r="B15" s="6" t="s">
        <v>19</v>
      </c>
      <c r="C15" s="22"/>
      <c r="D15" s="22">
        <v>324000</v>
      </c>
      <c r="E15" s="22"/>
      <c r="F15" s="22"/>
      <c r="G15" s="22"/>
      <c r="H15" s="12">
        <f t="shared" si="0"/>
        <v>44278</v>
      </c>
    </row>
    <row r="16" spans="2:11" x14ac:dyDescent="0.3">
      <c r="B16" s="6" t="s">
        <v>14</v>
      </c>
      <c r="C16" s="22">
        <v>319500</v>
      </c>
      <c r="D16" s="22">
        <v>374000</v>
      </c>
      <c r="E16" s="22">
        <v>45000</v>
      </c>
      <c r="F16" s="22"/>
      <c r="G16" s="22"/>
      <c r="H16" s="12">
        <f t="shared" si="0"/>
        <v>44278</v>
      </c>
    </row>
    <row r="17" spans="1:8" x14ac:dyDescent="0.3">
      <c r="B17" s="6" t="s">
        <v>24</v>
      </c>
      <c r="C17" s="22"/>
      <c r="D17" s="22"/>
      <c r="E17" s="22"/>
      <c r="F17" s="49"/>
      <c r="G17" s="22"/>
      <c r="H17" s="12">
        <f t="shared" si="0"/>
        <v>44278</v>
      </c>
    </row>
    <row r="18" spans="1:8" x14ac:dyDescent="0.3">
      <c r="B18" s="6" t="s">
        <v>21</v>
      </c>
      <c r="C18" s="22"/>
      <c r="D18" s="22"/>
      <c r="E18" s="22"/>
      <c r="F18" s="22"/>
      <c r="G18" s="22"/>
      <c r="H18" s="12">
        <f t="shared" si="0"/>
        <v>44278</v>
      </c>
    </row>
    <row r="19" spans="1:8" x14ac:dyDescent="0.3">
      <c r="B19" s="6" t="s">
        <v>18</v>
      </c>
      <c r="C19" s="22"/>
      <c r="D19" s="22"/>
      <c r="E19" s="22"/>
      <c r="F19" s="22"/>
      <c r="G19" s="22"/>
      <c r="H19" s="12">
        <f t="shared" si="0"/>
        <v>44278</v>
      </c>
    </row>
    <row r="20" spans="1:8" x14ac:dyDescent="0.3">
      <c r="B20" s="6" t="s">
        <v>16</v>
      </c>
      <c r="C20" s="22">
        <v>45000</v>
      </c>
      <c r="D20" s="22">
        <v>49500</v>
      </c>
      <c r="E20" s="22"/>
      <c r="F20" s="22"/>
      <c r="G20" s="22"/>
      <c r="H20" s="12">
        <f t="shared" si="0"/>
        <v>44278</v>
      </c>
    </row>
    <row r="21" spans="1:8" x14ac:dyDescent="0.3">
      <c r="B21" s="50" t="s">
        <v>27</v>
      </c>
      <c r="C21" s="51">
        <f>SUM(March23_2021[KSI_AGO])</f>
        <v>1455500</v>
      </c>
      <c r="D21" s="51">
        <f>SUBTOTAL(109,March23_2021[KSI_PMS])</f>
        <v>1481500</v>
      </c>
      <c r="E21" s="51">
        <f>SUM(March23_2021[BUIPE_AGO])</f>
        <v>743000</v>
      </c>
      <c r="F21" s="51">
        <f>SUM(March23_2021[BUIPE_PMS])</f>
        <v>860000</v>
      </c>
      <c r="G21" s="51">
        <f>SUM(March23_2021[AKOSOMBO_AGO])</f>
        <v>0</v>
      </c>
      <c r="H21" s="52"/>
    </row>
    <row r="22" spans="1:8" x14ac:dyDescent="0.3">
      <c r="B22" s="8"/>
      <c r="C22" s="24"/>
      <c r="D22" s="24"/>
      <c r="E22" s="24"/>
      <c r="F22" s="24"/>
      <c r="G22" s="24"/>
      <c r="H22"/>
    </row>
    <row r="23" spans="1:8" x14ac:dyDescent="0.3">
      <c r="B23" s="1" t="s">
        <v>6</v>
      </c>
      <c r="C23" s="1" t="s">
        <v>4</v>
      </c>
      <c r="D23" s="5">
        <f>SUMIF(March23_2021[[#Headers],[KSI_AGO]:[AKOSOMBO_AGO]],"*"&amp;C23,March23_2021[[#Totals],[KSI_AGO]:[AKOSOMBO_AGO]])</f>
        <v>2198500</v>
      </c>
      <c r="E23" s="1" t="s">
        <v>5</v>
      </c>
      <c r="F23" s="5">
        <f>SUMIF(March23_2021[[#Headers],[KSI_AGO]:[AKOSOMBO_AGO]],"*"&amp;E23,March23_2021[[#Totals],[KSI_AGO]:[AKOSOMBO_AGO]])</f>
        <v>2341500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9FEB64F5-4533-4F65-9186-122382E60D2A}">
      <formula1>INDIRECT("BDC_List[BDC List]")</formula1>
    </dataValidation>
  </dataValidations>
  <pageMargins left="0.7" right="0.7" top="0.75" bottom="0.75" header="0.3" footer="0.3"/>
  <tableParts count="1">
    <tablePart r:id="rId1"/>
  </tableParts>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3B6D-5C6D-4C6A-84BF-0E060F1839EA}">
  <sheetPr codeName="Sheet316"/>
  <dimension ref="A1:K33"/>
  <sheetViews>
    <sheetView workbookViewId="0">
      <selection activeCell="C16" sqref="C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44279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44279</v>
      </c>
    </row>
    <row r="7" spans="2:11" x14ac:dyDescent="0.3">
      <c r="B7" s="6" t="s">
        <v>37</v>
      </c>
      <c r="C7" s="22"/>
      <c r="D7" s="22"/>
      <c r="E7" s="22"/>
      <c r="F7" s="22"/>
      <c r="G7" s="22"/>
      <c r="H7" s="67">
        <f t="shared" si="0"/>
        <v>44279</v>
      </c>
    </row>
    <row r="8" spans="2:11" x14ac:dyDescent="0.3">
      <c r="B8" s="6" t="s">
        <v>17</v>
      </c>
      <c r="C8" s="22"/>
      <c r="D8" s="22">
        <v>378000</v>
      </c>
      <c r="E8" s="22"/>
      <c r="F8" s="22"/>
      <c r="G8" s="22"/>
      <c r="H8" s="12">
        <f t="shared" si="0"/>
        <v>44279</v>
      </c>
    </row>
    <row r="9" spans="2:11" ht="15.6" x14ac:dyDescent="0.3">
      <c r="B9" s="34" t="s">
        <v>0</v>
      </c>
      <c r="C9" s="60"/>
      <c r="D9" s="60"/>
      <c r="E9" s="60"/>
      <c r="F9" s="60"/>
      <c r="G9" s="61"/>
      <c r="H9" s="12">
        <f t="shared" si="0"/>
        <v>44279</v>
      </c>
    </row>
    <row r="10" spans="2:11" x14ac:dyDescent="0.3">
      <c r="B10" s="6" t="s">
        <v>25</v>
      </c>
      <c r="C10" s="22"/>
      <c r="D10" s="22"/>
      <c r="E10" s="22"/>
      <c r="F10" s="22"/>
      <c r="G10" s="22"/>
      <c r="H10" s="12">
        <f t="shared" si="0"/>
        <v>44279</v>
      </c>
    </row>
    <row r="11" spans="2:11" x14ac:dyDescent="0.3">
      <c r="B11" s="6" t="s">
        <v>15</v>
      </c>
      <c r="C11" s="22">
        <v>1882000</v>
      </c>
      <c r="D11" s="22">
        <v>536000</v>
      </c>
      <c r="E11" s="22">
        <v>428000</v>
      </c>
      <c r="F11" s="48">
        <v>964000</v>
      </c>
      <c r="G11" s="22"/>
      <c r="H11" s="12">
        <f t="shared" si="0"/>
        <v>44279</v>
      </c>
    </row>
    <row r="12" spans="2:11" x14ac:dyDescent="0.3">
      <c r="B12" s="6" t="s">
        <v>54</v>
      </c>
      <c r="C12" s="22"/>
      <c r="D12" s="22"/>
      <c r="E12" s="22"/>
      <c r="F12" s="22"/>
      <c r="G12" s="22"/>
      <c r="H12" s="67">
        <f t="shared" si="0"/>
        <v>44279</v>
      </c>
    </row>
    <row r="13" spans="2:11" x14ac:dyDescent="0.3">
      <c r="B13" s="6" t="s">
        <v>26</v>
      </c>
      <c r="C13" s="22"/>
      <c r="D13" s="22"/>
      <c r="E13" s="22"/>
      <c r="F13" s="22"/>
      <c r="G13" s="22"/>
      <c r="H13" s="12">
        <f t="shared" si="0"/>
        <v>44279</v>
      </c>
    </row>
    <row r="14" spans="2:11" x14ac:dyDescent="0.3">
      <c r="B14" s="6" t="s">
        <v>22</v>
      </c>
      <c r="C14" s="23"/>
      <c r="D14" s="23"/>
      <c r="E14" s="23"/>
      <c r="F14" s="22"/>
      <c r="G14" s="23"/>
      <c r="H14" s="12">
        <f t="shared" si="0"/>
        <v>44279</v>
      </c>
      <c r="K14" s="4"/>
    </row>
    <row r="15" spans="2:11" x14ac:dyDescent="0.3">
      <c r="B15" s="6" t="s">
        <v>19</v>
      </c>
      <c r="C15" s="22"/>
      <c r="D15" s="22">
        <v>270000</v>
      </c>
      <c r="E15" s="22"/>
      <c r="F15" s="22"/>
      <c r="G15" s="22">
        <v>500000</v>
      </c>
      <c r="H15" s="12">
        <f t="shared" si="0"/>
        <v>44279</v>
      </c>
    </row>
    <row r="16" spans="2:11" x14ac:dyDescent="0.3">
      <c r="B16" s="6" t="s">
        <v>14</v>
      </c>
      <c r="C16" s="22">
        <v>108000</v>
      </c>
      <c r="D16" s="22">
        <v>324000</v>
      </c>
      <c r="E16" s="22">
        <v>45000</v>
      </c>
      <c r="F16" s="22"/>
      <c r="G16" s="22"/>
      <c r="H16" s="12">
        <f t="shared" si="0"/>
        <v>44279</v>
      </c>
    </row>
    <row r="17" spans="1:8" x14ac:dyDescent="0.3">
      <c r="B17" s="6" t="s">
        <v>24</v>
      </c>
      <c r="C17" s="22"/>
      <c r="D17" s="22"/>
      <c r="E17" s="22"/>
      <c r="F17" s="49"/>
      <c r="G17" s="22"/>
      <c r="H17" s="12">
        <f t="shared" si="0"/>
        <v>44279</v>
      </c>
    </row>
    <row r="18" spans="1:8" x14ac:dyDescent="0.3">
      <c r="B18" s="6" t="s">
        <v>21</v>
      </c>
      <c r="C18" s="22"/>
      <c r="D18" s="22"/>
      <c r="E18" s="22"/>
      <c r="F18" s="22"/>
      <c r="G18" s="22"/>
      <c r="H18" s="12">
        <f t="shared" si="0"/>
        <v>44279</v>
      </c>
    </row>
    <row r="19" spans="1:8" x14ac:dyDescent="0.3">
      <c r="B19" s="6" t="s">
        <v>18</v>
      </c>
      <c r="C19" s="22"/>
      <c r="D19" s="22"/>
      <c r="E19" s="22"/>
      <c r="F19" s="22"/>
      <c r="G19" s="22"/>
      <c r="H19" s="12">
        <f t="shared" si="0"/>
        <v>44279</v>
      </c>
    </row>
    <row r="20" spans="1:8" x14ac:dyDescent="0.3">
      <c r="B20" s="6" t="s">
        <v>16</v>
      </c>
      <c r="C20" s="22"/>
      <c r="D20" s="22"/>
      <c r="E20" s="22"/>
      <c r="F20" s="22"/>
      <c r="G20" s="22"/>
      <c r="H20" s="12">
        <f t="shared" si="0"/>
        <v>44279</v>
      </c>
    </row>
    <row r="21" spans="1:8" x14ac:dyDescent="0.3">
      <c r="B21" s="50" t="s">
        <v>27</v>
      </c>
      <c r="C21" s="51">
        <f>SUM(March24_2021[KSI_AGO])</f>
        <v>1990000</v>
      </c>
      <c r="D21" s="51">
        <f>SUBTOTAL(109,March24_2021[KSI_PMS])</f>
        <v>1508000</v>
      </c>
      <c r="E21" s="51">
        <f>SUM(March24_2021[BUIPE_AGO])</f>
        <v>473000</v>
      </c>
      <c r="F21" s="51">
        <f>SUM(March24_2021[BUIPE_PMS])</f>
        <v>964000</v>
      </c>
      <c r="G21" s="51">
        <f>SUM(March24_2021[AKOSOMBO_AGO])</f>
        <v>500000</v>
      </c>
      <c r="H21" s="52"/>
    </row>
    <row r="22" spans="1:8" x14ac:dyDescent="0.3">
      <c r="B22" s="8"/>
      <c r="C22" s="24"/>
      <c r="D22" s="24"/>
      <c r="E22" s="24"/>
      <c r="F22" s="24"/>
      <c r="G22" s="24"/>
      <c r="H22"/>
    </row>
    <row r="23" spans="1:8" x14ac:dyDescent="0.3">
      <c r="B23" s="1" t="s">
        <v>6</v>
      </c>
      <c r="C23" s="1" t="s">
        <v>4</v>
      </c>
      <c r="D23" s="5">
        <f>SUMIF(March24_2021[[#Headers],[KSI_AGO]:[AKOSOMBO_AGO]],"*"&amp;C23,March24_2021[[#Totals],[KSI_AGO]:[AKOSOMBO_AGO]])</f>
        <v>2963000</v>
      </c>
      <c r="E23" s="1" t="s">
        <v>5</v>
      </c>
      <c r="F23" s="5">
        <f>SUMIF(March24_2021[[#Headers],[KSI_AGO]:[AKOSOMBO_AGO]],"*"&amp;E23,March24_2021[[#Totals],[KSI_AGO]:[AKOSOMBO_AGO]])</f>
        <v>2472000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16D16D3B-B9CD-44F4-9A40-E927BFAC6774}">
      <formula1>INDIRECT("BDC_List[BDC List]")</formula1>
    </dataValidation>
  </dataValidations>
  <pageMargins left="0.7" right="0.7" top="0.75" bottom="0.75" header="0.3" footer="0.3"/>
  <tableParts count="1">
    <tablePart r:id="rId1"/>
  </tableParts>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F9BAC-A8D0-4AA8-A27B-FCB4E047EE78}">
  <sheetPr codeName="Sheet317"/>
  <dimension ref="A1:K33"/>
  <sheetViews>
    <sheetView workbookViewId="0">
      <selection activeCell="B16" sqref="B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44280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44280</v>
      </c>
    </row>
    <row r="7" spans="2:11" x14ac:dyDescent="0.3">
      <c r="B7" s="6" t="s">
        <v>37</v>
      </c>
      <c r="C7" s="22">
        <v>47000</v>
      </c>
      <c r="D7" s="22"/>
      <c r="E7" s="22"/>
      <c r="F7" s="22"/>
      <c r="G7" s="22"/>
      <c r="H7" s="67">
        <f t="shared" si="0"/>
        <v>44280</v>
      </c>
    </row>
    <row r="8" spans="2:11" x14ac:dyDescent="0.3">
      <c r="B8" s="6" t="s">
        <v>17</v>
      </c>
      <c r="C8" s="22"/>
      <c r="D8" s="22">
        <v>162000</v>
      </c>
      <c r="E8" s="22"/>
      <c r="F8" s="22"/>
      <c r="G8" s="22"/>
      <c r="H8" s="12">
        <f t="shared" si="0"/>
        <v>44280</v>
      </c>
    </row>
    <row r="9" spans="2:11" ht="15.6" x14ac:dyDescent="0.3">
      <c r="B9" s="34" t="s">
        <v>0</v>
      </c>
      <c r="C9" s="60"/>
      <c r="D9" s="60"/>
      <c r="E9" s="60"/>
      <c r="F9" s="60"/>
      <c r="G9" s="61"/>
      <c r="H9" s="12">
        <f t="shared" si="0"/>
        <v>44280</v>
      </c>
    </row>
    <row r="10" spans="2:11" x14ac:dyDescent="0.3">
      <c r="B10" s="6" t="s">
        <v>25</v>
      </c>
      <c r="C10" s="22"/>
      <c r="D10" s="22">
        <v>267500</v>
      </c>
      <c r="E10" s="22"/>
      <c r="F10" s="22"/>
      <c r="G10" s="22"/>
      <c r="H10" s="12">
        <f t="shared" si="0"/>
        <v>44280</v>
      </c>
    </row>
    <row r="11" spans="2:11" ht="13.5" customHeight="1" x14ac:dyDescent="0.3">
      <c r="B11" s="6" t="s">
        <v>15</v>
      </c>
      <c r="C11" s="22">
        <v>162000</v>
      </c>
      <c r="D11" s="22">
        <v>108000</v>
      </c>
      <c r="E11" s="22">
        <v>45000</v>
      </c>
      <c r="F11" s="48">
        <v>269000</v>
      </c>
      <c r="G11" s="22"/>
      <c r="H11" s="12">
        <f t="shared" si="0"/>
        <v>44280</v>
      </c>
    </row>
    <row r="12" spans="2:11" x14ac:dyDescent="0.3">
      <c r="B12" s="6" t="s">
        <v>54</v>
      </c>
      <c r="C12" s="22"/>
      <c r="D12" s="22"/>
      <c r="E12" s="22"/>
      <c r="F12" s="22"/>
      <c r="G12" s="22"/>
      <c r="H12" s="67">
        <f t="shared" si="0"/>
        <v>44280</v>
      </c>
    </row>
    <row r="13" spans="2:11" x14ac:dyDescent="0.3">
      <c r="B13" s="6" t="s">
        <v>26</v>
      </c>
      <c r="C13" s="22">
        <v>910000</v>
      </c>
      <c r="D13" s="22"/>
      <c r="E13" s="22"/>
      <c r="F13" s="22">
        <v>486000</v>
      </c>
      <c r="G13" s="22"/>
      <c r="H13" s="12">
        <f t="shared" si="0"/>
        <v>44280</v>
      </c>
    </row>
    <row r="14" spans="2:11" x14ac:dyDescent="0.3">
      <c r="B14" s="6" t="s">
        <v>22</v>
      </c>
      <c r="C14" s="23"/>
      <c r="D14" s="23"/>
      <c r="E14" s="23"/>
      <c r="F14" s="22"/>
      <c r="G14" s="23"/>
      <c r="H14" s="12">
        <f t="shared" si="0"/>
        <v>44280</v>
      </c>
      <c r="K14" s="4"/>
    </row>
    <row r="15" spans="2:11" x14ac:dyDescent="0.3">
      <c r="B15" s="6" t="s">
        <v>19</v>
      </c>
      <c r="C15" s="22"/>
      <c r="D15" s="22">
        <v>756000</v>
      </c>
      <c r="E15" s="22"/>
      <c r="F15" s="22"/>
      <c r="G15" s="22"/>
      <c r="H15" s="12">
        <f t="shared" si="0"/>
        <v>44280</v>
      </c>
    </row>
    <row r="16" spans="2:11" x14ac:dyDescent="0.3">
      <c r="B16" s="6" t="s">
        <v>14</v>
      </c>
      <c r="C16" s="22">
        <v>162000</v>
      </c>
      <c r="D16" s="22">
        <v>318000</v>
      </c>
      <c r="E16" s="22"/>
      <c r="F16" s="22"/>
      <c r="G16" s="22"/>
      <c r="H16" s="12">
        <f t="shared" si="0"/>
        <v>44280</v>
      </c>
    </row>
    <row r="17" spans="1:8" x14ac:dyDescent="0.3">
      <c r="B17" s="6" t="s">
        <v>24</v>
      </c>
      <c r="C17" s="22"/>
      <c r="D17" s="22"/>
      <c r="E17" s="22"/>
      <c r="F17" s="49"/>
      <c r="G17" s="22"/>
      <c r="H17" s="12">
        <f t="shared" si="0"/>
        <v>44280</v>
      </c>
    </row>
    <row r="18" spans="1:8" x14ac:dyDescent="0.3">
      <c r="B18" s="6" t="s">
        <v>21</v>
      </c>
      <c r="C18" s="22"/>
      <c r="D18" s="22"/>
      <c r="E18" s="22"/>
      <c r="F18" s="22"/>
      <c r="G18" s="22"/>
      <c r="H18" s="12">
        <f t="shared" si="0"/>
        <v>44280</v>
      </c>
    </row>
    <row r="19" spans="1:8" x14ac:dyDescent="0.3">
      <c r="B19" s="6" t="s">
        <v>18</v>
      </c>
      <c r="C19" s="22"/>
      <c r="D19" s="22"/>
      <c r="E19" s="22"/>
      <c r="F19" s="22"/>
      <c r="G19" s="22"/>
      <c r="H19" s="12">
        <f t="shared" si="0"/>
        <v>44280</v>
      </c>
    </row>
    <row r="20" spans="1:8" x14ac:dyDescent="0.3">
      <c r="B20" s="6" t="s">
        <v>16</v>
      </c>
      <c r="C20" s="22"/>
      <c r="D20" s="22"/>
      <c r="E20" s="22"/>
      <c r="F20" s="22"/>
      <c r="G20" s="22"/>
      <c r="H20" s="12">
        <f t="shared" si="0"/>
        <v>44280</v>
      </c>
    </row>
    <row r="21" spans="1:8" x14ac:dyDescent="0.3">
      <c r="B21" s="50" t="s">
        <v>27</v>
      </c>
      <c r="C21" s="51">
        <f>SUM(March25_2021[KSI_AGO])</f>
        <v>1281000</v>
      </c>
      <c r="D21" s="51">
        <f>SUBTOTAL(109,March25_2021[KSI_PMS])</f>
        <v>1611500</v>
      </c>
      <c r="E21" s="51">
        <f>SUM(March25_2021[BUIPE_AGO])</f>
        <v>45000</v>
      </c>
      <c r="F21" s="51">
        <f>SUM(March25_2021[BUIPE_PMS])</f>
        <v>755000</v>
      </c>
      <c r="G21" s="51">
        <f>SUM(March25_2021[AKOSOMBO_AGO])</f>
        <v>0</v>
      </c>
      <c r="H21" s="52"/>
    </row>
    <row r="22" spans="1:8" x14ac:dyDescent="0.3">
      <c r="B22" s="8"/>
      <c r="C22" s="24"/>
      <c r="D22" s="24"/>
      <c r="E22" s="24"/>
      <c r="F22" s="24"/>
      <c r="G22" s="24"/>
      <c r="H22"/>
    </row>
    <row r="23" spans="1:8" x14ac:dyDescent="0.3">
      <c r="B23" s="1" t="s">
        <v>6</v>
      </c>
      <c r="C23" s="1" t="s">
        <v>4</v>
      </c>
      <c r="D23" s="5">
        <f>SUMIF(March25_2021[[#Headers],[KSI_AGO]:[AKOSOMBO_AGO]],"*"&amp;C23,March25_2021[[#Totals],[KSI_AGO]:[AKOSOMBO_AGO]])</f>
        <v>1326000</v>
      </c>
      <c r="E23" s="1" t="s">
        <v>5</v>
      </c>
      <c r="F23" s="5">
        <f>SUMIF(March25_2021[[#Headers],[KSI_AGO]:[AKOSOMBO_AGO]],"*"&amp;E23,March25_2021[[#Totals],[KSI_AGO]:[AKOSOMBO_AGO]])</f>
        <v>2366500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30FB2B56-9F99-4033-8275-FE30AC844853}">
      <formula1>INDIRECT("BDC_List[BDC List]")</formula1>
    </dataValidation>
  </dataValidations>
  <pageMargins left="0.7" right="0.7" top="0.75" bottom="0.75" header="0.3" footer="0.3"/>
  <tableParts count="1">
    <tablePart r:id="rId1"/>
  </tableParts>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9F63-7DE8-4E35-9BBA-8FAF339636A2}">
  <sheetPr codeName="Sheet318"/>
  <dimension ref="A1:K33"/>
  <sheetViews>
    <sheetView workbookViewId="0">
      <selection activeCell="D12" sqref="D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44281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44281</v>
      </c>
    </row>
    <row r="7" spans="2:11" x14ac:dyDescent="0.3">
      <c r="B7" s="6" t="s">
        <v>37</v>
      </c>
      <c r="C7" s="22">
        <v>45000</v>
      </c>
      <c r="D7" s="22"/>
      <c r="E7" s="22"/>
      <c r="F7" s="22"/>
      <c r="G7" s="22"/>
      <c r="H7" s="67">
        <f t="shared" si="0"/>
        <v>44281</v>
      </c>
    </row>
    <row r="8" spans="2:11" x14ac:dyDescent="0.3">
      <c r="B8" s="6" t="s">
        <v>17</v>
      </c>
      <c r="C8" s="22"/>
      <c r="D8" s="22">
        <v>216000</v>
      </c>
      <c r="E8" s="22"/>
      <c r="F8" s="22"/>
      <c r="G8" s="22"/>
      <c r="H8" s="12">
        <f t="shared" si="0"/>
        <v>44281</v>
      </c>
    </row>
    <row r="9" spans="2:11" ht="15.6" x14ac:dyDescent="0.3">
      <c r="B9" s="34" t="s">
        <v>0</v>
      </c>
      <c r="C9" s="60"/>
      <c r="D9" s="60"/>
      <c r="E9" s="60"/>
      <c r="F9" s="60"/>
      <c r="G9" s="61"/>
      <c r="H9" s="12">
        <f t="shared" si="0"/>
        <v>44281</v>
      </c>
    </row>
    <row r="10" spans="2:11" x14ac:dyDescent="0.3">
      <c r="B10" s="6" t="s">
        <v>25</v>
      </c>
      <c r="C10" s="22"/>
      <c r="D10" s="22">
        <v>324000</v>
      </c>
      <c r="E10" s="22"/>
      <c r="F10" s="22"/>
      <c r="G10" s="22"/>
      <c r="H10" s="12">
        <f t="shared" si="0"/>
        <v>44281</v>
      </c>
    </row>
    <row r="11" spans="2:11" ht="13.5" customHeight="1" x14ac:dyDescent="0.3">
      <c r="B11" s="6" t="s">
        <v>15</v>
      </c>
      <c r="C11" s="22"/>
      <c r="D11" s="22">
        <v>378000</v>
      </c>
      <c r="E11" s="22"/>
      <c r="F11" s="48">
        <v>432000</v>
      </c>
      <c r="G11" s="22"/>
      <c r="H11" s="12">
        <f t="shared" si="0"/>
        <v>44281</v>
      </c>
    </row>
    <row r="12" spans="2:11" x14ac:dyDescent="0.3">
      <c r="B12" s="6" t="s">
        <v>54</v>
      </c>
      <c r="C12" s="22"/>
      <c r="D12" s="22"/>
      <c r="E12" s="22"/>
      <c r="F12" s="22"/>
      <c r="G12" s="22"/>
      <c r="H12" s="67">
        <f t="shared" si="0"/>
        <v>44281</v>
      </c>
    </row>
    <row r="13" spans="2:11" x14ac:dyDescent="0.3">
      <c r="B13" s="6" t="s">
        <v>26</v>
      </c>
      <c r="C13" s="22">
        <v>266000</v>
      </c>
      <c r="D13" s="22"/>
      <c r="E13" s="22"/>
      <c r="F13" s="22">
        <v>374000</v>
      </c>
      <c r="G13" s="22"/>
      <c r="H13" s="12">
        <f t="shared" si="0"/>
        <v>44281</v>
      </c>
    </row>
    <row r="14" spans="2:11" x14ac:dyDescent="0.3">
      <c r="B14" s="6" t="s">
        <v>22</v>
      </c>
      <c r="C14" s="23"/>
      <c r="D14" s="23"/>
      <c r="E14" s="23"/>
      <c r="F14" s="22"/>
      <c r="G14" s="23"/>
      <c r="H14" s="12">
        <f t="shared" si="0"/>
        <v>44281</v>
      </c>
      <c r="K14" s="4"/>
    </row>
    <row r="15" spans="2:11" x14ac:dyDescent="0.3">
      <c r="B15" s="6" t="s">
        <v>19</v>
      </c>
      <c r="C15" s="22"/>
      <c r="D15" s="22">
        <v>478000</v>
      </c>
      <c r="E15" s="22"/>
      <c r="F15" s="22"/>
      <c r="G15" s="22"/>
      <c r="H15" s="12">
        <f t="shared" si="0"/>
        <v>44281</v>
      </c>
    </row>
    <row r="16" spans="2:11" x14ac:dyDescent="0.3">
      <c r="B16" s="6" t="s">
        <v>14</v>
      </c>
      <c r="C16" s="22">
        <v>90000</v>
      </c>
      <c r="D16" s="22"/>
      <c r="E16" s="22">
        <v>45000</v>
      </c>
      <c r="F16" s="22"/>
      <c r="G16" s="22"/>
      <c r="H16" s="12">
        <f t="shared" si="0"/>
        <v>44281</v>
      </c>
    </row>
    <row r="17" spans="1:8" x14ac:dyDescent="0.3">
      <c r="B17" s="6" t="s">
        <v>24</v>
      </c>
      <c r="C17" s="22"/>
      <c r="D17" s="22"/>
      <c r="E17" s="22"/>
      <c r="F17" s="49"/>
      <c r="G17" s="22"/>
      <c r="H17" s="12">
        <f t="shared" si="0"/>
        <v>44281</v>
      </c>
    </row>
    <row r="18" spans="1:8" x14ac:dyDescent="0.3">
      <c r="B18" s="6" t="s">
        <v>21</v>
      </c>
      <c r="C18" s="22"/>
      <c r="D18" s="22"/>
      <c r="E18" s="22"/>
      <c r="F18" s="22"/>
      <c r="G18" s="22"/>
      <c r="H18" s="12">
        <f t="shared" si="0"/>
        <v>44281</v>
      </c>
    </row>
    <row r="19" spans="1:8" x14ac:dyDescent="0.3">
      <c r="B19" s="6" t="s">
        <v>18</v>
      </c>
      <c r="C19" s="22"/>
      <c r="D19" s="22"/>
      <c r="E19" s="22"/>
      <c r="F19" s="22"/>
      <c r="G19" s="22"/>
      <c r="H19" s="12">
        <f t="shared" si="0"/>
        <v>44281</v>
      </c>
    </row>
    <row r="20" spans="1:8" x14ac:dyDescent="0.3">
      <c r="B20" s="6" t="s">
        <v>16</v>
      </c>
      <c r="C20" s="22"/>
      <c r="D20" s="22"/>
      <c r="E20" s="22"/>
      <c r="F20" s="22"/>
      <c r="G20" s="22"/>
      <c r="H20" s="12">
        <f t="shared" si="0"/>
        <v>44281</v>
      </c>
    </row>
    <row r="21" spans="1:8" x14ac:dyDescent="0.3">
      <c r="B21" s="50" t="s">
        <v>27</v>
      </c>
      <c r="C21" s="51">
        <f>SUM(March26_2021[KSI_AGO])</f>
        <v>401000</v>
      </c>
      <c r="D21" s="51">
        <f>SUBTOTAL(109,March26_2021[KSI_PMS])</f>
        <v>1396000</v>
      </c>
      <c r="E21" s="51">
        <f>SUM(March26_2021[BUIPE_AGO])</f>
        <v>45000</v>
      </c>
      <c r="F21" s="51">
        <f>SUM(March26_2021[BUIPE_PMS])</f>
        <v>806000</v>
      </c>
      <c r="G21" s="51">
        <f>SUM(March26_2021[AKOSOMBO_AGO])</f>
        <v>0</v>
      </c>
      <c r="H21" s="52"/>
    </row>
    <row r="22" spans="1:8" x14ac:dyDescent="0.3">
      <c r="B22" s="8"/>
      <c r="C22" s="24"/>
      <c r="D22" s="24"/>
      <c r="E22" s="24"/>
      <c r="F22" s="24"/>
      <c r="G22" s="24"/>
      <c r="H22"/>
    </row>
    <row r="23" spans="1:8" x14ac:dyDescent="0.3">
      <c r="B23" s="1" t="s">
        <v>6</v>
      </c>
      <c r="C23" s="1" t="s">
        <v>4</v>
      </c>
      <c r="D23" s="5">
        <f>SUMIF(March26_2021[[#Headers],[KSI_AGO]:[AKOSOMBO_AGO]],"*"&amp;C23,March26_2021[[#Totals],[KSI_AGO]:[AKOSOMBO_AGO]])</f>
        <v>446000</v>
      </c>
      <c r="E23" s="1" t="s">
        <v>5</v>
      </c>
      <c r="F23" s="5">
        <f>SUMIF(March26_2021[[#Headers],[KSI_AGO]:[AKOSOMBO_AGO]],"*"&amp;E23,March26_2021[[#Totals],[KSI_AGO]:[AKOSOMBO_AGO]])</f>
        <v>2202000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F7BF1FE7-7F36-4919-9A7A-C1BFA94A9DF2}">
      <formula1>INDIRECT("BDC_List[BDC List]")</formula1>
    </dataValidation>
  </dataValidations>
  <pageMargins left="0.7" right="0.7" top="0.75" bottom="0.75" header="0.3" footer="0.3"/>
  <tableParts count="1">
    <tablePart r:id="rId1"/>
  </tableParts>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779A8-972F-4DC7-A4CE-19074DDD5594}">
  <sheetPr codeName="Sheet319"/>
  <dimension ref="A1:K33"/>
  <sheetViews>
    <sheetView workbookViewId="0">
      <selection activeCell="B12" sqref="B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44284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44284</v>
      </c>
    </row>
    <row r="7" spans="2:11" x14ac:dyDescent="0.3">
      <c r="B7" s="6" t="s">
        <v>37</v>
      </c>
      <c r="C7" s="22"/>
      <c r="D7" s="22"/>
      <c r="E7" s="22"/>
      <c r="F7" s="22"/>
      <c r="G7" s="22"/>
      <c r="H7" s="67">
        <f t="shared" si="0"/>
        <v>44284</v>
      </c>
    </row>
    <row r="8" spans="2:11" x14ac:dyDescent="0.3">
      <c r="B8" s="6" t="s">
        <v>17</v>
      </c>
      <c r="C8" s="22"/>
      <c r="D8" s="22">
        <v>108000</v>
      </c>
      <c r="E8" s="22"/>
      <c r="F8" s="22"/>
      <c r="G8" s="22"/>
      <c r="H8" s="12">
        <f t="shared" si="0"/>
        <v>44284</v>
      </c>
    </row>
    <row r="9" spans="2:11" ht="15.6" x14ac:dyDescent="0.3">
      <c r="B9" s="34" t="s">
        <v>0</v>
      </c>
      <c r="C9" s="60">
        <v>1674000</v>
      </c>
      <c r="D9" s="60"/>
      <c r="E9" s="60">
        <v>1188000</v>
      </c>
      <c r="F9" s="60"/>
      <c r="G9" s="61"/>
      <c r="H9" s="12">
        <f t="shared" si="0"/>
        <v>44284</v>
      </c>
    </row>
    <row r="10" spans="2:11" x14ac:dyDescent="0.3">
      <c r="B10" s="6" t="s">
        <v>25</v>
      </c>
      <c r="C10" s="22"/>
      <c r="D10" s="22">
        <v>432000</v>
      </c>
      <c r="E10" s="22"/>
      <c r="F10" s="22"/>
      <c r="G10" s="22"/>
      <c r="H10" s="12">
        <f t="shared" si="0"/>
        <v>44284</v>
      </c>
    </row>
    <row r="11" spans="2:11" ht="13.5" customHeight="1" x14ac:dyDescent="0.3">
      <c r="B11" s="6" t="s">
        <v>15</v>
      </c>
      <c r="C11" s="22"/>
      <c r="D11" s="22">
        <v>324000</v>
      </c>
      <c r="E11" s="22"/>
      <c r="F11" s="48">
        <v>54000</v>
      </c>
      <c r="G11" s="22"/>
      <c r="H11" s="12">
        <f t="shared" si="0"/>
        <v>44284</v>
      </c>
    </row>
    <row r="12" spans="2:11" x14ac:dyDescent="0.3">
      <c r="B12" s="6" t="s">
        <v>54</v>
      </c>
      <c r="C12" s="22"/>
      <c r="D12" s="22"/>
      <c r="E12" s="22"/>
      <c r="F12" s="22"/>
      <c r="G12" s="22"/>
      <c r="H12" s="67">
        <f t="shared" si="0"/>
        <v>44284</v>
      </c>
    </row>
    <row r="13" spans="2:11" x14ac:dyDescent="0.3">
      <c r="B13" s="6" t="s">
        <v>26</v>
      </c>
      <c r="C13" s="22"/>
      <c r="D13" s="22"/>
      <c r="E13" s="22"/>
      <c r="F13" s="22">
        <v>45000</v>
      </c>
      <c r="G13" s="22"/>
      <c r="H13" s="12">
        <f t="shared" si="0"/>
        <v>44284</v>
      </c>
    </row>
    <row r="14" spans="2:11" x14ac:dyDescent="0.3">
      <c r="B14" s="6" t="s">
        <v>22</v>
      </c>
      <c r="C14" s="23"/>
      <c r="D14" s="23"/>
      <c r="E14" s="23"/>
      <c r="F14" s="22"/>
      <c r="G14" s="23"/>
      <c r="H14" s="12">
        <f t="shared" si="0"/>
        <v>44284</v>
      </c>
      <c r="K14" s="4"/>
    </row>
    <row r="15" spans="2:11" x14ac:dyDescent="0.3">
      <c r="B15" s="6" t="s">
        <v>19</v>
      </c>
      <c r="C15" s="22"/>
      <c r="D15" s="22">
        <v>648000</v>
      </c>
      <c r="E15" s="22"/>
      <c r="F15" s="22"/>
      <c r="G15" s="22"/>
      <c r="H15" s="12">
        <f t="shared" si="0"/>
        <v>44284</v>
      </c>
    </row>
    <row r="16" spans="2:11" x14ac:dyDescent="0.3">
      <c r="B16" s="6" t="s">
        <v>14</v>
      </c>
      <c r="C16" s="22"/>
      <c r="D16" s="22">
        <v>53000</v>
      </c>
      <c r="E16" s="22"/>
      <c r="F16" s="22"/>
      <c r="G16" s="22"/>
      <c r="H16" s="12">
        <f t="shared" si="0"/>
        <v>44284</v>
      </c>
    </row>
    <row r="17" spans="1:8" x14ac:dyDescent="0.3">
      <c r="B17" s="6" t="s">
        <v>24</v>
      </c>
      <c r="C17" s="22"/>
      <c r="D17" s="22"/>
      <c r="E17" s="22"/>
      <c r="F17" s="49"/>
      <c r="G17" s="22"/>
      <c r="H17" s="12">
        <f t="shared" si="0"/>
        <v>44284</v>
      </c>
    </row>
    <row r="18" spans="1:8" x14ac:dyDescent="0.3">
      <c r="B18" s="6" t="s">
        <v>21</v>
      </c>
      <c r="C18" s="22"/>
      <c r="D18" s="22"/>
      <c r="E18" s="22"/>
      <c r="F18" s="22"/>
      <c r="G18" s="22"/>
      <c r="H18" s="12">
        <f t="shared" si="0"/>
        <v>44284</v>
      </c>
    </row>
    <row r="19" spans="1:8" x14ac:dyDescent="0.3">
      <c r="B19" s="6" t="s">
        <v>18</v>
      </c>
      <c r="C19" s="22"/>
      <c r="D19" s="22"/>
      <c r="E19" s="22"/>
      <c r="F19" s="22"/>
      <c r="G19" s="22"/>
      <c r="H19" s="12">
        <f t="shared" si="0"/>
        <v>44284</v>
      </c>
    </row>
    <row r="20" spans="1:8" x14ac:dyDescent="0.3">
      <c r="B20" s="6" t="s">
        <v>16</v>
      </c>
      <c r="C20" s="22"/>
      <c r="D20" s="22"/>
      <c r="E20" s="22"/>
      <c r="F20" s="22"/>
      <c r="G20" s="22"/>
      <c r="H20" s="12">
        <f t="shared" si="0"/>
        <v>44284</v>
      </c>
    </row>
    <row r="21" spans="1:8" x14ac:dyDescent="0.3">
      <c r="B21" s="50" t="s">
        <v>27</v>
      </c>
      <c r="C21" s="51">
        <f>SUM(March29_2021[KSI_AGO])</f>
        <v>1674000</v>
      </c>
      <c r="D21" s="51">
        <f>SUBTOTAL(109,March29_2021[KSI_PMS])</f>
        <v>1565000</v>
      </c>
      <c r="E21" s="51">
        <f>SUM(March29_2021[BUIPE_AGO])</f>
        <v>1188000</v>
      </c>
      <c r="F21" s="51">
        <f>SUM(March29_2021[BUIPE_PMS])</f>
        <v>99000</v>
      </c>
      <c r="G21" s="51">
        <f>SUM(March29_2021[AKOSOMBO_AGO])</f>
        <v>0</v>
      </c>
      <c r="H21" s="52"/>
    </row>
    <row r="22" spans="1:8" x14ac:dyDescent="0.3">
      <c r="B22" s="8"/>
      <c r="C22" s="24"/>
      <c r="D22" s="24"/>
      <c r="E22" s="24"/>
      <c r="F22" s="24"/>
      <c r="G22" s="24"/>
      <c r="H22"/>
    </row>
    <row r="23" spans="1:8" x14ac:dyDescent="0.3">
      <c r="B23" s="1" t="s">
        <v>6</v>
      </c>
      <c r="C23" s="1" t="s">
        <v>4</v>
      </c>
      <c r="D23" s="5">
        <f>SUMIF(March29_2021[[#Headers],[KSI_AGO]:[AKOSOMBO_AGO]],"*"&amp;C23,March29_2021[[#Totals],[KSI_AGO]:[AKOSOMBO_AGO]])</f>
        <v>2862000</v>
      </c>
      <c r="E23" s="1" t="s">
        <v>5</v>
      </c>
      <c r="F23" s="5">
        <f>SUMIF(March29_2021[[#Headers],[KSI_AGO]:[AKOSOMBO_AGO]],"*"&amp;E23,March29_2021[[#Totals],[KSI_AGO]:[AKOSOMBO_AGO]])</f>
        <v>1664000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FF1D6450-45C7-41D1-8FE8-E5CA3AB9AC0F}">
      <formula1>INDIRECT("BDC_List[BDC List]")</formula1>
    </dataValidation>
  </dataValidations>
  <pageMargins left="0.7" right="0.7" top="0.75" bottom="0.75" header="0.3" footer="0.3"/>
  <tableParts count="1">
    <tablePart r:id="rId1"/>
  </tableParts>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6DE2-ACEB-4C43-8DCE-569F1F96242E}">
  <sheetPr codeName="Sheet320"/>
  <dimension ref="A1:K33"/>
  <sheetViews>
    <sheetView workbookViewId="0">
      <selection activeCell="E11" sqref="E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44285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44285</v>
      </c>
    </row>
    <row r="7" spans="2:11" x14ac:dyDescent="0.3">
      <c r="B7" s="6" t="s">
        <v>37</v>
      </c>
      <c r="C7" s="22"/>
      <c r="D7" s="22"/>
      <c r="E7" s="22"/>
      <c r="F7" s="22"/>
      <c r="G7" s="22"/>
      <c r="H7" s="67">
        <f t="shared" si="0"/>
        <v>44285</v>
      </c>
    </row>
    <row r="8" spans="2:11" x14ac:dyDescent="0.3">
      <c r="B8" s="6" t="s">
        <v>17</v>
      </c>
      <c r="C8" s="22"/>
      <c r="D8" s="22"/>
      <c r="E8" s="22"/>
      <c r="F8" s="22"/>
      <c r="G8" s="22"/>
      <c r="H8" s="12">
        <f t="shared" si="0"/>
        <v>44285</v>
      </c>
    </row>
    <row r="9" spans="2:11" ht="15.6" x14ac:dyDescent="0.3">
      <c r="B9" s="34" t="s">
        <v>0</v>
      </c>
      <c r="C9" s="60">
        <v>2039000</v>
      </c>
      <c r="D9" s="60"/>
      <c r="E9" s="60">
        <v>756000</v>
      </c>
      <c r="F9" s="60"/>
      <c r="G9" s="61"/>
      <c r="H9" s="12">
        <f t="shared" si="0"/>
        <v>44285</v>
      </c>
    </row>
    <row r="10" spans="2:11" x14ac:dyDescent="0.3">
      <c r="B10" s="6" t="s">
        <v>25</v>
      </c>
      <c r="C10" s="22"/>
      <c r="D10" s="22">
        <v>432000</v>
      </c>
      <c r="E10" s="22"/>
      <c r="F10" s="22">
        <v>90000</v>
      </c>
      <c r="G10" s="22"/>
      <c r="H10" s="12">
        <f t="shared" si="0"/>
        <v>44285</v>
      </c>
    </row>
    <row r="11" spans="2:11" ht="13.5" customHeight="1" x14ac:dyDescent="0.3">
      <c r="B11" s="6" t="s">
        <v>15</v>
      </c>
      <c r="C11" s="22"/>
      <c r="D11" s="22">
        <v>318500</v>
      </c>
      <c r="E11" s="22"/>
      <c r="F11" s="48"/>
      <c r="G11" s="22"/>
      <c r="H11" s="12">
        <f t="shared" si="0"/>
        <v>44285</v>
      </c>
    </row>
    <row r="12" spans="2:11" x14ac:dyDescent="0.3">
      <c r="B12" s="6" t="s">
        <v>54</v>
      </c>
      <c r="C12" s="22"/>
      <c r="D12" s="22"/>
      <c r="E12" s="22"/>
      <c r="F12" s="22"/>
      <c r="G12" s="22"/>
      <c r="H12" s="67">
        <f t="shared" si="0"/>
        <v>44285</v>
      </c>
    </row>
    <row r="13" spans="2:11" x14ac:dyDescent="0.3">
      <c r="B13" s="6" t="s">
        <v>26</v>
      </c>
      <c r="C13" s="22"/>
      <c r="D13" s="22"/>
      <c r="E13" s="22"/>
      <c r="F13" s="22">
        <v>95000</v>
      </c>
      <c r="G13" s="22"/>
      <c r="H13" s="12">
        <f t="shared" si="0"/>
        <v>44285</v>
      </c>
    </row>
    <row r="14" spans="2:11" x14ac:dyDescent="0.3">
      <c r="B14" s="6" t="s">
        <v>22</v>
      </c>
      <c r="C14" s="23"/>
      <c r="D14" s="23"/>
      <c r="E14" s="23"/>
      <c r="F14" s="22"/>
      <c r="G14" s="23"/>
      <c r="H14" s="12">
        <f t="shared" si="0"/>
        <v>44285</v>
      </c>
      <c r="K14" s="4"/>
    </row>
    <row r="15" spans="2:11" x14ac:dyDescent="0.3">
      <c r="B15" s="6" t="s">
        <v>19</v>
      </c>
      <c r="C15" s="22"/>
      <c r="D15" s="22">
        <v>540000</v>
      </c>
      <c r="E15" s="22"/>
      <c r="F15" s="22"/>
      <c r="G15" s="22"/>
      <c r="H15" s="12">
        <f t="shared" si="0"/>
        <v>44285</v>
      </c>
    </row>
    <row r="16" spans="2:11" x14ac:dyDescent="0.3">
      <c r="B16" s="6" t="s">
        <v>14</v>
      </c>
      <c r="C16" s="22"/>
      <c r="D16" s="22">
        <v>140000</v>
      </c>
      <c r="E16" s="22"/>
      <c r="F16" s="22"/>
      <c r="G16" s="22"/>
      <c r="H16" s="12">
        <f t="shared" si="0"/>
        <v>44285</v>
      </c>
    </row>
    <row r="17" spans="1:8" x14ac:dyDescent="0.3">
      <c r="B17" s="6" t="s">
        <v>24</v>
      </c>
      <c r="C17" s="22"/>
      <c r="D17" s="22"/>
      <c r="E17" s="22"/>
      <c r="F17" s="49"/>
      <c r="G17" s="22"/>
      <c r="H17" s="12">
        <f t="shared" si="0"/>
        <v>44285</v>
      </c>
    </row>
    <row r="18" spans="1:8" x14ac:dyDescent="0.3">
      <c r="B18" s="6" t="s">
        <v>21</v>
      </c>
      <c r="C18" s="22"/>
      <c r="D18" s="22"/>
      <c r="E18" s="22"/>
      <c r="F18" s="22"/>
      <c r="G18" s="22"/>
      <c r="H18" s="12">
        <f t="shared" si="0"/>
        <v>44285</v>
      </c>
    </row>
    <row r="19" spans="1:8" x14ac:dyDescent="0.3">
      <c r="B19" s="6" t="s">
        <v>18</v>
      </c>
      <c r="C19" s="22"/>
      <c r="D19" s="22">
        <v>270000</v>
      </c>
      <c r="E19" s="22"/>
      <c r="F19" s="22">
        <v>54000</v>
      </c>
      <c r="G19" s="22"/>
      <c r="H19" s="12">
        <f t="shared" si="0"/>
        <v>44285</v>
      </c>
    </row>
    <row r="20" spans="1:8" x14ac:dyDescent="0.3">
      <c r="B20" s="6" t="s">
        <v>16</v>
      </c>
      <c r="C20" s="22"/>
      <c r="D20" s="22"/>
      <c r="E20" s="22"/>
      <c r="F20" s="22"/>
      <c r="G20" s="22"/>
      <c r="H20" s="12">
        <f t="shared" si="0"/>
        <v>44285</v>
      </c>
    </row>
    <row r="21" spans="1:8" x14ac:dyDescent="0.3">
      <c r="B21" s="50" t="s">
        <v>27</v>
      </c>
      <c r="C21" s="51">
        <f>SUM(March30_2021[KSI_AGO])</f>
        <v>2039000</v>
      </c>
      <c r="D21" s="51">
        <f>SUBTOTAL(109,March30_2021[KSI_PMS])</f>
        <v>1700500</v>
      </c>
      <c r="E21" s="51">
        <f>SUM(March30_2021[BUIPE_AGO])</f>
        <v>756000</v>
      </c>
      <c r="F21" s="51">
        <f>SUM(March30_2021[BUIPE_PMS])</f>
        <v>239000</v>
      </c>
      <c r="G21" s="51">
        <f>SUM(March30_2021[AKOSOMBO_AGO])</f>
        <v>0</v>
      </c>
      <c r="H21" s="52"/>
    </row>
    <row r="22" spans="1:8" x14ac:dyDescent="0.3">
      <c r="B22" s="8"/>
      <c r="C22" s="24"/>
      <c r="D22" s="24"/>
      <c r="E22" s="24"/>
      <c r="F22" s="24"/>
      <c r="G22" s="24"/>
      <c r="H22"/>
    </row>
    <row r="23" spans="1:8" x14ac:dyDescent="0.3">
      <c r="B23" s="1" t="s">
        <v>6</v>
      </c>
      <c r="C23" s="1" t="s">
        <v>4</v>
      </c>
      <c r="D23" s="5">
        <f>SUMIF(March30_2021[[#Headers],[KSI_AGO]:[AKOSOMBO_AGO]],"*"&amp;C23,March30_2021[[#Totals],[KSI_AGO]:[AKOSOMBO_AGO]])</f>
        <v>2795000</v>
      </c>
      <c r="E23" s="1" t="s">
        <v>5</v>
      </c>
      <c r="F23" s="5">
        <f>SUMIF(March30_2021[[#Headers],[KSI_AGO]:[AKOSOMBO_AGO]],"*"&amp;E23,March30_2021[[#Totals],[KSI_AGO]:[AKOSOMBO_AGO]])</f>
        <v>1939500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91EFA3C4-8801-46EE-9906-14DAEEC87A81}">
      <formula1>INDIRECT("BDC_List[BDC List]")</formula1>
    </dataValidation>
  </dataValidations>
  <pageMargins left="0.7" right="0.7" top="0.75" bottom="0.75" header="0.3" footer="0.3"/>
  <tableParts count="1">
    <tablePart r:id="rId1"/>
  </tableParts>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C987A-196B-401B-87BC-C3BAD1D5620B}">
  <sheetPr codeName="Sheet321"/>
  <dimension ref="A1:K33"/>
  <sheetViews>
    <sheetView workbookViewId="0">
      <selection activeCell="D14" sqref="D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44286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44286</v>
      </c>
    </row>
    <row r="7" spans="2:11" x14ac:dyDescent="0.3">
      <c r="B7" s="6" t="s">
        <v>37</v>
      </c>
      <c r="C7" s="22"/>
      <c r="D7" s="22"/>
      <c r="E7" s="22"/>
      <c r="F7" s="22"/>
      <c r="G7" s="22"/>
      <c r="H7" s="67">
        <f t="shared" si="0"/>
        <v>44286</v>
      </c>
    </row>
    <row r="8" spans="2:11" x14ac:dyDescent="0.3">
      <c r="B8" s="6" t="s">
        <v>17</v>
      </c>
      <c r="C8" s="22"/>
      <c r="D8" s="22"/>
      <c r="E8" s="22"/>
      <c r="F8" s="22"/>
      <c r="G8" s="22"/>
      <c r="H8" s="12">
        <f t="shared" si="0"/>
        <v>44286</v>
      </c>
    </row>
    <row r="9" spans="2:11" ht="15.6" x14ac:dyDescent="0.3">
      <c r="B9" s="34" t="s">
        <v>0</v>
      </c>
      <c r="C9" s="60">
        <v>1145000</v>
      </c>
      <c r="D9" s="60"/>
      <c r="E9" s="60">
        <v>54000</v>
      </c>
      <c r="F9" s="60"/>
      <c r="G9" s="61"/>
      <c r="H9" s="12">
        <f t="shared" si="0"/>
        <v>44286</v>
      </c>
    </row>
    <row r="10" spans="2:11" x14ac:dyDescent="0.3">
      <c r="B10" s="6" t="s">
        <v>25</v>
      </c>
      <c r="C10" s="22"/>
      <c r="D10" s="22">
        <v>324000</v>
      </c>
      <c r="E10" s="22"/>
      <c r="F10" s="22"/>
      <c r="G10" s="22"/>
      <c r="H10" s="12">
        <f t="shared" si="0"/>
        <v>44286</v>
      </c>
    </row>
    <row r="11" spans="2:11" ht="13.5" customHeight="1" x14ac:dyDescent="0.3">
      <c r="B11" s="6" t="s">
        <v>15</v>
      </c>
      <c r="C11" s="22"/>
      <c r="D11" s="22">
        <v>517500</v>
      </c>
      <c r="E11" s="22"/>
      <c r="F11" s="48"/>
      <c r="G11" s="22"/>
      <c r="H11" s="12">
        <f t="shared" si="0"/>
        <v>44286</v>
      </c>
    </row>
    <row r="12" spans="2:11" x14ac:dyDescent="0.3">
      <c r="B12" s="6" t="s">
        <v>54</v>
      </c>
      <c r="C12" s="22"/>
      <c r="D12" s="22"/>
      <c r="E12" s="22"/>
      <c r="F12" s="22"/>
      <c r="G12" s="22"/>
      <c r="H12" s="67">
        <f t="shared" si="0"/>
        <v>44286</v>
      </c>
    </row>
    <row r="13" spans="2:11" x14ac:dyDescent="0.3">
      <c r="B13" s="6" t="s">
        <v>26</v>
      </c>
      <c r="C13" s="22"/>
      <c r="D13" s="22"/>
      <c r="E13" s="22"/>
      <c r="F13" s="22"/>
      <c r="G13" s="22"/>
      <c r="H13" s="12">
        <f t="shared" si="0"/>
        <v>44286</v>
      </c>
    </row>
    <row r="14" spans="2:11" x14ac:dyDescent="0.3">
      <c r="B14" s="6" t="s">
        <v>22</v>
      </c>
      <c r="C14" s="23"/>
      <c r="D14" s="23"/>
      <c r="E14" s="23"/>
      <c r="F14" s="22"/>
      <c r="G14" s="23"/>
      <c r="H14" s="12">
        <f t="shared" si="0"/>
        <v>44286</v>
      </c>
      <c r="K14" s="4"/>
    </row>
    <row r="15" spans="2:11" x14ac:dyDescent="0.3">
      <c r="B15" s="6" t="s">
        <v>19</v>
      </c>
      <c r="C15" s="22">
        <v>918000</v>
      </c>
      <c r="D15" s="22">
        <v>486000</v>
      </c>
      <c r="E15" s="22">
        <v>756000</v>
      </c>
      <c r="F15" s="22"/>
      <c r="G15" s="22"/>
      <c r="H15" s="12">
        <f t="shared" si="0"/>
        <v>44286</v>
      </c>
    </row>
    <row r="16" spans="2:11" x14ac:dyDescent="0.3">
      <c r="B16" s="6" t="s">
        <v>14</v>
      </c>
      <c r="C16" s="22"/>
      <c r="D16" s="22"/>
      <c r="E16" s="22">
        <v>45000</v>
      </c>
      <c r="F16" s="22"/>
      <c r="G16" s="22"/>
      <c r="H16" s="12">
        <f t="shared" si="0"/>
        <v>44286</v>
      </c>
    </row>
    <row r="17" spans="1:8" x14ac:dyDescent="0.3">
      <c r="B17" s="6" t="s">
        <v>24</v>
      </c>
      <c r="C17" s="22"/>
      <c r="D17" s="22"/>
      <c r="E17" s="22"/>
      <c r="F17" s="49"/>
      <c r="G17" s="22"/>
      <c r="H17" s="12">
        <f t="shared" si="0"/>
        <v>44286</v>
      </c>
    </row>
    <row r="18" spans="1:8" x14ac:dyDescent="0.3">
      <c r="B18" s="6" t="s">
        <v>21</v>
      </c>
      <c r="C18" s="22"/>
      <c r="D18" s="22"/>
      <c r="E18" s="22"/>
      <c r="F18" s="22"/>
      <c r="G18" s="22"/>
      <c r="H18" s="12">
        <f t="shared" si="0"/>
        <v>44286</v>
      </c>
    </row>
    <row r="19" spans="1:8" x14ac:dyDescent="0.3">
      <c r="B19" s="6" t="s">
        <v>18</v>
      </c>
      <c r="C19" s="22"/>
      <c r="D19" s="22">
        <v>162000</v>
      </c>
      <c r="E19" s="22"/>
      <c r="F19" s="22">
        <v>324000</v>
      </c>
      <c r="G19" s="22"/>
      <c r="H19" s="12">
        <f t="shared" si="0"/>
        <v>44286</v>
      </c>
    </row>
    <row r="20" spans="1:8" x14ac:dyDescent="0.3">
      <c r="B20" s="6" t="s">
        <v>16</v>
      </c>
      <c r="C20" s="22"/>
      <c r="D20" s="22"/>
      <c r="E20" s="22"/>
      <c r="F20" s="22"/>
      <c r="G20" s="22"/>
      <c r="H20" s="12">
        <f t="shared" si="0"/>
        <v>44286</v>
      </c>
    </row>
    <row r="21" spans="1:8" x14ac:dyDescent="0.3">
      <c r="B21" s="50" t="s">
        <v>27</v>
      </c>
      <c r="C21" s="51">
        <f>SUM(March31_2021[KSI_AGO])</f>
        <v>2063000</v>
      </c>
      <c r="D21" s="51">
        <f>SUBTOTAL(109,March31_2021[KSI_PMS])</f>
        <v>1489500</v>
      </c>
      <c r="E21" s="51">
        <f>SUM(March31_2021[BUIPE_AGO])</f>
        <v>855000</v>
      </c>
      <c r="F21" s="51">
        <f>SUM(March31_2021[BUIPE_PMS])</f>
        <v>324000</v>
      </c>
      <c r="G21" s="51">
        <f>SUM(March31_2021[AKOSOMBO_AGO])</f>
        <v>0</v>
      </c>
      <c r="H21" s="52"/>
    </row>
    <row r="22" spans="1:8" x14ac:dyDescent="0.3">
      <c r="B22" s="8"/>
      <c r="C22" s="24"/>
      <c r="D22" s="24"/>
      <c r="E22" s="24"/>
      <c r="F22" s="24"/>
      <c r="G22" s="24"/>
      <c r="H22"/>
    </row>
    <row r="23" spans="1:8" x14ac:dyDescent="0.3">
      <c r="B23" s="1" t="s">
        <v>6</v>
      </c>
      <c r="C23" s="1" t="s">
        <v>4</v>
      </c>
      <c r="D23" s="5">
        <f>SUMIF(March31_2021[[#Headers],[KSI_AGO]:[AKOSOMBO_AGO]],"*"&amp;C23,March31_2021[[#Totals],[KSI_AGO]:[AKOSOMBO_AGO]])</f>
        <v>2918000</v>
      </c>
      <c r="E23" s="1" t="s">
        <v>5</v>
      </c>
      <c r="F23" s="5">
        <f>SUMIF(March31_2021[[#Headers],[KSI_AGO]:[AKOSOMBO_AGO]],"*"&amp;E23,March31_2021[[#Totals],[KSI_AGO]:[AKOSOMBO_AGO]])</f>
        <v>1813500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4742ACC8-3628-4C48-9307-3ECEA700F1BC}">
      <formula1>INDIRECT("BDC_List[BDC List]")</formula1>
    </dataValidation>
  </dataValidations>
  <pageMargins left="0.7" right="0.7" top="0.75" bottom="0.75" header="0.3" footer="0.3"/>
  <tableParts count="1">
    <tablePart r:id="rId1"/>
  </tableParts>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8414-C52B-4078-9CAC-80E88BB83D7F}">
  <sheetPr codeName="Sheet322"/>
  <dimension ref="A1:K33"/>
  <sheetViews>
    <sheetView workbookViewId="0">
      <selection activeCell="E18" sqref="E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44287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44287</v>
      </c>
    </row>
    <row r="7" spans="2:11" x14ac:dyDescent="0.3">
      <c r="B7" s="6" t="s">
        <v>37</v>
      </c>
      <c r="C7" s="22"/>
      <c r="D7" s="22"/>
      <c r="E7" s="22"/>
      <c r="F7" s="22"/>
      <c r="G7" s="22"/>
      <c r="H7" s="67">
        <f t="shared" si="0"/>
        <v>44287</v>
      </c>
    </row>
    <row r="8" spans="2:11" x14ac:dyDescent="0.3">
      <c r="B8" s="6" t="s">
        <v>17</v>
      </c>
      <c r="C8" s="22"/>
      <c r="D8" s="22"/>
      <c r="E8" s="22"/>
      <c r="F8" s="22"/>
      <c r="G8" s="22"/>
      <c r="H8" s="12">
        <f t="shared" si="0"/>
        <v>44287</v>
      </c>
    </row>
    <row r="9" spans="2:11" ht="15.6" x14ac:dyDescent="0.3">
      <c r="B9" s="34" t="s">
        <v>0</v>
      </c>
      <c r="C9" s="60"/>
      <c r="D9" s="60"/>
      <c r="E9" s="60"/>
      <c r="F9" s="60"/>
      <c r="G9" s="61"/>
      <c r="H9" s="12">
        <f t="shared" si="0"/>
        <v>44287</v>
      </c>
    </row>
    <row r="10" spans="2:11" x14ac:dyDescent="0.3">
      <c r="B10" s="6" t="s">
        <v>25</v>
      </c>
      <c r="C10" s="22"/>
      <c r="D10" s="22"/>
      <c r="E10" s="22"/>
      <c r="F10" s="22"/>
      <c r="G10" s="22"/>
      <c r="H10" s="12">
        <f t="shared" si="0"/>
        <v>44287</v>
      </c>
    </row>
    <row r="11" spans="2:11" ht="13.5" customHeight="1" x14ac:dyDescent="0.3">
      <c r="B11" s="6" t="s">
        <v>15</v>
      </c>
      <c r="C11" s="22"/>
      <c r="D11" s="22">
        <v>203000</v>
      </c>
      <c r="E11" s="22"/>
      <c r="F11" s="48"/>
      <c r="G11" s="22"/>
      <c r="H11" s="12">
        <f t="shared" si="0"/>
        <v>44287</v>
      </c>
    </row>
    <row r="12" spans="2:11" x14ac:dyDescent="0.3">
      <c r="B12" s="6" t="s">
        <v>54</v>
      </c>
      <c r="C12" s="22"/>
      <c r="D12" s="22"/>
      <c r="E12" s="22"/>
      <c r="F12" s="22"/>
      <c r="G12" s="22"/>
      <c r="H12" s="67">
        <f t="shared" si="0"/>
        <v>44287</v>
      </c>
    </row>
    <row r="13" spans="2:11" x14ac:dyDescent="0.3">
      <c r="B13" s="6" t="s">
        <v>26</v>
      </c>
      <c r="C13" s="22"/>
      <c r="D13" s="22"/>
      <c r="E13" s="22"/>
      <c r="F13" s="22"/>
      <c r="G13" s="22"/>
      <c r="H13" s="12">
        <f t="shared" si="0"/>
        <v>44287</v>
      </c>
    </row>
    <row r="14" spans="2:11" x14ac:dyDescent="0.3">
      <c r="B14" s="6" t="s">
        <v>22</v>
      </c>
      <c r="C14" s="23"/>
      <c r="D14" s="23"/>
      <c r="E14" s="23"/>
      <c r="F14" s="22"/>
      <c r="G14" s="23"/>
      <c r="H14" s="12">
        <f t="shared" si="0"/>
        <v>44287</v>
      </c>
      <c r="K14" s="4"/>
    </row>
    <row r="15" spans="2:11" x14ac:dyDescent="0.3">
      <c r="B15" s="6" t="s">
        <v>19</v>
      </c>
      <c r="C15" s="22">
        <v>215000</v>
      </c>
      <c r="D15" s="22"/>
      <c r="E15" s="22">
        <v>54000</v>
      </c>
      <c r="F15" s="22"/>
      <c r="G15" s="22"/>
      <c r="H15" s="12">
        <f t="shared" si="0"/>
        <v>44287</v>
      </c>
    </row>
    <row r="16" spans="2:11" x14ac:dyDescent="0.3">
      <c r="B16" s="6" t="s">
        <v>14</v>
      </c>
      <c r="C16" s="22"/>
      <c r="D16" s="22"/>
      <c r="E16" s="22"/>
      <c r="F16" s="22"/>
      <c r="G16" s="22"/>
      <c r="H16" s="12">
        <f t="shared" si="0"/>
        <v>44287</v>
      </c>
    </row>
    <row r="17" spans="1:8" x14ac:dyDescent="0.3">
      <c r="B17" s="6" t="s">
        <v>24</v>
      </c>
      <c r="C17" s="22"/>
      <c r="D17" s="22"/>
      <c r="E17" s="22"/>
      <c r="F17" s="49"/>
      <c r="G17" s="22"/>
      <c r="H17" s="12">
        <f t="shared" si="0"/>
        <v>44287</v>
      </c>
    </row>
    <row r="18" spans="1:8" x14ac:dyDescent="0.3">
      <c r="B18" s="6" t="s">
        <v>21</v>
      </c>
      <c r="C18" s="22"/>
      <c r="D18" s="22"/>
      <c r="E18" s="22"/>
      <c r="F18" s="22"/>
      <c r="G18" s="22"/>
      <c r="H18" s="12">
        <f t="shared" si="0"/>
        <v>44287</v>
      </c>
    </row>
    <row r="19" spans="1:8" x14ac:dyDescent="0.3">
      <c r="B19" s="6" t="s">
        <v>18</v>
      </c>
      <c r="C19" s="22"/>
      <c r="D19" s="22"/>
      <c r="E19" s="22"/>
      <c r="F19" s="22"/>
      <c r="G19" s="22"/>
      <c r="H19" s="12">
        <f t="shared" si="0"/>
        <v>44287</v>
      </c>
    </row>
    <row r="20" spans="1:8" x14ac:dyDescent="0.3">
      <c r="B20" s="6" t="s">
        <v>16</v>
      </c>
      <c r="C20" s="22"/>
      <c r="D20" s="22"/>
      <c r="E20" s="22"/>
      <c r="F20" s="22"/>
      <c r="G20" s="22"/>
      <c r="H20" s="12">
        <f t="shared" si="0"/>
        <v>44287</v>
      </c>
    </row>
    <row r="21" spans="1:8" x14ac:dyDescent="0.3">
      <c r="B21" s="50" t="s">
        <v>27</v>
      </c>
      <c r="C21" s="51">
        <f>SUM(April01_2021[KSI_AGO])</f>
        <v>215000</v>
      </c>
      <c r="D21" s="51">
        <f>SUBTOTAL(109,April01_2021[KSI_PMS])</f>
        <v>203000</v>
      </c>
      <c r="E21" s="51">
        <f>SUM(April01_2021[BUIPE_AGO])</f>
        <v>54000</v>
      </c>
      <c r="F21" s="51">
        <f>SUM(April01_2021[BUIPE_PMS])</f>
        <v>0</v>
      </c>
      <c r="G21" s="51">
        <f>SUM(April01_2021[AKOSOMBO_AGO])</f>
        <v>0</v>
      </c>
      <c r="H21" s="52"/>
    </row>
    <row r="22" spans="1:8" x14ac:dyDescent="0.3">
      <c r="B22" s="8"/>
      <c r="C22" s="24"/>
      <c r="D22" s="24"/>
      <c r="E22" s="24"/>
      <c r="F22" s="24"/>
      <c r="G22" s="24"/>
      <c r="H22"/>
    </row>
    <row r="23" spans="1:8" x14ac:dyDescent="0.3">
      <c r="B23" s="1" t="s">
        <v>6</v>
      </c>
      <c r="C23" s="1" t="s">
        <v>4</v>
      </c>
      <c r="D23" s="5">
        <f>SUMIF(April01_2021[[#Headers],[KSI_AGO]:[AKOSOMBO_AGO]],"*"&amp;C23,April01_2021[[#Totals],[KSI_AGO]:[AKOSOMBO_AGO]])</f>
        <v>269000</v>
      </c>
      <c r="E23" s="1" t="s">
        <v>5</v>
      </c>
      <c r="F23" s="5">
        <f>SUMIF(April01_2021[[#Headers],[KSI_AGO]:[AKOSOMBO_AGO]],"*"&amp;E23,April01_2021[[#Totals],[KSI_AGO]:[AKOSOMBO_AGO]])</f>
        <v>203000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A7212318-9D2D-4A6F-AA92-F3DD24D5FB7A}">
      <formula1>INDIRECT("BDC_List[BDC List]")</formula1>
    </dataValidation>
  </dataValidations>
  <pageMargins left="0.7" right="0.7" top="0.75" bottom="0.75" header="0.3" footer="0.3"/>
  <tableParts count="1">
    <tablePart r:id="rId1"/>
  </tableParts>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BF0A-4A2A-4E62-8C84-EC93E71A4D22}">
  <sheetPr codeName="Sheet323"/>
  <dimension ref="A1:K33"/>
  <sheetViews>
    <sheetView workbookViewId="0">
      <selection activeCell="D19" sqref="D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44292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44292</v>
      </c>
    </row>
    <row r="7" spans="2:11" x14ac:dyDescent="0.3">
      <c r="B7" s="6" t="s">
        <v>37</v>
      </c>
      <c r="C7" s="22"/>
      <c r="D7" s="22"/>
      <c r="E7" s="22"/>
      <c r="F7" s="22"/>
      <c r="G7" s="22"/>
      <c r="H7" s="67">
        <f t="shared" si="0"/>
        <v>44292</v>
      </c>
    </row>
    <row r="8" spans="2:11" x14ac:dyDescent="0.3">
      <c r="B8" s="6" t="s">
        <v>17</v>
      </c>
      <c r="C8" s="22"/>
      <c r="D8" s="22"/>
      <c r="E8" s="22"/>
      <c r="F8" s="22"/>
      <c r="G8" s="22"/>
      <c r="H8" s="12">
        <f t="shared" si="0"/>
        <v>44292</v>
      </c>
    </row>
    <row r="9" spans="2:11" ht="15.6" x14ac:dyDescent="0.3">
      <c r="B9" s="34" t="s">
        <v>0</v>
      </c>
      <c r="C9" s="60">
        <v>140000</v>
      </c>
      <c r="D9" s="60"/>
      <c r="E9" s="60"/>
      <c r="F9" s="60"/>
      <c r="G9" s="61"/>
      <c r="H9" s="12">
        <f t="shared" si="0"/>
        <v>44292</v>
      </c>
    </row>
    <row r="10" spans="2:11" x14ac:dyDescent="0.3">
      <c r="B10" s="6" t="s">
        <v>25</v>
      </c>
      <c r="C10" s="22"/>
      <c r="D10" s="22">
        <v>162000</v>
      </c>
      <c r="E10" s="22"/>
      <c r="F10" s="22"/>
      <c r="G10" s="22"/>
      <c r="H10" s="12">
        <f t="shared" si="0"/>
        <v>44292</v>
      </c>
    </row>
    <row r="11" spans="2:11" ht="13.5" customHeight="1" x14ac:dyDescent="0.3">
      <c r="B11" s="6" t="s">
        <v>15</v>
      </c>
      <c r="C11" s="22"/>
      <c r="D11" s="22">
        <v>696500</v>
      </c>
      <c r="E11" s="22"/>
      <c r="F11" s="48"/>
      <c r="G11" s="22"/>
      <c r="H11" s="12">
        <f t="shared" si="0"/>
        <v>44292</v>
      </c>
    </row>
    <row r="12" spans="2:11" x14ac:dyDescent="0.3">
      <c r="B12" s="6" t="s">
        <v>54</v>
      </c>
      <c r="C12" s="22"/>
      <c r="D12" s="22"/>
      <c r="E12" s="22"/>
      <c r="F12" s="22"/>
      <c r="G12" s="22"/>
      <c r="H12" s="67">
        <f t="shared" si="0"/>
        <v>44292</v>
      </c>
    </row>
    <row r="13" spans="2:11" x14ac:dyDescent="0.3">
      <c r="B13" s="6" t="s">
        <v>26</v>
      </c>
      <c r="C13" s="22"/>
      <c r="D13" s="22"/>
      <c r="E13" s="22"/>
      <c r="F13" s="22"/>
      <c r="G13" s="22"/>
      <c r="H13" s="12">
        <f t="shared" si="0"/>
        <v>44292</v>
      </c>
    </row>
    <row r="14" spans="2:11" x14ac:dyDescent="0.3">
      <c r="B14" s="6" t="s">
        <v>22</v>
      </c>
      <c r="C14" s="23"/>
      <c r="D14" s="23"/>
      <c r="E14" s="23"/>
      <c r="F14" s="22"/>
      <c r="G14" s="23"/>
      <c r="H14" s="12">
        <f t="shared" si="0"/>
        <v>44292</v>
      </c>
      <c r="K14" s="4"/>
    </row>
    <row r="15" spans="2:11" x14ac:dyDescent="0.3">
      <c r="B15" s="6" t="s">
        <v>19</v>
      </c>
      <c r="C15" s="22">
        <v>972000</v>
      </c>
      <c r="D15" s="22">
        <v>200000</v>
      </c>
      <c r="E15" s="22">
        <v>270000</v>
      </c>
      <c r="F15" s="22"/>
      <c r="G15" s="22"/>
      <c r="H15" s="12">
        <f t="shared" si="0"/>
        <v>44292</v>
      </c>
    </row>
    <row r="16" spans="2:11" x14ac:dyDescent="0.3">
      <c r="B16" s="6" t="s">
        <v>14</v>
      </c>
      <c r="C16" s="22"/>
      <c r="D16" s="22"/>
      <c r="E16" s="22"/>
      <c r="F16" s="22"/>
      <c r="G16" s="22"/>
      <c r="H16" s="12">
        <f t="shared" si="0"/>
        <v>44292</v>
      </c>
    </row>
    <row r="17" spans="1:8" x14ac:dyDescent="0.3">
      <c r="B17" s="6" t="s">
        <v>24</v>
      </c>
      <c r="C17" s="22"/>
      <c r="D17" s="22"/>
      <c r="E17" s="22"/>
      <c r="F17" s="49"/>
      <c r="G17" s="22"/>
      <c r="H17" s="12">
        <f t="shared" si="0"/>
        <v>44292</v>
      </c>
    </row>
    <row r="18" spans="1:8" x14ac:dyDescent="0.3">
      <c r="B18" s="6" t="s">
        <v>21</v>
      </c>
      <c r="C18" s="22"/>
      <c r="D18" s="22"/>
      <c r="E18" s="22"/>
      <c r="F18" s="22"/>
      <c r="G18" s="22"/>
      <c r="H18" s="12">
        <f t="shared" si="0"/>
        <v>44292</v>
      </c>
    </row>
    <row r="19" spans="1:8" x14ac:dyDescent="0.3">
      <c r="B19" s="6" t="s">
        <v>18</v>
      </c>
      <c r="C19" s="22"/>
      <c r="D19" s="22"/>
      <c r="E19" s="22"/>
      <c r="F19" s="22">
        <v>315000</v>
      </c>
      <c r="G19" s="22"/>
      <c r="H19" s="12">
        <f t="shared" si="0"/>
        <v>44292</v>
      </c>
    </row>
    <row r="20" spans="1:8" x14ac:dyDescent="0.3">
      <c r="B20" s="6" t="s">
        <v>16</v>
      </c>
      <c r="C20" s="22"/>
      <c r="D20" s="22"/>
      <c r="E20" s="22"/>
      <c r="F20" s="22"/>
      <c r="G20" s="22"/>
      <c r="H20" s="12">
        <f t="shared" si="0"/>
        <v>44292</v>
      </c>
    </row>
    <row r="21" spans="1:8" x14ac:dyDescent="0.3">
      <c r="B21" s="50" t="s">
        <v>27</v>
      </c>
      <c r="C21" s="51">
        <f>SUM(April06_2021[KSI_AGO])</f>
        <v>1112000</v>
      </c>
      <c r="D21" s="51">
        <f>SUBTOTAL(109,April06_2021[KSI_PMS])</f>
        <v>1058500</v>
      </c>
      <c r="E21" s="51">
        <f>SUM(April06_2021[BUIPE_AGO])</f>
        <v>270000</v>
      </c>
      <c r="F21" s="51">
        <f>SUM(April06_2021[BUIPE_PMS])</f>
        <v>315000</v>
      </c>
      <c r="G21" s="51">
        <f>SUM(April06_2021[AKOSOMBO_AGO])</f>
        <v>0</v>
      </c>
      <c r="H21" s="52"/>
    </row>
    <row r="22" spans="1:8" x14ac:dyDescent="0.3">
      <c r="B22" s="8"/>
      <c r="C22" s="24"/>
      <c r="D22" s="24"/>
      <c r="E22" s="24"/>
      <c r="F22" s="24"/>
      <c r="G22" s="24"/>
      <c r="H22"/>
    </row>
    <row r="23" spans="1:8" x14ac:dyDescent="0.3">
      <c r="B23" s="1" t="s">
        <v>6</v>
      </c>
      <c r="C23" s="1" t="s">
        <v>4</v>
      </c>
      <c r="D23" s="5">
        <f>SUMIF(April06_2021[[#Headers],[KSI_AGO]:[AKOSOMBO_AGO]],"*"&amp;C23,April06_2021[[#Totals],[KSI_AGO]:[AKOSOMBO_AGO]])</f>
        <v>1382000</v>
      </c>
      <c r="E23" s="1" t="s">
        <v>5</v>
      </c>
      <c r="F23" s="5">
        <f>SUMIF(April06_2021[[#Headers],[KSI_AGO]:[AKOSOMBO_AGO]],"*"&amp;E23,April06_2021[[#Totals],[KSI_AGO]:[AKOSOMBO_AGO]])</f>
        <v>1373500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F0218DCF-7E5B-48E6-BB81-55B29EC78C11}">
      <formula1>INDIRECT("BDC_List[BDC List]")</formula1>
    </dataValidation>
  </dataValidations>
  <pageMargins left="0.7" right="0.7" top="0.75" bottom="0.75" header="0.3" footer="0.3"/>
  <tableParts count="1">
    <tablePart r:id="rId1"/>
  </tableParts>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5CE3-F056-4611-9E31-2B3E40394C5C}">
  <sheetPr codeName="Sheet324"/>
  <dimension ref="A1:K33"/>
  <sheetViews>
    <sheetView workbookViewId="0">
      <selection activeCell="B28" sqref="B2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44293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44293</v>
      </c>
    </row>
    <row r="7" spans="2:11" x14ac:dyDescent="0.3">
      <c r="B7" s="6" t="s">
        <v>37</v>
      </c>
      <c r="C7" s="22"/>
      <c r="D7" s="22"/>
      <c r="E7" s="22"/>
      <c r="F7" s="22"/>
      <c r="G7" s="22"/>
      <c r="H7" s="67">
        <f t="shared" si="0"/>
        <v>44293</v>
      </c>
    </row>
    <row r="8" spans="2:11" x14ac:dyDescent="0.3">
      <c r="B8" s="6" t="s">
        <v>17</v>
      </c>
      <c r="C8" s="22"/>
      <c r="D8" s="22"/>
      <c r="E8" s="22"/>
      <c r="F8" s="22"/>
      <c r="G8" s="22"/>
      <c r="H8" s="12">
        <f t="shared" si="0"/>
        <v>44293</v>
      </c>
    </row>
    <row r="9" spans="2:11" ht="15.6" x14ac:dyDescent="0.3">
      <c r="B9" s="34" t="s">
        <v>0</v>
      </c>
      <c r="C9" s="60"/>
      <c r="D9" s="60"/>
      <c r="E9" s="60"/>
      <c r="F9" s="60"/>
      <c r="G9" s="61"/>
      <c r="H9" s="12">
        <f t="shared" si="0"/>
        <v>44293</v>
      </c>
    </row>
    <row r="10" spans="2:11" x14ac:dyDescent="0.3">
      <c r="B10" s="6" t="s">
        <v>25</v>
      </c>
      <c r="C10" s="22"/>
      <c r="D10" s="22">
        <v>54000</v>
      </c>
      <c r="E10" s="22"/>
      <c r="F10" s="22"/>
      <c r="G10" s="22"/>
      <c r="H10" s="12">
        <f t="shared" si="0"/>
        <v>44293</v>
      </c>
    </row>
    <row r="11" spans="2:11" ht="13.5" customHeight="1" x14ac:dyDescent="0.3">
      <c r="B11" s="6" t="s">
        <v>15</v>
      </c>
      <c r="C11" s="22"/>
      <c r="D11" s="22"/>
      <c r="E11" s="22"/>
      <c r="F11" s="48"/>
      <c r="G11" s="22"/>
      <c r="H11" s="12">
        <f t="shared" si="0"/>
        <v>44293</v>
      </c>
    </row>
    <row r="12" spans="2:11" x14ac:dyDescent="0.3">
      <c r="B12" s="6" t="s">
        <v>54</v>
      </c>
      <c r="C12" s="22"/>
      <c r="D12" s="22"/>
      <c r="E12" s="22"/>
      <c r="F12" s="22"/>
      <c r="G12" s="22"/>
      <c r="H12" s="67">
        <f t="shared" si="0"/>
        <v>44293</v>
      </c>
    </row>
    <row r="13" spans="2:11" x14ac:dyDescent="0.3">
      <c r="B13" s="6" t="s">
        <v>26</v>
      </c>
      <c r="C13" s="22">
        <v>360000</v>
      </c>
      <c r="D13" s="22">
        <v>483500</v>
      </c>
      <c r="E13" s="22"/>
      <c r="F13" s="22">
        <v>270000</v>
      </c>
      <c r="G13" s="22"/>
      <c r="H13" s="12">
        <f t="shared" si="0"/>
        <v>44293</v>
      </c>
    </row>
    <row r="14" spans="2:11" x14ac:dyDescent="0.3">
      <c r="B14" s="6" t="s">
        <v>22</v>
      </c>
      <c r="C14" s="23"/>
      <c r="D14" s="23"/>
      <c r="E14" s="23"/>
      <c r="F14" s="22"/>
      <c r="G14" s="23"/>
      <c r="H14" s="12">
        <f t="shared" si="0"/>
        <v>44293</v>
      </c>
      <c r="K14" s="4"/>
    </row>
    <row r="15" spans="2:11" x14ac:dyDescent="0.3">
      <c r="B15" s="6" t="s">
        <v>19</v>
      </c>
      <c r="C15" s="22"/>
      <c r="D15" s="22"/>
      <c r="E15" s="22"/>
      <c r="F15" s="22"/>
      <c r="G15" s="22"/>
      <c r="H15" s="12">
        <f t="shared" si="0"/>
        <v>44293</v>
      </c>
    </row>
    <row r="16" spans="2:11" x14ac:dyDescent="0.3">
      <c r="B16" s="6" t="s">
        <v>14</v>
      </c>
      <c r="C16" s="22"/>
      <c r="D16" s="22"/>
      <c r="E16" s="22"/>
      <c r="F16" s="22"/>
      <c r="G16" s="22"/>
      <c r="H16" s="12">
        <f t="shared" si="0"/>
        <v>44293</v>
      </c>
    </row>
    <row r="17" spans="1:8" x14ac:dyDescent="0.3">
      <c r="B17" s="6" t="s">
        <v>24</v>
      </c>
      <c r="C17" s="22"/>
      <c r="D17" s="22"/>
      <c r="E17" s="22"/>
      <c r="F17" s="49"/>
      <c r="G17" s="22"/>
      <c r="H17" s="12">
        <f t="shared" si="0"/>
        <v>44293</v>
      </c>
    </row>
    <row r="18" spans="1:8" x14ac:dyDescent="0.3">
      <c r="B18" s="6" t="s">
        <v>21</v>
      </c>
      <c r="C18" s="22"/>
      <c r="D18" s="22"/>
      <c r="E18" s="22"/>
      <c r="F18" s="22"/>
      <c r="G18" s="22"/>
      <c r="H18" s="12">
        <f t="shared" si="0"/>
        <v>44293</v>
      </c>
    </row>
    <row r="19" spans="1:8" x14ac:dyDescent="0.3">
      <c r="B19" s="6" t="s">
        <v>18</v>
      </c>
      <c r="C19" s="22"/>
      <c r="D19" s="22"/>
      <c r="E19" s="22"/>
      <c r="F19" s="22">
        <v>540000</v>
      </c>
      <c r="G19" s="22"/>
      <c r="H19" s="12">
        <f t="shared" si="0"/>
        <v>44293</v>
      </c>
    </row>
    <row r="20" spans="1:8" x14ac:dyDescent="0.3">
      <c r="B20" s="6" t="s">
        <v>16</v>
      </c>
      <c r="C20" s="22"/>
      <c r="D20" s="22"/>
      <c r="E20" s="22"/>
      <c r="F20" s="22"/>
      <c r="G20" s="22"/>
      <c r="H20" s="12">
        <f t="shared" si="0"/>
        <v>44293</v>
      </c>
    </row>
    <row r="21" spans="1:8" x14ac:dyDescent="0.3">
      <c r="B21" s="50" t="s">
        <v>27</v>
      </c>
      <c r="C21" s="51">
        <f>SUM(April07_2021[KSI_AGO])</f>
        <v>360000</v>
      </c>
      <c r="D21" s="51">
        <f>SUBTOTAL(109,April07_2021[KSI_PMS])</f>
        <v>537500</v>
      </c>
      <c r="E21" s="51">
        <f>SUM(April07_2021[BUIPE_AGO])</f>
        <v>0</v>
      </c>
      <c r="F21" s="51">
        <f>SUM(April07_2021[BUIPE_PMS])</f>
        <v>810000</v>
      </c>
      <c r="G21" s="51">
        <f>SUM(April07_2021[AKOSOMBO_AGO])</f>
        <v>0</v>
      </c>
      <c r="H21" s="52"/>
    </row>
    <row r="22" spans="1:8" x14ac:dyDescent="0.3">
      <c r="B22" s="8"/>
      <c r="C22" s="24"/>
      <c r="D22" s="24"/>
      <c r="E22" s="24"/>
      <c r="F22" s="24"/>
      <c r="G22" s="24"/>
      <c r="H22"/>
    </row>
    <row r="23" spans="1:8" x14ac:dyDescent="0.3">
      <c r="B23" s="1" t="s">
        <v>6</v>
      </c>
      <c r="C23" s="1" t="s">
        <v>4</v>
      </c>
      <c r="D23" s="5">
        <f>SUMIF(April07_2021[[#Headers],[KSI_AGO]:[AKOSOMBO_AGO]],"*"&amp;C23,April07_2021[[#Totals],[KSI_AGO]:[AKOSOMBO_AGO]])</f>
        <v>360000</v>
      </c>
      <c r="E23" s="1" t="s">
        <v>5</v>
      </c>
      <c r="F23" s="5">
        <f>SUMIF(April07_2021[[#Headers],[KSI_AGO]:[AKOSOMBO_AGO]],"*"&amp;E23,April07_2021[[#Totals],[KSI_AGO]:[AKOSOMBO_AGO]])</f>
        <v>1347500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CB54174F-23C7-4ACA-BD01-078706F0D15A}">
      <formula1>INDIRECT("BDC_List[BDC List]")</formula1>
    </dataValidation>
  </dataValidations>
  <pageMargins left="0.7" right="0.7" top="0.75" bottom="0.75" header="0.3" footer="0.3"/>
  <tableParts count="1">
    <tablePart r:id="rId1"/>
  </tableParts>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4ED-36CD-45BC-A9E9-624B26E888C3}">
  <sheetPr codeName="Sheet325"/>
  <dimension ref="A1:K33"/>
  <sheetViews>
    <sheetView workbookViewId="0">
      <selection activeCell="D17" sqref="D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44294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44294</v>
      </c>
    </row>
    <row r="7" spans="2:11" x14ac:dyDescent="0.3">
      <c r="B7" s="6" t="s">
        <v>37</v>
      </c>
      <c r="C7" s="22"/>
      <c r="D7" s="22"/>
      <c r="E7" s="22"/>
      <c r="F7" s="22"/>
      <c r="G7" s="22"/>
      <c r="H7" s="67">
        <f t="shared" si="0"/>
        <v>44294</v>
      </c>
    </row>
    <row r="8" spans="2:11" x14ac:dyDescent="0.3">
      <c r="B8" s="6" t="s">
        <v>17</v>
      </c>
      <c r="C8" s="22">
        <v>54000</v>
      </c>
      <c r="D8" s="22"/>
      <c r="E8" s="22"/>
      <c r="F8" s="22"/>
      <c r="G8" s="22"/>
      <c r="H8" s="12">
        <f t="shared" si="0"/>
        <v>44294</v>
      </c>
    </row>
    <row r="9" spans="2:11" ht="15.6" x14ac:dyDescent="0.3">
      <c r="B9" s="34" t="s">
        <v>0</v>
      </c>
      <c r="C9" s="60"/>
      <c r="D9" s="60">
        <v>540000</v>
      </c>
      <c r="E9" s="60"/>
      <c r="F9" s="60"/>
      <c r="G9" s="61"/>
      <c r="H9" s="12">
        <f t="shared" si="0"/>
        <v>44294</v>
      </c>
    </row>
    <row r="10" spans="2:11" x14ac:dyDescent="0.3">
      <c r="B10" s="6" t="s">
        <v>25</v>
      </c>
      <c r="C10" s="22"/>
      <c r="D10" s="22">
        <v>54000</v>
      </c>
      <c r="E10" s="22"/>
      <c r="F10" s="22"/>
      <c r="G10" s="22"/>
      <c r="H10" s="12">
        <f t="shared" si="0"/>
        <v>44294</v>
      </c>
    </row>
    <row r="11" spans="2:11" ht="13.5" customHeight="1" x14ac:dyDescent="0.3">
      <c r="B11" s="6" t="s">
        <v>15</v>
      </c>
      <c r="C11" s="22"/>
      <c r="D11" s="22"/>
      <c r="E11" s="22"/>
      <c r="F11" s="48"/>
      <c r="G11" s="22"/>
      <c r="H11" s="12">
        <f t="shared" si="0"/>
        <v>44294</v>
      </c>
    </row>
    <row r="12" spans="2:11" x14ac:dyDescent="0.3">
      <c r="B12" s="6" t="s">
        <v>54</v>
      </c>
      <c r="C12" s="22"/>
      <c r="D12" s="22"/>
      <c r="E12" s="22"/>
      <c r="F12" s="22"/>
      <c r="G12" s="22"/>
      <c r="H12" s="67">
        <f t="shared" si="0"/>
        <v>44294</v>
      </c>
    </row>
    <row r="13" spans="2:11" x14ac:dyDescent="0.3">
      <c r="B13" s="6" t="s">
        <v>26</v>
      </c>
      <c r="C13" s="22">
        <v>194000</v>
      </c>
      <c r="D13" s="22">
        <v>432000</v>
      </c>
      <c r="E13" s="22"/>
      <c r="F13" s="22">
        <v>464000</v>
      </c>
      <c r="G13" s="22">
        <v>297000</v>
      </c>
      <c r="H13" s="12">
        <f t="shared" si="0"/>
        <v>44294</v>
      </c>
    </row>
    <row r="14" spans="2:11" x14ac:dyDescent="0.3">
      <c r="B14" s="6" t="s">
        <v>22</v>
      </c>
      <c r="C14" s="23"/>
      <c r="D14" s="23"/>
      <c r="E14" s="23"/>
      <c r="F14" s="22"/>
      <c r="G14" s="23"/>
      <c r="H14" s="12">
        <f t="shared" si="0"/>
        <v>44294</v>
      </c>
      <c r="K14" s="4"/>
    </row>
    <row r="15" spans="2:11" x14ac:dyDescent="0.3">
      <c r="B15" s="6" t="s">
        <v>19</v>
      </c>
      <c r="C15" s="22"/>
      <c r="D15" s="22"/>
      <c r="E15" s="22"/>
      <c r="F15" s="22"/>
      <c r="G15" s="22"/>
      <c r="H15" s="12">
        <f t="shared" si="0"/>
        <v>44294</v>
      </c>
    </row>
    <row r="16" spans="2:11" x14ac:dyDescent="0.3">
      <c r="B16" s="6" t="s">
        <v>14</v>
      </c>
      <c r="C16" s="22">
        <v>1822000</v>
      </c>
      <c r="D16" s="22">
        <v>743000</v>
      </c>
      <c r="E16" s="22"/>
      <c r="F16" s="22">
        <v>594000</v>
      </c>
      <c r="G16" s="22">
        <v>270000</v>
      </c>
      <c r="H16" s="12">
        <f t="shared" si="0"/>
        <v>44294</v>
      </c>
    </row>
    <row r="17" spans="1:8" x14ac:dyDescent="0.3">
      <c r="B17" s="6" t="s">
        <v>24</v>
      </c>
      <c r="C17" s="22"/>
      <c r="D17" s="22"/>
      <c r="E17" s="22"/>
      <c r="F17" s="49"/>
      <c r="G17" s="22"/>
      <c r="H17" s="12">
        <f t="shared" si="0"/>
        <v>44294</v>
      </c>
    </row>
    <row r="18" spans="1:8" x14ac:dyDescent="0.3">
      <c r="B18" s="6" t="s">
        <v>21</v>
      </c>
      <c r="C18" s="22"/>
      <c r="D18" s="22"/>
      <c r="E18" s="22"/>
      <c r="F18" s="22"/>
      <c r="G18" s="22"/>
      <c r="H18" s="12">
        <f t="shared" si="0"/>
        <v>44294</v>
      </c>
    </row>
    <row r="19" spans="1:8" x14ac:dyDescent="0.3">
      <c r="B19" s="6" t="s">
        <v>18</v>
      </c>
      <c r="C19" s="22"/>
      <c r="D19" s="22"/>
      <c r="E19" s="22"/>
      <c r="F19" s="22">
        <v>54000</v>
      </c>
      <c r="G19" s="22"/>
      <c r="H19" s="12">
        <f t="shared" si="0"/>
        <v>44294</v>
      </c>
    </row>
    <row r="20" spans="1:8" x14ac:dyDescent="0.3">
      <c r="B20" s="6" t="s">
        <v>16</v>
      </c>
      <c r="C20" s="22">
        <v>270000</v>
      </c>
      <c r="D20" s="22"/>
      <c r="E20" s="22"/>
      <c r="F20" s="22"/>
      <c r="G20" s="22"/>
      <c r="H20" s="12">
        <f t="shared" si="0"/>
        <v>44294</v>
      </c>
    </row>
    <row r="21" spans="1:8" x14ac:dyDescent="0.3">
      <c r="B21" s="50" t="s">
        <v>27</v>
      </c>
      <c r="C21" s="51">
        <f>SUM(April08_2021[KSI_AGO])</f>
        <v>2340000</v>
      </c>
      <c r="D21" s="51">
        <f>SUBTOTAL(109,April08_2021[KSI_PMS])</f>
        <v>1769000</v>
      </c>
      <c r="E21" s="51">
        <f>SUM(April08_2021[BUIPE_AGO])</f>
        <v>0</v>
      </c>
      <c r="F21" s="51">
        <f>SUM(April08_2021[BUIPE_PMS])</f>
        <v>1112000</v>
      </c>
      <c r="G21" s="51">
        <f>SUM(April08_2021[AKOSOMBO_AGO])</f>
        <v>567000</v>
      </c>
      <c r="H21" s="52"/>
    </row>
    <row r="22" spans="1:8" x14ac:dyDescent="0.3">
      <c r="B22" s="8"/>
      <c r="C22" s="24"/>
      <c r="D22" s="24"/>
      <c r="E22" s="24"/>
      <c r="F22" s="24"/>
      <c r="G22" s="24"/>
      <c r="H22"/>
    </row>
    <row r="23" spans="1:8" x14ac:dyDescent="0.3">
      <c r="B23" s="1" t="s">
        <v>6</v>
      </c>
      <c r="C23" s="1" t="s">
        <v>4</v>
      </c>
      <c r="D23" s="5">
        <f>SUMIF(April08_2021[[#Headers],[KSI_AGO]:[AKOSOMBO_AGO]],"*"&amp;C23,April08_2021[[#Totals],[KSI_AGO]:[AKOSOMBO_AGO]])</f>
        <v>2907000</v>
      </c>
      <c r="E23" s="1" t="s">
        <v>5</v>
      </c>
      <c r="F23" s="5">
        <f>SUMIF(April08_2021[[#Headers],[KSI_AGO]:[AKOSOMBO_AGO]],"*"&amp;E23,April08_2021[[#Totals],[KSI_AGO]:[AKOSOMBO_AGO]])</f>
        <v>2881000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97EE6A58-93A0-4F94-BCF2-A102ED75E7C8}">
      <formula1>INDIRECT("BDC_List[BDC List]")</formula1>
    </dataValidation>
  </dataValidations>
  <pageMargins left="0.7" right="0.7" top="0.75" bottom="0.75" header="0.3" footer="0.3"/>
  <tableParts count="1">
    <tablePart r:id="rId1"/>
  </tableParts>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8A6DC-A688-4760-A527-8A19DD72FF87}">
  <sheetPr codeName="Sheet326"/>
  <dimension ref="A1:K33"/>
  <sheetViews>
    <sheetView workbookViewId="0">
      <selection activeCell="D14" sqref="D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44295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44295</v>
      </c>
    </row>
    <row r="7" spans="2:11" x14ac:dyDescent="0.3">
      <c r="B7" s="6" t="s">
        <v>37</v>
      </c>
      <c r="C7" s="22"/>
      <c r="D7" s="22"/>
      <c r="E7" s="22"/>
      <c r="F7" s="22"/>
      <c r="G7" s="22"/>
      <c r="H7" s="67">
        <f t="shared" si="0"/>
        <v>44295</v>
      </c>
    </row>
    <row r="8" spans="2:11" x14ac:dyDescent="0.3">
      <c r="B8" s="6" t="s">
        <v>17</v>
      </c>
      <c r="C8" s="22"/>
      <c r="D8" s="22"/>
      <c r="E8" s="22"/>
      <c r="F8" s="22"/>
      <c r="G8" s="22"/>
      <c r="H8" s="12">
        <f t="shared" si="0"/>
        <v>44295</v>
      </c>
    </row>
    <row r="9" spans="2:11" ht="15.6" x14ac:dyDescent="0.3">
      <c r="B9" s="34" t="s">
        <v>0</v>
      </c>
      <c r="C9" s="60"/>
      <c r="D9" s="60">
        <v>1183500</v>
      </c>
      <c r="E9" s="60"/>
      <c r="F9" s="60">
        <v>540000</v>
      </c>
      <c r="G9" s="61"/>
      <c r="H9" s="12">
        <f t="shared" si="0"/>
        <v>44295</v>
      </c>
    </row>
    <row r="10" spans="2:11" x14ac:dyDescent="0.3">
      <c r="B10" s="6" t="s">
        <v>25</v>
      </c>
      <c r="C10" s="22"/>
      <c r="D10" s="22">
        <v>252000</v>
      </c>
      <c r="E10" s="22"/>
      <c r="F10" s="22">
        <v>162000</v>
      </c>
      <c r="G10" s="22"/>
      <c r="H10" s="12">
        <f t="shared" si="0"/>
        <v>44295</v>
      </c>
    </row>
    <row r="11" spans="2:11" ht="13.5" customHeight="1" x14ac:dyDescent="0.3">
      <c r="B11" s="6" t="s">
        <v>15</v>
      </c>
      <c r="C11" s="22"/>
      <c r="D11" s="22"/>
      <c r="E11" s="22"/>
      <c r="F11" s="48"/>
      <c r="G11" s="22"/>
      <c r="H11" s="12">
        <f t="shared" si="0"/>
        <v>44295</v>
      </c>
    </row>
    <row r="12" spans="2:11" x14ac:dyDescent="0.3">
      <c r="B12" s="6" t="s">
        <v>54</v>
      </c>
      <c r="C12" s="22"/>
      <c r="D12" s="22"/>
      <c r="E12" s="22"/>
      <c r="F12" s="22"/>
      <c r="G12" s="22"/>
      <c r="H12" s="67">
        <f t="shared" si="0"/>
        <v>44295</v>
      </c>
    </row>
    <row r="13" spans="2:11" x14ac:dyDescent="0.3">
      <c r="B13" s="6" t="s">
        <v>26</v>
      </c>
      <c r="C13" s="22">
        <v>45000</v>
      </c>
      <c r="D13" s="22">
        <v>216000</v>
      </c>
      <c r="E13" s="22"/>
      <c r="F13" s="22">
        <v>108000</v>
      </c>
      <c r="G13" s="22"/>
      <c r="H13" s="12">
        <f t="shared" si="0"/>
        <v>44295</v>
      </c>
    </row>
    <row r="14" spans="2:11" x14ac:dyDescent="0.3">
      <c r="B14" s="6" t="s">
        <v>22</v>
      </c>
      <c r="C14" s="23"/>
      <c r="D14" s="23"/>
      <c r="E14" s="23"/>
      <c r="F14" s="22"/>
      <c r="G14" s="23"/>
      <c r="H14" s="12">
        <f t="shared" si="0"/>
        <v>44295</v>
      </c>
      <c r="K14" s="4"/>
    </row>
    <row r="15" spans="2:11" x14ac:dyDescent="0.3">
      <c r="B15" s="6" t="s">
        <v>19</v>
      </c>
      <c r="C15" s="22"/>
      <c r="D15" s="22"/>
      <c r="E15" s="22"/>
      <c r="F15" s="22"/>
      <c r="G15" s="22"/>
      <c r="H15" s="12">
        <f t="shared" si="0"/>
        <v>44295</v>
      </c>
    </row>
    <row r="16" spans="2:11" x14ac:dyDescent="0.3">
      <c r="B16" s="6" t="s">
        <v>14</v>
      </c>
      <c r="C16" s="22">
        <v>108000</v>
      </c>
      <c r="D16" s="22">
        <v>162000</v>
      </c>
      <c r="E16" s="22"/>
      <c r="F16" s="22">
        <v>108000</v>
      </c>
      <c r="G16" s="22">
        <v>424000</v>
      </c>
      <c r="H16" s="12">
        <f t="shared" si="0"/>
        <v>44295</v>
      </c>
    </row>
    <row r="17" spans="1:8" x14ac:dyDescent="0.3">
      <c r="B17" s="6" t="s">
        <v>24</v>
      </c>
      <c r="C17" s="22"/>
      <c r="D17" s="22"/>
      <c r="E17" s="22"/>
      <c r="F17" s="49"/>
      <c r="G17" s="22"/>
      <c r="H17" s="12">
        <f t="shared" si="0"/>
        <v>44295</v>
      </c>
    </row>
    <row r="18" spans="1:8" x14ac:dyDescent="0.3">
      <c r="B18" s="6" t="s">
        <v>21</v>
      </c>
      <c r="C18" s="22"/>
      <c r="D18" s="22"/>
      <c r="E18" s="22"/>
      <c r="F18" s="22"/>
      <c r="G18" s="22"/>
      <c r="H18" s="12">
        <f t="shared" si="0"/>
        <v>44295</v>
      </c>
    </row>
    <row r="19" spans="1:8" x14ac:dyDescent="0.3">
      <c r="B19" s="6" t="s">
        <v>18</v>
      </c>
      <c r="C19" s="22"/>
      <c r="D19" s="22"/>
      <c r="E19" s="22"/>
      <c r="F19" s="22">
        <v>54000</v>
      </c>
      <c r="G19" s="22"/>
      <c r="H19" s="12">
        <f t="shared" si="0"/>
        <v>44295</v>
      </c>
    </row>
    <row r="20" spans="1:8" x14ac:dyDescent="0.3">
      <c r="B20" s="6" t="s">
        <v>16</v>
      </c>
      <c r="C20" s="22">
        <v>729000</v>
      </c>
      <c r="D20" s="22"/>
      <c r="E20" s="22"/>
      <c r="F20" s="22"/>
      <c r="G20" s="22">
        <v>464000</v>
      </c>
      <c r="H20" s="12">
        <f t="shared" si="0"/>
        <v>44295</v>
      </c>
    </row>
    <row r="21" spans="1:8" x14ac:dyDescent="0.3">
      <c r="B21" s="50" t="s">
        <v>27</v>
      </c>
      <c r="C21" s="51">
        <f>SUM(April09_2021[KSI_AGO])</f>
        <v>882000</v>
      </c>
      <c r="D21" s="51">
        <f>SUBTOTAL(109,April09_2021[KSI_PMS])</f>
        <v>1813500</v>
      </c>
      <c r="E21" s="51">
        <f>SUM(April09_2021[BUIPE_AGO])</f>
        <v>0</v>
      </c>
      <c r="F21" s="51">
        <f>SUM(April09_2021[BUIPE_PMS])</f>
        <v>972000</v>
      </c>
      <c r="G21" s="51">
        <f>SUM(April09_2021[AKOSOMBO_AGO])</f>
        <v>888000</v>
      </c>
      <c r="H21" s="52"/>
    </row>
    <row r="22" spans="1:8" x14ac:dyDescent="0.3">
      <c r="B22" s="8"/>
      <c r="C22" s="24"/>
      <c r="D22" s="24"/>
      <c r="E22" s="24"/>
      <c r="F22" s="24"/>
      <c r="G22" s="24"/>
      <c r="H22"/>
    </row>
    <row r="23" spans="1:8" x14ac:dyDescent="0.3">
      <c r="B23" s="1" t="s">
        <v>6</v>
      </c>
      <c r="C23" s="1" t="s">
        <v>4</v>
      </c>
      <c r="D23" s="5">
        <f>SUMIF(April09_2021[[#Headers],[KSI_AGO]:[AKOSOMBO_AGO]],"*"&amp;C23,April09_2021[[#Totals],[KSI_AGO]:[AKOSOMBO_AGO]])</f>
        <v>1770000</v>
      </c>
      <c r="E23" s="1" t="s">
        <v>5</v>
      </c>
      <c r="F23" s="5">
        <f>SUMIF(April09_2021[[#Headers],[KSI_AGO]:[AKOSOMBO_AGO]],"*"&amp;E23,April09_2021[[#Totals],[KSI_AGO]:[AKOSOMBO_AGO]])</f>
        <v>2785500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8136BCE6-BBA0-45B2-900F-52FCC69BE1BB}">
      <formula1>INDIRECT("BDC_List[BDC List]")</formula1>
    </dataValidation>
  </dataValidations>
  <pageMargins left="0.7" right="0.7" top="0.75" bottom="0.75" header="0.3" footer="0.3"/>
  <tableParts count="1">
    <tablePart r:id="rId1"/>
  </tableParts>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921AC-E95A-4289-A37A-12C8EB0F3EF9}">
  <sheetPr codeName="Sheet327"/>
  <dimension ref="A1:K33"/>
  <sheetViews>
    <sheetView workbookViewId="0">
      <selection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44296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44296</v>
      </c>
    </row>
    <row r="7" spans="2:11" x14ac:dyDescent="0.3">
      <c r="B7" s="6" t="s">
        <v>37</v>
      </c>
      <c r="C7" s="22"/>
      <c r="D7" s="22"/>
      <c r="E7" s="22"/>
      <c r="F7" s="22"/>
      <c r="G7" s="22"/>
      <c r="H7" s="67">
        <f t="shared" si="0"/>
        <v>44296</v>
      </c>
    </row>
    <row r="8" spans="2:11" x14ac:dyDescent="0.3">
      <c r="B8" s="6" t="s">
        <v>17</v>
      </c>
      <c r="C8" s="22"/>
      <c r="D8" s="22"/>
      <c r="E8" s="22"/>
      <c r="F8" s="22"/>
      <c r="G8" s="22"/>
      <c r="H8" s="12">
        <f t="shared" si="0"/>
        <v>44296</v>
      </c>
    </row>
    <row r="9" spans="2:11" ht="15.6" x14ac:dyDescent="0.3">
      <c r="B9" s="34" t="s">
        <v>0</v>
      </c>
      <c r="C9" s="60"/>
      <c r="D9" s="60">
        <v>1006000</v>
      </c>
      <c r="E9" s="60"/>
      <c r="F9" s="60">
        <v>532000</v>
      </c>
      <c r="G9" s="61"/>
      <c r="H9" s="12">
        <f t="shared" si="0"/>
        <v>44296</v>
      </c>
    </row>
    <row r="10" spans="2:11" x14ac:dyDescent="0.3">
      <c r="B10" s="6" t="s">
        <v>25</v>
      </c>
      <c r="C10" s="22"/>
      <c r="D10" s="22"/>
      <c r="E10" s="22"/>
      <c r="F10" s="22"/>
      <c r="G10" s="22"/>
      <c r="H10" s="12">
        <f t="shared" si="0"/>
        <v>44296</v>
      </c>
    </row>
    <row r="11" spans="2:11" ht="13.5" customHeight="1" x14ac:dyDescent="0.3">
      <c r="B11" s="6" t="s">
        <v>15</v>
      </c>
      <c r="C11" s="22"/>
      <c r="D11" s="22"/>
      <c r="E11" s="22"/>
      <c r="F11" s="48"/>
      <c r="G11" s="22"/>
      <c r="H11" s="12">
        <f t="shared" si="0"/>
        <v>44296</v>
      </c>
    </row>
    <row r="12" spans="2:11" x14ac:dyDescent="0.3">
      <c r="B12" s="6" t="s">
        <v>54</v>
      </c>
      <c r="C12" s="22"/>
      <c r="D12" s="22"/>
      <c r="E12" s="22"/>
      <c r="F12" s="22"/>
      <c r="G12" s="22"/>
      <c r="H12" s="67">
        <f t="shared" si="0"/>
        <v>44296</v>
      </c>
    </row>
    <row r="13" spans="2:11" x14ac:dyDescent="0.3">
      <c r="B13" s="6" t="s">
        <v>26</v>
      </c>
      <c r="C13" s="22"/>
      <c r="D13" s="22"/>
      <c r="E13" s="22"/>
      <c r="F13" s="22"/>
      <c r="G13" s="22"/>
      <c r="H13" s="12">
        <f t="shared" si="0"/>
        <v>44296</v>
      </c>
    </row>
    <row r="14" spans="2:11" x14ac:dyDescent="0.3">
      <c r="B14" s="6" t="s">
        <v>22</v>
      </c>
      <c r="C14" s="23"/>
      <c r="D14" s="23"/>
      <c r="E14" s="23"/>
      <c r="F14" s="22"/>
      <c r="G14" s="23"/>
      <c r="H14" s="12">
        <f t="shared" si="0"/>
        <v>44296</v>
      </c>
      <c r="K14" s="4"/>
    </row>
    <row r="15" spans="2:11" x14ac:dyDescent="0.3">
      <c r="B15" s="6" t="s">
        <v>19</v>
      </c>
      <c r="C15" s="22">
        <v>54000</v>
      </c>
      <c r="D15" s="22">
        <v>810000</v>
      </c>
      <c r="E15" s="22"/>
      <c r="F15" s="22"/>
      <c r="G15" s="22"/>
      <c r="H15" s="12">
        <f t="shared" si="0"/>
        <v>44296</v>
      </c>
    </row>
    <row r="16" spans="2:11" x14ac:dyDescent="0.3">
      <c r="B16" s="6" t="s">
        <v>14</v>
      </c>
      <c r="C16" s="22">
        <v>54000</v>
      </c>
      <c r="D16" s="22"/>
      <c r="E16" s="22"/>
      <c r="F16" s="22"/>
      <c r="G16" s="22">
        <v>270000</v>
      </c>
      <c r="H16" s="12">
        <f t="shared" si="0"/>
        <v>44296</v>
      </c>
    </row>
    <row r="17" spans="1:8" x14ac:dyDescent="0.3">
      <c r="B17" s="6" t="s">
        <v>24</v>
      </c>
      <c r="C17" s="22"/>
      <c r="D17" s="22"/>
      <c r="E17" s="22"/>
      <c r="F17" s="49"/>
      <c r="G17" s="22"/>
      <c r="H17" s="12">
        <f t="shared" si="0"/>
        <v>44296</v>
      </c>
    </row>
    <row r="18" spans="1:8" x14ac:dyDescent="0.3">
      <c r="B18" s="6" t="s">
        <v>21</v>
      </c>
      <c r="C18" s="22"/>
      <c r="D18" s="22"/>
      <c r="E18" s="22"/>
      <c r="F18" s="22"/>
      <c r="G18" s="22"/>
      <c r="H18" s="12">
        <f t="shared" si="0"/>
        <v>44296</v>
      </c>
    </row>
    <row r="19" spans="1:8" x14ac:dyDescent="0.3">
      <c r="B19" s="6" t="s">
        <v>18</v>
      </c>
      <c r="C19" s="22"/>
      <c r="D19" s="22"/>
      <c r="E19" s="22"/>
      <c r="F19" s="22"/>
      <c r="G19" s="22"/>
      <c r="H19" s="12">
        <f t="shared" si="0"/>
        <v>44296</v>
      </c>
    </row>
    <row r="20" spans="1:8" x14ac:dyDescent="0.3">
      <c r="B20" s="6" t="s">
        <v>16</v>
      </c>
      <c r="C20" s="22"/>
      <c r="D20" s="22"/>
      <c r="E20" s="22"/>
      <c r="F20" s="22"/>
      <c r="G20" s="22">
        <v>270000</v>
      </c>
      <c r="H20" s="12">
        <f t="shared" si="0"/>
        <v>44296</v>
      </c>
    </row>
    <row r="21" spans="1:8" x14ac:dyDescent="0.3">
      <c r="B21" s="50" t="s">
        <v>27</v>
      </c>
      <c r="C21" s="51">
        <f>SUM(April10_2021[KSI_AGO])</f>
        <v>108000</v>
      </c>
      <c r="D21" s="51">
        <f>SUBTOTAL(109,April10_2021[KSI_PMS])</f>
        <v>1816000</v>
      </c>
      <c r="E21" s="51">
        <f>SUM(April10_2021[BUIPE_AGO])</f>
        <v>0</v>
      </c>
      <c r="F21" s="51">
        <f>SUM(April10_2021[BUIPE_PMS])</f>
        <v>532000</v>
      </c>
      <c r="G21" s="51">
        <f>SUM(April10_2021[AKOSOMBO_AGO])</f>
        <v>540000</v>
      </c>
      <c r="H21" s="52"/>
    </row>
    <row r="22" spans="1:8" x14ac:dyDescent="0.3">
      <c r="B22" s="8"/>
      <c r="C22" s="24"/>
      <c r="D22" s="24"/>
      <c r="E22" s="24"/>
      <c r="F22" s="24"/>
      <c r="G22" s="24"/>
      <c r="H22"/>
    </row>
    <row r="23" spans="1:8" x14ac:dyDescent="0.3">
      <c r="B23" s="1" t="s">
        <v>6</v>
      </c>
      <c r="C23" s="1" t="s">
        <v>4</v>
      </c>
      <c r="D23" s="5">
        <f>SUMIF(April10_2021[[#Headers],[KSI_AGO]:[AKOSOMBO_AGO]],"*"&amp;C23,April10_2021[[#Totals],[KSI_AGO]:[AKOSOMBO_AGO]])</f>
        <v>648000</v>
      </c>
      <c r="E23" s="1" t="s">
        <v>5</v>
      </c>
      <c r="F23" s="5">
        <f>SUMIF(April10_2021[[#Headers],[KSI_AGO]:[AKOSOMBO_AGO]],"*"&amp;E23,April10_2021[[#Totals],[KSI_AGO]:[AKOSOMBO_AGO]])</f>
        <v>2348000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7B223432-71F0-4FB5-B906-A9B6E27E154E}">
      <formula1>INDIRECT("BDC_List[BDC List]")</formula1>
    </dataValidation>
  </dataValidations>
  <pageMargins left="0.7" right="0.7" top="0.75" bottom="0.75" header="0.3" footer="0.3"/>
  <tableParts count="1">
    <tablePart r:id="rId1"/>
  </tableParts>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CD474-9FD6-46E0-989E-A58316BA4E62}">
  <sheetPr codeName="Sheet328"/>
  <dimension ref="A1:K33"/>
  <sheetViews>
    <sheetView workbookViewId="0">
      <selection activeCell="F19" sqref="F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44298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44298</v>
      </c>
    </row>
    <row r="7" spans="2:11" x14ac:dyDescent="0.3">
      <c r="B7" s="6" t="s">
        <v>37</v>
      </c>
      <c r="C7" s="22"/>
      <c r="D7" s="22"/>
      <c r="E7" s="22"/>
      <c r="F7" s="22"/>
      <c r="G7" s="22"/>
      <c r="H7" s="67">
        <f t="shared" si="0"/>
        <v>44298</v>
      </c>
    </row>
    <row r="8" spans="2:11" x14ac:dyDescent="0.3">
      <c r="B8" s="6" t="s">
        <v>17</v>
      </c>
      <c r="C8" s="22"/>
      <c r="D8" s="22"/>
      <c r="E8" s="22"/>
      <c r="F8" s="22"/>
      <c r="G8" s="22"/>
      <c r="H8" s="12">
        <f t="shared" si="0"/>
        <v>44298</v>
      </c>
    </row>
    <row r="9" spans="2:11" ht="15.6" x14ac:dyDescent="0.3">
      <c r="B9" s="34" t="s">
        <v>0</v>
      </c>
      <c r="C9" s="60"/>
      <c r="D9" s="60">
        <v>837000</v>
      </c>
      <c r="E9" s="60"/>
      <c r="F9" s="60">
        <v>270000</v>
      </c>
      <c r="G9" s="61"/>
      <c r="H9" s="12">
        <f t="shared" si="0"/>
        <v>44298</v>
      </c>
    </row>
    <row r="10" spans="2:11" x14ac:dyDescent="0.3">
      <c r="B10" s="6" t="s">
        <v>25</v>
      </c>
      <c r="C10" s="22"/>
      <c r="D10" s="22">
        <v>266000</v>
      </c>
      <c r="E10" s="22"/>
      <c r="F10" s="22">
        <v>158000</v>
      </c>
      <c r="G10" s="22"/>
      <c r="H10" s="12">
        <f t="shared" si="0"/>
        <v>44298</v>
      </c>
    </row>
    <row r="11" spans="2:11" ht="13.5" customHeight="1" x14ac:dyDescent="0.3">
      <c r="B11" s="6" t="s">
        <v>15</v>
      </c>
      <c r="C11" s="22"/>
      <c r="D11" s="22"/>
      <c r="E11" s="22"/>
      <c r="F11" s="48"/>
      <c r="G11" s="22"/>
      <c r="H11" s="12">
        <f t="shared" si="0"/>
        <v>44298</v>
      </c>
    </row>
    <row r="12" spans="2:11" x14ac:dyDescent="0.3">
      <c r="B12" s="6" t="s">
        <v>54</v>
      </c>
      <c r="C12" s="22"/>
      <c r="D12" s="22"/>
      <c r="E12" s="22"/>
      <c r="F12" s="22"/>
      <c r="G12" s="22"/>
      <c r="H12" s="67">
        <f t="shared" si="0"/>
        <v>44298</v>
      </c>
    </row>
    <row r="13" spans="2:11" x14ac:dyDescent="0.3">
      <c r="B13" s="6" t="s">
        <v>26</v>
      </c>
      <c r="C13" s="22"/>
      <c r="D13" s="22">
        <v>261000</v>
      </c>
      <c r="E13" s="22"/>
      <c r="F13" s="22">
        <v>108000</v>
      </c>
      <c r="G13" s="22"/>
      <c r="H13" s="12">
        <f t="shared" si="0"/>
        <v>44298</v>
      </c>
    </row>
    <row r="14" spans="2:11" x14ac:dyDescent="0.3">
      <c r="B14" s="6" t="s">
        <v>22</v>
      </c>
      <c r="C14" s="23"/>
      <c r="D14" s="23"/>
      <c r="E14" s="23"/>
      <c r="F14" s="22"/>
      <c r="G14" s="23"/>
      <c r="H14" s="12">
        <f t="shared" si="0"/>
        <v>44298</v>
      </c>
      <c r="K14" s="4"/>
    </row>
    <row r="15" spans="2:11" x14ac:dyDescent="0.3">
      <c r="B15" s="6" t="s">
        <v>19</v>
      </c>
      <c r="C15" s="22"/>
      <c r="D15" s="22"/>
      <c r="E15" s="22"/>
      <c r="F15" s="22"/>
      <c r="G15" s="22"/>
      <c r="H15" s="12">
        <f t="shared" si="0"/>
        <v>44298</v>
      </c>
    </row>
    <row r="16" spans="2:11" x14ac:dyDescent="0.3">
      <c r="B16" s="6" t="s">
        <v>14</v>
      </c>
      <c r="C16" s="22"/>
      <c r="D16" s="22">
        <v>162000</v>
      </c>
      <c r="E16" s="22"/>
      <c r="F16" s="22">
        <v>108000</v>
      </c>
      <c r="G16" s="22">
        <v>797000</v>
      </c>
      <c r="H16" s="12">
        <f t="shared" si="0"/>
        <v>44298</v>
      </c>
    </row>
    <row r="17" spans="1:8" x14ac:dyDescent="0.3">
      <c r="B17" s="6" t="s">
        <v>24</v>
      </c>
      <c r="C17" s="22"/>
      <c r="D17" s="22"/>
      <c r="E17" s="22"/>
      <c r="F17" s="49"/>
      <c r="G17" s="22"/>
      <c r="H17" s="12">
        <f t="shared" si="0"/>
        <v>44298</v>
      </c>
    </row>
    <row r="18" spans="1:8" x14ac:dyDescent="0.3">
      <c r="B18" s="6" t="s">
        <v>21</v>
      </c>
      <c r="C18" s="22"/>
      <c r="D18" s="22"/>
      <c r="E18" s="22"/>
      <c r="F18" s="22"/>
      <c r="G18" s="22"/>
      <c r="H18" s="12">
        <f t="shared" si="0"/>
        <v>44298</v>
      </c>
    </row>
    <row r="19" spans="1:8" x14ac:dyDescent="0.3">
      <c r="B19" s="6" t="s">
        <v>18</v>
      </c>
      <c r="C19" s="22"/>
      <c r="D19" s="22"/>
      <c r="E19" s="22"/>
      <c r="F19" s="22">
        <v>108000</v>
      </c>
      <c r="G19" s="22"/>
      <c r="H19" s="12">
        <f t="shared" si="0"/>
        <v>44298</v>
      </c>
    </row>
    <row r="20" spans="1:8" x14ac:dyDescent="0.3">
      <c r="B20" s="6" t="s">
        <v>16</v>
      </c>
      <c r="C20" s="22"/>
      <c r="D20" s="22"/>
      <c r="E20" s="22"/>
      <c r="F20" s="22"/>
      <c r="G20" s="22">
        <v>108000</v>
      </c>
      <c r="H20" s="12">
        <f t="shared" si="0"/>
        <v>44298</v>
      </c>
    </row>
    <row r="21" spans="1:8" x14ac:dyDescent="0.3">
      <c r="B21" s="50" t="s">
        <v>27</v>
      </c>
      <c r="C21" s="51">
        <f>SUM(April12_2021[KSI_AGO])</f>
        <v>0</v>
      </c>
      <c r="D21" s="51">
        <f>SUBTOTAL(109,April12_2021[KSI_PMS])</f>
        <v>1526000</v>
      </c>
      <c r="E21" s="51">
        <f>SUM(April12_2021[BUIPE_AGO])</f>
        <v>0</v>
      </c>
      <c r="F21" s="51">
        <f>SUM(April12_2021[BUIPE_PMS])</f>
        <v>752000</v>
      </c>
      <c r="G21" s="51">
        <f>SUM(April12_2021[AKOSOMBO_AGO])</f>
        <v>905000</v>
      </c>
      <c r="H21" s="52"/>
    </row>
    <row r="22" spans="1:8" x14ac:dyDescent="0.3">
      <c r="B22" s="8"/>
      <c r="C22" s="24"/>
      <c r="D22" s="24"/>
      <c r="E22" s="24"/>
      <c r="F22" s="24"/>
      <c r="G22" s="24"/>
      <c r="H22"/>
    </row>
    <row r="23" spans="1:8" x14ac:dyDescent="0.3">
      <c r="B23" s="1" t="s">
        <v>6</v>
      </c>
      <c r="C23" s="1" t="s">
        <v>4</v>
      </c>
      <c r="D23" s="5">
        <f>SUMIF(April12_2021[[#Headers],[KSI_AGO]:[AKOSOMBO_AGO]],"*"&amp;C23,April12_2021[[#Totals],[KSI_AGO]:[AKOSOMBO_AGO]])</f>
        <v>905000</v>
      </c>
      <c r="E23" s="1" t="s">
        <v>5</v>
      </c>
      <c r="F23" s="5">
        <f>SUMIF(April12_2021[[#Headers],[KSI_AGO]:[AKOSOMBO_AGO]],"*"&amp;E23,April12_2021[[#Totals],[KSI_AGO]:[AKOSOMBO_AGO]])</f>
        <v>2278000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1E99DF4F-7875-4A3E-9D44-B43845EF639F}">
      <formula1>INDIRECT("BDC_List[BDC List]")</formula1>
    </dataValidation>
  </dataValidations>
  <pageMargins left="0.7" right="0.7" top="0.75" bottom="0.75" header="0.3" footer="0.3"/>
  <tableParts count="1">
    <tablePart r:id="rId1"/>
  </tableParts>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B3ED5-CC7C-43E6-98F0-A9349434F82C}">
  <sheetPr codeName="Sheet329"/>
  <dimension ref="A1:K33"/>
  <sheetViews>
    <sheetView workbookViewId="0">
      <selection activeCell="C14" sqref="C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44299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44299</v>
      </c>
    </row>
    <row r="7" spans="2:11" x14ac:dyDescent="0.3">
      <c r="B7" s="6" t="s">
        <v>37</v>
      </c>
      <c r="C7" s="22"/>
      <c r="D7" s="22"/>
      <c r="E7" s="22"/>
      <c r="F7" s="22"/>
      <c r="G7" s="22"/>
      <c r="H7" s="67">
        <f t="shared" si="0"/>
        <v>44299</v>
      </c>
    </row>
    <row r="8" spans="2:11" x14ac:dyDescent="0.3">
      <c r="B8" s="6" t="s">
        <v>17</v>
      </c>
      <c r="C8" s="22">
        <v>1597000</v>
      </c>
      <c r="D8" s="22"/>
      <c r="E8" s="22"/>
      <c r="F8" s="22"/>
      <c r="G8" s="22">
        <v>486000</v>
      </c>
      <c r="H8" s="12">
        <f t="shared" si="0"/>
        <v>44299</v>
      </c>
    </row>
    <row r="9" spans="2:11" ht="15.6" x14ac:dyDescent="0.3">
      <c r="B9" s="34" t="s">
        <v>0</v>
      </c>
      <c r="C9" s="60"/>
      <c r="D9" s="60">
        <v>157500</v>
      </c>
      <c r="E9" s="60"/>
      <c r="F9" s="60">
        <v>419000</v>
      </c>
      <c r="G9" s="61"/>
      <c r="H9" s="12">
        <f t="shared" si="0"/>
        <v>44299</v>
      </c>
    </row>
    <row r="10" spans="2:11" x14ac:dyDescent="0.3">
      <c r="B10" s="6" t="s">
        <v>25</v>
      </c>
      <c r="C10" s="22"/>
      <c r="D10" s="22">
        <v>157500</v>
      </c>
      <c r="E10" s="22"/>
      <c r="F10" s="22">
        <v>135000</v>
      </c>
      <c r="G10" s="22"/>
      <c r="H10" s="12">
        <f t="shared" si="0"/>
        <v>44299</v>
      </c>
    </row>
    <row r="11" spans="2:11" ht="13.5" customHeight="1" x14ac:dyDescent="0.3">
      <c r="B11" s="6" t="s">
        <v>15</v>
      </c>
      <c r="C11" s="22"/>
      <c r="D11" s="22"/>
      <c r="E11" s="22"/>
      <c r="F11" s="48"/>
      <c r="G11" s="22"/>
      <c r="H11" s="12">
        <f t="shared" si="0"/>
        <v>44299</v>
      </c>
    </row>
    <row r="12" spans="2:11" x14ac:dyDescent="0.3">
      <c r="B12" s="6" t="s">
        <v>54</v>
      </c>
      <c r="C12" s="22"/>
      <c r="D12" s="22"/>
      <c r="E12" s="22"/>
      <c r="F12" s="22"/>
      <c r="G12" s="22"/>
      <c r="H12" s="67">
        <f t="shared" si="0"/>
        <v>44299</v>
      </c>
    </row>
    <row r="13" spans="2:11" x14ac:dyDescent="0.3">
      <c r="B13" s="6" t="s">
        <v>26</v>
      </c>
      <c r="C13" s="22"/>
      <c r="D13" s="22">
        <v>144000</v>
      </c>
      <c r="E13" s="22"/>
      <c r="F13" s="22">
        <v>108000</v>
      </c>
      <c r="G13" s="22"/>
      <c r="H13" s="12">
        <f t="shared" si="0"/>
        <v>44299</v>
      </c>
    </row>
    <row r="14" spans="2:11" x14ac:dyDescent="0.3">
      <c r="B14" s="6" t="s">
        <v>22</v>
      </c>
      <c r="C14" s="23"/>
      <c r="D14" s="23"/>
      <c r="E14" s="23"/>
      <c r="F14" s="22"/>
      <c r="G14" s="23"/>
      <c r="H14" s="12">
        <f t="shared" si="0"/>
        <v>44299</v>
      </c>
      <c r="K14" s="4"/>
    </row>
    <row r="15" spans="2:11" x14ac:dyDescent="0.3">
      <c r="B15" s="6" t="s">
        <v>19</v>
      </c>
      <c r="C15" s="22"/>
      <c r="D15" s="22"/>
      <c r="E15" s="22"/>
      <c r="F15" s="22"/>
      <c r="G15" s="22"/>
      <c r="H15" s="12">
        <f t="shared" si="0"/>
        <v>44299</v>
      </c>
    </row>
    <row r="16" spans="2:11" x14ac:dyDescent="0.3">
      <c r="B16" s="6" t="s">
        <v>14</v>
      </c>
      <c r="C16" s="22"/>
      <c r="D16" s="22">
        <v>157500</v>
      </c>
      <c r="E16" s="22"/>
      <c r="F16" s="22">
        <v>108000</v>
      </c>
      <c r="G16" s="22"/>
      <c r="H16" s="12">
        <f t="shared" si="0"/>
        <v>44299</v>
      </c>
    </row>
    <row r="17" spans="1:8" x14ac:dyDescent="0.3">
      <c r="B17" s="6" t="s">
        <v>24</v>
      </c>
      <c r="C17" s="22"/>
      <c r="D17" s="22"/>
      <c r="E17" s="22"/>
      <c r="F17" s="49"/>
      <c r="G17" s="22"/>
      <c r="H17" s="12">
        <f t="shared" si="0"/>
        <v>44299</v>
      </c>
    </row>
    <row r="18" spans="1:8" x14ac:dyDescent="0.3">
      <c r="B18" s="6" t="s">
        <v>21</v>
      </c>
      <c r="C18" s="22"/>
      <c r="D18" s="22"/>
      <c r="E18" s="22"/>
      <c r="F18" s="22"/>
      <c r="G18" s="22"/>
      <c r="H18" s="12">
        <f t="shared" si="0"/>
        <v>44299</v>
      </c>
    </row>
    <row r="19" spans="1:8" x14ac:dyDescent="0.3">
      <c r="B19" s="6" t="s">
        <v>18</v>
      </c>
      <c r="C19" s="22"/>
      <c r="D19" s="22"/>
      <c r="E19" s="22"/>
      <c r="F19" s="22"/>
      <c r="G19" s="22"/>
      <c r="H19" s="12">
        <f t="shared" si="0"/>
        <v>44299</v>
      </c>
    </row>
    <row r="20" spans="1:8" x14ac:dyDescent="0.3">
      <c r="B20" s="6" t="s">
        <v>16</v>
      </c>
      <c r="C20" s="22"/>
      <c r="D20" s="22"/>
      <c r="E20" s="22"/>
      <c r="F20" s="22">
        <v>162000</v>
      </c>
      <c r="G20" s="22"/>
      <c r="H20" s="12">
        <f t="shared" si="0"/>
        <v>44299</v>
      </c>
    </row>
    <row r="21" spans="1:8" x14ac:dyDescent="0.3">
      <c r="B21" s="50" t="s">
        <v>27</v>
      </c>
      <c r="C21" s="51">
        <f>SUM(April13_2021[KSI_AGO])</f>
        <v>1597000</v>
      </c>
      <c r="D21" s="51">
        <f>SUBTOTAL(109,April13_2021[KSI_PMS])</f>
        <v>616500</v>
      </c>
      <c r="E21" s="51">
        <f>SUM(April13_2021[BUIPE_AGO])</f>
        <v>0</v>
      </c>
      <c r="F21" s="51">
        <f>SUM(April13_2021[BUIPE_PMS])</f>
        <v>932000</v>
      </c>
      <c r="G21" s="51">
        <f>SUM(April13_2021[AKOSOMBO_AGO])</f>
        <v>486000</v>
      </c>
      <c r="H21" s="52"/>
    </row>
    <row r="22" spans="1:8" x14ac:dyDescent="0.3">
      <c r="B22" s="8"/>
      <c r="C22" s="24"/>
      <c r="D22" s="24"/>
      <c r="E22" s="24"/>
      <c r="F22" s="24"/>
      <c r="G22" s="24"/>
      <c r="H22"/>
    </row>
    <row r="23" spans="1:8" x14ac:dyDescent="0.3">
      <c r="B23" s="1" t="s">
        <v>6</v>
      </c>
      <c r="C23" s="1" t="s">
        <v>4</v>
      </c>
      <c r="D23" s="5">
        <f>SUMIF(April13_2021[[#Headers],[KSI_AGO]:[AKOSOMBO_AGO]],"*"&amp;C23,April13_2021[[#Totals],[KSI_AGO]:[AKOSOMBO_AGO]])</f>
        <v>2083000</v>
      </c>
      <c r="E23" s="1" t="s">
        <v>5</v>
      </c>
      <c r="F23" s="5">
        <f>SUMIF(April13_2021[[#Headers],[KSI_AGO]:[AKOSOMBO_AGO]],"*"&amp;E23,April13_2021[[#Totals],[KSI_AGO]:[AKOSOMBO_AGO]])</f>
        <v>1548500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176B4C29-224A-4E45-A868-C1E09F4B0D9B}">
      <formula1>INDIRECT("BDC_List[BDC List]")</formula1>
    </dataValidation>
  </dataValidations>
  <pageMargins left="0.7" right="0.7" top="0.75" bottom="0.75" header="0.3" footer="0.3"/>
  <tableParts count="1">
    <tablePart r:id="rId1"/>
  </tableParts>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4F93B-71E1-4D36-9FDA-ED11EAEDA464}">
  <sheetPr codeName="Sheet330"/>
  <dimension ref="A1:K33"/>
  <sheetViews>
    <sheetView workbookViewId="0">
      <selection activeCell="F16" sqref="F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44300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44300</v>
      </c>
    </row>
    <row r="7" spans="2:11" x14ac:dyDescent="0.3">
      <c r="B7" s="6" t="s">
        <v>37</v>
      </c>
      <c r="C7" s="22"/>
      <c r="D7" s="22"/>
      <c r="E7" s="22"/>
      <c r="F7" s="22"/>
      <c r="G7" s="22"/>
      <c r="H7" s="67">
        <f t="shared" si="0"/>
        <v>44300</v>
      </c>
    </row>
    <row r="8" spans="2:11" x14ac:dyDescent="0.3">
      <c r="B8" s="6" t="s">
        <v>17</v>
      </c>
      <c r="C8" s="22">
        <v>1017000</v>
      </c>
      <c r="D8" s="22"/>
      <c r="E8" s="22"/>
      <c r="F8" s="22"/>
      <c r="G8" s="22">
        <v>324000</v>
      </c>
      <c r="H8" s="12">
        <f t="shared" si="0"/>
        <v>44300</v>
      </c>
    </row>
    <row r="9" spans="2:11" ht="15.6" x14ac:dyDescent="0.3">
      <c r="B9" s="34" t="s">
        <v>0</v>
      </c>
      <c r="C9" s="60"/>
      <c r="D9" s="60">
        <v>636000</v>
      </c>
      <c r="E9" s="60"/>
      <c r="F9" s="60">
        <v>149000</v>
      </c>
      <c r="G9" s="61"/>
      <c r="H9" s="12">
        <f t="shared" si="0"/>
        <v>44300</v>
      </c>
    </row>
    <row r="10" spans="2:11" x14ac:dyDescent="0.3">
      <c r="B10" s="6" t="s">
        <v>25</v>
      </c>
      <c r="C10" s="22">
        <v>810000</v>
      </c>
      <c r="D10" s="22">
        <v>324000</v>
      </c>
      <c r="E10" s="22"/>
      <c r="F10" s="22">
        <v>45000</v>
      </c>
      <c r="G10" s="22"/>
      <c r="H10" s="12">
        <f t="shared" si="0"/>
        <v>44300</v>
      </c>
    </row>
    <row r="11" spans="2:11" ht="13.5" customHeight="1" x14ac:dyDescent="0.3">
      <c r="B11" s="6" t="s">
        <v>15</v>
      </c>
      <c r="C11" s="22"/>
      <c r="D11" s="22"/>
      <c r="E11" s="22"/>
      <c r="F11" s="48"/>
      <c r="G11" s="22"/>
      <c r="H11" s="12">
        <f t="shared" si="0"/>
        <v>44300</v>
      </c>
    </row>
    <row r="12" spans="2:11" x14ac:dyDescent="0.3">
      <c r="B12" s="6" t="s">
        <v>54</v>
      </c>
      <c r="C12" s="22"/>
      <c r="D12" s="22"/>
      <c r="E12" s="22"/>
      <c r="F12" s="22"/>
      <c r="G12" s="22"/>
      <c r="H12" s="67">
        <f t="shared" si="0"/>
        <v>44300</v>
      </c>
    </row>
    <row r="13" spans="2:11" x14ac:dyDescent="0.3">
      <c r="B13" s="6" t="s">
        <v>26</v>
      </c>
      <c r="C13" s="22"/>
      <c r="D13" s="22">
        <v>203000</v>
      </c>
      <c r="E13" s="22"/>
      <c r="F13" s="22">
        <v>324000</v>
      </c>
      <c r="G13" s="22"/>
      <c r="H13" s="12">
        <f t="shared" si="0"/>
        <v>44300</v>
      </c>
    </row>
    <row r="14" spans="2:11" x14ac:dyDescent="0.3">
      <c r="B14" s="6" t="s">
        <v>22</v>
      </c>
      <c r="C14" s="23"/>
      <c r="D14" s="23"/>
      <c r="E14" s="23"/>
      <c r="F14" s="22"/>
      <c r="G14" s="23"/>
      <c r="H14" s="12">
        <f t="shared" si="0"/>
        <v>44300</v>
      </c>
      <c r="K14" s="4"/>
    </row>
    <row r="15" spans="2:11" x14ac:dyDescent="0.3">
      <c r="B15" s="6" t="s">
        <v>19</v>
      </c>
      <c r="C15" s="22"/>
      <c r="D15" s="22"/>
      <c r="E15" s="22"/>
      <c r="F15" s="22"/>
      <c r="G15" s="22"/>
      <c r="H15" s="12">
        <f t="shared" si="0"/>
        <v>44300</v>
      </c>
    </row>
    <row r="16" spans="2:11" x14ac:dyDescent="0.3">
      <c r="B16" s="6" t="s">
        <v>14</v>
      </c>
      <c r="C16" s="22"/>
      <c r="D16" s="22">
        <v>108000</v>
      </c>
      <c r="E16" s="22"/>
      <c r="F16" s="22">
        <v>486000</v>
      </c>
      <c r="G16" s="22"/>
      <c r="H16" s="12">
        <f t="shared" si="0"/>
        <v>44300</v>
      </c>
    </row>
    <row r="17" spans="1:8" x14ac:dyDescent="0.3">
      <c r="B17" s="6" t="s">
        <v>24</v>
      </c>
      <c r="C17" s="22"/>
      <c r="D17" s="22"/>
      <c r="E17" s="22"/>
      <c r="F17" s="49"/>
      <c r="G17" s="22"/>
      <c r="H17" s="12">
        <f t="shared" si="0"/>
        <v>44300</v>
      </c>
    </row>
    <row r="18" spans="1:8" x14ac:dyDescent="0.3">
      <c r="B18" s="6" t="s">
        <v>21</v>
      </c>
      <c r="C18" s="22"/>
      <c r="D18" s="22"/>
      <c r="E18" s="22"/>
      <c r="F18" s="22"/>
      <c r="G18" s="22"/>
      <c r="H18" s="12">
        <f t="shared" si="0"/>
        <v>44300</v>
      </c>
    </row>
    <row r="19" spans="1:8" x14ac:dyDescent="0.3">
      <c r="B19" s="6" t="s">
        <v>18</v>
      </c>
      <c r="C19" s="22"/>
      <c r="D19" s="22"/>
      <c r="E19" s="22"/>
      <c r="F19" s="22"/>
      <c r="G19" s="22"/>
      <c r="H19" s="12">
        <f t="shared" si="0"/>
        <v>44300</v>
      </c>
    </row>
    <row r="20" spans="1:8" x14ac:dyDescent="0.3">
      <c r="B20" s="6" t="s">
        <v>16</v>
      </c>
      <c r="C20" s="22"/>
      <c r="D20" s="22"/>
      <c r="E20" s="22"/>
      <c r="F20" s="22"/>
      <c r="G20" s="22"/>
      <c r="H20" s="12">
        <f t="shared" si="0"/>
        <v>44300</v>
      </c>
    </row>
    <row r="21" spans="1:8" x14ac:dyDescent="0.3">
      <c r="B21" s="50" t="s">
        <v>27</v>
      </c>
      <c r="C21" s="51">
        <f>SUM(April14_2021[KSI_AGO])</f>
        <v>1827000</v>
      </c>
      <c r="D21" s="51">
        <f>SUBTOTAL(109,April14_2021[KSI_PMS])</f>
        <v>1271000</v>
      </c>
      <c r="E21" s="51">
        <f>SUM(April14_2021[BUIPE_AGO])</f>
        <v>0</v>
      </c>
      <c r="F21" s="51">
        <f>SUM(April14_2021[BUIPE_PMS])</f>
        <v>1004000</v>
      </c>
      <c r="G21" s="51">
        <f>SUM(April14_2021[AKOSOMBO_AGO])</f>
        <v>324000</v>
      </c>
      <c r="H21" s="52"/>
    </row>
    <row r="22" spans="1:8" x14ac:dyDescent="0.3">
      <c r="B22" s="8"/>
      <c r="C22" s="24"/>
      <c r="D22" s="24"/>
      <c r="E22" s="24"/>
      <c r="F22" s="24"/>
      <c r="G22" s="24"/>
      <c r="H22"/>
    </row>
    <row r="23" spans="1:8" x14ac:dyDescent="0.3">
      <c r="B23" s="1" t="s">
        <v>6</v>
      </c>
      <c r="C23" s="1" t="s">
        <v>4</v>
      </c>
      <c r="D23" s="5">
        <f>SUMIF(April14_2021[[#Headers],[KSI_AGO]:[AKOSOMBO_AGO]],"*"&amp;C23,April14_2021[[#Totals],[KSI_AGO]:[AKOSOMBO_AGO]])</f>
        <v>2151000</v>
      </c>
      <c r="E23" s="1" t="s">
        <v>5</v>
      </c>
      <c r="F23" s="5">
        <f>SUMIF(April14_2021[[#Headers],[KSI_AGO]:[AKOSOMBO_AGO]],"*"&amp;E23,April14_2021[[#Totals],[KSI_AGO]:[AKOSOMBO_AGO]])</f>
        <v>2275000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F17DBE49-C940-4AC8-BF5B-5403494ECB14}">
      <formula1>INDIRECT("BDC_List[BDC List]")</formula1>
    </dataValidation>
  </dataValidations>
  <pageMargins left="0.7" right="0.7" top="0.75" bottom="0.75" header="0.3" footer="0.3"/>
  <tableParts count="1">
    <tablePart r:id="rId1"/>
  </tableParts>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40A5F-65EA-4AFE-A10E-D0CA797B77F0}">
  <sheetPr codeName="Sheet331"/>
  <dimension ref="A1:K33"/>
  <sheetViews>
    <sheetView workbookViewId="0">
      <selection activeCell="C8" sqref="C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44301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44301</v>
      </c>
    </row>
    <row r="7" spans="2:11" x14ac:dyDescent="0.3">
      <c r="B7" s="6" t="s">
        <v>37</v>
      </c>
      <c r="C7" s="22"/>
      <c r="D7" s="22"/>
      <c r="E7" s="22"/>
      <c r="F7" s="22"/>
      <c r="G7" s="22"/>
      <c r="H7" s="67">
        <f t="shared" si="0"/>
        <v>44301</v>
      </c>
    </row>
    <row r="8" spans="2:11" x14ac:dyDescent="0.3">
      <c r="B8" s="6" t="s">
        <v>17</v>
      </c>
      <c r="C8" s="22">
        <v>1450000</v>
      </c>
      <c r="D8" s="22"/>
      <c r="E8" s="22"/>
      <c r="F8" s="22"/>
      <c r="G8" s="22">
        <v>590000</v>
      </c>
      <c r="H8" s="12">
        <f t="shared" si="0"/>
        <v>44301</v>
      </c>
    </row>
    <row r="9" spans="2:11" ht="15.6" x14ac:dyDescent="0.3">
      <c r="B9" s="34" t="s">
        <v>0</v>
      </c>
      <c r="C9" s="60"/>
      <c r="D9" s="60">
        <v>581000</v>
      </c>
      <c r="E9" s="60"/>
      <c r="F9" s="60"/>
      <c r="G9" s="61"/>
      <c r="H9" s="12">
        <f t="shared" si="0"/>
        <v>44301</v>
      </c>
    </row>
    <row r="10" spans="2:11" x14ac:dyDescent="0.3">
      <c r="B10" s="6" t="s">
        <v>25</v>
      </c>
      <c r="C10" s="22">
        <v>905000</v>
      </c>
      <c r="D10" s="22">
        <v>845500</v>
      </c>
      <c r="E10" s="22"/>
      <c r="F10" s="22"/>
      <c r="G10" s="22"/>
      <c r="H10" s="12">
        <f t="shared" si="0"/>
        <v>44301</v>
      </c>
    </row>
    <row r="11" spans="2:11" ht="13.5" customHeight="1" x14ac:dyDescent="0.3">
      <c r="B11" s="6" t="s">
        <v>15</v>
      </c>
      <c r="C11" s="22"/>
      <c r="D11" s="22"/>
      <c r="E11" s="22"/>
      <c r="F11" s="48"/>
      <c r="G11" s="22"/>
      <c r="H11" s="12">
        <f t="shared" si="0"/>
        <v>44301</v>
      </c>
    </row>
    <row r="12" spans="2:11" x14ac:dyDescent="0.3">
      <c r="B12" s="6" t="s">
        <v>54</v>
      </c>
      <c r="C12" s="22"/>
      <c r="D12" s="22"/>
      <c r="E12" s="22"/>
      <c r="F12" s="22"/>
      <c r="G12" s="22"/>
      <c r="H12" s="67">
        <f t="shared" si="0"/>
        <v>44301</v>
      </c>
    </row>
    <row r="13" spans="2:11" x14ac:dyDescent="0.3">
      <c r="B13" s="6" t="s">
        <v>26</v>
      </c>
      <c r="C13" s="22"/>
      <c r="D13" s="22">
        <v>324000</v>
      </c>
      <c r="E13" s="22"/>
      <c r="F13" s="22"/>
      <c r="G13" s="22"/>
      <c r="H13" s="12">
        <f t="shared" si="0"/>
        <v>44301</v>
      </c>
    </row>
    <row r="14" spans="2:11" x14ac:dyDescent="0.3">
      <c r="B14" s="6" t="s">
        <v>22</v>
      </c>
      <c r="C14" s="23"/>
      <c r="D14" s="23"/>
      <c r="E14" s="23"/>
      <c r="F14" s="22"/>
      <c r="G14" s="23"/>
      <c r="H14" s="12">
        <f t="shared" si="0"/>
        <v>44301</v>
      </c>
      <c r="K14" s="4"/>
    </row>
    <row r="15" spans="2:11" x14ac:dyDescent="0.3">
      <c r="B15" s="6" t="s">
        <v>19</v>
      </c>
      <c r="C15" s="22"/>
      <c r="D15" s="22"/>
      <c r="E15" s="22"/>
      <c r="F15" s="22"/>
      <c r="G15" s="22"/>
      <c r="H15" s="12">
        <f t="shared" si="0"/>
        <v>44301</v>
      </c>
    </row>
    <row r="16" spans="2:11" x14ac:dyDescent="0.3">
      <c r="B16" s="6" t="s">
        <v>14</v>
      </c>
      <c r="C16" s="22"/>
      <c r="D16" s="22">
        <v>748000</v>
      </c>
      <c r="E16" s="22"/>
      <c r="F16" s="22"/>
      <c r="G16" s="22">
        <v>90000</v>
      </c>
      <c r="H16" s="12">
        <f t="shared" si="0"/>
        <v>44301</v>
      </c>
    </row>
    <row r="17" spans="1:8" x14ac:dyDescent="0.3">
      <c r="B17" s="6" t="s">
        <v>24</v>
      </c>
      <c r="C17" s="22"/>
      <c r="D17" s="22"/>
      <c r="E17" s="22"/>
      <c r="F17" s="49"/>
      <c r="G17" s="22"/>
      <c r="H17" s="12">
        <f t="shared" si="0"/>
        <v>44301</v>
      </c>
    </row>
    <row r="18" spans="1:8" x14ac:dyDescent="0.3">
      <c r="B18" s="6" t="s">
        <v>21</v>
      </c>
      <c r="C18" s="22"/>
      <c r="D18" s="22"/>
      <c r="E18" s="22"/>
      <c r="F18" s="22"/>
      <c r="G18" s="22"/>
      <c r="H18" s="12">
        <f t="shared" si="0"/>
        <v>44301</v>
      </c>
    </row>
    <row r="19" spans="1:8" x14ac:dyDescent="0.3">
      <c r="B19" s="6" t="s">
        <v>18</v>
      </c>
      <c r="C19" s="22"/>
      <c r="D19" s="22"/>
      <c r="E19" s="22"/>
      <c r="F19" s="22"/>
      <c r="G19" s="22"/>
      <c r="H19" s="12">
        <f t="shared" si="0"/>
        <v>44301</v>
      </c>
    </row>
    <row r="20" spans="1:8" x14ac:dyDescent="0.3">
      <c r="B20" s="6" t="s">
        <v>16</v>
      </c>
      <c r="C20" s="22"/>
      <c r="D20" s="22"/>
      <c r="E20" s="22"/>
      <c r="F20" s="22"/>
      <c r="G20" s="22"/>
      <c r="H20" s="12">
        <f t="shared" si="0"/>
        <v>44301</v>
      </c>
    </row>
    <row r="21" spans="1:8" x14ac:dyDescent="0.3">
      <c r="B21" s="50" t="s">
        <v>27</v>
      </c>
      <c r="C21" s="51">
        <f>SUM(April15_2021[KSI_AGO])</f>
        <v>2355000</v>
      </c>
      <c r="D21" s="51">
        <f>SUBTOTAL(109,April15_2021[KSI_PMS])</f>
        <v>2498500</v>
      </c>
      <c r="E21" s="51">
        <f>SUM(April15_2021[BUIPE_AGO])</f>
        <v>0</v>
      </c>
      <c r="F21" s="51">
        <f>SUM(April15_2021[BUIPE_PMS])</f>
        <v>0</v>
      </c>
      <c r="G21" s="51">
        <f>SUM(April15_2021[AKOSOMBO_AGO])</f>
        <v>680000</v>
      </c>
      <c r="H21" s="52"/>
    </row>
    <row r="22" spans="1:8" x14ac:dyDescent="0.3">
      <c r="B22" s="8"/>
      <c r="C22" s="24"/>
      <c r="D22" s="24"/>
      <c r="E22" s="24"/>
      <c r="F22" s="24"/>
      <c r="G22" s="24"/>
      <c r="H22"/>
    </row>
    <row r="23" spans="1:8" x14ac:dyDescent="0.3">
      <c r="B23" s="1" t="s">
        <v>6</v>
      </c>
      <c r="C23" s="1" t="s">
        <v>4</v>
      </c>
      <c r="D23" s="5">
        <f>SUMIF(April15_2021[[#Headers],[KSI_AGO]:[AKOSOMBO_AGO]],"*"&amp;C23,April15_2021[[#Totals],[KSI_AGO]:[AKOSOMBO_AGO]])</f>
        <v>3035000</v>
      </c>
      <c r="E23" s="1" t="s">
        <v>5</v>
      </c>
      <c r="F23" s="5">
        <f>SUMIF(April15_2021[[#Headers],[KSI_AGO]:[AKOSOMBO_AGO]],"*"&amp;E23,April15_2021[[#Totals],[KSI_AGO]:[AKOSOMBO_AGO]])</f>
        <v>2498500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90A7DA00-0099-4857-9D1E-F35927C2AFE7}">
      <formula1>INDIRECT("BDC_List[BDC List]")</formula1>
    </dataValidation>
  </dataValidations>
  <pageMargins left="0.7" right="0.7" top="0.75" bottom="0.75" header="0.3" footer="0.3"/>
  <tableParts count="1">
    <tablePart r:id="rId1"/>
  </tableParts>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E1C2E-CC27-43B3-91CD-FBAC2678CA3F}">
  <sheetPr codeName="Sheet332"/>
  <dimension ref="A1:K33"/>
  <sheetViews>
    <sheetView workbookViewId="0">
      <selection activeCell="C10" sqref="C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44302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44302</v>
      </c>
    </row>
    <row r="7" spans="2:11" x14ac:dyDescent="0.3">
      <c r="B7" s="6" t="s">
        <v>37</v>
      </c>
      <c r="C7" s="22"/>
      <c r="D7" s="22"/>
      <c r="E7" s="22"/>
      <c r="F7" s="22"/>
      <c r="G7" s="22"/>
      <c r="H7" s="67">
        <f t="shared" si="0"/>
        <v>44302</v>
      </c>
    </row>
    <row r="8" spans="2:11" x14ac:dyDescent="0.3">
      <c r="B8" s="6" t="s">
        <v>17</v>
      </c>
      <c r="C8" s="22">
        <v>1116500</v>
      </c>
      <c r="D8" s="22"/>
      <c r="E8" s="22"/>
      <c r="F8" s="22"/>
      <c r="G8" s="22">
        <v>104000</v>
      </c>
      <c r="H8" s="12">
        <f t="shared" si="0"/>
        <v>44302</v>
      </c>
    </row>
    <row r="9" spans="2:11" ht="15.6" x14ac:dyDescent="0.3">
      <c r="B9" s="34" t="s">
        <v>0</v>
      </c>
      <c r="C9" s="60"/>
      <c r="D9" s="60">
        <v>54000</v>
      </c>
      <c r="E9" s="60"/>
      <c r="F9" s="60"/>
      <c r="G9" s="61"/>
      <c r="H9" s="12">
        <f t="shared" si="0"/>
        <v>44302</v>
      </c>
    </row>
    <row r="10" spans="2:11" x14ac:dyDescent="0.3">
      <c r="B10" s="6" t="s">
        <v>25</v>
      </c>
      <c r="C10" s="22">
        <v>751500</v>
      </c>
      <c r="D10" s="22">
        <v>2022500</v>
      </c>
      <c r="E10" s="22"/>
      <c r="F10" s="22"/>
      <c r="G10" s="22">
        <v>486000</v>
      </c>
      <c r="H10" s="12">
        <f t="shared" si="0"/>
        <v>44302</v>
      </c>
    </row>
    <row r="11" spans="2:11" ht="13.5" customHeight="1" x14ac:dyDescent="0.3">
      <c r="B11" s="6" t="s">
        <v>15</v>
      </c>
      <c r="C11" s="22"/>
      <c r="D11" s="22"/>
      <c r="E11" s="22"/>
      <c r="F11" s="48"/>
      <c r="G11" s="22"/>
      <c r="H11" s="12">
        <f t="shared" si="0"/>
        <v>44302</v>
      </c>
    </row>
    <row r="12" spans="2:11" x14ac:dyDescent="0.3">
      <c r="B12" s="6" t="s">
        <v>54</v>
      </c>
      <c r="C12" s="22"/>
      <c r="D12" s="22"/>
      <c r="E12" s="22"/>
      <c r="F12" s="22"/>
      <c r="G12" s="22"/>
      <c r="H12" s="67">
        <f t="shared" si="0"/>
        <v>44302</v>
      </c>
    </row>
    <row r="13" spans="2:11" x14ac:dyDescent="0.3">
      <c r="B13" s="6" t="s">
        <v>26</v>
      </c>
      <c r="C13" s="22"/>
      <c r="D13" s="22">
        <v>378000</v>
      </c>
      <c r="E13" s="22"/>
      <c r="F13" s="22"/>
      <c r="G13" s="22"/>
      <c r="H13" s="12">
        <f t="shared" si="0"/>
        <v>44302</v>
      </c>
    </row>
    <row r="14" spans="2:11" x14ac:dyDescent="0.3">
      <c r="B14" s="6" t="s">
        <v>22</v>
      </c>
      <c r="C14" s="23"/>
      <c r="D14" s="23"/>
      <c r="E14" s="23"/>
      <c r="F14" s="22"/>
      <c r="G14" s="23"/>
      <c r="H14" s="12">
        <f t="shared" si="0"/>
        <v>44302</v>
      </c>
      <c r="K14" s="4"/>
    </row>
    <row r="15" spans="2:11" x14ac:dyDescent="0.3">
      <c r="B15" s="6" t="s">
        <v>19</v>
      </c>
      <c r="C15" s="22"/>
      <c r="D15" s="22"/>
      <c r="E15" s="22"/>
      <c r="F15" s="22"/>
      <c r="G15" s="22"/>
      <c r="H15" s="12">
        <f t="shared" si="0"/>
        <v>44302</v>
      </c>
    </row>
    <row r="16" spans="2:11" x14ac:dyDescent="0.3">
      <c r="B16" s="6" t="s">
        <v>14</v>
      </c>
      <c r="C16" s="22"/>
      <c r="D16" s="22"/>
      <c r="E16" s="22"/>
      <c r="F16" s="22"/>
      <c r="G16" s="22"/>
      <c r="H16" s="12">
        <f t="shared" si="0"/>
        <v>44302</v>
      </c>
    </row>
    <row r="17" spans="1:8" x14ac:dyDescent="0.3">
      <c r="B17" s="6" t="s">
        <v>24</v>
      </c>
      <c r="C17" s="22"/>
      <c r="D17" s="22"/>
      <c r="E17" s="22"/>
      <c r="F17" s="49"/>
      <c r="G17" s="22"/>
      <c r="H17" s="12">
        <f t="shared" si="0"/>
        <v>44302</v>
      </c>
    </row>
    <row r="18" spans="1:8" x14ac:dyDescent="0.3">
      <c r="B18" s="6" t="s">
        <v>21</v>
      </c>
      <c r="C18" s="22"/>
      <c r="D18" s="22"/>
      <c r="E18" s="22"/>
      <c r="F18" s="22"/>
      <c r="G18" s="22"/>
      <c r="H18" s="12">
        <f t="shared" si="0"/>
        <v>44302</v>
      </c>
    </row>
    <row r="19" spans="1:8" x14ac:dyDescent="0.3">
      <c r="B19" s="6" t="s">
        <v>18</v>
      </c>
      <c r="C19" s="22"/>
      <c r="D19" s="22"/>
      <c r="E19" s="22"/>
      <c r="F19" s="22"/>
      <c r="G19" s="22"/>
      <c r="H19" s="12">
        <f t="shared" si="0"/>
        <v>44302</v>
      </c>
    </row>
    <row r="20" spans="1:8" x14ac:dyDescent="0.3">
      <c r="B20" s="6" t="s">
        <v>16</v>
      </c>
      <c r="C20" s="22"/>
      <c r="D20" s="22">
        <v>153500</v>
      </c>
      <c r="E20" s="22"/>
      <c r="F20" s="22"/>
      <c r="G20" s="22"/>
      <c r="H20" s="12">
        <f t="shared" si="0"/>
        <v>44302</v>
      </c>
    </row>
    <row r="21" spans="1:8" x14ac:dyDescent="0.3">
      <c r="B21" s="50" t="s">
        <v>27</v>
      </c>
      <c r="C21" s="51">
        <f>SUM(April16_2021[KSI_AGO])</f>
        <v>1868000</v>
      </c>
      <c r="D21" s="51">
        <f>SUBTOTAL(109,April16_2021[KSI_PMS])</f>
        <v>2608000</v>
      </c>
      <c r="E21" s="51">
        <f>SUM(April16_2021[BUIPE_AGO])</f>
        <v>0</v>
      </c>
      <c r="F21" s="51">
        <f>SUM(April16_2021[BUIPE_PMS])</f>
        <v>0</v>
      </c>
      <c r="G21" s="51">
        <f>SUM(April16_2021[AKOSOMBO_AGO])</f>
        <v>590000</v>
      </c>
      <c r="H21" s="52"/>
    </row>
    <row r="22" spans="1:8" x14ac:dyDescent="0.3">
      <c r="B22" s="8"/>
      <c r="C22" s="24"/>
      <c r="D22" s="24"/>
      <c r="E22" s="24"/>
      <c r="F22" s="24"/>
      <c r="G22" s="24"/>
      <c r="H22"/>
    </row>
    <row r="23" spans="1:8" x14ac:dyDescent="0.3">
      <c r="B23" s="1" t="s">
        <v>6</v>
      </c>
      <c r="C23" s="1" t="s">
        <v>4</v>
      </c>
      <c r="D23" s="5">
        <f>SUMIF(April16_2021[[#Headers],[KSI_AGO]:[AKOSOMBO_AGO]],"*"&amp;C23,April16_2021[[#Totals],[KSI_AGO]:[AKOSOMBO_AGO]])</f>
        <v>2458000</v>
      </c>
      <c r="E23" s="1" t="s">
        <v>5</v>
      </c>
      <c r="F23" s="5">
        <f>SUMIF(April16_2021[[#Headers],[KSI_AGO]:[AKOSOMBO_AGO]],"*"&amp;E23,April16_2021[[#Totals],[KSI_AGO]:[AKOSOMBO_AGO]])</f>
        <v>2608000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627CB568-0771-48FF-BF1E-3B59E9740478}">
      <formula1>INDIRECT("BDC_List[BDC List]")</formula1>
    </dataValidation>
  </dataValidations>
  <pageMargins left="0.7" right="0.7" top="0.75" bottom="0.75" header="0.3" footer="0.3"/>
  <tableParts count="1">
    <tablePart r:id="rId1"/>
  </tableParts>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8568-8AB8-4AED-89F6-8964665493CF}">
  <sheetPr codeName="Sheet333"/>
  <dimension ref="A1:K33"/>
  <sheetViews>
    <sheetView workbookViewId="0">
      <selection activeCell="F14" sqref="F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44303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44303</v>
      </c>
    </row>
    <row r="7" spans="2:11" x14ac:dyDescent="0.3">
      <c r="B7" s="6" t="s">
        <v>37</v>
      </c>
      <c r="C7" s="22"/>
      <c r="D7" s="22"/>
      <c r="E7" s="22"/>
      <c r="F7" s="22"/>
      <c r="G7" s="22"/>
      <c r="H7" s="67">
        <f t="shared" si="0"/>
        <v>44303</v>
      </c>
    </row>
    <row r="8" spans="2:11" x14ac:dyDescent="0.3">
      <c r="B8" s="6" t="s">
        <v>17</v>
      </c>
      <c r="C8" s="22">
        <v>576000</v>
      </c>
      <c r="D8" s="22"/>
      <c r="E8" s="22"/>
      <c r="F8" s="22"/>
      <c r="G8" s="22"/>
      <c r="H8" s="12">
        <f t="shared" si="0"/>
        <v>44303</v>
      </c>
    </row>
    <row r="9" spans="2:11" ht="15.6" x14ac:dyDescent="0.3">
      <c r="B9" s="34" t="s">
        <v>0</v>
      </c>
      <c r="C9" s="60"/>
      <c r="D9" s="60"/>
      <c r="E9" s="60"/>
      <c r="F9" s="60"/>
      <c r="G9" s="61"/>
      <c r="H9" s="12">
        <f t="shared" si="0"/>
        <v>44303</v>
      </c>
    </row>
    <row r="10" spans="2:11" x14ac:dyDescent="0.3">
      <c r="B10" s="6" t="s">
        <v>25</v>
      </c>
      <c r="C10" s="22"/>
      <c r="D10" s="22">
        <v>108000</v>
      </c>
      <c r="E10" s="22"/>
      <c r="F10" s="22"/>
      <c r="G10" s="22">
        <v>414000</v>
      </c>
      <c r="H10" s="12">
        <f t="shared" si="0"/>
        <v>44303</v>
      </c>
    </row>
    <row r="11" spans="2:11" ht="13.5" customHeight="1" x14ac:dyDescent="0.3">
      <c r="B11" s="6" t="s">
        <v>15</v>
      </c>
      <c r="C11" s="22"/>
      <c r="D11" s="22"/>
      <c r="E11" s="22"/>
      <c r="F11" s="48"/>
      <c r="G11" s="22"/>
      <c r="H11" s="12">
        <f t="shared" si="0"/>
        <v>44303</v>
      </c>
    </row>
    <row r="12" spans="2:11" x14ac:dyDescent="0.3">
      <c r="B12" s="6" t="s">
        <v>54</v>
      </c>
      <c r="C12" s="22"/>
      <c r="D12" s="22"/>
      <c r="E12" s="22"/>
      <c r="F12" s="22"/>
      <c r="G12" s="22"/>
      <c r="H12" s="67">
        <f t="shared" si="0"/>
        <v>44303</v>
      </c>
    </row>
    <row r="13" spans="2:11" x14ac:dyDescent="0.3">
      <c r="B13" s="6" t="s">
        <v>26</v>
      </c>
      <c r="C13" s="22"/>
      <c r="D13" s="22"/>
      <c r="E13" s="22"/>
      <c r="F13" s="22"/>
      <c r="G13" s="22"/>
      <c r="H13" s="12">
        <f t="shared" si="0"/>
        <v>44303</v>
      </c>
    </row>
    <row r="14" spans="2:11" x14ac:dyDescent="0.3">
      <c r="B14" s="6" t="s">
        <v>22</v>
      </c>
      <c r="C14" s="23"/>
      <c r="D14" s="23"/>
      <c r="E14" s="23"/>
      <c r="F14" s="22"/>
      <c r="G14" s="23"/>
      <c r="H14" s="12">
        <f t="shared" si="0"/>
        <v>44303</v>
      </c>
      <c r="K14" s="4"/>
    </row>
    <row r="15" spans="2:11" x14ac:dyDescent="0.3">
      <c r="B15" s="6" t="s">
        <v>19</v>
      </c>
      <c r="C15" s="22"/>
      <c r="D15" s="22"/>
      <c r="E15" s="22"/>
      <c r="F15" s="22"/>
      <c r="G15" s="22"/>
      <c r="H15" s="12">
        <f t="shared" si="0"/>
        <v>44303</v>
      </c>
    </row>
    <row r="16" spans="2:11" x14ac:dyDescent="0.3">
      <c r="B16" s="6" t="s">
        <v>14</v>
      </c>
      <c r="C16" s="22">
        <v>1325000</v>
      </c>
      <c r="D16" s="22"/>
      <c r="E16" s="22"/>
      <c r="F16" s="22"/>
      <c r="G16" s="22">
        <v>100000</v>
      </c>
      <c r="H16" s="12">
        <f t="shared" si="0"/>
        <v>44303</v>
      </c>
    </row>
    <row r="17" spans="1:10" x14ac:dyDescent="0.3">
      <c r="B17" s="6" t="s">
        <v>24</v>
      </c>
      <c r="C17" s="22"/>
      <c r="D17" s="22"/>
      <c r="E17" s="22"/>
      <c r="F17" s="49"/>
      <c r="G17" s="22"/>
      <c r="H17" s="12">
        <f t="shared" si="0"/>
        <v>44303</v>
      </c>
    </row>
    <row r="18" spans="1:10" x14ac:dyDescent="0.3">
      <c r="B18" s="6" t="s">
        <v>21</v>
      </c>
      <c r="C18" s="22"/>
      <c r="D18" s="22"/>
      <c r="E18" s="22"/>
      <c r="F18" s="22"/>
      <c r="G18" s="22"/>
      <c r="H18" s="12">
        <f t="shared" si="0"/>
        <v>44303</v>
      </c>
      <c r="J18" s="1" t="s">
        <v>55</v>
      </c>
    </row>
    <row r="19" spans="1:10" x14ac:dyDescent="0.3">
      <c r="B19" s="6" t="s">
        <v>18</v>
      </c>
      <c r="C19" s="22"/>
      <c r="D19" s="22"/>
      <c r="E19" s="22"/>
      <c r="F19" s="22"/>
      <c r="G19" s="22"/>
      <c r="H19" s="12">
        <f t="shared" si="0"/>
        <v>44303</v>
      </c>
    </row>
    <row r="20" spans="1:10" x14ac:dyDescent="0.3">
      <c r="B20" s="6" t="s">
        <v>16</v>
      </c>
      <c r="C20" s="22"/>
      <c r="D20" s="22"/>
      <c r="E20" s="22"/>
      <c r="F20" s="22"/>
      <c r="G20" s="22"/>
      <c r="H20" s="12">
        <f t="shared" si="0"/>
        <v>44303</v>
      </c>
    </row>
    <row r="21" spans="1:10" x14ac:dyDescent="0.3">
      <c r="B21" s="50" t="s">
        <v>27</v>
      </c>
      <c r="C21" s="51">
        <f>SUM(April17_2021[KSI_AGO])</f>
        <v>1901000</v>
      </c>
      <c r="D21" s="51">
        <f>SUBTOTAL(109,April17_2021[KSI_PMS])</f>
        <v>108000</v>
      </c>
      <c r="E21" s="51">
        <f>SUM(April17_2021[BUIPE_AGO])</f>
        <v>0</v>
      </c>
      <c r="F21" s="51">
        <f>SUM(April17_2021[BUIPE_PMS])</f>
        <v>0</v>
      </c>
      <c r="G21" s="51">
        <f>SUM(April17_2021[AKOSOMBO_AGO])</f>
        <v>514000</v>
      </c>
      <c r="H21" s="52"/>
    </row>
    <row r="22" spans="1:10" x14ac:dyDescent="0.3">
      <c r="B22" s="8"/>
      <c r="C22" s="24"/>
      <c r="D22" s="24"/>
      <c r="E22" s="24"/>
      <c r="F22" s="24"/>
      <c r="G22" s="24"/>
      <c r="H22"/>
    </row>
    <row r="23" spans="1:10" x14ac:dyDescent="0.3">
      <c r="B23" s="1" t="s">
        <v>6</v>
      </c>
      <c r="C23" s="1" t="s">
        <v>4</v>
      </c>
      <c r="D23" s="5">
        <f>SUMIF(April17_2021[[#Headers],[KSI_AGO]:[AKOSOMBO_AGO]],"*"&amp;C23,April17_2021[[#Totals],[KSI_AGO]:[AKOSOMBO_AGO]])</f>
        <v>2415000</v>
      </c>
      <c r="E23" s="1" t="s">
        <v>5</v>
      </c>
      <c r="F23" s="5">
        <f>SUMIF(April17_2021[[#Headers],[KSI_AGO]:[AKOSOMBO_AGO]],"*"&amp;E23,April17_2021[[#Totals],[KSI_AGO]:[AKOSOMBO_AGO]])</f>
        <v>108000</v>
      </c>
    </row>
    <row r="30" spans="1:10" x14ac:dyDescent="0.3">
      <c r="A30" s="8" t="s">
        <v>29</v>
      </c>
    </row>
    <row r="32" spans="1:10"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2EF9E570-277C-44FB-918B-7B2FDF614897}">
      <formula1>INDIRECT("BDC_List[BDC List]")</formula1>
    </dataValidation>
  </dataValidations>
  <pageMargins left="0.7" right="0.7" top="0.75" bottom="0.75" header="0.3" footer="0.3"/>
  <tableParts count="1">
    <tablePart r:id="rId1"/>
  </tableParts>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57D8-3C09-4D96-A95B-B877AF5626A2}">
  <sheetPr codeName="Sheet334"/>
  <dimension ref="A1:K33"/>
  <sheetViews>
    <sheetView topLeftCell="A3" workbookViewId="0">
      <selection activeCell="D18" sqref="D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44305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44305</v>
      </c>
    </row>
    <row r="7" spans="2:11" x14ac:dyDescent="0.3">
      <c r="B7" s="6" t="s">
        <v>37</v>
      </c>
      <c r="C7" s="22"/>
      <c r="D7" s="22"/>
      <c r="E7" s="22"/>
      <c r="F7" s="22"/>
      <c r="G7" s="22"/>
      <c r="H7" s="67">
        <f t="shared" si="0"/>
        <v>44305</v>
      </c>
    </row>
    <row r="8" spans="2:11" x14ac:dyDescent="0.3">
      <c r="B8" s="6" t="s">
        <v>17</v>
      </c>
      <c r="C8" s="22">
        <v>914000</v>
      </c>
      <c r="D8" s="22"/>
      <c r="E8" s="22"/>
      <c r="F8" s="22"/>
      <c r="G8" s="22">
        <v>108000</v>
      </c>
      <c r="H8" s="12">
        <f t="shared" si="0"/>
        <v>44305</v>
      </c>
    </row>
    <row r="9" spans="2:11" ht="15.6" x14ac:dyDescent="0.3">
      <c r="B9" s="34" t="s">
        <v>0</v>
      </c>
      <c r="C9" s="60"/>
      <c r="D9" s="60"/>
      <c r="E9" s="60"/>
      <c r="F9" s="60"/>
      <c r="G9" s="61"/>
      <c r="H9" s="12">
        <f t="shared" si="0"/>
        <v>44305</v>
      </c>
    </row>
    <row r="10" spans="2:11" x14ac:dyDescent="0.3">
      <c r="B10" s="6" t="s">
        <v>25</v>
      </c>
      <c r="C10" s="22"/>
      <c r="D10" s="22">
        <v>810000</v>
      </c>
      <c r="E10" s="22"/>
      <c r="F10" s="22"/>
      <c r="G10" s="22">
        <v>50000</v>
      </c>
      <c r="H10" s="12">
        <f t="shared" si="0"/>
        <v>44305</v>
      </c>
    </row>
    <row r="11" spans="2:11" ht="13.5" customHeight="1" x14ac:dyDescent="0.3">
      <c r="B11" s="6" t="s">
        <v>15</v>
      </c>
      <c r="C11" s="22"/>
      <c r="D11" s="22"/>
      <c r="E11" s="22"/>
      <c r="F11" s="48"/>
      <c r="G11" s="22"/>
      <c r="H11" s="12">
        <f t="shared" si="0"/>
        <v>44305</v>
      </c>
    </row>
    <row r="12" spans="2:11" x14ac:dyDescent="0.3">
      <c r="B12" s="6" t="s">
        <v>54</v>
      </c>
      <c r="C12" s="22"/>
      <c r="D12" s="22"/>
      <c r="E12" s="22"/>
      <c r="F12" s="22"/>
      <c r="G12" s="22"/>
      <c r="H12" s="67">
        <f t="shared" si="0"/>
        <v>44305</v>
      </c>
    </row>
    <row r="13" spans="2:11" x14ac:dyDescent="0.3">
      <c r="B13" s="6" t="s">
        <v>26</v>
      </c>
      <c r="C13" s="22"/>
      <c r="D13" s="22"/>
      <c r="E13" s="22"/>
      <c r="F13" s="22"/>
      <c r="G13" s="22"/>
      <c r="H13" s="12">
        <f t="shared" si="0"/>
        <v>44305</v>
      </c>
    </row>
    <row r="14" spans="2:11" x14ac:dyDescent="0.3">
      <c r="B14" s="6" t="s">
        <v>22</v>
      </c>
      <c r="C14" s="23"/>
      <c r="D14" s="23"/>
      <c r="E14" s="23"/>
      <c r="F14" s="22"/>
      <c r="G14" s="23"/>
      <c r="H14" s="12">
        <f t="shared" si="0"/>
        <v>44305</v>
      </c>
      <c r="K14" s="4"/>
    </row>
    <row r="15" spans="2:11" x14ac:dyDescent="0.3">
      <c r="B15" s="6" t="s">
        <v>19</v>
      </c>
      <c r="C15" s="22"/>
      <c r="D15" s="22"/>
      <c r="E15" s="22"/>
      <c r="F15" s="22"/>
      <c r="G15" s="22"/>
      <c r="H15" s="12">
        <f t="shared" si="0"/>
        <v>44305</v>
      </c>
    </row>
    <row r="16" spans="2:11" x14ac:dyDescent="0.3">
      <c r="B16" s="6" t="s">
        <v>14</v>
      </c>
      <c r="C16" s="22">
        <v>760000</v>
      </c>
      <c r="D16" s="22"/>
      <c r="E16" s="22"/>
      <c r="F16" s="22"/>
      <c r="G16" s="22">
        <v>162000</v>
      </c>
      <c r="H16" s="12">
        <f t="shared" si="0"/>
        <v>44305</v>
      </c>
    </row>
    <row r="17" spans="1:8" x14ac:dyDescent="0.3">
      <c r="B17" s="6" t="s">
        <v>24</v>
      </c>
      <c r="C17" s="22"/>
      <c r="D17" s="22"/>
      <c r="E17" s="22"/>
      <c r="F17" s="49"/>
      <c r="G17" s="22"/>
      <c r="H17" s="12">
        <f t="shared" si="0"/>
        <v>44305</v>
      </c>
    </row>
    <row r="18" spans="1:8" x14ac:dyDescent="0.3">
      <c r="B18" s="6" t="s">
        <v>21</v>
      </c>
      <c r="C18" s="22"/>
      <c r="D18" s="22"/>
      <c r="E18" s="22"/>
      <c r="F18" s="22"/>
      <c r="G18" s="22"/>
      <c r="H18" s="12">
        <f t="shared" si="0"/>
        <v>44305</v>
      </c>
    </row>
    <row r="19" spans="1:8" x14ac:dyDescent="0.3">
      <c r="B19" s="6" t="s">
        <v>18</v>
      </c>
      <c r="C19" s="22"/>
      <c r="D19" s="22"/>
      <c r="E19" s="22"/>
      <c r="F19" s="22"/>
      <c r="G19" s="22"/>
      <c r="H19" s="12">
        <f t="shared" si="0"/>
        <v>44305</v>
      </c>
    </row>
    <row r="20" spans="1:8" x14ac:dyDescent="0.3">
      <c r="B20" s="6" t="s">
        <v>16</v>
      </c>
      <c r="C20" s="22"/>
      <c r="D20" s="22"/>
      <c r="E20" s="22"/>
      <c r="F20" s="22"/>
      <c r="G20" s="22"/>
      <c r="H20" s="12">
        <f t="shared" si="0"/>
        <v>44305</v>
      </c>
    </row>
    <row r="21" spans="1:8" x14ac:dyDescent="0.3">
      <c r="B21" s="50" t="s">
        <v>27</v>
      </c>
      <c r="C21" s="51">
        <f>SUM(April19_2021[KSI_AGO])</f>
        <v>1674000</v>
      </c>
      <c r="D21" s="51">
        <f>SUBTOTAL(109,April19_2021[KSI_PMS])</f>
        <v>810000</v>
      </c>
      <c r="E21" s="51">
        <f>SUM(April19_2021[BUIPE_AGO])</f>
        <v>0</v>
      </c>
      <c r="F21" s="51">
        <f>SUM(April19_2021[BUIPE_PMS])</f>
        <v>0</v>
      </c>
      <c r="G21" s="51">
        <f>SUM(April19_2021[AKOSOMBO_AGO])</f>
        <v>320000</v>
      </c>
      <c r="H21" s="52"/>
    </row>
    <row r="22" spans="1:8" x14ac:dyDescent="0.3">
      <c r="B22" s="8"/>
      <c r="C22" s="24"/>
      <c r="D22" s="24"/>
      <c r="E22" s="24"/>
      <c r="F22" s="24"/>
      <c r="G22" s="24"/>
      <c r="H22"/>
    </row>
    <row r="23" spans="1:8" x14ac:dyDescent="0.3">
      <c r="B23" s="1" t="s">
        <v>6</v>
      </c>
      <c r="C23" s="1" t="s">
        <v>4</v>
      </c>
      <c r="D23" s="5">
        <f>SUMIF(April19_2021[[#Headers],[KSI_AGO]:[AKOSOMBO_AGO]],"*"&amp;C23,April19_2021[[#Totals],[KSI_AGO]:[AKOSOMBO_AGO]])</f>
        <v>1994000</v>
      </c>
      <c r="E23" s="1" t="s">
        <v>5</v>
      </c>
      <c r="F23" s="5">
        <f>SUMIF(April19_2021[[#Headers],[KSI_AGO]:[AKOSOMBO_AGO]],"*"&amp;E23,April19_2021[[#Totals],[KSI_AGO]:[AKOSOMBO_AGO]])</f>
        <v>810000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29B016FB-899F-47A0-A2BF-17C79704C567}">
      <formula1>INDIRECT("BDC_List[BDC List]")</formula1>
    </dataValidation>
  </dataValidations>
  <pageMargins left="0.7" right="0.7" top="0.75" bottom="0.75" header="0.3" footer="0.3"/>
  <tableParts count="1">
    <tablePart r:id="rId1"/>
  </tableParts>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3ED7-F189-4160-B763-F7BA65F15570}">
  <sheetPr codeName="Sheet335"/>
  <dimension ref="A1:K33"/>
  <sheetViews>
    <sheetView workbookViewId="0">
      <selection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44306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44306</v>
      </c>
    </row>
    <row r="7" spans="2:11" x14ac:dyDescent="0.3">
      <c r="B7" s="6" t="s">
        <v>37</v>
      </c>
      <c r="C7" s="22"/>
      <c r="D7" s="22"/>
      <c r="E7" s="22"/>
      <c r="F7" s="22"/>
      <c r="G7" s="22"/>
      <c r="H7" s="67">
        <f t="shared" si="0"/>
        <v>44306</v>
      </c>
    </row>
    <row r="8" spans="2:11" x14ac:dyDescent="0.3">
      <c r="B8" s="6" t="s">
        <v>17</v>
      </c>
      <c r="C8" s="22">
        <v>316000</v>
      </c>
      <c r="D8" s="22">
        <v>577000</v>
      </c>
      <c r="E8" s="22"/>
      <c r="F8" s="22"/>
      <c r="G8" s="22">
        <v>162000</v>
      </c>
      <c r="H8" s="12">
        <f t="shared" si="0"/>
        <v>44306</v>
      </c>
    </row>
    <row r="9" spans="2:11" ht="15.6" x14ac:dyDescent="0.3">
      <c r="B9" s="34" t="s">
        <v>0</v>
      </c>
      <c r="C9" s="60"/>
      <c r="D9" s="60"/>
      <c r="E9" s="60"/>
      <c r="F9" s="60"/>
      <c r="G9" s="61"/>
      <c r="H9" s="12">
        <f t="shared" si="0"/>
        <v>44306</v>
      </c>
    </row>
    <row r="10" spans="2:11" x14ac:dyDescent="0.3">
      <c r="B10" s="6" t="s">
        <v>25</v>
      </c>
      <c r="C10" s="22"/>
      <c r="D10" s="22">
        <v>108000</v>
      </c>
      <c r="E10" s="22"/>
      <c r="F10" s="22"/>
      <c r="G10" s="22"/>
      <c r="H10" s="12">
        <f t="shared" si="0"/>
        <v>44306</v>
      </c>
    </row>
    <row r="11" spans="2:11" ht="13.5" customHeight="1" x14ac:dyDescent="0.3">
      <c r="B11" s="6" t="s">
        <v>15</v>
      </c>
      <c r="C11" s="22"/>
      <c r="D11" s="22"/>
      <c r="E11" s="22"/>
      <c r="F11" s="48"/>
      <c r="G11" s="22"/>
      <c r="H11" s="12">
        <f t="shared" si="0"/>
        <v>44306</v>
      </c>
    </row>
    <row r="12" spans="2:11" x14ac:dyDescent="0.3">
      <c r="B12" s="6" t="s">
        <v>54</v>
      </c>
      <c r="C12" s="22"/>
      <c r="D12" s="22"/>
      <c r="E12" s="22"/>
      <c r="F12" s="22"/>
      <c r="G12" s="22"/>
      <c r="H12" s="67">
        <f t="shared" si="0"/>
        <v>44306</v>
      </c>
    </row>
    <row r="13" spans="2:11" x14ac:dyDescent="0.3">
      <c r="B13" s="6" t="s">
        <v>26</v>
      </c>
      <c r="C13" s="22"/>
      <c r="D13" s="22"/>
      <c r="E13" s="22"/>
      <c r="F13" s="22"/>
      <c r="G13" s="22"/>
      <c r="H13" s="12">
        <f t="shared" si="0"/>
        <v>44306</v>
      </c>
    </row>
    <row r="14" spans="2:11" x14ac:dyDescent="0.3">
      <c r="B14" s="6" t="s">
        <v>22</v>
      </c>
      <c r="C14" s="23"/>
      <c r="D14" s="23"/>
      <c r="E14" s="23"/>
      <c r="F14" s="22"/>
      <c r="G14" s="23"/>
      <c r="H14" s="12">
        <f t="shared" si="0"/>
        <v>44306</v>
      </c>
      <c r="K14" s="4"/>
    </row>
    <row r="15" spans="2:11" x14ac:dyDescent="0.3">
      <c r="B15" s="6" t="s">
        <v>19</v>
      </c>
      <c r="C15" s="22">
        <v>270000</v>
      </c>
      <c r="D15" s="22"/>
      <c r="E15" s="22"/>
      <c r="F15" s="22"/>
      <c r="G15" s="22"/>
      <c r="H15" s="12">
        <f t="shared" si="0"/>
        <v>44306</v>
      </c>
    </row>
    <row r="16" spans="2:11" x14ac:dyDescent="0.3">
      <c r="B16" s="6" t="s">
        <v>14</v>
      </c>
      <c r="C16" s="22">
        <v>1452500</v>
      </c>
      <c r="D16" s="22"/>
      <c r="E16" s="22"/>
      <c r="F16" s="22"/>
      <c r="G16" s="22">
        <v>324000</v>
      </c>
      <c r="H16" s="12">
        <f t="shared" si="0"/>
        <v>44306</v>
      </c>
    </row>
    <row r="17" spans="1:8" x14ac:dyDescent="0.3">
      <c r="B17" s="6" t="s">
        <v>24</v>
      </c>
      <c r="C17" s="22"/>
      <c r="D17" s="22"/>
      <c r="E17" s="22"/>
      <c r="F17" s="49"/>
      <c r="G17" s="22"/>
      <c r="H17" s="12">
        <f t="shared" si="0"/>
        <v>44306</v>
      </c>
    </row>
    <row r="18" spans="1:8" x14ac:dyDescent="0.3">
      <c r="B18" s="6" t="s">
        <v>21</v>
      </c>
      <c r="C18" s="22"/>
      <c r="D18" s="22"/>
      <c r="E18" s="22"/>
      <c r="F18" s="22"/>
      <c r="G18" s="22"/>
      <c r="H18" s="12">
        <f t="shared" si="0"/>
        <v>44306</v>
      </c>
    </row>
    <row r="19" spans="1:8" x14ac:dyDescent="0.3">
      <c r="B19" s="6" t="s">
        <v>18</v>
      </c>
      <c r="C19" s="22"/>
      <c r="D19" s="22"/>
      <c r="E19" s="22"/>
      <c r="F19" s="22"/>
      <c r="G19" s="22"/>
      <c r="H19" s="12">
        <f t="shared" si="0"/>
        <v>44306</v>
      </c>
    </row>
    <row r="20" spans="1:8" x14ac:dyDescent="0.3">
      <c r="B20" s="6" t="s">
        <v>16</v>
      </c>
      <c r="C20" s="22"/>
      <c r="D20" s="22"/>
      <c r="E20" s="22"/>
      <c r="F20" s="22"/>
      <c r="G20" s="22"/>
      <c r="H20" s="12">
        <f t="shared" si="0"/>
        <v>44306</v>
      </c>
    </row>
    <row r="21" spans="1:8" x14ac:dyDescent="0.3">
      <c r="B21" s="50" t="s">
        <v>27</v>
      </c>
      <c r="C21" s="51">
        <f>SUM(April20_2021[KSI_AGO])</f>
        <v>2038500</v>
      </c>
      <c r="D21" s="51">
        <f>SUBTOTAL(109,April20_2021[KSI_PMS])</f>
        <v>685000</v>
      </c>
      <c r="E21" s="51">
        <f>SUM(April20_2021[BUIPE_AGO])</f>
        <v>0</v>
      </c>
      <c r="F21" s="51">
        <f>SUM(April20_2021[BUIPE_PMS])</f>
        <v>0</v>
      </c>
      <c r="G21" s="51">
        <f>SUM(April20_2021[AKOSOMBO_AGO])</f>
        <v>486000</v>
      </c>
      <c r="H21" s="52"/>
    </row>
    <row r="22" spans="1:8" x14ac:dyDescent="0.3">
      <c r="B22" s="8"/>
      <c r="C22" s="24"/>
      <c r="D22" s="24"/>
      <c r="E22" s="24"/>
      <c r="F22" s="24"/>
      <c r="G22" s="24"/>
      <c r="H22"/>
    </row>
    <row r="23" spans="1:8" x14ac:dyDescent="0.3">
      <c r="B23" s="1" t="s">
        <v>6</v>
      </c>
      <c r="C23" s="1" t="s">
        <v>4</v>
      </c>
      <c r="D23" s="5">
        <f>SUMIF(April20_2021[[#Headers],[KSI_AGO]:[AKOSOMBO_AGO]],"*"&amp;C23,April20_2021[[#Totals],[KSI_AGO]:[AKOSOMBO_AGO]])</f>
        <v>2524500</v>
      </c>
      <c r="E23" s="1" t="s">
        <v>5</v>
      </c>
      <c r="F23" s="5">
        <f>SUMIF(April20_2021[[#Headers],[KSI_AGO]:[AKOSOMBO_AGO]],"*"&amp;E23,April20_2021[[#Totals],[KSI_AGO]:[AKOSOMBO_AGO]])</f>
        <v>685000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7A535B25-A538-4860-AB5F-52A3BB03739E}">
      <formula1>INDIRECT("BDC_List[BDC List]")</formula1>
    </dataValidation>
  </dataValidations>
  <pageMargins left="0.7" right="0.7" top="0.75" bottom="0.75" header="0.3" footer="0.3"/>
  <tableParts count="1">
    <tablePart r:id="rId1"/>
  </tableParts>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F1A2-E54B-44B9-A95E-24785118B71F}">
  <sheetPr codeName="Sheet336"/>
  <dimension ref="A1:K33"/>
  <sheetViews>
    <sheetView workbookViewId="0">
      <selection activeCell="G18" sqref="G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44307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44307</v>
      </c>
    </row>
    <row r="7" spans="2:11" x14ac:dyDescent="0.3">
      <c r="B7" s="6" t="s">
        <v>37</v>
      </c>
      <c r="C7" s="22"/>
      <c r="D7" s="22"/>
      <c r="E7" s="22"/>
      <c r="F7" s="22"/>
      <c r="G7" s="22"/>
      <c r="H7" s="67">
        <f t="shared" si="0"/>
        <v>44307</v>
      </c>
    </row>
    <row r="8" spans="2:11" x14ac:dyDescent="0.3">
      <c r="B8" s="6" t="s">
        <v>17</v>
      </c>
      <c r="C8" s="22">
        <v>950000</v>
      </c>
      <c r="D8" s="22">
        <v>1106000</v>
      </c>
      <c r="E8" s="22"/>
      <c r="F8" s="22"/>
      <c r="G8" s="22"/>
      <c r="H8" s="12">
        <f t="shared" si="0"/>
        <v>44307</v>
      </c>
    </row>
    <row r="9" spans="2:11" ht="15.6" x14ac:dyDescent="0.3">
      <c r="B9" s="34" t="s">
        <v>0</v>
      </c>
      <c r="C9" s="60"/>
      <c r="D9" s="60"/>
      <c r="E9" s="60"/>
      <c r="F9" s="60"/>
      <c r="G9" s="61"/>
      <c r="H9" s="12">
        <f t="shared" si="0"/>
        <v>44307</v>
      </c>
    </row>
    <row r="10" spans="2:11" x14ac:dyDescent="0.3">
      <c r="B10" s="6" t="s">
        <v>25</v>
      </c>
      <c r="C10" s="22"/>
      <c r="D10" s="22"/>
      <c r="E10" s="22"/>
      <c r="F10" s="22"/>
      <c r="G10" s="22"/>
      <c r="H10" s="12">
        <f t="shared" si="0"/>
        <v>44307</v>
      </c>
    </row>
    <row r="11" spans="2:11" ht="13.5" customHeight="1" x14ac:dyDescent="0.3">
      <c r="B11" s="6" t="s">
        <v>15</v>
      </c>
      <c r="C11" s="22"/>
      <c r="D11" s="22"/>
      <c r="E11" s="22"/>
      <c r="F11" s="48"/>
      <c r="G11" s="22"/>
      <c r="H11" s="12">
        <f t="shared" si="0"/>
        <v>44307</v>
      </c>
    </row>
    <row r="12" spans="2:11" x14ac:dyDescent="0.3">
      <c r="B12" s="6" t="s">
        <v>54</v>
      </c>
      <c r="C12" s="22"/>
      <c r="D12" s="22"/>
      <c r="E12" s="22"/>
      <c r="F12" s="22"/>
      <c r="G12" s="22"/>
      <c r="H12" s="67">
        <f t="shared" si="0"/>
        <v>44307</v>
      </c>
    </row>
    <row r="13" spans="2:11" x14ac:dyDescent="0.3">
      <c r="B13" s="6" t="s">
        <v>26</v>
      </c>
      <c r="C13" s="22"/>
      <c r="D13" s="22">
        <v>54000</v>
      </c>
      <c r="E13" s="22"/>
      <c r="F13" s="22"/>
      <c r="G13" s="22"/>
      <c r="H13" s="12">
        <f t="shared" si="0"/>
        <v>44307</v>
      </c>
    </row>
    <row r="14" spans="2:11" x14ac:dyDescent="0.3">
      <c r="B14" s="6" t="s">
        <v>22</v>
      </c>
      <c r="C14" s="23"/>
      <c r="D14" s="23"/>
      <c r="E14" s="23"/>
      <c r="F14" s="22"/>
      <c r="G14" s="23"/>
      <c r="H14" s="12">
        <f t="shared" si="0"/>
        <v>44307</v>
      </c>
      <c r="K14" s="4"/>
    </row>
    <row r="15" spans="2:11" x14ac:dyDescent="0.3">
      <c r="B15" s="6" t="s">
        <v>19</v>
      </c>
      <c r="C15" s="22">
        <v>748000</v>
      </c>
      <c r="D15" s="22"/>
      <c r="E15" s="22"/>
      <c r="F15" s="22"/>
      <c r="G15" s="22"/>
      <c r="H15" s="12">
        <f t="shared" si="0"/>
        <v>44307</v>
      </c>
    </row>
    <row r="16" spans="2:11" x14ac:dyDescent="0.3">
      <c r="B16" s="6" t="s">
        <v>14</v>
      </c>
      <c r="C16" s="22">
        <v>261000</v>
      </c>
      <c r="D16" s="22"/>
      <c r="E16" s="22"/>
      <c r="F16" s="22"/>
      <c r="G16" s="22">
        <v>324000</v>
      </c>
      <c r="H16" s="12">
        <f t="shared" si="0"/>
        <v>44307</v>
      </c>
    </row>
    <row r="17" spans="1:8" x14ac:dyDescent="0.3">
      <c r="B17" s="6" t="s">
        <v>24</v>
      </c>
      <c r="C17" s="22"/>
      <c r="D17" s="22"/>
      <c r="E17" s="22"/>
      <c r="F17" s="49"/>
      <c r="G17" s="22"/>
      <c r="H17" s="12">
        <f t="shared" si="0"/>
        <v>44307</v>
      </c>
    </row>
    <row r="18" spans="1:8" x14ac:dyDescent="0.3">
      <c r="B18" s="6" t="s">
        <v>21</v>
      </c>
      <c r="C18" s="22"/>
      <c r="D18" s="22"/>
      <c r="E18" s="22"/>
      <c r="F18" s="22"/>
      <c r="G18" s="22"/>
      <c r="H18" s="12">
        <f t="shared" si="0"/>
        <v>44307</v>
      </c>
    </row>
    <row r="19" spans="1:8" x14ac:dyDescent="0.3">
      <c r="B19" s="6" t="s">
        <v>18</v>
      </c>
      <c r="C19" s="22"/>
      <c r="D19" s="22"/>
      <c r="E19" s="22"/>
      <c r="F19" s="22"/>
      <c r="G19" s="22"/>
      <c r="H19" s="12">
        <f t="shared" si="0"/>
        <v>44307</v>
      </c>
    </row>
    <row r="20" spans="1:8" x14ac:dyDescent="0.3">
      <c r="B20" s="6" t="s">
        <v>16</v>
      </c>
      <c r="C20" s="22"/>
      <c r="D20" s="22"/>
      <c r="E20" s="22"/>
      <c r="F20" s="22"/>
      <c r="G20" s="22"/>
      <c r="H20" s="12">
        <f t="shared" si="0"/>
        <v>44307</v>
      </c>
    </row>
    <row r="21" spans="1:8" x14ac:dyDescent="0.3">
      <c r="B21" s="50" t="s">
        <v>27</v>
      </c>
      <c r="C21" s="51">
        <f>SUM(April21_2021[KSI_AGO])</f>
        <v>1959000</v>
      </c>
      <c r="D21" s="51">
        <f>SUBTOTAL(109,April21_2021[KSI_PMS])</f>
        <v>1160000</v>
      </c>
      <c r="E21" s="51">
        <f>SUM(April21_2021[BUIPE_AGO])</f>
        <v>0</v>
      </c>
      <c r="F21" s="51">
        <f>SUM(April21_2021[BUIPE_PMS])</f>
        <v>0</v>
      </c>
      <c r="G21" s="51">
        <f>SUM(April21_2021[AKOSOMBO_AGO])</f>
        <v>324000</v>
      </c>
      <c r="H21" s="52"/>
    </row>
    <row r="22" spans="1:8" x14ac:dyDescent="0.3">
      <c r="B22" s="8"/>
      <c r="C22" s="24"/>
      <c r="D22" s="24"/>
      <c r="E22" s="24"/>
      <c r="F22" s="24"/>
      <c r="G22" s="24"/>
      <c r="H22"/>
    </row>
    <row r="23" spans="1:8" x14ac:dyDescent="0.3">
      <c r="B23" s="1" t="s">
        <v>6</v>
      </c>
      <c r="C23" s="1" t="s">
        <v>4</v>
      </c>
      <c r="D23" s="5">
        <f>SUMIF(April21_2021[[#Headers],[KSI_AGO]:[AKOSOMBO_AGO]],"*"&amp;C23,April21_2021[[#Totals],[KSI_AGO]:[AKOSOMBO_AGO]])</f>
        <v>2283000</v>
      </c>
      <c r="E23" s="1" t="s">
        <v>5</v>
      </c>
      <c r="F23" s="5">
        <f>SUMIF(April21_2021[[#Headers],[KSI_AGO]:[AKOSOMBO_AGO]],"*"&amp;E23,April21_2021[[#Totals],[KSI_AGO]:[AKOSOMBO_AGO]])</f>
        <v>1160000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83676780-0C1D-4430-AFEE-1BB9CC371889}">
      <formula1>INDIRECT("BDC_List[BDC List]")</formula1>
    </dataValidation>
  </dataValidations>
  <pageMargins left="0.7" right="0.7" top="0.75" bottom="0.75" header="0.3" footer="0.3"/>
  <tableParts count="1">
    <tablePart r:id="rId1"/>
  </tableParts>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9B29-E3E0-4815-8F04-D7AF8B1B0C00}">
  <sheetPr codeName="Sheet337"/>
  <dimension ref="A1:K33"/>
  <sheetViews>
    <sheetView workbookViewId="0">
      <selection activeCell="G17" sqref="G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44308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44308</v>
      </c>
    </row>
    <row r="7" spans="2:11" x14ac:dyDescent="0.3">
      <c r="B7" s="6" t="s">
        <v>37</v>
      </c>
      <c r="C7" s="22"/>
      <c r="D7" s="22"/>
      <c r="E7" s="22"/>
      <c r="F7" s="22"/>
      <c r="G7" s="22"/>
      <c r="H7" s="67">
        <f t="shared" si="0"/>
        <v>44308</v>
      </c>
    </row>
    <row r="8" spans="2:11" x14ac:dyDescent="0.3">
      <c r="B8" s="6" t="s">
        <v>17</v>
      </c>
      <c r="C8" s="22">
        <v>1428500</v>
      </c>
      <c r="D8" s="22">
        <v>1295500</v>
      </c>
      <c r="E8" s="22"/>
      <c r="F8" s="22"/>
      <c r="G8" s="22">
        <v>216000</v>
      </c>
      <c r="H8" s="12">
        <f t="shared" si="0"/>
        <v>44308</v>
      </c>
    </row>
    <row r="9" spans="2:11" ht="15.6" x14ac:dyDescent="0.3">
      <c r="B9" s="34" t="s">
        <v>0</v>
      </c>
      <c r="C9" s="60"/>
      <c r="D9" s="60"/>
      <c r="E9" s="60"/>
      <c r="F9" s="60"/>
      <c r="G9" s="61"/>
      <c r="H9" s="12">
        <f t="shared" si="0"/>
        <v>44308</v>
      </c>
    </row>
    <row r="10" spans="2:11" x14ac:dyDescent="0.3">
      <c r="B10" s="6" t="s">
        <v>25</v>
      </c>
      <c r="C10" s="22"/>
      <c r="D10" s="22"/>
      <c r="E10" s="22"/>
      <c r="F10" s="22"/>
      <c r="G10" s="22"/>
      <c r="H10" s="12">
        <f t="shared" si="0"/>
        <v>44308</v>
      </c>
    </row>
    <row r="11" spans="2:11" ht="13.5" customHeight="1" x14ac:dyDescent="0.3">
      <c r="B11" s="6" t="s">
        <v>15</v>
      </c>
      <c r="C11" s="22"/>
      <c r="D11" s="22"/>
      <c r="E11" s="22"/>
      <c r="F11" s="48"/>
      <c r="G11" s="22"/>
      <c r="H11" s="12">
        <f t="shared" si="0"/>
        <v>44308</v>
      </c>
    </row>
    <row r="12" spans="2:11" x14ac:dyDescent="0.3">
      <c r="B12" s="6" t="s">
        <v>54</v>
      </c>
      <c r="C12" s="22"/>
      <c r="D12" s="22"/>
      <c r="E12" s="22"/>
      <c r="F12" s="22"/>
      <c r="G12" s="22"/>
      <c r="H12" s="67">
        <f t="shared" si="0"/>
        <v>44308</v>
      </c>
    </row>
    <row r="13" spans="2:11" x14ac:dyDescent="0.3">
      <c r="B13" s="6" t="s">
        <v>26</v>
      </c>
      <c r="C13" s="22"/>
      <c r="D13" s="22"/>
      <c r="E13" s="22"/>
      <c r="F13" s="22"/>
      <c r="G13" s="22"/>
      <c r="H13" s="12">
        <f t="shared" si="0"/>
        <v>44308</v>
      </c>
    </row>
    <row r="14" spans="2:11" x14ac:dyDescent="0.3">
      <c r="B14" s="6" t="s">
        <v>22</v>
      </c>
      <c r="C14" s="23"/>
      <c r="D14" s="23"/>
      <c r="E14" s="23"/>
      <c r="F14" s="22"/>
      <c r="G14" s="23"/>
      <c r="H14" s="12">
        <f t="shared" si="0"/>
        <v>44308</v>
      </c>
      <c r="K14" s="4"/>
    </row>
    <row r="15" spans="2:11" x14ac:dyDescent="0.3">
      <c r="B15" s="6" t="s">
        <v>19</v>
      </c>
      <c r="C15" s="22">
        <v>648000</v>
      </c>
      <c r="D15" s="22"/>
      <c r="E15" s="22"/>
      <c r="F15" s="22"/>
      <c r="G15" s="22"/>
      <c r="H15" s="12">
        <f t="shared" si="0"/>
        <v>44308</v>
      </c>
    </row>
    <row r="16" spans="2:11" x14ac:dyDescent="0.3">
      <c r="B16" s="6" t="s">
        <v>14</v>
      </c>
      <c r="C16" s="22">
        <v>156000</v>
      </c>
      <c r="D16" s="22"/>
      <c r="E16" s="22"/>
      <c r="F16" s="22"/>
      <c r="G16" s="22"/>
      <c r="H16" s="12">
        <f t="shared" si="0"/>
        <v>44308</v>
      </c>
    </row>
    <row r="17" spans="1:8" x14ac:dyDescent="0.3">
      <c r="B17" s="6" t="s">
        <v>24</v>
      </c>
      <c r="C17" s="22"/>
      <c r="D17" s="22"/>
      <c r="E17" s="22"/>
      <c r="F17" s="49"/>
      <c r="G17" s="22"/>
      <c r="H17" s="12">
        <f t="shared" si="0"/>
        <v>44308</v>
      </c>
    </row>
    <row r="18" spans="1:8" x14ac:dyDescent="0.3">
      <c r="B18" s="6" t="s">
        <v>21</v>
      </c>
      <c r="C18" s="22"/>
      <c r="D18" s="22"/>
      <c r="E18" s="22"/>
      <c r="F18" s="22"/>
      <c r="G18" s="22"/>
      <c r="H18" s="12">
        <f t="shared" si="0"/>
        <v>44308</v>
      </c>
    </row>
    <row r="19" spans="1:8" x14ac:dyDescent="0.3">
      <c r="B19" s="6" t="s">
        <v>18</v>
      </c>
      <c r="C19" s="22"/>
      <c r="D19" s="22"/>
      <c r="E19" s="22"/>
      <c r="F19" s="22"/>
      <c r="G19" s="22"/>
      <c r="H19" s="12">
        <f t="shared" si="0"/>
        <v>44308</v>
      </c>
    </row>
    <row r="20" spans="1:8" x14ac:dyDescent="0.3">
      <c r="B20" s="6" t="s">
        <v>16</v>
      </c>
      <c r="C20" s="22"/>
      <c r="D20" s="22"/>
      <c r="E20" s="22"/>
      <c r="F20" s="22"/>
      <c r="G20" s="22"/>
      <c r="H20" s="12">
        <f t="shared" si="0"/>
        <v>44308</v>
      </c>
    </row>
    <row r="21" spans="1:8" x14ac:dyDescent="0.3">
      <c r="B21" s="50" t="s">
        <v>27</v>
      </c>
      <c r="C21" s="51">
        <f>SUM(April22_2021[KSI_AGO])</f>
        <v>2232500</v>
      </c>
      <c r="D21" s="51">
        <f>SUBTOTAL(109,April22_2021[KSI_PMS])</f>
        <v>1295500</v>
      </c>
      <c r="E21" s="51">
        <f>SUM(April22_2021[BUIPE_AGO])</f>
        <v>0</v>
      </c>
      <c r="F21" s="51">
        <f>SUM(April22_2021[BUIPE_PMS])</f>
        <v>0</v>
      </c>
      <c r="G21" s="51">
        <f>SUM(April22_2021[AKOSOMBO_AGO])</f>
        <v>216000</v>
      </c>
      <c r="H21" s="52"/>
    </row>
    <row r="22" spans="1:8" x14ac:dyDescent="0.3">
      <c r="B22" s="8"/>
      <c r="C22" s="24"/>
      <c r="D22" s="24"/>
      <c r="E22" s="24"/>
      <c r="F22" s="24"/>
      <c r="G22" s="24"/>
      <c r="H22"/>
    </row>
    <row r="23" spans="1:8" x14ac:dyDescent="0.3">
      <c r="B23" s="1" t="s">
        <v>6</v>
      </c>
      <c r="C23" s="1" t="s">
        <v>4</v>
      </c>
      <c r="D23" s="5">
        <f>SUMIF(April22_2021[[#Headers],[KSI_AGO]:[AKOSOMBO_AGO]],"*"&amp;C23,April22_2021[[#Totals],[KSI_AGO]:[AKOSOMBO_AGO]])</f>
        <v>2448500</v>
      </c>
      <c r="E23" s="1" t="s">
        <v>5</v>
      </c>
      <c r="F23" s="5">
        <f>SUMIF(April22_2021[[#Headers],[KSI_AGO]:[AKOSOMBO_AGO]],"*"&amp;E23,April22_2021[[#Totals],[KSI_AGO]:[AKOSOMBO_AGO]])</f>
        <v>1295500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6351270F-883E-4A24-92BA-EC02A8A7B67B}">
      <formula1>INDIRECT("BDC_List[BDC List]")</formula1>
    </dataValidation>
  </dataValidations>
  <pageMargins left="0.7" right="0.7" top="0.75" bottom="0.75" header="0.3" footer="0.3"/>
  <tableParts count="1">
    <tablePart r:id="rId1"/>
  </tableParts>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7CF58-C978-42AA-8F6F-288CF01D584B}">
  <sheetPr codeName="Sheet338"/>
  <dimension ref="A1:K33"/>
  <sheetViews>
    <sheetView topLeftCell="A3" workbookViewId="0">
      <selection activeCell="E18" sqref="E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44309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44309</v>
      </c>
    </row>
    <row r="7" spans="2:11" x14ac:dyDescent="0.3">
      <c r="B7" s="6" t="s">
        <v>37</v>
      </c>
      <c r="C7" s="22"/>
      <c r="D7" s="22"/>
      <c r="E7" s="22"/>
      <c r="F7" s="22"/>
      <c r="G7" s="22"/>
      <c r="H7" s="67">
        <f t="shared" si="0"/>
        <v>44309</v>
      </c>
    </row>
    <row r="8" spans="2:11" x14ac:dyDescent="0.3">
      <c r="B8" s="6" t="s">
        <v>17</v>
      </c>
      <c r="C8" s="22">
        <v>486000</v>
      </c>
      <c r="D8" s="22"/>
      <c r="E8" s="22"/>
      <c r="F8" s="22"/>
      <c r="G8" s="22"/>
      <c r="H8" s="12">
        <f t="shared" si="0"/>
        <v>44309</v>
      </c>
    </row>
    <row r="9" spans="2:11" ht="15.6" x14ac:dyDescent="0.3">
      <c r="B9" s="34" t="s">
        <v>0</v>
      </c>
      <c r="C9" s="60"/>
      <c r="D9" s="60"/>
      <c r="E9" s="60"/>
      <c r="F9" s="60"/>
      <c r="G9" s="61"/>
      <c r="H9" s="12">
        <f t="shared" si="0"/>
        <v>44309</v>
      </c>
    </row>
    <row r="10" spans="2:11" x14ac:dyDescent="0.3">
      <c r="B10" s="6" t="s">
        <v>25</v>
      </c>
      <c r="C10" s="22"/>
      <c r="D10" s="22"/>
      <c r="E10" s="22"/>
      <c r="F10" s="22"/>
      <c r="G10" s="22">
        <v>50000</v>
      </c>
      <c r="H10" s="12">
        <f t="shared" si="0"/>
        <v>44309</v>
      </c>
    </row>
    <row r="11" spans="2:11" ht="13.5" customHeight="1" x14ac:dyDescent="0.3">
      <c r="B11" s="6" t="s">
        <v>15</v>
      </c>
      <c r="C11" s="22"/>
      <c r="D11" s="22"/>
      <c r="E11" s="22"/>
      <c r="F11" s="48"/>
      <c r="G11" s="22"/>
      <c r="H11" s="12">
        <f t="shared" si="0"/>
        <v>44309</v>
      </c>
    </row>
    <row r="12" spans="2:11" x14ac:dyDescent="0.3">
      <c r="B12" s="6" t="s">
        <v>54</v>
      </c>
      <c r="C12" s="22"/>
      <c r="D12" s="22"/>
      <c r="E12" s="22"/>
      <c r="F12" s="22"/>
      <c r="G12" s="22"/>
      <c r="H12" s="67">
        <f t="shared" si="0"/>
        <v>44309</v>
      </c>
    </row>
    <row r="13" spans="2:11" x14ac:dyDescent="0.3">
      <c r="B13" s="6" t="s">
        <v>26</v>
      </c>
      <c r="C13" s="22"/>
      <c r="D13" s="22"/>
      <c r="E13" s="22"/>
      <c r="F13" s="22"/>
      <c r="G13" s="22"/>
      <c r="H13" s="12">
        <f t="shared" si="0"/>
        <v>44309</v>
      </c>
    </row>
    <row r="14" spans="2:11" x14ac:dyDescent="0.3">
      <c r="B14" s="6" t="s">
        <v>22</v>
      </c>
      <c r="C14" s="23"/>
      <c r="D14" s="23"/>
      <c r="E14" s="23"/>
      <c r="F14" s="22"/>
      <c r="G14" s="23"/>
      <c r="H14" s="12">
        <f t="shared" si="0"/>
        <v>44309</v>
      </c>
      <c r="K14" s="4"/>
    </row>
    <row r="15" spans="2:11" x14ac:dyDescent="0.3">
      <c r="B15" s="6" t="s">
        <v>19</v>
      </c>
      <c r="C15" s="22">
        <v>486000</v>
      </c>
      <c r="D15" s="22">
        <v>207000</v>
      </c>
      <c r="E15" s="22"/>
      <c r="F15" s="22"/>
      <c r="G15" s="22">
        <v>536000</v>
      </c>
      <c r="H15" s="12">
        <f t="shared" si="0"/>
        <v>44309</v>
      </c>
    </row>
    <row r="16" spans="2:11" x14ac:dyDescent="0.3">
      <c r="B16" s="6" t="s">
        <v>14</v>
      </c>
      <c r="C16" s="22"/>
      <c r="D16" s="22"/>
      <c r="E16" s="22"/>
      <c r="F16" s="22"/>
      <c r="G16" s="22"/>
      <c r="H16" s="12">
        <f t="shared" si="0"/>
        <v>44309</v>
      </c>
    </row>
    <row r="17" spans="1:8" x14ac:dyDescent="0.3">
      <c r="B17" s="6" t="s">
        <v>24</v>
      </c>
      <c r="C17" s="22"/>
      <c r="D17" s="22"/>
      <c r="E17" s="22"/>
      <c r="F17" s="49"/>
      <c r="G17" s="22"/>
      <c r="H17" s="12">
        <f t="shared" si="0"/>
        <v>44309</v>
      </c>
    </row>
    <row r="18" spans="1:8" x14ac:dyDescent="0.3">
      <c r="B18" s="6" t="s">
        <v>21</v>
      </c>
      <c r="C18" s="22"/>
      <c r="D18" s="22"/>
      <c r="E18" s="22"/>
      <c r="F18" s="22"/>
      <c r="G18" s="22"/>
      <c r="H18" s="12">
        <f t="shared" si="0"/>
        <v>44309</v>
      </c>
    </row>
    <row r="19" spans="1:8" x14ac:dyDescent="0.3">
      <c r="B19" s="6" t="s">
        <v>18</v>
      </c>
      <c r="C19" s="22"/>
      <c r="D19" s="22"/>
      <c r="E19" s="22"/>
      <c r="F19" s="22"/>
      <c r="G19" s="22"/>
      <c r="H19" s="12">
        <f t="shared" si="0"/>
        <v>44309</v>
      </c>
    </row>
    <row r="20" spans="1:8" x14ac:dyDescent="0.3">
      <c r="B20" s="6" t="s">
        <v>16</v>
      </c>
      <c r="C20" s="22"/>
      <c r="D20" s="22"/>
      <c r="E20" s="22"/>
      <c r="F20" s="22"/>
      <c r="G20" s="22"/>
      <c r="H20" s="12">
        <f t="shared" si="0"/>
        <v>44309</v>
      </c>
    </row>
    <row r="21" spans="1:8" x14ac:dyDescent="0.3">
      <c r="B21" s="50" t="s">
        <v>27</v>
      </c>
      <c r="C21" s="51">
        <f>SUM(April23_2021[KSI_AGO])</f>
        <v>972000</v>
      </c>
      <c r="D21" s="51">
        <f>SUBTOTAL(109,April23_2021[KSI_PMS])</f>
        <v>207000</v>
      </c>
      <c r="E21" s="51">
        <f>SUM(April23_2021[BUIPE_AGO])</f>
        <v>0</v>
      </c>
      <c r="F21" s="51">
        <f>SUM(April23_2021[BUIPE_PMS])</f>
        <v>0</v>
      </c>
      <c r="G21" s="51">
        <f>SUM(April23_2021[AKOSOMBO_AGO])</f>
        <v>586000</v>
      </c>
      <c r="H21" s="52"/>
    </row>
    <row r="22" spans="1:8" x14ac:dyDescent="0.3">
      <c r="B22" s="8"/>
      <c r="C22" s="24"/>
      <c r="D22" s="24"/>
      <c r="E22" s="24"/>
      <c r="F22" s="24"/>
      <c r="G22" s="24"/>
      <c r="H22"/>
    </row>
    <row r="23" spans="1:8" x14ac:dyDescent="0.3">
      <c r="B23" s="1" t="s">
        <v>6</v>
      </c>
      <c r="C23" s="1" t="s">
        <v>4</v>
      </c>
      <c r="D23" s="5">
        <f>SUMIF(April23_2021[[#Headers],[KSI_AGO]:[AKOSOMBO_AGO]],"*"&amp;C23,April23_2021[[#Totals],[KSI_AGO]:[AKOSOMBO_AGO]])</f>
        <v>1558000</v>
      </c>
      <c r="E23" s="1" t="s">
        <v>5</v>
      </c>
      <c r="F23" s="5">
        <f>SUMIF(April23_2021[[#Headers],[KSI_AGO]:[AKOSOMBO_AGO]],"*"&amp;E23,April23_2021[[#Totals],[KSI_AGO]:[AKOSOMBO_AGO]])</f>
        <v>207000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0EC6AD52-50B4-477E-8935-4EAA95BE6569}">
      <formula1>INDIRECT("BDC_List[BDC List]")</formula1>
    </dataValidation>
  </dataValidations>
  <pageMargins left="0.7" right="0.7" top="0.75" bottom="0.75" header="0.3" footer="0.3"/>
  <tableParts count="1">
    <tablePart r:id="rId1"/>
  </tableParts>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6B2D-42F9-443D-8C8F-B0004DEFFA49}">
  <sheetPr codeName="Sheet339"/>
  <dimension ref="A1:K33"/>
  <sheetViews>
    <sheetView workbookViewId="0">
      <selection activeCell="I28" sqref="I2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44312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44312</v>
      </c>
    </row>
    <row r="7" spans="2:11" x14ac:dyDescent="0.3">
      <c r="B7" s="6" t="s">
        <v>37</v>
      </c>
      <c r="C7" s="22"/>
      <c r="D7" s="22"/>
      <c r="E7" s="22"/>
      <c r="F7" s="22"/>
      <c r="G7" s="22"/>
      <c r="H7" s="67">
        <f t="shared" si="0"/>
        <v>44312</v>
      </c>
    </row>
    <row r="8" spans="2:11" x14ac:dyDescent="0.3">
      <c r="B8" s="6" t="s">
        <v>17</v>
      </c>
      <c r="C8" s="22">
        <v>1866000</v>
      </c>
      <c r="D8" s="22">
        <v>540000</v>
      </c>
      <c r="E8" s="22"/>
      <c r="F8" s="22"/>
      <c r="G8" s="22"/>
      <c r="H8" s="12">
        <f t="shared" si="0"/>
        <v>44312</v>
      </c>
    </row>
    <row r="9" spans="2:11" ht="15.6" x14ac:dyDescent="0.3">
      <c r="B9" s="34" t="s">
        <v>0</v>
      </c>
      <c r="C9" s="60"/>
      <c r="D9" s="60"/>
      <c r="E9" s="60"/>
      <c r="F9" s="60"/>
      <c r="G9" s="61"/>
      <c r="H9" s="12">
        <f t="shared" si="0"/>
        <v>44312</v>
      </c>
    </row>
    <row r="10" spans="2:11" x14ac:dyDescent="0.3">
      <c r="B10" s="6" t="s">
        <v>25</v>
      </c>
      <c r="C10" s="22"/>
      <c r="D10" s="22"/>
      <c r="E10" s="22"/>
      <c r="F10" s="22"/>
      <c r="G10" s="22"/>
      <c r="H10" s="12">
        <f t="shared" si="0"/>
        <v>44312</v>
      </c>
    </row>
    <row r="11" spans="2:11" ht="13.5" customHeight="1" x14ac:dyDescent="0.3">
      <c r="B11" s="6" t="s">
        <v>15</v>
      </c>
      <c r="C11" s="22"/>
      <c r="D11" s="22"/>
      <c r="E11" s="22"/>
      <c r="F11" s="48"/>
      <c r="G11" s="22"/>
      <c r="H11" s="12">
        <f t="shared" si="0"/>
        <v>44312</v>
      </c>
    </row>
    <row r="12" spans="2:11" x14ac:dyDescent="0.3">
      <c r="B12" s="6" t="s">
        <v>54</v>
      </c>
      <c r="C12" s="22"/>
      <c r="D12" s="22"/>
      <c r="E12" s="22"/>
      <c r="F12" s="22"/>
      <c r="G12" s="22"/>
      <c r="H12" s="67">
        <f t="shared" si="0"/>
        <v>44312</v>
      </c>
    </row>
    <row r="13" spans="2:11" x14ac:dyDescent="0.3">
      <c r="B13" s="6" t="s">
        <v>26</v>
      </c>
      <c r="C13" s="22"/>
      <c r="D13" s="22">
        <v>702000</v>
      </c>
      <c r="E13" s="22"/>
      <c r="F13" s="22"/>
      <c r="G13" s="22"/>
      <c r="H13" s="12">
        <f t="shared" si="0"/>
        <v>44312</v>
      </c>
    </row>
    <row r="14" spans="2:11" x14ac:dyDescent="0.3">
      <c r="B14" s="6" t="s">
        <v>22</v>
      </c>
      <c r="C14" s="23"/>
      <c r="D14" s="23"/>
      <c r="E14" s="23"/>
      <c r="F14" s="22"/>
      <c r="G14" s="23"/>
      <c r="H14" s="12">
        <f t="shared" si="0"/>
        <v>44312</v>
      </c>
      <c r="K14" s="4"/>
    </row>
    <row r="15" spans="2:11" x14ac:dyDescent="0.3">
      <c r="B15" s="6" t="s">
        <v>19</v>
      </c>
      <c r="C15" s="22"/>
      <c r="D15" s="22">
        <v>50000</v>
      </c>
      <c r="E15" s="22"/>
      <c r="F15" s="22"/>
      <c r="G15" s="22">
        <v>540000</v>
      </c>
      <c r="H15" s="12">
        <f t="shared" si="0"/>
        <v>44312</v>
      </c>
    </row>
    <row r="16" spans="2:11" x14ac:dyDescent="0.3">
      <c r="B16" s="6" t="s">
        <v>14</v>
      </c>
      <c r="C16" s="22">
        <v>45000</v>
      </c>
      <c r="D16" s="22"/>
      <c r="E16" s="22"/>
      <c r="F16" s="22"/>
      <c r="G16" s="22"/>
      <c r="H16" s="12">
        <f t="shared" si="0"/>
        <v>44312</v>
      </c>
    </row>
    <row r="17" spans="1:8" x14ac:dyDescent="0.3">
      <c r="B17" s="6" t="s">
        <v>24</v>
      </c>
      <c r="C17" s="22"/>
      <c r="D17" s="22"/>
      <c r="E17" s="22"/>
      <c r="F17" s="49"/>
      <c r="G17" s="22"/>
      <c r="H17" s="12">
        <f t="shared" si="0"/>
        <v>44312</v>
      </c>
    </row>
    <row r="18" spans="1:8" x14ac:dyDescent="0.3">
      <c r="B18" s="6" t="s">
        <v>21</v>
      </c>
      <c r="C18" s="22"/>
      <c r="D18" s="22">
        <v>648000</v>
      </c>
      <c r="E18" s="22"/>
      <c r="F18" s="22"/>
      <c r="G18" s="22"/>
      <c r="H18" s="12">
        <f t="shared" si="0"/>
        <v>44312</v>
      </c>
    </row>
    <row r="19" spans="1:8" x14ac:dyDescent="0.3">
      <c r="B19" s="6" t="s">
        <v>18</v>
      </c>
      <c r="C19" s="22"/>
      <c r="D19" s="22"/>
      <c r="E19" s="22"/>
      <c r="F19" s="22"/>
      <c r="G19" s="22"/>
      <c r="H19" s="12">
        <f t="shared" si="0"/>
        <v>44312</v>
      </c>
    </row>
    <row r="20" spans="1:8" x14ac:dyDescent="0.3">
      <c r="B20" s="6" t="s">
        <v>16</v>
      </c>
      <c r="C20" s="22"/>
      <c r="D20" s="22">
        <v>45000</v>
      </c>
      <c r="E20" s="22"/>
      <c r="F20" s="22"/>
      <c r="G20" s="22"/>
      <c r="H20" s="12">
        <f t="shared" si="0"/>
        <v>44312</v>
      </c>
    </row>
    <row r="21" spans="1:8" x14ac:dyDescent="0.3">
      <c r="B21" s="50" t="s">
        <v>27</v>
      </c>
      <c r="C21" s="51">
        <f>SUM(April26_2021[KSI_AGO])</f>
        <v>1911000</v>
      </c>
      <c r="D21" s="51">
        <f>SUBTOTAL(109,April26_2021[KSI_PMS])</f>
        <v>1985000</v>
      </c>
      <c r="E21" s="51">
        <f>SUM(April26_2021[BUIPE_AGO])</f>
        <v>0</v>
      </c>
      <c r="F21" s="51">
        <f>SUM(April26_2021[BUIPE_PMS])</f>
        <v>0</v>
      </c>
      <c r="G21" s="51">
        <f>SUM(April26_2021[AKOSOMBO_AGO])</f>
        <v>540000</v>
      </c>
      <c r="H21" s="52"/>
    </row>
    <row r="22" spans="1:8" x14ac:dyDescent="0.3">
      <c r="B22" s="8"/>
      <c r="C22" s="24"/>
      <c r="D22" s="24"/>
      <c r="E22" s="24"/>
      <c r="F22" s="24"/>
      <c r="G22" s="24"/>
      <c r="H22"/>
    </row>
    <row r="23" spans="1:8" x14ac:dyDescent="0.3">
      <c r="B23" s="1" t="s">
        <v>6</v>
      </c>
      <c r="C23" s="1" t="s">
        <v>4</v>
      </c>
      <c r="D23" s="5">
        <f>SUMIF(April26_2021[[#Headers],[KSI_AGO]:[AKOSOMBO_AGO]],"*"&amp;C23,April26_2021[[#Totals],[KSI_AGO]:[AKOSOMBO_AGO]])</f>
        <v>2451000</v>
      </c>
      <c r="E23" s="1" t="s">
        <v>5</v>
      </c>
      <c r="F23" s="5">
        <f>SUMIF(April26_2021[[#Headers],[KSI_AGO]:[AKOSOMBO_AGO]],"*"&amp;E23,April26_2021[[#Totals],[KSI_AGO]:[AKOSOMBO_AGO]])</f>
        <v>1985000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EE4795D3-FFF9-49F6-8CF1-AB9C0DAEE98B}">
      <formula1>INDIRECT("BDC_List[BDC List]")</formula1>
    </dataValidation>
  </dataValidations>
  <pageMargins left="0.7" right="0.7" top="0.75" bottom="0.75" header="0.3" footer="0.3"/>
  <tableParts count="1">
    <tablePart r:id="rId1"/>
  </tableParts>
</worksheet>
</file>

<file path=xl/worksheets/sheet3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FC34-649E-4C32-B469-FD2755B43528}">
  <sheetPr codeName="Sheet340"/>
  <dimension ref="A1:K33"/>
  <sheetViews>
    <sheetView workbookViewId="0">
      <selection activeCell="D27" sqref="D2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44313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44313</v>
      </c>
    </row>
    <row r="7" spans="2:11" x14ac:dyDescent="0.3">
      <c r="B7" s="6" t="s">
        <v>37</v>
      </c>
      <c r="C7" s="22"/>
      <c r="D7" s="22"/>
      <c r="E7" s="22"/>
      <c r="F7" s="22"/>
      <c r="G7" s="22"/>
      <c r="H7" s="67">
        <f t="shared" si="0"/>
        <v>44313</v>
      </c>
    </row>
    <row r="8" spans="2:11" x14ac:dyDescent="0.3">
      <c r="B8" s="6" t="s">
        <v>17</v>
      </c>
      <c r="C8" s="22">
        <v>162000</v>
      </c>
      <c r="D8" s="22">
        <v>432000</v>
      </c>
      <c r="E8" s="22"/>
      <c r="F8" s="22">
        <v>108000</v>
      </c>
      <c r="G8" s="22"/>
      <c r="H8" s="12">
        <f t="shared" si="0"/>
        <v>44313</v>
      </c>
    </row>
    <row r="9" spans="2:11" ht="15.6" x14ac:dyDescent="0.3">
      <c r="B9" s="34" t="s">
        <v>0</v>
      </c>
      <c r="C9" s="60"/>
      <c r="D9" s="60"/>
      <c r="E9" s="60"/>
      <c r="F9" s="60"/>
      <c r="G9" s="61"/>
      <c r="H9" s="12">
        <f t="shared" si="0"/>
        <v>44313</v>
      </c>
    </row>
    <row r="10" spans="2:11" x14ac:dyDescent="0.3">
      <c r="B10" s="6" t="s">
        <v>25</v>
      </c>
      <c r="C10" s="22">
        <v>216000</v>
      </c>
      <c r="D10" s="22"/>
      <c r="E10" s="22"/>
      <c r="F10" s="22"/>
      <c r="G10" s="22"/>
      <c r="H10" s="12">
        <f t="shared" si="0"/>
        <v>44313</v>
      </c>
    </row>
    <row r="11" spans="2:11" ht="13.5" customHeight="1" x14ac:dyDescent="0.3">
      <c r="B11" s="6" t="s">
        <v>15</v>
      </c>
      <c r="C11" s="22"/>
      <c r="D11" s="22"/>
      <c r="E11" s="22"/>
      <c r="F11" s="48"/>
      <c r="G11" s="22"/>
      <c r="H11" s="12">
        <f t="shared" si="0"/>
        <v>44313</v>
      </c>
    </row>
    <row r="12" spans="2:11" x14ac:dyDescent="0.3">
      <c r="B12" s="6" t="s">
        <v>54</v>
      </c>
      <c r="C12" s="22"/>
      <c r="D12" s="22"/>
      <c r="E12" s="22"/>
      <c r="F12" s="22"/>
      <c r="G12" s="22"/>
      <c r="H12" s="67">
        <f t="shared" si="0"/>
        <v>44313</v>
      </c>
    </row>
    <row r="13" spans="2:11" x14ac:dyDescent="0.3">
      <c r="B13" s="6" t="s">
        <v>26</v>
      </c>
      <c r="C13" s="22"/>
      <c r="D13" s="22">
        <v>540000</v>
      </c>
      <c r="E13" s="22"/>
      <c r="F13" s="22">
        <v>54000</v>
      </c>
      <c r="G13" s="22"/>
      <c r="H13" s="12">
        <f t="shared" si="0"/>
        <v>44313</v>
      </c>
    </row>
    <row r="14" spans="2:11" x14ac:dyDescent="0.3">
      <c r="B14" s="6" t="s">
        <v>22</v>
      </c>
      <c r="C14" s="23"/>
      <c r="D14" s="23"/>
      <c r="E14" s="23"/>
      <c r="F14" s="22"/>
      <c r="G14" s="23"/>
      <c r="H14" s="12">
        <f t="shared" si="0"/>
        <v>44313</v>
      </c>
      <c r="K14" s="4"/>
    </row>
    <row r="15" spans="2:11" x14ac:dyDescent="0.3">
      <c r="B15" s="6" t="s">
        <v>19</v>
      </c>
      <c r="C15" s="22"/>
      <c r="D15" s="22">
        <v>585000</v>
      </c>
      <c r="E15" s="22"/>
      <c r="F15" s="22"/>
      <c r="G15" s="22"/>
      <c r="H15" s="12">
        <f t="shared" si="0"/>
        <v>44313</v>
      </c>
    </row>
    <row r="16" spans="2:11" x14ac:dyDescent="0.3">
      <c r="B16" s="6" t="s">
        <v>14</v>
      </c>
      <c r="C16" s="22"/>
      <c r="D16" s="22"/>
      <c r="E16" s="22"/>
      <c r="F16" s="22"/>
      <c r="G16" s="22">
        <v>45000</v>
      </c>
      <c r="H16" s="12">
        <f t="shared" si="0"/>
        <v>44313</v>
      </c>
    </row>
    <row r="17" spans="1:8" x14ac:dyDescent="0.3">
      <c r="B17" s="6" t="s">
        <v>24</v>
      </c>
      <c r="C17" s="22"/>
      <c r="D17" s="22"/>
      <c r="E17" s="22"/>
      <c r="F17" s="49"/>
      <c r="G17" s="22"/>
      <c r="H17" s="12">
        <f t="shared" si="0"/>
        <v>44313</v>
      </c>
    </row>
    <row r="18" spans="1:8" x14ac:dyDescent="0.3">
      <c r="B18" s="6" t="s">
        <v>21</v>
      </c>
      <c r="C18" s="22"/>
      <c r="D18" s="22">
        <v>108000</v>
      </c>
      <c r="E18" s="22"/>
      <c r="F18" s="22"/>
      <c r="G18" s="22"/>
      <c r="H18" s="12">
        <f t="shared" si="0"/>
        <v>44313</v>
      </c>
    </row>
    <row r="19" spans="1:8" x14ac:dyDescent="0.3">
      <c r="B19" s="6" t="s">
        <v>18</v>
      </c>
      <c r="C19" s="22"/>
      <c r="D19" s="22"/>
      <c r="E19" s="22"/>
      <c r="F19" s="22"/>
      <c r="G19" s="22"/>
      <c r="H19" s="12">
        <f t="shared" si="0"/>
        <v>44313</v>
      </c>
    </row>
    <row r="20" spans="1:8" x14ac:dyDescent="0.3">
      <c r="B20" s="6" t="s">
        <v>16</v>
      </c>
      <c r="C20" s="22"/>
      <c r="D20" s="22"/>
      <c r="E20" s="22"/>
      <c r="F20" s="22">
        <v>108000</v>
      </c>
      <c r="G20" s="22"/>
      <c r="H20" s="12">
        <f t="shared" si="0"/>
        <v>44313</v>
      </c>
    </row>
    <row r="21" spans="1:8" x14ac:dyDescent="0.3">
      <c r="B21" s="50" t="s">
        <v>27</v>
      </c>
      <c r="C21" s="51">
        <f>SUM(April27_2021[KSI_AGO])</f>
        <v>378000</v>
      </c>
      <c r="D21" s="51">
        <f>SUBTOTAL(109,April27_2021[KSI_PMS])</f>
        <v>1665000</v>
      </c>
      <c r="E21" s="51">
        <f>SUM(April27_2021[BUIPE_AGO])</f>
        <v>0</v>
      </c>
      <c r="F21" s="51">
        <f>SUM(April27_2021[BUIPE_PMS])</f>
        <v>270000</v>
      </c>
      <c r="G21" s="51">
        <f>SUM(April27_2021[AKOSOMBO_AGO])</f>
        <v>45000</v>
      </c>
      <c r="H21" s="52"/>
    </row>
    <row r="22" spans="1:8" x14ac:dyDescent="0.3">
      <c r="B22" s="8"/>
      <c r="C22" s="24"/>
      <c r="D22" s="24"/>
      <c r="E22" s="24"/>
      <c r="F22" s="24"/>
      <c r="G22" s="24"/>
      <c r="H22"/>
    </row>
    <row r="23" spans="1:8" x14ac:dyDescent="0.3">
      <c r="B23" s="1" t="s">
        <v>6</v>
      </c>
      <c r="C23" s="1" t="s">
        <v>4</v>
      </c>
      <c r="D23" s="5">
        <f>SUMIF(April27_2021[[#Headers],[KSI_AGO]:[AKOSOMBO_AGO]],"*"&amp;C23,April27_2021[[#Totals],[KSI_AGO]:[AKOSOMBO_AGO]])</f>
        <v>423000</v>
      </c>
      <c r="E23" s="1" t="s">
        <v>5</v>
      </c>
      <c r="F23" s="5">
        <f>SUMIF(April27_2021[[#Headers],[KSI_AGO]:[AKOSOMBO_AGO]],"*"&amp;E23,April27_2021[[#Totals],[KSI_AGO]:[AKOSOMBO_AGO]])</f>
        <v>1935000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6414E6C5-4280-423C-84EC-009537ECE40E}">
      <formula1>INDIRECT("BDC_List[BDC List]")</formula1>
    </dataValidation>
  </dataValidations>
  <pageMargins left="0.7" right="0.7" top="0.75" bottom="0.75" header="0.3" footer="0.3"/>
  <legacyDrawing r:id="rId1"/>
  <tableParts count="1">
    <tablePart r:id="rId2"/>
  </tableParts>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72EB-2384-4AF0-91E8-11CAA6489FBC}">
  <sheetPr codeName="Sheet341"/>
  <dimension ref="A1:K33"/>
  <sheetViews>
    <sheetView topLeftCell="A3" workbookViewId="0">
      <selection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44314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44314</v>
      </c>
    </row>
    <row r="7" spans="2:11" x14ac:dyDescent="0.3">
      <c r="B7" s="6" t="s">
        <v>37</v>
      </c>
      <c r="C7" s="22"/>
      <c r="D7" s="22"/>
      <c r="E7" s="22"/>
      <c r="F7" s="22"/>
      <c r="G7" s="22"/>
      <c r="H7" s="67">
        <f t="shared" si="0"/>
        <v>44314</v>
      </c>
    </row>
    <row r="8" spans="2:11" x14ac:dyDescent="0.3">
      <c r="B8" s="6" t="s">
        <v>17</v>
      </c>
      <c r="C8" s="22">
        <v>45000</v>
      </c>
      <c r="D8" s="22">
        <v>265500</v>
      </c>
      <c r="E8" s="22"/>
      <c r="F8" s="22">
        <v>216000</v>
      </c>
      <c r="G8" s="22"/>
      <c r="H8" s="12">
        <f t="shared" si="0"/>
        <v>44314</v>
      </c>
    </row>
    <row r="9" spans="2:11" ht="15.6" x14ac:dyDescent="0.3">
      <c r="B9" s="34" t="s">
        <v>0</v>
      </c>
      <c r="C9" s="60"/>
      <c r="D9" s="60"/>
      <c r="E9" s="60"/>
      <c r="F9" s="60"/>
      <c r="G9" s="61"/>
      <c r="H9" s="12">
        <f t="shared" si="0"/>
        <v>44314</v>
      </c>
    </row>
    <row r="10" spans="2:11" x14ac:dyDescent="0.3">
      <c r="B10" s="6" t="s">
        <v>25</v>
      </c>
      <c r="C10" s="22"/>
      <c r="D10" s="22"/>
      <c r="E10" s="22"/>
      <c r="F10" s="22"/>
      <c r="G10" s="22"/>
      <c r="H10" s="12">
        <f t="shared" si="0"/>
        <v>44314</v>
      </c>
    </row>
    <row r="11" spans="2:11" ht="13.5" customHeight="1" x14ac:dyDescent="0.3">
      <c r="B11" s="6" t="s">
        <v>15</v>
      </c>
      <c r="C11" s="22"/>
      <c r="D11" s="22"/>
      <c r="E11" s="22"/>
      <c r="F11" s="48"/>
      <c r="G11" s="22"/>
      <c r="H11" s="12">
        <f t="shared" si="0"/>
        <v>44314</v>
      </c>
    </row>
    <row r="12" spans="2:11" x14ac:dyDescent="0.3">
      <c r="B12" s="6" t="s">
        <v>54</v>
      </c>
      <c r="C12" s="22"/>
      <c r="D12" s="22"/>
      <c r="E12" s="22"/>
      <c r="F12" s="22"/>
      <c r="G12" s="22"/>
      <c r="H12" s="67">
        <f t="shared" si="0"/>
        <v>44314</v>
      </c>
    </row>
    <row r="13" spans="2:11" x14ac:dyDescent="0.3">
      <c r="B13" s="6" t="s">
        <v>26</v>
      </c>
      <c r="C13" s="22"/>
      <c r="D13" s="22">
        <v>162000</v>
      </c>
      <c r="E13" s="22"/>
      <c r="F13" s="22">
        <v>108000</v>
      </c>
      <c r="G13" s="22"/>
      <c r="H13" s="12">
        <f t="shared" si="0"/>
        <v>44314</v>
      </c>
    </row>
    <row r="14" spans="2:11" x14ac:dyDescent="0.3">
      <c r="B14" s="6" t="s">
        <v>22</v>
      </c>
      <c r="C14" s="23"/>
      <c r="D14" s="23"/>
      <c r="E14" s="23"/>
      <c r="F14" s="22"/>
      <c r="G14" s="23"/>
      <c r="H14" s="12">
        <f t="shared" si="0"/>
        <v>44314</v>
      </c>
      <c r="K14" s="4"/>
    </row>
    <row r="15" spans="2:11" x14ac:dyDescent="0.3">
      <c r="B15" s="6" t="s">
        <v>19</v>
      </c>
      <c r="C15" s="22">
        <v>810000</v>
      </c>
      <c r="D15" s="22">
        <v>320000</v>
      </c>
      <c r="E15" s="22"/>
      <c r="F15" s="22">
        <v>162000</v>
      </c>
      <c r="G15" s="22"/>
      <c r="H15" s="12">
        <f t="shared" si="0"/>
        <v>44314</v>
      </c>
    </row>
    <row r="16" spans="2:11" x14ac:dyDescent="0.3">
      <c r="B16" s="6" t="s">
        <v>14</v>
      </c>
      <c r="C16" s="22"/>
      <c r="D16" s="22">
        <v>270000</v>
      </c>
      <c r="E16" s="22"/>
      <c r="F16" s="22"/>
      <c r="G16" s="22">
        <v>90000</v>
      </c>
      <c r="H16" s="12">
        <f t="shared" si="0"/>
        <v>44314</v>
      </c>
    </row>
    <row r="17" spans="1:8" x14ac:dyDescent="0.3">
      <c r="B17" s="6" t="s">
        <v>24</v>
      </c>
      <c r="C17" s="22"/>
      <c r="D17" s="22"/>
      <c r="E17" s="22"/>
      <c r="F17" s="49"/>
      <c r="G17" s="22"/>
      <c r="H17" s="12">
        <f t="shared" si="0"/>
        <v>44314</v>
      </c>
    </row>
    <row r="18" spans="1:8" x14ac:dyDescent="0.3">
      <c r="B18" s="6" t="s">
        <v>21</v>
      </c>
      <c r="C18" s="22"/>
      <c r="D18" s="22">
        <v>108000</v>
      </c>
      <c r="E18" s="22"/>
      <c r="F18" s="22"/>
      <c r="G18" s="22"/>
      <c r="H18" s="12">
        <f t="shared" si="0"/>
        <v>44314</v>
      </c>
    </row>
    <row r="19" spans="1:8" x14ac:dyDescent="0.3">
      <c r="B19" s="6" t="s">
        <v>18</v>
      </c>
      <c r="C19" s="22"/>
      <c r="D19" s="22"/>
      <c r="E19" s="22"/>
      <c r="F19" s="22"/>
      <c r="G19" s="22"/>
      <c r="H19" s="12">
        <f t="shared" si="0"/>
        <v>44314</v>
      </c>
    </row>
    <row r="20" spans="1:8" x14ac:dyDescent="0.3">
      <c r="B20" s="6" t="s">
        <v>16</v>
      </c>
      <c r="C20" s="22"/>
      <c r="D20" s="22"/>
      <c r="E20" s="22"/>
      <c r="F20" s="22">
        <v>162000</v>
      </c>
      <c r="G20" s="22"/>
      <c r="H20" s="12">
        <f t="shared" si="0"/>
        <v>44314</v>
      </c>
    </row>
    <row r="21" spans="1:8" x14ac:dyDescent="0.3">
      <c r="B21" s="50" t="s">
        <v>27</v>
      </c>
      <c r="C21" s="51">
        <f>SUM(April28_2021[KSI_AGO])</f>
        <v>855000</v>
      </c>
      <c r="D21" s="51">
        <f>SUBTOTAL(109,April28_2021[KSI_PMS])</f>
        <v>1125500</v>
      </c>
      <c r="E21" s="51">
        <f>SUM(April28_2021[BUIPE_AGO])</f>
        <v>0</v>
      </c>
      <c r="F21" s="51">
        <f>SUM(April28_2021[BUIPE_PMS])</f>
        <v>648000</v>
      </c>
      <c r="G21" s="51">
        <f>SUM(April28_2021[AKOSOMBO_AGO])</f>
        <v>90000</v>
      </c>
      <c r="H21" s="52"/>
    </row>
    <row r="22" spans="1:8" x14ac:dyDescent="0.3">
      <c r="B22" s="8"/>
      <c r="C22" s="24"/>
      <c r="D22" s="24"/>
      <c r="E22" s="24"/>
      <c r="F22" s="24"/>
      <c r="G22" s="24"/>
      <c r="H22"/>
    </row>
    <row r="23" spans="1:8" x14ac:dyDescent="0.3">
      <c r="B23" s="1" t="s">
        <v>6</v>
      </c>
      <c r="C23" s="1" t="s">
        <v>4</v>
      </c>
      <c r="D23" s="5">
        <f>SUMIF(April28_2021[[#Headers],[KSI_AGO]:[AKOSOMBO_AGO]],"*"&amp;C23,April28_2021[[#Totals],[KSI_AGO]:[AKOSOMBO_AGO]])</f>
        <v>945000</v>
      </c>
      <c r="E23" s="1" t="s">
        <v>5</v>
      </c>
      <c r="F23" s="5">
        <f>SUMIF(April28_2021[[#Headers],[KSI_AGO]:[AKOSOMBO_AGO]],"*"&amp;E23,April28_2021[[#Totals],[KSI_AGO]:[AKOSOMBO_AGO]])</f>
        <v>1773500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4C00EFB2-0A0C-4372-A61C-22F2BC789494}">
      <formula1>INDIRECT("BDC_List[BDC List]")</formula1>
    </dataValidation>
  </dataValidations>
  <pageMargins left="0.7" right="0.7" top="0.75" bottom="0.75" header="0.3" footer="0.3"/>
  <tableParts count="1">
    <tablePart r:id="rId1"/>
  </tableParts>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8E8D9-B891-4E6E-9DDC-C18B8C641F3F}">
  <sheetPr codeName="Sheet342"/>
  <dimension ref="A1:K33"/>
  <sheetViews>
    <sheetView workbookViewId="0">
      <selection activeCell="G10" sqref="G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44315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44315</v>
      </c>
    </row>
    <row r="7" spans="2:11" x14ac:dyDescent="0.3">
      <c r="B7" s="6" t="s">
        <v>37</v>
      </c>
      <c r="C7" s="22"/>
      <c r="D7" s="22"/>
      <c r="E7" s="22"/>
      <c r="F7" s="22"/>
      <c r="G7" s="22"/>
      <c r="H7" s="67">
        <f t="shared" si="0"/>
        <v>44315</v>
      </c>
    </row>
    <row r="8" spans="2:11" x14ac:dyDescent="0.3">
      <c r="B8" s="6" t="s">
        <v>17</v>
      </c>
      <c r="C8" s="22"/>
      <c r="D8" s="22">
        <v>162000</v>
      </c>
      <c r="E8" s="22"/>
      <c r="F8" s="22">
        <v>324000</v>
      </c>
      <c r="G8" s="22"/>
      <c r="H8" s="12">
        <f t="shared" si="0"/>
        <v>44315</v>
      </c>
    </row>
    <row r="9" spans="2:11" ht="15.6" x14ac:dyDescent="0.3">
      <c r="B9" s="34" t="s">
        <v>0</v>
      </c>
      <c r="C9" s="60"/>
      <c r="D9" s="60"/>
      <c r="E9" s="60"/>
      <c r="F9" s="60">
        <v>45000</v>
      </c>
      <c r="G9" s="61"/>
      <c r="H9" s="12">
        <f t="shared" si="0"/>
        <v>44315</v>
      </c>
    </row>
    <row r="10" spans="2:11" x14ac:dyDescent="0.3">
      <c r="B10" s="6" t="s">
        <v>25</v>
      </c>
      <c r="C10" s="22"/>
      <c r="D10" s="22"/>
      <c r="E10" s="22"/>
      <c r="F10" s="22"/>
      <c r="G10" s="22"/>
      <c r="H10" s="12">
        <f t="shared" si="0"/>
        <v>44315</v>
      </c>
    </row>
    <row r="11" spans="2:11" ht="13.5" customHeight="1" x14ac:dyDescent="0.3">
      <c r="B11" s="6" t="s">
        <v>15</v>
      </c>
      <c r="C11" s="22"/>
      <c r="D11" s="22">
        <v>108000</v>
      </c>
      <c r="E11" s="22"/>
      <c r="F11" s="48">
        <v>161000</v>
      </c>
      <c r="G11" s="22"/>
      <c r="H11" s="12">
        <f t="shared" si="0"/>
        <v>44315</v>
      </c>
    </row>
    <row r="12" spans="2:11" x14ac:dyDescent="0.3">
      <c r="B12" s="6" t="s">
        <v>54</v>
      </c>
      <c r="C12" s="22"/>
      <c r="D12" s="22"/>
      <c r="E12" s="22"/>
      <c r="F12" s="22"/>
      <c r="G12" s="22"/>
      <c r="H12" s="67">
        <f t="shared" si="0"/>
        <v>44315</v>
      </c>
    </row>
    <row r="13" spans="2:11" x14ac:dyDescent="0.3">
      <c r="B13" s="6" t="s">
        <v>26</v>
      </c>
      <c r="C13" s="22"/>
      <c r="D13" s="22">
        <v>108000</v>
      </c>
      <c r="E13" s="22"/>
      <c r="F13" s="22">
        <v>162000</v>
      </c>
      <c r="G13" s="22"/>
      <c r="H13" s="12">
        <f t="shared" si="0"/>
        <v>44315</v>
      </c>
    </row>
    <row r="14" spans="2:11" x14ac:dyDescent="0.3">
      <c r="B14" s="6" t="s">
        <v>22</v>
      </c>
      <c r="C14" s="23"/>
      <c r="D14" s="23"/>
      <c r="E14" s="23"/>
      <c r="F14" s="22"/>
      <c r="G14" s="23"/>
      <c r="H14" s="12">
        <f t="shared" si="0"/>
        <v>44315</v>
      </c>
      <c r="K14" s="4"/>
    </row>
    <row r="15" spans="2:11" x14ac:dyDescent="0.3">
      <c r="B15" s="6" t="s">
        <v>19</v>
      </c>
      <c r="C15" s="22"/>
      <c r="D15" s="22">
        <v>50000</v>
      </c>
      <c r="E15" s="22"/>
      <c r="F15" s="22">
        <v>162000</v>
      </c>
      <c r="G15" s="22"/>
      <c r="H15" s="12">
        <f t="shared" si="0"/>
        <v>44315</v>
      </c>
    </row>
    <row r="16" spans="2:11" x14ac:dyDescent="0.3">
      <c r="B16" s="6" t="s">
        <v>14</v>
      </c>
      <c r="C16" s="22">
        <v>1076000</v>
      </c>
      <c r="D16" s="22">
        <v>320000</v>
      </c>
      <c r="E16" s="22">
        <v>486000</v>
      </c>
      <c r="F16" s="22"/>
      <c r="G16" s="22"/>
      <c r="H16" s="12">
        <f t="shared" si="0"/>
        <v>44315</v>
      </c>
    </row>
    <row r="17" spans="1:8" x14ac:dyDescent="0.3">
      <c r="B17" s="6" t="s">
        <v>24</v>
      </c>
      <c r="C17" s="22"/>
      <c r="D17" s="22"/>
      <c r="E17" s="22"/>
      <c r="F17" s="49"/>
      <c r="G17" s="22"/>
      <c r="H17" s="12">
        <f t="shared" si="0"/>
        <v>44315</v>
      </c>
    </row>
    <row r="18" spans="1:8" x14ac:dyDescent="0.3">
      <c r="B18" s="6" t="s">
        <v>21</v>
      </c>
      <c r="C18" s="22"/>
      <c r="D18" s="22">
        <v>54000</v>
      </c>
      <c r="E18" s="22"/>
      <c r="F18" s="22"/>
      <c r="G18" s="22"/>
      <c r="H18" s="12">
        <f t="shared" si="0"/>
        <v>44315</v>
      </c>
    </row>
    <row r="19" spans="1:8" x14ac:dyDescent="0.3">
      <c r="B19" s="6" t="s">
        <v>18</v>
      </c>
      <c r="C19" s="22"/>
      <c r="D19" s="22"/>
      <c r="E19" s="22"/>
      <c r="F19" s="22"/>
      <c r="G19" s="22"/>
      <c r="H19" s="12">
        <f t="shared" si="0"/>
        <v>44315</v>
      </c>
    </row>
    <row r="20" spans="1:8" x14ac:dyDescent="0.3">
      <c r="B20" s="6" t="s">
        <v>16</v>
      </c>
      <c r="C20" s="22">
        <v>432000</v>
      </c>
      <c r="D20" s="22"/>
      <c r="E20" s="22"/>
      <c r="F20" s="22">
        <v>324000</v>
      </c>
      <c r="G20" s="22">
        <v>540000</v>
      </c>
      <c r="H20" s="12">
        <f t="shared" si="0"/>
        <v>44315</v>
      </c>
    </row>
    <row r="21" spans="1:8" x14ac:dyDescent="0.3">
      <c r="B21" s="50" t="s">
        <v>27</v>
      </c>
      <c r="C21" s="51">
        <f>SUM(April29_2021[KSI_AGO])</f>
        <v>1508000</v>
      </c>
      <c r="D21" s="51">
        <f>SUBTOTAL(109,April29_2021[KSI_PMS])</f>
        <v>802000</v>
      </c>
      <c r="E21" s="51">
        <f>SUM(April29_2021[BUIPE_AGO])</f>
        <v>486000</v>
      </c>
      <c r="F21" s="51">
        <f>SUM(April29_2021[BUIPE_PMS])</f>
        <v>1178000</v>
      </c>
      <c r="G21" s="51">
        <f>SUM(April29_2021[AKOSOMBO_AGO])</f>
        <v>540000</v>
      </c>
      <c r="H21" s="52"/>
    </row>
    <row r="22" spans="1:8" x14ac:dyDescent="0.3">
      <c r="B22" s="8"/>
      <c r="C22" s="24"/>
      <c r="D22" s="24"/>
      <c r="E22" s="24"/>
      <c r="F22" s="24"/>
      <c r="G22" s="24"/>
      <c r="H22"/>
    </row>
    <row r="23" spans="1:8" x14ac:dyDescent="0.3">
      <c r="B23" s="1" t="s">
        <v>6</v>
      </c>
      <c r="C23" s="1" t="s">
        <v>4</v>
      </c>
      <c r="D23" s="5">
        <f>SUMIF(April29_2021[[#Headers],[KSI_AGO]:[AKOSOMBO_AGO]],"*"&amp;C23,April29_2021[[#Totals],[KSI_AGO]:[AKOSOMBO_AGO]])</f>
        <v>2534000</v>
      </c>
      <c r="E23" s="1" t="s">
        <v>5</v>
      </c>
      <c r="F23" s="5">
        <f>SUMIF(April29_2021[[#Headers],[KSI_AGO]:[AKOSOMBO_AGO]],"*"&amp;E23,April29_2021[[#Totals],[KSI_AGO]:[AKOSOMBO_AGO]])</f>
        <v>1980000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3D8668F3-2DF5-4A5A-A88C-82D3BE3F3BCF}">
      <formula1>INDIRECT("BDC_List[BDC List]")</formula1>
    </dataValidation>
  </dataValidations>
  <pageMargins left="0.7" right="0.7" top="0.75" bottom="0.75" header="0.3" footer="0.3"/>
  <tableParts count="1">
    <tablePart r:id="rId1"/>
  </tableParts>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26B1-4EA9-487B-BA5F-F5A3555C6E41}">
  <sheetPr codeName="Sheet343"/>
  <dimension ref="A1:K33"/>
  <sheetViews>
    <sheetView topLeftCell="A6" workbookViewId="0">
      <selection activeCell="H19" sqref="H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44316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44316</v>
      </c>
    </row>
    <row r="7" spans="2:11" x14ac:dyDescent="0.3">
      <c r="B7" s="6" t="s">
        <v>37</v>
      </c>
      <c r="C7" s="22"/>
      <c r="D7" s="22"/>
      <c r="E7" s="22"/>
      <c r="F7" s="22"/>
      <c r="G7" s="22"/>
      <c r="H7" s="67">
        <f t="shared" si="0"/>
        <v>44316</v>
      </c>
    </row>
    <row r="8" spans="2:11" x14ac:dyDescent="0.3">
      <c r="B8" s="6" t="s">
        <v>17</v>
      </c>
      <c r="C8" s="22"/>
      <c r="D8" s="22">
        <v>266000</v>
      </c>
      <c r="E8" s="22"/>
      <c r="F8" s="22">
        <v>108000</v>
      </c>
      <c r="G8" s="22"/>
      <c r="H8" s="12">
        <f t="shared" si="0"/>
        <v>44316</v>
      </c>
    </row>
    <row r="9" spans="2:11" ht="15.6" x14ac:dyDescent="0.3">
      <c r="B9" s="34" t="s">
        <v>0</v>
      </c>
      <c r="C9" s="60"/>
      <c r="D9" s="60"/>
      <c r="E9" s="60"/>
      <c r="F9" s="60"/>
      <c r="G9" s="61"/>
      <c r="H9" s="12">
        <f t="shared" si="0"/>
        <v>44316</v>
      </c>
    </row>
    <row r="10" spans="2:11" ht="18" customHeight="1" x14ac:dyDescent="0.3">
      <c r="B10" s="6" t="s">
        <v>25</v>
      </c>
      <c r="C10" s="22"/>
      <c r="D10" s="22"/>
      <c r="E10" s="22"/>
      <c r="F10" s="22"/>
      <c r="G10" s="22"/>
      <c r="H10" s="12">
        <f t="shared" si="0"/>
        <v>44316</v>
      </c>
    </row>
    <row r="11" spans="2:11" ht="13.5" customHeight="1" x14ac:dyDescent="0.3">
      <c r="B11" s="6" t="s">
        <v>15</v>
      </c>
      <c r="C11" s="22">
        <v>216000</v>
      </c>
      <c r="D11" s="22">
        <v>374000</v>
      </c>
      <c r="E11" s="22">
        <v>315000</v>
      </c>
      <c r="F11" s="48">
        <v>54000</v>
      </c>
      <c r="G11" s="22"/>
      <c r="H11" s="12">
        <f t="shared" si="0"/>
        <v>44316</v>
      </c>
    </row>
    <row r="12" spans="2:11" x14ac:dyDescent="0.3">
      <c r="B12" s="6" t="s">
        <v>54</v>
      </c>
      <c r="C12" s="22"/>
      <c r="D12" s="22"/>
      <c r="E12" s="22"/>
      <c r="F12" s="22"/>
      <c r="G12" s="22"/>
      <c r="H12" s="67">
        <f t="shared" si="0"/>
        <v>44316</v>
      </c>
    </row>
    <row r="13" spans="2:11" x14ac:dyDescent="0.3">
      <c r="B13" s="6" t="s">
        <v>26</v>
      </c>
      <c r="C13" s="22"/>
      <c r="D13" s="22">
        <v>216000</v>
      </c>
      <c r="E13" s="22"/>
      <c r="F13" s="22">
        <v>54000</v>
      </c>
      <c r="G13" s="22"/>
      <c r="H13" s="12">
        <f t="shared" si="0"/>
        <v>44316</v>
      </c>
    </row>
    <row r="14" spans="2:11" x14ac:dyDescent="0.3">
      <c r="B14" s="6" t="s">
        <v>22</v>
      </c>
      <c r="C14" s="23"/>
      <c r="D14" s="23"/>
      <c r="E14" s="23"/>
      <c r="F14" s="22"/>
      <c r="G14" s="23"/>
      <c r="H14" s="12">
        <f t="shared" si="0"/>
        <v>44316</v>
      </c>
      <c r="K14" s="4"/>
    </row>
    <row r="15" spans="2:11" x14ac:dyDescent="0.3">
      <c r="B15" s="6" t="s">
        <v>19</v>
      </c>
      <c r="C15" s="22"/>
      <c r="D15" s="22">
        <v>428000</v>
      </c>
      <c r="E15" s="22"/>
      <c r="F15" s="22">
        <v>212000</v>
      </c>
      <c r="G15" s="22"/>
      <c r="H15" s="12">
        <f t="shared" si="0"/>
        <v>44316</v>
      </c>
    </row>
    <row r="16" spans="2:11" x14ac:dyDescent="0.3">
      <c r="B16" s="6" t="s">
        <v>14</v>
      </c>
      <c r="C16" s="22">
        <v>1422000</v>
      </c>
      <c r="D16" s="22">
        <v>324000</v>
      </c>
      <c r="E16" s="22"/>
      <c r="F16" s="22"/>
      <c r="G16" s="22"/>
      <c r="H16" s="12">
        <f t="shared" si="0"/>
        <v>44316</v>
      </c>
    </row>
    <row r="17" spans="1:8" x14ac:dyDescent="0.3">
      <c r="B17" s="6" t="s">
        <v>24</v>
      </c>
      <c r="C17" s="22"/>
      <c r="D17" s="22"/>
      <c r="E17" s="22"/>
      <c r="F17" s="49"/>
      <c r="G17" s="22"/>
      <c r="H17" s="12">
        <f t="shared" si="0"/>
        <v>44316</v>
      </c>
    </row>
    <row r="18" spans="1:8" x14ac:dyDescent="0.3">
      <c r="B18" s="6" t="s">
        <v>21</v>
      </c>
      <c r="C18" s="22"/>
      <c r="D18" s="22">
        <v>162000</v>
      </c>
      <c r="E18" s="22"/>
      <c r="F18" s="22"/>
      <c r="G18" s="22"/>
      <c r="H18" s="12">
        <f t="shared" si="0"/>
        <v>44316</v>
      </c>
    </row>
    <row r="19" spans="1:8" x14ac:dyDescent="0.3">
      <c r="B19" s="6" t="s">
        <v>18</v>
      </c>
      <c r="C19" s="22">
        <v>586000</v>
      </c>
      <c r="D19" s="22"/>
      <c r="E19" s="22"/>
      <c r="F19" s="22"/>
      <c r="G19" s="22"/>
      <c r="H19" s="12">
        <f t="shared" si="0"/>
        <v>44316</v>
      </c>
    </row>
    <row r="20" spans="1:8" x14ac:dyDescent="0.3">
      <c r="B20" s="6" t="s">
        <v>16</v>
      </c>
      <c r="C20" s="22"/>
      <c r="D20" s="22"/>
      <c r="E20" s="22"/>
      <c r="F20" s="22"/>
      <c r="G20" s="22">
        <v>270000</v>
      </c>
      <c r="H20" s="12">
        <f t="shared" si="0"/>
        <v>44316</v>
      </c>
    </row>
    <row r="21" spans="1:8" x14ac:dyDescent="0.3">
      <c r="B21" s="50" t="s">
        <v>27</v>
      </c>
      <c r="C21" s="51">
        <f>SUM(April30_2021[KSI_AGO])</f>
        <v>2224000</v>
      </c>
      <c r="D21" s="51">
        <f>SUBTOTAL(109,April30_2021[KSI_PMS])</f>
        <v>1770000</v>
      </c>
      <c r="E21" s="51">
        <f>SUM(April30_2021[BUIPE_AGO])</f>
        <v>315000</v>
      </c>
      <c r="F21" s="51">
        <f>SUM(April30_2021[BUIPE_PMS])</f>
        <v>428000</v>
      </c>
      <c r="G21" s="51">
        <f>SUM(April30_2021[AKOSOMBO_AGO])</f>
        <v>270000</v>
      </c>
      <c r="H21" s="52"/>
    </row>
    <row r="22" spans="1:8" x14ac:dyDescent="0.3">
      <c r="B22" s="8"/>
      <c r="C22" s="24"/>
      <c r="D22" s="24"/>
      <c r="E22" s="24"/>
      <c r="F22" s="24"/>
      <c r="G22" s="24"/>
      <c r="H22"/>
    </row>
    <row r="23" spans="1:8" x14ac:dyDescent="0.3">
      <c r="B23" s="1" t="s">
        <v>6</v>
      </c>
      <c r="C23" s="1" t="s">
        <v>4</v>
      </c>
      <c r="D23" s="5">
        <f>SUMIF(April30_2021[[#Headers],[KSI_AGO]:[AKOSOMBO_AGO]],"*"&amp;C23,April30_2021[[#Totals],[KSI_AGO]:[AKOSOMBO_AGO]])</f>
        <v>2809000</v>
      </c>
      <c r="E23" s="1" t="s">
        <v>5</v>
      </c>
      <c r="F23" s="5">
        <f>SUMIF(April30_2021[[#Headers],[KSI_AGO]:[AKOSOMBO_AGO]],"*"&amp;E23,April30_2021[[#Totals],[KSI_AGO]:[AKOSOMBO_AGO]])</f>
        <v>2198000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14477258-A38E-45A2-A33E-7D3490BE06B8}">
      <formula1>INDIRECT("BDC_List[BDC List]")</formula1>
    </dataValidation>
  </dataValidations>
  <pageMargins left="0.7" right="0.7" top="0.75" bottom="0.75" header="0.3" footer="0.3"/>
  <tableParts count="1">
    <tablePart r:id="rId1"/>
  </tableParts>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348E-DAEC-4835-8591-6DF5DB751C36}">
  <sheetPr codeName="Sheet344"/>
  <dimension ref="A1:K33"/>
  <sheetViews>
    <sheetView workbookViewId="0">
      <selection activeCell="B12" sqref="B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44321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44321</v>
      </c>
    </row>
    <row r="7" spans="2:11" x14ac:dyDescent="0.3">
      <c r="B7" s="6" t="s">
        <v>37</v>
      </c>
      <c r="C7" s="22"/>
      <c r="D7" s="22"/>
      <c r="E7" s="22"/>
      <c r="F7" s="22"/>
      <c r="G7" s="22"/>
      <c r="H7" s="67">
        <f t="shared" si="0"/>
        <v>44321</v>
      </c>
    </row>
    <row r="8" spans="2:11" x14ac:dyDescent="0.3">
      <c r="B8" s="6" t="s">
        <v>17</v>
      </c>
      <c r="C8" s="22"/>
      <c r="D8" s="22">
        <v>162000</v>
      </c>
      <c r="E8" s="22"/>
      <c r="F8" s="22"/>
      <c r="G8" s="22"/>
      <c r="H8" s="12">
        <f t="shared" si="0"/>
        <v>44321</v>
      </c>
    </row>
    <row r="9" spans="2:11" ht="15.6" x14ac:dyDescent="0.3">
      <c r="B9" s="34" t="s">
        <v>0</v>
      </c>
      <c r="C9" s="60"/>
      <c r="D9" s="60">
        <v>540000</v>
      </c>
      <c r="E9" s="60"/>
      <c r="F9" s="60"/>
      <c r="G9" s="61"/>
      <c r="H9" s="12">
        <f t="shared" si="0"/>
        <v>44321</v>
      </c>
    </row>
    <row r="10" spans="2:11" x14ac:dyDescent="0.3">
      <c r="B10" s="6" t="s">
        <v>25</v>
      </c>
      <c r="C10" s="22"/>
      <c r="D10" s="22"/>
      <c r="E10" s="22"/>
      <c r="F10" s="22"/>
      <c r="G10" s="22"/>
      <c r="H10" s="12">
        <f t="shared" si="0"/>
        <v>44321</v>
      </c>
    </row>
    <row r="11" spans="2:11" ht="13.5" customHeight="1" x14ac:dyDescent="0.3">
      <c r="B11" s="6" t="s">
        <v>15</v>
      </c>
      <c r="C11" s="22">
        <v>864000</v>
      </c>
      <c r="D11" s="22">
        <v>162000</v>
      </c>
      <c r="E11" s="22">
        <v>648000</v>
      </c>
      <c r="F11" s="48">
        <v>108000</v>
      </c>
      <c r="G11" s="22"/>
      <c r="H11" s="12">
        <f t="shared" si="0"/>
        <v>44321</v>
      </c>
    </row>
    <row r="12" spans="2:11" x14ac:dyDescent="0.3">
      <c r="B12" s="6" t="s">
        <v>54</v>
      </c>
      <c r="C12" s="22"/>
      <c r="D12" s="22"/>
      <c r="E12" s="22"/>
      <c r="F12" s="22"/>
      <c r="G12" s="22"/>
      <c r="H12" s="67">
        <f t="shared" si="0"/>
        <v>44321</v>
      </c>
    </row>
    <row r="13" spans="2:11" x14ac:dyDescent="0.3">
      <c r="B13" s="6" t="s">
        <v>26</v>
      </c>
      <c r="C13" s="22"/>
      <c r="D13" s="22">
        <v>54000</v>
      </c>
      <c r="E13" s="22"/>
      <c r="F13" s="22"/>
      <c r="G13" s="22"/>
      <c r="H13" s="12">
        <f t="shared" si="0"/>
        <v>44321</v>
      </c>
    </row>
    <row r="14" spans="2:11" x14ac:dyDescent="0.3">
      <c r="B14" s="6" t="s">
        <v>22</v>
      </c>
      <c r="C14" s="23"/>
      <c r="D14" s="23"/>
      <c r="E14" s="23"/>
      <c r="F14" s="22"/>
      <c r="G14" s="23"/>
      <c r="H14" s="12">
        <f t="shared" si="0"/>
        <v>44321</v>
      </c>
      <c r="K14" s="4"/>
    </row>
    <row r="15" spans="2:11" x14ac:dyDescent="0.3">
      <c r="B15" s="6" t="s">
        <v>19</v>
      </c>
      <c r="C15" s="22">
        <v>100000</v>
      </c>
      <c r="D15" s="22">
        <v>216000</v>
      </c>
      <c r="E15" s="22"/>
      <c r="F15" s="22">
        <v>108000</v>
      </c>
      <c r="G15" s="22"/>
      <c r="H15" s="12">
        <f t="shared" si="0"/>
        <v>44321</v>
      </c>
    </row>
    <row r="16" spans="2:11" x14ac:dyDescent="0.3">
      <c r="B16" s="6" t="s">
        <v>14</v>
      </c>
      <c r="C16" s="22"/>
      <c r="D16" s="22">
        <v>256000</v>
      </c>
      <c r="E16" s="22"/>
      <c r="F16" s="22"/>
      <c r="G16" s="22"/>
      <c r="H16" s="12">
        <f t="shared" si="0"/>
        <v>44321</v>
      </c>
    </row>
    <row r="17" spans="1:8" x14ac:dyDescent="0.3">
      <c r="B17" s="6" t="s">
        <v>24</v>
      </c>
      <c r="C17" s="22"/>
      <c r="D17" s="22"/>
      <c r="E17" s="22"/>
      <c r="F17" s="49"/>
      <c r="G17" s="22"/>
      <c r="H17" s="12">
        <f t="shared" si="0"/>
        <v>44321</v>
      </c>
    </row>
    <row r="18" spans="1:8" x14ac:dyDescent="0.3">
      <c r="B18" s="6" t="s">
        <v>21</v>
      </c>
      <c r="C18" s="22"/>
      <c r="D18" s="22">
        <v>54000</v>
      </c>
      <c r="E18" s="22"/>
      <c r="F18" s="22"/>
      <c r="G18" s="22"/>
      <c r="H18" s="12">
        <f t="shared" si="0"/>
        <v>44321</v>
      </c>
    </row>
    <row r="19" spans="1:8" x14ac:dyDescent="0.3">
      <c r="B19" s="6" t="s">
        <v>18</v>
      </c>
      <c r="C19" s="22">
        <v>540000</v>
      </c>
      <c r="D19" s="22"/>
      <c r="E19" s="22"/>
      <c r="F19" s="22"/>
      <c r="G19" s="22"/>
      <c r="H19" s="12">
        <f t="shared" si="0"/>
        <v>44321</v>
      </c>
    </row>
    <row r="20" spans="1:8" x14ac:dyDescent="0.3">
      <c r="B20" s="6" t="s">
        <v>16</v>
      </c>
      <c r="C20" s="22">
        <v>95000</v>
      </c>
      <c r="D20" s="22"/>
      <c r="E20" s="22"/>
      <c r="F20" s="22"/>
      <c r="G20" s="22"/>
      <c r="H20" s="12">
        <f t="shared" si="0"/>
        <v>44321</v>
      </c>
    </row>
    <row r="21" spans="1:8" x14ac:dyDescent="0.3">
      <c r="B21" s="50" t="s">
        <v>27</v>
      </c>
      <c r="C21" s="51">
        <f>SUM(May05_2021[KSI_AGO])</f>
        <v>1599000</v>
      </c>
      <c r="D21" s="51">
        <f>SUBTOTAL(109,May05_2021[KSI_PMS])</f>
        <v>1444000</v>
      </c>
      <c r="E21" s="51">
        <f>SUM(May05_2021[BUIPE_AGO])</f>
        <v>648000</v>
      </c>
      <c r="F21" s="51">
        <f>SUM(May05_2021[BUIPE_PMS])</f>
        <v>216000</v>
      </c>
      <c r="G21" s="51">
        <f>SUM(May05_2021[AKOSOMBO_AGO])</f>
        <v>0</v>
      </c>
      <c r="H21" s="52"/>
    </row>
    <row r="22" spans="1:8" x14ac:dyDescent="0.3">
      <c r="B22" s="8"/>
      <c r="C22" s="24"/>
      <c r="D22" s="24"/>
      <c r="E22" s="24"/>
      <c r="F22" s="24"/>
      <c r="G22" s="24"/>
      <c r="H22"/>
    </row>
    <row r="23" spans="1:8" x14ac:dyDescent="0.3">
      <c r="B23" s="1" t="s">
        <v>6</v>
      </c>
      <c r="C23" s="1" t="s">
        <v>4</v>
      </c>
      <c r="D23" s="5">
        <f>SUMIF(May05_2021[[#Headers],[KSI_AGO]:[AKOSOMBO_AGO]],"*"&amp;C23,May05_2021[[#Totals],[KSI_AGO]:[AKOSOMBO_AGO]])</f>
        <v>2247000</v>
      </c>
      <c r="E23" s="1" t="s">
        <v>5</v>
      </c>
      <c r="F23" s="5">
        <f>SUMIF(May05_2021[[#Headers],[KSI_AGO]:[AKOSOMBO_AGO]],"*"&amp;E23,May05_2021[[#Totals],[KSI_AGO]:[AKOSOMBO_AGO]])</f>
        <v>1660000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F2498D69-B785-4AD4-A16B-225D971CE1E6}">
      <formula1>INDIRECT("BDC_List[BDC List]")</formula1>
    </dataValidation>
  </dataValidations>
  <pageMargins left="0.7" right="0.7" top="0.75" bottom="0.75" header="0.3" footer="0.3"/>
  <tableParts count="1">
    <tablePart r:id="rId1"/>
  </tableParts>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8DEC4-C130-4FBC-8C3C-C1C5C0F98EB3}">
  <sheetPr codeName="Sheet345"/>
  <dimension ref="A1:K33"/>
  <sheetViews>
    <sheetView workbookViewId="0">
      <selection activeCell="D18" sqref="D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44322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44322</v>
      </c>
    </row>
    <row r="7" spans="2:11" x14ac:dyDescent="0.3">
      <c r="B7" s="6" t="s">
        <v>37</v>
      </c>
      <c r="C7" s="22"/>
      <c r="D7" s="22"/>
      <c r="E7" s="22"/>
      <c r="F7" s="22"/>
      <c r="G7" s="22"/>
      <c r="H7" s="67">
        <f t="shared" si="0"/>
        <v>44322</v>
      </c>
    </row>
    <row r="8" spans="2:11" x14ac:dyDescent="0.3">
      <c r="B8" s="6" t="s">
        <v>17</v>
      </c>
      <c r="C8" s="22"/>
      <c r="D8" s="22">
        <v>261000</v>
      </c>
      <c r="E8" s="22"/>
      <c r="F8" s="22">
        <v>162000</v>
      </c>
      <c r="G8" s="22"/>
      <c r="H8" s="12">
        <f t="shared" si="0"/>
        <v>44322</v>
      </c>
    </row>
    <row r="9" spans="2:11" ht="15.6" x14ac:dyDescent="0.3">
      <c r="B9" s="34" t="s">
        <v>0</v>
      </c>
      <c r="C9" s="60"/>
      <c r="D9" s="60">
        <v>859500</v>
      </c>
      <c r="E9" s="60"/>
      <c r="F9" s="60"/>
      <c r="G9" s="61"/>
      <c r="H9" s="12">
        <f t="shared" si="0"/>
        <v>44322</v>
      </c>
    </row>
    <row r="10" spans="2:11" x14ac:dyDescent="0.3">
      <c r="B10" s="6" t="s">
        <v>25</v>
      </c>
      <c r="C10" s="22"/>
      <c r="D10" s="22"/>
      <c r="E10" s="22"/>
      <c r="F10" s="22"/>
      <c r="G10" s="22"/>
      <c r="H10" s="12">
        <f t="shared" si="0"/>
        <v>44322</v>
      </c>
    </row>
    <row r="11" spans="2:11" ht="13.5" customHeight="1" x14ac:dyDescent="0.3">
      <c r="B11" s="6" t="s">
        <v>15</v>
      </c>
      <c r="C11" s="22">
        <v>590000</v>
      </c>
      <c r="D11" s="22">
        <v>216000</v>
      </c>
      <c r="E11" s="22">
        <v>50000</v>
      </c>
      <c r="F11" s="48">
        <v>216000</v>
      </c>
      <c r="G11" s="22"/>
      <c r="H11" s="12">
        <f t="shared" si="0"/>
        <v>44322</v>
      </c>
    </row>
    <row r="12" spans="2:11" x14ac:dyDescent="0.3">
      <c r="B12" s="6" t="s">
        <v>54</v>
      </c>
      <c r="C12" s="22"/>
      <c r="D12" s="22"/>
      <c r="E12" s="22"/>
      <c r="F12" s="22"/>
      <c r="G12" s="22"/>
      <c r="H12" s="67">
        <f t="shared" si="0"/>
        <v>44322</v>
      </c>
    </row>
    <row r="13" spans="2:11" x14ac:dyDescent="0.3">
      <c r="B13" s="6" t="s">
        <v>26</v>
      </c>
      <c r="C13" s="22"/>
      <c r="D13" s="22"/>
      <c r="E13" s="22"/>
      <c r="F13" s="22"/>
      <c r="G13" s="22"/>
      <c r="H13" s="12">
        <f t="shared" si="0"/>
        <v>44322</v>
      </c>
    </row>
    <row r="14" spans="2:11" x14ac:dyDescent="0.3">
      <c r="B14" s="6" t="s">
        <v>22</v>
      </c>
      <c r="C14" s="23"/>
      <c r="D14" s="23"/>
      <c r="E14" s="23"/>
      <c r="F14" s="22"/>
      <c r="G14" s="23"/>
      <c r="H14" s="12">
        <f t="shared" si="0"/>
        <v>44322</v>
      </c>
      <c r="K14" s="4"/>
    </row>
    <row r="15" spans="2:11" x14ac:dyDescent="0.3">
      <c r="B15" s="6" t="s">
        <v>19</v>
      </c>
      <c r="C15" s="22"/>
      <c r="D15" s="22">
        <v>216000</v>
      </c>
      <c r="E15" s="22"/>
      <c r="F15" s="22">
        <v>108000</v>
      </c>
      <c r="G15" s="22"/>
      <c r="H15" s="12">
        <f t="shared" si="0"/>
        <v>44322</v>
      </c>
    </row>
    <row r="16" spans="2:11" x14ac:dyDescent="0.3">
      <c r="B16" s="6" t="s">
        <v>14</v>
      </c>
      <c r="C16" s="22"/>
      <c r="D16" s="22"/>
      <c r="E16" s="22"/>
      <c r="F16" s="22"/>
      <c r="G16" s="22"/>
      <c r="H16" s="12">
        <f t="shared" si="0"/>
        <v>44322</v>
      </c>
    </row>
    <row r="17" spans="1:8" x14ac:dyDescent="0.3">
      <c r="B17" s="6" t="s">
        <v>24</v>
      </c>
      <c r="C17" s="22"/>
      <c r="D17" s="22"/>
      <c r="E17" s="22"/>
      <c r="F17" s="49"/>
      <c r="G17" s="22"/>
      <c r="H17" s="12">
        <f t="shared" si="0"/>
        <v>44322</v>
      </c>
    </row>
    <row r="18" spans="1:8" x14ac:dyDescent="0.3">
      <c r="B18" s="6" t="s">
        <v>21</v>
      </c>
      <c r="C18" s="22"/>
      <c r="D18" s="22">
        <v>49500</v>
      </c>
      <c r="E18" s="22"/>
      <c r="F18" s="22"/>
      <c r="G18" s="22"/>
      <c r="H18" s="12">
        <f t="shared" si="0"/>
        <v>44322</v>
      </c>
    </row>
    <row r="19" spans="1:8" x14ac:dyDescent="0.3">
      <c r="B19" s="6" t="s">
        <v>18</v>
      </c>
      <c r="C19" s="22"/>
      <c r="D19" s="22"/>
      <c r="E19" s="22"/>
      <c r="F19" s="22"/>
      <c r="G19" s="22"/>
      <c r="H19" s="12">
        <f t="shared" si="0"/>
        <v>44322</v>
      </c>
    </row>
    <row r="20" spans="1:8" x14ac:dyDescent="0.3">
      <c r="B20" s="6" t="s">
        <v>16</v>
      </c>
      <c r="C20" s="22">
        <v>902000</v>
      </c>
      <c r="D20" s="22"/>
      <c r="E20" s="22">
        <v>104000</v>
      </c>
      <c r="F20" s="22"/>
      <c r="G20" s="22"/>
      <c r="H20" s="12">
        <f t="shared" si="0"/>
        <v>44322</v>
      </c>
    </row>
    <row r="21" spans="1:8" x14ac:dyDescent="0.3">
      <c r="B21" s="50" t="s">
        <v>27</v>
      </c>
      <c r="C21" s="51">
        <f>SUM(May06_2021[KSI_AGO])</f>
        <v>1492000</v>
      </c>
      <c r="D21" s="51">
        <f>SUBTOTAL(109,May06_2021[KSI_PMS])</f>
        <v>1602000</v>
      </c>
      <c r="E21" s="51">
        <f>SUM(May06_2021[BUIPE_AGO])</f>
        <v>154000</v>
      </c>
      <c r="F21" s="51">
        <f>SUM(May06_2021[BUIPE_PMS])</f>
        <v>486000</v>
      </c>
      <c r="G21" s="51">
        <f>SUM(May06_2021[AKOSOMBO_AGO])</f>
        <v>0</v>
      </c>
      <c r="H21" s="52"/>
    </row>
    <row r="22" spans="1:8" x14ac:dyDescent="0.3">
      <c r="B22" s="8"/>
      <c r="C22" s="24"/>
      <c r="D22" s="24"/>
      <c r="E22" s="24"/>
      <c r="F22" s="24"/>
      <c r="G22" s="24"/>
      <c r="H22"/>
    </row>
    <row r="23" spans="1:8" x14ac:dyDescent="0.3">
      <c r="B23" s="1" t="s">
        <v>6</v>
      </c>
      <c r="C23" s="1" t="s">
        <v>4</v>
      </c>
      <c r="D23" s="5">
        <f>SUMIF(May06_2021[[#Headers],[KSI_AGO]:[AKOSOMBO_AGO]],"*"&amp;C23,May06_2021[[#Totals],[KSI_AGO]:[AKOSOMBO_AGO]])</f>
        <v>1646000</v>
      </c>
      <c r="E23" s="1" t="s">
        <v>5</v>
      </c>
      <c r="F23" s="5">
        <f>SUMIF(May06_2021[[#Headers],[KSI_AGO]:[AKOSOMBO_AGO]],"*"&amp;E23,May06_2021[[#Totals],[KSI_AGO]:[AKOSOMBO_AGO]])</f>
        <v>2088000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98915768-8E8C-4CBE-846A-4B867450A4D0}">
      <formula1>INDIRECT("BDC_List[BDC List]")</formula1>
    </dataValidation>
  </dataValidations>
  <pageMargins left="0.7" right="0.7" top="0.75" bottom="0.75" header="0.3" footer="0.3"/>
  <tableParts count="1">
    <tablePart r:id="rId1"/>
  </tableParts>
</worksheet>
</file>

<file path=xl/worksheets/sheet3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1E5A-B652-4AF3-94B2-E9CCEB7DCDEE}">
  <sheetPr codeName="Sheet346"/>
  <dimension ref="A1:K33"/>
  <sheetViews>
    <sheetView workbookViewId="0">
      <selection activeCell="E16" sqref="E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44323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44323</v>
      </c>
    </row>
    <row r="7" spans="2:11" x14ac:dyDescent="0.3">
      <c r="B7" s="6" t="s">
        <v>37</v>
      </c>
      <c r="C7" s="22"/>
      <c r="D7" s="22">
        <v>54000</v>
      </c>
      <c r="E7" s="22"/>
      <c r="F7" s="22"/>
      <c r="G7" s="22"/>
      <c r="H7" s="67">
        <f t="shared" si="0"/>
        <v>44323</v>
      </c>
    </row>
    <row r="8" spans="2:11" x14ac:dyDescent="0.3">
      <c r="B8" s="6" t="s">
        <v>17</v>
      </c>
      <c r="C8" s="22"/>
      <c r="D8" s="22">
        <v>153000</v>
      </c>
      <c r="E8" s="22"/>
      <c r="F8" s="22">
        <v>108000</v>
      </c>
      <c r="G8" s="22"/>
      <c r="H8" s="12">
        <f t="shared" si="0"/>
        <v>44323</v>
      </c>
    </row>
    <row r="9" spans="2:11" ht="15.6" x14ac:dyDescent="0.3">
      <c r="B9" s="34" t="s">
        <v>0</v>
      </c>
      <c r="C9" s="60"/>
      <c r="D9" s="60">
        <v>256500</v>
      </c>
      <c r="E9" s="60"/>
      <c r="F9" s="60"/>
      <c r="G9" s="61"/>
      <c r="H9" s="12">
        <f t="shared" si="0"/>
        <v>44323</v>
      </c>
    </row>
    <row r="10" spans="2:11" x14ac:dyDescent="0.3">
      <c r="B10" s="6" t="s">
        <v>25</v>
      </c>
      <c r="C10" s="22"/>
      <c r="D10" s="22">
        <v>108000</v>
      </c>
      <c r="E10" s="22"/>
      <c r="F10" s="22"/>
      <c r="G10" s="22"/>
      <c r="H10" s="12">
        <f t="shared" si="0"/>
        <v>44323</v>
      </c>
    </row>
    <row r="11" spans="2:11" ht="13.5" customHeight="1" x14ac:dyDescent="0.3">
      <c r="B11" s="6" t="s">
        <v>15</v>
      </c>
      <c r="C11" s="22">
        <v>806000</v>
      </c>
      <c r="D11" s="22">
        <v>108000</v>
      </c>
      <c r="E11" s="22"/>
      <c r="F11" s="48">
        <v>270000</v>
      </c>
      <c r="G11" s="22"/>
      <c r="H11" s="12">
        <f t="shared" si="0"/>
        <v>44323</v>
      </c>
    </row>
    <row r="12" spans="2:11" x14ac:dyDescent="0.3">
      <c r="B12" s="6" t="s">
        <v>54</v>
      </c>
      <c r="C12" s="22"/>
      <c r="D12" s="22"/>
      <c r="E12" s="22"/>
      <c r="F12" s="22"/>
      <c r="G12" s="22"/>
      <c r="H12" s="67">
        <f t="shared" si="0"/>
        <v>44323</v>
      </c>
    </row>
    <row r="13" spans="2:11" x14ac:dyDescent="0.3">
      <c r="B13" s="6" t="s">
        <v>26</v>
      </c>
      <c r="C13" s="22"/>
      <c r="D13" s="22">
        <v>103500</v>
      </c>
      <c r="E13" s="22"/>
      <c r="F13" s="22">
        <v>54000</v>
      </c>
      <c r="G13" s="22"/>
      <c r="H13" s="12">
        <f t="shared" si="0"/>
        <v>44323</v>
      </c>
    </row>
    <row r="14" spans="2:11" x14ac:dyDescent="0.3">
      <c r="B14" s="6" t="s">
        <v>22</v>
      </c>
      <c r="C14" s="23"/>
      <c r="D14" s="23"/>
      <c r="E14" s="23"/>
      <c r="F14" s="22"/>
      <c r="G14" s="23"/>
      <c r="H14" s="12">
        <f t="shared" si="0"/>
        <v>44323</v>
      </c>
      <c r="K14" s="4"/>
    </row>
    <row r="15" spans="2:11" x14ac:dyDescent="0.3">
      <c r="B15" s="6" t="s">
        <v>19</v>
      </c>
      <c r="C15" s="22">
        <v>585000</v>
      </c>
      <c r="D15" s="22">
        <v>756000</v>
      </c>
      <c r="E15" s="22"/>
      <c r="F15" s="22">
        <v>162000</v>
      </c>
      <c r="G15" s="22"/>
      <c r="H15" s="12">
        <f t="shared" si="0"/>
        <v>44323</v>
      </c>
    </row>
    <row r="16" spans="2:11" x14ac:dyDescent="0.3">
      <c r="B16" s="6" t="s">
        <v>14</v>
      </c>
      <c r="C16" s="22"/>
      <c r="D16" s="22">
        <v>162000</v>
      </c>
      <c r="E16" s="22"/>
      <c r="F16" s="22"/>
      <c r="G16" s="22"/>
      <c r="H16" s="12">
        <f t="shared" si="0"/>
        <v>44323</v>
      </c>
    </row>
    <row r="17" spans="1:8" x14ac:dyDescent="0.3">
      <c r="B17" s="6" t="s">
        <v>24</v>
      </c>
      <c r="C17" s="22"/>
      <c r="D17" s="22"/>
      <c r="E17" s="22"/>
      <c r="F17" s="49"/>
      <c r="G17" s="22"/>
      <c r="H17" s="12">
        <f t="shared" si="0"/>
        <v>44323</v>
      </c>
    </row>
    <row r="18" spans="1:8" x14ac:dyDescent="0.3">
      <c r="B18" s="6" t="s">
        <v>21</v>
      </c>
      <c r="C18" s="22"/>
      <c r="D18" s="22">
        <v>54000</v>
      </c>
      <c r="E18" s="22"/>
      <c r="F18" s="22"/>
      <c r="G18" s="22"/>
      <c r="H18" s="12">
        <f t="shared" si="0"/>
        <v>44323</v>
      </c>
    </row>
    <row r="19" spans="1:8" x14ac:dyDescent="0.3">
      <c r="B19" s="6" t="s">
        <v>18</v>
      </c>
      <c r="C19" s="22"/>
      <c r="D19" s="22"/>
      <c r="E19" s="22"/>
      <c r="F19" s="22"/>
      <c r="G19" s="22"/>
      <c r="H19" s="12">
        <f t="shared" si="0"/>
        <v>44323</v>
      </c>
    </row>
    <row r="20" spans="1:8" x14ac:dyDescent="0.3">
      <c r="B20" s="6" t="s">
        <v>16</v>
      </c>
      <c r="C20" s="22">
        <v>45000</v>
      </c>
      <c r="D20" s="22"/>
      <c r="E20" s="22">
        <v>644000</v>
      </c>
      <c r="F20" s="22">
        <v>54000</v>
      </c>
      <c r="G20" s="22"/>
      <c r="H20" s="12">
        <f t="shared" si="0"/>
        <v>44323</v>
      </c>
    </row>
    <row r="21" spans="1:8" x14ac:dyDescent="0.3">
      <c r="B21" s="50" t="s">
        <v>27</v>
      </c>
      <c r="C21" s="51">
        <f>SUM(May07_2021[KSI_AGO])</f>
        <v>1436000</v>
      </c>
      <c r="D21" s="51">
        <f>SUBTOTAL(109,May07_2021[KSI_PMS])</f>
        <v>1755000</v>
      </c>
      <c r="E21" s="51">
        <f>SUM(May07_2021[BUIPE_AGO])</f>
        <v>644000</v>
      </c>
      <c r="F21" s="51">
        <f>SUM(May07_2021[BUIPE_PMS])</f>
        <v>648000</v>
      </c>
      <c r="G21" s="51">
        <f>SUM(May07_2021[AKOSOMBO_AGO])</f>
        <v>0</v>
      </c>
      <c r="H21" s="52"/>
    </row>
    <row r="22" spans="1:8" x14ac:dyDescent="0.3">
      <c r="B22" s="8"/>
      <c r="C22" s="24"/>
      <c r="D22" s="24"/>
      <c r="E22" s="24"/>
      <c r="F22" s="24"/>
      <c r="G22" s="24"/>
      <c r="H22"/>
    </row>
    <row r="23" spans="1:8" x14ac:dyDescent="0.3">
      <c r="B23" s="1" t="s">
        <v>6</v>
      </c>
      <c r="C23" s="1" t="s">
        <v>4</v>
      </c>
      <c r="D23" s="5">
        <f>SUMIF(May07_2021[[#Headers],[KSI_AGO]:[AKOSOMBO_AGO]],"*"&amp;C23,May07_2021[[#Totals],[KSI_AGO]:[AKOSOMBO_AGO]])</f>
        <v>2080000</v>
      </c>
      <c r="E23" s="1" t="s">
        <v>5</v>
      </c>
      <c r="F23" s="5">
        <f>SUMIF(May07_2021[[#Headers],[KSI_AGO]:[AKOSOMBO_AGO]],"*"&amp;E23,May07_2021[[#Totals],[KSI_AGO]:[AKOSOMBO_AGO]])</f>
        <v>2403000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6D97FD4D-CD7C-4FB2-B9B0-78E70BFEC3B6}">
      <formula1>INDIRECT("BDC_List[BDC List]")</formula1>
    </dataValidation>
  </dataValidations>
  <pageMargins left="0.7" right="0.7" top="0.75" bottom="0.75" header="0.3" footer="0.3"/>
  <legacyDrawing r:id="rId1"/>
  <tableParts count="1">
    <tablePart r:id="rId2"/>
  </tableParts>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02D2-06CE-4FF4-94EE-165174E26D00}">
  <sheetPr codeName="Sheet347"/>
  <dimension ref="A1:K33"/>
  <sheetViews>
    <sheetView workbookViewId="0">
      <selection activeCell="G12" sqref="G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44326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44326</v>
      </c>
    </row>
    <row r="7" spans="2:11" x14ac:dyDescent="0.3">
      <c r="B7" s="6" t="s">
        <v>37</v>
      </c>
      <c r="C7" s="22"/>
      <c r="D7" s="22">
        <v>146000</v>
      </c>
      <c r="E7" s="22"/>
      <c r="F7" s="22"/>
      <c r="G7" s="22"/>
      <c r="H7" s="67">
        <f t="shared" si="0"/>
        <v>44326</v>
      </c>
    </row>
    <row r="8" spans="2:11" x14ac:dyDescent="0.3">
      <c r="B8" s="6" t="s">
        <v>17</v>
      </c>
      <c r="C8" s="49"/>
      <c r="D8" s="22">
        <v>216000</v>
      </c>
      <c r="E8" s="22"/>
      <c r="F8" s="22">
        <v>162000</v>
      </c>
      <c r="G8" s="22"/>
      <c r="H8" s="12">
        <f t="shared" si="0"/>
        <v>44326</v>
      </c>
    </row>
    <row r="9" spans="2:11" ht="15.6" x14ac:dyDescent="0.3">
      <c r="B9" s="34" t="s">
        <v>0</v>
      </c>
      <c r="C9" s="60"/>
      <c r="D9" s="60">
        <v>733500</v>
      </c>
      <c r="E9" s="60"/>
      <c r="F9" s="60">
        <v>45000</v>
      </c>
      <c r="G9" s="61"/>
      <c r="H9" s="12">
        <f t="shared" si="0"/>
        <v>44326</v>
      </c>
    </row>
    <row r="10" spans="2:11" ht="18.75" customHeight="1" x14ac:dyDescent="0.3">
      <c r="B10" s="6" t="s">
        <v>25</v>
      </c>
      <c r="C10" s="22"/>
      <c r="D10" s="22">
        <v>45000</v>
      </c>
      <c r="E10" s="22"/>
      <c r="F10" s="22"/>
      <c r="G10" s="22"/>
      <c r="H10" s="12">
        <f t="shared" si="0"/>
        <v>44326</v>
      </c>
    </row>
    <row r="11" spans="2:11" ht="13.5" customHeight="1" x14ac:dyDescent="0.3">
      <c r="B11" s="6" t="s">
        <v>15</v>
      </c>
      <c r="C11" s="22"/>
      <c r="D11" s="22">
        <v>54000</v>
      </c>
      <c r="E11" s="22">
        <v>54000</v>
      </c>
      <c r="F11" s="48">
        <v>54000</v>
      </c>
      <c r="G11" s="22"/>
      <c r="H11" s="12">
        <f t="shared" si="0"/>
        <v>44326</v>
      </c>
    </row>
    <row r="12" spans="2:11" x14ac:dyDescent="0.3">
      <c r="B12" s="6" t="s">
        <v>54</v>
      </c>
      <c r="C12" s="22"/>
      <c r="D12" s="22"/>
      <c r="E12" s="22"/>
      <c r="F12" s="22"/>
      <c r="G12" s="22"/>
      <c r="H12" s="67">
        <f t="shared" si="0"/>
        <v>44326</v>
      </c>
    </row>
    <row r="13" spans="2:11" x14ac:dyDescent="0.3">
      <c r="B13" s="6" t="s">
        <v>26</v>
      </c>
      <c r="C13" s="22"/>
      <c r="D13" s="22"/>
      <c r="E13" s="22"/>
      <c r="F13" s="22"/>
      <c r="G13" s="22"/>
      <c r="H13" s="12">
        <f t="shared" si="0"/>
        <v>44326</v>
      </c>
    </row>
    <row r="14" spans="2:11" x14ac:dyDescent="0.3">
      <c r="B14" s="6" t="s">
        <v>22</v>
      </c>
      <c r="C14" s="23"/>
      <c r="D14" s="23"/>
      <c r="E14" s="23"/>
      <c r="F14" s="22"/>
      <c r="G14" s="23"/>
      <c r="H14" s="12">
        <f t="shared" si="0"/>
        <v>44326</v>
      </c>
      <c r="K14" s="4"/>
    </row>
    <row r="15" spans="2:11" x14ac:dyDescent="0.3">
      <c r="B15" s="6" t="s">
        <v>19</v>
      </c>
      <c r="C15" s="22">
        <v>1332000</v>
      </c>
      <c r="D15" s="22"/>
      <c r="E15" s="22"/>
      <c r="F15" s="22"/>
      <c r="G15" s="22">
        <v>540000</v>
      </c>
      <c r="H15" s="12">
        <f t="shared" si="0"/>
        <v>44326</v>
      </c>
    </row>
    <row r="16" spans="2:11" x14ac:dyDescent="0.3">
      <c r="B16" s="6" t="s">
        <v>14</v>
      </c>
      <c r="C16" s="22"/>
      <c r="D16" s="22">
        <v>54000</v>
      </c>
      <c r="E16" s="22"/>
      <c r="F16" s="22">
        <v>50000</v>
      </c>
      <c r="G16" s="22"/>
      <c r="H16" s="12">
        <f t="shared" si="0"/>
        <v>44326</v>
      </c>
    </row>
    <row r="17" spans="1:8" x14ac:dyDescent="0.3">
      <c r="B17" s="6" t="s">
        <v>24</v>
      </c>
      <c r="C17" s="22"/>
      <c r="D17" s="22"/>
      <c r="E17" s="22"/>
      <c r="F17" s="49"/>
      <c r="G17" s="22"/>
      <c r="H17" s="12">
        <f t="shared" si="0"/>
        <v>44326</v>
      </c>
    </row>
    <row r="18" spans="1:8" x14ac:dyDescent="0.3">
      <c r="B18" s="6" t="s">
        <v>21</v>
      </c>
      <c r="C18" s="22"/>
      <c r="D18" s="22">
        <v>54000</v>
      </c>
      <c r="E18" s="22"/>
      <c r="F18" s="22"/>
      <c r="G18" s="22"/>
      <c r="H18" s="12">
        <f t="shared" si="0"/>
        <v>44326</v>
      </c>
    </row>
    <row r="19" spans="1:8" x14ac:dyDescent="0.3">
      <c r="B19" s="6" t="s">
        <v>18</v>
      </c>
      <c r="C19" s="22"/>
      <c r="D19" s="22"/>
      <c r="E19" s="22"/>
      <c r="F19" s="22"/>
      <c r="G19" s="22"/>
      <c r="H19" s="12">
        <f t="shared" si="0"/>
        <v>44326</v>
      </c>
    </row>
    <row r="20" spans="1:8" x14ac:dyDescent="0.3">
      <c r="B20" s="6" t="s">
        <v>16</v>
      </c>
      <c r="C20" s="22">
        <v>50000</v>
      </c>
      <c r="D20" s="22">
        <v>54000</v>
      </c>
      <c r="E20" s="22">
        <v>99000</v>
      </c>
      <c r="F20" s="22">
        <v>50000</v>
      </c>
      <c r="G20" s="22"/>
      <c r="H20" s="12">
        <f t="shared" si="0"/>
        <v>44326</v>
      </c>
    </row>
    <row r="21" spans="1:8" x14ac:dyDescent="0.3">
      <c r="B21" s="50" t="s">
        <v>27</v>
      </c>
      <c r="C21" s="51">
        <f>SUM(May10_2021[KSI_AGO])</f>
        <v>1382000</v>
      </c>
      <c r="D21" s="51">
        <f>SUBTOTAL(109,May10_2021[KSI_PMS])</f>
        <v>1356500</v>
      </c>
      <c r="E21" s="51">
        <f>SUM(May10_2021[BUIPE_AGO])</f>
        <v>153000</v>
      </c>
      <c r="F21" s="51">
        <f>SUM(May10_2021[BUIPE_PMS])</f>
        <v>361000</v>
      </c>
      <c r="G21" s="51">
        <f>SUM(May10_2021[AKOSOMBO_AGO])</f>
        <v>540000</v>
      </c>
      <c r="H21" s="52"/>
    </row>
    <row r="22" spans="1:8" x14ac:dyDescent="0.3">
      <c r="B22" s="8"/>
      <c r="C22" s="24"/>
      <c r="D22" s="24"/>
      <c r="E22" s="24"/>
      <c r="F22" s="24"/>
      <c r="G22" s="24"/>
      <c r="H22"/>
    </row>
    <row r="23" spans="1:8" x14ac:dyDescent="0.3">
      <c r="B23" s="1" t="s">
        <v>6</v>
      </c>
      <c r="C23" s="1" t="s">
        <v>4</v>
      </c>
      <c r="D23" s="5">
        <f>SUMIF(May10_2021[[#Headers],[KSI_AGO]:[AKOSOMBO_AGO]],"*"&amp;C23,May10_2021[[#Totals],[KSI_AGO]:[AKOSOMBO_AGO]])</f>
        <v>2075000</v>
      </c>
      <c r="E23" s="1" t="s">
        <v>5</v>
      </c>
      <c r="F23" s="5">
        <f>SUMIF(May10_2021[[#Headers],[KSI_AGO]:[AKOSOMBO_AGO]],"*"&amp;E23,May10_2021[[#Totals],[KSI_AGO]:[AKOSOMBO_AGO]])</f>
        <v>1717500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3A29687F-BCAD-47BE-8FAC-33AA37937E53}">
      <formula1>INDIRECT("BDC_List[BDC List]")</formula1>
    </dataValidation>
  </dataValidations>
  <pageMargins left="0.7" right="0.7" top="0.75" bottom="0.75" header="0.3" footer="0.3"/>
  <tableParts count="1">
    <tablePart r:id="rId1"/>
  </tableParts>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92B51-879E-4DCD-81DC-EB1FA298D442}">
  <sheetPr codeName="Sheet348"/>
  <dimension ref="A1:K33"/>
  <sheetViews>
    <sheetView workbookViewId="0">
      <selection activeCell="F14" sqref="F14:F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44327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0" si="0">$G$3</f>
        <v>44327</v>
      </c>
    </row>
    <row r="7" spans="2:11" x14ac:dyDescent="0.3">
      <c r="B7" s="6" t="s">
        <v>37</v>
      </c>
      <c r="C7" s="22"/>
      <c r="D7" s="22">
        <v>270000</v>
      </c>
      <c r="E7" s="22"/>
      <c r="F7" s="22"/>
      <c r="G7" s="22"/>
      <c r="H7" s="67">
        <f t="shared" si="0"/>
        <v>44327</v>
      </c>
    </row>
    <row r="8" spans="2:11" x14ac:dyDescent="0.3">
      <c r="B8" s="6" t="s">
        <v>17</v>
      </c>
      <c r="C8" s="22"/>
      <c r="D8" s="22">
        <v>153000</v>
      </c>
      <c r="E8" s="22"/>
      <c r="F8" s="22"/>
      <c r="G8" s="22"/>
      <c r="H8" s="12">
        <f t="shared" si="0"/>
        <v>44327</v>
      </c>
    </row>
    <row r="9" spans="2:11" ht="15.6" x14ac:dyDescent="0.3">
      <c r="B9" s="34" t="s">
        <v>0</v>
      </c>
      <c r="C9" s="60"/>
      <c r="D9" s="60">
        <v>540000</v>
      </c>
      <c r="E9" s="60"/>
      <c r="F9" s="60"/>
      <c r="G9" s="61"/>
      <c r="H9" s="12">
        <f t="shared" si="0"/>
        <v>44327</v>
      </c>
    </row>
    <row r="10" spans="2:11" ht="18.75" customHeight="1" x14ac:dyDescent="0.3">
      <c r="B10" s="6" t="s">
        <v>25</v>
      </c>
      <c r="C10" s="22"/>
      <c r="D10" s="22"/>
      <c r="E10" s="22"/>
      <c r="F10" s="22"/>
      <c r="G10" s="22"/>
      <c r="H10" s="12">
        <f t="shared" si="0"/>
        <v>44327</v>
      </c>
    </row>
    <row r="11" spans="2:11" ht="13.5" customHeight="1" x14ac:dyDescent="0.3">
      <c r="B11" s="6" t="s">
        <v>15</v>
      </c>
      <c r="C11" s="22"/>
      <c r="D11" s="22">
        <v>107500</v>
      </c>
      <c r="E11" s="22"/>
      <c r="F11" s="48"/>
      <c r="G11" s="22"/>
      <c r="H11" s="12">
        <f t="shared" si="0"/>
        <v>44327</v>
      </c>
    </row>
    <row r="12" spans="2:11" x14ac:dyDescent="0.3">
      <c r="B12" s="6" t="s">
        <v>54</v>
      </c>
      <c r="C12" s="22">
        <v>1562000</v>
      </c>
      <c r="D12" s="22"/>
      <c r="E12" s="22"/>
      <c r="F12" s="22"/>
      <c r="G12" s="22"/>
      <c r="H12" s="67">
        <f t="shared" si="0"/>
        <v>44327</v>
      </c>
    </row>
    <row r="13" spans="2:11" x14ac:dyDescent="0.3">
      <c r="B13" s="6" t="s">
        <v>26</v>
      </c>
      <c r="C13" s="22"/>
      <c r="D13" s="22">
        <v>108000</v>
      </c>
      <c r="E13" s="22"/>
      <c r="F13" s="22"/>
      <c r="G13" s="22"/>
      <c r="H13" s="12">
        <f t="shared" si="0"/>
        <v>44327</v>
      </c>
    </row>
    <row r="14" spans="2:11" x14ac:dyDescent="0.3">
      <c r="B14" s="6" t="s">
        <v>22</v>
      </c>
      <c r="C14" s="23"/>
      <c r="D14" s="23"/>
      <c r="E14" s="23"/>
      <c r="F14" s="22"/>
      <c r="G14" s="23"/>
      <c r="H14" s="12">
        <f t="shared" si="0"/>
        <v>44327</v>
      </c>
      <c r="K14" s="4"/>
    </row>
    <row r="15" spans="2:11" x14ac:dyDescent="0.3">
      <c r="B15" s="6" t="s">
        <v>19</v>
      </c>
      <c r="C15" s="22">
        <v>162000</v>
      </c>
      <c r="D15" s="22">
        <v>54000</v>
      </c>
      <c r="E15" s="22"/>
      <c r="F15" s="22"/>
      <c r="G15" s="22">
        <v>540000</v>
      </c>
      <c r="H15" s="12">
        <f t="shared" si="0"/>
        <v>44327</v>
      </c>
    </row>
    <row r="16" spans="2:11" x14ac:dyDescent="0.3">
      <c r="B16" s="6" t="s">
        <v>14</v>
      </c>
      <c r="C16" s="22"/>
      <c r="D16" s="22">
        <v>378000</v>
      </c>
      <c r="E16" s="22"/>
      <c r="F16" s="22"/>
      <c r="G16" s="22"/>
      <c r="H16" s="12">
        <f t="shared" si="0"/>
        <v>44327</v>
      </c>
    </row>
    <row r="17" spans="1:8" x14ac:dyDescent="0.3">
      <c r="B17" s="6" t="s">
        <v>24</v>
      </c>
      <c r="C17" s="22"/>
      <c r="D17" s="22"/>
      <c r="E17" s="22"/>
      <c r="F17" s="49"/>
      <c r="G17" s="22"/>
      <c r="H17" s="12">
        <f t="shared" si="0"/>
        <v>44327</v>
      </c>
    </row>
    <row r="18" spans="1:8" x14ac:dyDescent="0.3">
      <c r="B18" s="6" t="s">
        <v>21</v>
      </c>
      <c r="C18" s="22"/>
      <c r="D18" s="22"/>
      <c r="E18" s="22"/>
      <c r="F18" s="22"/>
      <c r="G18" s="22"/>
      <c r="H18" s="12">
        <f t="shared" si="0"/>
        <v>44327</v>
      </c>
    </row>
    <row r="19" spans="1:8" x14ac:dyDescent="0.3">
      <c r="B19" s="6" t="s">
        <v>18</v>
      </c>
      <c r="C19" s="22"/>
      <c r="D19" s="22"/>
      <c r="E19" s="22"/>
      <c r="F19" s="22"/>
      <c r="G19" s="22"/>
      <c r="H19" s="12">
        <f t="shared" si="0"/>
        <v>44327</v>
      </c>
    </row>
    <row r="20" spans="1:8" x14ac:dyDescent="0.3">
      <c r="B20" s="6" t="s">
        <v>16</v>
      </c>
      <c r="C20" s="22"/>
      <c r="D20" s="22">
        <v>107000</v>
      </c>
      <c r="E20" s="22"/>
      <c r="F20" s="22"/>
      <c r="G20" s="22"/>
      <c r="H20" s="12">
        <f t="shared" si="0"/>
        <v>44327</v>
      </c>
    </row>
    <row r="21" spans="1:8" x14ac:dyDescent="0.3">
      <c r="B21" s="50" t="s">
        <v>27</v>
      </c>
      <c r="C21" s="51">
        <f>SUM(May11_2021[KSI_AGO])</f>
        <v>1724000</v>
      </c>
      <c r="D21" s="51">
        <f>SUBTOTAL(109,May11_2021[KSI_PMS])</f>
        <v>1717500</v>
      </c>
      <c r="E21" s="51">
        <f>SUM(May11_2021[BUIPE_AGO])</f>
        <v>0</v>
      </c>
      <c r="F21" s="51">
        <f>SUM(May11_2021[BUIPE_PMS])</f>
        <v>0</v>
      </c>
      <c r="G21" s="51">
        <f>SUM(May11_2021[AKOSOMBO_AGO])</f>
        <v>540000</v>
      </c>
      <c r="H21" s="52"/>
    </row>
    <row r="22" spans="1:8" x14ac:dyDescent="0.3">
      <c r="B22" s="8"/>
      <c r="C22" s="24"/>
      <c r="D22" s="24"/>
      <c r="E22" s="24"/>
      <c r="F22" s="24"/>
      <c r="G22" s="24"/>
      <c r="H22"/>
    </row>
    <row r="23" spans="1:8" x14ac:dyDescent="0.3">
      <c r="B23" s="1" t="s">
        <v>6</v>
      </c>
      <c r="C23" s="1" t="s">
        <v>4</v>
      </c>
      <c r="D23" s="5">
        <f>SUMIF(May11_2021[[#Headers],[KSI_AGO]:[AKOSOMBO_AGO]],"*"&amp;C23,May11_2021[[#Totals],[KSI_AGO]:[AKOSOMBO_AGO]])</f>
        <v>2264000</v>
      </c>
      <c r="E23" s="1" t="s">
        <v>5</v>
      </c>
      <c r="F23" s="5">
        <f>SUMIF(May11_2021[[#Headers],[KSI_AGO]:[AKOSOMBO_AGO]],"*"&amp;E23,May11_2021[[#Totals],[KSI_AGO]:[AKOSOMBO_AGO]])</f>
        <v>1717500</v>
      </c>
    </row>
    <row r="30" spans="1:8" x14ac:dyDescent="0.3">
      <c r="A30" s="8" t="s">
        <v>29</v>
      </c>
    </row>
    <row r="32" spans="1:8" x14ac:dyDescent="0.3">
      <c r="C32" s="11" t="s">
        <v>7</v>
      </c>
      <c r="D32" s="10"/>
      <c r="E32" s="10"/>
      <c r="F32" s="10"/>
      <c r="G32" s="10"/>
    </row>
    <row r="33" spans="2:7" x14ac:dyDescent="0.3">
      <c r="B33" s="9"/>
      <c r="C33" s="10"/>
      <c r="D33" s="10"/>
      <c r="E33" s="10"/>
      <c r="F33" s="10"/>
      <c r="G33" s="10"/>
    </row>
  </sheetData>
  <mergeCells count="4">
    <mergeCell ref="B1:G1"/>
    <mergeCell ref="B2:C2"/>
    <mergeCell ref="B3:C3"/>
    <mergeCell ref="B4:G4"/>
  </mergeCells>
  <dataValidations count="1">
    <dataValidation type="list" allowBlank="1" showInputMessage="1" showErrorMessage="1" sqref="B6:B20" xr:uid="{DAA5C8DC-AFEC-43D4-AD67-428C066F03D6}">
      <formula1>INDIRECT("BDC_List[BDC List]")</formula1>
    </dataValidation>
  </dataValidations>
  <pageMargins left="0.7" right="0.7" top="0.75" bottom="0.75" header="0.3" footer="0.3"/>
  <tableParts count="1">
    <tablePart r:id="rId1"/>
  </tableParts>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81FD-45E2-4BB2-BEB5-BFEAD69D6527}">
  <sheetPr codeName="Sheet349"/>
  <dimension ref="A1:K34"/>
  <sheetViews>
    <sheetView workbookViewId="0">
      <selection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44328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44328</v>
      </c>
    </row>
    <row r="7" spans="2:11" x14ac:dyDescent="0.3">
      <c r="B7" s="6" t="s">
        <v>37</v>
      </c>
      <c r="C7" s="22"/>
      <c r="D7" s="22">
        <v>103500</v>
      </c>
      <c r="E7" s="22"/>
      <c r="F7" s="22"/>
      <c r="G7" s="22"/>
      <c r="H7" s="67">
        <f t="shared" si="0"/>
        <v>44328</v>
      </c>
    </row>
    <row r="8" spans="2:11" x14ac:dyDescent="0.3">
      <c r="B8" s="6" t="s">
        <v>17</v>
      </c>
      <c r="C8" s="22">
        <v>45000</v>
      </c>
      <c r="D8" s="22">
        <v>431000</v>
      </c>
      <c r="E8" s="22"/>
      <c r="F8" s="22"/>
      <c r="G8" s="22"/>
      <c r="H8" s="12">
        <f t="shared" si="0"/>
        <v>44328</v>
      </c>
    </row>
    <row r="9" spans="2:11" ht="15.6" x14ac:dyDescent="0.3">
      <c r="B9" s="34" t="s">
        <v>0</v>
      </c>
      <c r="C9" s="60"/>
      <c r="D9" s="60"/>
      <c r="E9" s="60"/>
      <c r="F9" s="60"/>
      <c r="G9" s="61"/>
      <c r="H9" s="12">
        <f t="shared" si="0"/>
        <v>44328</v>
      </c>
    </row>
    <row r="10" spans="2:11" ht="18.75" customHeight="1" x14ac:dyDescent="0.3">
      <c r="B10" s="6" t="s">
        <v>25</v>
      </c>
      <c r="C10" s="22"/>
      <c r="D10" s="22">
        <v>270000</v>
      </c>
      <c r="E10" s="22"/>
      <c r="F10" s="22"/>
      <c r="G10" s="22"/>
      <c r="H10" s="12">
        <f t="shared" si="0"/>
        <v>44328</v>
      </c>
    </row>
    <row r="11" spans="2:11" ht="13.5" customHeight="1" x14ac:dyDescent="0.3">
      <c r="B11" s="6" t="s">
        <v>15</v>
      </c>
      <c r="C11" s="22"/>
      <c r="D11" s="22">
        <v>162000</v>
      </c>
      <c r="E11" s="22">
        <v>54000</v>
      </c>
      <c r="F11" s="48"/>
      <c r="G11" s="22"/>
      <c r="H11" s="12">
        <f t="shared" si="0"/>
        <v>44328</v>
      </c>
    </row>
    <row r="12" spans="2:11" x14ac:dyDescent="0.3">
      <c r="B12" s="6" t="s">
        <v>54</v>
      </c>
      <c r="C12" s="22">
        <v>747000</v>
      </c>
      <c r="D12" s="22"/>
      <c r="E12" s="22"/>
      <c r="F12" s="22"/>
      <c r="G12" s="22"/>
      <c r="H12" s="67">
        <f t="shared" si="0"/>
        <v>44328</v>
      </c>
    </row>
    <row r="13" spans="2:11" x14ac:dyDescent="0.3">
      <c r="B13" s="6" t="s">
        <v>26</v>
      </c>
      <c r="C13" s="22">
        <v>270000</v>
      </c>
      <c r="D13" s="22">
        <v>54000</v>
      </c>
      <c r="E13" s="22">
        <v>806000</v>
      </c>
      <c r="F13" s="22"/>
      <c r="G13" s="22"/>
      <c r="H13" s="12">
        <f t="shared" si="0"/>
        <v>44328</v>
      </c>
    </row>
    <row r="14" spans="2:11" x14ac:dyDescent="0.3">
      <c r="B14" s="6" t="s">
        <v>22</v>
      </c>
      <c r="C14" s="23"/>
      <c r="D14" s="23"/>
      <c r="E14" s="23"/>
      <c r="F14" s="22"/>
      <c r="G14" s="23"/>
      <c r="H14" s="12">
        <f t="shared" si="0"/>
        <v>44328</v>
      </c>
      <c r="K14" s="4"/>
    </row>
    <row r="15" spans="2:11" x14ac:dyDescent="0.3">
      <c r="B15" s="89" t="s">
        <v>61</v>
      </c>
      <c r="C15" s="23"/>
      <c r="D15" s="23"/>
      <c r="E15" s="23"/>
      <c r="F15" s="91"/>
      <c r="G15" s="23"/>
      <c r="H15" s="92">
        <f>$G$3</f>
        <v>44328</v>
      </c>
      <c r="K15" s="4"/>
    </row>
    <row r="16" spans="2:11" x14ac:dyDescent="0.3">
      <c r="B16" s="6" t="s">
        <v>19</v>
      </c>
      <c r="C16" s="22"/>
      <c r="D16" s="22">
        <v>216000</v>
      </c>
      <c r="E16" s="22"/>
      <c r="F16" s="22"/>
      <c r="G16" s="22">
        <v>486000</v>
      </c>
      <c r="H16" s="12">
        <f t="shared" si="0"/>
        <v>44328</v>
      </c>
    </row>
    <row r="17" spans="1:8" x14ac:dyDescent="0.3">
      <c r="B17" s="6" t="s">
        <v>14</v>
      </c>
      <c r="C17" s="22"/>
      <c r="D17" s="22">
        <v>265500</v>
      </c>
      <c r="E17" s="22"/>
      <c r="F17" s="22"/>
      <c r="G17" s="22"/>
      <c r="H17" s="12">
        <f t="shared" si="0"/>
        <v>44328</v>
      </c>
    </row>
    <row r="18" spans="1:8" x14ac:dyDescent="0.3">
      <c r="B18" s="6" t="s">
        <v>24</v>
      </c>
      <c r="C18" s="22"/>
      <c r="D18" s="22"/>
      <c r="E18" s="22"/>
      <c r="F18" s="49"/>
      <c r="G18" s="22"/>
      <c r="H18" s="12">
        <f t="shared" si="0"/>
        <v>44328</v>
      </c>
    </row>
    <row r="19" spans="1:8" x14ac:dyDescent="0.3">
      <c r="B19" s="6" t="s">
        <v>21</v>
      </c>
      <c r="C19" s="22"/>
      <c r="D19" s="22">
        <v>54000</v>
      </c>
      <c r="E19" s="22"/>
      <c r="F19" s="22"/>
      <c r="G19" s="22"/>
      <c r="H19" s="12">
        <f t="shared" si="0"/>
        <v>44328</v>
      </c>
    </row>
    <row r="20" spans="1:8" x14ac:dyDescent="0.3">
      <c r="B20" s="6" t="s">
        <v>18</v>
      </c>
      <c r="C20" s="22"/>
      <c r="D20" s="22"/>
      <c r="E20" s="22"/>
      <c r="F20" s="22"/>
      <c r="G20" s="22"/>
      <c r="H20" s="12">
        <f t="shared" si="0"/>
        <v>44328</v>
      </c>
    </row>
    <row r="21" spans="1:8" x14ac:dyDescent="0.3">
      <c r="B21" s="6" t="s">
        <v>16</v>
      </c>
      <c r="C21" s="22"/>
      <c r="D21" s="22">
        <v>270000</v>
      </c>
      <c r="E21" s="22"/>
      <c r="F21" s="22"/>
      <c r="G21" s="22"/>
      <c r="H21" s="12">
        <f t="shared" si="0"/>
        <v>44328</v>
      </c>
    </row>
    <row r="22" spans="1:8" x14ac:dyDescent="0.3">
      <c r="B22" s="50" t="s">
        <v>27</v>
      </c>
      <c r="C22" s="51">
        <f>SUM(May12_2021[KSI_AGO])</f>
        <v>1062000</v>
      </c>
      <c r="D22" s="51">
        <f>SUBTOTAL(109,May12_2021[KSI_PMS])</f>
        <v>1826000</v>
      </c>
      <c r="E22" s="51">
        <f>SUM(May12_2021[BUIPE_AGO])</f>
        <v>860000</v>
      </c>
      <c r="F22" s="51">
        <f>SUM(May12_2021[BUIPE_PMS])</f>
        <v>0</v>
      </c>
      <c r="G22" s="51">
        <f>SUM(May12_2021[AKOSOMBO_AGO])</f>
        <v>486000</v>
      </c>
      <c r="H22" s="52"/>
    </row>
    <row r="23" spans="1:8" x14ac:dyDescent="0.3">
      <c r="B23" s="8"/>
      <c r="C23" s="24"/>
      <c r="D23" s="24"/>
      <c r="E23" s="24"/>
      <c r="F23" s="24"/>
      <c r="G23" s="24"/>
      <c r="H23"/>
    </row>
    <row r="24" spans="1:8" x14ac:dyDescent="0.3">
      <c r="B24" s="1" t="s">
        <v>6</v>
      </c>
      <c r="C24" s="1" t="s">
        <v>4</v>
      </c>
      <c r="D24" s="5">
        <f>SUMIF(May12_2021[[#Headers],[KSI_AGO]:[AKOSOMBO_AGO]],"*"&amp;C24,May12_2021[[#Totals],[KSI_AGO]:[AKOSOMBO_AGO]])</f>
        <v>2408000</v>
      </c>
      <c r="E24" s="1" t="s">
        <v>5</v>
      </c>
      <c r="F24" s="5">
        <f>SUMIF(May12_2021[[#Headers],[KSI_AGO]:[AKOSOMBO_AGO]],"*"&amp;E24,May12_2021[[#Totals],[KSI_AGO]:[AKOSOMBO_AGO]])</f>
        <v>1826000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mergeCells count="4">
    <mergeCell ref="B1:G1"/>
    <mergeCell ref="B2:C2"/>
    <mergeCell ref="B3:C3"/>
    <mergeCell ref="B4:G4"/>
  </mergeCells>
  <dataValidations count="1">
    <dataValidation type="list" allowBlank="1" showInputMessage="1" showErrorMessage="1" sqref="B6:B21" xr:uid="{3946B886-03D9-4525-A0A7-590C1F2B44E9}">
      <formula1>INDIRECT("BDC_List[BDC List]")</formula1>
    </dataValidation>
  </dataValidations>
  <pageMargins left="0.7" right="0.7" top="0.75" bottom="0.75" header="0.3" footer="0.3"/>
  <tableParts count="1">
    <tablePart r:id="rId1"/>
  </tableParts>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269F6-1AA4-46BE-A61C-58559C947A02}">
  <sheetPr codeName="Sheet350"/>
  <dimension ref="A1:K34"/>
  <sheetViews>
    <sheetView workbookViewId="0">
      <selection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44330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44330</v>
      </c>
    </row>
    <row r="7" spans="2:11" x14ac:dyDescent="0.3">
      <c r="B7" s="6" t="s">
        <v>37</v>
      </c>
      <c r="C7" s="22"/>
      <c r="D7" s="22">
        <v>54000</v>
      </c>
      <c r="E7" s="22"/>
      <c r="F7" s="22"/>
      <c r="G7" s="22"/>
      <c r="H7" s="67">
        <f t="shared" si="0"/>
        <v>44330</v>
      </c>
    </row>
    <row r="8" spans="2:11" x14ac:dyDescent="0.3">
      <c r="B8" s="6" t="s">
        <v>17</v>
      </c>
      <c r="C8" s="22">
        <v>108000</v>
      </c>
      <c r="D8" s="22">
        <v>432000</v>
      </c>
      <c r="E8" s="22"/>
      <c r="F8" s="22"/>
      <c r="G8" s="22">
        <v>162000</v>
      </c>
      <c r="H8" s="12">
        <f t="shared" si="0"/>
        <v>44330</v>
      </c>
    </row>
    <row r="9" spans="2:11" ht="15.6" x14ac:dyDescent="0.3">
      <c r="B9" s="34" t="s">
        <v>0</v>
      </c>
      <c r="C9" s="60"/>
      <c r="D9" s="60">
        <v>270000</v>
      </c>
      <c r="E9" s="60"/>
      <c r="F9" s="60"/>
      <c r="G9" s="61"/>
      <c r="H9" s="12">
        <f t="shared" si="0"/>
        <v>44330</v>
      </c>
    </row>
    <row r="10" spans="2:11" ht="16.2" customHeight="1" x14ac:dyDescent="0.3">
      <c r="B10" s="6" t="s">
        <v>25</v>
      </c>
      <c r="C10" s="22"/>
      <c r="D10" s="93">
        <v>108000</v>
      </c>
      <c r="E10" s="22"/>
      <c r="F10" s="22"/>
      <c r="G10" s="22"/>
      <c r="H10" s="12">
        <f t="shared" si="0"/>
        <v>44330</v>
      </c>
    </row>
    <row r="11" spans="2:11" ht="13.5" customHeight="1" x14ac:dyDescent="0.3">
      <c r="B11" s="6" t="s">
        <v>15</v>
      </c>
      <c r="C11" s="22"/>
      <c r="D11" s="22">
        <v>54000</v>
      </c>
      <c r="E11" s="22"/>
      <c r="F11" s="48"/>
      <c r="G11" s="22"/>
      <c r="H11" s="12">
        <f t="shared" si="0"/>
        <v>44330</v>
      </c>
    </row>
    <row r="12" spans="2:11" x14ac:dyDescent="0.3">
      <c r="B12" s="6" t="s">
        <v>54</v>
      </c>
      <c r="C12" s="22">
        <v>54000</v>
      </c>
      <c r="D12" s="22"/>
      <c r="E12" s="22"/>
      <c r="F12" s="22"/>
      <c r="G12" s="22"/>
      <c r="H12" s="67">
        <f t="shared" si="0"/>
        <v>44330</v>
      </c>
    </row>
    <row r="13" spans="2:11" x14ac:dyDescent="0.3">
      <c r="B13" s="6" t="s">
        <v>26</v>
      </c>
      <c r="C13" s="22">
        <v>418000</v>
      </c>
      <c r="D13" s="22">
        <v>54000</v>
      </c>
      <c r="E13" s="22">
        <v>594000</v>
      </c>
      <c r="F13" s="22"/>
      <c r="G13" s="22"/>
      <c r="H13" s="12">
        <f t="shared" si="0"/>
        <v>44330</v>
      </c>
    </row>
    <row r="14" spans="2:11" x14ac:dyDescent="0.3">
      <c r="B14" s="6" t="s">
        <v>22</v>
      </c>
      <c r="C14" s="23"/>
      <c r="D14" s="23"/>
      <c r="E14" s="23"/>
      <c r="F14" s="22"/>
      <c r="G14" s="23"/>
      <c r="H14" s="12">
        <f t="shared" si="0"/>
        <v>44330</v>
      </c>
      <c r="K14" s="4"/>
    </row>
    <row r="15" spans="2:11" x14ac:dyDescent="0.3">
      <c r="B15" s="6" t="s">
        <v>61</v>
      </c>
      <c r="C15" s="23">
        <v>477000</v>
      </c>
      <c r="D15" s="23"/>
      <c r="E15" s="23">
        <v>270000</v>
      </c>
      <c r="F15" s="22"/>
      <c r="G15" s="23"/>
      <c r="H15" s="75">
        <f t="shared" si="0"/>
        <v>44330</v>
      </c>
      <c r="K15" s="4"/>
    </row>
    <row r="16" spans="2:11" x14ac:dyDescent="0.3">
      <c r="B16" s="6" t="s">
        <v>19</v>
      </c>
      <c r="C16" s="22"/>
      <c r="D16" s="22"/>
      <c r="E16" s="22"/>
      <c r="F16" s="22"/>
      <c r="G16" s="22">
        <v>432000</v>
      </c>
      <c r="H16" s="12">
        <f t="shared" si="0"/>
        <v>44330</v>
      </c>
    </row>
    <row r="17" spans="1:8" x14ac:dyDescent="0.3">
      <c r="B17" s="6" t="s">
        <v>14</v>
      </c>
      <c r="C17" s="22"/>
      <c r="D17" s="22">
        <v>162000</v>
      </c>
      <c r="E17" s="22"/>
      <c r="F17" s="22"/>
      <c r="G17" s="22"/>
      <c r="H17" s="12">
        <f t="shared" si="0"/>
        <v>44330</v>
      </c>
    </row>
    <row r="18" spans="1:8" x14ac:dyDescent="0.3">
      <c r="B18" s="6" t="s">
        <v>24</v>
      </c>
      <c r="C18" s="22"/>
      <c r="D18" s="22"/>
      <c r="E18" s="22"/>
      <c r="F18" s="49"/>
      <c r="G18" s="22"/>
      <c r="H18" s="12">
        <f t="shared" si="0"/>
        <v>44330</v>
      </c>
    </row>
    <row r="19" spans="1:8" x14ac:dyDescent="0.3">
      <c r="B19" s="6" t="s">
        <v>21</v>
      </c>
      <c r="C19" s="22"/>
      <c r="D19" s="22"/>
      <c r="E19" s="22"/>
      <c r="F19" s="22"/>
      <c r="G19" s="22"/>
      <c r="H19" s="12">
        <f t="shared" si="0"/>
        <v>44330</v>
      </c>
    </row>
    <row r="20" spans="1:8" x14ac:dyDescent="0.3">
      <c r="B20" s="6" t="s">
        <v>18</v>
      </c>
      <c r="C20" s="22"/>
      <c r="D20" s="22"/>
      <c r="E20" s="22"/>
      <c r="F20" s="22"/>
      <c r="G20" s="22"/>
      <c r="H20" s="12">
        <f t="shared" si="0"/>
        <v>44330</v>
      </c>
    </row>
    <row r="21" spans="1:8" x14ac:dyDescent="0.3">
      <c r="B21" s="6" t="s">
        <v>16</v>
      </c>
      <c r="C21" s="22"/>
      <c r="D21" s="22"/>
      <c r="E21" s="22"/>
      <c r="F21" s="22"/>
      <c r="G21" s="22"/>
      <c r="H21" s="12">
        <f t="shared" si="0"/>
        <v>44330</v>
      </c>
    </row>
    <row r="22" spans="1:8" x14ac:dyDescent="0.3">
      <c r="B22" s="50" t="s">
        <v>27</v>
      </c>
      <c r="C22" s="51">
        <f>SUM(May14_2021[KSI_AGO])</f>
        <v>1057000</v>
      </c>
      <c r="D22" s="51">
        <f>SUBTOTAL(109,May14_2021[KSI_PMS])</f>
        <v>1134000</v>
      </c>
      <c r="E22" s="51">
        <f>SUM(May14_2021[BUIPE_AGO])</f>
        <v>864000</v>
      </c>
      <c r="F22" s="51">
        <f>SUM(May14_2021[BUIPE_PMS])</f>
        <v>0</v>
      </c>
      <c r="G22" s="51">
        <f>SUM(May14_2021[AKOSOMBO_AGO])</f>
        <v>594000</v>
      </c>
      <c r="H22" s="52"/>
    </row>
    <row r="23" spans="1:8" x14ac:dyDescent="0.3">
      <c r="B23" s="8"/>
      <c r="C23" s="24"/>
      <c r="D23" s="24"/>
      <c r="E23" s="24"/>
      <c r="F23" s="24"/>
      <c r="G23" s="24"/>
      <c r="H23"/>
    </row>
    <row r="24" spans="1:8" x14ac:dyDescent="0.3">
      <c r="B24" s="1" t="s">
        <v>6</v>
      </c>
      <c r="C24" s="1" t="s">
        <v>4</v>
      </c>
      <c r="D24" s="5">
        <f>SUMIF(May14_2021[[#Headers],[KSI_AGO]:[AKOSOMBO_AGO]],"*"&amp;C24,May14_2021[[#Totals],[KSI_AGO]:[AKOSOMBO_AGO]])</f>
        <v>2515000</v>
      </c>
      <c r="E24" s="1" t="s">
        <v>5</v>
      </c>
      <c r="F24" s="5">
        <f>SUMIF(May14_2021[[#Headers],[KSI_AGO]:[AKOSOMBO_AGO]],"*"&amp;E24,May14_2021[[#Totals],[KSI_AGO]:[AKOSOMBO_AGO]])</f>
        <v>1134000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mergeCells count="4">
    <mergeCell ref="B1:G1"/>
    <mergeCell ref="B2:C2"/>
    <mergeCell ref="B3:C3"/>
    <mergeCell ref="B4:G4"/>
  </mergeCells>
  <dataValidations count="1">
    <dataValidation type="list" allowBlank="1" showInputMessage="1" showErrorMessage="1" sqref="B6:B21" xr:uid="{C132A04D-755C-4FC9-B2E1-3CE87FB43C3E}">
      <formula1>INDIRECT("BDC_List[BDC List]")</formula1>
    </dataValidation>
  </dataValidations>
  <pageMargins left="0.7" right="0.7" top="0.75" bottom="0.75" header="0.3" footer="0.3"/>
  <tableParts count="1">
    <tablePart r:id="rId1"/>
  </tableParts>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E0AD-6893-4E56-B481-35057505BA0A}">
  <sheetPr codeName="Sheet351"/>
  <dimension ref="A1:K34"/>
  <sheetViews>
    <sheetView topLeftCell="A3" workbookViewId="0">
      <selection activeCell="G18" sqref="G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44333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44333</v>
      </c>
    </row>
    <row r="7" spans="2:11" x14ac:dyDescent="0.3">
      <c r="B7" s="6" t="s">
        <v>37</v>
      </c>
      <c r="C7" s="22"/>
      <c r="D7" s="22">
        <v>103500</v>
      </c>
      <c r="E7" s="22"/>
      <c r="F7" s="22"/>
      <c r="G7" s="22"/>
      <c r="H7" s="67">
        <f t="shared" si="0"/>
        <v>44333</v>
      </c>
    </row>
    <row r="8" spans="2:11" x14ac:dyDescent="0.3">
      <c r="B8" s="6" t="s">
        <v>17</v>
      </c>
      <c r="C8" s="22">
        <v>477000</v>
      </c>
      <c r="D8" s="22"/>
      <c r="E8" s="22"/>
      <c r="F8" s="22">
        <v>162000</v>
      </c>
      <c r="G8" s="22">
        <v>432000</v>
      </c>
      <c r="H8" s="12">
        <f t="shared" si="0"/>
        <v>44333</v>
      </c>
    </row>
    <row r="9" spans="2:11" ht="15.6" x14ac:dyDescent="0.3">
      <c r="B9" s="34" t="s">
        <v>0</v>
      </c>
      <c r="C9" s="60"/>
      <c r="D9" s="46">
        <v>414000</v>
      </c>
      <c r="E9" s="60"/>
      <c r="F9" s="60"/>
      <c r="G9" s="61"/>
      <c r="H9" s="12">
        <f t="shared" si="0"/>
        <v>44333</v>
      </c>
    </row>
    <row r="10" spans="2:11" ht="16.2" customHeight="1" x14ac:dyDescent="0.3">
      <c r="B10" s="6" t="s">
        <v>25</v>
      </c>
      <c r="C10" s="22"/>
      <c r="D10" s="94">
        <v>162000</v>
      </c>
      <c r="E10" s="22">
        <v>702000</v>
      </c>
      <c r="F10" s="22"/>
      <c r="G10" s="22"/>
      <c r="H10" s="12">
        <f t="shared" si="0"/>
        <v>44333</v>
      </c>
    </row>
    <row r="11" spans="2:11" ht="13.5" customHeight="1" x14ac:dyDescent="0.3">
      <c r="B11" s="6" t="s">
        <v>15</v>
      </c>
      <c r="C11" s="22"/>
      <c r="D11" s="22"/>
      <c r="E11" s="22"/>
      <c r="F11" s="48">
        <v>54000</v>
      </c>
      <c r="G11" s="22"/>
      <c r="H11" s="12">
        <f t="shared" si="0"/>
        <v>44333</v>
      </c>
    </row>
    <row r="12" spans="2:11" x14ac:dyDescent="0.3">
      <c r="B12" s="6" t="s">
        <v>54</v>
      </c>
      <c r="C12" s="22">
        <v>45000</v>
      </c>
      <c r="D12" s="22"/>
      <c r="E12" s="22"/>
      <c r="F12" s="22"/>
      <c r="G12" s="22"/>
      <c r="H12" s="67">
        <f t="shared" si="0"/>
        <v>44333</v>
      </c>
    </row>
    <row r="13" spans="2:11" x14ac:dyDescent="0.3">
      <c r="B13" s="6" t="s">
        <v>26</v>
      </c>
      <c r="C13" s="22">
        <v>108000</v>
      </c>
      <c r="D13" s="22">
        <v>103500</v>
      </c>
      <c r="E13" s="22">
        <v>100000</v>
      </c>
      <c r="F13" s="22">
        <v>162000</v>
      </c>
      <c r="G13" s="22"/>
      <c r="H13" s="12">
        <f t="shared" si="0"/>
        <v>44333</v>
      </c>
    </row>
    <row r="14" spans="2:11" x14ac:dyDescent="0.3">
      <c r="B14" s="6" t="s">
        <v>22</v>
      </c>
      <c r="C14" s="23"/>
      <c r="D14" s="23"/>
      <c r="E14" s="23"/>
      <c r="F14" s="22"/>
      <c r="G14" s="23"/>
      <c r="H14" s="12">
        <f t="shared" si="0"/>
        <v>44333</v>
      </c>
      <c r="K14" s="4"/>
    </row>
    <row r="15" spans="2:11" x14ac:dyDescent="0.3">
      <c r="B15" s="6" t="s">
        <v>61</v>
      </c>
      <c r="C15" s="23">
        <v>108000</v>
      </c>
      <c r="D15" s="23"/>
      <c r="E15" s="23"/>
      <c r="F15" s="22"/>
      <c r="G15" s="23"/>
      <c r="H15" s="75">
        <f t="shared" si="0"/>
        <v>44333</v>
      </c>
      <c r="K15" s="4"/>
    </row>
    <row r="16" spans="2:11" x14ac:dyDescent="0.3">
      <c r="B16" s="6" t="s">
        <v>19</v>
      </c>
      <c r="C16" s="22"/>
      <c r="D16" s="22">
        <v>45000</v>
      </c>
      <c r="E16" s="22"/>
      <c r="F16" s="22">
        <v>54000</v>
      </c>
      <c r="G16" s="22"/>
      <c r="H16" s="12">
        <f t="shared" si="0"/>
        <v>44333</v>
      </c>
    </row>
    <row r="17" spans="1:8" x14ac:dyDescent="0.3">
      <c r="B17" s="6" t="s">
        <v>14</v>
      </c>
      <c r="C17" s="22"/>
      <c r="D17" s="22">
        <v>216000</v>
      </c>
      <c r="E17" s="22"/>
      <c r="F17" s="22"/>
      <c r="G17" s="22"/>
      <c r="H17" s="12">
        <f t="shared" si="0"/>
        <v>44333</v>
      </c>
    </row>
    <row r="18" spans="1:8" x14ac:dyDescent="0.3">
      <c r="B18" s="6" t="s">
        <v>24</v>
      </c>
      <c r="C18" s="22"/>
      <c r="D18" s="22"/>
      <c r="E18" s="22"/>
      <c r="F18" s="49"/>
      <c r="G18" s="22"/>
      <c r="H18" s="12">
        <f t="shared" si="0"/>
        <v>44333</v>
      </c>
    </row>
    <row r="19" spans="1:8" x14ac:dyDescent="0.3">
      <c r="B19" s="6" t="s">
        <v>21</v>
      </c>
      <c r="C19" s="22"/>
      <c r="D19" s="22"/>
      <c r="E19" s="22"/>
      <c r="F19" s="22"/>
      <c r="G19" s="22"/>
      <c r="H19" s="12">
        <f t="shared" si="0"/>
        <v>44333</v>
      </c>
    </row>
    <row r="20" spans="1:8" x14ac:dyDescent="0.3">
      <c r="B20" s="6" t="s">
        <v>18</v>
      </c>
      <c r="C20" s="22">
        <v>216000</v>
      </c>
      <c r="D20" s="22"/>
      <c r="E20" s="22"/>
      <c r="F20" s="22"/>
      <c r="G20" s="22"/>
      <c r="H20" s="12">
        <f t="shared" si="0"/>
        <v>44333</v>
      </c>
    </row>
    <row r="21" spans="1:8" x14ac:dyDescent="0.3">
      <c r="B21" s="6" t="s">
        <v>16</v>
      </c>
      <c r="C21" s="22"/>
      <c r="D21" s="22">
        <v>108000</v>
      </c>
      <c r="E21" s="22"/>
      <c r="F21" s="22">
        <v>108000</v>
      </c>
      <c r="G21" s="22">
        <v>50000</v>
      </c>
      <c r="H21" s="12">
        <f t="shared" si="0"/>
        <v>44333</v>
      </c>
    </row>
    <row r="22" spans="1:8" x14ac:dyDescent="0.3">
      <c r="B22" s="50" t="s">
        <v>27</v>
      </c>
      <c r="C22" s="51">
        <f>SUM(May17_2021[KSI_AGO])</f>
        <v>954000</v>
      </c>
      <c r="D22" s="51">
        <f>SUBTOTAL(109,May17_2021[KSI_PMS])</f>
        <v>1152000</v>
      </c>
      <c r="E22" s="51">
        <f>SUM(May17_2021[BUIPE_AGO])</f>
        <v>802000</v>
      </c>
      <c r="F22" s="51">
        <f>SUM(May17_2021[BUIPE_PMS])</f>
        <v>540000</v>
      </c>
      <c r="G22" s="51">
        <f>SUM(May17_2021[AKOSOMBO_AGO])</f>
        <v>482000</v>
      </c>
      <c r="H22" s="52"/>
    </row>
    <row r="23" spans="1:8" x14ac:dyDescent="0.3">
      <c r="B23" s="8"/>
      <c r="C23" s="24"/>
      <c r="D23" s="24"/>
      <c r="E23" s="24"/>
      <c r="F23" s="24"/>
      <c r="G23" s="24"/>
      <c r="H23"/>
    </row>
    <row r="24" spans="1:8" x14ac:dyDescent="0.3">
      <c r="B24" s="1" t="s">
        <v>6</v>
      </c>
      <c r="C24" s="1" t="s">
        <v>4</v>
      </c>
      <c r="D24" s="5">
        <f>SUMIF(May17_2021[[#Headers],[KSI_AGO]:[AKOSOMBO_AGO]],"*"&amp;C24,May17_2021[[#Totals],[KSI_AGO]:[AKOSOMBO_AGO]])</f>
        <v>2238000</v>
      </c>
      <c r="E24" s="1" t="s">
        <v>5</v>
      </c>
      <c r="F24" s="5">
        <f>SUMIF(May17_2021[[#Headers],[KSI_AGO]:[AKOSOMBO_AGO]],"*"&amp;E24,May17_2021[[#Totals],[KSI_AGO]:[AKOSOMBO_AGO]])</f>
        <v>1692000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mergeCells count="4">
    <mergeCell ref="B1:G1"/>
    <mergeCell ref="B2:C2"/>
    <mergeCell ref="B3:C3"/>
    <mergeCell ref="B4:G4"/>
  </mergeCells>
  <dataValidations count="1">
    <dataValidation type="list" allowBlank="1" showInputMessage="1" showErrorMessage="1" sqref="B6:B21" xr:uid="{159FB002-6662-4159-A6B2-A1EC60E0BD39}">
      <formula1>INDIRECT("BDC_List[BDC List]")</formula1>
    </dataValidation>
  </dataValidations>
  <pageMargins left="0.7" right="0.7" top="0.75" bottom="0.75" header="0.3" footer="0.3"/>
  <tableParts count="1">
    <tablePart r:id="rId1"/>
  </tableParts>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06D2-43DC-4B22-ADB5-4D78919C0EB4}">
  <sheetPr codeName="Sheet352"/>
  <dimension ref="A1:K34"/>
  <sheetViews>
    <sheetView topLeftCell="A3" workbookViewId="0">
      <selection activeCell="F14" sqref="F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44334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44334</v>
      </c>
    </row>
    <row r="7" spans="2:11" x14ac:dyDescent="0.3">
      <c r="B7" s="6" t="s">
        <v>37</v>
      </c>
      <c r="C7" s="22"/>
      <c r="D7" s="22"/>
      <c r="E7" s="22"/>
      <c r="F7" s="22"/>
      <c r="G7" s="22"/>
      <c r="H7" s="67">
        <f t="shared" si="0"/>
        <v>44334</v>
      </c>
    </row>
    <row r="8" spans="2:11" x14ac:dyDescent="0.3">
      <c r="B8" s="6" t="s">
        <v>17</v>
      </c>
      <c r="C8" s="22">
        <v>540000</v>
      </c>
      <c r="D8" s="22"/>
      <c r="E8" s="22"/>
      <c r="F8" s="22">
        <v>54000</v>
      </c>
      <c r="G8" s="22">
        <v>594000</v>
      </c>
      <c r="H8" s="12">
        <f t="shared" si="0"/>
        <v>44334</v>
      </c>
    </row>
    <row r="9" spans="2:11" ht="15.6" x14ac:dyDescent="0.3">
      <c r="B9" s="34" t="s">
        <v>0</v>
      </c>
      <c r="C9" s="60"/>
      <c r="D9" s="46">
        <v>486000</v>
      </c>
      <c r="E9" s="60"/>
      <c r="F9" s="46">
        <v>378000</v>
      </c>
      <c r="G9" s="61"/>
      <c r="H9" s="12">
        <f t="shared" si="0"/>
        <v>44334</v>
      </c>
    </row>
    <row r="10" spans="2:11" ht="16.2" customHeight="1" x14ac:dyDescent="0.3">
      <c r="B10" s="6" t="s">
        <v>25</v>
      </c>
      <c r="C10" s="22">
        <v>153000</v>
      </c>
      <c r="D10" s="94">
        <v>157500</v>
      </c>
      <c r="E10" s="22">
        <v>162000</v>
      </c>
      <c r="F10" s="22">
        <v>108000</v>
      </c>
      <c r="G10" s="22"/>
      <c r="H10" s="12">
        <f t="shared" si="0"/>
        <v>44334</v>
      </c>
    </row>
    <row r="11" spans="2:11" ht="13.5" customHeight="1" x14ac:dyDescent="0.3">
      <c r="B11" s="6" t="s">
        <v>15</v>
      </c>
      <c r="C11" s="22"/>
      <c r="D11" s="22"/>
      <c r="E11" s="22"/>
      <c r="F11" s="48"/>
      <c r="G11" s="22"/>
      <c r="H11" s="12">
        <f t="shared" si="0"/>
        <v>44334</v>
      </c>
    </row>
    <row r="12" spans="2:11" x14ac:dyDescent="0.3">
      <c r="B12" s="6" t="s">
        <v>54</v>
      </c>
      <c r="C12" s="22"/>
      <c r="D12" s="22"/>
      <c r="E12" s="22"/>
      <c r="F12" s="22"/>
      <c r="G12" s="22"/>
      <c r="H12" s="67">
        <f t="shared" si="0"/>
        <v>44334</v>
      </c>
    </row>
    <row r="13" spans="2:11" x14ac:dyDescent="0.3">
      <c r="B13" s="6" t="s">
        <v>26</v>
      </c>
      <c r="C13" s="22">
        <v>432000</v>
      </c>
      <c r="D13" s="22"/>
      <c r="E13" s="22"/>
      <c r="F13" s="22">
        <v>54000</v>
      </c>
      <c r="G13" s="22"/>
      <c r="H13" s="12">
        <f t="shared" si="0"/>
        <v>44334</v>
      </c>
    </row>
    <row r="14" spans="2:11" x14ac:dyDescent="0.3">
      <c r="B14" s="6" t="s">
        <v>22</v>
      </c>
      <c r="C14" s="23"/>
      <c r="D14" s="23"/>
      <c r="E14" s="23"/>
      <c r="F14" s="22"/>
      <c r="G14" s="23"/>
      <c r="H14" s="12">
        <f t="shared" si="0"/>
        <v>44334</v>
      </c>
      <c r="K14" s="4"/>
    </row>
    <row r="15" spans="2:11" x14ac:dyDescent="0.3">
      <c r="B15" s="6" t="s">
        <v>61</v>
      </c>
      <c r="C15" s="23">
        <v>162000</v>
      </c>
      <c r="D15" s="23"/>
      <c r="E15" s="23">
        <v>162000</v>
      </c>
      <c r="F15" s="22"/>
      <c r="G15" s="23"/>
      <c r="H15" s="75">
        <f t="shared" si="0"/>
        <v>44334</v>
      </c>
      <c r="K15" s="4"/>
    </row>
    <row r="16" spans="2:11" x14ac:dyDescent="0.3">
      <c r="B16" s="6" t="s">
        <v>19</v>
      </c>
      <c r="C16" s="22"/>
      <c r="D16" s="22"/>
      <c r="E16" s="22"/>
      <c r="F16" s="22">
        <v>108000</v>
      </c>
      <c r="G16" s="22"/>
      <c r="H16" s="12">
        <f t="shared" si="0"/>
        <v>44334</v>
      </c>
    </row>
    <row r="17" spans="1:8" x14ac:dyDescent="0.3">
      <c r="B17" s="6" t="s">
        <v>14</v>
      </c>
      <c r="C17" s="22"/>
      <c r="D17" s="22">
        <v>211500</v>
      </c>
      <c r="E17" s="22"/>
      <c r="F17" s="22"/>
      <c r="G17" s="22"/>
      <c r="H17" s="12">
        <f t="shared" si="0"/>
        <v>44334</v>
      </c>
    </row>
    <row r="18" spans="1:8" x14ac:dyDescent="0.3">
      <c r="B18" s="6" t="s">
        <v>24</v>
      </c>
      <c r="C18" s="22"/>
      <c r="D18" s="22"/>
      <c r="E18" s="22"/>
      <c r="F18" s="49"/>
      <c r="G18" s="22"/>
      <c r="H18" s="12">
        <f t="shared" si="0"/>
        <v>44334</v>
      </c>
    </row>
    <row r="19" spans="1:8" x14ac:dyDescent="0.3">
      <c r="B19" s="6" t="s">
        <v>21</v>
      </c>
      <c r="C19" s="22"/>
      <c r="D19" s="22"/>
      <c r="E19" s="22"/>
      <c r="F19" s="22"/>
      <c r="G19" s="22"/>
      <c r="H19" s="12">
        <f t="shared" si="0"/>
        <v>44334</v>
      </c>
    </row>
    <row r="20" spans="1:8" x14ac:dyDescent="0.3">
      <c r="B20" s="6" t="s">
        <v>18</v>
      </c>
      <c r="C20" s="22">
        <v>216000</v>
      </c>
      <c r="D20" s="22"/>
      <c r="E20" s="22"/>
      <c r="F20" s="22"/>
      <c r="G20" s="22"/>
      <c r="H20" s="12">
        <f t="shared" si="0"/>
        <v>44334</v>
      </c>
    </row>
    <row r="21" spans="1:8" x14ac:dyDescent="0.3">
      <c r="B21" s="6" t="s">
        <v>16</v>
      </c>
      <c r="C21" s="22"/>
      <c r="D21" s="22">
        <v>160000</v>
      </c>
      <c r="E21" s="22"/>
      <c r="F21" s="22">
        <v>108000</v>
      </c>
      <c r="G21" s="22">
        <v>140000</v>
      </c>
      <c r="H21" s="12">
        <f t="shared" si="0"/>
        <v>44334</v>
      </c>
    </row>
    <row r="22" spans="1:8" x14ac:dyDescent="0.3">
      <c r="B22" s="50" t="s">
        <v>27</v>
      </c>
      <c r="C22" s="51">
        <f>SUM(May18_2021[KSI_AGO])</f>
        <v>1503000</v>
      </c>
      <c r="D22" s="51">
        <f>SUBTOTAL(109,May18_2021[KSI_PMS])</f>
        <v>1015000</v>
      </c>
      <c r="E22" s="51">
        <f>SUM(May18_2021[BUIPE_AGO])</f>
        <v>324000</v>
      </c>
      <c r="F22" s="51">
        <f>SUM(May18_2021[BUIPE_PMS])</f>
        <v>810000</v>
      </c>
      <c r="G22" s="51">
        <f>SUM(May18_2021[AKOSOMBO_AGO])</f>
        <v>734000</v>
      </c>
      <c r="H22" s="52"/>
    </row>
    <row r="23" spans="1:8" x14ac:dyDescent="0.3">
      <c r="B23" s="8"/>
      <c r="C23" s="24"/>
      <c r="D23" s="24"/>
      <c r="E23" s="24"/>
      <c r="F23" s="24"/>
      <c r="G23" s="24"/>
      <c r="H23"/>
    </row>
    <row r="24" spans="1:8" x14ac:dyDescent="0.3">
      <c r="B24" s="1" t="s">
        <v>6</v>
      </c>
      <c r="C24" s="1" t="s">
        <v>4</v>
      </c>
      <c r="D24" s="5">
        <f>SUMIF(May18_2021[[#Headers],[KSI_AGO]:[AKOSOMBO_AGO]],"*"&amp;C24,May18_2021[[#Totals],[KSI_AGO]:[AKOSOMBO_AGO]])</f>
        <v>2561000</v>
      </c>
      <c r="E24" s="1" t="s">
        <v>5</v>
      </c>
      <c r="F24" s="5">
        <f>SUMIF(May18_2021[[#Headers],[KSI_AGO]:[AKOSOMBO_AGO]],"*"&amp;E24,May18_2021[[#Totals],[KSI_AGO]:[AKOSOMBO_AGO]])</f>
        <v>1825000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mergeCells count="4">
    <mergeCell ref="B1:G1"/>
    <mergeCell ref="B2:C2"/>
    <mergeCell ref="B3:C3"/>
    <mergeCell ref="B4:G4"/>
  </mergeCells>
  <dataValidations count="1">
    <dataValidation type="list" allowBlank="1" showInputMessage="1" showErrorMessage="1" sqref="B6:B21" xr:uid="{F43AF3E1-6EC1-435D-B8A5-4661CF40F12C}">
      <formula1>INDIRECT("BDC_List[BDC List]")</formula1>
    </dataValidation>
  </dataValidations>
  <pageMargins left="0.7" right="0.7" top="0.75" bottom="0.75" header="0.3" footer="0.3"/>
  <tableParts count="1">
    <tablePart r:id="rId1"/>
  </tableParts>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8667-CBE0-4B59-9A53-7F0EC97AB629}">
  <sheetPr codeName="Sheet353"/>
  <dimension ref="A1:K34"/>
  <sheetViews>
    <sheetView topLeftCell="A3" workbookViewId="0">
      <pane xSplit="2" ySplit="2" topLeftCell="C5" activePane="bottomRight" state="frozen"/>
      <selection activeCell="A3" sqref="A3"/>
      <selection pane="topRight" activeCell="C3" sqref="C3"/>
      <selection pane="bottomLeft" activeCell="A5" sqref="A5"/>
      <selection pane="bottomRight"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44335</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44335</v>
      </c>
    </row>
    <row r="7" spans="2:11" x14ac:dyDescent="0.3">
      <c r="B7" s="6" t="s">
        <v>37</v>
      </c>
      <c r="C7" s="22"/>
      <c r="D7" s="22">
        <v>54000</v>
      </c>
      <c r="E7" s="22"/>
      <c r="F7" s="22"/>
      <c r="G7" s="22"/>
      <c r="H7" s="67">
        <f t="shared" si="0"/>
        <v>44335</v>
      </c>
    </row>
    <row r="8" spans="2:11" x14ac:dyDescent="0.3">
      <c r="B8" s="6" t="s">
        <v>17</v>
      </c>
      <c r="C8" s="22">
        <v>702000</v>
      </c>
      <c r="D8" s="22"/>
      <c r="E8" s="22"/>
      <c r="F8" s="22">
        <v>54000</v>
      </c>
      <c r="G8" s="22">
        <v>540000</v>
      </c>
      <c r="H8" s="12">
        <f t="shared" si="0"/>
        <v>44335</v>
      </c>
    </row>
    <row r="9" spans="2:11" ht="15.6" x14ac:dyDescent="0.3">
      <c r="B9" s="34" t="s">
        <v>0</v>
      </c>
      <c r="C9" s="60"/>
      <c r="D9" s="46">
        <v>810000</v>
      </c>
      <c r="E9" s="60"/>
      <c r="F9" s="46">
        <v>216000</v>
      </c>
      <c r="G9" s="61"/>
      <c r="H9" s="12">
        <f t="shared" si="0"/>
        <v>44335</v>
      </c>
    </row>
    <row r="10" spans="2:11" ht="16.2" customHeight="1" x14ac:dyDescent="0.3">
      <c r="B10" s="6" t="s">
        <v>25</v>
      </c>
      <c r="C10" s="22">
        <v>432000</v>
      </c>
      <c r="D10" s="94">
        <v>162000</v>
      </c>
      <c r="E10" s="22">
        <v>270000</v>
      </c>
      <c r="F10" s="22">
        <v>108000</v>
      </c>
      <c r="G10" s="22"/>
      <c r="H10" s="12">
        <f t="shared" si="0"/>
        <v>44335</v>
      </c>
    </row>
    <row r="11" spans="2:11" ht="13.5" customHeight="1" x14ac:dyDescent="0.3">
      <c r="B11" s="6" t="s">
        <v>15</v>
      </c>
      <c r="C11" s="22"/>
      <c r="D11" s="22">
        <v>108000</v>
      </c>
      <c r="E11" s="22"/>
      <c r="F11" s="48">
        <v>54000</v>
      </c>
      <c r="G11" s="22"/>
      <c r="H11" s="12">
        <f t="shared" si="0"/>
        <v>44335</v>
      </c>
    </row>
    <row r="12" spans="2:11" x14ac:dyDescent="0.3">
      <c r="B12" s="6" t="s">
        <v>54</v>
      </c>
      <c r="C12" s="22"/>
      <c r="D12" s="22"/>
      <c r="E12" s="22"/>
      <c r="F12" s="22"/>
      <c r="G12" s="22"/>
      <c r="H12" s="67">
        <f t="shared" si="0"/>
        <v>44335</v>
      </c>
    </row>
    <row r="13" spans="2:11" x14ac:dyDescent="0.3">
      <c r="B13" s="6" t="s">
        <v>26</v>
      </c>
      <c r="C13" s="22">
        <v>374000</v>
      </c>
      <c r="D13" s="22">
        <v>90000</v>
      </c>
      <c r="E13" s="22"/>
      <c r="F13" s="22">
        <v>108000</v>
      </c>
      <c r="G13" s="22"/>
      <c r="H13" s="12">
        <f t="shared" si="0"/>
        <v>44335</v>
      </c>
    </row>
    <row r="14" spans="2:11" x14ac:dyDescent="0.3">
      <c r="B14" s="6" t="s">
        <v>22</v>
      </c>
      <c r="C14" s="23"/>
      <c r="D14" s="23"/>
      <c r="E14" s="23"/>
      <c r="F14" s="22"/>
      <c r="G14" s="23"/>
      <c r="H14" s="12">
        <f t="shared" si="0"/>
        <v>44335</v>
      </c>
      <c r="K14" s="4"/>
    </row>
    <row r="15" spans="2:11" x14ac:dyDescent="0.3">
      <c r="B15" s="6" t="s">
        <v>61</v>
      </c>
      <c r="C15" s="23">
        <v>162000</v>
      </c>
      <c r="D15" s="23"/>
      <c r="E15" s="23"/>
      <c r="F15" s="22"/>
      <c r="G15" s="23"/>
      <c r="H15" s="75">
        <f t="shared" si="0"/>
        <v>44335</v>
      </c>
      <c r="K15" s="4"/>
    </row>
    <row r="16" spans="2:11" x14ac:dyDescent="0.3">
      <c r="B16" s="6" t="s">
        <v>19</v>
      </c>
      <c r="C16" s="22"/>
      <c r="D16" s="22"/>
      <c r="E16" s="22"/>
      <c r="F16" s="22"/>
      <c r="G16" s="22"/>
      <c r="H16" s="12">
        <f t="shared" si="0"/>
        <v>44335</v>
      </c>
    </row>
    <row r="17" spans="1:8" x14ac:dyDescent="0.3">
      <c r="B17" s="6" t="s">
        <v>14</v>
      </c>
      <c r="C17" s="22"/>
      <c r="D17" s="22">
        <v>211500</v>
      </c>
      <c r="E17" s="22"/>
      <c r="F17" s="22"/>
      <c r="G17" s="22"/>
      <c r="H17" s="12">
        <f t="shared" si="0"/>
        <v>44335</v>
      </c>
    </row>
    <row r="18" spans="1:8" x14ac:dyDescent="0.3">
      <c r="B18" s="6" t="s">
        <v>24</v>
      </c>
      <c r="C18" s="22"/>
      <c r="D18" s="22"/>
      <c r="E18" s="22"/>
      <c r="F18" s="49"/>
      <c r="G18" s="22"/>
      <c r="H18" s="12">
        <f t="shared" si="0"/>
        <v>44335</v>
      </c>
    </row>
    <row r="19" spans="1:8" x14ac:dyDescent="0.3">
      <c r="B19" s="6" t="s">
        <v>21</v>
      </c>
      <c r="C19" s="22"/>
      <c r="D19" s="22"/>
      <c r="E19" s="22"/>
      <c r="F19" s="22"/>
      <c r="G19" s="22"/>
      <c r="H19" s="12">
        <f t="shared" si="0"/>
        <v>44335</v>
      </c>
    </row>
    <row r="20" spans="1:8" x14ac:dyDescent="0.3">
      <c r="B20" s="6" t="s">
        <v>18</v>
      </c>
      <c r="C20" s="22">
        <v>378000</v>
      </c>
      <c r="D20" s="22"/>
      <c r="E20" s="22"/>
      <c r="F20" s="22"/>
      <c r="G20" s="22"/>
      <c r="H20" s="12">
        <f t="shared" si="0"/>
        <v>44335</v>
      </c>
    </row>
    <row r="21" spans="1:8" x14ac:dyDescent="0.3">
      <c r="B21" s="6" t="s">
        <v>16</v>
      </c>
      <c r="C21" s="22"/>
      <c r="D21" s="22">
        <v>162000</v>
      </c>
      <c r="E21" s="22"/>
      <c r="F21" s="22">
        <v>54000</v>
      </c>
      <c r="G21" s="22"/>
      <c r="H21" s="12">
        <f t="shared" si="0"/>
        <v>44335</v>
      </c>
    </row>
    <row r="22" spans="1:8" x14ac:dyDescent="0.3">
      <c r="B22" s="50" t="s">
        <v>27</v>
      </c>
      <c r="C22" s="51">
        <f>SUM(May19_2021[KSI_AGO])</f>
        <v>2048000</v>
      </c>
      <c r="D22" s="51">
        <f>SUBTOTAL(109,May19_2021[KSI_PMS])</f>
        <v>1597500</v>
      </c>
      <c r="E22" s="51">
        <f>SUM(May19_2021[BUIPE_AGO])</f>
        <v>270000</v>
      </c>
      <c r="F22" s="51">
        <f>SUM(May19_2021[BUIPE_PMS])</f>
        <v>594000</v>
      </c>
      <c r="G22" s="51">
        <f>SUM(May19_2021[AKOSOMBO_AGO])</f>
        <v>540000</v>
      </c>
      <c r="H22" s="52"/>
    </row>
    <row r="23" spans="1:8" x14ac:dyDescent="0.3">
      <c r="B23" s="8"/>
      <c r="C23" s="24"/>
      <c r="D23" s="24"/>
      <c r="E23" s="24"/>
      <c r="F23" s="24"/>
      <c r="G23" s="24"/>
      <c r="H23"/>
    </row>
    <row r="24" spans="1:8" x14ac:dyDescent="0.3">
      <c r="B24" s="1" t="s">
        <v>6</v>
      </c>
      <c r="C24" s="1" t="s">
        <v>4</v>
      </c>
      <c r="D24" s="5">
        <f>SUMIF(May19_2021[[#Headers],[KSI_AGO]:[AKOSOMBO_AGO]],"*"&amp;C24,May19_2021[[#Totals],[KSI_AGO]:[AKOSOMBO_AGO]])</f>
        <v>2858000</v>
      </c>
      <c r="E24" s="1" t="s">
        <v>5</v>
      </c>
      <c r="F24" s="5">
        <f>SUMIF(May19_2021[[#Headers],[KSI_AGO]:[AKOSOMBO_AGO]],"*"&amp;E24,May19_2021[[#Totals],[KSI_AGO]:[AKOSOMBO_AGO]])</f>
        <v>2191500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264BCB4E-3B16-43D0-A9AD-BE7C998484FC}">
      <formula1>INDIRECT("BDC_List[BDC List]")</formula1>
    </dataValidation>
  </dataValidations>
  <pageMargins left="0.7" right="0.7" top="0.75" bottom="0.75" header="0.3" footer="0.3"/>
  <tableParts count="1">
    <tablePart r:id="rId1"/>
  </tableParts>
</worksheet>
</file>

<file path=xl/worksheets/sheet3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38FA-9934-459E-8409-B909DFA791A8}">
  <sheetPr codeName="Sheet354"/>
  <dimension ref="A1:K34"/>
  <sheetViews>
    <sheetView workbookViewId="0">
      <selection activeCell="G18" sqref="G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44336</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44336</v>
      </c>
    </row>
    <row r="7" spans="2:11" x14ac:dyDescent="0.3">
      <c r="B7" s="6" t="s">
        <v>37</v>
      </c>
      <c r="C7" s="22"/>
      <c r="D7" s="22"/>
      <c r="E7" s="22"/>
      <c r="F7" s="22"/>
      <c r="G7" s="22"/>
      <c r="H7" s="67">
        <f t="shared" si="0"/>
        <v>44336</v>
      </c>
    </row>
    <row r="8" spans="2:11" x14ac:dyDescent="0.3">
      <c r="B8" s="6" t="s">
        <v>17</v>
      </c>
      <c r="C8" s="22">
        <v>270000</v>
      </c>
      <c r="D8" s="22"/>
      <c r="E8" s="22"/>
      <c r="F8" s="22">
        <v>108000</v>
      </c>
      <c r="G8" s="22">
        <v>270000</v>
      </c>
      <c r="H8" s="12">
        <f t="shared" si="0"/>
        <v>44336</v>
      </c>
    </row>
    <row r="9" spans="2:11" ht="15.6" x14ac:dyDescent="0.3">
      <c r="B9" s="34" t="s">
        <v>0</v>
      </c>
      <c r="C9" s="60"/>
      <c r="D9" s="46">
        <v>324000</v>
      </c>
      <c r="E9" s="60"/>
      <c r="F9" s="46">
        <v>486000</v>
      </c>
      <c r="G9" s="61"/>
      <c r="H9" s="12">
        <f t="shared" si="0"/>
        <v>44336</v>
      </c>
    </row>
    <row r="10" spans="2:11" ht="16.2" customHeight="1" x14ac:dyDescent="0.3">
      <c r="B10" s="6" t="s">
        <v>25</v>
      </c>
      <c r="C10" s="22">
        <v>364500</v>
      </c>
      <c r="D10" s="94">
        <v>162000</v>
      </c>
      <c r="E10" s="22">
        <v>230000</v>
      </c>
      <c r="F10" s="22">
        <v>54000</v>
      </c>
      <c r="G10" s="22"/>
      <c r="H10" s="12">
        <f t="shared" si="0"/>
        <v>44336</v>
      </c>
    </row>
    <row r="11" spans="2:11" ht="13.5" customHeight="1" x14ac:dyDescent="0.3">
      <c r="B11" s="6" t="s">
        <v>15</v>
      </c>
      <c r="C11" s="22"/>
      <c r="D11" s="22">
        <v>162000</v>
      </c>
      <c r="E11" s="22">
        <v>50000</v>
      </c>
      <c r="F11" s="48">
        <v>54000</v>
      </c>
      <c r="G11" s="22"/>
      <c r="H11" s="12">
        <f t="shared" si="0"/>
        <v>44336</v>
      </c>
    </row>
    <row r="12" spans="2:11" x14ac:dyDescent="0.3">
      <c r="B12" s="6" t="s">
        <v>54</v>
      </c>
      <c r="C12" s="22"/>
      <c r="D12" s="22"/>
      <c r="E12" s="22"/>
      <c r="F12" s="22"/>
      <c r="G12" s="22"/>
      <c r="H12" s="67">
        <f t="shared" si="0"/>
        <v>44336</v>
      </c>
    </row>
    <row r="13" spans="2:11" x14ac:dyDescent="0.3">
      <c r="B13" s="6" t="s">
        <v>26</v>
      </c>
      <c r="C13" s="22">
        <v>162000</v>
      </c>
      <c r="D13" s="22">
        <v>54000</v>
      </c>
      <c r="E13" s="22"/>
      <c r="F13" s="22">
        <v>54000</v>
      </c>
      <c r="G13" s="22"/>
      <c r="H13" s="12">
        <f t="shared" si="0"/>
        <v>44336</v>
      </c>
    </row>
    <row r="14" spans="2:11" x14ac:dyDescent="0.3">
      <c r="B14" s="6" t="s">
        <v>22</v>
      </c>
      <c r="C14" s="23"/>
      <c r="D14" s="23"/>
      <c r="E14" s="23"/>
      <c r="F14" s="22"/>
      <c r="G14" s="23"/>
      <c r="H14" s="12">
        <f t="shared" si="0"/>
        <v>44336</v>
      </c>
      <c r="K14" s="4"/>
    </row>
    <row r="15" spans="2:11" x14ac:dyDescent="0.3">
      <c r="B15" s="6" t="s">
        <v>61</v>
      </c>
      <c r="C15" s="23">
        <v>45000</v>
      </c>
      <c r="D15" s="23"/>
      <c r="E15" s="23">
        <v>54000</v>
      </c>
      <c r="F15" s="22"/>
      <c r="G15" s="23"/>
      <c r="H15" s="75">
        <f t="shared" si="0"/>
        <v>44336</v>
      </c>
      <c r="K15" s="4"/>
    </row>
    <row r="16" spans="2:11" x14ac:dyDescent="0.3">
      <c r="B16" s="6" t="s">
        <v>19</v>
      </c>
      <c r="C16" s="22"/>
      <c r="D16" s="22">
        <v>162000</v>
      </c>
      <c r="E16" s="22"/>
      <c r="F16" s="22">
        <v>54000</v>
      </c>
      <c r="G16" s="22"/>
      <c r="H16" s="12">
        <f t="shared" si="0"/>
        <v>44336</v>
      </c>
    </row>
    <row r="17" spans="1:8" x14ac:dyDescent="0.3">
      <c r="B17" s="6" t="s">
        <v>14</v>
      </c>
      <c r="C17" s="22"/>
      <c r="D17" s="22">
        <v>103500</v>
      </c>
      <c r="E17" s="22"/>
      <c r="F17" s="22">
        <v>45000</v>
      </c>
      <c r="G17" s="22"/>
      <c r="H17" s="12">
        <f t="shared" si="0"/>
        <v>44336</v>
      </c>
    </row>
    <row r="18" spans="1:8" x14ac:dyDescent="0.3">
      <c r="B18" s="6" t="s">
        <v>24</v>
      </c>
      <c r="C18" s="22"/>
      <c r="D18" s="22"/>
      <c r="E18" s="22"/>
      <c r="F18" s="49"/>
      <c r="G18" s="22"/>
      <c r="H18" s="12">
        <f t="shared" si="0"/>
        <v>44336</v>
      </c>
    </row>
    <row r="19" spans="1:8" x14ac:dyDescent="0.3">
      <c r="B19" s="6" t="s">
        <v>21</v>
      </c>
      <c r="C19" s="22"/>
      <c r="D19" s="22"/>
      <c r="E19" s="22"/>
      <c r="F19" s="22"/>
      <c r="G19" s="22"/>
      <c r="H19" s="12">
        <f t="shared" si="0"/>
        <v>44336</v>
      </c>
    </row>
    <row r="20" spans="1:8" x14ac:dyDescent="0.3">
      <c r="B20" s="6" t="s">
        <v>18</v>
      </c>
      <c r="C20" s="22">
        <v>162000</v>
      </c>
      <c r="D20" s="22"/>
      <c r="E20" s="22"/>
      <c r="F20" s="22"/>
      <c r="G20" s="22"/>
      <c r="H20" s="12">
        <f t="shared" si="0"/>
        <v>44336</v>
      </c>
    </row>
    <row r="21" spans="1:8" x14ac:dyDescent="0.3">
      <c r="B21" s="6" t="s">
        <v>16</v>
      </c>
      <c r="C21" s="22"/>
      <c r="D21" s="22">
        <v>108000</v>
      </c>
      <c r="E21" s="22"/>
      <c r="F21" s="22">
        <v>154000</v>
      </c>
      <c r="G21" s="22"/>
      <c r="H21" s="12">
        <f t="shared" si="0"/>
        <v>44336</v>
      </c>
    </row>
    <row r="22" spans="1:8" x14ac:dyDescent="0.3">
      <c r="B22" s="50" t="s">
        <v>27</v>
      </c>
      <c r="C22" s="51">
        <f>SUM(May20_2021[KSI_AGO])</f>
        <v>1003500</v>
      </c>
      <c r="D22" s="51">
        <f>SUBTOTAL(109,May20_2021[KSI_PMS])</f>
        <v>1075500</v>
      </c>
      <c r="E22" s="51">
        <f>SUM(May20_2021[BUIPE_AGO])</f>
        <v>334000</v>
      </c>
      <c r="F22" s="51">
        <f>SUM(May20_2021[BUIPE_PMS])</f>
        <v>1009000</v>
      </c>
      <c r="G22" s="51">
        <f>SUM(May20_2021[AKOSOMBO_AGO])</f>
        <v>270000</v>
      </c>
      <c r="H22" s="52"/>
    </row>
    <row r="23" spans="1:8" x14ac:dyDescent="0.3">
      <c r="B23" s="8"/>
      <c r="C23" s="24"/>
      <c r="D23" s="24"/>
      <c r="E23" s="24"/>
      <c r="F23" s="24"/>
      <c r="G23" s="24"/>
      <c r="H23"/>
    </row>
    <row r="24" spans="1:8" x14ac:dyDescent="0.3">
      <c r="B24" s="1" t="s">
        <v>6</v>
      </c>
      <c r="C24" s="1" t="s">
        <v>4</v>
      </c>
      <c r="D24" s="5">
        <f>SUMIF(May20_2021[[#Headers],[KSI_AGO]:[AKOSOMBO_AGO]],"*"&amp;C24,May20_2021[[#Totals],[KSI_AGO]:[AKOSOMBO_AGO]])</f>
        <v>1607500</v>
      </c>
      <c r="E24" s="1" t="s">
        <v>5</v>
      </c>
      <c r="F24" s="5">
        <f>SUMIF(May20_2021[[#Headers],[KSI_AGO]:[AKOSOMBO_AGO]],"*"&amp;E24,May20_2021[[#Totals],[KSI_AGO]:[AKOSOMBO_AGO]])</f>
        <v>2084500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9F0EB721-24AD-4252-92E7-80F24D4EEC75}">
      <formula1>INDIRECT("BDC_List[BDC List]")</formula1>
    </dataValidation>
  </dataValidations>
  <pageMargins left="0.7" right="0.7" top="0.75" bottom="0.75" header="0.3" footer="0.3"/>
  <legacyDrawing r:id="rId1"/>
  <tableParts count="1">
    <tablePart r:id="rId2"/>
  </tableParts>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0DDB7-7400-4678-9C8B-6BD3982A4DB1}">
  <sheetPr codeName="Sheet355"/>
  <dimension ref="A1:K34"/>
  <sheetViews>
    <sheetView workbookViewId="0">
      <selection activeCell="F15" sqref="F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44337</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44337</v>
      </c>
    </row>
    <row r="7" spans="2:11" x14ac:dyDescent="0.3">
      <c r="B7" s="6" t="s">
        <v>37</v>
      </c>
      <c r="C7" s="22"/>
      <c r="D7" s="22"/>
      <c r="E7" s="22"/>
      <c r="F7" s="22"/>
      <c r="G7" s="22"/>
      <c r="H7" s="67">
        <f t="shared" si="0"/>
        <v>44337</v>
      </c>
    </row>
    <row r="8" spans="2:11" x14ac:dyDescent="0.3">
      <c r="B8" s="6" t="s">
        <v>17</v>
      </c>
      <c r="C8" s="22">
        <v>851000</v>
      </c>
      <c r="D8" s="22"/>
      <c r="E8" s="22"/>
      <c r="F8" s="22">
        <v>108000</v>
      </c>
      <c r="G8" s="22"/>
      <c r="H8" s="12">
        <f t="shared" si="0"/>
        <v>44337</v>
      </c>
    </row>
    <row r="9" spans="2:11" ht="15.6" x14ac:dyDescent="0.3">
      <c r="B9" s="34" t="s">
        <v>0</v>
      </c>
      <c r="C9" s="60"/>
      <c r="D9" s="46">
        <v>202500</v>
      </c>
      <c r="E9" s="60"/>
      <c r="F9" s="46">
        <v>378000</v>
      </c>
      <c r="G9" s="61"/>
      <c r="H9" s="12">
        <f t="shared" si="0"/>
        <v>44337</v>
      </c>
    </row>
    <row r="10" spans="2:11" ht="16.2" customHeight="1" x14ac:dyDescent="0.3">
      <c r="B10" s="6" t="s">
        <v>25</v>
      </c>
      <c r="C10" s="22">
        <v>518500</v>
      </c>
      <c r="D10" s="94">
        <v>135000</v>
      </c>
      <c r="E10" s="22">
        <v>135000</v>
      </c>
      <c r="F10" s="22">
        <v>103500</v>
      </c>
      <c r="G10" s="22"/>
      <c r="H10" s="12">
        <f t="shared" si="0"/>
        <v>44337</v>
      </c>
    </row>
    <row r="11" spans="2:11" ht="13.5" customHeight="1" x14ac:dyDescent="0.3">
      <c r="B11" s="6" t="s">
        <v>15</v>
      </c>
      <c r="C11" s="22"/>
      <c r="D11" s="22">
        <v>103500</v>
      </c>
      <c r="E11" s="22"/>
      <c r="F11" s="48">
        <v>54000</v>
      </c>
      <c r="G11" s="22"/>
      <c r="H11" s="12">
        <f t="shared" si="0"/>
        <v>44337</v>
      </c>
    </row>
    <row r="12" spans="2:11" x14ac:dyDescent="0.3">
      <c r="B12" s="6" t="s">
        <v>54</v>
      </c>
      <c r="C12" s="22"/>
      <c r="D12" s="22"/>
      <c r="E12" s="22"/>
      <c r="F12" s="22"/>
      <c r="G12" s="22"/>
      <c r="H12" s="67">
        <f t="shared" si="0"/>
        <v>44337</v>
      </c>
    </row>
    <row r="13" spans="2:11" x14ac:dyDescent="0.3">
      <c r="B13" s="6" t="s">
        <v>26</v>
      </c>
      <c r="C13" s="22">
        <v>378000</v>
      </c>
      <c r="D13" s="22">
        <v>50000</v>
      </c>
      <c r="E13" s="22"/>
      <c r="F13" s="22"/>
      <c r="G13" s="22"/>
      <c r="H13" s="12">
        <f t="shared" si="0"/>
        <v>44337</v>
      </c>
    </row>
    <row r="14" spans="2:11" x14ac:dyDescent="0.3">
      <c r="B14" s="6" t="s">
        <v>22</v>
      </c>
      <c r="C14" s="23"/>
      <c r="D14" s="23"/>
      <c r="E14" s="23"/>
      <c r="F14" s="22"/>
      <c r="G14" s="23"/>
      <c r="H14" s="12">
        <f t="shared" si="0"/>
        <v>44337</v>
      </c>
      <c r="K14" s="4"/>
    </row>
    <row r="15" spans="2:11" x14ac:dyDescent="0.3">
      <c r="B15" s="6" t="s">
        <v>61</v>
      </c>
      <c r="C15" s="23">
        <v>45000</v>
      </c>
      <c r="D15" s="23"/>
      <c r="E15" s="23"/>
      <c r="F15" s="22"/>
      <c r="G15" s="23"/>
      <c r="H15" s="75">
        <f t="shared" si="0"/>
        <v>44337</v>
      </c>
      <c r="K15" s="4"/>
    </row>
    <row r="16" spans="2:11" x14ac:dyDescent="0.3">
      <c r="B16" s="6" t="s">
        <v>19</v>
      </c>
      <c r="C16" s="22"/>
      <c r="D16" s="22">
        <v>684000</v>
      </c>
      <c r="E16" s="22"/>
      <c r="F16" s="22">
        <v>54000</v>
      </c>
      <c r="G16" s="22" t="s">
        <v>62</v>
      </c>
      <c r="H16" s="12">
        <f t="shared" si="0"/>
        <v>44337</v>
      </c>
    </row>
    <row r="17" spans="1:8" x14ac:dyDescent="0.3">
      <c r="B17" s="6" t="s">
        <v>14</v>
      </c>
      <c r="C17" s="22"/>
      <c r="D17" s="22">
        <v>216000</v>
      </c>
      <c r="E17" s="22"/>
      <c r="F17" s="22"/>
      <c r="G17" s="22"/>
      <c r="H17" s="12">
        <f t="shared" si="0"/>
        <v>44337</v>
      </c>
    </row>
    <row r="18" spans="1:8" x14ac:dyDescent="0.3">
      <c r="B18" s="6" t="s">
        <v>24</v>
      </c>
      <c r="C18" s="22"/>
      <c r="D18" s="22"/>
      <c r="E18" s="22"/>
      <c r="F18" s="49"/>
      <c r="G18" s="22"/>
      <c r="H18" s="12">
        <f t="shared" si="0"/>
        <v>44337</v>
      </c>
    </row>
    <row r="19" spans="1:8" x14ac:dyDescent="0.3">
      <c r="B19" s="6" t="s">
        <v>21</v>
      </c>
      <c r="C19" s="22"/>
      <c r="D19" s="22"/>
      <c r="E19" s="22"/>
      <c r="F19" s="22"/>
      <c r="G19" s="22"/>
      <c r="H19" s="12">
        <f t="shared" si="0"/>
        <v>44337</v>
      </c>
    </row>
    <row r="20" spans="1:8" x14ac:dyDescent="0.3">
      <c r="B20" s="6" t="s">
        <v>18</v>
      </c>
      <c r="C20" s="22">
        <v>108000</v>
      </c>
      <c r="D20" s="22"/>
      <c r="E20" s="22"/>
      <c r="F20" s="22"/>
      <c r="G20" s="22"/>
      <c r="H20" s="12">
        <f t="shared" si="0"/>
        <v>44337</v>
      </c>
    </row>
    <row r="21" spans="1:8" x14ac:dyDescent="0.3">
      <c r="B21" s="6" t="s">
        <v>16</v>
      </c>
      <c r="C21" s="22"/>
      <c r="D21" s="22">
        <v>144000</v>
      </c>
      <c r="E21" s="22"/>
      <c r="F21" s="22">
        <v>54000</v>
      </c>
      <c r="G21" s="22"/>
      <c r="H21" s="12">
        <f t="shared" si="0"/>
        <v>44337</v>
      </c>
    </row>
    <row r="22" spans="1:8" x14ac:dyDescent="0.3">
      <c r="B22" s="50" t="s">
        <v>27</v>
      </c>
      <c r="C22" s="51">
        <f>SUM(May21_2021[KSI_AGO])</f>
        <v>1900500</v>
      </c>
      <c r="D22" s="51">
        <f>SUBTOTAL(109,May21_2021[KSI_PMS])</f>
        <v>1535000</v>
      </c>
      <c r="E22" s="51">
        <f>SUM(May21_2021[BUIPE_AGO])</f>
        <v>135000</v>
      </c>
      <c r="F22" s="51">
        <f>SUM(May21_2021[BUIPE_PMS])</f>
        <v>751500</v>
      </c>
      <c r="G22" s="51">
        <f>SUM(May21_2021[AKOSOMBO_AGO])</f>
        <v>0</v>
      </c>
      <c r="H22" s="52"/>
    </row>
    <row r="23" spans="1:8" x14ac:dyDescent="0.3">
      <c r="B23" s="8"/>
      <c r="C23" s="24"/>
      <c r="D23" s="24"/>
      <c r="E23" s="24"/>
      <c r="F23" s="24"/>
      <c r="G23" s="24"/>
      <c r="H23"/>
    </row>
    <row r="24" spans="1:8" x14ac:dyDescent="0.3">
      <c r="B24" s="1" t="s">
        <v>6</v>
      </c>
      <c r="C24" s="1" t="s">
        <v>4</v>
      </c>
      <c r="D24" s="5">
        <f>SUMIF(May21_2021[[#Headers],[KSI_AGO]:[AKOSOMBO_AGO]],"*"&amp;C24,May21_2021[[#Totals],[KSI_AGO]:[AKOSOMBO_AGO]])</f>
        <v>2035500</v>
      </c>
      <c r="E24" s="1" t="s">
        <v>5</v>
      </c>
      <c r="F24" s="5">
        <f>SUMIF(May21_2021[[#Headers],[KSI_AGO]:[AKOSOMBO_AGO]],"*"&amp;E24,May21_2021[[#Totals],[KSI_AGO]:[AKOSOMBO_AGO]])</f>
        <v>2286500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97F2B6AF-08FC-4D8C-BBC4-2A4CFB5B2EB7}">
      <formula1>INDIRECT("BDC_List[BDC List]")</formula1>
    </dataValidation>
  </dataValidations>
  <pageMargins left="0.7" right="0.7" top="0.75" bottom="0.75" header="0.3" footer="0.3"/>
  <tableParts count="1">
    <tablePart r:id="rId1"/>
  </tableParts>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CD40B-E761-468E-B9C2-1D4FC10C62F4}">
  <sheetPr codeName="Sheet356"/>
  <dimension ref="A1:K34"/>
  <sheetViews>
    <sheetView workbookViewId="0">
      <selection activeCell="G14" sqref="G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44340</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44340</v>
      </c>
    </row>
    <row r="7" spans="2:11" x14ac:dyDescent="0.3">
      <c r="B7" s="6" t="s">
        <v>37</v>
      </c>
      <c r="C7" s="22"/>
      <c r="D7" s="22"/>
      <c r="E7" s="22"/>
      <c r="F7" s="22"/>
      <c r="G7" s="22"/>
      <c r="H7" s="67">
        <f t="shared" si="0"/>
        <v>44340</v>
      </c>
    </row>
    <row r="8" spans="2:11" x14ac:dyDescent="0.3">
      <c r="B8" s="6" t="s">
        <v>17</v>
      </c>
      <c r="C8" s="22">
        <v>585000</v>
      </c>
      <c r="D8" s="22"/>
      <c r="E8" s="22"/>
      <c r="F8" s="22">
        <v>54000</v>
      </c>
      <c r="G8" s="22"/>
      <c r="H8" s="12">
        <f t="shared" si="0"/>
        <v>44340</v>
      </c>
    </row>
    <row r="9" spans="2:11" ht="15.6" x14ac:dyDescent="0.3">
      <c r="B9" s="34" t="s">
        <v>0</v>
      </c>
      <c r="C9" s="60"/>
      <c r="D9" s="46">
        <v>481500</v>
      </c>
      <c r="E9" s="60"/>
      <c r="F9" s="46">
        <v>270000</v>
      </c>
      <c r="G9" s="61"/>
      <c r="H9" s="12">
        <f t="shared" si="0"/>
        <v>44340</v>
      </c>
    </row>
    <row r="10" spans="2:11" ht="16.2" customHeight="1" x14ac:dyDescent="0.3">
      <c r="B10" s="6" t="s">
        <v>25</v>
      </c>
      <c r="C10" s="22">
        <v>690000</v>
      </c>
      <c r="D10" s="94">
        <v>162000</v>
      </c>
      <c r="E10" s="22"/>
      <c r="F10" s="22"/>
      <c r="G10" s="22"/>
      <c r="H10" s="12">
        <f t="shared" si="0"/>
        <v>44340</v>
      </c>
    </row>
    <row r="11" spans="2:11" ht="13.5" customHeight="1" x14ac:dyDescent="0.3">
      <c r="B11" s="6" t="s">
        <v>15</v>
      </c>
      <c r="C11" s="22"/>
      <c r="D11" s="22">
        <v>211500</v>
      </c>
      <c r="E11" s="22"/>
      <c r="F11" s="48">
        <v>54000</v>
      </c>
      <c r="G11" s="22"/>
      <c r="H11" s="12">
        <f t="shared" si="0"/>
        <v>44340</v>
      </c>
    </row>
    <row r="12" spans="2:11" x14ac:dyDescent="0.3">
      <c r="B12" s="6" t="s">
        <v>54</v>
      </c>
      <c r="C12" s="22"/>
      <c r="D12" s="22"/>
      <c r="E12" s="22"/>
      <c r="F12" s="22"/>
      <c r="G12" s="22"/>
      <c r="H12" s="67">
        <f t="shared" si="0"/>
        <v>44340</v>
      </c>
    </row>
    <row r="13" spans="2:11" x14ac:dyDescent="0.3">
      <c r="B13" s="6" t="s">
        <v>26</v>
      </c>
      <c r="C13" s="22">
        <v>270000</v>
      </c>
      <c r="D13" s="22"/>
      <c r="E13" s="22"/>
      <c r="F13" s="22">
        <v>54000</v>
      </c>
      <c r="G13" s="22"/>
      <c r="H13" s="12">
        <f t="shared" si="0"/>
        <v>44340</v>
      </c>
    </row>
    <row r="14" spans="2:11" x14ac:dyDescent="0.3">
      <c r="B14" s="6" t="s">
        <v>22</v>
      </c>
      <c r="C14" s="23"/>
      <c r="D14" s="23"/>
      <c r="E14" s="23"/>
      <c r="F14" s="22"/>
      <c r="G14" s="23"/>
      <c r="H14" s="12">
        <f t="shared" si="0"/>
        <v>44340</v>
      </c>
      <c r="K14" s="4"/>
    </row>
    <row r="15" spans="2:11" x14ac:dyDescent="0.3">
      <c r="B15" s="6" t="s">
        <v>61</v>
      </c>
      <c r="C15" s="23"/>
      <c r="D15" s="23"/>
      <c r="E15" s="23"/>
      <c r="F15" s="22"/>
      <c r="G15" s="23"/>
      <c r="H15" s="75">
        <f t="shared" si="0"/>
        <v>44340</v>
      </c>
      <c r="K15" s="4"/>
    </row>
    <row r="16" spans="2:11" x14ac:dyDescent="0.3">
      <c r="B16" s="6" t="s">
        <v>19</v>
      </c>
      <c r="C16" s="22"/>
      <c r="D16" s="22"/>
      <c r="E16" s="22"/>
      <c r="F16" s="22"/>
      <c r="G16" s="22"/>
      <c r="H16" s="12">
        <f t="shared" si="0"/>
        <v>44340</v>
      </c>
    </row>
    <row r="17" spans="1:8" x14ac:dyDescent="0.3">
      <c r="B17" s="6" t="s">
        <v>14</v>
      </c>
      <c r="C17" s="22"/>
      <c r="D17" s="22">
        <v>269000</v>
      </c>
      <c r="E17" s="22"/>
      <c r="F17" s="22"/>
      <c r="G17" s="22"/>
      <c r="H17" s="12">
        <f t="shared" si="0"/>
        <v>44340</v>
      </c>
    </row>
    <row r="18" spans="1:8" x14ac:dyDescent="0.3">
      <c r="B18" s="6" t="s">
        <v>24</v>
      </c>
      <c r="C18" s="22"/>
      <c r="D18" s="22"/>
      <c r="E18" s="22"/>
      <c r="F18" s="49"/>
      <c r="G18" s="22"/>
      <c r="H18" s="12">
        <f t="shared" si="0"/>
        <v>44340</v>
      </c>
    </row>
    <row r="19" spans="1:8" x14ac:dyDescent="0.3">
      <c r="B19" s="6" t="s">
        <v>21</v>
      </c>
      <c r="C19" s="22"/>
      <c r="D19" s="22"/>
      <c r="E19" s="22"/>
      <c r="F19" s="22"/>
      <c r="G19" s="22"/>
      <c r="H19" s="12">
        <f t="shared" si="0"/>
        <v>44340</v>
      </c>
    </row>
    <row r="20" spans="1:8" x14ac:dyDescent="0.3">
      <c r="B20" s="6" t="s">
        <v>18</v>
      </c>
      <c r="C20" s="22"/>
      <c r="D20" s="22"/>
      <c r="E20" s="22"/>
      <c r="F20" s="22"/>
      <c r="G20" s="22"/>
      <c r="H20" s="12">
        <f t="shared" si="0"/>
        <v>44340</v>
      </c>
    </row>
    <row r="21" spans="1:8" x14ac:dyDescent="0.3">
      <c r="B21" s="6" t="s">
        <v>16</v>
      </c>
      <c r="C21" s="22"/>
      <c r="D21" s="22">
        <v>45000</v>
      </c>
      <c r="E21" s="22"/>
      <c r="F21" s="22">
        <v>50000</v>
      </c>
      <c r="G21" s="22"/>
      <c r="H21" s="12">
        <f t="shared" si="0"/>
        <v>44340</v>
      </c>
    </row>
    <row r="22" spans="1:8" x14ac:dyDescent="0.3">
      <c r="B22" s="50" t="s">
        <v>27</v>
      </c>
      <c r="C22" s="51">
        <f>SUM(May24_2021[KSI_AGO])</f>
        <v>1545000</v>
      </c>
      <c r="D22" s="51">
        <f>SUBTOTAL(109,May24_2021[KSI_PMS])</f>
        <v>1169000</v>
      </c>
      <c r="E22" s="51">
        <f>SUM(May24_2021[BUIPE_AGO])</f>
        <v>0</v>
      </c>
      <c r="F22" s="51">
        <f>SUM(May24_2021[BUIPE_PMS])</f>
        <v>482000</v>
      </c>
      <c r="G22" s="51">
        <f>SUM(May24_2021[AKOSOMBO_AGO])</f>
        <v>0</v>
      </c>
      <c r="H22" s="52"/>
    </row>
    <row r="23" spans="1:8" x14ac:dyDescent="0.3">
      <c r="B23" s="8"/>
      <c r="C23" s="24"/>
      <c r="D23" s="24"/>
      <c r="E23" s="24"/>
      <c r="F23" s="24"/>
      <c r="G23" s="24"/>
      <c r="H23"/>
    </row>
    <row r="24" spans="1:8" x14ac:dyDescent="0.3">
      <c r="B24" s="1" t="s">
        <v>6</v>
      </c>
      <c r="C24" s="1" t="s">
        <v>4</v>
      </c>
      <c r="D24" s="5">
        <f>SUMIF(May24_2021[[#Headers],[KSI_AGO]:[AKOSOMBO_AGO]],"*"&amp;C24,May24_2021[[#Totals],[KSI_AGO]:[AKOSOMBO_AGO]])</f>
        <v>1545000</v>
      </c>
      <c r="E24" s="1" t="s">
        <v>5</v>
      </c>
      <c r="F24" s="5">
        <f>SUMIF(May24_2021[[#Headers],[KSI_AGO]:[AKOSOMBO_AGO]],"*"&amp;E24,May24_2021[[#Totals],[KSI_AGO]:[AKOSOMBO_AGO]])</f>
        <v>1651000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04C9E648-757C-406F-BEB1-24C14D094CF5}">
      <formula1>INDIRECT("BDC_List[BDC List]")</formula1>
    </dataValidation>
  </dataValidations>
  <pageMargins left="0.7" right="0.7" top="0.75" bottom="0.75" header="0.3" footer="0.3"/>
  <tableParts count="1">
    <tablePart r:id="rId1"/>
  </tableParts>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A2FC7-AD44-45BA-8013-B6997C229748}">
  <sheetPr codeName="Sheet357"/>
  <dimension ref="A1:K34"/>
  <sheetViews>
    <sheetView workbookViewId="0">
      <selection activeCell="G17" sqref="G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44341</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44341</v>
      </c>
    </row>
    <row r="7" spans="2:11" x14ac:dyDescent="0.3">
      <c r="B7" s="6" t="s">
        <v>37</v>
      </c>
      <c r="C7" s="22"/>
      <c r="D7" s="22"/>
      <c r="E7" s="22"/>
      <c r="F7" s="22"/>
      <c r="G7" s="22"/>
      <c r="H7" s="67">
        <f t="shared" si="0"/>
        <v>44341</v>
      </c>
    </row>
    <row r="8" spans="2:11" x14ac:dyDescent="0.3">
      <c r="B8" s="6" t="s">
        <v>17</v>
      </c>
      <c r="C8" s="22">
        <v>1017000</v>
      </c>
      <c r="D8" s="22"/>
      <c r="E8" s="22"/>
      <c r="F8" s="22"/>
      <c r="G8" s="22"/>
      <c r="H8" s="12">
        <f t="shared" si="0"/>
        <v>44341</v>
      </c>
    </row>
    <row r="9" spans="2:11" ht="15.6" x14ac:dyDescent="0.3">
      <c r="B9" s="34" t="s">
        <v>0</v>
      </c>
      <c r="C9" s="60"/>
      <c r="D9" s="46">
        <v>369000</v>
      </c>
      <c r="E9" s="60"/>
      <c r="F9" s="46"/>
      <c r="G9" s="61"/>
      <c r="H9" s="12">
        <f t="shared" si="0"/>
        <v>44341</v>
      </c>
    </row>
    <row r="10" spans="2:11" ht="16.2" customHeight="1" x14ac:dyDescent="0.3">
      <c r="B10" s="6" t="s">
        <v>25</v>
      </c>
      <c r="C10" s="22">
        <v>589000</v>
      </c>
      <c r="D10" s="94">
        <v>376000</v>
      </c>
      <c r="E10" s="22"/>
      <c r="F10" s="22"/>
      <c r="G10" s="22"/>
      <c r="H10" s="12">
        <f t="shared" si="0"/>
        <v>44341</v>
      </c>
    </row>
    <row r="11" spans="2:11" ht="13.5" customHeight="1" x14ac:dyDescent="0.3">
      <c r="B11" s="6" t="s">
        <v>15</v>
      </c>
      <c r="C11" s="22"/>
      <c r="D11" s="22">
        <v>270000</v>
      </c>
      <c r="E11" s="22"/>
      <c r="F11" s="48"/>
      <c r="G11" s="22"/>
      <c r="H11" s="12">
        <f t="shared" si="0"/>
        <v>44341</v>
      </c>
    </row>
    <row r="12" spans="2:11" x14ac:dyDescent="0.3">
      <c r="B12" s="6" t="s">
        <v>54</v>
      </c>
      <c r="C12" s="22"/>
      <c r="D12" s="22"/>
      <c r="E12" s="22"/>
      <c r="F12" s="22"/>
      <c r="G12" s="22"/>
      <c r="H12" s="67">
        <f t="shared" si="0"/>
        <v>44341</v>
      </c>
    </row>
    <row r="13" spans="2:11" x14ac:dyDescent="0.3">
      <c r="B13" s="6" t="s">
        <v>26</v>
      </c>
      <c r="C13" s="22">
        <v>54000</v>
      </c>
      <c r="D13" s="22"/>
      <c r="E13" s="22"/>
      <c r="F13" s="22"/>
      <c r="G13" s="22"/>
      <c r="H13" s="12">
        <f t="shared" si="0"/>
        <v>44341</v>
      </c>
    </row>
    <row r="14" spans="2:11" x14ac:dyDescent="0.3">
      <c r="B14" s="6" t="s">
        <v>22</v>
      </c>
      <c r="C14" s="23"/>
      <c r="D14" s="23"/>
      <c r="E14" s="23"/>
      <c r="F14" s="22"/>
      <c r="G14" s="23"/>
      <c r="H14" s="12">
        <f t="shared" si="0"/>
        <v>44341</v>
      </c>
      <c r="K14" s="4"/>
    </row>
    <row r="15" spans="2:11" x14ac:dyDescent="0.3">
      <c r="B15" s="6" t="s">
        <v>61</v>
      </c>
      <c r="C15" s="23"/>
      <c r="D15" s="23"/>
      <c r="E15" s="23"/>
      <c r="F15" s="22"/>
      <c r="G15" s="23"/>
      <c r="H15" s="75">
        <f t="shared" si="0"/>
        <v>44341</v>
      </c>
      <c r="K15" s="4"/>
    </row>
    <row r="16" spans="2:11" x14ac:dyDescent="0.3">
      <c r="B16" s="6" t="s">
        <v>19</v>
      </c>
      <c r="C16" s="22"/>
      <c r="D16" s="22"/>
      <c r="E16" s="22"/>
      <c r="F16" s="22"/>
      <c r="G16" s="22"/>
      <c r="H16" s="12">
        <f t="shared" si="0"/>
        <v>44341</v>
      </c>
    </row>
    <row r="17" spans="1:8" x14ac:dyDescent="0.3">
      <c r="B17" s="6" t="s">
        <v>14</v>
      </c>
      <c r="C17" s="22"/>
      <c r="D17" s="22">
        <v>216000</v>
      </c>
      <c r="E17" s="22"/>
      <c r="F17" s="22"/>
      <c r="G17" s="22"/>
      <c r="H17" s="12">
        <f t="shared" si="0"/>
        <v>44341</v>
      </c>
    </row>
    <row r="18" spans="1:8" x14ac:dyDescent="0.3">
      <c r="B18" s="6" t="s">
        <v>24</v>
      </c>
      <c r="C18" s="22"/>
      <c r="D18" s="22"/>
      <c r="E18" s="22"/>
      <c r="F18" s="49"/>
      <c r="G18" s="22"/>
      <c r="H18" s="12">
        <f t="shared" si="0"/>
        <v>44341</v>
      </c>
    </row>
    <row r="19" spans="1:8" x14ac:dyDescent="0.3">
      <c r="B19" s="6" t="s">
        <v>21</v>
      </c>
      <c r="C19" s="22"/>
      <c r="D19" s="22"/>
      <c r="E19" s="22"/>
      <c r="F19" s="22"/>
      <c r="G19" s="22"/>
      <c r="H19" s="12">
        <f t="shared" si="0"/>
        <v>44341</v>
      </c>
    </row>
    <row r="20" spans="1:8" x14ac:dyDescent="0.3">
      <c r="B20" s="6" t="s">
        <v>18</v>
      </c>
      <c r="C20" s="22"/>
      <c r="D20" s="22"/>
      <c r="E20" s="22"/>
      <c r="F20" s="22"/>
      <c r="G20" s="22"/>
      <c r="H20" s="12">
        <f t="shared" si="0"/>
        <v>44341</v>
      </c>
    </row>
    <row r="21" spans="1:8" x14ac:dyDescent="0.3">
      <c r="B21" s="6" t="s">
        <v>16</v>
      </c>
      <c r="C21" s="22"/>
      <c r="D21" s="22">
        <v>49500</v>
      </c>
      <c r="E21" s="22"/>
      <c r="F21" s="22"/>
      <c r="G21" s="22"/>
      <c r="H21" s="12">
        <f t="shared" si="0"/>
        <v>44341</v>
      </c>
    </row>
    <row r="22" spans="1:8" x14ac:dyDescent="0.3">
      <c r="B22" s="50" t="s">
        <v>27</v>
      </c>
      <c r="C22" s="51">
        <f>SUM(May25_2021[KSI_AGO])</f>
        <v>1660000</v>
      </c>
      <c r="D22" s="51">
        <f>SUBTOTAL(109,May25_2021[KSI_PMS])</f>
        <v>1280500</v>
      </c>
      <c r="E22" s="51">
        <f>SUM(May25_2021[BUIPE_AGO])</f>
        <v>0</v>
      </c>
      <c r="F22" s="51">
        <f>SUM(May25_2021[BUIPE_PMS])</f>
        <v>0</v>
      </c>
      <c r="G22" s="51">
        <f>SUM(May25_2021[AKOSOMBO_AGO])</f>
        <v>0</v>
      </c>
      <c r="H22" s="52"/>
    </row>
    <row r="23" spans="1:8" x14ac:dyDescent="0.3">
      <c r="B23" s="8"/>
      <c r="C23" s="24"/>
      <c r="D23" s="24"/>
      <c r="E23" s="24"/>
      <c r="F23" s="24"/>
      <c r="G23" s="24"/>
      <c r="H23"/>
    </row>
    <row r="24" spans="1:8" x14ac:dyDescent="0.3">
      <c r="B24" s="1" t="s">
        <v>6</v>
      </c>
      <c r="C24" s="1" t="s">
        <v>4</v>
      </c>
      <c r="D24" s="5">
        <f>SUMIF(May25_2021[[#Headers],[KSI_AGO]:[AKOSOMBO_AGO]],"*"&amp;C24,May25_2021[[#Totals],[KSI_AGO]:[AKOSOMBO_AGO]])</f>
        <v>1660000</v>
      </c>
      <c r="E24" s="1" t="s">
        <v>5</v>
      </c>
      <c r="F24" s="5">
        <f>SUMIF(May25_2021[[#Headers],[KSI_AGO]:[AKOSOMBO_AGO]],"*"&amp;E24,May25_2021[[#Totals],[KSI_AGO]:[AKOSOMBO_AGO]])</f>
        <v>1280500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5F345C24-30DC-45CC-A63E-2A578B096071}">
      <formula1>INDIRECT("BDC_List[BDC List]")</formula1>
    </dataValidation>
  </dataValidations>
  <pageMargins left="0.7" right="0.7" top="0.75" bottom="0.75" header="0.3" footer="0.3"/>
  <tableParts count="1">
    <tablePart r:id="rId1"/>
  </tableParts>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6C64-7AFA-4678-B728-89C484E4316A}">
  <sheetPr codeName="Sheet358"/>
  <dimension ref="A1:K34"/>
  <sheetViews>
    <sheetView workbookViewId="0">
      <selection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44342</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44342</v>
      </c>
    </row>
    <row r="7" spans="2:11" x14ac:dyDescent="0.3">
      <c r="B7" s="6" t="s">
        <v>37</v>
      </c>
      <c r="C7" s="22"/>
      <c r="D7" s="22"/>
      <c r="E7" s="22"/>
      <c r="F7" s="22"/>
      <c r="G7" s="22"/>
      <c r="H7" s="67">
        <f t="shared" si="0"/>
        <v>44342</v>
      </c>
    </row>
    <row r="8" spans="2:11" x14ac:dyDescent="0.3">
      <c r="B8" s="6" t="s">
        <v>17</v>
      </c>
      <c r="C8" s="22">
        <v>857000</v>
      </c>
      <c r="D8" s="22"/>
      <c r="E8" s="22"/>
      <c r="F8" s="22"/>
      <c r="G8" s="22"/>
      <c r="H8" s="12">
        <f t="shared" si="0"/>
        <v>44342</v>
      </c>
    </row>
    <row r="9" spans="2:11" ht="15.6" x14ac:dyDescent="0.3">
      <c r="B9" s="34" t="s">
        <v>0</v>
      </c>
      <c r="C9" s="60"/>
      <c r="D9" s="46">
        <v>369000</v>
      </c>
      <c r="E9" s="60"/>
      <c r="F9" s="46"/>
      <c r="G9" s="61"/>
      <c r="H9" s="12">
        <f t="shared" si="0"/>
        <v>44342</v>
      </c>
    </row>
    <row r="10" spans="2:11" ht="16.2" customHeight="1" x14ac:dyDescent="0.3">
      <c r="B10" s="6" t="s">
        <v>25</v>
      </c>
      <c r="C10" s="22">
        <v>207000</v>
      </c>
      <c r="D10" s="94">
        <v>212000</v>
      </c>
      <c r="E10" s="22"/>
      <c r="F10" s="22"/>
      <c r="G10" s="22"/>
      <c r="H10" s="12">
        <f t="shared" si="0"/>
        <v>44342</v>
      </c>
    </row>
    <row r="11" spans="2:11" ht="13.5" customHeight="1" x14ac:dyDescent="0.3">
      <c r="B11" s="6" t="s">
        <v>15</v>
      </c>
      <c r="C11" s="22"/>
      <c r="D11" s="22">
        <v>216000</v>
      </c>
      <c r="E11" s="22"/>
      <c r="F11" s="48"/>
      <c r="G11" s="22"/>
      <c r="H11" s="12">
        <f t="shared" si="0"/>
        <v>44342</v>
      </c>
    </row>
    <row r="12" spans="2:11" x14ac:dyDescent="0.3">
      <c r="B12" s="6" t="s">
        <v>54</v>
      </c>
      <c r="C12" s="22"/>
      <c r="D12" s="22"/>
      <c r="E12" s="22"/>
      <c r="F12" s="22"/>
      <c r="G12" s="22"/>
      <c r="H12" s="67">
        <f t="shared" si="0"/>
        <v>44342</v>
      </c>
    </row>
    <row r="13" spans="2:11" x14ac:dyDescent="0.3">
      <c r="B13" s="6" t="s">
        <v>26</v>
      </c>
      <c r="C13" s="22"/>
      <c r="D13" s="22"/>
      <c r="E13" s="22"/>
      <c r="F13" s="22"/>
      <c r="G13" s="22"/>
      <c r="H13" s="12">
        <f t="shared" si="0"/>
        <v>44342</v>
      </c>
    </row>
    <row r="14" spans="2:11" x14ac:dyDescent="0.3">
      <c r="B14" s="6" t="s">
        <v>22</v>
      </c>
      <c r="C14" s="23"/>
      <c r="D14" s="23"/>
      <c r="E14" s="23"/>
      <c r="F14" s="22"/>
      <c r="G14" s="23"/>
      <c r="H14" s="12">
        <f t="shared" si="0"/>
        <v>44342</v>
      </c>
      <c r="K14" s="4"/>
    </row>
    <row r="15" spans="2:11" x14ac:dyDescent="0.3">
      <c r="B15" s="6" t="s">
        <v>61</v>
      </c>
      <c r="C15" s="23"/>
      <c r="D15" s="23"/>
      <c r="E15" s="23"/>
      <c r="F15" s="22"/>
      <c r="G15" s="23"/>
      <c r="H15" s="75">
        <f t="shared" si="0"/>
        <v>44342</v>
      </c>
      <c r="K15" s="4"/>
    </row>
    <row r="16" spans="2:11" x14ac:dyDescent="0.3">
      <c r="B16" s="6" t="s">
        <v>19</v>
      </c>
      <c r="C16" s="22"/>
      <c r="D16" s="22">
        <v>45000</v>
      </c>
      <c r="E16" s="22"/>
      <c r="F16" s="22"/>
      <c r="G16" s="22"/>
      <c r="H16" s="12">
        <f t="shared" si="0"/>
        <v>44342</v>
      </c>
    </row>
    <row r="17" spans="1:8" x14ac:dyDescent="0.3">
      <c r="B17" s="6" t="s">
        <v>14</v>
      </c>
      <c r="C17" s="22">
        <v>594000</v>
      </c>
      <c r="D17" s="22">
        <v>216000</v>
      </c>
      <c r="E17" s="22">
        <v>585000</v>
      </c>
      <c r="F17" s="22"/>
      <c r="G17" s="22"/>
      <c r="H17" s="12">
        <f t="shared" si="0"/>
        <v>44342</v>
      </c>
    </row>
    <row r="18" spans="1:8" x14ac:dyDescent="0.3">
      <c r="B18" s="6" t="s">
        <v>24</v>
      </c>
      <c r="C18" s="22"/>
      <c r="D18" s="22"/>
      <c r="E18" s="22"/>
      <c r="F18" s="49"/>
      <c r="G18" s="22"/>
      <c r="H18" s="12">
        <f t="shared" si="0"/>
        <v>44342</v>
      </c>
    </row>
    <row r="19" spans="1:8" x14ac:dyDescent="0.3">
      <c r="B19" s="6" t="s">
        <v>21</v>
      </c>
      <c r="C19" s="22"/>
      <c r="D19" s="22"/>
      <c r="E19" s="22"/>
      <c r="F19" s="22"/>
      <c r="G19" s="22"/>
      <c r="H19" s="12">
        <f t="shared" si="0"/>
        <v>44342</v>
      </c>
    </row>
    <row r="20" spans="1:8" x14ac:dyDescent="0.3">
      <c r="B20" s="6" t="s">
        <v>18</v>
      </c>
      <c r="C20" s="22"/>
      <c r="D20" s="22"/>
      <c r="E20" s="22"/>
      <c r="F20" s="22"/>
      <c r="G20" s="22"/>
      <c r="H20" s="12">
        <f t="shared" si="0"/>
        <v>44342</v>
      </c>
    </row>
    <row r="21" spans="1:8" x14ac:dyDescent="0.3">
      <c r="B21" s="6" t="s">
        <v>16</v>
      </c>
      <c r="C21" s="22"/>
      <c r="D21" s="22"/>
      <c r="E21" s="22"/>
      <c r="F21" s="22"/>
      <c r="G21" s="22"/>
      <c r="H21" s="12">
        <f t="shared" si="0"/>
        <v>44342</v>
      </c>
    </row>
    <row r="22" spans="1:8" x14ac:dyDescent="0.3">
      <c r="B22" s="50" t="s">
        <v>27</v>
      </c>
      <c r="C22" s="51">
        <f>SUM(May26_2021[KSI_AGO])</f>
        <v>1658000</v>
      </c>
      <c r="D22" s="51">
        <f>SUBTOTAL(109,May26_2021[KSI_PMS])</f>
        <v>1058000</v>
      </c>
      <c r="E22" s="51">
        <f>SUM(May26_2021[BUIPE_AGO])</f>
        <v>585000</v>
      </c>
      <c r="F22" s="51">
        <f>SUM(May26_2021[BUIPE_PMS])</f>
        <v>0</v>
      </c>
      <c r="G22" s="51">
        <f>SUM(May26_2021[AKOSOMBO_AGO])</f>
        <v>0</v>
      </c>
      <c r="H22" s="52"/>
    </row>
    <row r="23" spans="1:8" x14ac:dyDescent="0.3">
      <c r="B23" s="8"/>
      <c r="C23" s="24"/>
      <c r="D23" s="24"/>
      <c r="E23" s="24"/>
      <c r="F23" s="24"/>
      <c r="G23" s="24"/>
      <c r="H23"/>
    </row>
    <row r="24" spans="1:8" x14ac:dyDescent="0.3">
      <c r="B24" s="1" t="s">
        <v>6</v>
      </c>
      <c r="C24" s="1" t="s">
        <v>4</v>
      </c>
      <c r="D24" s="5">
        <f>SUMIF(May26_2021[[#Headers],[KSI_AGO]:[AKOSOMBO_AGO]],"*"&amp;C24,May26_2021[[#Totals],[KSI_AGO]:[AKOSOMBO_AGO]])</f>
        <v>2243000</v>
      </c>
      <c r="E24" s="1" t="s">
        <v>5</v>
      </c>
      <c r="F24" s="5">
        <f>SUMIF(May26_2021[[#Headers],[KSI_AGO]:[AKOSOMBO_AGO]],"*"&amp;E24,May26_2021[[#Totals],[KSI_AGO]:[AKOSOMBO_AGO]])</f>
        <v>1058000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98091692-6AFF-4AB3-9FF3-D3429686B171}">
      <formula1>INDIRECT("BDC_List[BDC List]")</formula1>
    </dataValidation>
  </dataValidations>
  <pageMargins left="0.7" right="0.7" top="0.75" bottom="0.75" header="0.3" footer="0.3"/>
  <tableParts count="1">
    <tablePart r:id="rId1"/>
  </tableParts>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F8E6-1F25-429C-968B-0306A68099E3}">
  <sheetPr codeName="Sheet359"/>
  <dimension ref="A1:K34"/>
  <sheetViews>
    <sheetView topLeftCell="B1" workbookViewId="0">
      <selection activeCell="G17" sqref="G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44343</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44343</v>
      </c>
    </row>
    <row r="7" spans="2:11" x14ac:dyDescent="0.3">
      <c r="B7" s="6" t="s">
        <v>37</v>
      </c>
      <c r="C7" s="22"/>
      <c r="D7" s="22"/>
      <c r="E7" s="22"/>
      <c r="F7" s="22"/>
      <c r="G7" s="22"/>
      <c r="H7" s="67">
        <f t="shared" si="0"/>
        <v>44343</v>
      </c>
    </row>
    <row r="8" spans="2:11" x14ac:dyDescent="0.3">
      <c r="B8" s="6" t="s">
        <v>17</v>
      </c>
      <c r="C8" s="22">
        <v>485000</v>
      </c>
      <c r="D8" s="22"/>
      <c r="E8" s="22"/>
      <c r="F8" s="22"/>
      <c r="G8" s="22"/>
      <c r="H8" s="12">
        <f t="shared" si="0"/>
        <v>44343</v>
      </c>
    </row>
    <row r="9" spans="2:11" ht="15.6" x14ac:dyDescent="0.3">
      <c r="B9" s="34" t="s">
        <v>0</v>
      </c>
      <c r="C9" s="60"/>
      <c r="D9" s="46">
        <v>697500</v>
      </c>
      <c r="E9" s="60"/>
      <c r="F9" s="46"/>
      <c r="G9" s="61"/>
      <c r="H9" s="12">
        <f t="shared" si="0"/>
        <v>44343</v>
      </c>
    </row>
    <row r="10" spans="2:11" ht="16.2" customHeight="1" x14ac:dyDescent="0.3">
      <c r="B10" s="6" t="s">
        <v>25</v>
      </c>
      <c r="C10" s="22">
        <v>45000</v>
      </c>
      <c r="D10" s="94">
        <v>162000</v>
      </c>
      <c r="E10" s="22"/>
      <c r="F10" s="22"/>
      <c r="G10" s="22"/>
      <c r="H10" s="12">
        <f t="shared" si="0"/>
        <v>44343</v>
      </c>
    </row>
    <row r="11" spans="2:11" ht="13.5" customHeight="1" x14ac:dyDescent="0.3">
      <c r="B11" s="6" t="s">
        <v>15</v>
      </c>
      <c r="C11" s="22"/>
      <c r="D11" s="22">
        <v>153000</v>
      </c>
      <c r="E11" s="22"/>
      <c r="F11" s="48"/>
      <c r="G11" s="22"/>
      <c r="H11" s="12">
        <f t="shared" si="0"/>
        <v>44343</v>
      </c>
    </row>
    <row r="12" spans="2:11" x14ac:dyDescent="0.3">
      <c r="B12" s="6" t="s">
        <v>54</v>
      </c>
      <c r="C12" s="22"/>
      <c r="D12" s="22"/>
      <c r="E12" s="22"/>
      <c r="F12" s="22"/>
      <c r="G12" s="22"/>
      <c r="H12" s="67">
        <f t="shared" si="0"/>
        <v>44343</v>
      </c>
    </row>
    <row r="13" spans="2:11" x14ac:dyDescent="0.3">
      <c r="B13" s="6" t="s">
        <v>26</v>
      </c>
      <c r="C13" s="22"/>
      <c r="D13" s="22"/>
      <c r="E13" s="22"/>
      <c r="F13" s="22"/>
      <c r="G13" s="22"/>
      <c r="H13" s="12">
        <f t="shared" si="0"/>
        <v>44343</v>
      </c>
    </row>
    <row r="14" spans="2:11" x14ac:dyDescent="0.3">
      <c r="B14" s="6" t="s">
        <v>22</v>
      </c>
      <c r="C14" s="23"/>
      <c r="D14" s="23"/>
      <c r="E14" s="23"/>
      <c r="F14" s="22"/>
      <c r="G14" s="23"/>
      <c r="H14" s="12">
        <f t="shared" si="0"/>
        <v>44343</v>
      </c>
      <c r="K14" s="4"/>
    </row>
    <row r="15" spans="2:11" x14ac:dyDescent="0.3">
      <c r="B15" s="6" t="s">
        <v>61</v>
      </c>
      <c r="C15" s="23"/>
      <c r="D15" s="23"/>
      <c r="E15" s="23"/>
      <c r="F15" s="22"/>
      <c r="G15" s="23"/>
      <c r="H15" s="75">
        <f t="shared" si="0"/>
        <v>44343</v>
      </c>
      <c r="K15" s="4"/>
    </row>
    <row r="16" spans="2:11" x14ac:dyDescent="0.3">
      <c r="B16" s="6" t="s">
        <v>19</v>
      </c>
      <c r="C16" s="22"/>
      <c r="D16" s="22"/>
      <c r="E16" s="22"/>
      <c r="F16" s="22"/>
      <c r="G16" s="22"/>
      <c r="H16" s="12">
        <f t="shared" si="0"/>
        <v>44343</v>
      </c>
    </row>
    <row r="17" spans="1:8" x14ac:dyDescent="0.3">
      <c r="B17" s="6" t="s">
        <v>14</v>
      </c>
      <c r="C17" s="22">
        <v>904500</v>
      </c>
      <c r="D17" s="22">
        <v>256500</v>
      </c>
      <c r="E17" s="22">
        <v>370000</v>
      </c>
      <c r="F17" s="22"/>
      <c r="G17" s="22"/>
      <c r="H17" s="12">
        <f t="shared" si="0"/>
        <v>44343</v>
      </c>
    </row>
    <row r="18" spans="1:8" x14ac:dyDescent="0.3">
      <c r="B18" s="6" t="s">
        <v>24</v>
      </c>
      <c r="C18" s="22"/>
      <c r="D18" s="22"/>
      <c r="E18" s="22"/>
      <c r="F18" s="49"/>
      <c r="G18" s="22"/>
      <c r="H18" s="12">
        <f t="shared" si="0"/>
        <v>44343</v>
      </c>
    </row>
    <row r="19" spans="1:8" x14ac:dyDescent="0.3">
      <c r="B19" s="6" t="s">
        <v>21</v>
      </c>
      <c r="C19" s="22"/>
      <c r="D19" s="22"/>
      <c r="E19" s="22"/>
      <c r="F19" s="22"/>
      <c r="G19" s="22"/>
      <c r="H19" s="12">
        <f t="shared" si="0"/>
        <v>44343</v>
      </c>
    </row>
    <row r="20" spans="1:8" x14ac:dyDescent="0.3">
      <c r="B20" s="6" t="s">
        <v>18</v>
      </c>
      <c r="C20" s="22"/>
      <c r="D20" s="22"/>
      <c r="E20" s="22"/>
      <c r="F20" s="22"/>
      <c r="G20" s="22"/>
      <c r="H20" s="12">
        <f t="shared" si="0"/>
        <v>44343</v>
      </c>
    </row>
    <row r="21" spans="1:8" x14ac:dyDescent="0.3">
      <c r="B21" s="6" t="s">
        <v>16</v>
      </c>
      <c r="C21" s="22"/>
      <c r="D21" s="22">
        <v>45000</v>
      </c>
      <c r="E21" s="22"/>
      <c r="F21" s="22"/>
      <c r="G21" s="22"/>
      <c r="H21" s="12">
        <f t="shared" si="0"/>
        <v>44343</v>
      </c>
    </row>
    <row r="22" spans="1:8" x14ac:dyDescent="0.3">
      <c r="B22" s="50" t="s">
        <v>27</v>
      </c>
      <c r="C22" s="51">
        <f>SUM(May27_2021[KSI_AGO])</f>
        <v>1434500</v>
      </c>
      <c r="D22" s="51">
        <f>SUBTOTAL(109,May27_2021[KSI_PMS])</f>
        <v>1314000</v>
      </c>
      <c r="E22" s="51">
        <f>SUM(May27_2021[BUIPE_AGO])</f>
        <v>370000</v>
      </c>
      <c r="F22" s="51">
        <f>SUM(May27_2021[BUIPE_PMS])</f>
        <v>0</v>
      </c>
      <c r="G22" s="51">
        <f>SUM(May27_2021[AKOSOMBO_AGO])</f>
        <v>0</v>
      </c>
      <c r="H22" s="52"/>
    </row>
    <row r="23" spans="1:8" x14ac:dyDescent="0.3">
      <c r="B23" s="8"/>
      <c r="C23" s="24"/>
      <c r="D23" s="24"/>
      <c r="E23" s="24"/>
      <c r="F23" s="24"/>
      <c r="G23" s="24"/>
      <c r="H23"/>
    </row>
    <row r="24" spans="1:8" x14ac:dyDescent="0.3">
      <c r="B24" s="1" t="s">
        <v>6</v>
      </c>
      <c r="C24" s="1" t="s">
        <v>4</v>
      </c>
      <c r="D24" s="5">
        <f>SUMIF(May27_2021[[#Headers],[KSI_AGO]:[AKOSOMBO_AGO]],"*"&amp;C24,May27_2021[[#Totals],[KSI_AGO]:[AKOSOMBO_AGO]])</f>
        <v>1804500</v>
      </c>
      <c r="E24" s="1" t="s">
        <v>5</v>
      </c>
      <c r="F24" s="5">
        <f>SUMIF(May27_2021[[#Headers],[KSI_AGO]:[AKOSOMBO_AGO]],"*"&amp;E24,May27_2021[[#Totals],[KSI_AGO]:[AKOSOMBO_AGO]])</f>
        <v>1314000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A60FA6BA-D24A-4D38-9857-50ADC82E3CA0}">
      <formula1>INDIRECT("BDC_List[BDC List]")</formula1>
    </dataValidation>
  </dataValidations>
  <pageMargins left="0.7" right="0.7" top="0.75" bottom="0.75" header="0.3" footer="0.3"/>
  <tableParts count="1">
    <tablePart r:id="rId1"/>
  </tableParts>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E267-58EE-4583-BEFC-562A4E2FEC5B}">
  <sheetPr codeName="Sheet360"/>
  <dimension ref="A1:K34"/>
  <sheetViews>
    <sheetView workbookViewId="0">
      <selection activeCell="G12" sqref="G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44344</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44344</v>
      </c>
    </row>
    <row r="7" spans="2:11" x14ac:dyDescent="0.3">
      <c r="B7" s="6" t="s">
        <v>37</v>
      </c>
      <c r="C7" s="22"/>
      <c r="D7" s="22"/>
      <c r="E7" s="22"/>
      <c r="F7" s="22"/>
      <c r="G7" s="22"/>
      <c r="H7" s="67">
        <f t="shared" si="0"/>
        <v>44344</v>
      </c>
    </row>
    <row r="8" spans="2:11" x14ac:dyDescent="0.3">
      <c r="B8" s="6" t="s">
        <v>17</v>
      </c>
      <c r="C8" s="22">
        <v>54000</v>
      </c>
      <c r="D8" s="22"/>
      <c r="E8" s="22"/>
      <c r="F8" s="22"/>
      <c r="G8" s="22"/>
      <c r="H8" s="12">
        <f t="shared" si="0"/>
        <v>44344</v>
      </c>
    </row>
    <row r="9" spans="2:11" ht="15.6" x14ac:dyDescent="0.3">
      <c r="B9" s="34" t="s">
        <v>0</v>
      </c>
      <c r="C9" s="60"/>
      <c r="D9" s="46">
        <v>643500</v>
      </c>
      <c r="E9" s="60"/>
      <c r="F9" s="46"/>
      <c r="G9" s="61"/>
      <c r="H9" s="12">
        <f t="shared" si="0"/>
        <v>44344</v>
      </c>
    </row>
    <row r="10" spans="2:11" ht="16.2" customHeight="1" x14ac:dyDescent="0.3">
      <c r="B10" s="6" t="s">
        <v>25</v>
      </c>
      <c r="C10" s="22"/>
      <c r="D10" s="94">
        <v>162000</v>
      </c>
      <c r="E10" s="22"/>
      <c r="F10" s="22"/>
      <c r="G10" s="22"/>
      <c r="H10" s="12">
        <f t="shared" si="0"/>
        <v>44344</v>
      </c>
    </row>
    <row r="11" spans="2:11" ht="13.5" customHeight="1" x14ac:dyDescent="0.3">
      <c r="B11" s="6" t="s">
        <v>15</v>
      </c>
      <c r="C11" s="22"/>
      <c r="D11" s="22">
        <v>324000</v>
      </c>
      <c r="E11" s="22"/>
      <c r="F11" s="48"/>
      <c r="G11" s="22"/>
      <c r="H11" s="12">
        <f t="shared" si="0"/>
        <v>44344</v>
      </c>
    </row>
    <row r="12" spans="2:11" x14ac:dyDescent="0.3">
      <c r="B12" s="6" t="s">
        <v>54</v>
      </c>
      <c r="C12" s="22"/>
      <c r="D12" s="22"/>
      <c r="E12" s="22"/>
      <c r="F12" s="22"/>
      <c r="G12" s="22"/>
      <c r="H12" s="67">
        <f t="shared" si="0"/>
        <v>44344</v>
      </c>
    </row>
    <row r="13" spans="2:11" x14ac:dyDescent="0.3">
      <c r="B13" s="6" t="s">
        <v>26</v>
      </c>
      <c r="C13" s="22"/>
      <c r="D13" s="22"/>
      <c r="E13" s="22"/>
      <c r="F13" s="22"/>
      <c r="G13" s="22"/>
      <c r="H13" s="12">
        <f t="shared" si="0"/>
        <v>44344</v>
      </c>
    </row>
    <row r="14" spans="2:11" x14ac:dyDescent="0.3">
      <c r="B14" s="6" t="s">
        <v>22</v>
      </c>
      <c r="C14" s="23"/>
      <c r="D14" s="23"/>
      <c r="E14" s="23"/>
      <c r="F14" s="22"/>
      <c r="G14" s="23"/>
      <c r="H14" s="12">
        <f t="shared" si="0"/>
        <v>44344</v>
      </c>
      <c r="K14" s="4"/>
    </row>
    <row r="15" spans="2:11" x14ac:dyDescent="0.3">
      <c r="B15" s="6" t="s">
        <v>61</v>
      </c>
      <c r="C15" s="23"/>
      <c r="D15" s="23"/>
      <c r="E15" s="23"/>
      <c r="F15" s="22"/>
      <c r="G15" s="23"/>
      <c r="H15" s="75">
        <f t="shared" si="0"/>
        <v>44344</v>
      </c>
      <c r="K15" s="4"/>
    </row>
    <row r="16" spans="2:11" x14ac:dyDescent="0.3">
      <c r="B16" s="6" t="s">
        <v>19</v>
      </c>
      <c r="C16" s="22"/>
      <c r="D16" s="22"/>
      <c r="E16" s="22"/>
      <c r="F16" s="22"/>
      <c r="G16" s="22"/>
      <c r="H16" s="12">
        <f t="shared" si="0"/>
        <v>44344</v>
      </c>
    </row>
    <row r="17" spans="1:8" x14ac:dyDescent="0.3">
      <c r="B17" s="6" t="s">
        <v>14</v>
      </c>
      <c r="C17" s="22">
        <v>1302500</v>
      </c>
      <c r="D17" s="22">
        <v>216000</v>
      </c>
      <c r="E17" s="22">
        <v>45000</v>
      </c>
      <c r="F17" s="22"/>
      <c r="G17" s="22"/>
      <c r="H17" s="12">
        <f t="shared" si="0"/>
        <v>44344</v>
      </c>
    </row>
    <row r="18" spans="1:8" x14ac:dyDescent="0.3">
      <c r="B18" s="6" t="s">
        <v>24</v>
      </c>
      <c r="C18" s="22"/>
      <c r="D18" s="22"/>
      <c r="E18" s="22"/>
      <c r="F18" s="49"/>
      <c r="G18" s="22"/>
      <c r="H18" s="12">
        <f t="shared" si="0"/>
        <v>44344</v>
      </c>
    </row>
    <row r="19" spans="1:8" x14ac:dyDescent="0.3">
      <c r="B19" s="6" t="s">
        <v>21</v>
      </c>
      <c r="C19" s="22"/>
      <c r="D19" s="22"/>
      <c r="E19" s="22"/>
      <c r="F19" s="22"/>
      <c r="G19" s="22"/>
      <c r="H19" s="12">
        <f t="shared" si="0"/>
        <v>44344</v>
      </c>
    </row>
    <row r="20" spans="1:8" x14ac:dyDescent="0.3">
      <c r="B20" s="6" t="s">
        <v>18</v>
      </c>
      <c r="C20" s="22"/>
      <c r="D20" s="22"/>
      <c r="E20" s="22"/>
      <c r="F20" s="22"/>
      <c r="G20" s="22"/>
      <c r="H20" s="12">
        <f t="shared" si="0"/>
        <v>44344</v>
      </c>
    </row>
    <row r="21" spans="1:8" x14ac:dyDescent="0.3">
      <c r="B21" s="6" t="s">
        <v>16</v>
      </c>
      <c r="C21" s="22"/>
      <c r="D21" s="22">
        <v>45000</v>
      </c>
      <c r="E21" s="22"/>
      <c r="F21" s="22"/>
      <c r="G21" s="22"/>
      <c r="H21" s="12">
        <f t="shared" si="0"/>
        <v>44344</v>
      </c>
    </row>
    <row r="22" spans="1:8" x14ac:dyDescent="0.3">
      <c r="B22" s="50" t="s">
        <v>27</v>
      </c>
      <c r="C22" s="51">
        <f>SUM(May28_2021[KSI_AGO])</f>
        <v>1356500</v>
      </c>
      <c r="D22" s="51">
        <f>SUBTOTAL(109,May28_2021[KSI_PMS])</f>
        <v>1390500</v>
      </c>
      <c r="E22" s="51">
        <f>SUM(May28_2021[BUIPE_AGO])</f>
        <v>45000</v>
      </c>
      <c r="F22" s="51">
        <f>SUM(May28_2021[BUIPE_PMS])</f>
        <v>0</v>
      </c>
      <c r="G22" s="51">
        <f>SUM(May28_2021[AKOSOMBO_AGO])</f>
        <v>0</v>
      </c>
      <c r="H22" s="52"/>
    </row>
    <row r="23" spans="1:8" x14ac:dyDescent="0.3">
      <c r="B23" s="8"/>
      <c r="C23" s="24"/>
      <c r="D23" s="24"/>
      <c r="E23" s="24"/>
      <c r="F23" s="24"/>
      <c r="G23" s="24"/>
      <c r="H23"/>
    </row>
    <row r="24" spans="1:8" x14ac:dyDescent="0.3">
      <c r="B24" s="1" t="s">
        <v>6</v>
      </c>
      <c r="C24" s="1" t="s">
        <v>4</v>
      </c>
      <c r="D24" s="5">
        <f>SUMIF(May28_2021[[#Headers],[KSI_AGO]:[AKOSOMBO_AGO]],"*"&amp;C24,May28_2021[[#Totals],[KSI_AGO]:[AKOSOMBO_AGO]])</f>
        <v>1401500</v>
      </c>
      <c r="E24" s="1" t="s">
        <v>5</v>
      </c>
      <c r="F24" s="5">
        <f>SUMIF(May28_2021[[#Headers],[KSI_AGO]:[AKOSOMBO_AGO]],"*"&amp;E24,May28_2021[[#Totals],[KSI_AGO]:[AKOSOMBO_AGO]])</f>
        <v>1390500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D92FBC69-7ECC-4EB9-99A0-C8004C8EDD47}">
      <formula1>INDIRECT("BDC_List[BDC List]")</formula1>
    </dataValidation>
  </dataValidations>
  <pageMargins left="0.7" right="0.7" top="0.75" bottom="0.75" header="0.3" footer="0.3"/>
  <tableParts count="1">
    <tablePart r:id="rId1"/>
  </tableParts>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2BD89-1CA7-4EFE-9051-4F6DEB60E42D}">
  <sheetPr codeName="Sheet361"/>
  <dimension ref="A1:K34"/>
  <sheetViews>
    <sheetView workbookViewId="0">
      <selection activeCell="F21" sqref="F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44347</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44347</v>
      </c>
    </row>
    <row r="7" spans="2:11" x14ac:dyDescent="0.3">
      <c r="B7" s="6" t="s">
        <v>37</v>
      </c>
      <c r="C7" s="22"/>
      <c r="D7" s="22"/>
      <c r="E7" s="22"/>
      <c r="F7" s="22"/>
      <c r="G7" s="22"/>
      <c r="H7" s="67">
        <f t="shared" si="0"/>
        <v>44347</v>
      </c>
    </row>
    <row r="8" spans="2:11" x14ac:dyDescent="0.3">
      <c r="B8" s="6" t="s">
        <v>17</v>
      </c>
      <c r="C8" s="22">
        <v>54000</v>
      </c>
      <c r="D8" s="22"/>
      <c r="E8" s="22"/>
      <c r="F8" s="22"/>
      <c r="G8" s="22"/>
      <c r="H8" s="12">
        <f t="shared" si="0"/>
        <v>44347</v>
      </c>
    </row>
    <row r="9" spans="2:11" ht="15.6" x14ac:dyDescent="0.3">
      <c r="B9" s="34" t="s">
        <v>0</v>
      </c>
      <c r="C9" s="60"/>
      <c r="D9" s="46">
        <v>518000</v>
      </c>
      <c r="E9" s="60"/>
      <c r="F9" s="46">
        <v>270000</v>
      </c>
      <c r="G9" s="61"/>
      <c r="H9" s="12">
        <f t="shared" si="0"/>
        <v>44347</v>
      </c>
    </row>
    <row r="10" spans="2:11" ht="16.2" customHeight="1" x14ac:dyDescent="0.3">
      <c r="B10" s="6" t="s">
        <v>25</v>
      </c>
      <c r="C10" s="22"/>
      <c r="D10" s="94">
        <v>216000</v>
      </c>
      <c r="E10" s="22">
        <v>540000</v>
      </c>
      <c r="F10" s="22"/>
      <c r="G10" s="22"/>
      <c r="H10" s="12">
        <f t="shared" si="0"/>
        <v>44347</v>
      </c>
    </row>
    <row r="11" spans="2:11" ht="13.5" customHeight="1" x14ac:dyDescent="0.3">
      <c r="B11" s="6" t="s">
        <v>15</v>
      </c>
      <c r="C11" s="22"/>
      <c r="D11" s="22">
        <v>423000</v>
      </c>
      <c r="E11" s="22"/>
      <c r="F11" s="48"/>
      <c r="G11" s="22"/>
      <c r="H11" s="12">
        <f t="shared" si="0"/>
        <v>44347</v>
      </c>
    </row>
    <row r="12" spans="2:11" x14ac:dyDescent="0.3">
      <c r="B12" s="6" t="s">
        <v>54</v>
      </c>
      <c r="C12" s="22">
        <v>54000</v>
      </c>
      <c r="D12" s="22"/>
      <c r="E12" s="22"/>
      <c r="F12" s="22"/>
      <c r="G12" s="22"/>
      <c r="H12" s="67">
        <f t="shared" si="0"/>
        <v>44347</v>
      </c>
    </row>
    <row r="13" spans="2:11" x14ac:dyDescent="0.3">
      <c r="B13" s="6" t="s">
        <v>26</v>
      </c>
      <c r="C13" s="22"/>
      <c r="D13" s="22"/>
      <c r="E13" s="22"/>
      <c r="F13" s="22"/>
      <c r="G13" s="22"/>
      <c r="H13" s="12">
        <f t="shared" si="0"/>
        <v>44347</v>
      </c>
    </row>
    <row r="14" spans="2:11" x14ac:dyDescent="0.3">
      <c r="B14" s="6" t="s">
        <v>22</v>
      </c>
      <c r="C14" s="23"/>
      <c r="D14" s="23"/>
      <c r="E14" s="23"/>
      <c r="F14" s="22"/>
      <c r="G14" s="23"/>
      <c r="H14" s="12">
        <f t="shared" si="0"/>
        <v>44347</v>
      </c>
      <c r="K14" s="4"/>
    </row>
    <row r="15" spans="2:11" x14ac:dyDescent="0.3">
      <c r="B15" s="6" t="s">
        <v>61</v>
      </c>
      <c r="C15" s="23"/>
      <c r="D15" s="23"/>
      <c r="E15" s="23"/>
      <c r="F15" s="22"/>
      <c r="G15" s="23"/>
      <c r="H15" s="75">
        <f t="shared" si="0"/>
        <v>44347</v>
      </c>
      <c r="K15" s="4"/>
    </row>
    <row r="16" spans="2:11" x14ac:dyDescent="0.3">
      <c r="B16" s="6" t="s">
        <v>19</v>
      </c>
      <c r="C16" s="22"/>
      <c r="D16" s="22"/>
      <c r="E16" s="22"/>
      <c r="F16" s="22"/>
      <c r="G16" s="22"/>
      <c r="H16" s="12">
        <f t="shared" si="0"/>
        <v>44347</v>
      </c>
    </row>
    <row r="17" spans="1:8" x14ac:dyDescent="0.3">
      <c r="B17" s="6" t="s">
        <v>14</v>
      </c>
      <c r="C17" s="22">
        <v>1134000</v>
      </c>
      <c r="D17" s="22">
        <v>324000</v>
      </c>
      <c r="E17" s="22"/>
      <c r="F17" s="22"/>
      <c r="G17" s="22"/>
      <c r="H17" s="12">
        <f t="shared" si="0"/>
        <v>44347</v>
      </c>
    </row>
    <row r="18" spans="1:8" x14ac:dyDescent="0.3">
      <c r="B18" s="6" t="s">
        <v>24</v>
      </c>
      <c r="C18" s="22"/>
      <c r="D18" s="22"/>
      <c r="E18" s="22"/>
      <c r="F18" s="49"/>
      <c r="G18" s="22"/>
      <c r="H18" s="12">
        <f t="shared" si="0"/>
        <v>44347</v>
      </c>
    </row>
    <row r="19" spans="1:8" x14ac:dyDescent="0.3">
      <c r="B19" s="6" t="s">
        <v>21</v>
      </c>
      <c r="C19" s="22"/>
      <c r="D19" s="22"/>
      <c r="E19" s="22"/>
      <c r="F19" s="22"/>
      <c r="G19" s="22"/>
      <c r="H19" s="12">
        <f t="shared" si="0"/>
        <v>44347</v>
      </c>
    </row>
    <row r="20" spans="1:8" x14ac:dyDescent="0.3">
      <c r="B20" s="6" t="s">
        <v>18</v>
      </c>
      <c r="C20" s="22"/>
      <c r="D20" s="22"/>
      <c r="E20" s="22"/>
      <c r="F20" s="22"/>
      <c r="G20" s="22"/>
      <c r="H20" s="12">
        <f t="shared" si="0"/>
        <v>44347</v>
      </c>
    </row>
    <row r="21" spans="1:8" x14ac:dyDescent="0.3">
      <c r="B21" s="6" t="s">
        <v>16</v>
      </c>
      <c r="C21" s="22"/>
      <c r="D21" s="22">
        <v>216000</v>
      </c>
      <c r="E21" s="22"/>
      <c r="F21" s="22"/>
      <c r="G21" s="22"/>
      <c r="H21" s="12">
        <f t="shared" si="0"/>
        <v>44347</v>
      </c>
    </row>
    <row r="22" spans="1:8" x14ac:dyDescent="0.3">
      <c r="B22" s="50" t="s">
        <v>27</v>
      </c>
      <c r="C22" s="51">
        <f>SUM(May31_2021[KSI_AGO])</f>
        <v>1242000</v>
      </c>
      <c r="D22" s="51">
        <f>SUBTOTAL(109,May31_2021[KSI_PMS])</f>
        <v>1697000</v>
      </c>
      <c r="E22" s="51">
        <f>SUM(May31_2021[BUIPE_AGO])</f>
        <v>540000</v>
      </c>
      <c r="F22" s="51">
        <f>SUM(May31_2021[BUIPE_PMS])</f>
        <v>270000</v>
      </c>
      <c r="G22" s="51">
        <f>SUM(May31_2021[AKOSOMBO_AGO])</f>
        <v>0</v>
      </c>
      <c r="H22" s="52"/>
    </row>
    <row r="23" spans="1:8" x14ac:dyDescent="0.3">
      <c r="B23" s="8"/>
      <c r="C23" s="24"/>
      <c r="D23" s="24"/>
      <c r="E23" s="24"/>
      <c r="F23" s="24"/>
      <c r="G23" s="24"/>
      <c r="H23"/>
    </row>
    <row r="24" spans="1:8" x14ac:dyDescent="0.3">
      <c r="B24" s="1" t="s">
        <v>6</v>
      </c>
      <c r="C24" s="1" t="s">
        <v>4</v>
      </c>
      <c r="D24" s="5">
        <f>SUMIF(May31_2021[[#Headers],[KSI_AGO]:[AKOSOMBO_AGO]],"*"&amp;C24,May31_2021[[#Totals],[KSI_AGO]:[AKOSOMBO_AGO]])</f>
        <v>1782000</v>
      </c>
      <c r="E24" s="1" t="s">
        <v>5</v>
      </c>
      <c r="F24" s="5">
        <f>SUMIF(May31_2021[[#Headers],[KSI_AGO]:[AKOSOMBO_AGO]],"*"&amp;E24,May31_2021[[#Totals],[KSI_AGO]:[AKOSOMBO_AGO]])</f>
        <v>1967000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4C83C8C8-AA1A-4B0A-BE9C-81DC4FC2E2D4}">
      <formula1>INDIRECT("BDC_List[BDC List]")</formula1>
    </dataValidation>
  </dataValidations>
  <pageMargins left="0.7" right="0.7" top="0.75" bottom="0.75" header="0.3" footer="0.3"/>
  <tableParts count="1">
    <tablePart r:id="rId1"/>
  </tableParts>
</worksheet>
</file>

<file path=xl/worksheets/sheet3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AEDA5-078E-435E-923F-E7EF7B5AC3FA}">
  <sheetPr codeName="Sheet362"/>
  <dimension ref="A1:K34"/>
  <sheetViews>
    <sheetView workbookViewId="0">
      <selection activeCell="D8" sqref="D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22"/>
    </row>
    <row r="2" spans="2:11" ht="15.6" x14ac:dyDescent="0.3">
      <c r="B2" s="7" t="s">
        <v>1</v>
      </c>
      <c r="C2" s="7"/>
      <c r="D2" s="2"/>
      <c r="E2" s="2"/>
      <c r="F2" s="2"/>
      <c r="G2" s="2"/>
    </row>
    <row r="3" spans="2:11" ht="15.6" x14ac:dyDescent="0.3">
      <c r="B3" s="7" t="s">
        <v>2</v>
      </c>
      <c r="C3" s="7"/>
      <c r="D3" s="2"/>
      <c r="E3" s="2"/>
      <c r="F3" s="21" t="s">
        <v>3</v>
      </c>
      <c r="G3" s="71">
        <v>44348</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44348</v>
      </c>
    </row>
    <row r="7" spans="2:11" x14ac:dyDescent="0.3">
      <c r="B7" s="6" t="s">
        <v>37</v>
      </c>
      <c r="C7" s="22"/>
      <c r="D7" s="22"/>
      <c r="E7" s="22"/>
      <c r="F7" s="22"/>
      <c r="G7" s="22"/>
      <c r="H7" s="67">
        <f t="shared" si="0"/>
        <v>44348</v>
      </c>
    </row>
    <row r="8" spans="2:11" x14ac:dyDescent="0.3">
      <c r="B8" s="6" t="s">
        <v>17</v>
      </c>
      <c r="C8" s="22"/>
      <c r="D8" s="22"/>
      <c r="E8" s="22"/>
      <c r="F8" s="22"/>
      <c r="G8" s="49"/>
      <c r="H8" s="12">
        <f t="shared" si="0"/>
        <v>44348</v>
      </c>
    </row>
    <row r="9" spans="2:11" ht="15.6" x14ac:dyDescent="0.3">
      <c r="B9" s="34" t="s">
        <v>0</v>
      </c>
      <c r="C9" s="60"/>
      <c r="D9" s="46"/>
      <c r="E9" s="60"/>
      <c r="F9" s="46"/>
      <c r="G9" s="61"/>
      <c r="H9" s="12">
        <f t="shared" si="0"/>
        <v>44348</v>
      </c>
    </row>
    <row r="10" spans="2:11" ht="16.2" customHeight="1" x14ac:dyDescent="0.3">
      <c r="B10" s="6" t="s">
        <v>25</v>
      </c>
      <c r="C10" s="22"/>
      <c r="D10" s="94"/>
      <c r="E10" s="22"/>
      <c r="F10" s="22"/>
      <c r="G10" s="22"/>
      <c r="H10" s="12">
        <f t="shared" si="0"/>
        <v>44348</v>
      </c>
    </row>
    <row r="11" spans="2:11" ht="13.5" customHeight="1" x14ac:dyDescent="0.3">
      <c r="B11" s="6" t="s">
        <v>15</v>
      </c>
      <c r="C11" s="22"/>
      <c r="D11" s="22"/>
      <c r="E11" s="22"/>
      <c r="F11" s="48"/>
      <c r="G11" s="22"/>
      <c r="H11" s="12">
        <f t="shared" si="0"/>
        <v>44348</v>
      </c>
    </row>
    <row r="12" spans="2:11" x14ac:dyDescent="0.3">
      <c r="B12" s="6" t="s">
        <v>54</v>
      </c>
      <c r="C12" s="22"/>
      <c r="D12" s="22"/>
      <c r="E12" s="22"/>
      <c r="F12" s="22"/>
      <c r="G12" s="22"/>
      <c r="H12" s="67">
        <f t="shared" si="0"/>
        <v>44348</v>
      </c>
    </row>
    <row r="13" spans="2:11" x14ac:dyDescent="0.3">
      <c r="B13" s="6" t="s">
        <v>26</v>
      </c>
      <c r="C13" s="22"/>
      <c r="D13" s="22"/>
      <c r="E13" s="22"/>
      <c r="F13" s="22"/>
      <c r="G13" s="22"/>
      <c r="H13" s="12">
        <f t="shared" si="0"/>
        <v>44348</v>
      </c>
    </row>
    <row r="14" spans="2:11" x14ac:dyDescent="0.3">
      <c r="B14" s="6" t="s">
        <v>22</v>
      </c>
      <c r="C14" s="23"/>
      <c r="D14" s="23"/>
      <c r="E14" s="23"/>
      <c r="F14" s="22"/>
      <c r="G14" s="23"/>
      <c r="H14" s="12">
        <f t="shared" si="0"/>
        <v>44348</v>
      </c>
      <c r="K14" s="4"/>
    </row>
    <row r="15" spans="2:11" x14ac:dyDescent="0.3">
      <c r="B15" s="6" t="s">
        <v>61</v>
      </c>
      <c r="C15" s="23"/>
      <c r="D15" s="23"/>
      <c r="E15" s="23"/>
      <c r="F15" s="22"/>
      <c r="G15" s="23"/>
      <c r="H15" s="67">
        <f t="shared" si="0"/>
        <v>44348</v>
      </c>
      <c r="K15" s="4"/>
    </row>
    <row r="16" spans="2:11" x14ac:dyDescent="0.3">
      <c r="B16" s="6" t="s">
        <v>19</v>
      </c>
      <c r="C16" s="22"/>
      <c r="D16" s="22">
        <v>324000</v>
      </c>
      <c r="E16" s="22"/>
      <c r="F16" s="22"/>
      <c r="G16" s="22"/>
      <c r="H16" s="12">
        <f t="shared" si="0"/>
        <v>44348</v>
      </c>
    </row>
    <row r="17" spans="1:8" x14ac:dyDescent="0.3">
      <c r="B17" s="6" t="s">
        <v>14</v>
      </c>
      <c r="C17" s="22"/>
      <c r="D17" s="22"/>
      <c r="E17" s="22"/>
      <c r="F17" s="22"/>
      <c r="G17" s="22"/>
      <c r="H17" s="12">
        <f t="shared" si="0"/>
        <v>44348</v>
      </c>
    </row>
    <row r="18" spans="1:8" x14ac:dyDescent="0.3">
      <c r="B18" s="6" t="s">
        <v>24</v>
      </c>
      <c r="C18" s="22"/>
      <c r="D18" s="22"/>
      <c r="E18" s="22"/>
      <c r="F18" s="49"/>
      <c r="G18" s="22"/>
      <c r="H18" s="12">
        <f t="shared" si="0"/>
        <v>44348</v>
      </c>
    </row>
    <row r="19" spans="1:8" x14ac:dyDescent="0.3">
      <c r="B19" s="6" t="s">
        <v>21</v>
      </c>
      <c r="C19" s="22"/>
      <c r="D19" s="22"/>
      <c r="E19" s="22"/>
      <c r="F19" s="22"/>
      <c r="G19" s="22"/>
      <c r="H19" s="12">
        <f t="shared" si="0"/>
        <v>44348</v>
      </c>
    </row>
    <row r="20" spans="1:8" x14ac:dyDescent="0.3">
      <c r="B20" s="6" t="s">
        <v>18</v>
      </c>
      <c r="C20" s="22"/>
      <c r="D20" s="22"/>
      <c r="E20" s="22"/>
      <c r="F20" s="22"/>
      <c r="G20" s="22"/>
      <c r="H20" s="12">
        <f t="shared" si="0"/>
        <v>44348</v>
      </c>
    </row>
    <row r="21" spans="1:8" x14ac:dyDescent="0.3">
      <c r="B21" s="6" t="s">
        <v>16</v>
      </c>
      <c r="C21" s="22"/>
      <c r="D21" s="22"/>
      <c r="E21" s="22"/>
      <c r="F21" s="22"/>
      <c r="G21" s="22"/>
      <c r="H21" s="12">
        <f t="shared" si="0"/>
        <v>44348</v>
      </c>
    </row>
    <row r="22" spans="1:8" x14ac:dyDescent="0.3">
      <c r="B22" s="50" t="s">
        <v>27</v>
      </c>
      <c r="C22" s="51">
        <f>SUM(June01_2021[KSI_AGO])</f>
        <v>0</v>
      </c>
      <c r="D22" s="51">
        <f>SUBTOTAL(109,June01_2021[KSI_PMS])</f>
        <v>324000</v>
      </c>
      <c r="E22" s="51">
        <f>SUM(June01_2021[BUIPE_AGO])</f>
        <v>0</v>
      </c>
      <c r="F22" s="51">
        <f>SUM(June01_2021[BUIPE_PMS])</f>
        <v>0</v>
      </c>
      <c r="G22" s="51">
        <f>SUM(June01_2021[AKOSOMBO_AGO])</f>
        <v>0</v>
      </c>
      <c r="H22" s="52"/>
    </row>
    <row r="23" spans="1:8" x14ac:dyDescent="0.3">
      <c r="B23" s="8"/>
      <c r="C23" s="24"/>
      <c r="D23" s="24"/>
      <c r="E23" s="24"/>
      <c r="F23" s="24"/>
      <c r="G23" s="24"/>
      <c r="H23"/>
    </row>
    <row r="24" spans="1:8" x14ac:dyDescent="0.3">
      <c r="B24" s="1" t="s">
        <v>6</v>
      </c>
      <c r="C24" s="1" t="s">
        <v>4</v>
      </c>
      <c r="D24" s="5">
        <f>SUMIF(June01_2021[[#Headers],[KSI_AGO]:[AKOSOMBO_AGO]],"*"&amp;C24,June01_2021[[#Totals],[KSI_AGO]:[AKOSOMBO_AGO]])</f>
        <v>0</v>
      </c>
      <c r="E24" s="1" t="s">
        <v>5</v>
      </c>
      <c r="F24" s="5">
        <f>SUMIF(June01_2021[[#Headers],[KSI_AGO]:[AKOSOMBO_AGO]],"*"&amp;E24,June01_2021[[#Totals],[KSI_AGO]:[AKOSOMBO_AGO]])</f>
        <v>324000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E0739AF-43A9-4BE6-982A-ED6452348EE7}">
      <formula1>INDIRECT("BDC_List[BDC List]")</formula1>
    </dataValidation>
  </dataValidations>
  <pageMargins left="0.7" right="0.7" top="0.75" bottom="0.75" header="0.3" footer="0.3"/>
  <legacyDrawing r:id="rId1"/>
  <tableParts count="1">
    <tablePart r:id="rId2"/>
  </tableParts>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A5719-B9FC-4CA9-96A0-D175404CA22E}">
  <sheetPr codeName="Sheet363"/>
  <dimension ref="A1:K34"/>
  <sheetViews>
    <sheetView workbookViewId="0">
      <selection activeCell="J5" sqref="J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44349</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44349</v>
      </c>
    </row>
    <row r="7" spans="2:11" x14ac:dyDescent="0.3">
      <c r="B7" s="6" t="s">
        <v>37</v>
      </c>
      <c r="C7" s="22"/>
      <c r="D7" s="22"/>
      <c r="E7" s="22"/>
      <c r="F7" s="22"/>
      <c r="G7" s="22"/>
      <c r="H7" s="67">
        <f t="shared" si="0"/>
        <v>44349</v>
      </c>
    </row>
    <row r="8" spans="2:11" x14ac:dyDescent="0.3">
      <c r="B8" s="6" t="s">
        <v>17</v>
      </c>
      <c r="C8" s="22"/>
      <c r="D8" s="22"/>
      <c r="E8" s="22"/>
      <c r="F8" s="22">
        <v>108000</v>
      </c>
      <c r="G8" s="22"/>
      <c r="H8" s="12">
        <f t="shared" si="0"/>
        <v>44349</v>
      </c>
    </row>
    <row r="9" spans="2:11" ht="15.6" x14ac:dyDescent="0.3">
      <c r="B9" s="34" t="s">
        <v>0</v>
      </c>
      <c r="C9" s="60">
        <v>320000</v>
      </c>
      <c r="D9" s="60">
        <v>49500</v>
      </c>
      <c r="E9" s="60"/>
      <c r="F9" s="46"/>
      <c r="G9" s="61"/>
      <c r="H9" s="12">
        <f t="shared" si="0"/>
        <v>44349</v>
      </c>
    </row>
    <row r="10" spans="2:11" ht="16.2" customHeight="1" x14ac:dyDescent="0.3">
      <c r="B10" s="6" t="s">
        <v>25</v>
      </c>
      <c r="C10" s="22"/>
      <c r="D10" s="94">
        <v>54000</v>
      </c>
      <c r="E10" s="22"/>
      <c r="F10" s="22">
        <v>158000</v>
      </c>
      <c r="G10" s="22"/>
      <c r="H10" s="12">
        <f t="shared" si="0"/>
        <v>44349</v>
      </c>
    </row>
    <row r="11" spans="2:11" ht="13.5" customHeight="1" x14ac:dyDescent="0.3">
      <c r="B11" s="6" t="s">
        <v>15</v>
      </c>
      <c r="C11" s="22"/>
      <c r="D11" s="22">
        <v>148500</v>
      </c>
      <c r="E11" s="22"/>
      <c r="F11" s="48">
        <v>54000</v>
      </c>
      <c r="G11" s="22"/>
      <c r="H11" s="12">
        <f t="shared" si="0"/>
        <v>44349</v>
      </c>
    </row>
    <row r="12" spans="2:11" x14ac:dyDescent="0.3">
      <c r="B12" s="6" t="s">
        <v>54</v>
      </c>
      <c r="C12" s="22"/>
      <c r="D12" s="22"/>
      <c r="E12" s="22"/>
      <c r="F12" s="22"/>
      <c r="G12" s="22"/>
      <c r="H12" s="67">
        <f t="shared" si="0"/>
        <v>44349</v>
      </c>
    </row>
    <row r="13" spans="2:11" x14ac:dyDescent="0.3">
      <c r="B13" s="6" t="s">
        <v>26</v>
      </c>
      <c r="C13" s="22"/>
      <c r="D13" s="22">
        <v>162000</v>
      </c>
      <c r="E13" s="22"/>
      <c r="F13" s="22">
        <v>162000</v>
      </c>
      <c r="G13" s="22"/>
      <c r="H13" s="12">
        <f t="shared" si="0"/>
        <v>44349</v>
      </c>
    </row>
    <row r="14" spans="2:11" x14ac:dyDescent="0.3">
      <c r="B14" s="6" t="s">
        <v>22</v>
      </c>
      <c r="C14" s="23"/>
      <c r="D14" s="23"/>
      <c r="E14" s="23"/>
      <c r="F14" s="22"/>
      <c r="G14" s="23"/>
      <c r="H14" s="12">
        <f t="shared" si="0"/>
        <v>44349</v>
      </c>
      <c r="K14" s="4"/>
    </row>
    <row r="15" spans="2:11" x14ac:dyDescent="0.3">
      <c r="B15" s="6" t="s">
        <v>61</v>
      </c>
      <c r="C15" s="23"/>
      <c r="D15" s="23"/>
      <c r="E15" s="23"/>
      <c r="F15" s="22"/>
      <c r="G15" s="23"/>
      <c r="H15" s="67">
        <f t="shared" si="0"/>
        <v>44349</v>
      </c>
      <c r="K15" s="4"/>
    </row>
    <row r="16" spans="2:11" x14ac:dyDescent="0.3">
      <c r="B16" s="6" t="s">
        <v>19</v>
      </c>
      <c r="C16" s="22"/>
      <c r="D16" s="22">
        <v>828000</v>
      </c>
      <c r="E16" s="22"/>
      <c r="F16" s="22"/>
      <c r="G16" s="22"/>
      <c r="H16" s="12">
        <f t="shared" si="0"/>
        <v>44349</v>
      </c>
    </row>
    <row r="17" spans="1:8" x14ac:dyDescent="0.3">
      <c r="B17" s="6" t="s">
        <v>14</v>
      </c>
      <c r="C17" s="22"/>
      <c r="D17" s="22">
        <v>270000</v>
      </c>
      <c r="E17" s="22"/>
      <c r="F17" s="22"/>
      <c r="G17" s="22"/>
      <c r="H17" s="12">
        <f t="shared" si="0"/>
        <v>44349</v>
      </c>
    </row>
    <row r="18" spans="1:8" x14ac:dyDescent="0.3">
      <c r="B18" s="6" t="s">
        <v>24</v>
      </c>
      <c r="C18" s="22"/>
      <c r="D18" s="22"/>
      <c r="E18" s="22"/>
      <c r="F18" s="49"/>
      <c r="G18" s="22"/>
      <c r="H18" s="12">
        <f t="shared" si="0"/>
        <v>44349</v>
      </c>
    </row>
    <row r="19" spans="1:8" x14ac:dyDescent="0.3">
      <c r="B19" s="6" t="s">
        <v>21</v>
      </c>
      <c r="C19" s="22"/>
      <c r="D19" s="22">
        <v>108000</v>
      </c>
      <c r="E19" s="22"/>
      <c r="F19" s="22"/>
      <c r="G19" s="22"/>
      <c r="H19" s="12">
        <f t="shared" si="0"/>
        <v>44349</v>
      </c>
    </row>
    <row r="20" spans="1:8" x14ac:dyDescent="0.3">
      <c r="B20" s="6" t="s">
        <v>18</v>
      </c>
      <c r="C20" s="22"/>
      <c r="D20" s="22"/>
      <c r="E20" s="22"/>
      <c r="F20" s="22"/>
      <c r="G20" s="22"/>
      <c r="H20" s="12">
        <f t="shared" si="0"/>
        <v>44349</v>
      </c>
    </row>
    <row r="21" spans="1:8" x14ac:dyDescent="0.3">
      <c r="B21" s="6" t="s">
        <v>16</v>
      </c>
      <c r="C21" s="22"/>
      <c r="D21" s="22">
        <v>108000</v>
      </c>
      <c r="E21" s="22"/>
      <c r="F21" s="22">
        <v>104000</v>
      </c>
      <c r="G21" s="22"/>
      <c r="H21" s="12">
        <f t="shared" si="0"/>
        <v>44349</v>
      </c>
    </row>
    <row r="22" spans="1:8" x14ac:dyDescent="0.3">
      <c r="B22" s="50" t="s">
        <v>27</v>
      </c>
      <c r="C22" s="51">
        <f>SUM(June02_2021[KSI_AGO])</f>
        <v>320000</v>
      </c>
      <c r="D22" s="51">
        <f>SUBTOTAL(109,June02_2021[KSI_PMS])</f>
        <v>1728000</v>
      </c>
      <c r="E22" s="51">
        <f>SUM(June02_2021[BUIPE_AGO])</f>
        <v>0</v>
      </c>
      <c r="F22" s="51">
        <f>SUM(June02_2021[BUIPE_PMS])</f>
        <v>586000</v>
      </c>
      <c r="G22" s="51">
        <f>SUM(June02_2021[AKOSOMBO_AGO])</f>
        <v>0</v>
      </c>
      <c r="H22" s="52"/>
    </row>
    <row r="23" spans="1:8" x14ac:dyDescent="0.3">
      <c r="B23" s="8"/>
      <c r="C23" s="24"/>
      <c r="D23" s="24"/>
      <c r="E23" s="24"/>
      <c r="F23" s="24"/>
      <c r="G23" s="24"/>
      <c r="H23"/>
    </row>
    <row r="24" spans="1:8" x14ac:dyDescent="0.3">
      <c r="B24" s="1" t="s">
        <v>6</v>
      </c>
      <c r="C24" s="1" t="s">
        <v>4</v>
      </c>
      <c r="D24" s="5">
        <f>SUMIF(June02_2021[[#Headers],[KSI_AGO]:[AKOSOMBO_AGO]],"*"&amp;C24,June02_2021[[#Totals],[KSI_AGO]:[AKOSOMBO_AGO]])</f>
        <v>320000</v>
      </c>
      <c r="E24" s="1" t="s">
        <v>5</v>
      </c>
      <c r="F24" s="5">
        <f>SUMIF(June02_2021[[#Headers],[KSI_AGO]:[AKOSOMBO_AGO]],"*"&amp;E24,June02_2021[[#Totals],[KSI_AGO]:[AKOSOMBO_AGO]])</f>
        <v>2314000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19518392-47E7-4DBF-971E-C8BAE5E6F131}">
      <formula1>INDIRECT("BDC_List[BDC List]")</formula1>
    </dataValidation>
  </dataValidations>
  <pageMargins left="0.7" right="0.7" top="0.75" bottom="0.75" header="0.3" footer="0.3"/>
  <pageSetup orientation="portrait" horizontalDpi="4294967295" verticalDpi="4294967295" r:id="rId1"/>
  <tableParts count="1">
    <tablePart r:id="rId2"/>
  </tableParts>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1A00-BE77-4162-9DA0-E880DC8157C4}">
  <sheetPr codeName="Sheet364"/>
  <dimension ref="A1:K34"/>
  <sheetViews>
    <sheetView topLeftCell="D1" workbookViewId="0">
      <selection activeCell="F19" sqref="F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10" width="9.109375" style="1"/>
    <col min="11" max="11" width="13.33203125" style="1" bestFit="1" customWidth="1"/>
    <col min="12" max="16384" width="9.109375" style="1"/>
  </cols>
  <sheetData>
    <row r="1" spans="2:11" ht="24.6" x14ac:dyDescent="0.4">
      <c r="B1" s="95" t="s">
        <v>0</v>
      </c>
      <c r="C1" s="95"/>
      <c r="D1" s="95"/>
      <c r="E1" s="95"/>
      <c r="F1" s="95"/>
      <c r="G1" s="95"/>
    </row>
    <row r="2" spans="2:11" ht="15.6" x14ac:dyDescent="0.3">
      <c r="B2" s="7" t="s">
        <v>1</v>
      </c>
      <c r="C2" s="7"/>
      <c r="D2" s="2"/>
      <c r="E2" s="2"/>
      <c r="F2" s="2"/>
      <c r="G2" s="2"/>
    </row>
    <row r="3" spans="2:11" ht="15.6" x14ac:dyDescent="0.3">
      <c r="B3" s="7" t="s">
        <v>2</v>
      </c>
      <c r="C3" s="7"/>
      <c r="D3" s="2"/>
      <c r="E3" s="2"/>
      <c r="F3" s="21" t="s">
        <v>3</v>
      </c>
      <c r="G3" s="71">
        <v>44350</v>
      </c>
    </row>
    <row r="4" spans="2:11" ht="16.2" thickBot="1" x14ac:dyDescent="0.35">
      <c r="B4" s="96"/>
      <c r="C4" s="96"/>
      <c r="D4" s="96"/>
      <c r="E4" s="96"/>
      <c r="F4" s="96"/>
      <c r="G4" s="96"/>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1" si="0">$G$3</f>
        <v>44350</v>
      </c>
    </row>
    <row r="7" spans="2:11" x14ac:dyDescent="0.3">
      <c r="B7" s="6" t="s">
        <v>37</v>
      </c>
      <c r="C7" s="22"/>
      <c r="D7" s="22"/>
      <c r="E7" s="22"/>
      <c r="F7" s="22"/>
      <c r="G7" s="22"/>
      <c r="H7" s="67">
        <f t="shared" si="0"/>
        <v>44350</v>
      </c>
    </row>
    <row r="8" spans="2:11" x14ac:dyDescent="0.3">
      <c r="B8" s="6" t="s">
        <v>17</v>
      </c>
      <c r="C8" s="22">
        <v>426500</v>
      </c>
      <c r="D8" s="22"/>
      <c r="E8" s="22"/>
      <c r="F8" s="22">
        <v>108000</v>
      </c>
      <c r="G8" s="22"/>
      <c r="H8" s="12">
        <f t="shared" si="0"/>
        <v>44350</v>
      </c>
    </row>
    <row r="9" spans="2:11" ht="15.6" x14ac:dyDescent="0.3">
      <c r="B9" s="34" t="s">
        <v>0</v>
      </c>
      <c r="C9" s="60">
        <v>1490000</v>
      </c>
      <c r="D9" s="46"/>
      <c r="E9" s="60">
        <v>315000</v>
      </c>
      <c r="F9" s="46"/>
      <c r="G9" s="61"/>
      <c r="H9" s="12">
        <f t="shared" si="0"/>
        <v>44350</v>
      </c>
    </row>
    <row r="10" spans="2:11" ht="16.2" customHeight="1" x14ac:dyDescent="0.3">
      <c r="B10" s="6" t="s">
        <v>25</v>
      </c>
      <c r="C10" s="22"/>
      <c r="D10" s="94">
        <v>265500</v>
      </c>
      <c r="E10" s="22"/>
      <c r="F10" s="22">
        <v>108000</v>
      </c>
      <c r="G10" s="22"/>
      <c r="H10" s="12">
        <f t="shared" si="0"/>
        <v>44350</v>
      </c>
    </row>
    <row r="11" spans="2:11" ht="13.5" customHeight="1" x14ac:dyDescent="0.3">
      <c r="B11" s="6" t="s">
        <v>15</v>
      </c>
      <c r="C11" s="22"/>
      <c r="D11" s="22">
        <v>54000</v>
      </c>
      <c r="E11" s="22"/>
      <c r="F11" s="48">
        <v>108000</v>
      </c>
      <c r="G11" s="22"/>
      <c r="H11" s="12">
        <f t="shared" si="0"/>
        <v>44350</v>
      </c>
    </row>
    <row r="12" spans="2:11" x14ac:dyDescent="0.3">
      <c r="B12" s="6" t="s">
        <v>54</v>
      </c>
      <c r="C12" s="22"/>
      <c r="D12" s="22"/>
      <c r="E12" s="22"/>
      <c r="F12" s="22"/>
      <c r="G12" s="22"/>
      <c r="H12" s="67">
        <f t="shared" si="0"/>
        <v>44350</v>
      </c>
    </row>
    <row r="13" spans="2:11" x14ac:dyDescent="0.3">
      <c r="B13" s="6" t="s">
        <v>26</v>
      </c>
      <c r="C13" s="22"/>
      <c r="D13" s="22">
        <v>265500</v>
      </c>
      <c r="E13" s="22"/>
      <c r="F13" s="22">
        <v>162000</v>
      </c>
      <c r="G13" s="22"/>
      <c r="H13" s="12">
        <f t="shared" si="0"/>
        <v>44350</v>
      </c>
    </row>
    <row r="14" spans="2:11" x14ac:dyDescent="0.3">
      <c r="B14" s="6" t="s">
        <v>22</v>
      </c>
      <c r="C14" s="23"/>
      <c r="D14" s="23"/>
      <c r="E14" s="23"/>
      <c r="F14" s="22"/>
      <c r="G14" s="23"/>
      <c r="H14" s="12">
        <f t="shared" si="0"/>
        <v>44350</v>
      </c>
      <c r="K14" s="4"/>
    </row>
    <row r="15" spans="2:11" x14ac:dyDescent="0.3">
      <c r="B15" s="6" t="s">
        <v>61</v>
      </c>
      <c r="C15" s="23"/>
      <c r="D15" s="23"/>
      <c r="E15" s="23"/>
      <c r="F15" s="22"/>
      <c r="G15" s="23"/>
      <c r="H15" s="75">
        <f t="shared" si="0"/>
        <v>44350</v>
      </c>
      <c r="K15" s="4"/>
    </row>
    <row r="16" spans="2:11" x14ac:dyDescent="0.3">
      <c r="B16" s="6" t="s">
        <v>19</v>
      </c>
      <c r="C16" s="22"/>
      <c r="D16" s="22"/>
      <c r="E16" s="22"/>
      <c r="F16" s="22"/>
      <c r="G16" s="22"/>
      <c r="H16" s="12">
        <f t="shared" si="0"/>
        <v>44350</v>
      </c>
    </row>
    <row r="17" spans="1:8" x14ac:dyDescent="0.3">
      <c r="B17" s="6" t="s">
        <v>14</v>
      </c>
      <c r="C17" s="22"/>
      <c r="D17" s="22">
        <v>216000</v>
      </c>
      <c r="E17" s="22"/>
      <c r="F17" s="22"/>
      <c r="G17" s="22"/>
      <c r="H17" s="12">
        <f t="shared" si="0"/>
        <v>44350</v>
      </c>
    </row>
    <row r="18" spans="1:8" x14ac:dyDescent="0.3">
      <c r="B18" s="6" t="s">
        <v>24</v>
      </c>
      <c r="C18" s="22"/>
      <c r="D18" s="22"/>
      <c r="E18" s="22"/>
      <c r="F18" s="49"/>
      <c r="G18" s="22"/>
      <c r="H18" s="12">
        <f t="shared" si="0"/>
        <v>44350</v>
      </c>
    </row>
    <row r="19" spans="1:8" x14ac:dyDescent="0.3">
      <c r="B19" s="6" t="s">
        <v>21</v>
      </c>
      <c r="C19" s="22"/>
      <c r="D19" s="22"/>
      <c r="E19" s="22"/>
      <c r="F19" s="22"/>
      <c r="G19" s="22"/>
      <c r="H19" s="12">
        <f t="shared" si="0"/>
        <v>44350</v>
      </c>
    </row>
    <row r="20" spans="1:8" x14ac:dyDescent="0.3">
      <c r="B20" s="6" t="s">
        <v>18</v>
      </c>
      <c r="C20" s="22"/>
      <c r="D20" s="22"/>
      <c r="E20" s="22"/>
      <c r="F20" s="22"/>
      <c r="G20" s="22"/>
      <c r="H20" s="12">
        <f t="shared" si="0"/>
        <v>44350</v>
      </c>
    </row>
    <row r="21" spans="1:8" x14ac:dyDescent="0.3">
      <c r="B21" s="6" t="s">
        <v>16</v>
      </c>
      <c r="C21" s="22"/>
      <c r="D21" s="22">
        <v>216000</v>
      </c>
      <c r="E21" s="22"/>
      <c r="F21" s="22">
        <v>108000</v>
      </c>
      <c r="G21" s="22"/>
      <c r="H21" s="12">
        <f t="shared" si="0"/>
        <v>44350</v>
      </c>
    </row>
    <row r="22" spans="1:8" x14ac:dyDescent="0.3">
      <c r="B22" s="50" t="s">
        <v>27</v>
      </c>
      <c r="C22" s="51">
        <f>SUM(June03_2021[KSI_AGO])</f>
        <v>1916500</v>
      </c>
      <c r="D22" s="51">
        <f>SUBTOTAL(109,June03_2021[KSI_PMS])</f>
        <v>1017000</v>
      </c>
      <c r="E22" s="51">
        <f>SUM(June03_2021[BUIPE_AGO])</f>
        <v>315000</v>
      </c>
      <c r="F22" s="51">
        <f>SUM(June03_2021[BUIPE_PMS])</f>
        <v>594000</v>
      </c>
      <c r="G22" s="51">
        <f>SUM(June03_2021[AKOSOMBO_AGO])</f>
        <v>0</v>
      </c>
      <c r="H22" s="52"/>
    </row>
    <row r="23" spans="1:8" x14ac:dyDescent="0.3">
      <c r="B23" s="8"/>
      <c r="C23" s="24"/>
      <c r="D23" s="24"/>
      <c r="E23" s="24"/>
      <c r="F23" s="24"/>
      <c r="G23" s="24"/>
      <c r="H23"/>
    </row>
    <row r="24" spans="1:8" x14ac:dyDescent="0.3">
      <c r="B24" s="1" t="s">
        <v>6</v>
      </c>
      <c r="C24" s="1" t="s">
        <v>4</v>
      </c>
      <c r="D24" s="5">
        <f>SUMIF(June03_2021[[#Headers],[KSI_AGO]:[AKOSOMBO_AGO]],"*"&amp;C24,June03_2021[[#Totals],[KSI_AGO]:[AKOSOMBO_AGO]])</f>
        <v>2231500</v>
      </c>
      <c r="E24" s="1" t="s">
        <v>5</v>
      </c>
      <c r="F24" s="5">
        <f>SUMIF(June03_2021[[#Headers],[KSI_AGO]:[AKOSOMBO_AGO]],"*"&amp;E24,June03_2021[[#Totals],[KSI_AGO]:[AKOSOMBO_AGO]])</f>
        <v>1611000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B340D7B-5BE5-4615-8AA8-23875EE78ED1}">
      <formula1>INDIRECT("BDC_List[BDC List]")</formula1>
    </dataValidation>
  </dataValidations>
  <pageMargins left="0.7" right="0.7" top="0.75" bottom="0.75" header="0.3" footer="0.3"/>
  <pageSetup orientation="portrait" horizontalDpi="4294967295" verticalDpi="4294967295" r:id="rId1"/>
  <tableParts count="1">
    <tablePart r:id="rId2"/>
  </tableParts>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E43A-368A-4ADF-8FE1-F996A7C9F3BD}">
  <sheetPr codeName="Sheet365"/>
  <dimension ref="A1:J34"/>
  <sheetViews>
    <sheetView topLeftCell="C1" workbookViewId="0">
      <selection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44351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45"/>
      <c r="E6" s="45"/>
      <c r="F6" s="45"/>
      <c r="G6" s="45"/>
      <c r="H6" s="12">
        <f t="shared" ref="H6:H21" si="0">$G$3</f>
        <v>44351</v>
      </c>
    </row>
    <row r="7" spans="2:10" x14ac:dyDescent="0.3">
      <c r="B7" s="6" t="s">
        <v>37</v>
      </c>
      <c r="C7" s="22"/>
      <c r="D7" s="22"/>
      <c r="E7" s="22"/>
      <c r="F7" s="22"/>
      <c r="G7" s="22"/>
      <c r="H7" s="67">
        <f t="shared" si="0"/>
        <v>44351</v>
      </c>
    </row>
    <row r="8" spans="2:10" x14ac:dyDescent="0.3">
      <c r="B8" s="6" t="s">
        <v>17</v>
      </c>
      <c r="C8" s="22">
        <v>540000</v>
      </c>
      <c r="D8" s="22"/>
      <c r="E8" s="22"/>
      <c r="F8" s="22"/>
      <c r="G8" s="22"/>
      <c r="H8" s="12">
        <f t="shared" si="0"/>
        <v>44351</v>
      </c>
    </row>
    <row r="9" spans="2:10" ht="15.6" x14ac:dyDescent="0.3">
      <c r="B9" s="34" t="s">
        <v>0</v>
      </c>
      <c r="C9" s="60">
        <v>1054000</v>
      </c>
      <c r="D9" s="46"/>
      <c r="E9" s="60">
        <v>185000</v>
      </c>
      <c r="F9" s="46"/>
      <c r="G9" s="61"/>
      <c r="H9" s="12">
        <f t="shared" si="0"/>
        <v>44351</v>
      </c>
    </row>
    <row r="10" spans="2:10" ht="16.2" customHeight="1" x14ac:dyDescent="0.3">
      <c r="B10" s="6" t="s">
        <v>25</v>
      </c>
      <c r="C10" s="22"/>
      <c r="D10" s="22">
        <v>108000</v>
      </c>
      <c r="E10" s="22">
        <v>158000</v>
      </c>
      <c r="F10" s="22"/>
      <c r="G10" s="22"/>
      <c r="H10" s="12">
        <f t="shared" si="0"/>
        <v>44351</v>
      </c>
    </row>
    <row r="11" spans="2:10" ht="13.5" customHeight="1" x14ac:dyDescent="0.3">
      <c r="B11" s="6" t="s">
        <v>15</v>
      </c>
      <c r="C11" s="22"/>
      <c r="D11" s="48">
        <v>316000</v>
      </c>
      <c r="E11" s="22"/>
      <c r="F11" s="48"/>
      <c r="G11" s="22"/>
      <c r="H11" s="12">
        <f t="shared" si="0"/>
        <v>44351</v>
      </c>
    </row>
    <row r="12" spans="2:10" x14ac:dyDescent="0.3">
      <c r="B12" s="6" t="s">
        <v>54</v>
      </c>
      <c r="C12" s="22"/>
      <c r="D12" s="22"/>
      <c r="E12" s="22"/>
      <c r="F12" s="22"/>
      <c r="G12" s="22"/>
      <c r="H12" s="67">
        <f t="shared" si="0"/>
        <v>44351</v>
      </c>
    </row>
    <row r="13" spans="2:10" x14ac:dyDescent="0.3">
      <c r="B13" s="6" t="s">
        <v>26</v>
      </c>
      <c r="C13" s="22"/>
      <c r="D13" s="22">
        <v>108000</v>
      </c>
      <c r="E13" s="22"/>
      <c r="F13" s="22"/>
      <c r="G13" s="22"/>
      <c r="H13" s="12">
        <f t="shared" si="0"/>
        <v>44351</v>
      </c>
    </row>
    <row r="14" spans="2:10" x14ac:dyDescent="0.3">
      <c r="B14" s="6" t="s">
        <v>22</v>
      </c>
      <c r="C14" s="23"/>
      <c r="D14" s="22"/>
      <c r="E14" s="23"/>
      <c r="F14" s="22"/>
      <c r="G14" s="23"/>
      <c r="H14" s="12">
        <f t="shared" si="0"/>
        <v>44351</v>
      </c>
      <c r="J14" s="4"/>
    </row>
    <row r="15" spans="2:10" x14ac:dyDescent="0.3">
      <c r="B15" s="6" t="s">
        <v>61</v>
      </c>
      <c r="C15" s="23"/>
      <c r="D15" s="22"/>
      <c r="E15" s="23"/>
      <c r="F15" s="22"/>
      <c r="G15" s="23"/>
      <c r="H15" s="75">
        <f t="shared" si="0"/>
        <v>44351</v>
      </c>
      <c r="J15" s="4"/>
    </row>
    <row r="16" spans="2:10" x14ac:dyDescent="0.3">
      <c r="B16" s="6" t="s">
        <v>19</v>
      </c>
      <c r="C16" s="22"/>
      <c r="D16" s="22"/>
      <c r="E16" s="22">
        <v>648000</v>
      </c>
      <c r="F16" s="22"/>
      <c r="G16" s="22"/>
      <c r="H16" s="12">
        <f t="shared" si="0"/>
        <v>44351</v>
      </c>
    </row>
    <row r="17" spans="1:8" x14ac:dyDescent="0.3">
      <c r="B17" s="6" t="s">
        <v>14</v>
      </c>
      <c r="C17" s="22"/>
      <c r="D17" s="22">
        <v>319500</v>
      </c>
      <c r="E17" s="22"/>
      <c r="F17" s="22"/>
      <c r="G17" s="22"/>
      <c r="H17" s="12">
        <f t="shared" si="0"/>
        <v>44351</v>
      </c>
    </row>
    <row r="18" spans="1:8" x14ac:dyDescent="0.3">
      <c r="B18" s="6" t="s">
        <v>24</v>
      </c>
      <c r="C18" s="22"/>
      <c r="D18" s="49"/>
      <c r="E18" s="22"/>
      <c r="F18" s="49"/>
      <c r="G18" s="22"/>
      <c r="H18" s="12">
        <f t="shared" si="0"/>
        <v>44351</v>
      </c>
    </row>
    <row r="19" spans="1:8" x14ac:dyDescent="0.3">
      <c r="B19" s="6" t="s">
        <v>21</v>
      </c>
      <c r="C19" s="22"/>
      <c r="D19" s="22"/>
      <c r="E19" s="22"/>
      <c r="F19" s="22"/>
      <c r="G19" s="22"/>
      <c r="H19" s="12">
        <f t="shared" si="0"/>
        <v>44351</v>
      </c>
    </row>
    <row r="20" spans="1:8" x14ac:dyDescent="0.3">
      <c r="B20" s="6" t="s">
        <v>18</v>
      </c>
      <c r="C20" s="22"/>
      <c r="D20" s="22"/>
      <c r="E20" s="22"/>
      <c r="F20" s="22"/>
      <c r="G20" s="22"/>
      <c r="H20" s="12">
        <f t="shared" si="0"/>
        <v>44351</v>
      </c>
    </row>
    <row r="21" spans="1:8" x14ac:dyDescent="0.3">
      <c r="B21" s="6" t="s">
        <v>16</v>
      </c>
      <c r="C21" s="22"/>
      <c r="D21" s="22">
        <v>212000</v>
      </c>
      <c r="E21" s="22"/>
      <c r="F21" s="22"/>
      <c r="G21" s="22"/>
      <c r="H21" s="12">
        <f t="shared" si="0"/>
        <v>44351</v>
      </c>
    </row>
    <row r="22" spans="1:8" x14ac:dyDescent="0.3">
      <c r="B22" s="50" t="s">
        <v>27</v>
      </c>
      <c r="C22" s="51">
        <f>SUM(June04_2021[KSI_AGO])</f>
        <v>1594000</v>
      </c>
      <c r="D22" s="51">
        <f>SUBTOTAL(109,June04_2021[KSI_PMS])</f>
        <v>1063500</v>
      </c>
      <c r="E22" s="51">
        <f>SUM(June04_2021[BUIPE_AGO])</f>
        <v>991000</v>
      </c>
      <c r="F22" s="51">
        <f>SUM(June04_2021[BUIPE_PMS])</f>
        <v>0</v>
      </c>
      <c r="G22" s="51">
        <f>SUM(June04_2021[AKOSOMBO_AGO])</f>
        <v>0</v>
      </c>
      <c r="H22" s="52"/>
    </row>
    <row r="23" spans="1:8" x14ac:dyDescent="0.3">
      <c r="B23" s="8"/>
      <c r="C23" s="24"/>
      <c r="D23" s="24"/>
      <c r="E23" s="24"/>
      <c r="F23" s="24"/>
      <c r="G23" s="24"/>
      <c r="H23"/>
    </row>
    <row r="24" spans="1:8" x14ac:dyDescent="0.3">
      <c r="B24" s="1" t="s">
        <v>6</v>
      </c>
      <c r="C24" s="1" t="s">
        <v>4</v>
      </c>
      <c r="D24" s="5">
        <f>SUMIF(June04_2021[[#Headers],[KSI_AGO]:[AKOSOMBO_AGO]],"*"&amp;C24,June04_2021[[#Totals],[KSI_AGO]:[AKOSOMBO_AGO]])</f>
        <v>2585000</v>
      </c>
      <c r="E24" s="1" t="s">
        <v>5</v>
      </c>
      <c r="F24" s="5">
        <f>SUMIF(June04_2021[[#Headers],[KSI_AGO]:[AKOSOMBO_AGO]],"*"&amp;E24,June04_2021[[#Totals],[KSI_AGO]:[AKOSOMBO_AGO]])</f>
        <v>1063500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2374B982-D240-493E-BFE5-9B77858ED8CE}">
      <formula1>INDIRECT("BDC_List[BDC List]")</formula1>
    </dataValidation>
  </dataValidations>
  <pageMargins left="0.7" right="0.7" top="0.75" bottom="0.75" header="0.3" footer="0.3"/>
  <tableParts count="1">
    <tablePart r:id="rId1"/>
  </tableParts>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1F63E-50FF-4E30-9CE1-9174B48C8C31}">
  <sheetPr codeName="Sheet366"/>
  <dimension ref="A1:J34"/>
  <sheetViews>
    <sheetView topLeftCell="D1" workbookViewId="0">
      <selection activeCell="F12" sqref="F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44354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45"/>
      <c r="E6" s="45"/>
      <c r="F6" s="45"/>
      <c r="G6" s="45"/>
      <c r="H6" s="12">
        <f t="shared" ref="H6:H21" si="0">$G$3</f>
        <v>44354</v>
      </c>
    </row>
    <row r="7" spans="2:10" x14ac:dyDescent="0.3">
      <c r="B7" s="6" t="s">
        <v>37</v>
      </c>
      <c r="C7" s="22"/>
      <c r="D7" s="22"/>
      <c r="E7" s="22"/>
      <c r="F7" s="22"/>
      <c r="G7" s="22"/>
      <c r="H7" s="67">
        <f t="shared" si="0"/>
        <v>44354</v>
      </c>
    </row>
    <row r="8" spans="2:10" x14ac:dyDescent="0.3">
      <c r="B8" s="6" t="s">
        <v>17</v>
      </c>
      <c r="C8" s="22">
        <v>407000</v>
      </c>
      <c r="D8" s="22"/>
      <c r="E8" s="22"/>
      <c r="F8" s="22">
        <v>108000</v>
      </c>
      <c r="G8" s="22"/>
      <c r="H8" s="12">
        <f t="shared" si="0"/>
        <v>44354</v>
      </c>
    </row>
    <row r="9" spans="2:10" ht="15.6" x14ac:dyDescent="0.3">
      <c r="B9" s="34" t="s">
        <v>0</v>
      </c>
      <c r="C9" s="60">
        <v>913500</v>
      </c>
      <c r="D9" s="46"/>
      <c r="E9" s="60"/>
      <c r="F9" s="46"/>
      <c r="G9" s="61"/>
      <c r="H9" s="12">
        <f t="shared" si="0"/>
        <v>44354</v>
      </c>
    </row>
    <row r="10" spans="2:10" ht="16.2" customHeight="1" x14ac:dyDescent="0.3">
      <c r="B10" s="6" t="s">
        <v>25</v>
      </c>
      <c r="C10" s="22"/>
      <c r="D10" s="22"/>
      <c r="E10" s="22"/>
      <c r="F10" s="22">
        <v>108000</v>
      </c>
      <c r="G10" s="22"/>
      <c r="H10" s="12">
        <f t="shared" si="0"/>
        <v>44354</v>
      </c>
    </row>
    <row r="11" spans="2:10" ht="13.5" customHeight="1" x14ac:dyDescent="0.3">
      <c r="B11" s="6" t="s">
        <v>15</v>
      </c>
      <c r="C11" s="22"/>
      <c r="D11" s="48">
        <v>319500</v>
      </c>
      <c r="E11" s="22"/>
      <c r="F11" s="48">
        <v>162000</v>
      </c>
      <c r="G11" s="22"/>
      <c r="H11" s="12">
        <f t="shared" si="0"/>
        <v>44354</v>
      </c>
    </row>
    <row r="12" spans="2:10" x14ac:dyDescent="0.3">
      <c r="B12" s="6" t="s">
        <v>54</v>
      </c>
      <c r="C12" s="22"/>
      <c r="D12" s="22"/>
      <c r="E12" s="22"/>
      <c r="F12" s="22"/>
      <c r="G12" s="22"/>
      <c r="H12" s="67">
        <f t="shared" si="0"/>
        <v>44354</v>
      </c>
    </row>
    <row r="13" spans="2:10" x14ac:dyDescent="0.3">
      <c r="B13" s="6" t="s">
        <v>26</v>
      </c>
      <c r="C13" s="22"/>
      <c r="D13" s="22">
        <v>324000</v>
      </c>
      <c r="E13" s="22"/>
      <c r="F13" s="22">
        <v>108000</v>
      </c>
      <c r="G13" s="22"/>
      <c r="H13" s="12">
        <f t="shared" si="0"/>
        <v>44354</v>
      </c>
    </row>
    <row r="14" spans="2:10" x14ac:dyDescent="0.3">
      <c r="B14" s="6" t="s">
        <v>22</v>
      </c>
      <c r="C14" s="23"/>
      <c r="D14" s="22"/>
      <c r="E14" s="23"/>
      <c r="F14" s="22"/>
      <c r="G14" s="23"/>
      <c r="H14" s="12">
        <f t="shared" si="0"/>
        <v>44354</v>
      </c>
      <c r="J14" s="4"/>
    </row>
    <row r="15" spans="2:10" x14ac:dyDescent="0.3">
      <c r="B15" s="6" t="s">
        <v>61</v>
      </c>
      <c r="C15" s="23"/>
      <c r="D15" s="22"/>
      <c r="E15" s="23"/>
      <c r="F15" s="22"/>
      <c r="G15" s="23"/>
      <c r="H15" s="75">
        <f t="shared" si="0"/>
        <v>44354</v>
      </c>
      <c r="J15" s="4"/>
    </row>
    <row r="16" spans="2:10" x14ac:dyDescent="0.3">
      <c r="B16" s="6" t="s">
        <v>19</v>
      </c>
      <c r="C16" s="22"/>
      <c r="D16" s="22"/>
      <c r="E16" s="22">
        <v>162000</v>
      </c>
      <c r="F16" s="22"/>
      <c r="G16" s="22"/>
      <c r="H16" s="12">
        <f t="shared" si="0"/>
        <v>44354</v>
      </c>
    </row>
    <row r="17" spans="1:8" x14ac:dyDescent="0.3">
      <c r="B17" s="6" t="s">
        <v>14</v>
      </c>
      <c r="C17" s="22"/>
      <c r="D17" s="22">
        <v>432000</v>
      </c>
      <c r="E17" s="22"/>
      <c r="F17" s="22"/>
      <c r="G17" s="22"/>
      <c r="H17" s="12">
        <f t="shared" si="0"/>
        <v>44354</v>
      </c>
    </row>
    <row r="18" spans="1:8" x14ac:dyDescent="0.3">
      <c r="B18" s="6" t="s">
        <v>24</v>
      </c>
      <c r="C18" s="22"/>
      <c r="D18" s="49"/>
      <c r="E18" s="22"/>
      <c r="F18" s="49"/>
      <c r="G18" s="22"/>
      <c r="H18" s="12">
        <f t="shared" si="0"/>
        <v>44354</v>
      </c>
    </row>
    <row r="19" spans="1:8" x14ac:dyDescent="0.3">
      <c r="B19" s="6" t="s">
        <v>21</v>
      </c>
      <c r="C19" s="22"/>
      <c r="D19" s="22"/>
      <c r="E19" s="22"/>
      <c r="F19" s="22"/>
      <c r="G19" s="22"/>
      <c r="H19" s="12">
        <f t="shared" si="0"/>
        <v>44354</v>
      </c>
    </row>
    <row r="20" spans="1:8" x14ac:dyDescent="0.3">
      <c r="B20" s="6" t="s">
        <v>18</v>
      </c>
      <c r="C20" s="22"/>
      <c r="D20" s="22"/>
      <c r="E20" s="22"/>
      <c r="F20" s="22"/>
      <c r="G20" s="22"/>
      <c r="H20" s="12">
        <f t="shared" si="0"/>
        <v>44354</v>
      </c>
    </row>
    <row r="21" spans="1:8" x14ac:dyDescent="0.3">
      <c r="B21" s="6" t="s">
        <v>16</v>
      </c>
      <c r="C21" s="22"/>
      <c r="D21" s="22">
        <v>270000</v>
      </c>
      <c r="E21" s="22"/>
      <c r="F21" s="22">
        <v>108000</v>
      </c>
      <c r="G21" s="22"/>
      <c r="H21" s="12">
        <f t="shared" si="0"/>
        <v>44354</v>
      </c>
    </row>
    <row r="22" spans="1:8" x14ac:dyDescent="0.3">
      <c r="B22" s="50" t="s">
        <v>27</v>
      </c>
      <c r="C22" s="51">
        <f>SUM(June07_2021[KSI_AGO])</f>
        <v>1320500</v>
      </c>
      <c r="D22" s="51">
        <f>SUBTOTAL(109,June07_2021[KSI_PMS])</f>
        <v>1345500</v>
      </c>
      <c r="E22" s="51">
        <f>SUM(June07_2021[BUIPE_AGO])</f>
        <v>162000</v>
      </c>
      <c r="F22" s="51">
        <f>SUM(June07_2021[BUIPE_PMS])</f>
        <v>594000</v>
      </c>
      <c r="G22" s="51">
        <f>SUM(June07_2021[AKOSOMBO_AGO])</f>
        <v>0</v>
      </c>
      <c r="H22" s="52"/>
    </row>
    <row r="23" spans="1:8" x14ac:dyDescent="0.3">
      <c r="B23" s="8"/>
      <c r="C23" s="24"/>
      <c r="D23" s="24"/>
      <c r="E23" s="24"/>
      <c r="F23" s="24"/>
      <c r="G23" s="24"/>
      <c r="H23"/>
    </row>
    <row r="24" spans="1:8" x14ac:dyDescent="0.3">
      <c r="B24" s="1" t="s">
        <v>6</v>
      </c>
      <c r="C24" s="1" t="s">
        <v>4</v>
      </c>
      <c r="D24" s="5">
        <f>SUMIF(June07_2021[[#Headers],[KSI_AGO]:[AKOSOMBO_AGO]],"*"&amp;C24,June07_2021[[#Totals],[KSI_AGO]:[AKOSOMBO_AGO]])</f>
        <v>1482500</v>
      </c>
      <c r="E24" s="1" t="s">
        <v>5</v>
      </c>
      <c r="F24" s="5">
        <f>SUMIF(June07_2021[[#Headers],[KSI_AGO]:[AKOSOMBO_AGO]],"*"&amp;E24,June07_2021[[#Totals],[KSI_AGO]:[AKOSOMBO_AGO]])</f>
        <v>1939500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0FF6987-355C-45AD-BCC2-40261B0B68B1}">
      <formula1>INDIRECT("BDC_List[BDC List]")</formula1>
    </dataValidation>
  </dataValidations>
  <pageMargins left="0.7" right="0.7" top="0.75" bottom="0.75" header="0.3" footer="0.3"/>
  <tableParts count="1">
    <tablePart r:id="rId1"/>
  </tableParts>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CF22-0C64-4CA4-B1AC-970BADC104A1}">
  <sheetPr codeName="Sheet367"/>
  <dimension ref="A1:J34"/>
  <sheetViews>
    <sheetView topLeftCell="D1" workbookViewId="0">
      <selection activeCell="G25" sqref="G2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44355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45"/>
      <c r="E6" s="45"/>
      <c r="F6" s="45"/>
      <c r="G6" s="45"/>
      <c r="H6" s="12">
        <f t="shared" ref="H6:H21" si="0">$G$3</f>
        <v>44355</v>
      </c>
    </row>
    <row r="7" spans="2:10" x14ac:dyDescent="0.3">
      <c r="B7" s="6" t="s">
        <v>37</v>
      </c>
      <c r="C7" s="22"/>
      <c r="D7" s="22"/>
      <c r="E7" s="22"/>
      <c r="F7" s="22"/>
      <c r="G7" s="22"/>
      <c r="H7" s="67">
        <f t="shared" si="0"/>
        <v>44355</v>
      </c>
    </row>
    <row r="8" spans="2:10" x14ac:dyDescent="0.3">
      <c r="B8" s="6" t="s">
        <v>17</v>
      </c>
      <c r="C8" s="22">
        <v>261000</v>
      </c>
      <c r="D8" s="22"/>
      <c r="E8" s="22"/>
      <c r="F8" s="22"/>
      <c r="G8" s="22"/>
      <c r="H8" s="12">
        <f t="shared" si="0"/>
        <v>44355</v>
      </c>
    </row>
    <row r="9" spans="2:10" ht="15.6" x14ac:dyDescent="0.3">
      <c r="B9" s="34" t="s">
        <v>0</v>
      </c>
      <c r="C9" s="60">
        <v>1125000</v>
      </c>
      <c r="D9" s="46"/>
      <c r="E9" s="60"/>
      <c r="F9" s="46"/>
      <c r="G9" s="61"/>
      <c r="H9" s="12">
        <f t="shared" si="0"/>
        <v>44355</v>
      </c>
    </row>
    <row r="10" spans="2:10" ht="16.2" customHeight="1" x14ac:dyDescent="0.3">
      <c r="B10" s="6" t="s">
        <v>25</v>
      </c>
      <c r="C10" s="22"/>
      <c r="D10" s="22"/>
      <c r="E10" s="22"/>
      <c r="F10" s="22"/>
      <c r="G10" s="22"/>
      <c r="H10" s="12">
        <f t="shared" si="0"/>
        <v>44355</v>
      </c>
    </row>
    <row r="11" spans="2:10" ht="13.5" customHeight="1" x14ac:dyDescent="0.3">
      <c r="B11" s="6" t="s">
        <v>15</v>
      </c>
      <c r="C11" s="22"/>
      <c r="D11" s="48"/>
      <c r="E11" s="22"/>
      <c r="F11" s="48"/>
      <c r="G11" s="22"/>
      <c r="H11" s="12">
        <f t="shared" si="0"/>
        <v>44355</v>
      </c>
    </row>
    <row r="12" spans="2:10" x14ac:dyDescent="0.3">
      <c r="B12" s="6" t="s">
        <v>54</v>
      </c>
      <c r="C12" s="22"/>
      <c r="D12" s="22"/>
      <c r="E12" s="22"/>
      <c r="F12" s="22"/>
      <c r="G12" s="22"/>
      <c r="H12" s="67">
        <f t="shared" si="0"/>
        <v>44355</v>
      </c>
    </row>
    <row r="13" spans="2:10" x14ac:dyDescent="0.3">
      <c r="B13" s="6" t="s">
        <v>26</v>
      </c>
      <c r="C13" s="22"/>
      <c r="D13" s="22">
        <v>324000</v>
      </c>
      <c r="E13" s="22"/>
      <c r="F13" s="22"/>
      <c r="G13" s="22"/>
      <c r="H13" s="12">
        <f t="shared" si="0"/>
        <v>44355</v>
      </c>
    </row>
    <row r="14" spans="2:10" x14ac:dyDescent="0.3">
      <c r="B14" s="6" t="s">
        <v>22</v>
      </c>
      <c r="C14" s="23"/>
      <c r="D14" s="22"/>
      <c r="E14" s="23"/>
      <c r="F14" s="22"/>
      <c r="G14" s="23"/>
      <c r="H14" s="12">
        <f t="shared" si="0"/>
        <v>44355</v>
      </c>
      <c r="J14" s="4"/>
    </row>
    <row r="15" spans="2:10" x14ac:dyDescent="0.3">
      <c r="B15" s="6" t="s">
        <v>61</v>
      </c>
      <c r="C15" s="23"/>
      <c r="D15" s="22"/>
      <c r="E15" s="23"/>
      <c r="F15" s="22"/>
      <c r="G15" s="23"/>
      <c r="H15" s="75">
        <f t="shared" si="0"/>
        <v>44355</v>
      </c>
      <c r="J15" s="4"/>
    </row>
    <row r="16" spans="2:10" x14ac:dyDescent="0.3">
      <c r="B16" s="6" t="s">
        <v>19</v>
      </c>
      <c r="C16" s="22"/>
      <c r="D16" s="22"/>
      <c r="E16" s="22">
        <v>90000</v>
      </c>
      <c r="F16" s="22"/>
      <c r="G16" s="22"/>
      <c r="H16" s="12">
        <f t="shared" si="0"/>
        <v>44355</v>
      </c>
    </row>
    <row r="17" spans="1:8" x14ac:dyDescent="0.3">
      <c r="B17" s="6" t="s">
        <v>14</v>
      </c>
      <c r="C17" s="22"/>
      <c r="D17" s="22">
        <v>373500</v>
      </c>
      <c r="E17" s="22"/>
      <c r="F17" s="22"/>
      <c r="G17" s="22"/>
      <c r="H17" s="12">
        <f t="shared" si="0"/>
        <v>44355</v>
      </c>
    </row>
    <row r="18" spans="1:8" x14ac:dyDescent="0.3">
      <c r="B18" s="6" t="s">
        <v>24</v>
      </c>
      <c r="C18" s="22"/>
      <c r="D18" s="49"/>
      <c r="E18" s="22"/>
      <c r="F18" s="49"/>
      <c r="G18" s="22"/>
      <c r="H18" s="12">
        <f t="shared" si="0"/>
        <v>44355</v>
      </c>
    </row>
    <row r="19" spans="1:8" x14ac:dyDescent="0.3">
      <c r="B19" s="6" t="s">
        <v>21</v>
      </c>
      <c r="C19" s="22"/>
      <c r="D19" s="22">
        <v>324000</v>
      </c>
      <c r="E19" s="22"/>
      <c r="F19" s="22"/>
      <c r="G19" s="22"/>
      <c r="H19" s="12">
        <f t="shared" si="0"/>
        <v>44355</v>
      </c>
    </row>
    <row r="20" spans="1:8" x14ac:dyDescent="0.3">
      <c r="B20" s="6" t="s">
        <v>18</v>
      </c>
      <c r="C20" s="22"/>
      <c r="D20" s="22"/>
      <c r="E20" s="22"/>
      <c r="F20" s="22"/>
      <c r="G20" s="22"/>
      <c r="H20" s="12">
        <f t="shared" si="0"/>
        <v>44355</v>
      </c>
    </row>
    <row r="21" spans="1:8" x14ac:dyDescent="0.3">
      <c r="B21" s="6" t="s">
        <v>16</v>
      </c>
      <c r="C21" s="22"/>
      <c r="D21" s="22">
        <v>324000</v>
      </c>
      <c r="E21" s="22"/>
      <c r="F21" s="22"/>
      <c r="G21" s="22"/>
      <c r="H21" s="12">
        <f t="shared" si="0"/>
        <v>44355</v>
      </c>
    </row>
    <row r="22" spans="1:8" x14ac:dyDescent="0.3">
      <c r="B22" s="50" t="s">
        <v>27</v>
      </c>
      <c r="C22" s="51">
        <f>SUM(June08_2021[KSI_AGO])</f>
        <v>1386000</v>
      </c>
      <c r="D22" s="51">
        <f>SUBTOTAL(109,June08_2021[KSI_PMS])</f>
        <v>1345500</v>
      </c>
      <c r="E22" s="51">
        <f>SUM(June08_2021[BUIPE_AGO])</f>
        <v>90000</v>
      </c>
      <c r="F22" s="51">
        <f>SUM(June08_2021[BUIPE_PMS])</f>
        <v>0</v>
      </c>
      <c r="G22" s="51">
        <f>SUM(June08_2021[AKOSOMBO_AGO])</f>
        <v>0</v>
      </c>
      <c r="H22" s="52"/>
    </row>
    <row r="23" spans="1:8" x14ac:dyDescent="0.3">
      <c r="B23" s="8"/>
      <c r="C23" s="24"/>
      <c r="D23" s="24"/>
      <c r="E23" s="24"/>
      <c r="F23" s="24"/>
      <c r="G23" s="24"/>
      <c r="H23"/>
    </row>
    <row r="24" spans="1:8" x14ac:dyDescent="0.3">
      <c r="B24" s="1" t="s">
        <v>6</v>
      </c>
      <c r="C24" s="1" t="s">
        <v>4</v>
      </c>
      <c r="D24" s="5">
        <f>SUMIF(June08_2021[[#Headers],[KSI_AGO]:[AKOSOMBO_AGO]],"*"&amp;C24,June08_2021[[#Totals],[KSI_AGO]:[AKOSOMBO_AGO]])</f>
        <v>1476000</v>
      </c>
      <c r="E24" s="1" t="s">
        <v>5</v>
      </c>
      <c r="F24" s="5">
        <f>SUMIF(June08_2021[[#Headers],[KSI_AGO]:[AKOSOMBO_AGO]],"*"&amp;E24,June08_2021[[#Totals],[KSI_AGO]:[AKOSOMBO_AGO]])</f>
        <v>1345500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AE02189B-0CA6-4AC2-9E70-8A6B27231183}">
      <formula1>INDIRECT("BDC_List[BDC List]")</formula1>
    </dataValidation>
  </dataValidations>
  <pageMargins left="0.7" right="0.7" top="0.75" bottom="0.75" header="0.3" footer="0.3"/>
  <tableParts count="1">
    <tablePart r:id="rId1"/>
  </tableParts>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101E7-3F75-4129-A6B6-DAF56E47AAB3}">
  <sheetPr codeName="Sheet368"/>
  <dimension ref="A1:J34"/>
  <sheetViews>
    <sheetView topLeftCell="C1" workbookViewId="0">
      <selection activeCell="C12" sqref="C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44356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45"/>
      <c r="E6" s="45"/>
      <c r="F6" s="45"/>
      <c r="G6" s="45"/>
      <c r="H6" s="12">
        <f t="shared" ref="H6:H21" si="0">$G$3</f>
        <v>44356</v>
      </c>
    </row>
    <row r="7" spans="2:10" x14ac:dyDescent="0.3">
      <c r="B7" s="6" t="s">
        <v>37</v>
      </c>
      <c r="C7" s="22"/>
      <c r="D7" s="22"/>
      <c r="E7" s="22"/>
      <c r="F7" s="22"/>
      <c r="G7" s="22"/>
      <c r="H7" s="67">
        <f t="shared" si="0"/>
        <v>44356</v>
      </c>
    </row>
    <row r="8" spans="2:10" x14ac:dyDescent="0.3">
      <c r="B8" s="6" t="s">
        <v>17</v>
      </c>
      <c r="C8" s="22">
        <v>266000</v>
      </c>
      <c r="D8" s="22"/>
      <c r="E8" s="22"/>
      <c r="F8" s="22"/>
      <c r="G8" s="22"/>
      <c r="H8" s="12">
        <f t="shared" si="0"/>
        <v>44356</v>
      </c>
    </row>
    <row r="9" spans="2:10" ht="15.6" x14ac:dyDescent="0.3">
      <c r="B9" s="34" t="s">
        <v>0</v>
      </c>
      <c r="C9" s="60">
        <v>52000</v>
      </c>
      <c r="D9" s="46"/>
      <c r="E9" s="60"/>
      <c r="F9" s="46"/>
      <c r="G9" s="61"/>
      <c r="H9" s="12">
        <f t="shared" si="0"/>
        <v>44356</v>
      </c>
    </row>
    <row r="10" spans="2:10" ht="16.2" customHeight="1" x14ac:dyDescent="0.3">
      <c r="B10" s="6" t="s">
        <v>25</v>
      </c>
      <c r="C10" s="22"/>
      <c r="D10" s="22"/>
      <c r="E10" s="22"/>
      <c r="F10" s="22"/>
      <c r="G10" s="22"/>
      <c r="H10" s="12">
        <f t="shared" si="0"/>
        <v>44356</v>
      </c>
    </row>
    <row r="11" spans="2:10" ht="13.5" customHeight="1" x14ac:dyDescent="0.3">
      <c r="B11" s="6" t="s">
        <v>15</v>
      </c>
      <c r="C11" s="22"/>
      <c r="D11" s="48"/>
      <c r="E11" s="22"/>
      <c r="F11" s="48"/>
      <c r="G11" s="22"/>
      <c r="H11" s="12">
        <f t="shared" si="0"/>
        <v>44356</v>
      </c>
    </row>
    <row r="12" spans="2:10" x14ac:dyDescent="0.3">
      <c r="B12" s="6" t="s">
        <v>54</v>
      </c>
      <c r="C12" s="22"/>
      <c r="D12" s="22"/>
      <c r="E12" s="22"/>
      <c r="F12" s="22"/>
      <c r="G12" s="22"/>
      <c r="H12" s="67">
        <f t="shared" si="0"/>
        <v>44356</v>
      </c>
    </row>
    <row r="13" spans="2:10" x14ac:dyDescent="0.3">
      <c r="B13" s="6" t="s">
        <v>26</v>
      </c>
      <c r="C13" s="22"/>
      <c r="D13" s="22">
        <v>324000</v>
      </c>
      <c r="E13" s="22"/>
      <c r="F13" s="22"/>
      <c r="G13" s="22"/>
      <c r="H13" s="12">
        <f t="shared" si="0"/>
        <v>44356</v>
      </c>
    </row>
    <row r="14" spans="2:10" x14ac:dyDescent="0.3">
      <c r="B14" s="6" t="s">
        <v>22</v>
      </c>
      <c r="C14" s="23"/>
      <c r="D14" s="22"/>
      <c r="E14" s="23"/>
      <c r="F14" s="22"/>
      <c r="G14" s="23"/>
      <c r="H14" s="12">
        <f t="shared" si="0"/>
        <v>44356</v>
      </c>
      <c r="J14" s="4"/>
    </row>
    <row r="15" spans="2:10" x14ac:dyDescent="0.3">
      <c r="B15" s="6" t="s">
        <v>61</v>
      </c>
      <c r="C15" s="23"/>
      <c r="D15" s="22"/>
      <c r="E15" s="23"/>
      <c r="F15" s="22"/>
      <c r="G15" s="23"/>
      <c r="H15" s="75">
        <f t="shared" si="0"/>
        <v>44356</v>
      </c>
      <c r="J15" s="4"/>
    </row>
    <row r="16" spans="2:10" x14ac:dyDescent="0.3">
      <c r="B16" s="6" t="s">
        <v>19</v>
      </c>
      <c r="C16" s="22">
        <v>638500</v>
      </c>
      <c r="D16" s="22"/>
      <c r="E16" s="22"/>
      <c r="F16" s="22"/>
      <c r="G16" s="22"/>
      <c r="H16" s="12">
        <f t="shared" si="0"/>
        <v>44356</v>
      </c>
    </row>
    <row r="17" spans="1:8" x14ac:dyDescent="0.3">
      <c r="B17" s="6" t="s">
        <v>14</v>
      </c>
      <c r="C17" s="22"/>
      <c r="D17" s="22">
        <v>427500</v>
      </c>
      <c r="E17" s="22"/>
      <c r="F17" s="22"/>
      <c r="G17" s="22"/>
      <c r="H17" s="12">
        <f t="shared" si="0"/>
        <v>44356</v>
      </c>
    </row>
    <row r="18" spans="1:8" x14ac:dyDescent="0.3">
      <c r="B18" s="6" t="s">
        <v>24</v>
      </c>
      <c r="C18" s="22"/>
      <c r="D18" s="49"/>
      <c r="E18" s="22"/>
      <c r="F18" s="49"/>
      <c r="G18" s="22"/>
      <c r="H18" s="12">
        <f t="shared" si="0"/>
        <v>44356</v>
      </c>
    </row>
    <row r="19" spans="1:8" x14ac:dyDescent="0.3">
      <c r="B19" s="6" t="s">
        <v>21</v>
      </c>
      <c r="C19" s="22"/>
      <c r="D19" s="22">
        <v>378000</v>
      </c>
      <c r="E19" s="22"/>
      <c r="F19" s="22"/>
      <c r="G19" s="22"/>
      <c r="H19" s="12">
        <f t="shared" si="0"/>
        <v>44356</v>
      </c>
    </row>
    <row r="20" spans="1:8" x14ac:dyDescent="0.3">
      <c r="B20" s="6" t="s">
        <v>18</v>
      </c>
      <c r="C20" s="22"/>
      <c r="D20" s="22"/>
      <c r="E20" s="22"/>
      <c r="F20" s="22"/>
      <c r="G20" s="22"/>
      <c r="H20" s="12">
        <f t="shared" si="0"/>
        <v>44356</v>
      </c>
    </row>
    <row r="21" spans="1:8" x14ac:dyDescent="0.3">
      <c r="B21" s="6" t="s">
        <v>16</v>
      </c>
      <c r="C21" s="22">
        <v>644000</v>
      </c>
      <c r="D21" s="22">
        <v>270000</v>
      </c>
      <c r="E21" s="22"/>
      <c r="F21" s="22"/>
      <c r="G21" s="22">
        <v>540000</v>
      </c>
      <c r="H21" s="12">
        <f t="shared" si="0"/>
        <v>44356</v>
      </c>
    </row>
    <row r="22" spans="1:8" x14ac:dyDescent="0.3">
      <c r="B22" s="50" t="s">
        <v>27</v>
      </c>
      <c r="C22" s="51">
        <f>SUM(June09_2021[KSI_AGO])</f>
        <v>1600500</v>
      </c>
      <c r="D22" s="51">
        <f>SUBTOTAL(109,June09_2021[KSI_PMS])</f>
        <v>1399500</v>
      </c>
      <c r="E22" s="51">
        <f>SUM(June09_2021[BUIPE_AGO])</f>
        <v>0</v>
      </c>
      <c r="F22" s="51">
        <f>SUM(June09_2021[BUIPE_PMS])</f>
        <v>0</v>
      </c>
      <c r="G22" s="51">
        <f>SUM(June09_2021[AKOSOMBO_AGO])</f>
        <v>540000</v>
      </c>
      <c r="H22" s="52"/>
    </row>
    <row r="23" spans="1:8" x14ac:dyDescent="0.3">
      <c r="B23" s="8"/>
      <c r="C23" s="24"/>
      <c r="D23" s="24"/>
      <c r="E23" s="24"/>
      <c r="F23" s="24"/>
      <c r="G23" s="24"/>
      <c r="H23"/>
    </row>
    <row r="24" spans="1:8" x14ac:dyDescent="0.3">
      <c r="B24" s="1" t="s">
        <v>6</v>
      </c>
      <c r="C24" s="1" t="s">
        <v>4</v>
      </c>
      <c r="D24" s="5">
        <f>SUMIF(June09_2021[[#Headers],[KSI_AGO]:[AKOSOMBO_AGO]],"*"&amp;C24,June09_2021[[#Totals],[KSI_AGO]:[AKOSOMBO_AGO]])</f>
        <v>2140500</v>
      </c>
      <c r="E24" s="1" t="s">
        <v>5</v>
      </c>
      <c r="F24" s="5">
        <f>SUMIF(June09_2021[[#Headers],[KSI_AGO]:[AKOSOMBO_AGO]],"*"&amp;E24,June09_2021[[#Totals],[KSI_AGO]:[AKOSOMBO_AGO]])</f>
        <v>1399500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AAEA7958-3CEB-4454-B1E1-8F9F1BACDE6E}">
      <formula1>INDIRECT("BDC_List[BDC List]")</formula1>
    </dataValidation>
  </dataValidations>
  <pageMargins left="0.7" right="0.7" top="0.75" bottom="0.75" header="0.3" footer="0.3"/>
  <tableParts count="1">
    <tablePart r:id="rId1"/>
  </tableParts>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EF002-B85F-4A06-9BC6-A0CED80F972D}">
  <sheetPr codeName="Sheet369"/>
  <dimension ref="A1:J34"/>
  <sheetViews>
    <sheetView workbookViewId="0">
      <selection activeCell="G23" sqref="G2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44357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45"/>
      <c r="E6" s="45"/>
      <c r="F6" s="45"/>
      <c r="G6" s="45"/>
      <c r="H6" s="12">
        <f t="shared" ref="H6:H21" si="0">$G$3</f>
        <v>44357</v>
      </c>
    </row>
    <row r="7" spans="2:10" x14ac:dyDescent="0.3">
      <c r="B7" s="6" t="s">
        <v>37</v>
      </c>
      <c r="C7" s="22"/>
      <c r="D7" s="22"/>
      <c r="E7" s="22"/>
      <c r="F7" s="22"/>
      <c r="G7" s="22"/>
      <c r="H7" s="67">
        <f t="shared" si="0"/>
        <v>44357</v>
      </c>
    </row>
    <row r="8" spans="2:10" x14ac:dyDescent="0.3">
      <c r="B8" s="6" t="s">
        <v>17</v>
      </c>
      <c r="C8" s="22">
        <v>54000</v>
      </c>
      <c r="D8" s="22"/>
      <c r="E8" s="22"/>
      <c r="F8" s="22"/>
      <c r="G8" s="22"/>
      <c r="H8" s="12">
        <f t="shared" si="0"/>
        <v>44357</v>
      </c>
    </row>
    <row r="9" spans="2:10" ht="15.6" x14ac:dyDescent="0.3">
      <c r="B9" s="34" t="s">
        <v>0</v>
      </c>
      <c r="C9" s="60">
        <v>45000</v>
      </c>
      <c r="D9" s="46"/>
      <c r="E9" s="60"/>
      <c r="F9" s="46"/>
      <c r="G9" s="61"/>
      <c r="H9" s="12">
        <f t="shared" si="0"/>
        <v>44357</v>
      </c>
    </row>
    <row r="10" spans="2:10" ht="16.2" customHeight="1" x14ac:dyDescent="0.3">
      <c r="B10" s="6" t="s">
        <v>25</v>
      </c>
      <c r="C10" s="22"/>
      <c r="D10" s="22"/>
      <c r="E10" s="22"/>
      <c r="F10" s="22">
        <v>54000</v>
      </c>
      <c r="G10" s="22"/>
      <c r="H10" s="12">
        <f t="shared" si="0"/>
        <v>44357</v>
      </c>
    </row>
    <row r="11" spans="2:10" ht="13.5" customHeight="1" x14ac:dyDescent="0.3">
      <c r="B11" s="6" t="s">
        <v>15</v>
      </c>
      <c r="C11" s="22"/>
      <c r="D11" s="48"/>
      <c r="E11" s="22"/>
      <c r="F11" s="48">
        <v>162000</v>
      </c>
      <c r="G11" s="22"/>
      <c r="H11" s="12">
        <f t="shared" si="0"/>
        <v>44357</v>
      </c>
    </row>
    <row r="12" spans="2:10" x14ac:dyDescent="0.3">
      <c r="B12" s="6" t="s">
        <v>54</v>
      </c>
      <c r="C12" s="22"/>
      <c r="D12" s="22">
        <v>319500</v>
      </c>
      <c r="E12" s="22"/>
      <c r="F12" s="22"/>
      <c r="G12" s="22"/>
      <c r="H12" s="67">
        <f t="shared" si="0"/>
        <v>44357</v>
      </c>
    </row>
    <row r="13" spans="2:10" x14ac:dyDescent="0.3">
      <c r="B13" s="6" t="s">
        <v>26</v>
      </c>
      <c r="C13" s="22"/>
      <c r="D13" s="22">
        <v>162000</v>
      </c>
      <c r="E13" s="22"/>
      <c r="F13" s="22">
        <v>162000</v>
      </c>
      <c r="G13" s="22"/>
      <c r="H13" s="12">
        <f t="shared" si="0"/>
        <v>44357</v>
      </c>
    </row>
    <row r="14" spans="2:10" x14ac:dyDescent="0.3">
      <c r="B14" s="6" t="s">
        <v>22</v>
      </c>
      <c r="C14" s="23"/>
      <c r="D14" s="22"/>
      <c r="E14" s="23"/>
      <c r="F14" s="22"/>
      <c r="G14" s="23"/>
      <c r="H14" s="12">
        <f t="shared" si="0"/>
        <v>44357</v>
      </c>
      <c r="J14" s="4"/>
    </row>
    <row r="15" spans="2:10" x14ac:dyDescent="0.3">
      <c r="B15" s="6" t="s">
        <v>61</v>
      </c>
      <c r="C15" s="23"/>
      <c r="D15" s="22"/>
      <c r="E15" s="23"/>
      <c r="F15" s="22"/>
      <c r="G15" s="23"/>
      <c r="H15" s="67">
        <f t="shared" si="0"/>
        <v>44357</v>
      </c>
      <c r="J15" s="4"/>
    </row>
    <row r="16" spans="2:10" x14ac:dyDescent="0.3">
      <c r="B16" s="6" t="s">
        <v>19</v>
      </c>
      <c r="C16" s="22">
        <v>535500</v>
      </c>
      <c r="D16" s="22"/>
      <c r="E16" s="22">
        <v>45000</v>
      </c>
      <c r="F16" s="22"/>
      <c r="G16" s="22"/>
      <c r="H16" s="12">
        <f t="shared" si="0"/>
        <v>44357</v>
      </c>
    </row>
    <row r="17" spans="1:8" x14ac:dyDescent="0.3">
      <c r="B17" s="6" t="s">
        <v>14</v>
      </c>
      <c r="C17" s="22">
        <v>486000</v>
      </c>
      <c r="D17" s="22">
        <v>797000</v>
      </c>
      <c r="E17" s="22"/>
      <c r="F17" s="22"/>
      <c r="G17" s="22">
        <v>482000</v>
      </c>
      <c r="H17" s="12">
        <f t="shared" si="0"/>
        <v>44357</v>
      </c>
    </row>
    <row r="18" spans="1:8" x14ac:dyDescent="0.3">
      <c r="B18" s="6" t="s">
        <v>24</v>
      </c>
      <c r="C18" s="22"/>
      <c r="D18" s="49"/>
      <c r="E18" s="22"/>
      <c r="F18" s="49"/>
      <c r="G18" s="22"/>
      <c r="H18" s="12">
        <f t="shared" si="0"/>
        <v>44357</v>
      </c>
    </row>
    <row r="19" spans="1:8" x14ac:dyDescent="0.3">
      <c r="B19" s="6" t="s">
        <v>21</v>
      </c>
      <c r="C19" s="22"/>
      <c r="D19" s="22">
        <v>108000</v>
      </c>
      <c r="E19" s="22"/>
      <c r="F19" s="22"/>
      <c r="G19" s="22"/>
      <c r="H19" s="12">
        <f t="shared" si="0"/>
        <v>44357</v>
      </c>
    </row>
    <row r="20" spans="1:8" x14ac:dyDescent="0.3">
      <c r="B20" s="6" t="s">
        <v>18</v>
      </c>
      <c r="C20" s="22"/>
      <c r="D20" s="22"/>
      <c r="E20" s="22"/>
      <c r="F20" s="22"/>
      <c r="G20" s="22"/>
      <c r="H20" s="12">
        <f t="shared" si="0"/>
        <v>44357</v>
      </c>
    </row>
    <row r="21" spans="1:8" x14ac:dyDescent="0.3">
      <c r="B21" s="6" t="s">
        <v>16</v>
      </c>
      <c r="C21" s="22">
        <v>594000</v>
      </c>
      <c r="D21" s="22">
        <v>216000</v>
      </c>
      <c r="E21" s="22"/>
      <c r="F21" s="22">
        <v>162000</v>
      </c>
      <c r="G21" s="22">
        <v>324000</v>
      </c>
      <c r="H21" s="12">
        <f t="shared" si="0"/>
        <v>44357</v>
      </c>
    </row>
    <row r="22" spans="1:8" x14ac:dyDescent="0.3">
      <c r="B22" s="50" t="s">
        <v>27</v>
      </c>
      <c r="C22" s="51">
        <f>SUM(June10_2021[KSI_AGO])</f>
        <v>1714500</v>
      </c>
      <c r="D22" s="51">
        <f>SUBTOTAL(109,June10_2021[KSI_PMS])</f>
        <v>1602500</v>
      </c>
      <c r="E22" s="51">
        <f>SUM(June10_2021[BUIPE_AGO])</f>
        <v>45000</v>
      </c>
      <c r="F22" s="51">
        <f>SUM(June10_2021[BUIPE_PMS])</f>
        <v>540000</v>
      </c>
      <c r="G22" s="51">
        <f>SUBTOTAL(109,June10_2021[AKOSOMBO_AGO])</f>
        <v>806000</v>
      </c>
      <c r="H22" s="52"/>
    </row>
    <row r="23" spans="1:8" x14ac:dyDescent="0.3">
      <c r="B23" s="8"/>
      <c r="C23" s="24"/>
      <c r="D23" s="24"/>
      <c r="E23" s="24"/>
      <c r="F23" s="24"/>
      <c r="G23" s="24"/>
      <c r="H23"/>
    </row>
    <row r="24" spans="1:8" x14ac:dyDescent="0.3">
      <c r="B24" s="1" t="s">
        <v>6</v>
      </c>
      <c r="C24" s="1" t="s">
        <v>4</v>
      </c>
      <c r="D24" s="5">
        <f>SUMIF(June10_2021[[#Headers],[KSI_AGO]:[AKOSOMBO_AGO]],"*"&amp;C24,June10_2021[[#Totals],[KSI_AGO]:[AKOSOMBO_AGO]])</f>
        <v>2565500</v>
      </c>
      <c r="E24" s="1" t="s">
        <v>5</v>
      </c>
      <c r="F24" s="5">
        <f>SUMIF(June10_2021[[#Headers],[KSI_AGO]:[AKOSOMBO_AGO]],"*"&amp;E24,June10_2021[[#Totals],[KSI_AGO]:[AKOSOMBO_AGO]])</f>
        <v>2142500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61E1F79F-A2A5-4491-ADFA-5499AC53F0E6}">
      <formula1>INDIRECT("BDC_List[BDC List]")</formula1>
    </dataValidation>
  </dataValidations>
  <pageMargins left="0.7" right="0.7" top="0.75" bottom="0.75" header="0.3" footer="0.3"/>
  <tableParts count="1">
    <tablePart r:id="rId1"/>
  </tableParts>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A79E-1634-4F1B-B214-4FB4BCEFF4C7}">
  <sheetPr codeName="Sheet370"/>
  <dimension ref="A1:J34"/>
  <sheetViews>
    <sheetView topLeftCell="D1" workbookViewId="0">
      <selection activeCell="F15" sqref="F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44358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45"/>
      <c r="E6" s="45"/>
      <c r="F6" s="45"/>
      <c r="G6" s="45"/>
      <c r="H6" s="12">
        <f t="shared" ref="H6:H21" si="0">$G$3</f>
        <v>44358</v>
      </c>
    </row>
    <row r="7" spans="2:10" x14ac:dyDescent="0.3">
      <c r="B7" s="6" t="s">
        <v>37</v>
      </c>
      <c r="C7" s="22"/>
      <c r="D7" s="22"/>
      <c r="E7" s="22"/>
      <c r="F7" s="22"/>
      <c r="G7" s="22"/>
      <c r="H7" s="67">
        <f t="shared" si="0"/>
        <v>44358</v>
      </c>
    </row>
    <row r="8" spans="2:10" x14ac:dyDescent="0.3">
      <c r="B8" s="6" t="s">
        <v>17</v>
      </c>
      <c r="C8" s="22">
        <v>45000</v>
      </c>
      <c r="D8" s="22"/>
      <c r="E8" s="22"/>
      <c r="F8" s="22">
        <v>162000</v>
      </c>
      <c r="G8" s="22"/>
      <c r="H8" s="12">
        <f t="shared" si="0"/>
        <v>44358</v>
      </c>
    </row>
    <row r="9" spans="2:10" ht="15.6" x14ac:dyDescent="0.3">
      <c r="B9" s="34" t="s">
        <v>0</v>
      </c>
      <c r="C9" s="60"/>
      <c r="D9" s="46"/>
      <c r="E9" s="60"/>
      <c r="F9" s="46"/>
      <c r="G9" s="61"/>
      <c r="H9" s="12">
        <f t="shared" si="0"/>
        <v>44358</v>
      </c>
    </row>
    <row r="10" spans="2:10" ht="16.2" customHeight="1" x14ac:dyDescent="0.3">
      <c r="B10" s="6" t="s">
        <v>25</v>
      </c>
      <c r="C10" s="22"/>
      <c r="D10" s="22"/>
      <c r="E10" s="22"/>
      <c r="F10" s="22"/>
      <c r="G10" s="22"/>
      <c r="H10" s="12">
        <f t="shared" si="0"/>
        <v>44358</v>
      </c>
    </row>
    <row r="11" spans="2:10" ht="13.5" customHeight="1" x14ac:dyDescent="0.3">
      <c r="B11" s="6" t="s">
        <v>15</v>
      </c>
      <c r="C11" s="22"/>
      <c r="D11" s="48"/>
      <c r="E11" s="22"/>
      <c r="F11" s="48">
        <v>108000</v>
      </c>
      <c r="G11" s="22"/>
      <c r="H11" s="12">
        <f t="shared" si="0"/>
        <v>44358</v>
      </c>
    </row>
    <row r="12" spans="2:10" x14ac:dyDescent="0.3">
      <c r="B12" s="6" t="s">
        <v>54</v>
      </c>
      <c r="C12" s="22"/>
      <c r="D12" s="22">
        <v>270000</v>
      </c>
      <c r="E12" s="22"/>
      <c r="F12" s="22"/>
      <c r="G12" s="22"/>
      <c r="H12" s="67">
        <f t="shared" si="0"/>
        <v>44358</v>
      </c>
    </row>
    <row r="13" spans="2:10" x14ac:dyDescent="0.3">
      <c r="B13" s="6" t="s">
        <v>26</v>
      </c>
      <c r="C13" s="22"/>
      <c r="D13" s="22"/>
      <c r="E13" s="22"/>
      <c r="F13" s="22">
        <v>216000</v>
      </c>
      <c r="G13" s="22"/>
      <c r="H13" s="12">
        <f t="shared" si="0"/>
        <v>44358</v>
      </c>
    </row>
    <row r="14" spans="2:10" x14ac:dyDescent="0.3">
      <c r="B14" s="6" t="s">
        <v>22</v>
      </c>
      <c r="C14" s="23"/>
      <c r="D14" s="22"/>
      <c r="E14" s="23"/>
      <c r="F14" s="22"/>
      <c r="G14" s="23"/>
      <c r="H14" s="12">
        <f t="shared" si="0"/>
        <v>44358</v>
      </c>
      <c r="J14" s="4"/>
    </row>
    <row r="15" spans="2:10" x14ac:dyDescent="0.3">
      <c r="B15" s="6" t="s">
        <v>61</v>
      </c>
      <c r="C15" s="23"/>
      <c r="D15" s="22"/>
      <c r="E15" s="23"/>
      <c r="F15" s="22"/>
      <c r="G15" s="23"/>
      <c r="H15" s="75">
        <f t="shared" si="0"/>
        <v>44358</v>
      </c>
      <c r="J15" s="4"/>
    </row>
    <row r="16" spans="2:10" x14ac:dyDescent="0.3">
      <c r="B16" s="6" t="s">
        <v>19</v>
      </c>
      <c r="C16" s="22">
        <v>427500</v>
      </c>
      <c r="D16" s="22"/>
      <c r="E16" s="22"/>
      <c r="F16" s="22"/>
      <c r="G16" s="22"/>
      <c r="H16" s="12">
        <f t="shared" si="0"/>
        <v>44358</v>
      </c>
    </row>
    <row r="17" spans="1:8" x14ac:dyDescent="0.3">
      <c r="B17" s="6" t="s">
        <v>14</v>
      </c>
      <c r="C17" s="22">
        <v>775000</v>
      </c>
      <c r="D17" s="22">
        <v>306000</v>
      </c>
      <c r="E17" s="22"/>
      <c r="F17" s="22"/>
      <c r="G17" s="22">
        <v>324000</v>
      </c>
      <c r="H17" s="12">
        <f t="shared" si="0"/>
        <v>44358</v>
      </c>
    </row>
    <row r="18" spans="1:8" x14ac:dyDescent="0.3">
      <c r="B18" s="6" t="s">
        <v>24</v>
      </c>
      <c r="C18" s="22"/>
      <c r="D18" s="49"/>
      <c r="E18" s="22"/>
      <c r="F18" s="49"/>
      <c r="G18" s="22"/>
      <c r="H18" s="12">
        <f t="shared" si="0"/>
        <v>44358</v>
      </c>
    </row>
    <row r="19" spans="1:8" x14ac:dyDescent="0.3">
      <c r="B19" s="6" t="s">
        <v>21</v>
      </c>
      <c r="C19" s="22"/>
      <c r="D19" s="22">
        <v>270000</v>
      </c>
      <c r="E19" s="22"/>
      <c r="F19" s="22"/>
      <c r="G19" s="22"/>
      <c r="H19" s="12">
        <f t="shared" si="0"/>
        <v>44358</v>
      </c>
    </row>
    <row r="20" spans="1:8" x14ac:dyDescent="0.3">
      <c r="B20" s="6" t="s">
        <v>18</v>
      </c>
      <c r="C20" s="22"/>
      <c r="D20" s="22"/>
      <c r="E20" s="22"/>
      <c r="F20" s="22"/>
      <c r="G20" s="22"/>
      <c r="H20" s="12">
        <f t="shared" si="0"/>
        <v>44358</v>
      </c>
    </row>
    <row r="21" spans="1:8" x14ac:dyDescent="0.3">
      <c r="B21" s="6" t="s">
        <v>16</v>
      </c>
      <c r="C21" s="22">
        <v>590000</v>
      </c>
      <c r="D21" s="22">
        <v>162000</v>
      </c>
      <c r="E21" s="22"/>
      <c r="F21" s="22">
        <v>108000</v>
      </c>
      <c r="G21" s="22">
        <v>486000</v>
      </c>
      <c r="H21" s="12">
        <f t="shared" si="0"/>
        <v>44358</v>
      </c>
    </row>
    <row r="22" spans="1:8" x14ac:dyDescent="0.3">
      <c r="B22" s="50" t="s">
        <v>27</v>
      </c>
      <c r="C22" s="51">
        <f>SUM(June11_2021[KSI_AGO])</f>
        <v>1837500</v>
      </c>
      <c r="D22" s="51">
        <f>SUBTOTAL(109,June11_2021[KSI_PMS])</f>
        <v>1008000</v>
      </c>
      <c r="E22" s="51">
        <f>SUM(June11_2021[BUIPE_AGO])</f>
        <v>0</v>
      </c>
      <c r="F22" s="51">
        <f>SUM(June11_2021[BUIPE_PMS])</f>
        <v>594000</v>
      </c>
      <c r="G22" s="51">
        <f>SUM(June11_2021[AKOSOMBO_AGO])</f>
        <v>810000</v>
      </c>
      <c r="H22" s="52"/>
    </row>
    <row r="23" spans="1:8" x14ac:dyDescent="0.3">
      <c r="B23" s="8"/>
      <c r="C23" s="24"/>
      <c r="D23" s="24"/>
      <c r="E23" s="24"/>
      <c r="F23" s="24"/>
      <c r="G23" s="24"/>
      <c r="H23"/>
    </row>
    <row r="24" spans="1:8" x14ac:dyDescent="0.3">
      <c r="B24" s="1" t="s">
        <v>6</v>
      </c>
      <c r="C24" s="1" t="s">
        <v>4</v>
      </c>
      <c r="D24" s="5">
        <f>SUMIF(June11_2021[[#Headers],[KSI_AGO]:[AKOSOMBO_AGO]],"*"&amp;C24,June11_2021[[#Totals],[KSI_AGO]:[AKOSOMBO_AGO]])</f>
        <v>2647500</v>
      </c>
      <c r="E24" s="1" t="s">
        <v>5</v>
      </c>
      <c r="F24" s="5">
        <f>SUMIF(June11_2021[[#Headers],[KSI_AGO]:[AKOSOMBO_AGO]],"*"&amp;E24,June11_2021[[#Totals],[KSI_AGO]:[AKOSOMBO_AGO]])</f>
        <v>1602000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B208711-9967-455A-954B-BA913687CE32}">
      <formula1>INDIRECT("BDC_List[BDC List]")</formula1>
    </dataValidation>
  </dataValidations>
  <pageMargins left="0.7" right="0.7" top="0.75" bottom="0.75" header="0.3" footer="0.3"/>
  <tableParts count="1">
    <tablePart r:id="rId1"/>
  </tableParts>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0203-D8AE-4245-BD75-79803F8E44E1}">
  <sheetPr codeName="Sheet371"/>
  <dimension ref="A1:J34"/>
  <sheetViews>
    <sheetView workbookViewId="0">
      <selection activeCell="C16" sqref="C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44361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45"/>
      <c r="E6" s="45"/>
      <c r="F6" s="45"/>
      <c r="G6" s="45"/>
      <c r="H6" s="12">
        <f t="shared" ref="H6:H21" si="0">$G$3</f>
        <v>44361</v>
      </c>
    </row>
    <row r="7" spans="2:10" x14ac:dyDescent="0.3">
      <c r="B7" s="6" t="s">
        <v>37</v>
      </c>
      <c r="C7" s="22"/>
      <c r="D7" s="22"/>
      <c r="E7" s="22"/>
      <c r="F7" s="22"/>
      <c r="G7" s="22"/>
      <c r="H7" s="67">
        <f t="shared" si="0"/>
        <v>44361</v>
      </c>
    </row>
    <row r="8" spans="2:10" x14ac:dyDescent="0.3">
      <c r="B8" s="6" t="s">
        <v>17</v>
      </c>
      <c r="C8" s="22"/>
      <c r="D8" s="22"/>
      <c r="E8" s="22"/>
      <c r="F8" s="22">
        <v>216000</v>
      </c>
      <c r="G8" s="22">
        <v>216000</v>
      </c>
      <c r="H8" s="12">
        <f t="shared" si="0"/>
        <v>44361</v>
      </c>
    </row>
    <row r="9" spans="2:10" ht="15.6" x14ac:dyDescent="0.3">
      <c r="B9" s="34" t="s">
        <v>0</v>
      </c>
      <c r="C9" s="60"/>
      <c r="D9" s="46"/>
      <c r="E9" s="60"/>
      <c r="F9" s="46"/>
      <c r="G9" s="61"/>
      <c r="H9" s="12">
        <f t="shared" si="0"/>
        <v>44361</v>
      </c>
    </row>
    <row r="10" spans="2:10" ht="16.2" customHeight="1" x14ac:dyDescent="0.3">
      <c r="B10" s="6" t="s">
        <v>25</v>
      </c>
      <c r="C10" s="22"/>
      <c r="D10" s="22"/>
      <c r="E10" s="22"/>
      <c r="F10" s="22"/>
      <c r="G10" s="22"/>
      <c r="H10" s="12">
        <f t="shared" si="0"/>
        <v>44361</v>
      </c>
    </row>
    <row r="11" spans="2:10" ht="13.5" customHeight="1" x14ac:dyDescent="0.3">
      <c r="B11" s="6" t="s">
        <v>15</v>
      </c>
      <c r="C11" s="22"/>
      <c r="D11" s="48"/>
      <c r="E11" s="22"/>
      <c r="F11" s="48">
        <v>216000</v>
      </c>
      <c r="G11" s="22"/>
      <c r="H11" s="12">
        <f t="shared" si="0"/>
        <v>44361</v>
      </c>
    </row>
    <row r="12" spans="2:10" x14ac:dyDescent="0.3">
      <c r="B12" s="6" t="s">
        <v>54</v>
      </c>
      <c r="C12" s="22"/>
      <c r="D12" s="22">
        <v>324000</v>
      </c>
      <c r="E12" s="22"/>
      <c r="F12" s="22"/>
      <c r="G12" s="22"/>
      <c r="H12" s="67">
        <f t="shared" si="0"/>
        <v>44361</v>
      </c>
    </row>
    <row r="13" spans="2:10" x14ac:dyDescent="0.3">
      <c r="B13" s="6" t="s">
        <v>26</v>
      </c>
      <c r="C13" s="22"/>
      <c r="D13" s="22"/>
      <c r="E13" s="22"/>
      <c r="F13" s="22">
        <v>103500</v>
      </c>
      <c r="G13" s="22"/>
      <c r="H13" s="12">
        <f t="shared" si="0"/>
        <v>44361</v>
      </c>
    </row>
    <row r="14" spans="2:10" x14ac:dyDescent="0.3">
      <c r="B14" s="6" t="s">
        <v>22</v>
      </c>
      <c r="C14" s="23"/>
      <c r="D14" s="22"/>
      <c r="E14" s="23"/>
      <c r="F14" s="22"/>
      <c r="G14" s="23"/>
      <c r="H14" s="12">
        <f t="shared" si="0"/>
        <v>44361</v>
      </c>
      <c r="J14" s="4"/>
    </row>
    <row r="15" spans="2:10" x14ac:dyDescent="0.3">
      <c r="B15" s="6" t="s">
        <v>61</v>
      </c>
      <c r="C15" s="23"/>
      <c r="D15" s="22"/>
      <c r="E15" s="23"/>
      <c r="F15" s="22"/>
      <c r="G15" s="23"/>
      <c r="H15" s="75">
        <f t="shared" si="0"/>
        <v>44361</v>
      </c>
      <c r="J15" s="4"/>
    </row>
    <row r="16" spans="2:10" x14ac:dyDescent="0.3">
      <c r="B16" s="6" t="s">
        <v>19</v>
      </c>
      <c r="C16" s="22">
        <v>108000</v>
      </c>
      <c r="D16" s="22"/>
      <c r="E16" s="22"/>
      <c r="F16" s="22"/>
      <c r="G16" s="22"/>
      <c r="H16" s="12">
        <f t="shared" si="0"/>
        <v>44361</v>
      </c>
    </row>
    <row r="17" spans="1:8" x14ac:dyDescent="0.3">
      <c r="B17" s="6" t="s">
        <v>14</v>
      </c>
      <c r="C17" s="22">
        <v>1125000</v>
      </c>
      <c r="D17" s="22">
        <v>477000</v>
      </c>
      <c r="E17" s="22"/>
      <c r="F17" s="22"/>
      <c r="G17" s="22">
        <v>90000</v>
      </c>
      <c r="H17" s="12">
        <f t="shared" si="0"/>
        <v>44361</v>
      </c>
    </row>
    <row r="18" spans="1:8" x14ac:dyDescent="0.3">
      <c r="B18" s="6" t="s">
        <v>24</v>
      </c>
      <c r="C18" s="22"/>
      <c r="D18" s="49"/>
      <c r="E18" s="22"/>
      <c r="F18" s="49"/>
      <c r="G18" s="22"/>
      <c r="H18" s="12">
        <f t="shared" si="0"/>
        <v>44361</v>
      </c>
    </row>
    <row r="19" spans="1:8" x14ac:dyDescent="0.3">
      <c r="B19" s="6" t="s">
        <v>21</v>
      </c>
      <c r="C19" s="22"/>
      <c r="D19" s="22">
        <v>261000</v>
      </c>
      <c r="E19" s="22"/>
      <c r="F19" s="22"/>
      <c r="G19" s="22"/>
      <c r="H19" s="12">
        <f t="shared" si="0"/>
        <v>44361</v>
      </c>
    </row>
    <row r="20" spans="1:8" x14ac:dyDescent="0.3">
      <c r="B20" s="6" t="s">
        <v>18</v>
      </c>
      <c r="C20" s="22"/>
      <c r="D20" s="22"/>
      <c r="E20" s="22"/>
      <c r="F20" s="22"/>
      <c r="G20" s="22"/>
      <c r="H20" s="12">
        <f t="shared" si="0"/>
        <v>44361</v>
      </c>
    </row>
    <row r="21" spans="1:8" x14ac:dyDescent="0.3">
      <c r="B21" s="6" t="s">
        <v>16</v>
      </c>
      <c r="C21" s="22">
        <v>108000</v>
      </c>
      <c r="D21" s="22"/>
      <c r="E21" s="22"/>
      <c r="F21" s="22">
        <v>162000</v>
      </c>
      <c r="G21" s="22">
        <v>216000</v>
      </c>
      <c r="H21" s="12">
        <f t="shared" si="0"/>
        <v>44361</v>
      </c>
    </row>
    <row r="22" spans="1:8" x14ac:dyDescent="0.3">
      <c r="B22" s="50" t="s">
        <v>27</v>
      </c>
      <c r="C22" s="51">
        <f>SUM(June14_2021[KSI_AGO])</f>
        <v>1341000</v>
      </c>
      <c r="D22" s="51">
        <f>SUBTOTAL(109,June14_2021[KSI_PMS])</f>
        <v>1062000</v>
      </c>
      <c r="E22" s="51">
        <f>SUM(June14_2021[BUIPE_AGO])</f>
        <v>0</v>
      </c>
      <c r="F22" s="51">
        <f>SUM(June14_2021[BUIPE_PMS])</f>
        <v>697500</v>
      </c>
      <c r="G22" s="51">
        <f>SUM(June14_2021[AKOSOMBO_AGO])</f>
        <v>522000</v>
      </c>
      <c r="H22" s="52"/>
    </row>
    <row r="23" spans="1:8" x14ac:dyDescent="0.3">
      <c r="B23" s="8"/>
      <c r="C23" s="24"/>
      <c r="D23" s="24"/>
      <c r="E23" s="24"/>
      <c r="F23" s="24"/>
      <c r="G23" s="24"/>
      <c r="H23"/>
    </row>
    <row r="24" spans="1:8" x14ac:dyDescent="0.3">
      <c r="B24" s="1" t="s">
        <v>6</v>
      </c>
      <c r="C24" s="1" t="s">
        <v>4</v>
      </c>
      <c r="D24" s="5">
        <f>SUMIF(June14_2021[[#Headers],[KSI_AGO]:[AKOSOMBO_AGO]],"*"&amp;C24,June14_2021[[#Totals],[KSI_AGO]:[AKOSOMBO_AGO]])</f>
        <v>1863000</v>
      </c>
      <c r="E24" s="1" t="s">
        <v>5</v>
      </c>
      <c r="F24" s="5">
        <f>SUMIF(June14_2021[[#Headers],[KSI_AGO]:[AKOSOMBO_AGO]],"*"&amp;E24,June14_2021[[#Totals],[KSI_AGO]:[AKOSOMBO_AGO]])</f>
        <v>1759500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B47BF408-124B-4F8F-B2C6-4B908506230A}">
      <formula1>INDIRECT("BDC_List[BDC List]")</formula1>
    </dataValidation>
  </dataValidations>
  <pageMargins left="0.7" right="0.7" top="0.75" bottom="0.75" header="0.3" footer="0.3"/>
  <tableParts count="1">
    <tablePart r:id="rId1"/>
  </tableParts>
</worksheet>
</file>

<file path=xl/worksheets/sheet3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0CEC-A467-4FB1-A60C-A37CF0D17156}">
  <sheetPr codeName="Sheet372"/>
  <dimension ref="A1:J34"/>
  <sheetViews>
    <sheetView workbookViewId="0">
      <selection activeCell="C13" sqref="C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44362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44362</v>
      </c>
    </row>
    <row r="7" spans="2:10" x14ac:dyDescent="0.3">
      <c r="B7" s="6" t="s">
        <v>37</v>
      </c>
      <c r="C7" s="49"/>
      <c r="D7" s="22"/>
      <c r="E7" s="22"/>
      <c r="F7" s="22"/>
      <c r="G7" s="22"/>
      <c r="H7" s="67">
        <f t="shared" si="0"/>
        <v>44362</v>
      </c>
    </row>
    <row r="8" spans="2:10" x14ac:dyDescent="0.3">
      <c r="B8" s="6" t="s">
        <v>17</v>
      </c>
      <c r="C8" s="22"/>
      <c r="D8" s="22"/>
      <c r="E8" s="22">
        <v>748000</v>
      </c>
      <c r="F8" s="22"/>
      <c r="G8" s="22">
        <v>644000</v>
      </c>
      <c r="H8" s="12">
        <f t="shared" si="0"/>
        <v>44362</v>
      </c>
    </row>
    <row r="9" spans="2:10" ht="15.6" x14ac:dyDescent="0.3">
      <c r="B9" s="34" t="s">
        <v>0</v>
      </c>
      <c r="C9" s="60"/>
      <c r="D9" s="46"/>
      <c r="E9" s="60"/>
      <c r="F9" s="46"/>
      <c r="G9" s="61"/>
      <c r="H9" s="12">
        <f t="shared" si="0"/>
        <v>44362</v>
      </c>
    </row>
    <row r="10" spans="2:10" ht="16.2" customHeight="1" x14ac:dyDescent="0.3">
      <c r="B10" s="6" t="s">
        <v>25</v>
      </c>
      <c r="C10" s="22"/>
      <c r="D10" s="22"/>
      <c r="E10" s="22"/>
      <c r="F10" s="22"/>
      <c r="G10" s="22"/>
      <c r="H10" s="12">
        <f t="shared" si="0"/>
        <v>44362</v>
      </c>
    </row>
    <row r="11" spans="2:10" ht="13.5" customHeight="1" x14ac:dyDescent="0.3">
      <c r="B11" s="6" t="s">
        <v>15</v>
      </c>
      <c r="C11" s="22"/>
      <c r="D11" s="48"/>
      <c r="E11" s="22"/>
      <c r="F11" s="48"/>
      <c r="G11" s="22"/>
      <c r="H11" s="12">
        <f t="shared" si="0"/>
        <v>44362</v>
      </c>
    </row>
    <row r="12" spans="2:10" x14ac:dyDescent="0.3">
      <c r="B12" s="6" t="s">
        <v>54</v>
      </c>
      <c r="C12" s="22"/>
      <c r="D12" s="22">
        <v>158000</v>
      </c>
      <c r="E12" s="22"/>
      <c r="F12" s="22"/>
      <c r="G12" s="22"/>
      <c r="H12" s="67">
        <f t="shared" si="0"/>
        <v>44362</v>
      </c>
    </row>
    <row r="13" spans="2:10" x14ac:dyDescent="0.3">
      <c r="B13" s="6" t="s">
        <v>26</v>
      </c>
      <c r="C13" s="22"/>
      <c r="D13" s="22"/>
      <c r="E13" s="22"/>
      <c r="F13" s="22"/>
      <c r="G13" s="22"/>
      <c r="H13" s="12">
        <f t="shared" si="0"/>
        <v>44362</v>
      </c>
    </row>
    <row r="14" spans="2:10" x14ac:dyDescent="0.3">
      <c r="B14" s="6" t="s">
        <v>22</v>
      </c>
      <c r="C14" s="23"/>
      <c r="D14" s="22"/>
      <c r="E14" s="23"/>
      <c r="F14" s="22"/>
      <c r="G14" s="23"/>
      <c r="H14" s="12">
        <f t="shared" si="0"/>
        <v>44362</v>
      </c>
      <c r="J14" s="4"/>
    </row>
    <row r="15" spans="2:10" x14ac:dyDescent="0.3">
      <c r="B15" s="6" t="s">
        <v>61</v>
      </c>
      <c r="C15" s="23"/>
      <c r="D15" s="22"/>
      <c r="E15" s="23"/>
      <c r="F15" s="22"/>
      <c r="G15" s="23"/>
      <c r="H15" s="75">
        <f t="shared" si="0"/>
        <v>44362</v>
      </c>
      <c r="J15" s="4"/>
    </row>
    <row r="16" spans="2:10" x14ac:dyDescent="0.3">
      <c r="B16" s="6" t="s">
        <v>19</v>
      </c>
      <c r="C16" s="22"/>
      <c r="D16" s="22">
        <v>702000</v>
      </c>
      <c r="E16" s="22">
        <v>54000</v>
      </c>
      <c r="F16" s="22"/>
      <c r="G16" s="22"/>
      <c r="H16" s="12">
        <f t="shared" si="0"/>
        <v>44362</v>
      </c>
    </row>
    <row r="17" spans="1:8" x14ac:dyDescent="0.3">
      <c r="B17" s="6" t="s">
        <v>14</v>
      </c>
      <c r="C17" s="22">
        <v>54000</v>
      </c>
      <c r="D17" s="22"/>
      <c r="E17" s="22"/>
      <c r="F17" s="22"/>
      <c r="G17" s="22">
        <v>104000</v>
      </c>
      <c r="H17" s="12">
        <f t="shared" si="0"/>
        <v>44362</v>
      </c>
    </row>
    <row r="18" spans="1:8" x14ac:dyDescent="0.3">
      <c r="B18" s="6" t="s">
        <v>24</v>
      </c>
      <c r="C18" s="22"/>
      <c r="D18" s="49"/>
      <c r="E18" s="22"/>
      <c r="F18" s="49"/>
      <c r="G18" s="22"/>
      <c r="H18" s="12">
        <f t="shared" si="0"/>
        <v>44362</v>
      </c>
    </row>
    <row r="19" spans="1:8" x14ac:dyDescent="0.3">
      <c r="B19" s="6" t="s">
        <v>21</v>
      </c>
      <c r="C19" s="22"/>
      <c r="D19" s="22"/>
      <c r="E19" s="22"/>
      <c r="F19" s="22"/>
      <c r="G19" s="22"/>
      <c r="H19" s="12">
        <f t="shared" si="0"/>
        <v>44362</v>
      </c>
    </row>
    <row r="20" spans="1:8" x14ac:dyDescent="0.3">
      <c r="B20" s="6" t="s">
        <v>18</v>
      </c>
      <c r="C20" s="22"/>
      <c r="D20" s="22"/>
      <c r="E20" s="22"/>
      <c r="F20" s="22"/>
      <c r="G20" s="22"/>
      <c r="H20" s="12">
        <f t="shared" si="0"/>
        <v>44362</v>
      </c>
    </row>
    <row r="21" spans="1:8" x14ac:dyDescent="0.3">
      <c r="B21" s="6" t="s">
        <v>16</v>
      </c>
      <c r="C21" s="22"/>
      <c r="D21" s="22"/>
      <c r="E21" s="22"/>
      <c r="F21" s="22"/>
      <c r="G21" s="22">
        <v>45000</v>
      </c>
      <c r="H21" s="12">
        <f t="shared" si="0"/>
        <v>44362</v>
      </c>
    </row>
    <row r="22" spans="1:8" x14ac:dyDescent="0.3">
      <c r="B22" s="50" t="s">
        <v>27</v>
      </c>
      <c r="C22" s="51">
        <f>SUM(June15_2021[KSI_AGO])</f>
        <v>54000</v>
      </c>
      <c r="D22" s="51">
        <f>SUBTOTAL(109,June15_2021[KSI_PMS])</f>
        <v>860000</v>
      </c>
      <c r="E22" s="51">
        <f>SUM(June15_2021[BUIPE_AGO])</f>
        <v>802000</v>
      </c>
      <c r="F22" s="51">
        <f>SUM(June15_2021[BUIPE_PMS])</f>
        <v>0</v>
      </c>
      <c r="G22" s="51">
        <f>SUM(June15_2021[AKOSOMBO_AGO])</f>
        <v>793000</v>
      </c>
      <c r="H22" s="52"/>
    </row>
    <row r="23" spans="1:8" x14ac:dyDescent="0.3">
      <c r="B23" s="8"/>
      <c r="C23" s="24"/>
      <c r="D23" s="24"/>
      <c r="E23" s="24"/>
      <c r="F23" s="24"/>
      <c r="G23" s="24"/>
      <c r="H23"/>
    </row>
    <row r="24" spans="1:8" x14ac:dyDescent="0.3">
      <c r="B24" s="1" t="s">
        <v>6</v>
      </c>
      <c r="C24" s="1" t="s">
        <v>4</v>
      </c>
      <c r="D24" s="5">
        <f>SUMIF(June15_2021[[#Headers],[KSI_AGO]:[AKOSOMBO_AGO]],"*"&amp;C24,June15_2021[[#Totals],[KSI_AGO]:[AKOSOMBO_AGO]])</f>
        <v>1649000</v>
      </c>
      <c r="E24" s="1" t="s">
        <v>5</v>
      </c>
      <c r="F24" s="5">
        <f>SUMIF(June15_2021[[#Headers],[KSI_AGO]:[AKOSOMBO_AGO]],"*"&amp;E24,June15_2021[[#Totals],[KSI_AGO]:[AKOSOMBO_AGO]])</f>
        <v>860000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DD599B53-5B82-45CF-B385-65C37AE64E8A}">
      <formula1>INDIRECT("BDC_List[BDC List]")</formula1>
    </dataValidation>
  </dataValidations>
  <pageMargins left="0.7" right="0.7" top="0.75" bottom="0.75" header="0.3" footer="0.3"/>
  <legacyDrawing r:id="rId1"/>
  <tableParts count="1">
    <tablePart r:id="rId2"/>
  </tableParts>
</worksheet>
</file>

<file path=xl/worksheets/sheet3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BA20C-63C2-4A13-A246-0AF26920B039}">
  <sheetPr codeName="Sheet373"/>
  <dimension ref="A1:J34"/>
  <sheetViews>
    <sheetView workbookViewId="0">
      <selection activeCell="G14" sqref="G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44363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44363</v>
      </c>
    </row>
    <row r="7" spans="2:10" x14ac:dyDescent="0.3">
      <c r="B7" s="6" t="s">
        <v>37</v>
      </c>
      <c r="C7" s="49"/>
      <c r="D7" s="22">
        <v>54000</v>
      </c>
      <c r="E7" s="22"/>
      <c r="F7" s="22"/>
      <c r="G7" s="22"/>
      <c r="H7" s="67">
        <f t="shared" si="0"/>
        <v>44363</v>
      </c>
    </row>
    <row r="8" spans="2:10" x14ac:dyDescent="0.3">
      <c r="B8" s="6" t="s">
        <v>17</v>
      </c>
      <c r="C8" s="22">
        <v>265500</v>
      </c>
      <c r="D8" s="22">
        <v>162000</v>
      </c>
      <c r="E8" s="22">
        <v>108000</v>
      </c>
      <c r="F8" s="22"/>
      <c r="G8" s="22">
        <v>432000</v>
      </c>
      <c r="H8" s="12">
        <f t="shared" si="0"/>
        <v>44363</v>
      </c>
    </row>
    <row r="9" spans="2:10" ht="15.6" x14ac:dyDescent="0.3">
      <c r="B9" s="34" t="s">
        <v>0</v>
      </c>
      <c r="C9" s="60"/>
      <c r="D9" s="46"/>
      <c r="E9" s="60"/>
      <c r="F9" s="46"/>
      <c r="G9" s="61"/>
      <c r="H9" s="12">
        <f t="shared" si="0"/>
        <v>44363</v>
      </c>
    </row>
    <row r="10" spans="2:10" ht="16.2" customHeight="1" x14ac:dyDescent="0.3">
      <c r="B10" s="6" t="s">
        <v>25</v>
      </c>
      <c r="C10" s="22">
        <v>216000</v>
      </c>
      <c r="D10" s="22"/>
      <c r="E10" s="22">
        <v>905000</v>
      </c>
      <c r="F10" s="22"/>
      <c r="G10" s="22"/>
      <c r="H10" s="12">
        <f t="shared" si="0"/>
        <v>44363</v>
      </c>
    </row>
    <row r="11" spans="2:10" ht="13.5" customHeight="1" x14ac:dyDescent="0.3">
      <c r="B11" s="6" t="s">
        <v>15</v>
      </c>
      <c r="C11" s="22"/>
      <c r="D11" s="48"/>
      <c r="E11" s="22"/>
      <c r="F11" s="48"/>
      <c r="G11" s="22"/>
      <c r="H11" s="12">
        <f t="shared" si="0"/>
        <v>44363</v>
      </c>
    </row>
    <row r="12" spans="2:10" x14ac:dyDescent="0.3">
      <c r="B12" s="6" t="s">
        <v>54</v>
      </c>
      <c r="C12" s="22"/>
      <c r="D12" s="22">
        <v>103500</v>
      </c>
      <c r="E12" s="22"/>
      <c r="F12" s="22"/>
      <c r="G12" s="22"/>
      <c r="H12" s="67">
        <f t="shared" si="0"/>
        <v>44363</v>
      </c>
    </row>
    <row r="13" spans="2:10" x14ac:dyDescent="0.3">
      <c r="B13" s="6" t="s">
        <v>26</v>
      </c>
      <c r="C13" s="22">
        <v>54000</v>
      </c>
      <c r="D13" s="22">
        <v>54000</v>
      </c>
      <c r="E13" s="22"/>
      <c r="F13" s="22"/>
      <c r="G13" s="22"/>
      <c r="H13" s="12">
        <f t="shared" si="0"/>
        <v>44363</v>
      </c>
    </row>
    <row r="14" spans="2:10" x14ac:dyDescent="0.3">
      <c r="B14" s="6" t="s">
        <v>22</v>
      </c>
      <c r="C14" s="23"/>
      <c r="D14" s="22"/>
      <c r="E14" s="23"/>
      <c r="F14" s="22"/>
      <c r="G14" s="23"/>
      <c r="H14" s="12">
        <f t="shared" si="0"/>
        <v>44363</v>
      </c>
      <c r="J14" s="4"/>
    </row>
    <row r="15" spans="2:10" x14ac:dyDescent="0.3">
      <c r="B15" s="6" t="s">
        <v>61</v>
      </c>
      <c r="C15" s="23"/>
      <c r="D15" s="22"/>
      <c r="E15" s="23"/>
      <c r="F15" s="22"/>
      <c r="G15" s="23"/>
      <c r="H15" s="75">
        <f t="shared" si="0"/>
        <v>44363</v>
      </c>
      <c r="J15" s="4"/>
    </row>
    <row r="16" spans="2:10" x14ac:dyDescent="0.3">
      <c r="B16" s="6" t="s">
        <v>19</v>
      </c>
      <c r="C16" s="22">
        <v>193500</v>
      </c>
      <c r="D16" s="22">
        <v>54000</v>
      </c>
      <c r="E16" s="22"/>
      <c r="F16" s="22"/>
      <c r="G16" s="22"/>
      <c r="H16" s="12">
        <f t="shared" si="0"/>
        <v>44363</v>
      </c>
    </row>
    <row r="17" spans="1:8" x14ac:dyDescent="0.3">
      <c r="B17" s="6" t="s">
        <v>14</v>
      </c>
      <c r="C17" s="22">
        <v>211500</v>
      </c>
      <c r="D17" s="22">
        <v>103500</v>
      </c>
      <c r="E17" s="22"/>
      <c r="F17" s="22"/>
      <c r="G17" s="22"/>
      <c r="H17" s="12">
        <f t="shared" si="0"/>
        <v>44363</v>
      </c>
    </row>
    <row r="18" spans="1:8" x14ac:dyDescent="0.3">
      <c r="B18" s="6" t="s">
        <v>24</v>
      </c>
      <c r="C18" s="22"/>
      <c r="D18" s="49"/>
      <c r="E18" s="22"/>
      <c r="F18" s="49"/>
      <c r="G18" s="22"/>
      <c r="H18" s="12">
        <f t="shared" si="0"/>
        <v>44363</v>
      </c>
    </row>
    <row r="19" spans="1:8" x14ac:dyDescent="0.3">
      <c r="B19" s="6" t="s">
        <v>21</v>
      </c>
      <c r="C19" s="22"/>
      <c r="D19" s="22">
        <v>50000</v>
      </c>
      <c r="E19" s="22"/>
      <c r="F19" s="22"/>
      <c r="G19" s="22"/>
      <c r="H19" s="12">
        <f t="shared" si="0"/>
        <v>44363</v>
      </c>
    </row>
    <row r="20" spans="1:8" x14ac:dyDescent="0.3">
      <c r="B20" s="6" t="s">
        <v>18</v>
      </c>
      <c r="C20" s="22"/>
      <c r="D20" s="22"/>
      <c r="E20" s="22"/>
      <c r="F20" s="22"/>
      <c r="G20" s="22"/>
      <c r="H20" s="12">
        <f t="shared" si="0"/>
        <v>44363</v>
      </c>
    </row>
    <row r="21" spans="1:8" x14ac:dyDescent="0.3">
      <c r="B21" s="6" t="s">
        <v>16</v>
      </c>
      <c r="C21" s="22">
        <v>54000</v>
      </c>
      <c r="D21" s="22"/>
      <c r="E21" s="22"/>
      <c r="F21" s="22"/>
      <c r="G21" s="22"/>
      <c r="H21" s="12">
        <f t="shared" si="0"/>
        <v>44363</v>
      </c>
    </row>
    <row r="22" spans="1:8" x14ac:dyDescent="0.3">
      <c r="B22" s="50" t="s">
        <v>27</v>
      </c>
      <c r="C22" s="51">
        <f>SUM(June16_2021[KSI_AGO])</f>
        <v>994500</v>
      </c>
      <c r="D22" s="51">
        <f>SUBTOTAL(109,June16_2021[KSI_PMS])</f>
        <v>581000</v>
      </c>
      <c r="E22" s="51">
        <f>SUM(June16_2021[BUIPE_AGO])</f>
        <v>1013000</v>
      </c>
      <c r="F22" s="51">
        <f>SUM(June16_2021[BUIPE_PMS])</f>
        <v>0</v>
      </c>
      <c r="G22" s="51">
        <f>SUM(June16_2021[AKOSOMBO_AGO])</f>
        <v>432000</v>
      </c>
      <c r="H22" s="52"/>
    </row>
    <row r="23" spans="1:8" x14ac:dyDescent="0.3">
      <c r="B23" s="8"/>
      <c r="C23" s="24"/>
      <c r="D23" s="24"/>
      <c r="E23" s="24"/>
      <c r="F23" s="24"/>
      <c r="G23" s="24"/>
      <c r="H23"/>
    </row>
    <row r="24" spans="1:8" x14ac:dyDescent="0.3">
      <c r="B24" s="1" t="s">
        <v>6</v>
      </c>
      <c r="C24" s="1" t="s">
        <v>4</v>
      </c>
      <c r="D24" s="5">
        <f>SUMIF(June16_2021[[#Headers],[KSI_AGO]:[AKOSOMBO_AGO]],"*"&amp;C24,June16_2021[[#Totals],[KSI_AGO]:[AKOSOMBO_AGO]])</f>
        <v>2439500</v>
      </c>
      <c r="E24" s="1" t="s">
        <v>5</v>
      </c>
      <c r="F24" s="5">
        <f>SUMIF(June16_2021[[#Headers],[KSI_AGO]:[AKOSOMBO_AGO]],"*"&amp;E24,June16_2021[[#Totals],[KSI_AGO]:[AKOSOMBO_AGO]])</f>
        <v>581000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938279FF-16D2-45C5-96EE-CDE4F6AB1C65}">
      <formula1>INDIRECT("BDC_List[BDC List]")</formula1>
    </dataValidation>
  </dataValidations>
  <pageMargins left="0.7" right="0.7" top="0.75" bottom="0.75" header="0.3" footer="0.3"/>
  <legacyDrawing r:id="rId1"/>
  <tableParts count="1">
    <tablePart r:id="rId2"/>
  </tableParts>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64E28-A89E-4871-8549-10C3DF811297}">
  <sheetPr codeName="Sheet374"/>
  <dimension ref="A1:J34"/>
  <sheetViews>
    <sheetView workbookViewId="0">
      <selection activeCell="H16" sqref="H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44364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44364</v>
      </c>
    </row>
    <row r="7" spans="2:10" x14ac:dyDescent="0.3">
      <c r="B7" s="6" t="s">
        <v>37</v>
      </c>
      <c r="C7" s="49"/>
      <c r="D7" s="22"/>
      <c r="E7" s="22"/>
      <c r="F7" s="22"/>
      <c r="G7" s="22"/>
      <c r="H7" s="67">
        <f t="shared" si="0"/>
        <v>44364</v>
      </c>
    </row>
    <row r="8" spans="2:10" x14ac:dyDescent="0.3">
      <c r="B8" s="6" t="s">
        <v>17</v>
      </c>
      <c r="C8" s="22">
        <v>378000</v>
      </c>
      <c r="D8" s="22">
        <v>108000</v>
      </c>
      <c r="E8" s="22">
        <v>54000</v>
      </c>
      <c r="F8" s="22"/>
      <c r="G8" s="22">
        <v>208000</v>
      </c>
      <c r="H8" s="12">
        <f t="shared" si="0"/>
        <v>44364</v>
      </c>
    </row>
    <row r="9" spans="2:10" ht="15.6" x14ac:dyDescent="0.3">
      <c r="B9" s="34" t="s">
        <v>0</v>
      </c>
      <c r="C9" s="60"/>
      <c r="D9" s="46"/>
      <c r="E9" s="60"/>
      <c r="F9" s="46"/>
      <c r="G9" s="61"/>
      <c r="H9" s="12">
        <f t="shared" si="0"/>
        <v>44364</v>
      </c>
    </row>
    <row r="10" spans="2:10" ht="16.2" customHeight="1" x14ac:dyDescent="0.3">
      <c r="B10" s="6" t="s">
        <v>25</v>
      </c>
      <c r="C10" s="22">
        <v>324000</v>
      </c>
      <c r="D10" s="22"/>
      <c r="E10" s="22"/>
      <c r="F10" s="22"/>
      <c r="G10" s="22"/>
      <c r="H10" s="12">
        <f t="shared" si="0"/>
        <v>44364</v>
      </c>
    </row>
    <row r="11" spans="2:10" ht="13.5" customHeight="1" x14ac:dyDescent="0.3">
      <c r="B11" s="6" t="s">
        <v>15</v>
      </c>
      <c r="C11" s="22"/>
      <c r="D11" s="48"/>
      <c r="E11" s="22"/>
      <c r="F11" s="48"/>
      <c r="G11" s="22"/>
      <c r="H11" s="12">
        <f t="shared" si="0"/>
        <v>44364</v>
      </c>
    </row>
    <row r="12" spans="2:10" x14ac:dyDescent="0.3">
      <c r="B12" s="6" t="s">
        <v>54</v>
      </c>
      <c r="C12" s="22"/>
      <c r="D12" s="22">
        <v>108000</v>
      </c>
      <c r="E12" s="22"/>
      <c r="F12" s="22"/>
      <c r="G12" s="22"/>
      <c r="H12" s="67">
        <f t="shared" si="0"/>
        <v>44364</v>
      </c>
    </row>
    <row r="13" spans="2:10" x14ac:dyDescent="0.3">
      <c r="B13" s="6" t="s">
        <v>26</v>
      </c>
      <c r="C13" s="22">
        <v>324000</v>
      </c>
      <c r="D13" s="22">
        <v>108000</v>
      </c>
      <c r="E13" s="22">
        <v>216000</v>
      </c>
      <c r="F13" s="22"/>
      <c r="G13" s="22"/>
      <c r="H13" s="12">
        <f t="shared" si="0"/>
        <v>44364</v>
      </c>
    </row>
    <row r="14" spans="2:10" x14ac:dyDescent="0.3">
      <c r="B14" s="6" t="s">
        <v>22</v>
      </c>
      <c r="C14" s="23"/>
      <c r="D14" s="22"/>
      <c r="E14" s="23"/>
      <c r="F14" s="22"/>
      <c r="G14" s="23"/>
      <c r="H14" s="12">
        <f t="shared" si="0"/>
        <v>44364</v>
      </c>
      <c r="J14" s="4"/>
    </row>
    <row r="15" spans="2:10" x14ac:dyDescent="0.3">
      <c r="B15" s="6" t="s">
        <v>61</v>
      </c>
      <c r="C15" s="23"/>
      <c r="D15" s="22"/>
      <c r="E15" s="23"/>
      <c r="F15" s="22"/>
      <c r="G15" s="23"/>
      <c r="H15" s="67">
        <f t="shared" si="0"/>
        <v>44364</v>
      </c>
      <c r="J15" s="4"/>
    </row>
    <row r="16" spans="2:10" x14ac:dyDescent="0.3">
      <c r="B16" s="6" t="s">
        <v>19</v>
      </c>
      <c r="C16" s="22">
        <v>49500</v>
      </c>
      <c r="D16" s="22"/>
      <c r="E16" s="22"/>
      <c r="F16" s="22"/>
      <c r="G16" s="22"/>
      <c r="H16" s="12">
        <f t="shared" si="0"/>
        <v>44364</v>
      </c>
    </row>
    <row r="17" spans="1:8" x14ac:dyDescent="0.3">
      <c r="B17" s="6" t="s">
        <v>14</v>
      </c>
      <c r="C17" s="22">
        <v>261000</v>
      </c>
      <c r="D17" s="22">
        <v>54000</v>
      </c>
      <c r="E17" s="22"/>
      <c r="F17" s="22"/>
      <c r="G17" s="22"/>
      <c r="H17" s="12">
        <f t="shared" si="0"/>
        <v>44364</v>
      </c>
    </row>
    <row r="18" spans="1:8" x14ac:dyDescent="0.3">
      <c r="B18" s="6" t="s">
        <v>24</v>
      </c>
      <c r="C18" s="22"/>
      <c r="D18" s="49"/>
      <c r="E18" s="22"/>
      <c r="F18" s="49"/>
      <c r="G18" s="22"/>
      <c r="H18" s="12">
        <f t="shared" si="0"/>
        <v>44364</v>
      </c>
    </row>
    <row r="19" spans="1:8" x14ac:dyDescent="0.3">
      <c r="B19" s="6" t="s">
        <v>21</v>
      </c>
      <c r="C19" s="22"/>
      <c r="D19" s="22">
        <v>108000</v>
      </c>
      <c r="E19" s="22"/>
      <c r="F19" s="22"/>
      <c r="G19" s="22"/>
      <c r="H19" s="12">
        <f t="shared" si="0"/>
        <v>44364</v>
      </c>
    </row>
    <row r="20" spans="1:8" x14ac:dyDescent="0.3">
      <c r="B20" s="6" t="s">
        <v>18</v>
      </c>
      <c r="C20" s="22"/>
      <c r="D20" s="22"/>
      <c r="E20" s="22"/>
      <c r="F20" s="22"/>
      <c r="G20" s="22"/>
      <c r="H20" s="12">
        <f t="shared" si="0"/>
        <v>44364</v>
      </c>
    </row>
    <row r="21" spans="1:8" x14ac:dyDescent="0.3">
      <c r="B21" s="6" t="s">
        <v>16</v>
      </c>
      <c r="C21" s="22"/>
      <c r="D21" s="22"/>
      <c r="E21" s="22"/>
      <c r="F21" s="22"/>
      <c r="G21" s="22">
        <v>90000</v>
      </c>
      <c r="H21" s="12">
        <f t="shared" si="0"/>
        <v>44364</v>
      </c>
    </row>
    <row r="22" spans="1:8" x14ac:dyDescent="0.3">
      <c r="B22" s="50" t="s">
        <v>27</v>
      </c>
      <c r="C22" s="51">
        <f>SUM(June17_2021[KSI_AGO])</f>
        <v>1336500</v>
      </c>
      <c r="D22" s="51">
        <f>SUBTOTAL(109,June17_2021[KSI_PMS])</f>
        <v>486000</v>
      </c>
      <c r="E22" s="51">
        <f>SUM(June17_2021[BUIPE_AGO])</f>
        <v>270000</v>
      </c>
      <c r="F22" s="51">
        <f>SUM(June17_2021[BUIPE_PMS])</f>
        <v>0</v>
      </c>
      <c r="G22" s="51">
        <f>SUM(June17_2021[AKOSOMBO_AGO])</f>
        <v>298000</v>
      </c>
      <c r="H22" s="52"/>
    </row>
    <row r="23" spans="1:8" x14ac:dyDescent="0.3">
      <c r="B23" s="8"/>
      <c r="C23" s="24"/>
      <c r="D23" s="24"/>
      <c r="E23" s="24"/>
      <c r="F23" s="24"/>
      <c r="G23" s="24"/>
      <c r="H23"/>
    </row>
    <row r="24" spans="1:8" x14ac:dyDescent="0.3">
      <c r="B24" s="1" t="s">
        <v>6</v>
      </c>
      <c r="C24" s="1" t="s">
        <v>4</v>
      </c>
      <c r="D24" s="5">
        <f>SUMIF(June17_2021[[#Headers],[KSI_AGO]:[AKOSOMBO_AGO]],"*"&amp;C24,June17_2021[[#Totals],[KSI_AGO]:[AKOSOMBO_AGO]])</f>
        <v>1904500</v>
      </c>
      <c r="E24" s="1" t="s">
        <v>5</v>
      </c>
      <c r="F24" s="5">
        <f>SUMIF(June17_2021[[#Headers],[KSI_AGO]:[AKOSOMBO_AGO]],"*"&amp;E24,June17_2021[[#Totals],[KSI_AGO]:[AKOSOMBO_AGO]])</f>
        <v>486000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65F59FA4-46CD-4729-AEF3-1B8473FA196C}">
      <formula1>INDIRECT("BDC_List[BDC List]")</formula1>
    </dataValidation>
  </dataValidations>
  <pageMargins left="0.7" right="0.7" top="0.75" bottom="0.75" header="0.3" footer="0.3"/>
  <tableParts count="1">
    <tablePart r:id="rId1"/>
  </tableParts>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6DD9-AF9C-4D69-B709-099F54D125D2}">
  <sheetPr codeName="Sheet375"/>
  <dimension ref="A1:J34"/>
  <sheetViews>
    <sheetView workbookViewId="0">
      <selection activeCell="H16" sqref="H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44365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44365</v>
      </c>
    </row>
    <row r="7" spans="2:10" x14ac:dyDescent="0.3">
      <c r="B7" s="6" t="s">
        <v>37</v>
      </c>
      <c r="C7" s="49"/>
      <c r="D7" s="22">
        <v>154000</v>
      </c>
      <c r="E7" s="22">
        <v>432000</v>
      </c>
      <c r="F7" s="22"/>
      <c r="G7" s="22"/>
      <c r="H7" s="67">
        <f t="shared" si="0"/>
        <v>44365</v>
      </c>
    </row>
    <row r="8" spans="2:10" x14ac:dyDescent="0.3">
      <c r="B8" s="6" t="s">
        <v>17</v>
      </c>
      <c r="C8" s="22">
        <v>694000</v>
      </c>
      <c r="D8" s="22">
        <v>153000</v>
      </c>
      <c r="E8" s="22">
        <v>90000</v>
      </c>
      <c r="F8" s="22"/>
      <c r="G8" s="22"/>
      <c r="H8" s="12">
        <f t="shared" si="0"/>
        <v>44365</v>
      </c>
    </row>
    <row r="9" spans="2:10" ht="15.6" x14ac:dyDescent="0.3">
      <c r="B9" s="34" t="s">
        <v>0</v>
      </c>
      <c r="C9" s="60"/>
      <c r="D9" s="46"/>
      <c r="E9" s="60"/>
      <c r="F9" s="46"/>
      <c r="G9" s="61"/>
      <c r="H9" s="12">
        <f t="shared" si="0"/>
        <v>44365</v>
      </c>
    </row>
    <row r="10" spans="2:10" ht="16.2" customHeight="1" x14ac:dyDescent="0.3">
      <c r="B10" s="6" t="s">
        <v>25</v>
      </c>
      <c r="C10" s="22">
        <v>797000</v>
      </c>
      <c r="D10" s="22"/>
      <c r="E10" s="22">
        <v>95000</v>
      </c>
      <c r="F10" s="22"/>
      <c r="G10" s="22"/>
      <c r="H10" s="12">
        <f t="shared" si="0"/>
        <v>44365</v>
      </c>
    </row>
    <row r="11" spans="2:10" ht="13.5" customHeight="1" x14ac:dyDescent="0.3">
      <c r="B11" s="6" t="s">
        <v>15</v>
      </c>
      <c r="C11" s="22"/>
      <c r="D11" s="48">
        <v>104000</v>
      </c>
      <c r="E11" s="22"/>
      <c r="F11" s="48"/>
      <c r="G11" s="22"/>
      <c r="H11" s="12">
        <f t="shared" si="0"/>
        <v>44365</v>
      </c>
    </row>
    <row r="12" spans="2:10" x14ac:dyDescent="0.3">
      <c r="B12" s="6" t="s">
        <v>54</v>
      </c>
      <c r="C12" s="22"/>
      <c r="D12" s="22">
        <v>162000</v>
      </c>
      <c r="E12" s="22"/>
      <c r="F12" s="22"/>
      <c r="G12" s="22"/>
      <c r="H12" s="67">
        <f t="shared" si="0"/>
        <v>44365</v>
      </c>
    </row>
    <row r="13" spans="2:10" x14ac:dyDescent="0.3">
      <c r="B13" s="6" t="s">
        <v>26</v>
      </c>
      <c r="C13" s="22">
        <v>423000</v>
      </c>
      <c r="D13" s="22">
        <v>108000</v>
      </c>
      <c r="E13" s="22">
        <v>184000</v>
      </c>
      <c r="F13" s="22"/>
      <c r="G13" s="22"/>
      <c r="H13" s="12">
        <f t="shared" si="0"/>
        <v>44365</v>
      </c>
    </row>
    <row r="14" spans="2:10" x14ac:dyDescent="0.3">
      <c r="B14" s="6" t="s">
        <v>22</v>
      </c>
      <c r="C14" s="23"/>
      <c r="D14" s="22"/>
      <c r="E14" s="23"/>
      <c r="F14" s="22"/>
      <c r="G14" s="23"/>
      <c r="H14" s="12">
        <f t="shared" si="0"/>
        <v>44365</v>
      </c>
      <c r="J14" s="4"/>
    </row>
    <row r="15" spans="2:10" x14ac:dyDescent="0.3">
      <c r="B15" s="6" t="s">
        <v>61</v>
      </c>
      <c r="C15" s="23"/>
      <c r="D15" s="22"/>
      <c r="E15" s="23"/>
      <c r="F15" s="22"/>
      <c r="G15" s="23"/>
      <c r="H15" s="97">
        <f t="shared" si="0"/>
        <v>44365</v>
      </c>
      <c r="J15" s="4"/>
    </row>
    <row r="16" spans="2:10" x14ac:dyDescent="0.3">
      <c r="B16" s="6" t="s">
        <v>19</v>
      </c>
      <c r="C16" s="22"/>
      <c r="D16" s="22"/>
      <c r="E16" s="22"/>
      <c r="F16" s="22"/>
      <c r="G16" s="22"/>
      <c r="H16" s="12">
        <f t="shared" si="0"/>
        <v>44365</v>
      </c>
    </row>
    <row r="17" spans="1:8" x14ac:dyDescent="0.3">
      <c r="B17" s="6" t="s">
        <v>14</v>
      </c>
      <c r="C17" s="22">
        <v>365000</v>
      </c>
      <c r="D17" s="22">
        <v>216000</v>
      </c>
      <c r="E17" s="22"/>
      <c r="F17" s="22"/>
      <c r="G17" s="22"/>
      <c r="H17" s="12">
        <f t="shared" si="0"/>
        <v>44365</v>
      </c>
    </row>
    <row r="18" spans="1:8" x14ac:dyDescent="0.3">
      <c r="B18" s="6" t="s">
        <v>24</v>
      </c>
      <c r="C18" s="22"/>
      <c r="D18" s="49"/>
      <c r="E18" s="22"/>
      <c r="F18" s="49"/>
      <c r="G18" s="22"/>
      <c r="H18" s="12">
        <f t="shared" si="0"/>
        <v>44365</v>
      </c>
    </row>
    <row r="19" spans="1:8" x14ac:dyDescent="0.3">
      <c r="B19" s="6" t="s">
        <v>21</v>
      </c>
      <c r="C19" s="22"/>
      <c r="D19" s="22">
        <v>162000</v>
      </c>
      <c r="E19" s="22"/>
      <c r="F19" s="22"/>
      <c r="G19" s="22"/>
      <c r="H19" s="12">
        <f t="shared" si="0"/>
        <v>44365</v>
      </c>
    </row>
    <row r="20" spans="1:8" x14ac:dyDescent="0.3">
      <c r="B20" s="6" t="s">
        <v>18</v>
      </c>
      <c r="C20" s="22"/>
      <c r="D20" s="22"/>
      <c r="E20" s="22"/>
      <c r="F20" s="22"/>
      <c r="G20" s="22"/>
      <c r="H20" s="12">
        <f t="shared" si="0"/>
        <v>44365</v>
      </c>
    </row>
    <row r="21" spans="1:8" x14ac:dyDescent="0.3">
      <c r="B21" s="6" t="s">
        <v>16</v>
      </c>
      <c r="C21" s="22"/>
      <c r="D21" s="22"/>
      <c r="E21" s="22"/>
      <c r="F21" s="22"/>
      <c r="G21" s="22"/>
      <c r="H21" s="12">
        <f t="shared" si="0"/>
        <v>44365</v>
      </c>
    </row>
    <row r="22" spans="1:8" x14ac:dyDescent="0.3">
      <c r="B22" s="50" t="s">
        <v>27</v>
      </c>
      <c r="C22" s="51">
        <f>SUM(June18_2021[KSI_AGO])</f>
        <v>2279000</v>
      </c>
      <c r="D22" s="51">
        <f>SUBTOTAL(109,June18_2021[KSI_PMS])</f>
        <v>1059000</v>
      </c>
      <c r="E22" s="51">
        <f>SUM(June18_2021[BUIPE_AGO])</f>
        <v>801000</v>
      </c>
      <c r="F22" s="51">
        <f>SUM(June18_2021[BUIPE_PMS])</f>
        <v>0</v>
      </c>
      <c r="G22" s="51">
        <f>SUM(June18_2021[AKOSOMBO_AGO])</f>
        <v>0</v>
      </c>
      <c r="H22" s="52"/>
    </row>
    <row r="23" spans="1:8" x14ac:dyDescent="0.3">
      <c r="B23" s="8"/>
      <c r="C23" s="24"/>
      <c r="D23" s="24"/>
      <c r="E23" s="24"/>
      <c r="F23" s="24"/>
      <c r="G23" s="24"/>
      <c r="H23"/>
    </row>
    <row r="24" spans="1:8" x14ac:dyDescent="0.3">
      <c r="B24" s="1" t="s">
        <v>6</v>
      </c>
      <c r="C24" s="1" t="s">
        <v>4</v>
      </c>
      <c r="D24" s="5">
        <f>SUMIF(June18_2021[[#Headers],[KSI_AGO]:[AKOSOMBO_AGO]],"*"&amp;C24,June18_2021[[#Totals],[KSI_AGO]:[AKOSOMBO_AGO]])</f>
        <v>3080000</v>
      </c>
      <c r="E24" s="1" t="s">
        <v>5</v>
      </c>
      <c r="F24" s="5">
        <f>SUMIF(June18_2021[[#Headers],[KSI_AGO]:[AKOSOMBO_AGO]],"*"&amp;E24,June18_2021[[#Totals],[KSI_AGO]:[AKOSOMBO_AGO]])</f>
        <v>1059000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4566194-B5DC-44F2-A60F-9A656ED753F4}">
      <formula1>INDIRECT("BDC_List[BDC List]")</formula1>
    </dataValidation>
  </dataValidations>
  <pageMargins left="0.7" right="0.7" top="0.75" bottom="0.75" header="0.3" footer="0.3"/>
  <tableParts count="1">
    <tablePart r:id="rId1"/>
  </tableParts>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4D29-9477-4445-9311-F0F0122EDB2A}">
  <sheetPr codeName="Sheet376"/>
  <dimension ref="A1:J34"/>
  <sheetViews>
    <sheetView workbookViewId="0">
      <selection activeCell="H16" sqref="H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44368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44368</v>
      </c>
    </row>
    <row r="7" spans="2:10" x14ac:dyDescent="0.3">
      <c r="B7" s="6" t="s">
        <v>37</v>
      </c>
      <c r="C7" s="49"/>
      <c r="D7" s="22">
        <v>103500</v>
      </c>
      <c r="E7" s="22">
        <v>266000</v>
      </c>
      <c r="F7" s="22"/>
      <c r="G7" s="22"/>
      <c r="H7" s="67">
        <f t="shared" si="0"/>
        <v>44368</v>
      </c>
    </row>
    <row r="8" spans="2:10" x14ac:dyDescent="0.3">
      <c r="B8" s="6" t="s">
        <v>17</v>
      </c>
      <c r="C8" s="22">
        <v>648000</v>
      </c>
      <c r="D8" s="22">
        <v>54000</v>
      </c>
      <c r="E8" s="22"/>
      <c r="F8" s="22">
        <v>108000</v>
      </c>
      <c r="G8" s="22"/>
      <c r="H8" s="12">
        <f t="shared" si="0"/>
        <v>44368</v>
      </c>
    </row>
    <row r="9" spans="2:10" ht="15.6" x14ac:dyDescent="0.3">
      <c r="B9" s="34" t="s">
        <v>0</v>
      </c>
      <c r="C9" s="60"/>
      <c r="D9" s="46"/>
      <c r="E9" s="60"/>
      <c r="F9" s="46"/>
      <c r="G9" s="61"/>
      <c r="H9" s="12">
        <f t="shared" si="0"/>
        <v>44368</v>
      </c>
    </row>
    <row r="10" spans="2:10" ht="16.2" customHeight="1" x14ac:dyDescent="0.3">
      <c r="B10" s="6" t="s">
        <v>25</v>
      </c>
      <c r="C10" s="22">
        <v>311000</v>
      </c>
      <c r="D10" s="22"/>
      <c r="E10" s="22"/>
      <c r="F10" s="22">
        <v>108000</v>
      </c>
      <c r="G10" s="22"/>
      <c r="H10" s="12">
        <f t="shared" si="0"/>
        <v>44368</v>
      </c>
    </row>
    <row r="11" spans="2:10" ht="13.5" customHeight="1" x14ac:dyDescent="0.3">
      <c r="B11" s="6" t="s">
        <v>15</v>
      </c>
      <c r="C11" s="22"/>
      <c r="D11" s="48">
        <v>54000</v>
      </c>
      <c r="E11" s="22"/>
      <c r="F11" s="48">
        <v>153000</v>
      </c>
      <c r="G11" s="22"/>
      <c r="H11" s="12">
        <f t="shared" si="0"/>
        <v>44368</v>
      </c>
    </row>
    <row r="12" spans="2:10" x14ac:dyDescent="0.3">
      <c r="B12" s="6" t="s">
        <v>54</v>
      </c>
      <c r="C12" s="22"/>
      <c r="D12" s="22">
        <v>50000</v>
      </c>
      <c r="E12" s="22"/>
      <c r="F12" s="22"/>
      <c r="G12" s="22"/>
      <c r="H12" s="67">
        <f t="shared" si="0"/>
        <v>44368</v>
      </c>
    </row>
    <row r="13" spans="2:10" x14ac:dyDescent="0.3">
      <c r="B13" s="6" t="s">
        <v>26</v>
      </c>
      <c r="C13" s="22">
        <v>198000</v>
      </c>
      <c r="D13" s="22">
        <v>54000</v>
      </c>
      <c r="E13" s="22"/>
      <c r="F13" s="22">
        <v>108000</v>
      </c>
      <c r="G13" s="22"/>
      <c r="H13" s="12">
        <f t="shared" si="0"/>
        <v>44368</v>
      </c>
    </row>
    <row r="14" spans="2:10" x14ac:dyDescent="0.3">
      <c r="B14" s="6" t="s">
        <v>22</v>
      </c>
      <c r="C14" s="23"/>
      <c r="D14" s="22"/>
      <c r="E14" s="23"/>
      <c r="F14" s="22"/>
      <c r="G14" s="23"/>
      <c r="H14" s="12">
        <f t="shared" si="0"/>
        <v>44368</v>
      </c>
      <c r="J14" s="4"/>
    </row>
    <row r="15" spans="2:10" x14ac:dyDescent="0.3">
      <c r="B15" s="6" t="s">
        <v>61</v>
      </c>
      <c r="C15" s="23"/>
      <c r="D15" s="22"/>
      <c r="E15" s="23">
        <v>216000</v>
      </c>
      <c r="F15" s="22"/>
      <c r="G15" s="23"/>
      <c r="H15" s="97">
        <f t="shared" si="0"/>
        <v>44368</v>
      </c>
      <c r="J15" s="4"/>
    </row>
    <row r="16" spans="2:10" x14ac:dyDescent="0.3">
      <c r="B16" s="6" t="s">
        <v>19</v>
      </c>
      <c r="C16" s="22"/>
      <c r="D16" s="22"/>
      <c r="E16" s="22"/>
      <c r="F16" s="22"/>
      <c r="G16" s="22"/>
      <c r="H16" s="12">
        <f t="shared" si="0"/>
        <v>44368</v>
      </c>
    </row>
    <row r="17" spans="1:8" x14ac:dyDescent="0.3">
      <c r="B17" s="6" t="s">
        <v>14</v>
      </c>
      <c r="C17" s="22">
        <v>162000</v>
      </c>
      <c r="D17" s="22">
        <v>95000</v>
      </c>
      <c r="E17" s="22"/>
      <c r="F17" s="22"/>
      <c r="G17" s="22"/>
      <c r="H17" s="12">
        <f t="shared" si="0"/>
        <v>44368</v>
      </c>
    </row>
    <row r="18" spans="1:8" x14ac:dyDescent="0.3">
      <c r="B18" s="6" t="s">
        <v>24</v>
      </c>
      <c r="C18" s="22"/>
      <c r="D18" s="49"/>
      <c r="E18" s="22"/>
      <c r="F18" s="49"/>
      <c r="G18" s="22"/>
      <c r="H18" s="12">
        <f t="shared" si="0"/>
        <v>44368</v>
      </c>
    </row>
    <row r="19" spans="1:8" x14ac:dyDescent="0.3">
      <c r="B19" s="6" t="s">
        <v>21</v>
      </c>
      <c r="C19" s="22"/>
      <c r="D19" s="22">
        <v>49500</v>
      </c>
      <c r="E19" s="22"/>
      <c r="F19" s="22"/>
      <c r="G19" s="22"/>
      <c r="H19" s="12">
        <f t="shared" si="0"/>
        <v>44368</v>
      </c>
    </row>
    <row r="20" spans="1:8" x14ac:dyDescent="0.3">
      <c r="B20" s="6" t="s">
        <v>18</v>
      </c>
      <c r="C20" s="22"/>
      <c r="D20" s="22"/>
      <c r="E20" s="22"/>
      <c r="F20" s="22"/>
      <c r="G20" s="22"/>
      <c r="H20" s="12">
        <f t="shared" si="0"/>
        <v>44368</v>
      </c>
    </row>
    <row r="21" spans="1:8" x14ac:dyDescent="0.3">
      <c r="B21" s="6" t="s">
        <v>16</v>
      </c>
      <c r="C21" s="22"/>
      <c r="D21" s="22"/>
      <c r="E21" s="22"/>
      <c r="F21" s="22">
        <v>108000</v>
      </c>
      <c r="G21" s="22"/>
      <c r="H21" s="12">
        <f t="shared" si="0"/>
        <v>44368</v>
      </c>
    </row>
    <row r="22" spans="1:8" x14ac:dyDescent="0.3">
      <c r="B22" s="50" t="s">
        <v>27</v>
      </c>
      <c r="C22" s="51">
        <f>SUM(June21_2021[KSI_AGO])</f>
        <v>1319000</v>
      </c>
      <c r="D22" s="51">
        <f>SUBTOTAL(109,June21_2021[KSI_PMS])</f>
        <v>460000</v>
      </c>
      <c r="E22" s="51">
        <f>SUM(June21_2021[BUIPE_AGO])</f>
        <v>482000</v>
      </c>
      <c r="F22" s="51">
        <f>SUM(June21_2021[BUIPE_PMS])</f>
        <v>585000</v>
      </c>
      <c r="G22" s="51">
        <f>SUM(June21_2021[AKOSOMBO_AGO])</f>
        <v>0</v>
      </c>
      <c r="H22" s="52"/>
    </row>
    <row r="23" spans="1:8" x14ac:dyDescent="0.3">
      <c r="B23" s="8"/>
      <c r="C23" s="24"/>
      <c r="D23" s="24"/>
      <c r="E23" s="24"/>
      <c r="F23" s="24"/>
      <c r="G23" s="24"/>
      <c r="H23"/>
    </row>
    <row r="24" spans="1:8" x14ac:dyDescent="0.3">
      <c r="B24" s="1" t="s">
        <v>6</v>
      </c>
      <c r="C24" s="1" t="s">
        <v>4</v>
      </c>
      <c r="D24" s="5">
        <f>SUMIF(June21_2021[[#Headers],[KSI_AGO]:[AKOSOMBO_AGO]],"*"&amp;C24,June21_2021[[#Totals],[KSI_AGO]:[AKOSOMBO_AGO]])</f>
        <v>1801000</v>
      </c>
      <c r="E24" s="1" t="s">
        <v>5</v>
      </c>
      <c r="F24" s="5">
        <f>SUMIF(June21_2021[[#Headers],[KSI_AGO]:[AKOSOMBO_AGO]],"*"&amp;E24,June21_2021[[#Totals],[KSI_AGO]:[AKOSOMBO_AGO]])</f>
        <v>1045000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D6A51E71-D012-493D-B2D7-4FEA9B782D06}">
      <formula1>INDIRECT("BDC_List[BDC List]")</formula1>
    </dataValidation>
  </dataValidations>
  <pageMargins left="0.7" right="0.7" top="0.75" bottom="0.75" header="0.3" footer="0.3"/>
  <tableParts count="1">
    <tablePart r:id="rId1"/>
  </tableParts>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5F58-FBB2-4704-B66E-B73C0F13D905}">
  <sheetPr codeName="Sheet377"/>
  <dimension ref="A1:J34"/>
  <sheetViews>
    <sheetView workbookViewId="0">
      <selection activeCell="E22" sqref="E2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44369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44369</v>
      </c>
    </row>
    <row r="7" spans="2:10" x14ac:dyDescent="0.3">
      <c r="B7" s="6" t="s">
        <v>37</v>
      </c>
      <c r="C7" s="49"/>
      <c r="D7" s="22">
        <v>157500</v>
      </c>
      <c r="E7" s="22"/>
      <c r="F7" s="22"/>
      <c r="G7" s="22"/>
      <c r="H7" s="67">
        <f t="shared" si="0"/>
        <v>44369</v>
      </c>
    </row>
    <row r="8" spans="2:10" x14ac:dyDescent="0.3">
      <c r="B8" s="6" t="s">
        <v>17</v>
      </c>
      <c r="C8" s="22">
        <v>847000</v>
      </c>
      <c r="D8" s="22">
        <v>207500</v>
      </c>
      <c r="E8" s="22"/>
      <c r="F8" s="22">
        <v>162000</v>
      </c>
      <c r="G8" s="22"/>
      <c r="H8" s="12">
        <f t="shared" si="0"/>
        <v>44369</v>
      </c>
    </row>
    <row r="9" spans="2:10" ht="15.6" x14ac:dyDescent="0.3">
      <c r="B9" s="34" t="s">
        <v>0</v>
      </c>
      <c r="C9" s="60"/>
      <c r="D9" s="46"/>
      <c r="E9" s="60"/>
      <c r="F9" s="46"/>
      <c r="G9" s="61"/>
      <c r="H9" s="12">
        <f t="shared" si="0"/>
        <v>44369</v>
      </c>
    </row>
    <row r="10" spans="2:10" ht="16.2" customHeight="1" x14ac:dyDescent="0.3">
      <c r="B10" s="6" t="s">
        <v>25</v>
      </c>
      <c r="C10" s="22">
        <v>486000</v>
      </c>
      <c r="D10" s="22"/>
      <c r="E10" s="22"/>
      <c r="F10" s="22">
        <v>108000</v>
      </c>
      <c r="G10" s="22"/>
      <c r="H10" s="12">
        <f t="shared" si="0"/>
        <v>44369</v>
      </c>
    </row>
    <row r="11" spans="2:10" ht="13.5" customHeight="1" x14ac:dyDescent="0.3">
      <c r="B11" s="6" t="s">
        <v>15</v>
      </c>
      <c r="C11" s="22"/>
      <c r="D11" s="48">
        <v>162000</v>
      </c>
      <c r="E11" s="22"/>
      <c r="F11" s="48">
        <v>108000</v>
      </c>
      <c r="G11" s="22"/>
      <c r="H11" s="12">
        <f t="shared" si="0"/>
        <v>44369</v>
      </c>
    </row>
    <row r="12" spans="2:10" x14ac:dyDescent="0.3">
      <c r="B12" s="6" t="s">
        <v>54</v>
      </c>
      <c r="C12" s="22"/>
      <c r="D12" s="22">
        <v>108000</v>
      </c>
      <c r="E12" s="22"/>
      <c r="F12" s="22"/>
      <c r="G12" s="22"/>
      <c r="H12" s="67">
        <f t="shared" si="0"/>
        <v>44369</v>
      </c>
    </row>
    <row r="13" spans="2:10" x14ac:dyDescent="0.3">
      <c r="B13" s="6" t="s">
        <v>26</v>
      </c>
      <c r="C13" s="22"/>
      <c r="D13" s="22">
        <v>162000</v>
      </c>
      <c r="E13" s="22"/>
      <c r="F13" s="22">
        <v>108000</v>
      </c>
      <c r="G13" s="22"/>
      <c r="H13" s="12">
        <f t="shared" si="0"/>
        <v>44369</v>
      </c>
    </row>
    <row r="14" spans="2:10" x14ac:dyDescent="0.3">
      <c r="B14" s="6" t="s">
        <v>22</v>
      </c>
      <c r="C14" s="23"/>
      <c r="D14" s="22"/>
      <c r="E14" s="23"/>
      <c r="F14" s="22"/>
      <c r="G14" s="23"/>
      <c r="H14" s="12">
        <f t="shared" si="0"/>
        <v>44369</v>
      </c>
      <c r="J14" s="4"/>
    </row>
    <row r="15" spans="2:10" x14ac:dyDescent="0.3">
      <c r="B15" s="6" t="s">
        <v>61</v>
      </c>
      <c r="C15" s="23"/>
      <c r="D15" s="22"/>
      <c r="E15" s="23"/>
      <c r="F15" s="22"/>
      <c r="G15" s="23"/>
      <c r="H15" s="97">
        <f t="shared" si="0"/>
        <v>44369</v>
      </c>
      <c r="J15" s="4"/>
    </row>
    <row r="16" spans="2:10" x14ac:dyDescent="0.3">
      <c r="B16" s="6" t="s">
        <v>19</v>
      </c>
      <c r="C16" s="22"/>
      <c r="D16" s="22"/>
      <c r="E16" s="22"/>
      <c r="F16" s="22"/>
      <c r="G16" s="22"/>
      <c r="H16" s="12">
        <f t="shared" si="0"/>
        <v>44369</v>
      </c>
    </row>
    <row r="17" spans="1:8" x14ac:dyDescent="0.3">
      <c r="B17" s="6" t="s">
        <v>14</v>
      </c>
      <c r="C17" s="22">
        <v>54000</v>
      </c>
      <c r="D17" s="22">
        <v>162000</v>
      </c>
      <c r="E17" s="22"/>
      <c r="F17" s="22"/>
      <c r="G17" s="22"/>
      <c r="H17" s="12">
        <f t="shared" si="0"/>
        <v>44369</v>
      </c>
    </row>
    <row r="18" spans="1:8" x14ac:dyDescent="0.3">
      <c r="B18" s="6" t="s">
        <v>24</v>
      </c>
      <c r="C18" s="22"/>
      <c r="D18" s="49"/>
      <c r="E18" s="22"/>
      <c r="F18" s="49"/>
      <c r="G18" s="22"/>
      <c r="H18" s="12">
        <f t="shared" si="0"/>
        <v>44369</v>
      </c>
    </row>
    <row r="19" spans="1:8" x14ac:dyDescent="0.3">
      <c r="B19" s="6" t="s">
        <v>21</v>
      </c>
      <c r="C19" s="22"/>
      <c r="D19" s="22">
        <v>157500</v>
      </c>
      <c r="E19" s="22"/>
      <c r="F19" s="22"/>
      <c r="G19" s="22"/>
      <c r="H19" s="12">
        <f t="shared" si="0"/>
        <v>44369</v>
      </c>
    </row>
    <row r="20" spans="1:8" x14ac:dyDescent="0.3">
      <c r="B20" s="6" t="s">
        <v>18</v>
      </c>
      <c r="C20" s="22"/>
      <c r="D20" s="22"/>
      <c r="E20" s="22"/>
      <c r="F20" s="22"/>
      <c r="G20" s="22"/>
      <c r="H20" s="12">
        <f t="shared" si="0"/>
        <v>44369</v>
      </c>
    </row>
    <row r="21" spans="1:8" x14ac:dyDescent="0.3">
      <c r="B21" s="6" t="s">
        <v>16</v>
      </c>
      <c r="C21" s="22"/>
      <c r="D21" s="22"/>
      <c r="E21" s="22"/>
      <c r="F21" s="22">
        <v>108000</v>
      </c>
      <c r="G21" s="22"/>
      <c r="H21" s="12">
        <f t="shared" si="0"/>
        <v>44369</v>
      </c>
    </row>
    <row r="22" spans="1:8" x14ac:dyDescent="0.3">
      <c r="B22" s="50" t="s">
        <v>27</v>
      </c>
      <c r="C22" s="51">
        <f>SUM(June22_2021[KSI_AGO])</f>
        <v>1387000</v>
      </c>
      <c r="D22" s="51">
        <f>SUBTOTAL(109,June22_2021[KSI_PMS])</f>
        <v>1116500</v>
      </c>
      <c r="E22" s="51">
        <f>SUM(June22_2021[BUIPE_AGO])</f>
        <v>0</v>
      </c>
      <c r="F22" s="51">
        <f>SUM(June22_2021[BUIPE_PMS])</f>
        <v>594000</v>
      </c>
      <c r="G22" s="51">
        <f>SUM(June22_2021[AKOSOMBO_AGO])</f>
        <v>0</v>
      </c>
      <c r="H22" s="52"/>
    </row>
    <row r="23" spans="1:8" x14ac:dyDescent="0.3">
      <c r="B23" s="8"/>
      <c r="C23" s="24"/>
      <c r="D23" s="24"/>
      <c r="E23" s="24"/>
      <c r="F23" s="24"/>
      <c r="G23" s="24"/>
      <c r="H23"/>
    </row>
    <row r="24" spans="1:8" x14ac:dyDescent="0.3">
      <c r="B24" s="1" t="s">
        <v>6</v>
      </c>
      <c r="C24" s="1" t="s">
        <v>4</v>
      </c>
      <c r="D24" s="5">
        <f>SUMIF(June22_2021[[#Headers],[KSI_AGO]:[AKOSOMBO_AGO]],"*"&amp;C24,June22_2021[[#Totals],[KSI_AGO]:[AKOSOMBO_AGO]])</f>
        <v>1387000</v>
      </c>
      <c r="E24" s="1" t="s">
        <v>5</v>
      </c>
      <c r="F24" s="5">
        <f>SUMIF(June22_2021[[#Headers],[KSI_AGO]:[AKOSOMBO_AGO]],"*"&amp;E24,June22_2021[[#Totals],[KSI_AGO]:[AKOSOMBO_AGO]])</f>
        <v>1710500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C167FA4-D029-44C6-AC86-F85B4929205D}">
      <formula1>INDIRECT("BDC_List[BDC List]")</formula1>
    </dataValidation>
  </dataValidations>
  <pageMargins left="0.7" right="0.7" top="0.75" bottom="0.75" header="0.3" footer="0.3"/>
  <tableParts count="1">
    <tablePart r:id="rId1"/>
  </tableParts>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39B9-50C7-45F1-BE55-BDD1086D57FB}">
  <sheetPr codeName="Sheet378"/>
  <dimension ref="A1:J34"/>
  <sheetViews>
    <sheetView workbookViewId="0">
      <selection activeCell="H16" sqref="H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44370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44370</v>
      </c>
    </row>
    <row r="7" spans="2:10" x14ac:dyDescent="0.3">
      <c r="B7" s="6" t="s">
        <v>37</v>
      </c>
      <c r="C7" s="49"/>
      <c r="D7" s="22">
        <v>103500</v>
      </c>
      <c r="E7" s="22"/>
      <c r="F7" s="22"/>
      <c r="G7" s="22"/>
      <c r="H7" s="67">
        <f t="shared" si="0"/>
        <v>44370</v>
      </c>
    </row>
    <row r="8" spans="2:10" x14ac:dyDescent="0.3">
      <c r="B8" s="6" t="s">
        <v>17</v>
      </c>
      <c r="C8" s="22">
        <v>486000</v>
      </c>
      <c r="D8" s="22">
        <v>211500</v>
      </c>
      <c r="E8" s="22"/>
      <c r="F8" s="22">
        <v>108000</v>
      </c>
      <c r="G8" s="22"/>
      <c r="H8" s="12">
        <f t="shared" si="0"/>
        <v>44370</v>
      </c>
    </row>
    <row r="9" spans="2:10" ht="15.6" x14ac:dyDescent="0.3">
      <c r="B9" s="34" t="s">
        <v>0</v>
      </c>
      <c r="C9" s="60"/>
      <c r="D9" s="46"/>
      <c r="E9" s="60"/>
      <c r="F9" s="46"/>
      <c r="G9" s="61"/>
      <c r="H9" s="12">
        <f t="shared" si="0"/>
        <v>44370</v>
      </c>
    </row>
    <row r="10" spans="2:10" ht="16.2" customHeight="1" x14ac:dyDescent="0.3">
      <c r="B10" s="6" t="s">
        <v>25</v>
      </c>
      <c r="C10" s="22">
        <v>481500</v>
      </c>
      <c r="D10" s="22"/>
      <c r="E10" s="22"/>
      <c r="F10" s="22">
        <v>108000</v>
      </c>
      <c r="G10" s="22"/>
      <c r="H10" s="12">
        <f t="shared" si="0"/>
        <v>44370</v>
      </c>
    </row>
    <row r="11" spans="2:10" ht="13.5" customHeight="1" x14ac:dyDescent="0.3">
      <c r="B11" s="6" t="s">
        <v>15</v>
      </c>
      <c r="C11" s="22"/>
      <c r="D11" s="48">
        <v>162000</v>
      </c>
      <c r="E11" s="22"/>
      <c r="F11" s="48">
        <v>108000</v>
      </c>
      <c r="G11" s="22"/>
      <c r="H11" s="12">
        <f t="shared" si="0"/>
        <v>44370</v>
      </c>
    </row>
    <row r="12" spans="2:10" x14ac:dyDescent="0.3">
      <c r="B12" s="6" t="s">
        <v>54</v>
      </c>
      <c r="C12" s="22"/>
      <c r="D12" s="22">
        <v>162000</v>
      </c>
      <c r="E12" s="22"/>
      <c r="F12" s="22"/>
      <c r="G12" s="22"/>
      <c r="H12" s="67">
        <f t="shared" si="0"/>
        <v>44370</v>
      </c>
    </row>
    <row r="13" spans="2:10" x14ac:dyDescent="0.3">
      <c r="B13" s="6" t="s">
        <v>26</v>
      </c>
      <c r="C13" s="22"/>
      <c r="D13" s="22">
        <v>162000</v>
      </c>
      <c r="E13" s="22"/>
      <c r="F13" s="22">
        <v>108000</v>
      </c>
      <c r="G13" s="22"/>
      <c r="H13" s="12">
        <f t="shared" si="0"/>
        <v>44370</v>
      </c>
    </row>
    <row r="14" spans="2:10" x14ac:dyDescent="0.3">
      <c r="B14" s="6" t="s">
        <v>22</v>
      </c>
      <c r="C14" s="23"/>
      <c r="D14" s="22"/>
      <c r="E14" s="23"/>
      <c r="F14" s="22"/>
      <c r="G14" s="23"/>
      <c r="H14" s="12">
        <f t="shared" si="0"/>
        <v>44370</v>
      </c>
      <c r="J14" s="4"/>
    </row>
    <row r="15" spans="2:10" x14ac:dyDescent="0.3">
      <c r="B15" s="6" t="s">
        <v>61</v>
      </c>
      <c r="C15" s="23"/>
      <c r="D15" s="22"/>
      <c r="E15" s="23"/>
      <c r="F15" s="22"/>
      <c r="G15" s="23"/>
      <c r="H15" s="97">
        <f t="shared" si="0"/>
        <v>44370</v>
      </c>
      <c r="J15" s="4"/>
    </row>
    <row r="16" spans="2:10" x14ac:dyDescent="0.3">
      <c r="B16" s="6" t="s">
        <v>19</v>
      </c>
      <c r="C16" s="22"/>
      <c r="D16" s="22">
        <v>360000</v>
      </c>
      <c r="E16" s="22"/>
      <c r="F16" s="22"/>
      <c r="G16" s="22"/>
      <c r="H16" s="12">
        <f t="shared" si="0"/>
        <v>44370</v>
      </c>
    </row>
    <row r="17" spans="1:8" x14ac:dyDescent="0.3">
      <c r="B17" s="6" t="s">
        <v>14</v>
      </c>
      <c r="C17" s="22"/>
      <c r="D17" s="22">
        <v>108000</v>
      </c>
      <c r="E17" s="22"/>
      <c r="F17" s="22"/>
      <c r="G17" s="22"/>
      <c r="H17" s="12">
        <f t="shared" si="0"/>
        <v>44370</v>
      </c>
    </row>
    <row r="18" spans="1:8" x14ac:dyDescent="0.3">
      <c r="B18" s="6" t="s">
        <v>24</v>
      </c>
      <c r="C18" s="22"/>
      <c r="D18" s="49"/>
      <c r="E18" s="22"/>
      <c r="F18" s="49"/>
      <c r="G18" s="22"/>
      <c r="H18" s="12">
        <f t="shared" si="0"/>
        <v>44370</v>
      </c>
    </row>
    <row r="19" spans="1:8" x14ac:dyDescent="0.3">
      <c r="B19" s="6" t="s">
        <v>21</v>
      </c>
      <c r="C19" s="22">
        <v>432000</v>
      </c>
      <c r="D19" s="22">
        <v>108000</v>
      </c>
      <c r="E19" s="22"/>
      <c r="F19" s="22"/>
      <c r="G19" s="22"/>
      <c r="H19" s="12">
        <f t="shared" si="0"/>
        <v>44370</v>
      </c>
    </row>
    <row r="20" spans="1:8" x14ac:dyDescent="0.3">
      <c r="B20" s="6" t="s">
        <v>18</v>
      </c>
      <c r="C20" s="22"/>
      <c r="D20" s="22"/>
      <c r="E20" s="22"/>
      <c r="F20" s="22"/>
      <c r="G20" s="22"/>
      <c r="H20" s="12">
        <f t="shared" si="0"/>
        <v>44370</v>
      </c>
    </row>
    <row r="21" spans="1:8" x14ac:dyDescent="0.3">
      <c r="B21" s="6" t="s">
        <v>16</v>
      </c>
      <c r="C21" s="22"/>
      <c r="D21" s="22"/>
      <c r="E21" s="22"/>
      <c r="F21" s="22">
        <v>108000</v>
      </c>
      <c r="G21" s="22"/>
      <c r="H21" s="12">
        <f t="shared" si="0"/>
        <v>44370</v>
      </c>
    </row>
    <row r="22" spans="1:8" x14ac:dyDescent="0.3">
      <c r="B22" s="50" t="s">
        <v>27</v>
      </c>
      <c r="C22" s="51">
        <f>SUM(June23_2021[KSI_AGO])</f>
        <v>1399500</v>
      </c>
      <c r="D22" s="51">
        <f>SUBTOTAL(109,June23_2021[KSI_PMS])</f>
        <v>1377000</v>
      </c>
      <c r="E22" s="51">
        <f>SUM(June23_2021[BUIPE_AGO])</f>
        <v>0</v>
      </c>
      <c r="F22" s="51">
        <f>SUM(June23_2021[BUIPE_PMS])</f>
        <v>540000</v>
      </c>
      <c r="G22" s="51">
        <f>SUM(June23_2021[AKOSOMBO_AGO])</f>
        <v>0</v>
      </c>
      <c r="H22" s="52"/>
    </row>
    <row r="23" spans="1:8" x14ac:dyDescent="0.3">
      <c r="B23" s="8"/>
      <c r="C23" s="24"/>
      <c r="D23" s="24"/>
      <c r="E23" s="24"/>
      <c r="F23" s="24"/>
      <c r="G23" s="24"/>
      <c r="H23"/>
    </row>
    <row r="24" spans="1:8" x14ac:dyDescent="0.3">
      <c r="B24" s="1" t="s">
        <v>6</v>
      </c>
      <c r="C24" s="1" t="s">
        <v>4</v>
      </c>
      <c r="D24" s="5">
        <f>SUMIF(June23_2021[[#Headers],[KSI_AGO]:[AKOSOMBO_AGO]],"*"&amp;C24,June23_2021[[#Totals],[KSI_AGO]:[AKOSOMBO_AGO]])</f>
        <v>1399500</v>
      </c>
      <c r="E24" s="1" t="s">
        <v>5</v>
      </c>
      <c r="F24" s="5">
        <f>SUMIF(June23_2021[[#Headers],[KSI_AGO]:[AKOSOMBO_AGO]],"*"&amp;E24,June23_2021[[#Totals],[KSI_AGO]:[AKOSOMBO_AGO]])</f>
        <v>1917000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BAA13CB3-C732-4EB1-A10E-02F317FC3B1C}">
      <formula1>INDIRECT("BDC_List[BDC List]")</formula1>
    </dataValidation>
  </dataValidations>
  <pageMargins left="0.7" right="0.7" top="0.75" bottom="0.75" header="0.3" footer="0.3"/>
  <tableParts count="1">
    <tablePart r:id="rId1"/>
  </tableParts>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0E09A-E536-4388-A1DC-3A626D0D349F}">
  <sheetPr codeName="Sheet379"/>
  <dimension ref="A1:J34"/>
  <sheetViews>
    <sheetView workbookViewId="0">
      <selection activeCell="H16" sqref="H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44371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44371</v>
      </c>
    </row>
    <row r="7" spans="2:10" x14ac:dyDescent="0.3">
      <c r="B7" s="6" t="s">
        <v>37</v>
      </c>
      <c r="C7" s="49"/>
      <c r="D7" s="22">
        <v>153000</v>
      </c>
      <c r="E7" s="22"/>
      <c r="F7" s="22"/>
      <c r="G7" s="22"/>
      <c r="H7" s="67">
        <f t="shared" si="0"/>
        <v>44371</v>
      </c>
    </row>
    <row r="8" spans="2:10" x14ac:dyDescent="0.3">
      <c r="B8" s="6" t="s">
        <v>17</v>
      </c>
      <c r="C8" s="22">
        <v>432000</v>
      </c>
      <c r="D8" s="22">
        <v>162000</v>
      </c>
      <c r="E8" s="22"/>
      <c r="F8" s="22">
        <v>162000</v>
      </c>
      <c r="G8" s="22"/>
      <c r="H8" s="12">
        <f t="shared" si="0"/>
        <v>44371</v>
      </c>
    </row>
    <row r="9" spans="2:10" ht="15.6" x14ac:dyDescent="0.3">
      <c r="B9" s="34" t="s">
        <v>0</v>
      </c>
      <c r="C9" s="60"/>
      <c r="D9" s="46"/>
      <c r="E9" s="60"/>
      <c r="F9" s="46"/>
      <c r="G9" s="61"/>
      <c r="H9" s="12">
        <f t="shared" si="0"/>
        <v>44371</v>
      </c>
    </row>
    <row r="10" spans="2:10" ht="16.2" customHeight="1" x14ac:dyDescent="0.3">
      <c r="B10" s="6" t="s">
        <v>25</v>
      </c>
      <c r="C10" s="22">
        <v>535500</v>
      </c>
      <c r="D10" s="22"/>
      <c r="E10" s="22"/>
      <c r="F10" s="22">
        <v>108000</v>
      </c>
      <c r="G10" s="22"/>
      <c r="H10" s="12">
        <f t="shared" si="0"/>
        <v>44371</v>
      </c>
    </row>
    <row r="11" spans="2:10" ht="13.5" customHeight="1" x14ac:dyDescent="0.3">
      <c r="B11" s="6" t="s">
        <v>15</v>
      </c>
      <c r="C11" s="22"/>
      <c r="D11" s="48">
        <v>54000</v>
      </c>
      <c r="E11" s="22"/>
      <c r="F11" s="48">
        <v>162000</v>
      </c>
      <c r="G11" s="22"/>
      <c r="H11" s="12">
        <f t="shared" si="0"/>
        <v>44371</v>
      </c>
    </row>
    <row r="12" spans="2:10" x14ac:dyDescent="0.3">
      <c r="B12" s="6" t="s">
        <v>54</v>
      </c>
      <c r="C12" s="22"/>
      <c r="D12" s="22">
        <v>103000</v>
      </c>
      <c r="E12" s="22"/>
      <c r="F12" s="22"/>
      <c r="G12" s="22"/>
      <c r="H12" s="67">
        <f t="shared" si="0"/>
        <v>44371</v>
      </c>
    </row>
    <row r="13" spans="2:10" x14ac:dyDescent="0.3">
      <c r="B13" s="6" t="s">
        <v>26</v>
      </c>
      <c r="C13" s="22"/>
      <c r="D13" s="22">
        <v>211500</v>
      </c>
      <c r="E13" s="22"/>
      <c r="F13" s="22">
        <v>108000</v>
      </c>
      <c r="G13" s="22"/>
      <c r="H13" s="12">
        <f t="shared" si="0"/>
        <v>44371</v>
      </c>
    </row>
    <row r="14" spans="2:10" x14ac:dyDescent="0.3">
      <c r="B14" s="6" t="s">
        <v>22</v>
      </c>
      <c r="C14" s="23"/>
      <c r="D14" s="22"/>
      <c r="E14" s="23"/>
      <c r="F14" s="22"/>
      <c r="G14" s="23"/>
      <c r="H14" s="12">
        <f t="shared" si="0"/>
        <v>44371</v>
      </c>
      <c r="J14" s="4"/>
    </row>
    <row r="15" spans="2:10" x14ac:dyDescent="0.3">
      <c r="B15" s="6" t="s">
        <v>61</v>
      </c>
      <c r="C15" s="23"/>
      <c r="D15" s="22"/>
      <c r="E15" s="23"/>
      <c r="F15" s="22"/>
      <c r="G15" s="23"/>
      <c r="H15" s="97">
        <f t="shared" si="0"/>
        <v>44371</v>
      </c>
      <c r="J15" s="4"/>
    </row>
    <row r="16" spans="2:10" x14ac:dyDescent="0.3">
      <c r="B16" s="6" t="s">
        <v>19</v>
      </c>
      <c r="C16" s="22"/>
      <c r="D16" s="22"/>
      <c r="E16" s="22"/>
      <c r="F16" s="22"/>
      <c r="G16" s="22">
        <v>648000</v>
      </c>
      <c r="H16" s="12">
        <f t="shared" si="0"/>
        <v>44371</v>
      </c>
    </row>
    <row r="17" spans="1:8" x14ac:dyDescent="0.3">
      <c r="B17" s="6" t="s">
        <v>14</v>
      </c>
      <c r="C17" s="22"/>
      <c r="D17" s="22">
        <v>252500</v>
      </c>
      <c r="E17" s="22"/>
      <c r="F17" s="22"/>
      <c r="G17" s="22"/>
      <c r="H17" s="12">
        <f t="shared" si="0"/>
        <v>44371</v>
      </c>
    </row>
    <row r="18" spans="1:8" x14ac:dyDescent="0.3">
      <c r="B18" s="6" t="s">
        <v>24</v>
      </c>
      <c r="C18" s="22"/>
      <c r="D18" s="49"/>
      <c r="E18" s="22"/>
      <c r="F18" s="49"/>
      <c r="G18" s="22"/>
      <c r="H18" s="12">
        <f t="shared" si="0"/>
        <v>44371</v>
      </c>
    </row>
    <row r="19" spans="1:8" x14ac:dyDescent="0.3">
      <c r="B19" s="6" t="s">
        <v>21</v>
      </c>
      <c r="C19" s="22">
        <v>419000</v>
      </c>
      <c r="D19" s="22">
        <v>162000</v>
      </c>
      <c r="E19" s="22"/>
      <c r="F19" s="22"/>
      <c r="G19" s="22"/>
      <c r="H19" s="12">
        <f t="shared" si="0"/>
        <v>44371</v>
      </c>
    </row>
    <row r="20" spans="1:8" x14ac:dyDescent="0.3">
      <c r="B20" s="6" t="s">
        <v>18</v>
      </c>
      <c r="C20" s="22"/>
      <c r="D20" s="22"/>
      <c r="E20" s="22">
        <v>297000</v>
      </c>
      <c r="F20" s="22"/>
      <c r="G20" s="22"/>
      <c r="H20" s="12">
        <f t="shared" si="0"/>
        <v>44371</v>
      </c>
    </row>
    <row r="21" spans="1:8" x14ac:dyDescent="0.3">
      <c r="B21" s="6" t="s">
        <v>16</v>
      </c>
      <c r="C21" s="22"/>
      <c r="D21" s="22"/>
      <c r="E21" s="22"/>
      <c r="F21" s="22"/>
      <c r="G21" s="22"/>
      <c r="H21" s="12">
        <f t="shared" si="0"/>
        <v>44371</v>
      </c>
    </row>
    <row r="22" spans="1:8" x14ac:dyDescent="0.3">
      <c r="B22" s="50" t="s">
        <v>27</v>
      </c>
      <c r="C22" s="51">
        <f>SUM(June24_2021[KSI_AGO])</f>
        <v>1386500</v>
      </c>
      <c r="D22" s="51">
        <f>SUBTOTAL(109,June24_2021[KSI_PMS])</f>
        <v>1098000</v>
      </c>
      <c r="E22" s="51">
        <f>SUM(June24_2021[BUIPE_AGO])</f>
        <v>297000</v>
      </c>
      <c r="F22" s="51">
        <f>SUM(June24_2021[BUIPE_PMS])</f>
        <v>540000</v>
      </c>
      <c r="G22" s="51">
        <f>SUM(June24_2021[AKOSOMBO_AGO])</f>
        <v>648000</v>
      </c>
      <c r="H22" s="52"/>
    </row>
    <row r="23" spans="1:8" x14ac:dyDescent="0.3">
      <c r="B23" s="8"/>
      <c r="C23" s="24"/>
      <c r="D23" s="24"/>
      <c r="E23" s="24"/>
      <c r="F23" s="24"/>
      <c r="G23" s="24"/>
      <c r="H23"/>
    </row>
    <row r="24" spans="1:8" x14ac:dyDescent="0.3">
      <c r="B24" s="1" t="s">
        <v>6</v>
      </c>
      <c r="C24" s="1" t="s">
        <v>4</v>
      </c>
      <c r="D24" s="5">
        <f>SUMIF(June24_2021[[#Headers],[KSI_AGO]:[AKOSOMBO_AGO]],"*"&amp;C24,June24_2021[[#Totals],[KSI_AGO]:[AKOSOMBO_AGO]])</f>
        <v>2331500</v>
      </c>
      <c r="E24" s="1" t="s">
        <v>5</v>
      </c>
      <c r="F24" s="5">
        <f>SUMIF(June24_2021[[#Headers],[KSI_AGO]:[AKOSOMBO_AGO]],"*"&amp;E24,June24_2021[[#Totals],[KSI_AGO]:[AKOSOMBO_AGO]])</f>
        <v>1638000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360561E4-715B-4552-BB1C-BD4EF88D16B0}">
      <formula1>INDIRECT("BDC_List[BDC List]")</formula1>
    </dataValidation>
  </dataValidations>
  <pageMargins left="0.7" right="0.7" top="0.75" bottom="0.75" header="0.3" footer="0.3"/>
  <tableParts count="1">
    <tablePart r:id="rId1"/>
  </tableParts>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3F05F-6385-4EEA-9D88-E2A1177759C6}">
  <sheetPr codeName="Sheet380"/>
  <dimension ref="A1:J34"/>
  <sheetViews>
    <sheetView workbookViewId="0">
      <selection activeCell="H16" sqref="H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44372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44372</v>
      </c>
    </row>
    <row r="7" spans="2:10" x14ac:dyDescent="0.3">
      <c r="B7" s="6" t="s">
        <v>37</v>
      </c>
      <c r="C7" s="49"/>
      <c r="D7" s="22">
        <v>104000</v>
      </c>
      <c r="E7" s="22"/>
      <c r="F7" s="22"/>
      <c r="G7" s="22"/>
      <c r="H7" s="67">
        <f t="shared" si="0"/>
        <v>44372</v>
      </c>
    </row>
    <row r="8" spans="2:10" x14ac:dyDescent="0.3">
      <c r="B8" s="6" t="s">
        <v>17</v>
      </c>
      <c r="C8" s="22">
        <v>482000</v>
      </c>
      <c r="D8" s="22">
        <v>157500</v>
      </c>
      <c r="E8" s="22"/>
      <c r="F8" s="22">
        <v>162000</v>
      </c>
      <c r="G8" s="22"/>
      <c r="H8" s="12">
        <f t="shared" si="0"/>
        <v>44372</v>
      </c>
    </row>
    <row r="9" spans="2:10" ht="15.6" x14ac:dyDescent="0.3">
      <c r="B9" s="34" t="s">
        <v>0</v>
      </c>
      <c r="C9" s="60"/>
      <c r="D9" s="46"/>
      <c r="E9" s="60"/>
      <c r="F9" s="46"/>
      <c r="G9" s="61"/>
      <c r="H9" s="12">
        <f t="shared" si="0"/>
        <v>44372</v>
      </c>
    </row>
    <row r="10" spans="2:10" ht="16.2" customHeight="1" x14ac:dyDescent="0.3">
      <c r="B10" s="6" t="s">
        <v>25</v>
      </c>
      <c r="C10" s="22">
        <v>378000</v>
      </c>
      <c r="D10" s="22"/>
      <c r="E10" s="22"/>
      <c r="F10" s="22">
        <v>108000</v>
      </c>
      <c r="G10" s="22"/>
      <c r="H10" s="12">
        <f t="shared" si="0"/>
        <v>44372</v>
      </c>
    </row>
    <row r="11" spans="2:10" ht="13.5" customHeight="1" x14ac:dyDescent="0.3">
      <c r="B11" s="6" t="s">
        <v>15</v>
      </c>
      <c r="C11" s="22"/>
      <c r="D11" s="48">
        <v>158000</v>
      </c>
      <c r="E11" s="22"/>
      <c r="F11" s="48">
        <v>108000</v>
      </c>
      <c r="G11" s="22"/>
      <c r="H11" s="12">
        <f t="shared" si="0"/>
        <v>44372</v>
      </c>
    </row>
    <row r="12" spans="2:10" x14ac:dyDescent="0.3">
      <c r="B12" s="6" t="s">
        <v>54</v>
      </c>
      <c r="C12" s="22"/>
      <c r="D12" s="22">
        <v>108000</v>
      </c>
      <c r="E12" s="22"/>
      <c r="F12" s="22"/>
      <c r="G12" s="22"/>
      <c r="H12" s="67">
        <f t="shared" si="0"/>
        <v>44372</v>
      </c>
    </row>
    <row r="13" spans="2:10" x14ac:dyDescent="0.3">
      <c r="B13" s="6" t="s">
        <v>26</v>
      </c>
      <c r="C13" s="22"/>
      <c r="D13" s="22">
        <v>207000</v>
      </c>
      <c r="E13" s="22"/>
      <c r="F13" s="22">
        <v>108000</v>
      </c>
      <c r="G13" s="22"/>
      <c r="H13" s="12">
        <f t="shared" si="0"/>
        <v>44372</v>
      </c>
    </row>
    <row r="14" spans="2:10" x14ac:dyDescent="0.3">
      <c r="B14" s="6" t="s">
        <v>22</v>
      </c>
      <c r="C14" s="23"/>
      <c r="D14" s="22"/>
      <c r="E14" s="23"/>
      <c r="F14" s="22"/>
      <c r="G14" s="23"/>
      <c r="H14" s="12">
        <f t="shared" si="0"/>
        <v>44372</v>
      </c>
      <c r="J14" s="4"/>
    </row>
    <row r="15" spans="2:10" x14ac:dyDescent="0.3">
      <c r="B15" s="6" t="s">
        <v>61</v>
      </c>
      <c r="C15" s="23"/>
      <c r="D15" s="22"/>
      <c r="E15" s="23"/>
      <c r="F15" s="22"/>
      <c r="G15" s="23"/>
      <c r="H15" s="97">
        <f t="shared" si="0"/>
        <v>44372</v>
      </c>
      <c r="J15" s="4"/>
    </row>
    <row r="16" spans="2:10" x14ac:dyDescent="0.3">
      <c r="B16" s="6" t="s">
        <v>19</v>
      </c>
      <c r="C16" s="22">
        <v>45000</v>
      </c>
      <c r="D16" s="22"/>
      <c r="E16" s="22"/>
      <c r="F16" s="22"/>
      <c r="G16" s="22">
        <v>536000</v>
      </c>
      <c r="H16" s="12">
        <f t="shared" si="0"/>
        <v>44372</v>
      </c>
    </row>
    <row r="17" spans="1:8" x14ac:dyDescent="0.3">
      <c r="B17" s="6" t="s">
        <v>14</v>
      </c>
      <c r="C17" s="22">
        <v>315000</v>
      </c>
      <c r="D17" s="22">
        <v>162000</v>
      </c>
      <c r="E17" s="22"/>
      <c r="F17" s="22"/>
      <c r="G17" s="22">
        <v>594000</v>
      </c>
      <c r="H17" s="12">
        <f t="shared" si="0"/>
        <v>44372</v>
      </c>
    </row>
    <row r="18" spans="1:8" x14ac:dyDescent="0.3">
      <c r="B18" s="6" t="s">
        <v>24</v>
      </c>
      <c r="C18" s="22"/>
      <c r="D18" s="49"/>
      <c r="E18" s="22"/>
      <c r="F18" s="49"/>
      <c r="G18" s="22"/>
      <c r="H18" s="12">
        <f t="shared" si="0"/>
        <v>44372</v>
      </c>
    </row>
    <row r="19" spans="1:8" x14ac:dyDescent="0.3">
      <c r="B19" s="6" t="s">
        <v>21</v>
      </c>
      <c r="C19" s="22">
        <v>149000</v>
      </c>
      <c r="D19" s="22">
        <v>157500</v>
      </c>
      <c r="E19" s="22"/>
      <c r="F19" s="22"/>
      <c r="G19" s="22"/>
      <c r="H19" s="12">
        <f t="shared" si="0"/>
        <v>44372</v>
      </c>
    </row>
    <row r="20" spans="1:8" x14ac:dyDescent="0.3">
      <c r="B20" s="6" t="s">
        <v>18</v>
      </c>
      <c r="C20" s="22"/>
      <c r="D20" s="22"/>
      <c r="E20" s="22"/>
      <c r="F20" s="22"/>
      <c r="G20" s="22"/>
      <c r="H20" s="12">
        <f t="shared" si="0"/>
        <v>44372</v>
      </c>
    </row>
    <row r="21" spans="1:8" x14ac:dyDescent="0.3">
      <c r="B21" s="6" t="s">
        <v>16</v>
      </c>
      <c r="C21" s="22"/>
      <c r="D21" s="22"/>
      <c r="E21" s="22"/>
      <c r="F21" s="22"/>
      <c r="G21" s="22"/>
      <c r="H21" s="12">
        <f t="shared" si="0"/>
        <v>44372</v>
      </c>
    </row>
    <row r="22" spans="1:8" x14ac:dyDescent="0.3">
      <c r="B22" s="50" t="s">
        <v>27</v>
      </c>
      <c r="C22" s="51">
        <f>SUM(June25_2021373[KSI_AGO])</f>
        <v>1369000</v>
      </c>
      <c r="D22" s="51">
        <f>SUBTOTAL(109,June25_2021373[KSI_PMS])</f>
        <v>1054000</v>
      </c>
      <c r="E22" s="51">
        <f>SUM(June25_2021373[BUIPE_AGO])</f>
        <v>0</v>
      </c>
      <c r="F22" s="51">
        <f>SUM(June25_2021373[BUIPE_PMS])</f>
        <v>486000</v>
      </c>
      <c r="G22" s="51">
        <f>SUM(June25_2021373[AKOSOMBO_AGO])</f>
        <v>1130000</v>
      </c>
      <c r="H22" s="52"/>
    </row>
    <row r="23" spans="1:8" x14ac:dyDescent="0.3">
      <c r="B23" s="8"/>
      <c r="C23" s="24"/>
      <c r="D23" s="24"/>
      <c r="E23" s="24"/>
      <c r="F23" s="24"/>
      <c r="G23" s="24"/>
      <c r="H23"/>
    </row>
    <row r="24" spans="1:8" x14ac:dyDescent="0.3">
      <c r="B24" s="1" t="s">
        <v>6</v>
      </c>
      <c r="C24" s="1" t="s">
        <v>4</v>
      </c>
      <c r="D24" s="5">
        <f>SUMIF(June25_2021373[[#Headers],[KSI_AGO]:[AKOSOMBO_AGO]],"*"&amp;C24,June25_2021373[[#Totals],[KSI_AGO]:[AKOSOMBO_AGO]])</f>
        <v>2499000</v>
      </c>
      <c r="E24" s="1" t="s">
        <v>5</v>
      </c>
      <c r="F24" s="5">
        <f>SUMIF(June25_2021373[[#Headers],[KSI_AGO]:[AKOSOMBO_AGO]],"*"&amp;E24,June25_2021373[[#Totals],[KSI_AGO]:[AKOSOMBO_AGO]])</f>
        <v>1540000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12BFB35E-837F-40BC-ACEE-7D1129323718}">
      <formula1>INDIRECT("BDC_List[BDC List]")</formula1>
    </dataValidation>
  </dataValidations>
  <pageMargins left="0.7" right="0.7" top="0.75" bottom="0.75" header="0.3" footer="0.3"/>
  <tableParts count="1">
    <tablePart r:id="rId1"/>
  </tableParts>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99B0-C0E1-462F-A288-7B11843FEA3B}">
  <sheetPr codeName="Sheet381"/>
  <dimension ref="A1:J34"/>
  <sheetViews>
    <sheetView workbookViewId="0">
      <selection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44375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44375</v>
      </c>
    </row>
    <row r="7" spans="2:10" x14ac:dyDescent="0.3">
      <c r="B7" s="6" t="s">
        <v>37</v>
      </c>
      <c r="C7" s="49"/>
      <c r="D7" s="22"/>
      <c r="E7" s="22"/>
      <c r="F7" s="22"/>
      <c r="G7" s="22"/>
      <c r="H7" s="67">
        <f t="shared" si="0"/>
        <v>44375</v>
      </c>
    </row>
    <row r="8" spans="2:10" x14ac:dyDescent="0.3">
      <c r="B8" s="6" t="s">
        <v>17</v>
      </c>
      <c r="C8" s="22">
        <v>378000</v>
      </c>
      <c r="D8" s="22">
        <v>216000</v>
      </c>
      <c r="E8" s="22"/>
      <c r="F8" s="22"/>
      <c r="G8" s="22"/>
      <c r="H8" s="12">
        <f t="shared" si="0"/>
        <v>44375</v>
      </c>
    </row>
    <row r="9" spans="2:10" ht="15.6" x14ac:dyDescent="0.3">
      <c r="B9" s="34" t="s">
        <v>0</v>
      </c>
      <c r="C9" s="60"/>
      <c r="D9" s="46"/>
      <c r="E9" s="60"/>
      <c r="F9" s="46"/>
      <c r="G9" s="61"/>
      <c r="H9" s="12">
        <f t="shared" si="0"/>
        <v>44375</v>
      </c>
    </row>
    <row r="10" spans="2:10" ht="16.2" customHeight="1" x14ac:dyDescent="0.3">
      <c r="B10" s="6" t="s">
        <v>25</v>
      </c>
      <c r="C10" s="22">
        <v>324000</v>
      </c>
      <c r="D10" s="22"/>
      <c r="E10" s="22"/>
      <c r="F10" s="22"/>
      <c r="G10" s="22"/>
      <c r="H10" s="12">
        <f t="shared" si="0"/>
        <v>44375</v>
      </c>
    </row>
    <row r="11" spans="2:10" ht="13.5" customHeight="1" x14ac:dyDescent="0.3">
      <c r="B11" s="6" t="s">
        <v>15</v>
      </c>
      <c r="C11" s="22"/>
      <c r="D11" s="48">
        <v>162000</v>
      </c>
      <c r="E11" s="22"/>
      <c r="F11" s="48"/>
      <c r="G11" s="22"/>
      <c r="H11" s="12">
        <f t="shared" si="0"/>
        <v>44375</v>
      </c>
    </row>
    <row r="12" spans="2:10" x14ac:dyDescent="0.3">
      <c r="B12" s="6" t="s">
        <v>54</v>
      </c>
      <c r="C12" s="22"/>
      <c r="D12" s="22">
        <v>162000</v>
      </c>
      <c r="E12" s="22"/>
      <c r="F12" s="22"/>
      <c r="G12" s="22"/>
      <c r="H12" s="67">
        <f t="shared" si="0"/>
        <v>44375</v>
      </c>
    </row>
    <row r="13" spans="2:10" x14ac:dyDescent="0.3">
      <c r="B13" s="6" t="s">
        <v>26</v>
      </c>
      <c r="C13" s="22"/>
      <c r="D13" s="22">
        <v>162000</v>
      </c>
      <c r="E13" s="22"/>
      <c r="F13" s="22"/>
      <c r="G13" s="22"/>
      <c r="H13" s="12">
        <f t="shared" si="0"/>
        <v>44375</v>
      </c>
    </row>
    <row r="14" spans="2:10" x14ac:dyDescent="0.3">
      <c r="B14" s="6" t="s">
        <v>22</v>
      </c>
      <c r="C14" s="23"/>
      <c r="D14" s="22"/>
      <c r="E14" s="23"/>
      <c r="F14" s="22"/>
      <c r="G14" s="23"/>
      <c r="H14" s="12">
        <f t="shared" si="0"/>
        <v>44375</v>
      </c>
      <c r="J14" s="4"/>
    </row>
    <row r="15" spans="2:10" x14ac:dyDescent="0.3">
      <c r="B15" s="6" t="s">
        <v>61</v>
      </c>
      <c r="C15" s="23"/>
      <c r="D15" s="22"/>
      <c r="E15" s="23"/>
      <c r="F15" s="22"/>
      <c r="G15" s="23"/>
      <c r="H15" s="75">
        <f t="shared" si="0"/>
        <v>44375</v>
      </c>
      <c r="J15" s="4"/>
    </row>
    <row r="16" spans="2:10" x14ac:dyDescent="0.3">
      <c r="B16" s="6" t="s">
        <v>19</v>
      </c>
      <c r="C16" s="22"/>
      <c r="D16" s="22"/>
      <c r="E16" s="22"/>
      <c r="F16" s="22"/>
      <c r="G16" s="22">
        <v>270000</v>
      </c>
      <c r="H16" s="12">
        <f t="shared" si="0"/>
        <v>44375</v>
      </c>
    </row>
    <row r="17" spans="1:8" x14ac:dyDescent="0.3">
      <c r="B17" s="6" t="s">
        <v>14</v>
      </c>
      <c r="C17" s="22">
        <v>427500</v>
      </c>
      <c r="D17" s="22">
        <v>211500</v>
      </c>
      <c r="E17" s="22"/>
      <c r="F17" s="22"/>
      <c r="G17" s="22">
        <v>270000</v>
      </c>
      <c r="H17" s="12">
        <f t="shared" si="0"/>
        <v>44375</v>
      </c>
    </row>
    <row r="18" spans="1:8" x14ac:dyDescent="0.3">
      <c r="B18" s="6" t="s">
        <v>24</v>
      </c>
      <c r="C18" s="22"/>
      <c r="D18" s="49"/>
      <c r="E18" s="22"/>
      <c r="F18" s="49"/>
      <c r="G18" s="22"/>
      <c r="H18" s="12">
        <f t="shared" si="0"/>
        <v>44375</v>
      </c>
    </row>
    <row r="19" spans="1:8" x14ac:dyDescent="0.3">
      <c r="B19" s="6" t="s">
        <v>21</v>
      </c>
      <c r="C19" s="22"/>
      <c r="D19" s="22">
        <v>162000</v>
      </c>
      <c r="E19" s="22"/>
      <c r="F19" s="22"/>
      <c r="G19" s="22"/>
      <c r="H19" s="12">
        <f t="shared" si="0"/>
        <v>44375</v>
      </c>
    </row>
    <row r="20" spans="1:8" x14ac:dyDescent="0.3">
      <c r="B20" s="6" t="s">
        <v>18</v>
      </c>
      <c r="C20" s="22"/>
      <c r="D20" s="22"/>
      <c r="E20" s="22"/>
      <c r="F20" s="22"/>
      <c r="G20" s="22"/>
      <c r="H20" s="12">
        <f t="shared" si="0"/>
        <v>44375</v>
      </c>
    </row>
    <row r="21" spans="1:8" x14ac:dyDescent="0.3">
      <c r="B21" s="6" t="s">
        <v>16</v>
      </c>
      <c r="C21" s="22"/>
      <c r="D21" s="22"/>
      <c r="E21" s="22"/>
      <c r="F21" s="22"/>
      <c r="G21" s="22"/>
      <c r="H21" s="12">
        <f t="shared" si="0"/>
        <v>44375</v>
      </c>
    </row>
    <row r="22" spans="1:8" x14ac:dyDescent="0.3">
      <c r="B22" s="50" t="s">
        <v>27</v>
      </c>
      <c r="C22" s="51">
        <f>SUM(June28_2021[KSI_AGO])</f>
        <v>1129500</v>
      </c>
      <c r="D22" s="51">
        <f>SUBTOTAL(109,June28_2021[KSI_PMS])</f>
        <v>1075500</v>
      </c>
      <c r="E22" s="51">
        <f>SUM(June28_2021[BUIPE_AGO])</f>
        <v>0</v>
      </c>
      <c r="F22" s="51">
        <f>SUM(June28_2021[BUIPE_PMS])</f>
        <v>0</v>
      </c>
      <c r="G22" s="51">
        <f>SUM(June28_2021[AKOSOMBO_AGO])</f>
        <v>540000</v>
      </c>
      <c r="H22" s="52"/>
    </row>
    <row r="23" spans="1:8" x14ac:dyDescent="0.3">
      <c r="B23" s="8"/>
      <c r="C23" s="24"/>
      <c r="D23" s="24"/>
      <c r="E23" s="24"/>
      <c r="F23" s="24"/>
      <c r="G23" s="24"/>
      <c r="H23"/>
    </row>
    <row r="24" spans="1:8" x14ac:dyDescent="0.3">
      <c r="B24" s="1" t="s">
        <v>6</v>
      </c>
      <c r="C24" s="1" t="s">
        <v>4</v>
      </c>
      <c r="D24" s="5">
        <f>SUMIF(June28_2021[[#Headers],[KSI_AGO]:[AKOSOMBO_AGO]],"*"&amp;C24,June28_2021[[#Totals],[KSI_AGO]:[AKOSOMBO_AGO]])</f>
        <v>1669500</v>
      </c>
      <c r="E24" s="1" t="s">
        <v>5</v>
      </c>
      <c r="F24" s="5">
        <f>SUMIF(June28_2021[[#Headers],[KSI_AGO]:[AKOSOMBO_AGO]],"*"&amp;E24,June28_2021[[#Totals],[KSI_AGO]:[AKOSOMBO_AGO]])</f>
        <v>1075500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2D591B3-A966-4DB5-A43A-0BD51F460E5D}">
      <formula1>INDIRECT("BDC_List[BDC List]")</formula1>
    </dataValidation>
  </dataValidations>
  <pageMargins left="0.7" right="0.7" top="0.75" bottom="0.75" header="0.3" footer="0.3"/>
  <tableParts count="1">
    <tablePart r:id="rId1"/>
  </tableParts>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8D14E-F109-467B-B941-E2A8DD3177E8}">
  <sheetPr codeName="Sheet382"/>
  <dimension ref="A1:J34"/>
  <sheetViews>
    <sheetView topLeftCell="A4" workbookViewId="0">
      <selection activeCell="G11" sqref="G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44376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44376</v>
      </c>
    </row>
    <row r="7" spans="2:10" x14ac:dyDescent="0.3">
      <c r="B7" s="6" t="s">
        <v>37</v>
      </c>
      <c r="C7" s="49"/>
      <c r="D7" s="22">
        <v>108000</v>
      </c>
      <c r="E7" s="22"/>
      <c r="F7" s="22"/>
      <c r="G7" s="22"/>
      <c r="H7" s="67">
        <f t="shared" si="0"/>
        <v>44376</v>
      </c>
    </row>
    <row r="8" spans="2:10" x14ac:dyDescent="0.3">
      <c r="B8" s="6" t="s">
        <v>17</v>
      </c>
      <c r="C8" s="22">
        <v>99000</v>
      </c>
      <c r="D8" s="22">
        <v>216000</v>
      </c>
      <c r="E8" s="22"/>
      <c r="F8" s="22"/>
      <c r="G8" s="22"/>
      <c r="H8" s="12">
        <f t="shared" si="0"/>
        <v>44376</v>
      </c>
    </row>
    <row r="9" spans="2:10" ht="15.6" x14ac:dyDescent="0.3">
      <c r="B9" s="34" t="s">
        <v>0</v>
      </c>
      <c r="C9" s="60"/>
      <c r="D9" s="46"/>
      <c r="E9" s="60"/>
      <c r="F9" s="46"/>
      <c r="G9" s="61"/>
      <c r="H9" s="12">
        <f t="shared" si="0"/>
        <v>44376</v>
      </c>
    </row>
    <row r="10" spans="2:10" ht="16.2" customHeight="1" x14ac:dyDescent="0.3">
      <c r="B10" s="6" t="s">
        <v>25</v>
      </c>
      <c r="C10" s="22">
        <v>146000</v>
      </c>
      <c r="D10" s="22"/>
      <c r="E10" s="22"/>
      <c r="F10" s="22"/>
      <c r="G10" s="22"/>
      <c r="H10" s="12">
        <f t="shared" si="0"/>
        <v>44376</v>
      </c>
    </row>
    <row r="11" spans="2:10" ht="13.5" customHeight="1" x14ac:dyDescent="0.3">
      <c r="B11" s="6" t="s">
        <v>15</v>
      </c>
      <c r="C11" s="22"/>
      <c r="D11" s="48">
        <v>216000</v>
      </c>
      <c r="E11" s="22"/>
      <c r="F11" s="48"/>
      <c r="G11" s="22"/>
      <c r="H11" s="12">
        <f t="shared" si="0"/>
        <v>44376</v>
      </c>
    </row>
    <row r="12" spans="2:10" x14ac:dyDescent="0.3">
      <c r="B12" s="6" t="s">
        <v>54</v>
      </c>
      <c r="C12" s="22"/>
      <c r="D12" s="22">
        <v>162000</v>
      </c>
      <c r="E12" s="22"/>
      <c r="F12" s="22"/>
      <c r="G12" s="22"/>
      <c r="H12" s="67">
        <f t="shared" si="0"/>
        <v>44376</v>
      </c>
    </row>
    <row r="13" spans="2:10" x14ac:dyDescent="0.3">
      <c r="B13" s="6" t="s">
        <v>26</v>
      </c>
      <c r="C13" s="22"/>
      <c r="D13" s="22">
        <v>99500</v>
      </c>
      <c r="E13" s="22"/>
      <c r="F13" s="22"/>
      <c r="G13" s="22"/>
      <c r="H13" s="12">
        <f t="shared" si="0"/>
        <v>44376</v>
      </c>
    </row>
    <row r="14" spans="2:10" x14ac:dyDescent="0.3">
      <c r="B14" s="6" t="s">
        <v>22</v>
      </c>
      <c r="C14" s="23"/>
      <c r="D14" s="22"/>
      <c r="E14" s="23"/>
      <c r="F14" s="22"/>
      <c r="G14" s="23"/>
      <c r="H14" s="12">
        <f t="shared" si="0"/>
        <v>44376</v>
      </c>
      <c r="J14" s="4"/>
    </row>
    <row r="15" spans="2:10" x14ac:dyDescent="0.3">
      <c r="B15" s="6" t="s">
        <v>61</v>
      </c>
      <c r="C15" s="23"/>
      <c r="D15" s="22"/>
      <c r="E15" s="23"/>
      <c r="F15" s="22"/>
      <c r="G15" s="23"/>
      <c r="H15" s="75">
        <f t="shared" si="0"/>
        <v>44376</v>
      </c>
      <c r="J15" s="4"/>
    </row>
    <row r="16" spans="2:10" x14ac:dyDescent="0.3">
      <c r="B16" s="6" t="s">
        <v>19</v>
      </c>
      <c r="C16" s="22"/>
      <c r="D16" s="22"/>
      <c r="E16" s="22"/>
      <c r="F16" s="22"/>
      <c r="G16" s="22">
        <v>540000</v>
      </c>
      <c r="H16" s="12">
        <f t="shared" si="0"/>
        <v>44376</v>
      </c>
    </row>
    <row r="17" spans="1:8" x14ac:dyDescent="0.3">
      <c r="B17" s="6" t="s">
        <v>14</v>
      </c>
      <c r="C17" s="22">
        <v>1503000</v>
      </c>
      <c r="D17" s="22">
        <v>270000</v>
      </c>
      <c r="E17" s="22"/>
      <c r="F17" s="22"/>
      <c r="G17" s="22">
        <v>135000</v>
      </c>
      <c r="H17" s="12">
        <f t="shared" si="0"/>
        <v>44376</v>
      </c>
    </row>
    <row r="18" spans="1:8" x14ac:dyDescent="0.3">
      <c r="B18" s="6" t="s">
        <v>24</v>
      </c>
      <c r="C18" s="22"/>
      <c r="D18" s="49"/>
      <c r="E18" s="22"/>
      <c r="F18" s="49"/>
      <c r="G18" s="22"/>
      <c r="H18" s="12">
        <f t="shared" si="0"/>
        <v>44376</v>
      </c>
    </row>
    <row r="19" spans="1:8" x14ac:dyDescent="0.3">
      <c r="B19" s="6" t="s">
        <v>21</v>
      </c>
      <c r="C19" s="22"/>
      <c r="D19" s="22">
        <v>270000</v>
      </c>
      <c r="E19" s="22"/>
      <c r="F19" s="22"/>
      <c r="G19" s="22"/>
      <c r="H19" s="12">
        <f t="shared" si="0"/>
        <v>44376</v>
      </c>
    </row>
    <row r="20" spans="1:8" x14ac:dyDescent="0.3">
      <c r="B20" s="6" t="s">
        <v>18</v>
      </c>
      <c r="C20" s="22"/>
      <c r="D20" s="22"/>
      <c r="E20" s="22"/>
      <c r="F20" s="22"/>
      <c r="G20" s="22"/>
      <c r="H20" s="12">
        <f t="shared" si="0"/>
        <v>44376</v>
      </c>
    </row>
    <row r="21" spans="1:8" x14ac:dyDescent="0.3">
      <c r="B21" s="6" t="s">
        <v>16</v>
      </c>
      <c r="C21" s="22">
        <v>108000</v>
      </c>
      <c r="D21" s="22"/>
      <c r="E21" s="22">
        <v>486000</v>
      </c>
      <c r="F21" s="22"/>
      <c r="G21" s="22"/>
      <c r="H21" s="12">
        <f t="shared" si="0"/>
        <v>44376</v>
      </c>
    </row>
    <row r="22" spans="1:8" x14ac:dyDescent="0.3">
      <c r="B22" s="50" t="s">
        <v>27</v>
      </c>
      <c r="C22" s="51">
        <f>SUM(June29_2021379[KSI_AGO])</f>
        <v>1856000</v>
      </c>
      <c r="D22" s="51">
        <f>SUBTOTAL(109,June29_2021379[KSI_PMS])</f>
        <v>1341500</v>
      </c>
      <c r="E22" s="51">
        <f>SUM(June29_2021379[BUIPE_AGO])</f>
        <v>486000</v>
      </c>
      <c r="F22" s="51">
        <f>SUM(June29_2021379[BUIPE_PMS])</f>
        <v>0</v>
      </c>
      <c r="G22" s="51">
        <f>SUM(June29_2021379[AKOSOMBO_AGO])</f>
        <v>675000</v>
      </c>
      <c r="H22" s="52"/>
    </row>
    <row r="23" spans="1:8" x14ac:dyDescent="0.3">
      <c r="B23" s="8"/>
      <c r="C23" s="24"/>
      <c r="D23" s="24"/>
      <c r="E23" s="24"/>
      <c r="F23" s="24"/>
      <c r="G23" s="24"/>
      <c r="H23"/>
    </row>
    <row r="24" spans="1:8" x14ac:dyDescent="0.3">
      <c r="B24" s="1" t="s">
        <v>6</v>
      </c>
      <c r="C24" s="1" t="s">
        <v>4</v>
      </c>
      <c r="D24" s="5">
        <f>SUMIF(June29_2021379[[#Headers],[KSI_AGO]:[AKOSOMBO_AGO]],"*"&amp;C24,June29_2021379[[#Totals],[KSI_AGO]:[AKOSOMBO_AGO]])</f>
        <v>3017000</v>
      </c>
      <c r="E24" s="1" t="s">
        <v>5</v>
      </c>
      <c r="F24" s="5">
        <f>SUMIF(June29_2021379[[#Headers],[KSI_AGO]:[AKOSOMBO_AGO]],"*"&amp;E24,June29_2021379[[#Totals],[KSI_AGO]:[AKOSOMBO_AGO]])</f>
        <v>1341500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743CB5A7-350B-4F46-82EC-2ACD895FDD7C}">
      <formula1>INDIRECT("BDC_List[BDC List]")</formula1>
    </dataValidation>
  </dataValidations>
  <pageMargins left="0.7" right="0.7" top="0.75" bottom="0.75" header="0.3" footer="0.3"/>
  <tableParts count="1">
    <tablePart r:id="rId1"/>
  </tableParts>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C996-DC1D-4649-8FE2-83C2D65607B7}">
  <sheetPr codeName="Sheet383"/>
  <dimension ref="A1:J34"/>
  <sheetViews>
    <sheetView workbookViewId="0">
      <selection activeCell="D12" sqref="D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44377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44377</v>
      </c>
    </row>
    <row r="7" spans="2:10" x14ac:dyDescent="0.3">
      <c r="B7" s="6" t="s">
        <v>37</v>
      </c>
      <c r="C7" s="49"/>
      <c r="D7" s="22"/>
      <c r="E7" s="22"/>
      <c r="F7" s="22"/>
      <c r="G7" s="22"/>
      <c r="H7" s="67">
        <f t="shared" si="0"/>
        <v>44377</v>
      </c>
    </row>
    <row r="8" spans="2:10" x14ac:dyDescent="0.3">
      <c r="B8" s="6" t="s">
        <v>17</v>
      </c>
      <c r="C8" s="22">
        <v>270000</v>
      </c>
      <c r="D8" s="22">
        <v>207000</v>
      </c>
      <c r="E8" s="22"/>
      <c r="F8" s="22"/>
      <c r="G8" s="22"/>
      <c r="H8" s="12">
        <f t="shared" si="0"/>
        <v>44377</v>
      </c>
    </row>
    <row r="9" spans="2:10" ht="15.6" x14ac:dyDescent="0.3">
      <c r="B9" s="34" t="s">
        <v>0</v>
      </c>
      <c r="C9" s="60"/>
      <c r="D9" s="46"/>
      <c r="E9" s="60"/>
      <c r="F9" s="46"/>
      <c r="G9" s="61"/>
      <c r="H9" s="12">
        <f t="shared" si="0"/>
        <v>44377</v>
      </c>
    </row>
    <row r="10" spans="2:10" ht="16.2" customHeight="1" x14ac:dyDescent="0.3">
      <c r="B10" s="6" t="s">
        <v>25</v>
      </c>
      <c r="C10" s="22"/>
      <c r="D10" s="22"/>
      <c r="E10" s="22"/>
      <c r="F10" s="22"/>
      <c r="G10" s="22">
        <v>698000</v>
      </c>
      <c r="H10" s="12">
        <f t="shared" si="0"/>
        <v>44377</v>
      </c>
    </row>
    <row r="11" spans="2:10" ht="13.5" customHeight="1" x14ac:dyDescent="0.3">
      <c r="B11" s="6" t="s">
        <v>15</v>
      </c>
      <c r="C11" s="22"/>
      <c r="D11" s="48">
        <v>216000</v>
      </c>
      <c r="E11" s="22"/>
      <c r="F11" s="48"/>
      <c r="G11" s="22"/>
      <c r="H11" s="12">
        <f t="shared" si="0"/>
        <v>44377</v>
      </c>
    </row>
    <row r="12" spans="2:10" x14ac:dyDescent="0.3">
      <c r="B12" s="6" t="s">
        <v>54</v>
      </c>
      <c r="C12" s="22"/>
      <c r="D12" s="22">
        <v>157500</v>
      </c>
      <c r="E12" s="22"/>
      <c r="F12" s="22"/>
      <c r="G12" s="22"/>
      <c r="H12" s="67">
        <f t="shared" si="0"/>
        <v>44377</v>
      </c>
    </row>
    <row r="13" spans="2:10" x14ac:dyDescent="0.3">
      <c r="B13" s="6" t="s">
        <v>26</v>
      </c>
      <c r="C13" s="22"/>
      <c r="D13" s="22"/>
      <c r="E13" s="22"/>
      <c r="F13" s="22"/>
      <c r="G13" s="22"/>
      <c r="H13" s="12">
        <f t="shared" si="0"/>
        <v>44377</v>
      </c>
    </row>
    <row r="14" spans="2:10" x14ac:dyDescent="0.3">
      <c r="B14" s="6" t="s">
        <v>22</v>
      </c>
      <c r="C14" s="23"/>
      <c r="D14" s="22"/>
      <c r="E14" s="23"/>
      <c r="F14" s="22"/>
      <c r="G14" s="23"/>
      <c r="H14" s="12">
        <f t="shared" si="0"/>
        <v>44377</v>
      </c>
      <c r="J14" s="4"/>
    </row>
    <row r="15" spans="2:10" x14ac:dyDescent="0.3">
      <c r="B15" s="6" t="s">
        <v>61</v>
      </c>
      <c r="C15" s="23"/>
      <c r="D15" s="22"/>
      <c r="E15" s="23"/>
      <c r="F15" s="22"/>
      <c r="G15" s="23"/>
      <c r="H15" s="67">
        <f t="shared" si="0"/>
        <v>44377</v>
      </c>
      <c r="J15" s="4"/>
    </row>
    <row r="16" spans="2:10" x14ac:dyDescent="0.3">
      <c r="B16" s="6" t="s">
        <v>19</v>
      </c>
      <c r="C16" s="22"/>
      <c r="D16" s="22"/>
      <c r="E16" s="22"/>
      <c r="F16" s="22"/>
      <c r="G16" s="22"/>
      <c r="H16" s="12">
        <f t="shared" si="0"/>
        <v>44377</v>
      </c>
    </row>
    <row r="17" spans="1:8" x14ac:dyDescent="0.3">
      <c r="B17" s="6" t="s">
        <v>14</v>
      </c>
      <c r="C17" s="22">
        <v>702000</v>
      </c>
      <c r="D17" s="22">
        <v>647000</v>
      </c>
      <c r="E17" s="22"/>
      <c r="F17" s="22"/>
      <c r="G17" s="22"/>
      <c r="H17" s="12">
        <f t="shared" si="0"/>
        <v>44377</v>
      </c>
    </row>
    <row r="18" spans="1:8" x14ac:dyDescent="0.3">
      <c r="B18" s="6" t="s">
        <v>24</v>
      </c>
      <c r="C18" s="22"/>
      <c r="D18" s="49"/>
      <c r="E18" s="22"/>
      <c r="F18" s="49"/>
      <c r="G18" s="22"/>
      <c r="H18" s="12">
        <f t="shared" si="0"/>
        <v>44377</v>
      </c>
    </row>
    <row r="19" spans="1:8" x14ac:dyDescent="0.3">
      <c r="B19" s="6" t="s">
        <v>21</v>
      </c>
      <c r="C19" s="22"/>
      <c r="D19" s="22">
        <v>536000</v>
      </c>
      <c r="E19" s="22"/>
      <c r="F19" s="22"/>
      <c r="G19" s="22"/>
      <c r="H19" s="12">
        <f t="shared" si="0"/>
        <v>44377</v>
      </c>
    </row>
    <row r="20" spans="1:8" x14ac:dyDescent="0.3">
      <c r="B20" s="6" t="s">
        <v>18</v>
      </c>
      <c r="C20" s="22"/>
      <c r="D20" s="22"/>
      <c r="E20" s="22"/>
      <c r="F20" s="22"/>
      <c r="G20" s="22"/>
      <c r="H20" s="12">
        <f t="shared" si="0"/>
        <v>44377</v>
      </c>
    </row>
    <row r="21" spans="1:8" x14ac:dyDescent="0.3">
      <c r="B21" s="6" t="s">
        <v>16</v>
      </c>
      <c r="C21" s="22">
        <v>359000</v>
      </c>
      <c r="D21" s="22"/>
      <c r="E21" s="22">
        <v>162000</v>
      </c>
      <c r="F21" s="22"/>
      <c r="G21" s="22"/>
      <c r="H21" s="12">
        <f t="shared" si="0"/>
        <v>44377</v>
      </c>
    </row>
    <row r="22" spans="1:8" x14ac:dyDescent="0.3">
      <c r="B22" s="50" t="s">
        <v>27</v>
      </c>
      <c r="C22" s="51">
        <f>SUM(June30_2021385[KSI_AGO])</f>
        <v>1331000</v>
      </c>
      <c r="D22" s="51">
        <f>SUBTOTAL(109,June30_2021385[KSI_PMS])</f>
        <v>1763500</v>
      </c>
      <c r="E22" s="51">
        <f>SUM(June30_2021385[BUIPE_AGO])</f>
        <v>162000</v>
      </c>
      <c r="F22" s="51">
        <f>SUM(June30_2021385[BUIPE_PMS])</f>
        <v>0</v>
      </c>
      <c r="G22" s="51">
        <f>SUM(June30_2021385[AKOSOMBO_AGO])</f>
        <v>698000</v>
      </c>
      <c r="H22" s="52"/>
    </row>
    <row r="23" spans="1:8" x14ac:dyDescent="0.3">
      <c r="B23" s="8"/>
      <c r="C23" s="24"/>
      <c r="D23" s="24"/>
      <c r="E23" s="24"/>
      <c r="F23" s="24"/>
      <c r="G23" s="24"/>
      <c r="H23"/>
    </row>
    <row r="24" spans="1:8" x14ac:dyDescent="0.3">
      <c r="B24" s="1" t="s">
        <v>6</v>
      </c>
      <c r="C24" s="1" t="s">
        <v>4</v>
      </c>
      <c r="D24" s="5">
        <f>SUMIF(June30_2021385[[#Headers],[KSI_AGO]:[AKOSOMBO_AGO]],"*"&amp;C24,June30_2021385[[#Totals],[KSI_AGO]:[AKOSOMBO_AGO]])</f>
        <v>2191000</v>
      </c>
      <c r="E24" s="1" t="s">
        <v>5</v>
      </c>
      <c r="F24" s="5">
        <f>SUMIF(June30_2021385[[#Headers],[KSI_AGO]:[AKOSOMBO_AGO]],"*"&amp;E24,June30_2021385[[#Totals],[KSI_AGO]:[AKOSOMBO_AGO]])</f>
        <v>1763500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791061CA-CEB7-40FA-9EB9-3B04046010AD}">
      <formula1>INDIRECT("BDC_List[BDC List]")</formula1>
    </dataValidation>
  </dataValidations>
  <pageMargins left="0.7" right="0.7" top="0.75" bottom="0.75" header="0.3" footer="0.3"/>
  <tableParts count="1">
    <tablePart r:id="rId1"/>
  </tableParts>
</worksheet>
</file>

<file path=xl/worksheets/sheet3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25B9-3AC0-4ACC-AA3E-0C6015800A20}">
  <sheetPr codeName="Sheet384"/>
  <dimension ref="A1:J34"/>
  <sheetViews>
    <sheetView workbookViewId="0">
      <selection activeCell="B23" sqref="B2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44379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44379</v>
      </c>
    </row>
    <row r="7" spans="2:10" x14ac:dyDescent="0.3">
      <c r="B7" s="6" t="s">
        <v>37</v>
      </c>
      <c r="C7" s="49"/>
      <c r="D7" s="22">
        <v>54000</v>
      </c>
      <c r="E7" s="22"/>
      <c r="F7" s="22"/>
      <c r="G7" s="22"/>
      <c r="H7" s="67">
        <f t="shared" si="0"/>
        <v>44379</v>
      </c>
    </row>
    <row r="8" spans="2:10" x14ac:dyDescent="0.3">
      <c r="B8" s="6" t="s">
        <v>17</v>
      </c>
      <c r="C8" s="22"/>
      <c r="D8" s="22">
        <v>54000</v>
      </c>
      <c r="E8" s="22"/>
      <c r="F8" s="22">
        <v>108000</v>
      </c>
      <c r="G8" s="22"/>
      <c r="H8" s="12">
        <f t="shared" si="0"/>
        <v>44379</v>
      </c>
    </row>
    <row r="9" spans="2:10" ht="15.6" x14ac:dyDescent="0.3">
      <c r="B9" s="34" t="s">
        <v>0</v>
      </c>
      <c r="C9" s="60"/>
      <c r="D9" s="46"/>
      <c r="E9" s="60"/>
      <c r="F9" s="46"/>
      <c r="G9" s="61">
        <v>200000</v>
      </c>
      <c r="H9" s="12">
        <f t="shared" si="0"/>
        <v>44379</v>
      </c>
    </row>
    <row r="10" spans="2:10" ht="16.2" customHeight="1" x14ac:dyDescent="0.3">
      <c r="B10" s="6" t="s">
        <v>25</v>
      </c>
      <c r="C10" s="22"/>
      <c r="D10" s="22"/>
      <c r="E10" s="22"/>
      <c r="F10" s="22">
        <v>108000</v>
      </c>
      <c r="G10" s="22">
        <v>302000</v>
      </c>
      <c r="H10" s="12">
        <f t="shared" si="0"/>
        <v>44379</v>
      </c>
    </row>
    <row r="11" spans="2:10" ht="13.5" customHeight="1" x14ac:dyDescent="0.3">
      <c r="B11" s="6" t="s">
        <v>15</v>
      </c>
      <c r="C11" s="22"/>
      <c r="D11" s="48"/>
      <c r="E11" s="22"/>
      <c r="F11" s="48">
        <v>108000</v>
      </c>
      <c r="G11" s="22"/>
      <c r="H11" s="12">
        <f t="shared" si="0"/>
        <v>44379</v>
      </c>
    </row>
    <row r="12" spans="2:10" x14ac:dyDescent="0.3">
      <c r="B12" s="6" t="s">
        <v>54</v>
      </c>
      <c r="C12" s="22"/>
      <c r="D12" s="22"/>
      <c r="E12" s="22"/>
      <c r="F12" s="22"/>
      <c r="G12" s="22"/>
      <c r="H12" s="67">
        <f t="shared" si="0"/>
        <v>44379</v>
      </c>
    </row>
    <row r="13" spans="2:10" x14ac:dyDescent="0.3">
      <c r="B13" s="6" t="s">
        <v>26</v>
      </c>
      <c r="C13" s="22"/>
      <c r="D13" s="22"/>
      <c r="E13" s="22"/>
      <c r="F13" s="22">
        <v>54000</v>
      </c>
      <c r="G13" s="22"/>
      <c r="H13" s="12">
        <f t="shared" si="0"/>
        <v>44379</v>
      </c>
    </row>
    <row r="14" spans="2:10" x14ac:dyDescent="0.3">
      <c r="B14" s="6" t="s">
        <v>22</v>
      </c>
      <c r="C14" s="23"/>
      <c r="D14" s="22"/>
      <c r="E14" s="23"/>
      <c r="F14" s="22"/>
      <c r="G14" s="23"/>
      <c r="H14" s="12">
        <f t="shared" si="0"/>
        <v>44379</v>
      </c>
      <c r="J14" s="4"/>
    </row>
    <row r="15" spans="2:10" x14ac:dyDescent="0.3">
      <c r="B15" s="6" t="s">
        <v>61</v>
      </c>
      <c r="C15" s="23"/>
      <c r="D15" s="22"/>
      <c r="E15" s="23"/>
      <c r="F15" s="22"/>
      <c r="G15" s="23"/>
      <c r="H15" s="67">
        <f t="shared" si="0"/>
        <v>44379</v>
      </c>
      <c r="J15" s="4"/>
    </row>
    <row r="16" spans="2:10" x14ac:dyDescent="0.3">
      <c r="B16" s="6" t="s">
        <v>19</v>
      </c>
      <c r="C16" s="22">
        <v>1778000</v>
      </c>
      <c r="D16" s="22">
        <v>927000</v>
      </c>
      <c r="E16" s="22"/>
      <c r="F16" s="22"/>
      <c r="G16" s="22"/>
      <c r="H16" s="12">
        <f t="shared" si="0"/>
        <v>44379</v>
      </c>
    </row>
    <row r="17" spans="1:8" x14ac:dyDescent="0.3">
      <c r="B17" s="6" t="s">
        <v>14</v>
      </c>
      <c r="C17" s="22"/>
      <c r="D17" s="22">
        <v>162000</v>
      </c>
      <c r="E17" s="22"/>
      <c r="F17" s="22"/>
      <c r="G17" s="22"/>
      <c r="H17" s="12">
        <f t="shared" si="0"/>
        <v>44379</v>
      </c>
    </row>
    <row r="18" spans="1:8" x14ac:dyDescent="0.3">
      <c r="B18" s="6" t="s">
        <v>24</v>
      </c>
      <c r="C18" s="22"/>
      <c r="D18" s="49"/>
      <c r="E18" s="22"/>
      <c r="F18" s="49"/>
      <c r="G18" s="22"/>
      <c r="H18" s="12">
        <f t="shared" si="0"/>
        <v>44379</v>
      </c>
    </row>
    <row r="19" spans="1:8" x14ac:dyDescent="0.3">
      <c r="B19" s="6" t="s">
        <v>21</v>
      </c>
      <c r="C19" s="22"/>
      <c r="D19" s="22"/>
      <c r="E19" s="22"/>
      <c r="F19" s="22"/>
      <c r="G19" s="22"/>
      <c r="H19" s="12">
        <f t="shared" si="0"/>
        <v>44379</v>
      </c>
    </row>
    <row r="20" spans="1:8" x14ac:dyDescent="0.3">
      <c r="B20" s="6" t="s">
        <v>18</v>
      </c>
      <c r="C20" s="22"/>
      <c r="D20" s="22"/>
      <c r="E20" s="22"/>
      <c r="F20" s="22"/>
      <c r="G20" s="22"/>
      <c r="H20" s="12">
        <f t="shared" si="0"/>
        <v>44379</v>
      </c>
    </row>
    <row r="21" spans="1:8" x14ac:dyDescent="0.3">
      <c r="B21" s="6" t="s">
        <v>16</v>
      </c>
      <c r="C21" s="22"/>
      <c r="D21" s="22">
        <v>526500</v>
      </c>
      <c r="E21" s="22"/>
      <c r="F21" s="22">
        <v>108000</v>
      </c>
      <c r="G21" s="22"/>
      <c r="H21" s="12">
        <f t="shared" si="0"/>
        <v>44379</v>
      </c>
    </row>
    <row r="22" spans="1:8" x14ac:dyDescent="0.3">
      <c r="B22" s="50" t="s">
        <v>27</v>
      </c>
      <c r="C22" s="51">
        <f>SUM(July02_2021404[KSI_AGO])</f>
        <v>1778000</v>
      </c>
      <c r="D22" s="51">
        <f>SUBTOTAL(109,July02_2021404[KSI_PMS])</f>
        <v>1723500</v>
      </c>
      <c r="E22" s="51">
        <f>SUM(July02_2021404[BUIPE_AGO])</f>
        <v>0</v>
      </c>
      <c r="F22" s="51">
        <f>SUM(July02_2021404[BUIPE_PMS])</f>
        <v>486000</v>
      </c>
      <c r="G22" s="51">
        <f>SUM(July02_2021404[AKOSOMBO_AGO])</f>
        <v>502000</v>
      </c>
      <c r="H22" s="52"/>
    </row>
    <row r="23" spans="1:8" x14ac:dyDescent="0.3">
      <c r="B23" s="8"/>
      <c r="C23" s="24"/>
      <c r="D23" s="24"/>
      <c r="E23" s="24"/>
      <c r="F23" s="24"/>
      <c r="G23" s="24"/>
      <c r="H23"/>
    </row>
    <row r="24" spans="1:8" x14ac:dyDescent="0.3">
      <c r="B24" s="1" t="s">
        <v>6</v>
      </c>
      <c r="C24" s="1" t="s">
        <v>4</v>
      </c>
      <c r="D24" s="5">
        <f>SUMIF(July02_2021404[[#Headers],[KSI_AGO]:[AKOSOMBO_AGO]],"*"&amp;C24,July02_2021404[[#Totals],[KSI_AGO]:[AKOSOMBO_AGO]])</f>
        <v>2280000</v>
      </c>
      <c r="E24" s="1" t="s">
        <v>5</v>
      </c>
      <c r="F24" s="5">
        <f>SUMIF(July02_2021404[[#Headers],[KSI_AGO]:[AKOSOMBO_AGO]],"*"&amp;E24,July02_2021404[[#Totals],[KSI_AGO]:[AKOSOMBO_AGO]])</f>
        <v>2209500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5C041A9-1A44-4167-99D7-E5FB60686FE8}">
      <formula1>INDIRECT("BDC_List[BDC List]")</formula1>
    </dataValidation>
  </dataValidations>
  <pageMargins left="0.7" right="0.7" top="0.75" bottom="0.75" header="0.3" footer="0.3"/>
  <legacyDrawing r:id="rId1"/>
  <tableParts count="1">
    <tablePart r:id="rId2"/>
  </tableParts>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D3AEF-9CCF-4106-A0F8-1E0E9534F43E}">
  <sheetPr codeName="Sheet385"/>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44382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44382</v>
      </c>
    </row>
    <row r="7" spans="2:10" x14ac:dyDescent="0.3">
      <c r="B7" s="6" t="s">
        <v>37</v>
      </c>
      <c r="C7" s="49"/>
      <c r="D7" s="22"/>
      <c r="E7" s="22"/>
      <c r="F7" s="22"/>
      <c r="G7" s="22"/>
      <c r="H7" s="67">
        <f t="shared" si="0"/>
        <v>44382</v>
      </c>
    </row>
    <row r="8" spans="2:10" x14ac:dyDescent="0.3">
      <c r="B8" s="6" t="s">
        <v>17</v>
      </c>
      <c r="C8" s="22"/>
      <c r="D8" s="22"/>
      <c r="E8" s="22"/>
      <c r="F8" s="22">
        <v>162000</v>
      </c>
      <c r="G8" s="22"/>
      <c r="H8" s="12">
        <f t="shared" si="0"/>
        <v>44382</v>
      </c>
    </row>
    <row r="9" spans="2:10" ht="15.6" x14ac:dyDescent="0.3">
      <c r="B9" s="34" t="s">
        <v>0</v>
      </c>
      <c r="C9" s="60"/>
      <c r="D9" s="46"/>
      <c r="E9" s="60"/>
      <c r="F9" s="46"/>
      <c r="G9" s="61"/>
      <c r="H9" s="12">
        <f t="shared" si="0"/>
        <v>44382</v>
      </c>
    </row>
    <row r="10" spans="2:10" ht="16.2" customHeight="1" x14ac:dyDescent="0.3">
      <c r="B10" s="6" t="s">
        <v>25</v>
      </c>
      <c r="C10" s="22"/>
      <c r="D10" s="22"/>
      <c r="E10" s="22"/>
      <c r="F10" s="22"/>
      <c r="G10" s="22"/>
      <c r="H10" s="12">
        <f t="shared" si="0"/>
        <v>44382</v>
      </c>
    </row>
    <row r="11" spans="2:10" ht="13.5" customHeight="1" x14ac:dyDescent="0.3">
      <c r="B11" s="6" t="s">
        <v>15</v>
      </c>
      <c r="C11" s="22"/>
      <c r="D11" s="48"/>
      <c r="E11" s="22"/>
      <c r="F11" s="48">
        <v>162000</v>
      </c>
      <c r="G11" s="22"/>
      <c r="H11" s="12">
        <f t="shared" si="0"/>
        <v>44382</v>
      </c>
    </row>
    <row r="12" spans="2:10" x14ac:dyDescent="0.3">
      <c r="B12" s="6" t="s">
        <v>54</v>
      </c>
      <c r="C12" s="22"/>
      <c r="D12" s="22">
        <v>162000</v>
      </c>
      <c r="E12" s="22"/>
      <c r="F12" s="22"/>
      <c r="G12" s="22"/>
      <c r="H12" s="67">
        <f t="shared" si="0"/>
        <v>44382</v>
      </c>
    </row>
    <row r="13" spans="2:10" x14ac:dyDescent="0.3">
      <c r="B13" s="6" t="s">
        <v>26</v>
      </c>
      <c r="C13" s="22"/>
      <c r="D13" s="22"/>
      <c r="E13" s="22"/>
      <c r="F13" s="22"/>
      <c r="G13" s="22"/>
      <c r="H13" s="12">
        <f t="shared" si="0"/>
        <v>44382</v>
      </c>
    </row>
    <row r="14" spans="2:10" x14ac:dyDescent="0.3">
      <c r="B14" s="6" t="s">
        <v>22</v>
      </c>
      <c r="C14" s="23"/>
      <c r="D14" s="22"/>
      <c r="E14" s="23"/>
      <c r="F14" s="22"/>
      <c r="G14" s="23"/>
      <c r="H14" s="12">
        <f t="shared" si="0"/>
        <v>44382</v>
      </c>
      <c r="J14" s="4"/>
    </row>
    <row r="15" spans="2:10" x14ac:dyDescent="0.3">
      <c r="B15" s="6" t="s">
        <v>61</v>
      </c>
      <c r="C15" s="23"/>
      <c r="D15" s="22"/>
      <c r="E15" s="23"/>
      <c r="F15" s="22"/>
      <c r="G15" s="23"/>
      <c r="H15" s="67">
        <f t="shared" si="0"/>
        <v>44382</v>
      </c>
      <c r="J15" s="4"/>
    </row>
    <row r="16" spans="2:10" x14ac:dyDescent="0.3">
      <c r="B16" s="6" t="s">
        <v>19</v>
      </c>
      <c r="C16" s="62">
        <v>216000</v>
      </c>
      <c r="D16" s="22">
        <v>523000</v>
      </c>
      <c r="E16" s="22"/>
      <c r="F16" s="22"/>
      <c r="G16" s="22"/>
      <c r="H16" s="12">
        <f t="shared" si="0"/>
        <v>44382</v>
      </c>
    </row>
    <row r="17" spans="1:8" x14ac:dyDescent="0.3">
      <c r="B17" s="6" t="s">
        <v>14</v>
      </c>
      <c r="C17" s="22">
        <v>49500</v>
      </c>
      <c r="D17" s="22">
        <v>103500</v>
      </c>
      <c r="E17" s="22"/>
      <c r="F17" s="22"/>
      <c r="G17" s="22"/>
      <c r="H17" s="12">
        <f t="shared" si="0"/>
        <v>44382</v>
      </c>
    </row>
    <row r="18" spans="1:8" x14ac:dyDescent="0.3">
      <c r="B18" s="6" t="s">
        <v>24</v>
      </c>
      <c r="C18" s="22"/>
      <c r="D18" s="49"/>
      <c r="E18" s="22"/>
      <c r="F18" s="49"/>
      <c r="G18" s="22"/>
      <c r="H18" s="12">
        <f t="shared" si="0"/>
        <v>44382</v>
      </c>
    </row>
    <row r="19" spans="1:8" x14ac:dyDescent="0.3">
      <c r="B19" s="6" t="s">
        <v>21</v>
      </c>
      <c r="C19" s="22"/>
      <c r="D19" s="22">
        <v>216000</v>
      </c>
      <c r="E19" s="22"/>
      <c r="F19" s="22"/>
      <c r="G19" s="22"/>
      <c r="H19" s="12">
        <f t="shared" si="0"/>
        <v>44382</v>
      </c>
    </row>
    <row r="20" spans="1:8" x14ac:dyDescent="0.3">
      <c r="B20" s="6" t="s">
        <v>18</v>
      </c>
      <c r="C20" s="22"/>
      <c r="D20" s="22"/>
      <c r="E20" s="22"/>
      <c r="F20" s="22"/>
      <c r="G20" s="22"/>
      <c r="H20" s="12">
        <f t="shared" si="0"/>
        <v>44382</v>
      </c>
    </row>
    <row r="21" spans="1:8" x14ac:dyDescent="0.3">
      <c r="B21" s="6" t="s">
        <v>16</v>
      </c>
      <c r="C21" s="22"/>
      <c r="D21" s="22">
        <v>324000</v>
      </c>
      <c r="E21" s="22">
        <v>50000</v>
      </c>
      <c r="F21" s="22">
        <v>162000</v>
      </c>
      <c r="G21" s="22"/>
      <c r="H21" s="12">
        <f t="shared" si="0"/>
        <v>44382</v>
      </c>
    </row>
    <row r="22" spans="1:8" x14ac:dyDescent="0.3">
      <c r="B22" s="50" t="s">
        <v>27</v>
      </c>
      <c r="C22" s="51">
        <f>SUM(July05_2021413[KSI_AGO])</f>
        <v>265500</v>
      </c>
      <c r="D22" s="51">
        <f>SUBTOTAL(109,July05_2021413[KSI_PMS])</f>
        <v>1328500</v>
      </c>
      <c r="E22" s="51">
        <f>SUM(July05_2021413[BUIPE_AGO])</f>
        <v>50000</v>
      </c>
      <c r="F22" s="51">
        <f>SUM(July05_2021413[BUIPE_PMS])</f>
        <v>486000</v>
      </c>
      <c r="G22" s="51">
        <f>SUM(July05_2021413[AKOSOMBO_AGO])</f>
        <v>0</v>
      </c>
      <c r="H22" s="52"/>
    </row>
    <row r="23" spans="1:8" x14ac:dyDescent="0.3">
      <c r="B23" s="8"/>
      <c r="C23" s="24"/>
      <c r="D23" s="24"/>
      <c r="E23" s="24"/>
      <c r="F23" s="24"/>
      <c r="G23" s="24"/>
      <c r="H23"/>
    </row>
    <row r="24" spans="1:8" x14ac:dyDescent="0.3">
      <c r="B24" s="1" t="s">
        <v>6</v>
      </c>
      <c r="C24" s="1" t="s">
        <v>4</v>
      </c>
      <c r="D24" s="5">
        <f>SUMIF(July05_2021413[[#Headers],[KSI_AGO]:[AKOSOMBO_AGO]],"*"&amp;C24,July05_2021413[[#Totals],[KSI_AGO]:[AKOSOMBO_AGO]])</f>
        <v>315500</v>
      </c>
      <c r="E24" s="1" t="s">
        <v>5</v>
      </c>
      <c r="F24" s="5">
        <f>SUMIF(July05_2021413[[#Headers],[KSI_AGO]:[AKOSOMBO_AGO]],"*"&amp;E24,July05_2021413[[#Totals],[KSI_AGO]:[AKOSOMBO_AGO]])</f>
        <v>1814500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4681D645-FDC7-4445-8B88-C8B238D95C3A}">
      <formula1>INDIRECT("BDC_List[BDC List]")</formula1>
    </dataValidation>
  </dataValidations>
  <pageMargins left="0.7" right="0.7" top="0.75" bottom="0.75" header="0.3" footer="0.3"/>
  <tableParts count="1">
    <tablePart r:id="rId1"/>
  </tableParts>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18941-8C40-403F-ABB3-11D9AC145D98}">
  <sheetPr codeName="Sheet386"/>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44383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44383</v>
      </c>
    </row>
    <row r="7" spans="2:10" x14ac:dyDescent="0.3">
      <c r="B7" s="6" t="s">
        <v>37</v>
      </c>
      <c r="C7" s="49"/>
      <c r="D7" s="22"/>
      <c r="E7" s="22"/>
      <c r="F7" s="22"/>
      <c r="G7" s="22"/>
      <c r="H7" s="67">
        <f t="shared" si="0"/>
        <v>44383</v>
      </c>
    </row>
    <row r="8" spans="2:10" x14ac:dyDescent="0.3">
      <c r="B8" s="6" t="s">
        <v>17</v>
      </c>
      <c r="C8" s="22"/>
      <c r="D8" s="22"/>
      <c r="E8" s="22"/>
      <c r="F8" s="22"/>
      <c r="G8" s="22"/>
      <c r="H8" s="12">
        <f t="shared" si="0"/>
        <v>44383</v>
      </c>
    </row>
    <row r="9" spans="2:10" ht="15.6" x14ac:dyDescent="0.3">
      <c r="B9" s="34" t="s">
        <v>0</v>
      </c>
      <c r="C9" s="60"/>
      <c r="D9" s="46"/>
      <c r="E9" s="60"/>
      <c r="F9" s="46"/>
      <c r="G9" s="61"/>
      <c r="H9" s="12">
        <f t="shared" si="0"/>
        <v>44383</v>
      </c>
    </row>
    <row r="10" spans="2:10" ht="16.2" customHeight="1" x14ac:dyDescent="0.3">
      <c r="B10" s="6" t="s">
        <v>25</v>
      </c>
      <c r="C10" s="22"/>
      <c r="D10" s="22"/>
      <c r="E10" s="22"/>
      <c r="F10" s="22"/>
      <c r="G10" s="22"/>
      <c r="H10" s="12">
        <f t="shared" si="0"/>
        <v>44383</v>
      </c>
    </row>
    <row r="11" spans="2:10" ht="13.5" customHeight="1" x14ac:dyDescent="0.3">
      <c r="B11" s="6" t="s">
        <v>15</v>
      </c>
      <c r="C11" s="22"/>
      <c r="D11" s="48"/>
      <c r="E11" s="22"/>
      <c r="F11" s="48"/>
      <c r="G11" s="22"/>
      <c r="H11" s="12">
        <f t="shared" si="0"/>
        <v>44383</v>
      </c>
    </row>
    <row r="12" spans="2:10" x14ac:dyDescent="0.3">
      <c r="B12" s="6" t="s">
        <v>54</v>
      </c>
      <c r="C12" s="22"/>
      <c r="D12" s="22">
        <v>108000</v>
      </c>
      <c r="E12" s="22"/>
      <c r="F12" s="22"/>
      <c r="G12" s="22"/>
      <c r="H12" s="67">
        <f t="shared" si="0"/>
        <v>44383</v>
      </c>
    </row>
    <row r="13" spans="2:10" x14ac:dyDescent="0.3">
      <c r="B13" s="6" t="s">
        <v>26</v>
      </c>
      <c r="C13" s="22"/>
      <c r="D13" s="22"/>
      <c r="E13" s="22"/>
      <c r="F13" s="22"/>
      <c r="G13" s="22">
        <v>455000</v>
      </c>
      <c r="H13" s="12">
        <f t="shared" si="0"/>
        <v>44383</v>
      </c>
    </row>
    <row r="14" spans="2:10" x14ac:dyDescent="0.3">
      <c r="B14" s="6" t="s">
        <v>22</v>
      </c>
      <c r="C14" s="23"/>
      <c r="D14" s="22"/>
      <c r="E14" s="23"/>
      <c r="F14" s="22"/>
      <c r="G14" s="23"/>
      <c r="H14" s="12">
        <f t="shared" si="0"/>
        <v>44383</v>
      </c>
      <c r="J14" s="4"/>
    </row>
    <row r="15" spans="2:10" x14ac:dyDescent="0.3">
      <c r="B15" s="6" t="s">
        <v>61</v>
      </c>
      <c r="C15" s="23"/>
      <c r="D15" s="22"/>
      <c r="E15" s="23"/>
      <c r="F15" s="22"/>
      <c r="G15" s="23"/>
      <c r="H15" s="67">
        <f t="shared" si="0"/>
        <v>44383</v>
      </c>
      <c r="J15" s="4"/>
    </row>
    <row r="16" spans="2:10" x14ac:dyDescent="0.3">
      <c r="B16" s="6" t="s">
        <v>19</v>
      </c>
      <c r="C16" s="22"/>
      <c r="D16" s="22">
        <v>517500</v>
      </c>
      <c r="E16" s="22"/>
      <c r="F16" s="22"/>
      <c r="G16" s="22"/>
      <c r="H16" s="12">
        <f t="shared" si="0"/>
        <v>44383</v>
      </c>
    </row>
    <row r="17" spans="1:8" x14ac:dyDescent="0.3">
      <c r="B17" s="6" t="s">
        <v>14</v>
      </c>
      <c r="C17" s="22"/>
      <c r="D17" s="22"/>
      <c r="E17" s="22"/>
      <c r="F17" s="22"/>
      <c r="G17" s="22"/>
      <c r="H17" s="12">
        <f t="shared" si="0"/>
        <v>44383</v>
      </c>
    </row>
    <row r="18" spans="1:8" x14ac:dyDescent="0.3">
      <c r="B18" s="6" t="s">
        <v>24</v>
      </c>
      <c r="C18" s="22"/>
      <c r="D18" s="49"/>
      <c r="E18" s="22"/>
      <c r="F18" s="49"/>
      <c r="G18" s="22"/>
      <c r="H18" s="12">
        <f t="shared" si="0"/>
        <v>44383</v>
      </c>
    </row>
    <row r="19" spans="1:8" x14ac:dyDescent="0.3">
      <c r="B19" s="6" t="s">
        <v>21</v>
      </c>
      <c r="C19" s="22"/>
      <c r="D19" s="22"/>
      <c r="E19" s="22"/>
      <c r="F19" s="22"/>
      <c r="G19" s="22"/>
      <c r="H19" s="12">
        <f t="shared" si="0"/>
        <v>44383</v>
      </c>
    </row>
    <row r="20" spans="1:8" x14ac:dyDescent="0.3">
      <c r="B20" s="6" t="s">
        <v>18</v>
      </c>
      <c r="C20" s="22"/>
      <c r="D20" s="22"/>
      <c r="E20" s="22"/>
      <c r="F20" s="22"/>
      <c r="G20" s="22"/>
      <c r="H20" s="12">
        <f t="shared" si="0"/>
        <v>44383</v>
      </c>
    </row>
    <row r="21" spans="1:8" x14ac:dyDescent="0.3">
      <c r="B21" s="6" t="s">
        <v>16</v>
      </c>
      <c r="C21" s="22"/>
      <c r="D21" s="22">
        <v>324000</v>
      </c>
      <c r="E21" s="22"/>
      <c r="F21" s="22"/>
      <c r="G21" s="22"/>
      <c r="H21" s="12">
        <f t="shared" si="0"/>
        <v>44383</v>
      </c>
    </row>
    <row r="22" spans="1:8" x14ac:dyDescent="0.3">
      <c r="B22" s="50" t="s">
        <v>27</v>
      </c>
      <c r="C22" s="51">
        <f>SUM(July06_2021414[KSI_AGO])</f>
        <v>0</v>
      </c>
      <c r="D22" s="51">
        <f>SUBTOTAL(109,July06_2021414[KSI_PMS])</f>
        <v>949500</v>
      </c>
      <c r="E22" s="51">
        <f>SUM(July06_2021414[BUIPE_AGO])</f>
        <v>0</v>
      </c>
      <c r="F22" s="51">
        <f>SUM(July06_2021414[BUIPE_PMS])</f>
        <v>0</v>
      </c>
      <c r="G22" s="51">
        <f>SUM(July06_2021414[AKOSOMBO_AGO])</f>
        <v>455000</v>
      </c>
      <c r="H22" s="52"/>
    </row>
    <row r="23" spans="1:8" x14ac:dyDescent="0.3">
      <c r="B23" s="8"/>
      <c r="C23" s="24"/>
      <c r="D23" s="24"/>
      <c r="E23" s="24"/>
      <c r="F23" s="24"/>
      <c r="G23" s="24"/>
      <c r="H23"/>
    </row>
    <row r="24" spans="1:8" x14ac:dyDescent="0.3">
      <c r="B24" s="1" t="s">
        <v>6</v>
      </c>
      <c r="C24" s="1" t="s">
        <v>4</v>
      </c>
      <c r="D24" s="5">
        <f>SUMIF(July06_2021414[[#Headers],[KSI_AGO]:[AKOSOMBO_AGO]],"*"&amp;C24,July06_2021414[[#Totals],[KSI_AGO]:[AKOSOMBO_AGO]])</f>
        <v>455000</v>
      </c>
      <c r="E24" s="1" t="s">
        <v>5</v>
      </c>
      <c r="F24" s="5">
        <f>SUMIF(July06_2021414[[#Headers],[KSI_AGO]:[AKOSOMBO_AGO]],"*"&amp;E24,July06_2021414[[#Totals],[KSI_AGO]:[AKOSOMBO_AGO]])</f>
        <v>949500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1747116A-B3A5-4AD5-92F4-8CC619CB1CB3}">
      <formula1>INDIRECT("BDC_List[BDC List]")</formula1>
    </dataValidation>
  </dataValidations>
  <pageMargins left="0.7" right="0.7" top="0.75" bottom="0.75" header="0.3" footer="0.3"/>
  <tableParts count="1">
    <tablePart r:id="rId1"/>
  </tableParts>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DC4B9-9001-4753-94F9-4DADEC8C1A33}">
  <sheetPr codeName="Sheet387"/>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44384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44384</v>
      </c>
    </row>
    <row r="7" spans="2:10" x14ac:dyDescent="0.3">
      <c r="B7" s="6" t="s">
        <v>37</v>
      </c>
      <c r="C7" s="49"/>
      <c r="D7" s="22"/>
      <c r="E7" s="22"/>
      <c r="F7" s="22"/>
      <c r="G7" s="22"/>
      <c r="H7" s="67">
        <f t="shared" si="0"/>
        <v>44384</v>
      </c>
    </row>
    <row r="8" spans="2:10" x14ac:dyDescent="0.3">
      <c r="B8" s="6" t="s">
        <v>17</v>
      </c>
      <c r="C8" s="22"/>
      <c r="D8" s="22">
        <v>538000</v>
      </c>
      <c r="E8" s="22"/>
      <c r="F8" s="22"/>
      <c r="G8" s="22"/>
      <c r="H8" s="12">
        <f t="shared" si="0"/>
        <v>44384</v>
      </c>
    </row>
    <row r="9" spans="2:10" ht="15.6" x14ac:dyDescent="0.3">
      <c r="B9" s="34" t="s">
        <v>0</v>
      </c>
      <c r="C9" s="60"/>
      <c r="D9" s="46"/>
      <c r="E9" s="60"/>
      <c r="F9" s="46"/>
      <c r="G9" s="61"/>
      <c r="H9" s="12">
        <f t="shared" si="0"/>
        <v>44384</v>
      </c>
    </row>
    <row r="10" spans="2:10" ht="16.2" customHeight="1" x14ac:dyDescent="0.3">
      <c r="B10" s="6" t="s">
        <v>25</v>
      </c>
      <c r="C10" s="22"/>
      <c r="D10" s="22"/>
      <c r="E10" s="22"/>
      <c r="F10" s="22"/>
      <c r="G10" s="22"/>
      <c r="H10" s="12">
        <f t="shared" si="0"/>
        <v>44384</v>
      </c>
    </row>
    <row r="11" spans="2:10" ht="13.5" customHeight="1" x14ac:dyDescent="0.3">
      <c r="B11" s="6" t="s">
        <v>15</v>
      </c>
      <c r="C11" s="22"/>
      <c r="D11" s="48"/>
      <c r="E11" s="22"/>
      <c r="F11" s="48"/>
      <c r="G11" s="22"/>
      <c r="H11" s="12">
        <f t="shared" si="0"/>
        <v>44384</v>
      </c>
    </row>
    <row r="12" spans="2:10" x14ac:dyDescent="0.3">
      <c r="B12" s="6" t="s">
        <v>54</v>
      </c>
      <c r="C12" s="22"/>
      <c r="D12" s="22"/>
      <c r="E12" s="22"/>
      <c r="F12" s="22"/>
      <c r="G12" s="22"/>
      <c r="H12" s="67">
        <f t="shared" si="0"/>
        <v>44384</v>
      </c>
    </row>
    <row r="13" spans="2:10" x14ac:dyDescent="0.3">
      <c r="B13" s="6" t="s">
        <v>26</v>
      </c>
      <c r="C13" s="22"/>
      <c r="D13" s="22"/>
      <c r="E13" s="22"/>
      <c r="F13" s="22"/>
      <c r="G13" s="22">
        <v>45000</v>
      </c>
      <c r="H13" s="12">
        <f t="shared" si="0"/>
        <v>44384</v>
      </c>
    </row>
    <row r="14" spans="2:10" x14ac:dyDescent="0.3">
      <c r="B14" s="6" t="s">
        <v>22</v>
      </c>
      <c r="C14" s="23"/>
      <c r="D14" s="22"/>
      <c r="E14" s="23"/>
      <c r="F14" s="22"/>
      <c r="G14" s="23"/>
      <c r="H14" s="12">
        <f t="shared" si="0"/>
        <v>44384</v>
      </c>
      <c r="J14" s="4"/>
    </row>
    <row r="15" spans="2:10" x14ac:dyDescent="0.3">
      <c r="B15" s="6" t="s">
        <v>61</v>
      </c>
      <c r="C15" s="23"/>
      <c r="D15" s="22"/>
      <c r="E15" s="23"/>
      <c r="F15" s="22"/>
      <c r="G15" s="23"/>
      <c r="H15" s="67">
        <f t="shared" si="0"/>
        <v>44384</v>
      </c>
      <c r="J15" s="4"/>
    </row>
    <row r="16" spans="2:10" x14ac:dyDescent="0.3">
      <c r="B16" s="6" t="s">
        <v>19</v>
      </c>
      <c r="C16" s="22"/>
      <c r="D16" s="22">
        <v>648000</v>
      </c>
      <c r="E16" s="22"/>
      <c r="F16" s="22"/>
      <c r="G16" s="22"/>
      <c r="H16" s="12">
        <f t="shared" si="0"/>
        <v>44384</v>
      </c>
    </row>
    <row r="17" spans="1:8" x14ac:dyDescent="0.3">
      <c r="B17" s="6" t="s">
        <v>14</v>
      </c>
      <c r="C17" s="22"/>
      <c r="D17" s="22">
        <v>54000</v>
      </c>
      <c r="E17" s="22"/>
      <c r="F17" s="22"/>
      <c r="G17" s="22">
        <v>500000</v>
      </c>
      <c r="H17" s="12">
        <f t="shared" si="0"/>
        <v>44384</v>
      </c>
    </row>
    <row r="18" spans="1:8" x14ac:dyDescent="0.3">
      <c r="B18" s="6" t="s">
        <v>24</v>
      </c>
      <c r="C18" s="22"/>
      <c r="D18" s="49"/>
      <c r="E18" s="22"/>
      <c r="F18" s="49"/>
      <c r="G18" s="22"/>
      <c r="H18" s="12">
        <f t="shared" si="0"/>
        <v>44384</v>
      </c>
    </row>
    <row r="19" spans="1:8" x14ac:dyDescent="0.3">
      <c r="B19" s="6" t="s">
        <v>21</v>
      </c>
      <c r="C19" s="22"/>
      <c r="D19" s="22"/>
      <c r="E19" s="22"/>
      <c r="F19" s="22"/>
      <c r="G19" s="22"/>
      <c r="H19" s="12">
        <f t="shared" si="0"/>
        <v>44384</v>
      </c>
    </row>
    <row r="20" spans="1:8" x14ac:dyDescent="0.3">
      <c r="B20" s="6" t="s">
        <v>18</v>
      </c>
      <c r="C20" s="22"/>
      <c r="D20" s="22"/>
      <c r="E20" s="22"/>
      <c r="F20" s="22"/>
      <c r="G20" s="22"/>
      <c r="H20" s="12">
        <f t="shared" si="0"/>
        <v>44384</v>
      </c>
    </row>
    <row r="21" spans="1:8" x14ac:dyDescent="0.3">
      <c r="B21" s="6" t="s">
        <v>16</v>
      </c>
      <c r="C21" s="22"/>
      <c r="D21" s="22">
        <v>378000</v>
      </c>
      <c r="E21" s="22"/>
      <c r="F21" s="22"/>
      <c r="G21" s="22"/>
      <c r="H21" s="12">
        <f t="shared" si="0"/>
        <v>44384</v>
      </c>
    </row>
    <row r="22" spans="1:8" x14ac:dyDescent="0.3">
      <c r="B22" s="50" t="s">
        <v>27</v>
      </c>
      <c r="C22" s="51">
        <f>SUM(July07_2021415[KSI_AGO])</f>
        <v>0</v>
      </c>
      <c r="D22" s="51">
        <f>SUBTOTAL(109,July07_2021415[KSI_PMS])</f>
        <v>1618000</v>
      </c>
      <c r="E22" s="51">
        <f>SUM(July07_2021415[BUIPE_AGO])</f>
        <v>0</v>
      </c>
      <c r="F22" s="51">
        <f>SUM(July07_2021415[BUIPE_PMS])</f>
        <v>0</v>
      </c>
      <c r="G22" s="51">
        <f>SUM(July07_2021415[AKOSOMBO_AGO])</f>
        <v>545000</v>
      </c>
      <c r="H22" s="52"/>
    </row>
    <row r="23" spans="1:8" x14ac:dyDescent="0.3">
      <c r="B23" s="8"/>
      <c r="C23" s="24"/>
      <c r="D23" s="24"/>
      <c r="E23" s="24"/>
      <c r="F23" s="24"/>
      <c r="G23" s="24"/>
      <c r="H23"/>
    </row>
    <row r="24" spans="1:8" x14ac:dyDescent="0.3">
      <c r="B24" s="1" t="s">
        <v>6</v>
      </c>
      <c r="C24" s="1" t="s">
        <v>4</v>
      </c>
      <c r="D24" s="5">
        <f>SUMIF(July07_2021415[[#Headers],[KSI_AGO]:[AKOSOMBO_AGO]],"*"&amp;C24,July07_2021415[[#Totals],[KSI_AGO]:[AKOSOMBO_AGO]])</f>
        <v>545000</v>
      </c>
      <c r="E24" s="1" t="s">
        <v>5</v>
      </c>
      <c r="F24" s="5">
        <f>SUMIF(July07_2021415[[#Headers],[KSI_AGO]:[AKOSOMBO_AGO]],"*"&amp;E24,July07_2021415[[#Totals],[KSI_AGO]:[AKOSOMBO_AGO]])</f>
        <v>1618000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C6B5DBB-D73E-4EEA-8B9B-62B35C2AA889}">
      <formula1>INDIRECT("BDC_List[BDC List]")</formula1>
    </dataValidation>
  </dataValidations>
  <pageMargins left="0.7" right="0.7" top="0.75" bottom="0.75" header="0.3" footer="0.3"/>
  <tableParts count="1">
    <tablePart r:id="rId1"/>
  </tableParts>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CE823-0066-4F03-8EE8-EBDE3F21A6A3}">
  <sheetPr codeName="Sheet388"/>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44385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44385</v>
      </c>
    </row>
    <row r="7" spans="2:10" x14ac:dyDescent="0.3">
      <c r="B7" s="6" t="s">
        <v>37</v>
      </c>
      <c r="C7" s="49"/>
      <c r="D7" s="22"/>
      <c r="E7" s="22"/>
      <c r="F7" s="22"/>
      <c r="G7" s="22"/>
      <c r="H7" s="67">
        <f t="shared" si="0"/>
        <v>44385</v>
      </c>
    </row>
    <row r="8" spans="2:10" x14ac:dyDescent="0.3">
      <c r="B8" s="6" t="s">
        <v>17</v>
      </c>
      <c r="C8" s="22"/>
      <c r="D8" s="22">
        <v>1350000</v>
      </c>
      <c r="E8" s="22"/>
      <c r="F8" s="22"/>
      <c r="G8" s="22"/>
      <c r="H8" s="12">
        <f t="shared" si="0"/>
        <v>44385</v>
      </c>
    </row>
    <row r="9" spans="2:10" ht="15.6" x14ac:dyDescent="0.3">
      <c r="B9" s="34" t="s">
        <v>0</v>
      </c>
      <c r="C9" s="60"/>
      <c r="D9" s="46"/>
      <c r="E9" s="60"/>
      <c r="F9" s="46"/>
      <c r="G9" s="61"/>
      <c r="H9" s="12">
        <f t="shared" si="0"/>
        <v>44385</v>
      </c>
    </row>
    <row r="10" spans="2:10" ht="16.2" customHeight="1" x14ac:dyDescent="0.3">
      <c r="B10" s="6" t="s">
        <v>25</v>
      </c>
      <c r="C10" s="22"/>
      <c r="D10" s="22"/>
      <c r="E10" s="22"/>
      <c r="F10" s="22"/>
      <c r="G10" s="22"/>
      <c r="H10" s="12">
        <f t="shared" si="0"/>
        <v>44385</v>
      </c>
    </row>
    <row r="11" spans="2:10" ht="13.5" customHeight="1" x14ac:dyDescent="0.3">
      <c r="B11" s="6" t="s">
        <v>15</v>
      </c>
      <c r="C11" s="22"/>
      <c r="D11" s="48"/>
      <c r="E11" s="22"/>
      <c r="F11" s="48"/>
      <c r="G11" s="22"/>
      <c r="H11" s="12">
        <f t="shared" si="0"/>
        <v>44385</v>
      </c>
    </row>
    <row r="12" spans="2:10" x14ac:dyDescent="0.3">
      <c r="B12" s="6" t="s">
        <v>54</v>
      </c>
      <c r="C12" s="22"/>
      <c r="D12" s="22"/>
      <c r="E12" s="22"/>
      <c r="F12" s="22"/>
      <c r="G12" s="22"/>
      <c r="H12" s="67">
        <f t="shared" si="0"/>
        <v>44385</v>
      </c>
    </row>
    <row r="13" spans="2:10" x14ac:dyDescent="0.3">
      <c r="B13" s="6" t="s">
        <v>26</v>
      </c>
      <c r="C13" s="22"/>
      <c r="D13" s="22"/>
      <c r="E13" s="22"/>
      <c r="F13" s="22"/>
      <c r="G13" s="22"/>
      <c r="H13" s="12">
        <f t="shared" si="0"/>
        <v>44385</v>
      </c>
    </row>
    <row r="14" spans="2:10" x14ac:dyDescent="0.3">
      <c r="B14" s="6" t="s">
        <v>22</v>
      </c>
      <c r="C14" s="23"/>
      <c r="D14" s="22"/>
      <c r="E14" s="23"/>
      <c r="F14" s="22"/>
      <c r="G14" s="23"/>
      <c r="H14" s="12">
        <f t="shared" si="0"/>
        <v>44385</v>
      </c>
      <c r="J14" s="4"/>
    </row>
    <row r="15" spans="2:10" x14ac:dyDescent="0.3">
      <c r="B15" s="6" t="s">
        <v>61</v>
      </c>
      <c r="C15" s="23"/>
      <c r="D15" s="22"/>
      <c r="E15" s="23"/>
      <c r="F15" s="22"/>
      <c r="G15" s="23"/>
      <c r="H15" s="67">
        <f t="shared" si="0"/>
        <v>44385</v>
      </c>
      <c r="J15" s="4"/>
    </row>
    <row r="16" spans="2:10" x14ac:dyDescent="0.3">
      <c r="B16" s="6" t="s">
        <v>19</v>
      </c>
      <c r="C16" s="22"/>
      <c r="D16" s="22">
        <v>265500</v>
      </c>
      <c r="E16" s="22">
        <v>810000</v>
      </c>
      <c r="F16" s="22"/>
      <c r="G16" s="22"/>
      <c r="H16" s="12">
        <f t="shared" si="0"/>
        <v>44385</v>
      </c>
    </row>
    <row r="17" spans="1:8" x14ac:dyDescent="0.3">
      <c r="B17" s="6" t="s">
        <v>14</v>
      </c>
      <c r="C17" s="22"/>
      <c r="D17" s="22"/>
      <c r="E17" s="22"/>
      <c r="F17" s="22"/>
      <c r="G17" s="22"/>
      <c r="H17" s="12">
        <f t="shared" si="0"/>
        <v>44385</v>
      </c>
    </row>
    <row r="18" spans="1:8" x14ac:dyDescent="0.3">
      <c r="B18" s="6" t="s">
        <v>24</v>
      </c>
      <c r="C18" s="22"/>
      <c r="D18" s="49"/>
      <c r="E18" s="22"/>
      <c r="F18" s="49"/>
      <c r="G18" s="22"/>
      <c r="H18" s="12">
        <f t="shared" si="0"/>
        <v>44385</v>
      </c>
    </row>
    <row r="19" spans="1:8" x14ac:dyDescent="0.3">
      <c r="B19" s="6" t="s">
        <v>21</v>
      </c>
      <c r="C19" s="22"/>
      <c r="D19" s="22"/>
      <c r="E19" s="22"/>
      <c r="F19" s="22"/>
      <c r="G19" s="22"/>
      <c r="H19" s="12">
        <f t="shared" si="0"/>
        <v>44385</v>
      </c>
    </row>
    <row r="20" spans="1:8" x14ac:dyDescent="0.3">
      <c r="B20" s="6" t="s">
        <v>18</v>
      </c>
      <c r="C20" s="22"/>
      <c r="D20" s="22"/>
      <c r="E20" s="22"/>
      <c r="F20" s="22"/>
      <c r="G20" s="22"/>
      <c r="H20" s="12">
        <f t="shared" si="0"/>
        <v>44385</v>
      </c>
    </row>
    <row r="21" spans="1:8" x14ac:dyDescent="0.3">
      <c r="B21" s="6" t="s">
        <v>16</v>
      </c>
      <c r="C21" s="22"/>
      <c r="D21" s="22"/>
      <c r="E21" s="22"/>
      <c r="F21" s="22"/>
      <c r="G21" s="22"/>
      <c r="H21" s="12">
        <f t="shared" si="0"/>
        <v>44385</v>
      </c>
    </row>
    <row r="22" spans="1:8" x14ac:dyDescent="0.3">
      <c r="B22" s="50" t="s">
        <v>27</v>
      </c>
      <c r="C22" s="51">
        <f>SUM(July07_20218[KSI_AGO])</f>
        <v>0</v>
      </c>
      <c r="D22" s="51">
        <f>SUBTOTAL(109,July07_20218[KSI_PMS])</f>
        <v>1615500</v>
      </c>
      <c r="E22" s="51">
        <f>SUM(July07_20218[BUIPE_AGO])</f>
        <v>810000</v>
      </c>
      <c r="F22" s="51">
        <f>SUM(July07_20218[BUIPE_PMS])</f>
        <v>0</v>
      </c>
      <c r="G22" s="51">
        <f>SUM(July07_20218[AKOSOMBO_AGO])</f>
        <v>0</v>
      </c>
      <c r="H22" s="52"/>
    </row>
    <row r="23" spans="1:8" x14ac:dyDescent="0.3">
      <c r="B23" s="8"/>
      <c r="C23" s="24"/>
      <c r="D23" s="24"/>
      <c r="E23" s="24"/>
      <c r="F23" s="24"/>
      <c r="G23" s="24"/>
      <c r="H23"/>
    </row>
    <row r="24" spans="1:8" x14ac:dyDescent="0.3">
      <c r="B24" s="1" t="s">
        <v>6</v>
      </c>
      <c r="C24" s="1" t="s">
        <v>4</v>
      </c>
      <c r="D24" s="5">
        <f>SUMIF(July07_20218[[#Headers],[KSI_AGO]:[AKOSOMBO_AGO]],"*"&amp;C24,July07_20218[[#Totals],[KSI_AGO]:[AKOSOMBO_AGO]])</f>
        <v>810000</v>
      </c>
      <c r="E24" s="1" t="s">
        <v>5</v>
      </c>
      <c r="F24" s="5">
        <f>SUMIF(July07_20218[[#Headers],[KSI_AGO]:[AKOSOMBO_AGO]],"*"&amp;E24,July07_20218[[#Totals],[KSI_AGO]:[AKOSOMBO_AGO]])</f>
        <v>1615500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A79D81F-7B72-4C5E-A32C-DEEDD3847C89}">
      <formula1>INDIRECT("BDC_List[BDC List]")</formula1>
    </dataValidation>
  </dataValidations>
  <pageMargins left="0.7" right="0.7" top="0.75" bottom="0.75" header="0.3" footer="0.3"/>
  <tableParts count="1">
    <tablePart r:id="rId1"/>
  </tableParts>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D7D01-C507-4149-8AC2-9088EB89E1B8}">
  <sheetPr codeName="Sheet389"/>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44386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44386</v>
      </c>
    </row>
    <row r="7" spans="2:10" x14ac:dyDescent="0.3">
      <c r="B7" s="6" t="s">
        <v>37</v>
      </c>
      <c r="C7" s="49"/>
      <c r="D7" s="22"/>
      <c r="E7" s="22"/>
      <c r="F7" s="22"/>
      <c r="G7" s="22"/>
      <c r="H7" s="67">
        <f t="shared" si="0"/>
        <v>44386</v>
      </c>
    </row>
    <row r="8" spans="2:10" x14ac:dyDescent="0.3">
      <c r="B8" s="6" t="s">
        <v>17</v>
      </c>
      <c r="C8" s="22"/>
      <c r="D8" s="22">
        <v>1593500</v>
      </c>
      <c r="E8" s="22"/>
      <c r="F8" s="22">
        <v>212000</v>
      </c>
      <c r="G8" s="22"/>
      <c r="H8" s="12">
        <f t="shared" si="0"/>
        <v>44386</v>
      </c>
    </row>
    <row r="9" spans="2:10" ht="15.6" x14ac:dyDescent="0.3">
      <c r="B9" s="34" t="s">
        <v>0</v>
      </c>
      <c r="C9" s="60"/>
      <c r="D9" s="46"/>
      <c r="E9" s="60"/>
      <c r="F9" s="46"/>
      <c r="G9" s="61"/>
      <c r="H9" s="12">
        <f t="shared" si="0"/>
        <v>44386</v>
      </c>
    </row>
    <row r="10" spans="2:10" ht="16.2" customHeight="1" x14ac:dyDescent="0.3">
      <c r="B10" s="6" t="s">
        <v>25</v>
      </c>
      <c r="C10" s="22"/>
      <c r="D10" s="22"/>
      <c r="E10" s="22"/>
      <c r="F10" s="22"/>
      <c r="G10" s="22"/>
      <c r="H10" s="12">
        <f t="shared" si="0"/>
        <v>44386</v>
      </c>
    </row>
    <row r="11" spans="2:10" ht="13.5" customHeight="1" x14ac:dyDescent="0.3">
      <c r="B11" s="6" t="s">
        <v>15</v>
      </c>
      <c r="C11" s="22"/>
      <c r="D11" s="48"/>
      <c r="E11" s="22"/>
      <c r="F11" s="48">
        <v>216000</v>
      </c>
      <c r="G11" s="22"/>
      <c r="H11" s="12">
        <f t="shared" si="0"/>
        <v>44386</v>
      </c>
    </row>
    <row r="12" spans="2:10" x14ac:dyDescent="0.3">
      <c r="B12" s="6" t="s">
        <v>54</v>
      </c>
      <c r="C12" s="22"/>
      <c r="D12" s="22"/>
      <c r="E12" s="22"/>
      <c r="F12" s="22"/>
      <c r="G12" s="22"/>
      <c r="H12" s="67">
        <f t="shared" si="0"/>
        <v>44386</v>
      </c>
    </row>
    <row r="13" spans="2:10" x14ac:dyDescent="0.3">
      <c r="B13" s="6" t="s">
        <v>26</v>
      </c>
      <c r="C13" s="22"/>
      <c r="D13" s="22"/>
      <c r="E13" s="22"/>
      <c r="F13" s="22">
        <v>54000</v>
      </c>
      <c r="G13" s="22"/>
      <c r="H13" s="12">
        <f t="shared" si="0"/>
        <v>44386</v>
      </c>
    </row>
    <row r="14" spans="2:10" x14ac:dyDescent="0.3">
      <c r="B14" s="6" t="s">
        <v>22</v>
      </c>
      <c r="C14" s="23"/>
      <c r="D14" s="22"/>
      <c r="E14" s="23"/>
      <c r="F14" s="22"/>
      <c r="G14" s="23"/>
      <c r="H14" s="12">
        <f t="shared" si="0"/>
        <v>44386</v>
      </c>
      <c r="J14" s="4"/>
    </row>
    <row r="15" spans="2:10" x14ac:dyDescent="0.3">
      <c r="B15" s="6" t="s">
        <v>61</v>
      </c>
      <c r="C15" s="23"/>
      <c r="D15" s="22"/>
      <c r="E15" s="23"/>
      <c r="F15" s="22"/>
      <c r="G15" s="23"/>
      <c r="H15" s="67">
        <f t="shared" si="0"/>
        <v>44386</v>
      </c>
      <c r="J15" s="4"/>
    </row>
    <row r="16" spans="2:10" x14ac:dyDescent="0.3">
      <c r="B16" s="6" t="s">
        <v>19</v>
      </c>
      <c r="C16" s="22"/>
      <c r="D16" s="22"/>
      <c r="E16" s="22"/>
      <c r="F16" s="22"/>
      <c r="G16" s="22"/>
      <c r="H16" s="12">
        <f t="shared" si="0"/>
        <v>44386</v>
      </c>
    </row>
    <row r="17" spans="1:8" x14ac:dyDescent="0.3">
      <c r="B17" s="6" t="s">
        <v>14</v>
      </c>
      <c r="C17" s="22"/>
      <c r="D17" s="22"/>
      <c r="E17" s="22"/>
      <c r="F17" s="22"/>
      <c r="G17" s="22"/>
      <c r="H17" s="12">
        <f t="shared" si="0"/>
        <v>44386</v>
      </c>
    </row>
    <row r="18" spans="1:8" x14ac:dyDescent="0.3">
      <c r="B18" s="6" t="s">
        <v>24</v>
      </c>
      <c r="C18" s="22"/>
      <c r="D18" s="49"/>
      <c r="E18" s="22"/>
      <c r="F18" s="49"/>
      <c r="G18" s="22"/>
      <c r="H18" s="12">
        <f t="shared" si="0"/>
        <v>44386</v>
      </c>
    </row>
    <row r="19" spans="1:8" x14ac:dyDescent="0.3">
      <c r="B19" s="6" t="s">
        <v>21</v>
      </c>
      <c r="C19" s="22"/>
      <c r="D19" s="22"/>
      <c r="E19" s="22"/>
      <c r="F19" s="22"/>
      <c r="G19" s="22"/>
      <c r="H19" s="12">
        <f t="shared" si="0"/>
        <v>44386</v>
      </c>
    </row>
    <row r="20" spans="1:8" x14ac:dyDescent="0.3">
      <c r="B20" s="6" t="s">
        <v>18</v>
      </c>
      <c r="C20" s="22"/>
      <c r="D20" s="22"/>
      <c r="E20" s="22"/>
      <c r="F20" s="22"/>
      <c r="G20" s="22"/>
      <c r="H20" s="12">
        <f t="shared" si="0"/>
        <v>44386</v>
      </c>
    </row>
    <row r="21" spans="1:8" x14ac:dyDescent="0.3">
      <c r="B21" s="6" t="s">
        <v>16</v>
      </c>
      <c r="C21" s="22"/>
      <c r="D21" s="22"/>
      <c r="E21" s="22"/>
      <c r="F21" s="22">
        <v>108000</v>
      </c>
      <c r="G21" s="22"/>
      <c r="H21" s="12">
        <f t="shared" si="0"/>
        <v>44386</v>
      </c>
    </row>
    <row r="22" spans="1:8" x14ac:dyDescent="0.3">
      <c r="B22" s="50" t="s">
        <v>27</v>
      </c>
      <c r="C22" s="51">
        <f>SUM(July09_2021417[KSI_AGO])</f>
        <v>0</v>
      </c>
      <c r="D22" s="51">
        <f>SUBTOTAL(109,July09_2021417[KSI_PMS])</f>
        <v>1593500</v>
      </c>
      <c r="E22" s="51">
        <f>SUM(July09_2021417[BUIPE_AGO])</f>
        <v>0</v>
      </c>
      <c r="F22" s="51">
        <f>SUM(July09_2021417[BUIPE_PMS])</f>
        <v>590000</v>
      </c>
      <c r="G22" s="51">
        <f>SUM(July09_2021417[AKOSOMBO_AGO])</f>
        <v>0</v>
      </c>
      <c r="H22" s="52"/>
    </row>
    <row r="23" spans="1:8" x14ac:dyDescent="0.3">
      <c r="B23" s="8"/>
      <c r="C23" s="24"/>
      <c r="D23" s="24"/>
      <c r="E23" s="24"/>
      <c r="F23" s="24"/>
      <c r="G23" s="24"/>
      <c r="H23"/>
    </row>
    <row r="24" spans="1:8" x14ac:dyDescent="0.3">
      <c r="B24" s="1" t="s">
        <v>6</v>
      </c>
      <c r="C24" s="1" t="s">
        <v>4</v>
      </c>
      <c r="D24" s="5">
        <f>SUMIF(July09_2021417[[#Headers],[KSI_AGO]:[AKOSOMBO_AGO]],"*"&amp;C24,July09_2021417[[#Totals],[KSI_AGO]:[AKOSOMBO_AGO]])</f>
        <v>0</v>
      </c>
      <c r="E24" s="1" t="s">
        <v>5</v>
      </c>
      <c r="F24" s="5">
        <f>SUMIF(July09_2021417[[#Headers],[KSI_AGO]:[AKOSOMBO_AGO]],"*"&amp;E24,July09_2021417[[#Totals],[KSI_AGO]:[AKOSOMBO_AGO]])</f>
        <v>2183500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E836DD1-C4C4-41F7-B991-0D0691C3ADEB}">
      <formula1>INDIRECT("BDC_List[BDC List]")</formula1>
    </dataValidation>
  </dataValidations>
  <pageMargins left="0.7" right="0.7" top="0.75" bottom="0.75" header="0.3" footer="0.3"/>
  <tableParts count="1">
    <tablePart r:id="rId1"/>
  </tableParts>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3F30-46DF-44D9-8BA6-745A948A7B65}">
  <sheetPr codeName="Sheet390"/>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44389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44389</v>
      </c>
    </row>
    <row r="7" spans="2:10" x14ac:dyDescent="0.3">
      <c r="B7" s="6" t="s">
        <v>37</v>
      </c>
      <c r="C7" s="49"/>
      <c r="D7" s="22"/>
      <c r="E7" s="22">
        <v>401000</v>
      </c>
      <c r="F7" s="22"/>
      <c r="G7" s="22"/>
      <c r="H7" s="67">
        <f t="shared" si="0"/>
        <v>44389</v>
      </c>
    </row>
    <row r="8" spans="2:10" x14ac:dyDescent="0.3">
      <c r="B8" s="6" t="s">
        <v>17</v>
      </c>
      <c r="C8" s="22"/>
      <c r="D8" s="22">
        <v>996000</v>
      </c>
      <c r="E8" s="22"/>
      <c r="F8" s="22">
        <v>216000</v>
      </c>
      <c r="G8" s="22"/>
      <c r="H8" s="12">
        <f t="shared" si="0"/>
        <v>44389</v>
      </c>
    </row>
    <row r="9" spans="2:10" ht="15.6" x14ac:dyDescent="0.3">
      <c r="B9" s="34" t="s">
        <v>0</v>
      </c>
      <c r="C9" s="60"/>
      <c r="D9" s="46"/>
      <c r="E9" s="60"/>
      <c r="F9" s="46"/>
      <c r="G9" s="61"/>
      <c r="H9" s="12">
        <f t="shared" si="0"/>
        <v>44389</v>
      </c>
    </row>
    <row r="10" spans="2:10" ht="16.2" customHeight="1" x14ac:dyDescent="0.3">
      <c r="B10" s="6" t="s">
        <v>25</v>
      </c>
      <c r="C10" s="22"/>
      <c r="D10" s="22"/>
      <c r="E10" s="22"/>
      <c r="F10" s="22"/>
      <c r="G10" s="22"/>
      <c r="H10" s="12">
        <f t="shared" si="0"/>
        <v>44389</v>
      </c>
    </row>
    <row r="11" spans="2:10" ht="13.5" customHeight="1" x14ac:dyDescent="0.3">
      <c r="B11" s="6" t="s">
        <v>15</v>
      </c>
      <c r="C11" s="22"/>
      <c r="D11" s="48"/>
      <c r="E11" s="22"/>
      <c r="F11" s="48">
        <v>202500</v>
      </c>
      <c r="G11" s="22"/>
      <c r="H11" s="12">
        <f t="shared" si="0"/>
        <v>44389</v>
      </c>
    </row>
    <row r="12" spans="2:10" x14ac:dyDescent="0.3">
      <c r="B12" s="6" t="s">
        <v>54</v>
      </c>
      <c r="C12" s="22"/>
      <c r="D12" s="22"/>
      <c r="E12" s="22"/>
      <c r="F12" s="22"/>
      <c r="G12" s="22"/>
      <c r="H12" s="67">
        <f t="shared" si="0"/>
        <v>44389</v>
      </c>
    </row>
    <row r="13" spans="2:10" x14ac:dyDescent="0.3">
      <c r="B13" s="6" t="s">
        <v>26</v>
      </c>
      <c r="C13" s="22"/>
      <c r="D13" s="22"/>
      <c r="E13" s="22"/>
      <c r="F13" s="22"/>
      <c r="G13" s="22"/>
      <c r="H13" s="12">
        <f t="shared" si="0"/>
        <v>44389</v>
      </c>
    </row>
    <row r="14" spans="2:10" x14ac:dyDescent="0.3">
      <c r="B14" s="6" t="s">
        <v>22</v>
      </c>
      <c r="C14" s="23"/>
      <c r="D14" s="22"/>
      <c r="E14" s="23"/>
      <c r="F14" s="22"/>
      <c r="G14" s="23"/>
      <c r="H14" s="12">
        <f t="shared" si="0"/>
        <v>44389</v>
      </c>
      <c r="J14" s="4"/>
    </row>
    <row r="15" spans="2:10" x14ac:dyDescent="0.3">
      <c r="B15" s="6" t="s">
        <v>61</v>
      </c>
      <c r="C15" s="23"/>
      <c r="D15" s="22"/>
      <c r="E15" s="23"/>
      <c r="F15" s="22"/>
      <c r="G15" s="23"/>
      <c r="H15" s="67">
        <f t="shared" si="0"/>
        <v>44389</v>
      </c>
      <c r="J15" s="4"/>
    </row>
    <row r="16" spans="2:10" x14ac:dyDescent="0.3">
      <c r="B16" s="6" t="s">
        <v>19</v>
      </c>
      <c r="C16" s="22"/>
      <c r="D16" s="22">
        <v>45000</v>
      </c>
      <c r="E16" s="22">
        <v>189500</v>
      </c>
      <c r="F16" s="22"/>
      <c r="G16" s="22"/>
      <c r="H16" s="12">
        <f t="shared" si="0"/>
        <v>44389</v>
      </c>
    </row>
    <row r="17" spans="1:8" x14ac:dyDescent="0.3">
      <c r="B17" s="6" t="s">
        <v>14</v>
      </c>
      <c r="C17" s="22"/>
      <c r="D17" s="22">
        <v>45000</v>
      </c>
      <c r="E17" s="22"/>
      <c r="F17" s="22"/>
      <c r="G17" s="22"/>
      <c r="H17" s="12">
        <f t="shared" si="0"/>
        <v>44389</v>
      </c>
    </row>
    <row r="18" spans="1:8" x14ac:dyDescent="0.3">
      <c r="B18" s="6" t="s">
        <v>24</v>
      </c>
      <c r="C18" s="22"/>
      <c r="D18" s="49"/>
      <c r="E18" s="22"/>
      <c r="F18" s="49"/>
      <c r="G18" s="22"/>
      <c r="H18" s="12">
        <f t="shared" si="0"/>
        <v>44389</v>
      </c>
    </row>
    <row r="19" spans="1:8" x14ac:dyDescent="0.3">
      <c r="B19" s="6" t="s">
        <v>21</v>
      </c>
      <c r="C19" s="22"/>
      <c r="D19" s="22"/>
      <c r="E19" s="22"/>
      <c r="F19" s="22"/>
      <c r="G19" s="22"/>
      <c r="H19" s="12">
        <f t="shared" si="0"/>
        <v>44389</v>
      </c>
    </row>
    <row r="20" spans="1:8" x14ac:dyDescent="0.3">
      <c r="B20" s="6" t="s">
        <v>18</v>
      </c>
      <c r="C20" s="22"/>
      <c r="D20" s="22"/>
      <c r="E20" s="22"/>
      <c r="F20" s="22"/>
      <c r="G20" s="22"/>
      <c r="H20" s="12">
        <f t="shared" si="0"/>
        <v>44389</v>
      </c>
    </row>
    <row r="21" spans="1:8" x14ac:dyDescent="0.3">
      <c r="B21" s="6" t="s">
        <v>16</v>
      </c>
      <c r="C21" s="22"/>
      <c r="D21" s="22"/>
      <c r="E21" s="22"/>
      <c r="F21" s="22">
        <v>108000</v>
      </c>
      <c r="G21" s="22"/>
      <c r="H21" s="12">
        <f t="shared" si="0"/>
        <v>44389</v>
      </c>
    </row>
    <row r="22" spans="1:8" x14ac:dyDescent="0.3">
      <c r="B22" s="50" t="s">
        <v>27</v>
      </c>
      <c r="C22" s="51">
        <f>SUM(July12_2021418[KSI_AGO])</f>
        <v>0</v>
      </c>
      <c r="D22" s="51">
        <f>SUBTOTAL(109,July12_2021418[KSI_PMS])</f>
        <v>1086000</v>
      </c>
      <c r="E22" s="51">
        <f>SUM(July12_2021418[BUIPE_AGO])</f>
        <v>590500</v>
      </c>
      <c r="F22" s="51">
        <f>SUM(July12_2021418[BUIPE_PMS])</f>
        <v>526500</v>
      </c>
      <c r="G22" s="51">
        <f>SUM(July12_2021418[AKOSOMBO_AGO])</f>
        <v>0</v>
      </c>
      <c r="H22" s="52"/>
    </row>
    <row r="23" spans="1:8" x14ac:dyDescent="0.3">
      <c r="B23" s="8"/>
      <c r="C23" s="24"/>
      <c r="D23" s="24"/>
      <c r="E23" s="24"/>
      <c r="F23" s="24"/>
      <c r="G23" s="24"/>
      <c r="H23"/>
    </row>
    <row r="24" spans="1:8" x14ac:dyDescent="0.3">
      <c r="B24" s="1" t="s">
        <v>6</v>
      </c>
      <c r="C24" s="1" t="s">
        <v>4</v>
      </c>
      <c r="D24" s="5">
        <f>SUMIF(July12_2021418[[#Headers],[KSI_AGO]:[AKOSOMBO_AGO]],"*"&amp;C24,July12_2021418[[#Totals],[KSI_AGO]:[AKOSOMBO_AGO]])</f>
        <v>590500</v>
      </c>
      <c r="E24" s="1" t="s">
        <v>5</v>
      </c>
      <c r="F24" s="5">
        <f>SUMIF(July12_2021418[[#Headers],[KSI_AGO]:[AKOSOMBO_AGO]],"*"&amp;E24,July12_2021418[[#Totals],[KSI_AGO]:[AKOSOMBO_AGO]])</f>
        <v>1612500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0CE7FD46-88E7-47E1-8130-D2777CA3A5A7}">
      <formula1>INDIRECT("BDC_List[BDC List]")</formula1>
    </dataValidation>
  </dataValidations>
  <pageMargins left="0.7" right="0.7" top="0.75" bottom="0.75" header="0.3" footer="0.3"/>
  <tableParts count="1">
    <tablePart r:id="rId1"/>
  </tableParts>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B29A8-8D97-4FAD-AC16-EEAB8E0E42FE}">
  <sheetPr codeName="Sheet391"/>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44390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44390</v>
      </c>
    </row>
    <row r="7" spans="2:10" x14ac:dyDescent="0.3">
      <c r="B7" s="6" t="s">
        <v>37</v>
      </c>
      <c r="C7" s="49"/>
      <c r="D7" s="22">
        <v>270000</v>
      </c>
      <c r="E7" s="22">
        <v>54000</v>
      </c>
      <c r="F7" s="22"/>
      <c r="G7" s="22"/>
      <c r="H7" s="67">
        <f t="shared" si="0"/>
        <v>44390</v>
      </c>
    </row>
    <row r="8" spans="2:10" x14ac:dyDescent="0.3">
      <c r="B8" s="6" t="s">
        <v>17</v>
      </c>
      <c r="C8" s="22"/>
      <c r="D8" s="22">
        <v>1026000</v>
      </c>
      <c r="E8" s="22"/>
      <c r="F8" s="22"/>
      <c r="G8" s="22"/>
      <c r="H8" s="12">
        <f t="shared" si="0"/>
        <v>44390</v>
      </c>
    </row>
    <row r="9" spans="2:10" ht="15.6" x14ac:dyDescent="0.3">
      <c r="B9" s="34" t="s">
        <v>0</v>
      </c>
      <c r="C9" s="60"/>
      <c r="D9" s="57"/>
      <c r="E9" s="60"/>
      <c r="F9" s="60"/>
      <c r="G9" s="61"/>
      <c r="H9" s="12">
        <f t="shared" si="0"/>
        <v>44390</v>
      </c>
    </row>
    <row r="10" spans="2:10" ht="16.2" customHeight="1" x14ac:dyDescent="0.3">
      <c r="B10" s="6" t="s">
        <v>25</v>
      </c>
      <c r="C10" s="22"/>
      <c r="D10" s="60"/>
      <c r="E10" s="22"/>
      <c r="F10" s="22"/>
      <c r="G10" s="22"/>
      <c r="H10" s="12">
        <f t="shared" si="0"/>
        <v>44390</v>
      </c>
    </row>
    <row r="11" spans="2:10" ht="13.5" customHeight="1" x14ac:dyDescent="0.3">
      <c r="B11" s="6" t="s">
        <v>15</v>
      </c>
      <c r="C11" s="22"/>
      <c r="D11" s="48"/>
      <c r="E11" s="22"/>
      <c r="F11" s="48"/>
      <c r="G11" s="22"/>
      <c r="H11" s="12">
        <f t="shared" si="0"/>
        <v>44390</v>
      </c>
    </row>
    <row r="12" spans="2:10" x14ac:dyDescent="0.3">
      <c r="B12" s="6" t="s">
        <v>54</v>
      </c>
      <c r="C12" s="22"/>
      <c r="D12" s="22"/>
      <c r="E12" s="22"/>
      <c r="F12" s="22"/>
      <c r="G12" s="22"/>
      <c r="H12" s="67">
        <f t="shared" si="0"/>
        <v>44390</v>
      </c>
    </row>
    <row r="13" spans="2:10" x14ac:dyDescent="0.3">
      <c r="B13" s="6" t="s">
        <v>26</v>
      </c>
      <c r="C13" s="22"/>
      <c r="D13" s="22"/>
      <c r="E13" s="22"/>
      <c r="F13" s="22"/>
      <c r="G13" s="22"/>
      <c r="H13" s="12">
        <f t="shared" si="0"/>
        <v>44390</v>
      </c>
    </row>
    <row r="14" spans="2:10" x14ac:dyDescent="0.3">
      <c r="B14" s="6" t="s">
        <v>22</v>
      </c>
      <c r="C14" s="23"/>
      <c r="D14" s="22"/>
      <c r="E14" s="23"/>
      <c r="F14" s="22"/>
      <c r="G14" s="23"/>
      <c r="H14" s="12">
        <f t="shared" si="0"/>
        <v>44390</v>
      </c>
      <c r="J14" s="4"/>
    </row>
    <row r="15" spans="2:10" x14ac:dyDescent="0.3">
      <c r="B15" s="6" t="s">
        <v>61</v>
      </c>
      <c r="C15" s="23"/>
      <c r="D15" s="22"/>
      <c r="E15" s="23"/>
      <c r="F15" s="22"/>
      <c r="G15" s="23"/>
      <c r="H15" s="67">
        <f t="shared" si="0"/>
        <v>44390</v>
      </c>
      <c r="J15" s="4"/>
    </row>
    <row r="16" spans="2:10" x14ac:dyDescent="0.3">
      <c r="B16" s="6" t="s">
        <v>19</v>
      </c>
      <c r="C16" s="22"/>
      <c r="D16" s="22"/>
      <c r="E16" s="22"/>
      <c r="F16" s="22"/>
      <c r="G16" s="22"/>
      <c r="H16" s="12">
        <f t="shared" si="0"/>
        <v>44390</v>
      </c>
    </row>
    <row r="17" spans="1:8" x14ac:dyDescent="0.3">
      <c r="B17" s="6" t="s">
        <v>14</v>
      </c>
      <c r="C17" s="22"/>
      <c r="D17" s="22"/>
      <c r="E17" s="22"/>
      <c r="F17" s="22"/>
      <c r="G17" s="22"/>
      <c r="H17" s="12">
        <f t="shared" si="0"/>
        <v>44390</v>
      </c>
    </row>
    <row r="18" spans="1:8" x14ac:dyDescent="0.3">
      <c r="B18" s="6" t="s">
        <v>24</v>
      </c>
      <c r="C18" s="22"/>
      <c r="D18" s="49"/>
      <c r="E18" s="22"/>
      <c r="F18" s="49"/>
      <c r="G18" s="22"/>
      <c r="H18" s="12">
        <f t="shared" si="0"/>
        <v>44390</v>
      </c>
    </row>
    <row r="19" spans="1:8" x14ac:dyDescent="0.3">
      <c r="B19" s="6" t="s">
        <v>21</v>
      </c>
      <c r="C19" s="22"/>
      <c r="D19" s="22"/>
      <c r="E19" s="22"/>
      <c r="F19" s="22"/>
      <c r="G19" s="22"/>
      <c r="H19" s="12">
        <f t="shared" si="0"/>
        <v>44390</v>
      </c>
    </row>
    <row r="20" spans="1:8" x14ac:dyDescent="0.3">
      <c r="B20" s="6" t="s">
        <v>18</v>
      </c>
      <c r="C20" s="22"/>
      <c r="D20" s="22"/>
      <c r="E20" s="22"/>
      <c r="F20" s="22"/>
      <c r="G20" s="22"/>
      <c r="H20" s="12">
        <f t="shared" si="0"/>
        <v>44390</v>
      </c>
    </row>
    <row r="21" spans="1:8" x14ac:dyDescent="0.3">
      <c r="B21" s="6" t="s">
        <v>16</v>
      </c>
      <c r="C21" s="22">
        <v>1069000</v>
      </c>
      <c r="D21" s="22"/>
      <c r="E21" s="22">
        <v>378000</v>
      </c>
      <c r="F21" s="22"/>
      <c r="G21" s="22"/>
      <c r="H21" s="12">
        <f t="shared" si="0"/>
        <v>44390</v>
      </c>
    </row>
    <row r="22" spans="1:8" x14ac:dyDescent="0.3">
      <c r="B22" s="50" t="s">
        <v>27</v>
      </c>
      <c r="C22" s="51">
        <f>SUM(July13_2021419[KSI_AGO])</f>
        <v>1069000</v>
      </c>
      <c r="D22" s="51">
        <f>SUBTOTAL(109,July13_2021419[KSI_PMS])</f>
        <v>1296000</v>
      </c>
      <c r="E22" s="51">
        <f>SUM(July13_2021419[BUIPE_AGO])</f>
        <v>432000</v>
      </c>
      <c r="F22" s="51">
        <f>SUM(July13_2021419[BUIPE_PMS])</f>
        <v>0</v>
      </c>
      <c r="G22" s="51">
        <f>SUM(July13_2021419[AKOSOMBO_AGO])</f>
        <v>0</v>
      </c>
      <c r="H22" s="52"/>
    </row>
    <row r="23" spans="1:8" x14ac:dyDescent="0.3">
      <c r="B23" s="8"/>
      <c r="C23" s="24"/>
      <c r="D23" s="24"/>
      <c r="E23" s="24"/>
      <c r="F23" s="24"/>
      <c r="G23" s="24"/>
      <c r="H23"/>
    </row>
    <row r="24" spans="1:8" x14ac:dyDescent="0.3">
      <c r="B24" s="1" t="s">
        <v>6</v>
      </c>
      <c r="C24" s="1" t="s">
        <v>4</v>
      </c>
      <c r="D24" s="5">
        <f>SUMIF(July13_2021419[[#Headers],[KSI_AGO]:[AKOSOMBO_AGO]],"*"&amp;C24,July13_2021419[[#Totals],[KSI_AGO]:[AKOSOMBO_AGO]])</f>
        <v>1501000</v>
      </c>
      <c r="E24" s="1" t="s">
        <v>5</v>
      </c>
      <c r="F24" s="5">
        <f>SUMIF(July13_2021419[[#Headers],[KSI_AGO]:[AKOSOMBO_AGO]],"*"&amp;E24,July13_2021419[[#Totals],[KSI_AGO]:[AKOSOMBO_AGO]])</f>
        <v>1296000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D2E03A80-02F7-4452-BB07-4134F9C8A48C}">
      <formula1>INDIRECT("BDC_List[BDC List]")</formula1>
    </dataValidation>
  </dataValidations>
  <pageMargins left="0.7" right="0.7" top="0.75" bottom="0.75" header="0.3" footer="0.3"/>
  <tableParts count="1">
    <tablePart r:id="rId1"/>
  </tableParts>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8221-552C-4BDF-9997-44E027939B5A}">
  <sheetPr codeName="Sheet392"/>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44391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44391</v>
      </c>
    </row>
    <row r="7" spans="2:10" x14ac:dyDescent="0.3">
      <c r="B7" s="6" t="s">
        <v>37</v>
      </c>
      <c r="C7" s="49"/>
      <c r="D7" s="22"/>
      <c r="E7" s="22"/>
      <c r="F7" s="22"/>
      <c r="G7" s="22"/>
      <c r="H7" s="67">
        <f t="shared" si="0"/>
        <v>44391</v>
      </c>
    </row>
    <row r="8" spans="2:10" x14ac:dyDescent="0.3">
      <c r="B8" s="6" t="s">
        <v>17</v>
      </c>
      <c r="C8" s="22"/>
      <c r="D8" s="22">
        <v>198000</v>
      </c>
      <c r="E8" s="22"/>
      <c r="F8" s="22"/>
      <c r="G8" s="22"/>
      <c r="H8" s="12">
        <f t="shared" si="0"/>
        <v>44391</v>
      </c>
    </row>
    <row r="9" spans="2:10" ht="15.6" x14ac:dyDescent="0.3">
      <c r="B9" s="34" t="s">
        <v>0</v>
      </c>
      <c r="C9" s="60"/>
      <c r="D9" s="60">
        <v>1132000</v>
      </c>
      <c r="E9" s="60"/>
      <c r="F9" s="60"/>
      <c r="G9" s="61"/>
      <c r="H9" s="12">
        <f t="shared" si="0"/>
        <v>44391</v>
      </c>
    </row>
    <row r="10" spans="2:10" ht="16.2" customHeight="1" x14ac:dyDescent="0.3">
      <c r="B10" s="6" t="s">
        <v>25</v>
      </c>
      <c r="C10" s="22"/>
      <c r="D10" s="22"/>
      <c r="E10" s="22"/>
      <c r="F10" s="22"/>
      <c r="G10" s="22"/>
      <c r="H10" s="12">
        <f t="shared" si="0"/>
        <v>44391</v>
      </c>
    </row>
    <row r="11" spans="2:10" ht="13.5" customHeight="1" x14ac:dyDescent="0.3">
      <c r="B11" s="6" t="s">
        <v>15</v>
      </c>
      <c r="C11" s="22"/>
      <c r="D11" s="48"/>
      <c r="E11" s="22"/>
      <c r="F11" s="48"/>
      <c r="G11" s="22"/>
      <c r="H11" s="12">
        <f t="shared" si="0"/>
        <v>44391</v>
      </c>
    </row>
    <row r="12" spans="2:10" x14ac:dyDescent="0.3">
      <c r="B12" s="6" t="s">
        <v>54</v>
      </c>
      <c r="C12" s="22"/>
      <c r="D12" s="22"/>
      <c r="E12" s="22"/>
      <c r="F12" s="22"/>
      <c r="G12" s="22"/>
      <c r="H12" s="67">
        <f t="shared" si="0"/>
        <v>44391</v>
      </c>
    </row>
    <row r="13" spans="2:10" x14ac:dyDescent="0.3">
      <c r="B13" s="6" t="s">
        <v>26</v>
      </c>
      <c r="C13" s="22"/>
      <c r="D13" s="22"/>
      <c r="E13" s="22"/>
      <c r="F13" s="22"/>
      <c r="G13" s="22"/>
      <c r="H13" s="12">
        <f t="shared" si="0"/>
        <v>44391</v>
      </c>
    </row>
    <row r="14" spans="2:10" x14ac:dyDescent="0.3">
      <c r="B14" s="6" t="s">
        <v>22</v>
      </c>
      <c r="C14" s="23"/>
      <c r="D14" s="22"/>
      <c r="E14" s="23"/>
      <c r="F14" s="22"/>
      <c r="G14" s="23"/>
      <c r="H14" s="12">
        <f t="shared" si="0"/>
        <v>44391</v>
      </c>
      <c r="J14" s="4"/>
    </row>
    <row r="15" spans="2:10" x14ac:dyDescent="0.3">
      <c r="B15" s="6" t="s">
        <v>61</v>
      </c>
      <c r="C15" s="23"/>
      <c r="D15" s="22"/>
      <c r="E15" s="23"/>
      <c r="F15" s="22"/>
      <c r="G15" s="23"/>
      <c r="H15" s="67">
        <f t="shared" si="0"/>
        <v>44391</v>
      </c>
      <c r="J15" s="4"/>
    </row>
    <row r="16" spans="2:10" x14ac:dyDescent="0.3">
      <c r="B16" s="6" t="s">
        <v>19</v>
      </c>
      <c r="C16" s="22"/>
      <c r="D16" s="22"/>
      <c r="E16" s="22"/>
      <c r="F16" s="22"/>
      <c r="G16" s="22"/>
      <c r="H16" s="12">
        <f t="shared" si="0"/>
        <v>44391</v>
      </c>
    </row>
    <row r="17" spans="1:8" x14ac:dyDescent="0.3">
      <c r="B17" s="6" t="s">
        <v>14</v>
      </c>
      <c r="C17" s="22"/>
      <c r="D17" s="22"/>
      <c r="E17" s="22"/>
      <c r="F17" s="22"/>
      <c r="G17" s="22"/>
      <c r="H17" s="12">
        <f t="shared" si="0"/>
        <v>44391</v>
      </c>
    </row>
    <row r="18" spans="1:8" x14ac:dyDescent="0.3">
      <c r="B18" s="6" t="s">
        <v>24</v>
      </c>
      <c r="C18" s="22"/>
      <c r="D18" s="49"/>
      <c r="E18" s="22"/>
      <c r="F18" s="49"/>
      <c r="G18" s="22"/>
      <c r="H18" s="12">
        <f t="shared" si="0"/>
        <v>44391</v>
      </c>
    </row>
    <row r="19" spans="1:8" x14ac:dyDescent="0.3">
      <c r="B19" s="6" t="s">
        <v>21</v>
      </c>
      <c r="C19" s="22"/>
      <c r="D19" s="22"/>
      <c r="E19" s="22"/>
      <c r="F19" s="22"/>
      <c r="G19" s="22"/>
      <c r="H19" s="12">
        <f t="shared" si="0"/>
        <v>44391</v>
      </c>
    </row>
    <row r="20" spans="1:8" x14ac:dyDescent="0.3">
      <c r="B20" s="6" t="s">
        <v>18</v>
      </c>
      <c r="C20" s="22"/>
      <c r="D20" s="22"/>
      <c r="E20" s="22"/>
      <c r="F20" s="22"/>
      <c r="G20" s="22"/>
      <c r="H20" s="12">
        <f t="shared" si="0"/>
        <v>44391</v>
      </c>
    </row>
    <row r="21" spans="1:8" x14ac:dyDescent="0.3">
      <c r="B21" s="6" t="s">
        <v>16</v>
      </c>
      <c r="C21" s="22"/>
      <c r="D21" s="22"/>
      <c r="E21" s="22">
        <v>216000</v>
      </c>
      <c r="F21" s="22"/>
      <c r="G21" s="22"/>
      <c r="H21" s="12">
        <f t="shared" si="0"/>
        <v>44391</v>
      </c>
    </row>
    <row r="22" spans="1:8" x14ac:dyDescent="0.3">
      <c r="B22" s="50" t="s">
        <v>27</v>
      </c>
      <c r="C22" s="51">
        <f>SUM(July14_2021420[KSI_AGO])</f>
        <v>0</v>
      </c>
      <c r="D22" s="51">
        <f>SUBTOTAL(109,July14_2021420[KSI_PMS])</f>
        <v>1330000</v>
      </c>
      <c r="E22" s="51">
        <f>SUM(July14_2021420[BUIPE_AGO])</f>
        <v>216000</v>
      </c>
      <c r="F22" s="51">
        <f>SUM(July14_2021420[BUIPE_PMS])</f>
        <v>0</v>
      </c>
      <c r="G22" s="51">
        <f>SUM(July14_2021420[AKOSOMBO_AGO])</f>
        <v>0</v>
      </c>
      <c r="H22" s="52"/>
    </row>
    <row r="23" spans="1:8" x14ac:dyDescent="0.3">
      <c r="B23" s="8"/>
      <c r="C23" s="24"/>
      <c r="D23" s="24"/>
      <c r="E23" s="24"/>
      <c r="F23" s="24"/>
      <c r="G23" s="24"/>
      <c r="H23"/>
    </row>
    <row r="24" spans="1:8" x14ac:dyDescent="0.3">
      <c r="B24" s="1" t="s">
        <v>6</v>
      </c>
      <c r="C24" s="1" t="s">
        <v>4</v>
      </c>
      <c r="D24" s="5">
        <f>SUMIF(July14_2021420[[#Headers],[KSI_AGO]:[AKOSOMBO_AGO]],"*"&amp;C24,July14_2021420[[#Totals],[KSI_AGO]:[AKOSOMBO_AGO]])</f>
        <v>216000</v>
      </c>
      <c r="E24" s="1" t="s">
        <v>5</v>
      </c>
      <c r="F24" s="5">
        <f>SUMIF(July14_2021420[[#Headers],[KSI_AGO]:[AKOSOMBO_AGO]],"*"&amp;E24,July14_2021420[[#Totals],[KSI_AGO]:[AKOSOMBO_AGO]])</f>
        <v>1330000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60A5AA1E-1DFC-4484-BB81-5DF78FA43121}">
      <formula1>INDIRECT("BDC_List[BDC List]")</formula1>
    </dataValidation>
  </dataValidations>
  <pageMargins left="0.7" right="0.7" top="0.75" bottom="0.75" header="0.3" footer="0.3"/>
  <tableParts count="1">
    <tablePart r:id="rId1"/>
  </tableParts>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A76EE-7448-4B0A-96B0-1C1E5BB8DB19}">
  <sheetPr codeName="Sheet393"/>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44392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44392</v>
      </c>
    </row>
    <row r="7" spans="2:10" x14ac:dyDescent="0.3">
      <c r="B7" s="6" t="s">
        <v>37</v>
      </c>
      <c r="C7" s="49"/>
      <c r="D7" s="22"/>
      <c r="E7" s="22"/>
      <c r="F7" s="22"/>
      <c r="G7" s="22"/>
      <c r="H7" s="67">
        <f t="shared" si="0"/>
        <v>44392</v>
      </c>
    </row>
    <row r="8" spans="2:10" x14ac:dyDescent="0.3">
      <c r="B8" s="6" t="s">
        <v>17</v>
      </c>
      <c r="C8" s="22"/>
      <c r="D8" s="22">
        <v>100000</v>
      </c>
      <c r="E8" s="22"/>
      <c r="F8" s="22"/>
      <c r="G8" s="22"/>
      <c r="H8" s="12">
        <f t="shared" si="0"/>
        <v>44392</v>
      </c>
    </row>
    <row r="9" spans="2:10" ht="15.6" x14ac:dyDescent="0.3">
      <c r="B9" s="34" t="s">
        <v>0</v>
      </c>
      <c r="C9" s="60"/>
      <c r="D9" s="60">
        <v>1242000</v>
      </c>
      <c r="E9" s="60"/>
      <c r="F9" s="60"/>
      <c r="G9" s="61"/>
      <c r="H9" s="12">
        <f t="shared" si="0"/>
        <v>44392</v>
      </c>
    </row>
    <row r="10" spans="2:10" ht="16.2" customHeight="1" x14ac:dyDescent="0.3">
      <c r="B10" s="6" t="s">
        <v>25</v>
      </c>
      <c r="C10" s="22"/>
      <c r="D10" s="22"/>
      <c r="E10" s="22"/>
      <c r="F10" s="22"/>
      <c r="G10" s="22"/>
      <c r="H10" s="12">
        <f t="shared" si="0"/>
        <v>44392</v>
      </c>
    </row>
    <row r="11" spans="2:10" ht="13.5" customHeight="1" x14ac:dyDescent="0.3">
      <c r="B11" s="6" t="s">
        <v>15</v>
      </c>
      <c r="C11" s="22"/>
      <c r="D11" s="48"/>
      <c r="E11" s="22"/>
      <c r="F11" s="48"/>
      <c r="G11" s="22"/>
      <c r="H11" s="12">
        <f t="shared" si="0"/>
        <v>44392</v>
      </c>
    </row>
    <row r="12" spans="2:10" x14ac:dyDescent="0.3">
      <c r="B12" s="6" t="s">
        <v>54</v>
      </c>
      <c r="C12" s="22"/>
      <c r="D12" s="22"/>
      <c r="E12" s="22"/>
      <c r="F12" s="22"/>
      <c r="G12" s="22"/>
      <c r="H12" s="67">
        <f t="shared" si="0"/>
        <v>44392</v>
      </c>
    </row>
    <row r="13" spans="2:10" x14ac:dyDescent="0.3">
      <c r="B13" s="6" t="s">
        <v>26</v>
      </c>
      <c r="C13" s="22"/>
      <c r="D13" s="22"/>
      <c r="E13" s="22"/>
      <c r="F13" s="22"/>
      <c r="G13" s="22"/>
      <c r="H13" s="12">
        <f t="shared" si="0"/>
        <v>44392</v>
      </c>
    </row>
    <row r="14" spans="2:10" x14ac:dyDescent="0.3">
      <c r="B14" s="6" t="s">
        <v>22</v>
      </c>
      <c r="C14" s="23"/>
      <c r="D14" s="22"/>
      <c r="E14" s="23"/>
      <c r="F14" s="22"/>
      <c r="G14" s="23"/>
      <c r="H14" s="12">
        <f t="shared" si="0"/>
        <v>44392</v>
      </c>
      <c r="J14" s="4"/>
    </row>
    <row r="15" spans="2:10" x14ac:dyDescent="0.3">
      <c r="B15" s="6" t="s">
        <v>61</v>
      </c>
      <c r="C15" s="23"/>
      <c r="D15" s="22"/>
      <c r="E15" s="23"/>
      <c r="F15" s="22"/>
      <c r="G15" s="23"/>
      <c r="H15" s="67">
        <f t="shared" si="0"/>
        <v>44392</v>
      </c>
      <c r="J15" s="4"/>
    </row>
    <row r="16" spans="2:10" x14ac:dyDescent="0.3">
      <c r="B16" s="6" t="s">
        <v>19</v>
      </c>
      <c r="C16" s="22"/>
      <c r="D16" s="22"/>
      <c r="E16" s="22"/>
      <c r="F16" s="22"/>
      <c r="G16" s="22"/>
      <c r="H16" s="12">
        <f t="shared" si="0"/>
        <v>44392</v>
      </c>
    </row>
    <row r="17" spans="1:8" x14ac:dyDescent="0.3">
      <c r="B17" s="6" t="s">
        <v>14</v>
      </c>
      <c r="C17" s="22"/>
      <c r="D17" s="22"/>
      <c r="E17" s="22"/>
      <c r="F17" s="22"/>
      <c r="G17" s="22"/>
      <c r="H17" s="12">
        <f t="shared" si="0"/>
        <v>44392</v>
      </c>
    </row>
    <row r="18" spans="1:8" x14ac:dyDescent="0.3">
      <c r="B18" s="6" t="s">
        <v>24</v>
      </c>
      <c r="C18" s="22"/>
      <c r="D18" s="49"/>
      <c r="E18" s="22"/>
      <c r="F18" s="49"/>
      <c r="G18" s="22"/>
      <c r="H18" s="12">
        <f t="shared" si="0"/>
        <v>44392</v>
      </c>
    </row>
    <row r="19" spans="1:8" x14ac:dyDescent="0.3">
      <c r="B19" s="6" t="s">
        <v>21</v>
      </c>
      <c r="C19" s="22"/>
      <c r="D19" s="22"/>
      <c r="E19" s="22"/>
      <c r="F19" s="22"/>
      <c r="G19" s="22"/>
      <c r="H19" s="12">
        <f t="shared" si="0"/>
        <v>44392</v>
      </c>
    </row>
    <row r="20" spans="1:8" x14ac:dyDescent="0.3">
      <c r="B20" s="6" t="s">
        <v>18</v>
      </c>
      <c r="C20" s="22"/>
      <c r="D20" s="22"/>
      <c r="E20" s="22"/>
      <c r="F20" s="22"/>
      <c r="G20" s="22"/>
      <c r="H20" s="12">
        <f t="shared" si="0"/>
        <v>44392</v>
      </c>
    </row>
    <row r="21" spans="1:8" x14ac:dyDescent="0.3">
      <c r="B21" s="6" t="s">
        <v>16</v>
      </c>
      <c r="C21" s="22">
        <v>90000</v>
      </c>
      <c r="D21" s="22"/>
      <c r="E21" s="22"/>
      <c r="F21" s="22"/>
      <c r="G21" s="22"/>
      <c r="H21" s="12">
        <f t="shared" si="0"/>
        <v>44392</v>
      </c>
    </row>
    <row r="22" spans="1:8" x14ac:dyDescent="0.3">
      <c r="B22" s="50" t="s">
        <v>27</v>
      </c>
      <c r="C22" s="51">
        <f>SUM(July15_2021421[KSI_AGO])</f>
        <v>90000</v>
      </c>
      <c r="D22" s="51">
        <f>SUBTOTAL(109,July15_2021421[KSI_PMS])</f>
        <v>1342000</v>
      </c>
      <c r="E22" s="51">
        <f>SUM(July15_2021421[BUIPE_AGO])</f>
        <v>0</v>
      </c>
      <c r="F22" s="51">
        <f>SUM(July15_2021421[BUIPE_PMS])</f>
        <v>0</v>
      </c>
      <c r="G22" s="51">
        <f>SUM(July15_2021421[AKOSOMBO_AGO])</f>
        <v>0</v>
      </c>
      <c r="H22" s="52"/>
    </row>
    <row r="23" spans="1:8" x14ac:dyDescent="0.3">
      <c r="B23" s="8"/>
      <c r="C23" s="24"/>
      <c r="D23" s="24"/>
      <c r="E23" s="24"/>
      <c r="F23" s="24"/>
      <c r="G23" s="24"/>
      <c r="H23"/>
    </row>
    <row r="24" spans="1:8" x14ac:dyDescent="0.3">
      <c r="B24" s="1" t="s">
        <v>6</v>
      </c>
      <c r="C24" s="1" t="s">
        <v>4</v>
      </c>
      <c r="D24" s="5">
        <f>SUMIF(July15_2021421[[#Headers],[KSI_AGO]:[AKOSOMBO_AGO]],"*"&amp;C24,July15_2021421[[#Totals],[KSI_AGO]:[AKOSOMBO_AGO]])</f>
        <v>90000</v>
      </c>
      <c r="E24" s="1" t="s">
        <v>5</v>
      </c>
      <c r="F24" s="5">
        <f>SUMIF(July15_2021421[[#Headers],[KSI_AGO]:[AKOSOMBO_AGO]],"*"&amp;E24,July15_2021421[[#Totals],[KSI_AGO]:[AKOSOMBO_AGO]])</f>
        <v>1342000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362F353D-2C5A-419D-B445-9AF3C6192BC1}">
      <formula1>INDIRECT("BDC_List[BDC List]")</formula1>
    </dataValidation>
  </dataValidations>
  <pageMargins left="0.7" right="0.7" top="0.75" bottom="0.75" header="0.3" footer="0.3"/>
  <tableParts count="1">
    <tablePart r:id="rId1"/>
  </tableParts>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36D1B-5AA3-466A-997E-EE463DA3CBB4}">
  <sheetPr codeName="Sheet394"/>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44393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44393</v>
      </c>
    </row>
    <row r="7" spans="2:10" x14ac:dyDescent="0.3">
      <c r="B7" s="6" t="s">
        <v>37</v>
      </c>
      <c r="C7" s="49"/>
      <c r="D7" s="22">
        <v>90000</v>
      </c>
      <c r="E7" s="22">
        <v>45000</v>
      </c>
      <c r="F7" s="22"/>
      <c r="G7" s="22"/>
      <c r="H7" s="67">
        <f t="shared" si="0"/>
        <v>44393</v>
      </c>
    </row>
    <row r="8" spans="2:10" ht="15.75" customHeight="1" x14ac:dyDescent="0.3">
      <c r="B8" s="6" t="s">
        <v>17</v>
      </c>
      <c r="C8" s="22"/>
      <c r="D8" s="22">
        <v>108000</v>
      </c>
      <c r="E8" s="22"/>
      <c r="F8" s="22">
        <v>54000</v>
      </c>
      <c r="G8" s="22"/>
      <c r="H8" s="12">
        <f t="shared" si="0"/>
        <v>44393</v>
      </c>
    </row>
    <row r="9" spans="2:10" ht="15.6" x14ac:dyDescent="0.3">
      <c r="B9" s="34" t="s">
        <v>0</v>
      </c>
      <c r="C9" s="60"/>
      <c r="D9" s="60">
        <v>535000</v>
      </c>
      <c r="E9" s="60"/>
      <c r="F9" s="60">
        <v>270000</v>
      </c>
      <c r="G9" s="61"/>
      <c r="H9" s="12">
        <f t="shared" si="0"/>
        <v>44393</v>
      </c>
    </row>
    <row r="10" spans="2:10" ht="16.2" customHeight="1" x14ac:dyDescent="0.3">
      <c r="B10" s="6" t="s">
        <v>25</v>
      </c>
      <c r="C10" s="22"/>
      <c r="D10" s="22"/>
      <c r="E10" s="22"/>
      <c r="F10" s="22"/>
      <c r="G10" s="22"/>
      <c r="H10" s="12">
        <f t="shared" si="0"/>
        <v>44393</v>
      </c>
    </row>
    <row r="11" spans="2:10" ht="13.5" customHeight="1" x14ac:dyDescent="0.3">
      <c r="B11" s="6" t="s">
        <v>15</v>
      </c>
      <c r="C11" s="22"/>
      <c r="D11" s="48">
        <v>162000</v>
      </c>
      <c r="E11" s="22"/>
      <c r="F11" s="48">
        <v>54000</v>
      </c>
      <c r="G11" s="22"/>
      <c r="H11" s="12">
        <f t="shared" si="0"/>
        <v>44393</v>
      </c>
    </row>
    <row r="12" spans="2:10" x14ac:dyDescent="0.3">
      <c r="B12" s="6" t="s">
        <v>54</v>
      </c>
      <c r="C12" s="22"/>
      <c r="D12" s="22"/>
      <c r="E12" s="22"/>
      <c r="F12" s="22"/>
      <c r="G12" s="22"/>
      <c r="H12" s="67">
        <f t="shared" si="0"/>
        <v>44393</v>
      </c>
    </row>
    <row r="13" spans="2:10" x14ac:dyDescent="0.3">
      <c r="B13" s="6" t="s">
        <v>26</v>
      </c>
      <c r="C13" s="22">
        <v>428000</v>
      </c>
      <c r="D13" s="22">
        <v>108000</v>
      </c>
      <c r="E13" s="22"/>
      <c r="F13" s="22"/>
      <c r="G13" s="22"/>
      <c r="H13" s="12">
        <f t="shared" si="0"/>
        <v>44393</v>
      </c>
    </row>
    <row r="14" spans="2:10" x14ac:dyDescent="0.3">
      <c r="B14" s="6" t="s">
        <v>22</v>
      </c>
      <c r="C14" s="23"/>
      <c r="D14" s="22"/>
      <c r="E14" s="23"/>
      <c r="F14" s="22"/>
      <c r="G14" s="23"/>
      <c r="H14" s="12">
        <f t="shared" si="0"/>
        <v>44393</v>
      </c>
      <c r="J14" s="4"/>
    </row>
    <row r="15" spans="2:10" x14ac:dyDescent="0.3">
      <c r="B15" s="6" t="s">
        <v>61</v>
      </c>
      <c r="C15" s="23"/>
      <c r="D15" s="22"/>
      <c r="E15" s="23"/>
      <c r="F15" s="22"/>
      <c r="G15" s="23"/>
      <c r="H15" s="67">
        <f t="shared" si="0"/>
        <v>44393</v>
      </c>
      <c r="J15" s="4"/>
    </row>
    <row r="16" spans="2:10" x14ac:dyDescent="0.3">
      <c r="B16" s="6" t="s">
        <v>19</v>
      </c>
      <c r="C16" s="22"/>
      <c r="D16" s="22"/>
      <c r="E16" s="22"/>
      <c r="F16" s="22"/>
      <c r="G16" s="22"/>
      <c r="H16" s="12">
        <f t="shared" si="0"/>
        <v>44393</v>
      </c>
    </row>
    <row r="17" spans="1:8" x14ac:dyDescent="0.3">
      <c r="B17" s="6" t="s">
        <v>14</v>
      </c>
      <c r="C17" s="22">
        <v>1234000</v>
      </c>
      <c r="D17" s="22">
        <v>324000</v>
      </c>
      <c r="E17" s="22">
        <v>415000</v>
      </c>
      <c r="F17" s="22">
        <v>162000</v>
      </c>
      <c r="G17" s="22"/>
      <c r="H17" s="12">
        <f t="shared" si="0"/>
        <v>44393</v>
      </c>
    </row>
    <row r="18" spans="1:8" x14ac:dyDescent="0.3">
      <c r="B18" s="6" t="s">
        <v>24</v>
      </c>
      <c r="C18" s="22"/>
      <c r="D18" s="49"/>
      <c r="E18" s="22"/>
      <c r="F18" s="49"/>
      <c r="G18" s="22"/>
      <c r="H18" s="12">
        <f t="shared" si="0"/>
        <v>44393</v>
      </c>
    </row>
    <row r="19" spans="1:8" x14ac:dyDescent="0.3">
      <c r="B19" s="6" t="s">
        <v>21</v>
      </c>
      <c r="C19" s="22"/>
      <c r="D19" s="22"/>
      <c r="E19" s="22"/>
      <c r="F19" s="22"/>
      <c r="G19" s="22"/>
      <c r="H19" s="12">
        <f t="shared" si="0"/>
        <v>44393</v>
      </c>
    </row>
    <row r="20" spans="1:8" x14ac:dyDescent="0.3">
      <c r="B20" s="6" t="s">
        <v>18</v>
      </c>
      <c r="C20" s="22"/>
      <c r="D20" s="22"/>
      <c r="E20" s="22"/>
      <c r="F20" s="22"/>
      <c r="G20" s="22"/>
      <c r="H20" s="12">
        <f t="shared" si="0"/>
        <v>44393</v>
      </c>
    </row>
    <row r="21" spans="1:8" x14ac:dyDescent="0.3">
      <c r="B21" s="6" t="s">
        <v>16</v>
      </c>
      <c r="C21" s="22"/>
      <c r="D21" s="22"/>
      <c r="E21" s="22">
        <v>104000</v>
      </c>
      <c r="F21" s="22"/>
      <c r="G21" s="22"/>
      <c r="H21" s="12">
        <f t="shared" si="0"/>
        <v>44393</v>
      </c>
    </row>
    <row r="22" spans="1:8" x14ac:dyDescent="0.3">
      <c r="B22" s="50" t="s">
        <v>27</v>
      </c>
      <c r="C22" s="51">
        <f>SUM(July16_2021422[KSI_AGO])</f>
        <v>1662000</v>
      </c>
      <c r="D22" s="51">
        <f>SUBTOTAL(109,July16_2021422[KSI_PMS])</f>
        <v>1327000</v>
      </c>
      <c r="E22" s="51">
        <f>SUM(July16_2021422[BUIPE_AGO])</f>
        <v>564000</v>
      </c>
      <c r="F22" s="51">
        <f>SUM(July16_2021422[BUIPE_PMS])</f>
        <v>540000</v>
      </c>
      <c r="G22" s="51">
        <f>SUM(July16_2021422[AKOSOMBO_AGO])</f>
        <v>0</v>
      </c>
      <c r="H22" s="52"/>
    </row>
    <row r="23" spans="1:8" x14ac:dyDescent="0.3">
      <c r="B23" s="8"/>
      <c r="C23" s="24"/>
      <c r="D23" s="24"/>
      <c r="E23" s="24"/>
      <c r="F23" s="24"/>
      <c r="G23" s="24"/>
      <c r="H23"/>
    </row>
    <row r="24" spans="1:8" x14ac:dyDescent="0.3">
      <c r="B24" s="1" t="s">
        <v>6</v>
      </c>
      <c r="C24" s="1" t="s">
        <v>4</v>
      </c>
      <c r="D24" s="5">
        <f>SUMIF(July16_2021422[[#Headers],[KSI_AGO]:[AKOSOMBO_AGO]],"*"&amp;C24,July16_2021422[[#Totals],[KSI_AGO]:[AKOSOMBO_AGO]])</f>
        <v>2226000</v>
      </c>
      <c r="E24" s="1" t="s">
        <v>5</v>
      </c>
      <c r="F24" s="5">
        <f>SUMIF(July16_2021422[[#Headers],[KSI_AGO]:[AKOSOMBO_AGO]],"*"&amp;E24,July16_2021422[[#Totals],[KSI_AGO]:[AKOSOMBO_AGO]])</f>
        <v>1867000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EC9A8D7-5750-466F-8E43-B1C0694BD498}">
      <formula1>INDIRECT("BDC_List[BDC List]")</formula1>
    </dataValidation>
  </dataValidations>
  <pageMargins left="0.7" right="0.7" top="0.75" bottom="0.75" header="0.3" footer="0.3"/>
  <tableParts count="1">
    <tablePart r:id="rId1"/>
  </tableParts>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8F08-5A47-488B-AE86-612C15C2404D}">
  <sheetPr codeName="Sheet395"/>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44396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44396</v>
      </c>
    </row>
    <row r="7" spans="2:10" x14ac:dyDescent="0.3">
      <c r="B7" s="6" t="s">
        <v>37</v>
      </c>
      <c r="C7" s="49"/>
      <c r="D7" s="22"/>
      <c r="E7" s="22"/>
      <c r="F7" s="22"/>
      <c r="G7" s="22"/>
      <c r="H7" s="67">
        <f t="shared" si="0"/>
        <v>44396</v>
      </c>
    </row>
    <row r="8" spans="2:10" ht="15.75" customHeight="1" x14ac:dyDescent="0.3">
      <c r="B8" s="6" t="s">
        <v>17</v>
      </c>
      <c r="C8" s="22">
        <v>540000</v>
      </c>
      <c r="D8" s="22"/>
      <c r="E8" s="22"/>
      <c r="F8" s="22"/>
      <c r="G8" s="22">
        <v>540000</v>
      </c>
      <c r="H8" s="12">
        <f t="shared" si="0"/>
        <v>44396</v>
      </c>
    </row>
    <row r="9" spans="2:10" ht="15.6" x14ac:dyDescent="0.3">
      <c r="B9" s="34" t="s">
        <v>0</v>
      </c>
      <c r="C9" s="60"/>
      <c r="D9" s="60">
        <v>324000</v>
      </c>
      <c r="E9" s="60"/>
      <c r="F9" s="60">
        <v>270000</v>
      </c>
      <c r="G9" s="61"/>
      <c r="H9" s="12">
        <f t="shared" si="0"/>
        <v>44396</v>
      </c>
    </row>
    <row r="10" spans="2:10" ht="16.2" customHeight="1" x14ac:dyDescent="0.3">
      <c r="B10" s="6" t="s">
        <v>25</v>
      </c>
      <c r="C10" s="22"/>
      <c r="D10" s="22"/>
      <c r="E10" s="22"/>
      <c r="F10" s="22"/>
      <c r="G10" s="22"/>
      <c r="H10" s="12">
        <f t="shared" si="0"/>
        <v>44396</v>
      </c>
    </row>
    <row r="11" spans="2:10" ht="13.5" customHeight="1" x14ac:dyDescent="0.3">
      <c r="B11" s="6" t="s">
        <v>15</v>
      </c>
      <c r="C11" s="22"/>
      <c r="D11" s="48">
        <v>108000</v>
      </c>
      <c r="E11" s="22"/>
      <c r="F11" s="48">
        <v>108000</v>
      </c>
      <c r="G11" s="22"/>
      <c r="H11" s="12">
        <f t="shared" si="0"/>
        <v>44396</v>
      </c>
    </row>
    <row r="12" spans="2:10" x14ac:dyDescent="0.3">
      <c r="B12" s="6" t="s">
        <v>54</v>
      </c>
      <c r="C12" s="22"/>
      <c r="D12" s="22"/>
      <c r="E12" s="22"/>
      <c r="F12" s="22"/>
      <c r="G12" s="22"/>
      <c r="H12" s="67">
        <f t="shared" si="0"/>
        <v>44396</v>
      </c>
    </row>
    <row r="13" spans="2:10" x14ac:dyDescent="0.3">
      <c r="B13" s="6" t="s">
        <v>26</v>
      </c>
      <c r="C13" s="22">
        <v>431500</v>
      </c>
      <c r="D13" s="22">
        <v>162000</v>
      </c>
      <c r="E13" s="22">
        <v>270000</v>
      </c>
      <c r="F13" s="22">
        <v>90000</v>
      </c>
      <c r="G13" s="22"/>
      <c r="H13" s="12">
        <f t="shared" si="0"/>
        <v>44396</v>
      </c>
    </row>
    <row r="14" spans="2:10" x14ac:dyDescent="0.3">
      <c r="B14" s="6" t="s">
        <v>22</v>
      </c>
      <c r="C14" s="23"/>
      <c r="D14" s="22"/>
      <c r="E14" s="23"/>
      <c r="F14" s="22"/>
      <c r="G14" s="23"/>
      <c r="H14" s="12">
        <f t="shared" si="0"/>
        <v>44396</v>
      </c>
      <c r="J14" s="4"/>
    </row>
    <row r="15" spans="2:10" x14ac:dyDescent="0.3">
      <c r="B15" s="6" t="s">
        <v>61</v>
      </c>
      <c r="C15" s="23"/>
      <c r="D15" s="22"/>
      <c r="E15" s="23"/>
      <c r="F15" s="22"/>
      <c r="G15" s="23"/>
      <c r="H15" s="67">
        <f t="shared" si="0"/>
        <v>44396</v>
      </c>
      <c r="J15" s="4"/>
    </row>
    <row r="16" spans="2:10" x14ac:dyDescent="0.3">
      <c r="B16" s="6" t="s">
        <v>19</v>
      </c>
      <c r="C16" s="22"/>
      <c r="D16" s="22"/>
      <c r="E16" s="22"/>
      <c r="F16" s="22"/>
      <c r="G16" s="22"/>
      <c r="H16" s="12">
        <f t="shared" si="0"/>
        <v>44396</v>
      </c>
    </row>
    <row r="17" spans="1:8" x14ac:dyDescent="0.3">
      <c r="B17" s="6" t="s">
        <v>14</v>
      </c>
      <c r="C17" s="22">
        <v>648000</v>
      </c>
      <c r="D17" s="22">
        <v>157500</v>
      </c>
      <c r="E17" s="22">
        <v>270000</v>
      </c>
      <c r="F17" s="22">
        <v>54000</v>
      </c>
      <c r="G17" s="22"/>
      <c r="H17" s="12">
        <f t="shared" si="0"/>
        <v>44396</v>
      </c>
    </row>
    <row r="18" spans="1:8" x14ac:dyDescent="0.3">
      <c r="B18" s="6" t="s">
        <v>24</v>
      </c>
      <c r="C18" s="22"/>
      <c r="D18" s="49"/>
      <c r="E18" s="22"/>
      <c r="F18" s="49"/>
      <c r="G18" s="22"/>
      <c r="H18" s="12">
        <f t="shared" si="0"/>
        <v>44396</v>
      </c>
    </row>
    <row r="19" spans="1:8" x14ac:dyDescent="0.3">
      <c r="B19" s="6" t="s">
        <v>21</v>
      </c>
      <c r="C19" s="22"/>
      <c r="D19" s="22"/>
      <c r="E19" s="22"/>
      <c r="F19" s="22"/>
      <c r="G19" s="22"/>
      <c r="H19" s="12">
        <f t="shared" si="0"/>
        <v>44396</v>
      </c>
    </row>
    <row r="20" spans="1:8" x14ac:dyDescent="0.3">
      <c r="B20" s="6" t="s">
        <v>18</v>
      </c>
      <c r="C20" s="22"/>
      <c r="D20" s="22"/>
      <c r="E20" s="22"/>
      <c r="F20" s="22"/>
      <c r="G20" s="22"/>
      <c r="H20" s="12">
        <f t="shared" si="0"/>
        <v>44396</v>
      </c>
    </row>
    <row r="21" spans="1:8" x14ac:dyDescent="0.3">
      <c r="B21" s="6" t="s">
        <v>16</v>
      </c>
      <c r="C21" s="22"/>
      <c r="D21" s="22"/>
      <c r="E21" s="22"/>
      <c r="F21" s="22"/>
      <c r="G21" s="22"/>
      <c r="H21" s="12">
        <f t="shared" si="0"/>
        <v>44396</v>
      </c>
    </row>
    <row r="22" spans="1:8" x14ac:dyDescent="0.3">
      <c r="B22" s="50" t="s">
        <v>27</v>
      </c>
      <c r="C22" s="51">
        <f>SUM(July19_2021423[KSI_AGO])</f>
        <v>1619500</v>
      </c>
      <c r="D22" s="51">
        <f>SUBTOTAL(109,July19_2021423[KSI_PMS])</f>
        <v>751500</v>
      </c>
      <c r="E22" s="51">
        <f>SUM(July19_2021423[BUIPE_AGO])</f>
        <v>540000</v>
      </c>
      <c r="F22" s="51">
        <f>SUM(July19_2021423[BUIPE_PMS])</f>
        <v>522000</v>
      </c>
      <c r="G22" s="51">
        <f>SUM(July19_2021423[AKOSOMBO_AGO])</f>
        <v>540000</v>
      </c>
      <c r="H22" s="52"/>
    </row>
    <row r="23" spans="1:8" x14ac:dyDescent="0.3">
      <c r="B23" s="8"/>
      <c r="C23" s="24"/>
      <c r="D23" s="24"/>
      <c r="E23" s="24"/>
      <c r="F23" s="24"/>
      <c r="G23" s="24"/>
      <c r="H23"/>
    </row>
    <row r="24" spans="1:8" x14ac:dyDescent="0.3">
      <c r="B24" s="1" t="s">
        <v>6</v>
      </c>
      <c r="C24" s="1" t="s">
        <v>4</v>
      </c>
      <c r="D24" s="5">
        <f>SUMIF(July19_2021423[[#Headers],[KSI_AGO]:[AKOSOMBO_AGO]],"*"&amp;C24,July19_2021423[[#Totals],[KSI_AGO]:[AKOSOMBO_AGO]])</f>
        <v>2699500</v>
      </c>
      <c r="E24" s="1" t="s">
        <v>5</v>
      </c>
      <c r="F24" s="5">
        <f>SUMIF(July19_2021423[[#Headers],[KSI_AGO]:[AKOSOMBO_AGO]],"*"&amp;E24,July19_2021423[[#Totals],[KSI_AGO]:[AKOSOMBO_AGO]])</f>
        <v>1273500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BA7BA3E8-AB6D-42B9-9CA7-3D992DD1B2DF}">
      <formula1>INDIRECT("BDC_List[BDC List]")</formula1>
    </dataValidation>
  </dataValidations>
  <pageMargins left="0.7" right="0.7" top="0.75" bottom="0.75" header="0.3" footer="0.3"/>
  <tableParts count="1">
    <tablePart r:id="rId1"/>
  </tableParts>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E900D-E5D8-4004-AC31-D5374CD8728B}">
  <sheetPr codeName="Sheet396"/>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44398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44398</v>
      </c>
    </row>
    <row r="7" spans="2:10" x14ac:dyDescent="0.3">
      <c r="B7" s="6" t="s">
        <v>37</v>
      </c>
      <c r="C7" s="49"/>
      <c r="D7" s="22">
        <v>45000</v>
      </c>
      <c r="E7" s="22"/>
      <c r="F7" s="22"/>
      <c r="G7" s="22"/>
      <c r="H7" s="67">
        <f t="shared" si="0"/>
        <v>44398</v>
      </c>
    </row>
    <row r="8" spans="2:10" ht="15.75" customHeight="1" x14ac:dyDescent="0.3">
      <c r="B8" s="6" t="s">
        <v>17</v>
      </c>
      <c r="C8" s="22">
        <v>702000</v>
      </c>
      <c r="D8" s="22"/>
      <c r="E8" s="22"/>
      <c r="F8" s="22"/>
      <c r="G8" s="22">
        <v>482000</v>
      </c>
      <c r="H8" s="12">
        <f t="shared" si="0"/>
        <v>44398</v>
      </c>
    </row>
    <row r="9" spans="2:10" ht="15.6" x14ac:dyDescent="0.3">
      <c r="B9" s="34" t="s">
        <v>0</v>
      </c>
      <c r="C9" s="60"/>
      <c r="D9" s="60">
        <v>270000</v>
      </c>
      <c r="E9" s="60"/>
      <c r="F9" s="60"/>
      <c r="G9" s="61"/>
      <c r="H9" s="12">
        <f t="shared" si="0"/>
        <v>44398</v>
      </c>
    </row>
    <row r="10" spans="2:10" ht="16.2" customHeight="1" x14ac:dyDescent="0.3">
      <c r="B10" s="6" t="s">
        <v>25</v>
      </c>
      <c r="C10" s="22"/>
      <c r="D10" s="22"/>
      <c r="E10" s="22"/>
      <c r="F10" s="22"/>
      <c r="G10" s="22"/>
      <c r="H10" s="12">
        <f t="shared" si="0"/>
        <v>44398</v>
      </c>
    </row>
    <row r="11" spans="2:10" ht="13.5" customHeight="1" x14ac:dyDescent="0.3">
      <c r="B11" s="6" t="s">
        <v>15</v>
      </c>
      <c r="C11" s="22"/>
      <c r="D11" s="48">
        <v>99000</v>
      </c>
      <c r="E11" s="22"/>
      <c r="F11" s="48"/>
      <c r="G11" s="22"/>
      <c r="H11" s="12">
        <f t="shared" si="0"/>
        <v>44398</v>
      </c>
    </row>
    <row r="12" spans="2:10" x14ac:dyDescent="0.3">
      <c r="B12" s="6" t="s">
        <v>54</v>
      </c>
      <c r="C12" s="22"/>
      <c r="D12" s="22"/>
      <c r="E12" s="22"/>
      <c r="F12" s="22"/>
      <c r="G12" s="22"/>
      <c r="H12" s="67">
        <f t="shared" si="0"/>
        <v>44398</v>
      </c>
    </row>
    <row r="13" spans="2:10" x14ac:dyDescent="0.3">
      <c r="B13" s="6" t="s">
        <v>26</v>
      </c>
      <c r="C13" s="22">
        <v>378000</v>
      </c>
      <c r="D13" s="22">
        <v>108000</v>
      </c>
      <c r="E13" s="22"/>
      <c r="F13" s="22"/>
      <c r="G13" s="22"/>
      <c r="H13" s="12">
        <f t="shared" si="0"/>
        <v>44398</v>
      </c>
    </row>
    <row r="14" spans="2:10" x14ac:dyDescent="0.3">
      <c r="B14" s="6" t="s">
        <v>22</v>
      </c>
      <c r="C14" s="23"/>
      <c r="D14" s="22"/>
      <c r="E14" s="23"/>
      <c r="F14" s="22"/>
      <c r="G14" s="23"/>
      <c r="H14" s="12">
        <f t="shared" si="0"/>
        <v>44398</v>
      </c>
      <c r="J14" s="4"/>
    </row>
    <row r="15" spans="2:10" x14ac:dyDescent="0.3">
      <c r="B15" s="6" t="s">
        <v>61</v>
      </c>
      <c r="C15" s="23"/>
      <c r="D15" s="22"/>
      <c r="E15" s="23"/>
      <c r="F15" s="22"/>
      <c r="G15" s="23"/>
      <c r="H15" s="67">
        <f t="shared" si="0"/>
        <v>44398</v>
      </c>
      <c r="J15" s="4"/>
    </row>
    <row r="16" spans="2:10" x14ac:dyDescent="0.3">
      <c r="B16" s="6" t="s">
        <v>19</v>
      </c>
      <c r="C16" s="22"/>
      <c r="D16" s="22"/>
      <c r="E16" s="22"/>
      <c r="F16" s="22"/>
      <c r="G16" s="22"/>
      <c r="H16" s="12">
        <f t="shared" si="0"/>
        <v>44398</v>
      </c>
    </row>
    <row r="17" spans="1:8" x14ac:dyDescent="0.3">
      <c r="B17" s="6" t="s">
        <v>14</v>
      </c>
      <c r="C17" s="22">
        <v>580500</v>
      </c>
      <c r="D17" s="22">
        <v>216000</v>
      </c>
      <c r="E17" s="22"/>
      <c r="F17" s="22"/>
      <c r="G17" s="22"/>
      <c r="H17" s="12">
        <f t="shared" si="0"/>
        <v>44398</v>
      </c>
    </row>
    <row r="18" spans="1:8" x14ac:dyDescent="0.3">
      <c r="B18" s="6" t="s">
        <v>24</v>
      </c>
      <c r="C18" s="22"/>
      <c r="D18" s="49"/>
      <c r="E18" s="22"/>
      <c r="F18" s="49"/>
      <c r="G18" s="22"/>
      <c r="H18" s="12">
        <f t="shared" si="0"/>
        <v>44398</v>
      </c>
    </row>
    <row r="19" spans="1:8" x14ac:dyDescent="0.3">
      <c r="B19" s="6" t="s">
        <v>21</v>
      </c>
      <c r="C19" s="22"/>
      <c r="D19" s="22"/>
      <c r="E19" s="22"/>
      <c r="F19" s="22"/>
      <c r="G19" s="22"/>
      <c r="H19" s="12">
        <f t="shared" si="0"/>
        <v>44398</v>
      </c>
    </row>
    <row r="20" spans="1:8" x14ac:dyDescent="0.3">
      <c r="B20" s="6" t="s">
        <v>18</v>
      </c>
      <c r="C20" s="22"/>
      <c r="D20" s="22"/>
      <c r="E20" s="22"/>
      <c r="F20" s="22"/>
      <c r="G20" s="22"/>
      <c r="H20" s="12">
        <f t="shared" si="0"/>
        <v>44398</v>
      </c>
    </row>
    <row r="21" spans="1:8" x14ac:dyDescent="0.3">
      <c r="B21" s="6" t="s">
        <v>16</v>
      </c>
      <c r="C21" s="22"/>
      <c r="D21" s="22"/>
      <c r="E21" s="22"/>
      <c r="F21" s="22"/>
      <c r="G21" s="22"/>
      <c r="H21" s="12">
        <f t="shared" si="0"/>
        <v>44398</v>
      </c>
    </row>
    <row r="22" spans="1:8" x14ac:dyDescent="0.3">
      <c r="B22" s="50" t="s">
        <v>27</v>
      </c>
      <c r="C22" s="51">
        <f>SUM(July21_2021424[KSI_AGO])</f>
        <v>1660500</v>
      </c>
      <c r="D22" s="51">
        <f>SUBTOTAL(109,July21_2021424[KSI_PMS])</f>
        <v>738000</v>
      </c>
      <c r="E22" s="51">
        <f>SUM(July21_2021424[BUIPE_AGO])</f>
        <v>0</v>
      </c>
      <c r="F22" s="51">
        <f>SUM(July21_2021424[BUIPE_PMS])</f>
        <v>0</v>
      </c>
      <c r="G22" s="51">
        <f>SUM(July21_2021424[AKOSOMBO_AGO])</f>
        <v>482000</v>
      </c>
      <c r="H22" s="52"/>
    </row>
    <row r="23" spans="1:8" x14ac:dyDescent="0.3">
      <c r="B23" s="8"/>
      <c r="C23" s="24"/>
      <c r="D23" s="24"/>
      <c r="E23" s="24"/>
      <c r="F23" s="24"/>
      <c r="G23" s="24"/>
      <c r="H23"/>
    </row>
    <row r="24" spans="1:8" x14ac:dyDescent="0.3">
      <c r="B24" s="1" t="s">
        <v>6</v>
      </c>
      <c r="C24" s="1" t="s">
        <v>4</v>
      </c>
      <c r="D24" s="5">
        <f>SUMIF(July21_2021424[[#Headers],[KSI_AGO]:[AKOSOMBO_AGO]],"*"&amp;C24,July21_2021424[[#Totals],[KSI_AGO]:[AKOSOMBO_AGO]])</f>
        <v>2142500</v>
      </c>
      <c r="E24" s="1" t="s">
        <v>5</v>
      </c>
      <c r="F24" s="5">
        <f>SUMIF(July21_2021424[[#Headers],[KSI_AGO]:[AKOSOMBO_AGO]],"*"&amp;E24,July21_2021424[[#Totals],[KSI_AGO]:[AKOSOMBO_AGO]])</f>
        <v>738000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07CC8EAE-A17C-4E79-B8D5-518126FFC0CD}">
      <formula1>INDIRECT("BDC_List[BDC List]")</formula1>
    </dataValidation>
  </dataValidations>
  <pageMargins left="0.7" right="0.7" top="0.75" bottom="0.75" header="0.3" footer="0.3"/>
  <tableParts count="1">
    <tablePart r:id="rId1"/>
  </tableParts>
</worksheet>
</file>

<file path=xl/worksheets/sheet3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EE96-284D-4E9E-B1BB-0541013ED577}">
  <sheetPr codeName="Sheet397"/>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44399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44399</v>
      </c>
    </row>
    <row r="7" spans="2:10" x14ac:dyDescent="0.3">
      <c r="B7" s="6" t="s">
        <v>37</v>
      </c>
      <c r="C7" s="49"/>
      <c r="D7" s="22">
        <v>45000</v>
      </c>
      <c r="E7" s="22"/>
      <c r="F7" s="22"/>
      <c r="G7" s="22"/>
      <c r="H7" s="67">
        <f t="shared" si="0"/>
        <v>44399</v>
      </c>
    </row>
    <row r="8" spans="2:10" ht="15.75" customHeight="1" x14ac:dyDescent="0.3">
      <c r="B8" s="6" t="s">
        <v>17</v>
      </c>
      <c r="C8" s="22">
        <v>742000</v>
      </c>
      <c r="D8" s="22"/>
      <c r="E8" s="22"/>
      <c r="F8" s="22">
        <v>54000</v>
      </c>
      <c r="G8" s="22">
        <v>216000</v>
      </c>
      <c r="H8" s="12">
        <f t="shared" si="0"/>
        <v>44399</v>
      </c>
    </row>
    <row r="9" spans="2:10" ht="15.6" x14ac:dyDescent="0.3">
      <c r="B9" s="34" t="s">
        <v>0</v>
      </c>
      <c r="C9" s="60"/>
      <c r="D9" s="60">
        <v>270000</v>
      </c>
      <c r="E9" s="60"/>
      <c r="F9" s="60">
        <v>216000</v>
      </c>
      <c r="G9" s="61"/>
      <c r="H9" s="12">
        <f t="shared" si="0"/>
        <v>44399</v>
      </c>
    </row>
    <row r="10" spans="2:10" ht="16.2" customHeight="1" x14ac:dyDescent="0.3">
      <c r="B10" s="6" t="s">
        <v>25</v>
      </c>
      <c r="C10" s="22"/>
      <c r="D10" s="22"/>
      <c r="E10" s="22">
        <v>216000</v>
      </c>
      <c r="F10" s="22">
        <v>54000</v>
      </c>
      <c r="G10" s="22"/>
      <c r="H10" s="12">
        <f t="shared" si="0"/>
        <v>44399</v>
      </c>
    </row>
    <row r="11" spans="2:10" ht="13.5" customHeight="1" x14ac:dyDescent="0.3">
      <c r="B11" s="6" t="s">
        <v>15</v>
      </c>
      <c r="C11" s="22"/>
      <c r="D11" s="48">
        <v>54000</v>
      </c>
      <c r="E11" s="22">
        <v>54000</v>
      </c>
      <c r="F11" s="48">
        <v>108000</v>
      </c>
      <c r="G11" s="22"/>
      <c r="H11" s="12">
        <f t="shared" si="0"/>
        <v>44399</v>
      </c>
    </row>
    <row r="12" spans="2:10" x14ac:dyDescent="0.3">
      <c r="B12" s="6" t="s">
        <v>54</v>
      </c>
      <c r="C12" s="22"/>
      <c r="D12" s="22"/>
      <c r="E12" s="22"/>
      <c r="F12" s="22"/>
      <c r="G12" s="22"/>
      <c r="H12" s="67">
        <f t="shared" si="0"/>
        <v>44399</v>
      </c>
    </row>
    <row r="13" spans="2:10" x14ac:dyDescent="0.3">
      <c r="B13" s="6" t="s">
        <v>26</v>
      </c>
      <c r="C13" s="22">
        <v>162000</v>
      </c>
      <c r="D13" s="22">
        <v>216000</v>
      </c>
      <c r="E13" s="22">
        <v>324000</v>
      </c>
      <c r="F13" s="22"/>
      <c r="G13" s="22"/>
      <c r="H13" s="12">
        <f t="shared" si="0"/>
        <v>44399</v>
      </c>
    </row>
    <row r="14" spans="2:10" x14ac:dyDescent="0.3">
      <c r="B14" s="6" t="s">
        <v>22</v>
      </c>
      <c r="C14" s="23"/>
      <c r="D14" s="22"/>
      <c r="E14" s="23"/>
      <c r="F14" s="22"/>
      <c r="G14" s="23"/>
      <c r="H14" s="12">
        <f t="shared" si="0"/>
        <v>44399</v>
      </c>
      <c r="J14" s="4"/>
    </row>
    <row r="15" spans="2:10" x14ac:dyDescent="0.3">
      <c r="B15" s="6" t="s">
        <v>61</v>
      </c>
      <c r="C15" s="23"/>
      <c r="D15" s="22"/>
      <c r="E15" s="23"/>
      <c r="F15" s="22"/>
      <c r="G15" s="23"/>
      <c r="H15" s="67">
        <f t="shared" si="0"/>
        <v>44399</v>
      </c>
      <c r="J15" s="4"/>
    </row>
    <row r="16" spans="2:10" x14ac:dyDescent="0.3">
      <c r="B16" s="6" t="s">
        <v>19</v>
      </c>
      <c r="C16" s="22"/>
      <c r="D16" s="22">
        <v>1008000</v>
      </c>
      <c r="E16" s="22"/>
      <c r="F16" s="22"/>
      <c r="G16" s="22"/>
      <c r="H16" s="12">
        <f t="shared" si="0"/>
        <v>44399</v>
      </c>
    </row>
    <row r="17" spans="1:8" x14ac:dyDescent="0.3">
      <c r="B17" s="6" t="s">
        <v>14</v>
      </c>
      <c r="C17" s="22">
        <v>531000</v>
      </c>
      <c r="D17" s="22">
        <v>162000</v>
      </c>
      <c r="E17" s="22">
        <v>216000</v>
      </c>
      <c r="F17" s="22">
        <v>54000</v>
      </c>
      <c r="G17" s="22"/>
      <c r="H17" s="12">
        <f t="shared" si="0"/>
        <v>44399</v>
      </c>
    </row>
    <row r="18" spans="1:8" x14ac:dyDescent="0.3">
      <c r="B18" s="6" t="s">
        <v>24</v>
      </c>
      <c r="C18" s="22"/>
      <c r="D18" s="49"/>
      <c r="E18" s="22"/>
      <c r="F18" s="49"/>
      <c r="G18" s="22"/>
      <c r="H18" s="12">
        <f t="shared" si="0"/>
        <v>44399</v>
      </c>
    </row>
    <row r="19" spans="1:8" x14ac:dyDescent="0.3">
      <c r="B19" s="6" t="s">
        <v>21</v>
      </c>
      <c r="C19" s="22"/>
      <c r="D19" s="22"/>
      <c r="E19" s="22"/>
      <c r="F19" s="22"/>
      <c r="G19" s="22"/>
      <c r="H19" s="12">
        <f t="shared" si="0"/>
        <v>44399</v>
      </c>
    </row>
    <row r="20" spans="1:8" x14ac:dyDescent="0.3">
      <c r="B20" s="6" t="s">
        <v>18</v>
      </c>
      <c r="C20" s="22"/>
      <c r="D20" s="22"/>
      <c r="E20" s="22"/>
      <c r="F20" s="22"/>
      <c r="G20" s="22"/>
      <c r="H20" s="12">
        <f t="shared" si="0"/>
        <v>44399</v>
      </c>
    </row>
    <row r="21" spans="1:8" x14ac:dyDescent="0.3">
      <c r="B21" s="6" t="s">
        <v>16</v>
      </c>
      <c r="C21" s="22">
        <v>216000</v>
      </c>
      <c r="D21" s="22"/>
      <c r="E21" s="22"/>
      <c r="F21" s="22"/>
      <c r="G21" s="22">
        <v>378000</v>
      </c>
      <c r="H21" s="12">
        <f t="shared" si="0"/>
        <v>44399</v>
      </c>
    </row>
    <row r="22" spans="1:8" x14ac:dyDescent="0.3">
      <c r="B22" s="50" t="s">
        <v>27</v>
      </c>
      <c r="C22" s="51">
        <f>SUM(July22_2021425[KSI_AGO])</f>
        <v>1651000</v>
      </c>
      <c r="D22" s="51">
        <f>SUBTOTAL(109,July22_2021425[KSI_PMS])</f>
        <v>1755000</v>
      </c>
      <c r="E22" s="51">
        <f>SUM(July22_2021425[BUIPE_AGO])</f>
        <v>810000</v>
      </c>
      <c r="F22" s="51">
        <f>SUM(July22_2021425[BUIPE_PMS])</f>
        <v>486000</v>
      </c>
      <c r="G22" s="51">
        <f>SUM(July22_2021425[AKOSOMBO_AGO])</f>
        <v>594000</v>
      </c>
      <c r="H22" s="52"/>
    </row>
    <row r="23" spans="1:8" x14ac:dyDescent="0.3">
      <c r="B23" s="8"/>
      <c r="C23" s="24"/>
      <c r="D23" s="24"/>
      <c r="E23" s="24"/>
      <c r="F23" s="24"/>
      <c r="G23" s="24"/>
      <c r="H23"/>
    </row>
    <row r="24" spans="1:8" x14ac:dyDescent="0.3">
      <c r="B24" s="1" t="s">
        <v>6</v>
      </c>
      <c r="C24" s="1" t="s">
        <v>4</v>
      </c>
      <c r="D24" s="5">
        <f>SUMIF(July22_2021425[[#Headers],[KSI_AGO]:[AKOSOMBO_AGO]],"*"&amp;C24,July22_2021425[[#Totals],[KSI_AGO]:[AKOSOMBO_AGO]])</f>
        <v>3055000</v>
      </c>
      <c r="E24" s="1" t="s">
        <v>5</v>
      </c>
      <c r="F24" s="5">
        <f>SUMIF(July22_2021425[[#Headers],[KSI_AGO]:[AKOSOMBO_AGO]],"*"&amp;E24,July22_2021425[[#Totals],[KSI_AGO]:[AKOSOMBO_AGO]])</f>
        <v>2241000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70525841-E9A5-412C-8C9B-82D416E85872}">
      <formula1>INDIRECT("BDC_List[BDC List]")</formula1>
    </dataValidation>
  </dataValidations>
  <pageMargins left="0.7" right="0.7" top="0.75" bottom="0.75" header="0.3" footer="0.3"/>
  <legacyDrawing r:id="rId1"/>
  <tableParts count="1">
    <tablePart r:id="rId2"/>
  </tableParts>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8DB2-6B07-4F71-9B9D-F12B6FA8F9E1}">
  <sheetPr codeName="Sheet398"/>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44400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44400</v>
      </c>
    </row>
    <row r="7" spans="2:10" x14ac:dyDescent="0.3">
      <c r="B7" s="6" t="s">
        <v>37</v>
      </c>
      <c r="C7" s="49"/>
      <c r="D7" s="22"/>
      <c r="E7" s="22"/>
      <c r="F7" s="22"/>
      <c r="G7" s="22"/>
      <c r="H7" s="67">
        <f t="shared" si="0"/>
        <v>44400</v>
      </c>
    </row>
    <row r="8" spans="2:10" x14ac:dyDescent="0.3">
      <c r="B8" s="6" t="s">
        <v>17</v>
      </c>
      <c r="C8" s="22">
        <v>801000</v>
      </c>
      <c r="D8" s="22"/>
      <c r="E8" s="22"/>
      <c r="F8" s="22"/>
      <c r="G8" s="22">
        <v>162000</v>
      </c>
      <c r="H8" s="12">
        <f t="shared" si="0"/>
        <v>44400</v>
      </c>
    </row>
    <row r="9" spans="2:10" ht="15.6" x14ac:dyDescent="0.3">
      <c r="B9" s="34" t="s">
        <v>0</v>
      </c>
      <c r="C9" s="60"/>
      <c r="D9" s="60">
        <v>486000</v>
      </c>
      <c r="E9" s="60"/>
      <c r="F9" s="60"/>
      <c r="G9" s="61"/>
      <c r="H9" s="12">
        <f t="shared" si="0"/>
        <v>44400</v>
      </c>
    </row>
    <row r="10" spans="2:10" x14ac:dyDescent="0.3">
      <c r="B10" s="6" t="s">
        <v>25</v>
      </c>
      <c r="C10" s="22"/>
      <c r="D10" s="22"/>
      <c r="E10" s="22">
        <v>194000</v>
      </c>
      <c r="F10" s="22"/>
      <c r="G10" s="22"/>
      <c r="H10" s="12">
        <f t="shared" si="0"/>
        <v>44400</v>
      </c>
    </row>
    <row r="11" spans="2:10" x14ac:dyDescent="0.3">
      <c r="B11" s="6" t="s">
        <v>15</v>
      </c>
      <c r="C11" s="22"/>
      <c r="D11" s="48">
        <v>265500</v>
      </c>
      <c r="E11" s="22">
        <v>104000</v>
      </c>
      <c r="F11" s="48">
        <v>54000</v>
      </c>
      <c r="G11" s="22"/>
      <c r="H11" s="12">
        <f t="shared" si="0"/>
        <v>44400</v>
      </c>
    </row>
    <row r="12" spans="2:10" x14ac:dyDescent="0.3">
      <c r="B12" s="6" t="s">
        <v>54</v>
      </c>
      <c r="C12" s="22"/>
      <c r="D12" s="22"/>
      <c r="E12" s="22"/>
      <c r="F12" s="22"/>
      <c r="G12" s="22"/>
      <c r="H12" s="67">
        <f t="shared" si="0"/>
        <v>44400</v>
      </c>
    </row>
    <row r="13" spans="2:10" x14ac:dyDescent="0.3">
      <c r="B13" s="6" t="s">
        <v>26</v>
      </c>
      <c r="C13" s="22"/>
      <c r="D13" s="22">
        <v>162000</v>
      </c>
      <c r="E13" s="22"/>
      <c r="F13" s="22"/>
      <c r="G13" s="22"/>
      <c r="H13" s="12">
        <f t="shared" si="0"/>
        <v>44400</v>
      </c>
    </row>
    <row r="14" spans="2:10" x14ac:dyDescent="0.3">
      <c r="B14" s="6" t="s">
        <v>22</v>
      </c>
      <c r="C14" s="23"/>
      <c r="D14" s="22"/>
      <c r="E14" s="23"/>
      <c r="F14" s="22"/>
      <c r="G14" s="23"/>
      <c r="H14" s="12">
        <f t="shared" si="0"/>
        <v>44400</v>
      </c>
      <c r="J14" s="4"/>
    </row>
    <row r="15" spans="2:10" x14ac:dyDescent="0.3">
      <c r="B15" s="6" t="s">
        <v>61</v>
      </c>
      <c r="C15" s="23"/>
      <c r="D15" s="22"/>
      <c r="E15" s="23"/>
      <c r="F15" s="22"/>
      <c r="G15" s="23"/>
      <c r="H15" s="67">
        <f t="shared" si="0"/>
        <v>44400</v>
      </c>
      <c r="J15" s="4"/>
    </row>
    <row r="16" spans="2:10" x14ac:dyDescent="0.3">
      <c r="B16" s="6" t="s">
        <v>19</v>
      </c>
      <c r="C16" s="22"/>
      <c r="D16" s="22"/>
      <c r="E16" s="22"/>
      <c r="F16" s="22"/>
      <c r="G16" s="22"/>
      <c r="H16" s="12">
        <f t="shared" si="0"/>
        <v>44400</v>
      </c>
    </row>
    <row r="17" spans="1:8" x14ac:dyDescent="0.3">
      <c r="B17" s="6" t="s">
        <v>14</v>
      </c>
      <c r="C17" s="22">
        <v>806000</v>
      </c>
      <c r="D17" s="22">
        <v>265500</v>
      </c>
      <c r="E17" s="22">
        <v>54000</v>
      </c>
      <c r="F17" s="22"/>
      <c r="G17" s="22"/>
      <c r="H17" s="12">
        <f t="shared" si="0"/>
        <v>44400</v>
      </c>
    </row>
    <row r="18" spans="1:8" x14ac:dyDescent="0.3">
      <c r="B18" s="6" t="s">
        <v>24</v>
      </c>
      <c r="C18" s="22"/>
      <c r="D18" s="49"/>
      <c r="E18" s="22"/>
      <c r="F18" s="49"/>
      <c r="G18" s="22"/>
      <c r="H18" s="12">
        <f t="shared" si="0"/>
        <v>44400</v>
      </c>
    </row>
    <row r="19" spans="1:8" x14ac:dyDescent="0.3">
      <c r="B19" s="6" t="s">
        <v>21</v>
      </c>
      <c r="C19" s="22"/>
      <c r="D19" s="22"/>
      <c r="E19" s="22"/>
      <c r="F19" s="22"/>
      <c r="G19" s="22"/>
      <c r="H19" s="12">
        <f t="shared" si="0"/>
        <v>44400</v>
      </c>
    </row>
    <row r="20" spans="1:8" x14ac:dyDescent="0.3">
      <c r="B20" s="6" t="s">
        <v>18</v>
      </c>
      <c r="C20" s="22"/>
      <c r="D20" s="22"/>
      <c r="E20" s="22"/>
      <c r="F20" s="22"/>
      <c r="G20" s="22"/>
      <c r="H20" s="12">
        <f t="shared" si="0"/>
        <v>44400</v>
      </c>
    </row>
    <row r="21" spans="1:8" x14ac:dyDescent="0.3">
      <c r="B21" s="6" t="s">
        <v>16</v>
      </c>
      <c r="C21" s="22">
        <v>45000</v>
      </c>
      <c r="D21" s="22"/>
      <c r="E21" s="22"/>
      <c r="F21" s="22"/>
      <c r="G21" s="22">
        <v>162000</v>
      </c>
      <c r="H21" s="12">
        <f t="shared" si="0"/>
        <v>44400</v>
      </c>
    </row>
    <row r="22" spans="1:8" x14ac:dyDescent="0.3">
      <c r="B22" s="50" t="s">
        <v>27</v>
      </c>
      <c r="C22" s="51">
        <f>SUM(July23_2021426[KSI_AGO])</f>
        <v>1652000</v>
      </c>
      <c r="D22" s="51">
        <f>SUBTOTAL(109,July23_2021426[KSI_PMS])</f>
        <v>1179000</v>
      </c>
      <c r="E22" s="51">
        <f>SUM(July23_2021426[BUIPE_AGO])</f>
        <v>352000</v>
      </c>
      <c r="F22" s="51">
        <f>SUM(July23_2021426[BUIPE_PMS])</f>
        <v>54000</v>
      </c>
      <c r="G22" s="51">
        <f>SUM(July23_2021426[AKOSOMBO_AGO])</f>
        <v>324000</v>
      </c>
      <c r="H22" s="52"/>
    </row>
    <row r="23" spans="1:8" x14ac:dyDescent="0.3">
      <c r="B23" s="8"/>
      <c r="C23" s="24"/>
      <c r="D23" s="24"/>
      <c r="E23" s="24"/>
      <c r="F23" s="24"/>
      <c r="G23" s="24"/>
      <c r="H23"/>
    </row>
    <row r="24" spans="1:8" x14ac:dyDescent="0.3">
      <c r="B24" s="1" t="s">
        <v>6</v>
      </c>
      <c r="C24" s="1" t="s">
        <v>4</v>
      </c>
      <c r="D24" s="5">
        <f>SUMIF(July23_2021426[[#Headers],[KSI_AGO]:[AKOSOMBO_AGO]],"*"&amp;C24,July23_2021426[[#Totals],[KSI_AGO]:[AKOSOMBO_AGO]])</f>
        <v>2328000</v>
      </c>
      <c r="E24" s="1" t="s">
        <v>5</v>
      </c>
      <c r="F24" s="5">
        <f>SUMIF(July23_2021426[[#Headers],[KSI_AGO]:[AKOSOMBO_AGO]],"*"&amp;E24,July23_2021426[[#Totals],[KSI_AGO]:[AKOSOMBO_AGO]])</f>
        <v>1233000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B2F99402-C72F-4CD2-A83E-AA4427D52FA6}">
      <formula1>INDIRECT("BDC_List[BDC List]")</formula1>
    </dataValidation>
  </dataValidations>
  <pageMargins left="0.7" right="0.7" top="0.75" bottom="0.75" header="0.3" footer="0.3"/>
  <tableParts count="1">
    <tablePart r:id="rId1"/>
  </tableParts>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CD17-2C13-4AF8-8DB8-65B695D5B983}">
  <sheetPr codeName="Sheet399"/>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44403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44403</v>
      </c>
    </row>
    <row r="7" spans="2:10" x14ac:dyDescent="0.3">
      <c r="B7" s="6" t="s">
        <v>37</v>
      </c>
      <c r="C7" s="49"/>
      <c r="D7" s="22"/>
      <c r="E7" s="22"/>
      <c r="F7" s="22"/>
      <c r="G7" s="22"/>
      <c r="H7" s="67">
        <f t="shared" si="0"/>
        <v>44403</v>
      </c>
    </row>
    <row r="8" spans="2:10" ht="15.75" customHeight="1" x14ac:dyDescent="0.3">
      <c r="B8" s="6" t="s">
        <v>17</v>
      </c>
      <c r="C8" s="22">
        <v>702000</v>
      </c>
      <c r="D8" s="22"/>
      <c r="E8" s="22"/>
      <c r="F8" s="22"/>
      <c r="G8" s="22">
        <v>50000</v>
      </c>
      <c r="H8" s="12">
        <f t="shared" si="0"/>
        <v>44403</v>
      </c>
    </row>
    <row r="9" spans="2:10" ht="15.6" x14ac:dyDescent="0.3">
      <c r="B9" s="34" t="s">
        <v>0</v>
      </c>
      <c r="C9" s="60"/>
      <c r="D9" s="60">
        <v>594000</v>
      </c>
      <c r="E9" s="60"/>
      <c r="F9" s="60"/>
      <c r="G9" s="61"/>
      <c r="H9" s="12">
        <f t="shared" si="0"/>
        <v>44403</v>
      </c>
    </row>
    <row r="10" spans="2:10" x14ac:dyDescent="0.3">
      <c r="B10" s="6" t="s">
        <v>25</v>
      </c>
      <c r="C10" s="22"/>
      <c r="D10" s="22"/>
      <c r="E10" s="22"/>
      <c r="F10" s="22"/>
      <c r="G10" s="22"/>
      <c r="H10" s="12">
        <f t="shared" si="0"/>
        <v>44403</v>
      </c>
    </row>
    <row r="11" spans="2:10" ht="13.5" customHeight="1" x14ac:dyDescent="0.3">
      <c r="B11" s="6" t="s">
        <v>15</v>
      </c>
      <c r="C11" s="22"/>
      <c r="D11" s="48">
        <v>54000</v>
      </c>
      <c r="E11" s="22">
        <v>50000</v>
      </c>
      <c r="F11" s="48"/>
      <c r="G11" s="22"/>
      <c r="H11" s="12">
        <f t="shared" si="0"/>
        <v>44403</v>
      </c>
    </row>
    <row r="12" spans="2:10" x14ac:dyDescent="0.3">
      <c r="B12" s="6" t="s">
        <v>54</v>
      </c>
      <c r="C12" s="22"/>
      <c r="D12" s="22"/>
      <c r="E12" s="22"/>
      <c r="F12" s="22"/>
      <c r="G12" s="22"/>
      <c r="H12" s="67">
        <f t="shared" si="0"/>
        <v>44403</v>
      </c>
    </row>
    <row r="13" spans="2:10" x14ac:dyDescent="0.3">
      <c r="B13" s="6" t="s">
        <v>26</v>
      </c>
      <c r="C13" s="22"/>
      <c r="D13" s="22">
        <v>261000</v>
      </c>
      <c r="E13" s="22"/>
      <c r="F13" s="22"/>
      <c r="G13" s="22"/>
      <c r="H13" s="12">
        <f t="shared" si="0"/>
        <v>44403</v>
      </c>
    </row>
    <row r="14" spans="2:10" x14ac:dyDescent="0.3">
      <c r="B14" s="6" t="s">
        <v>22</v>
      </c>
      <c r="C14" s="23"/>
      <c r="D14" s="22"/>
      <c r="E14" s="23"/>
      <c r="F14" s="22"/>
      <c r="G14" s="23"/>
      <c r="H14" s="12">
        <f t="shared" si="0"/>
        <v>44403</v>
      </c>
      <c r="J14" s="4"/>
    </row>
    <row r="15" spans="2:10" x14ac:dyDescent="0.3">
      <c r="B15" s="6" t="s">
        <v>61</v>
      </c>
      <c r="C15" s="23"/>
      <c r="D15" s="22"/>
      <c r="E15" s="23"/>
      <c r="F15" s="22"/>
      <c r="G15" s="23"/>
      <c r="H15" s="67">
        <f t="shared" si="0"/>
        <v>44403</v>
      </c>
      <c r="J15" s="4"/>
    </row>
    <row r="16" spans="2:10" x14ac:dyDescent="0.3">
      <c r="B16" s="6" t="s">
        <v>19</v>
      </c>
      <c r="C16" s="22"/>
      <c r="D16" s="22"/>
      <c r="E16" s="22"/>
      <c r="F16" s="22"/>
      <c r="G16" s="22"/>
      <c r="H16" s="12">
        <f t="shared" si="0"/>
        <v>44403</v>
      </c>
    </row>
    <row r="17" spans="1:8" x14ac:dyDescent="0.3">
      <c r="B17" s="6" t="s">
        <v>14</v>
      </c>
      <c r="C17" s="22">
        <v>755500</v>
      </c>
      <c r="D17" s="22">
        <v>270000</v>
      </c>
      <c r="E17" s="22"/>
      <c r="F17" s="22"/>
      <c r="G17" s="22"/>
      <c r="H17" s="12">
        <f t="shared" si="0"/>
        <v>44403</v>
      </c>
    </row>
    <row r="18" spans="1:8" x14ac:dyDescent="0.3">
      <c r="B18" s="6" t="s">
        <v>24</v>
      </c>
      <c r="C18" s="22"/>
      <c r="D18" s="49"/>
      <c r="E18" s="22"/>
      <c r="F18" s="49"/>
      <c r="G18" s="22"/>
      <c r="H18" s="12">
        <f t="shared" si="0"/>
        <v>44403</v>
      </c>
    </row>
    <row r="19" spans="1:8" x14ac:dyDescent="0.3">
      <c r="B19" s="6" t="s">
        <v>21</v>
      </c>
      <c r="C19" s="22"/>
      <c r="D19" s="22"/>
      <c r="E19" s="22"/>
      <c r="F19" s="22"/>
      <c r="G19" s="22"/>
      <c r="H19" s="12">
        <f t="shared" si="0"/>
        <v>44403</v>
      </c>
    </row>
    <row r="20" spans="1:8" x14ac:dyDescent="0.3">
      <c r="B20" s="6" t="s">
        <v>18</v>
      </c>
      <c r="C20" s="22"/>
      <c r="D20" s="22"/>
      <c r="E20" s="22"/>
      <c r="F20" s="22"/>
      <c r="G20" s="22"/>
      <c r="H20" s="12">
        <f t="shared" si="0"/>
        <v>44403</v>
      </c>
    </row>
    <row r="21" spans="1:8" x14ac:dyDescent="0.3">
      <c r="B21" s="6" t="s">
        <v>16</v>
      </c>
      <c r="C21" s="22"/>
      <c r="D21" s="22"/>
      <c r="E21" s="22"/>
      <c r="F21" s="22"/>
      <c r="G21" s="22">
        <v>108000</v>
      </c>
      <c r="H21" s="12">
        <f t="shared" si="0"/>
        <v>44403</v>
      </c>
    </row>
    <row r="22" spans="1:8" x14ac:dyDescent="0.3">
      <c r="B22" s="50" t="s">
        <v>27</v>
      </c>
      <c r="C22" s="51">
        <f>SUM(July26_2021427[KSI_AGO])</f>
        <v>1457500</v>
      </c>
      <c r="D22" s="51">
        <f>SUBTOTAL(109,July26_2021427[KSI_PMS])</f>
        <v>1179000</v>
      </c>
      <c r="E22" s="51">
        <f>SUM(July26_2021427[BUIPE_AGO])</f>
        <v>50000</v>
      </c>
      <c r="F22" s="51">
        <f>SUM(July26_2021427[BUIPE_PMS])</f>
        <v>0</v>
      </c>
      <c r="G22" s="51">
        <f>SUM(July26_2021427[AKOSOMBO_AGO])</f>
        <v>158000</v>
      </c>
      <c r="H22" s="52"/>
    </row>
    <row r="23" spans="1:8" x14ac:dyDescent="0.3">
      <c r="B23" s="8"/>
      <c r="C23" s="24"/>
      <c r="D23" s="24"/>
      <c r="E23" s="24"/>
      <c r="F23" s="24"/>
      <c r="G23" s="24"/>
      <c r="H23"/>
    </row>
    <row r="24" spans="1:8" x14ac:dyDescent="0.3">
      <c r="B24" s="1" t="s">
        <v>6</v>
      </c>
      <c r="C24" s="1" t="s">
        <v>4</v>
      </c>
      <c r="D24" s="5">
        <f>SUMIF(July26_2021427[[#Headers],[KSI_AGO]:[AKOSOMBO_AGO]],"*"&amp;C24,July26_2021427[[#Totals],[KSI_AGO]:[AKOSOMBO_AGO]])</f>
        <v>1665500</v>
      </c>
      <c r="E24" s="1" t="s">
        <v>5</v>
      </c>
      <c r="F24" s="5">
        <f>SUMIF(July26_2021427[[#Headers],[KSI_AGO]:[AKOSOMBO_AGO]],"*"&amp;E24,July26_2021427[[#Totals],[KSI_AGO]:[AKOSOMBO_AGO]])</f>
        <v>1179000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793C3FF-751A-4076-87B3-EF9A63BD4FE3}">
      <formula1>INDIRECT("BDC_List[BDC List]")</formula1>
    </dataValidation>
  </dataValidations>
  <pageMargins left="0.7" right="0.7" top="0.75" bottom="0.75" header="0.3" footer="0.3"/>
  <tableParts count="1">
    <tablePart r:id="rId1"/>
  </tableParts>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2A907-C8EC-4508-90C2-007C070A801A}">
  <sheetPr codeName="Sheet400"/>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44404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44404</v>
      </c>
    </row>
    <row r="7" spans="2:10" x14ac:dyDescent="0.3">
      <c r="B7" s="6" t="s">
        <v>37</v>
      </c>
      <c r="C7" s="49"/>
      <c r="D7" s="22"/>
      <c r="E7" s="22"/>
      <c r="F7" s="22"/>
      <c r="G7" s="22"/>
      <c r="H7" s="67">
        <f t="shared" si="0"/>
        <v>44404</v>
      </c>
    </row>
    <row r="8" spans="2:10" ht="15.75" customHeight="1" x14ac:dyDescent="0.3">
      <c r="B8" s="6" t="s">
        <v>17</v>
      </c>
      <c r="C8" s="22">
        <v>486000</v>
      </c>
      <c r="D8" s="22"/>
      <c r="E8" s="22"/>
      <c r="F8" s="22"/>
      <c r="G8" s="22"/>
      <c r="H8" s="12">
        <f t="shared" si="0"/>
        <v>44404</v>
      </c>
    </row>
    <row r="9" spans="2:10" ht="15.6" x14ac:dyDescent="0.3">
      <c r="B9" s="34" t="s">
        <v>0</v>
      </c>
      <c r="C9" s="60"/>
      <c r="D9" s="60">
        <v>796500</v>
      </c>
      <c r="E9" s="60"/>
      <c r="F9" s="60"/>
      <c r="G9" s="61"/>
      <c r="H9" s="12">
        <f t="shared" si="0"/>
        <v>44404</v>
      </c>
    </row>
    <row r="10" spans="2:10" x14ac:dyDescent="0.3">
      <c r="B10" s="6" t="s">
        <v>25</v>
      </c>
      <c r="C10" s="22"/>
      <c r="D10" s="22"/>
      <c r="E10" s="22">
        <v>90000</v>
      </c>
      <c r="F10" s="22"/>
      <c r="G10" s="22"/>
      <c r="H10" s="12">
        <f t="shared" si="0"/>
        <v>44404</v>
      </c>
    </row>
    <row r="11" spans="2:10" ht="13.5" customHeight="1" x14ac:dyDescent="0.3">
      <c r="B11" s="6" t="s">
        <v>15</v>
      </c>
      <c r="C11" s="22"/>
      <c r="D11" s="48"/>
      <c r="E11" s="22">
        <v>49500</v>
      </c>
      <c r="F11" s="48"/>
      <c r="G11" s="22"/>
      <c r="H11" s="12">
        <f t="shared" si="0"/>
        <v>44404</v>
      </c>
    </row>
    <row r="12" spans="2:10" x14ac:dyDescent="0.3">
      <c r="B12" s="6" t="s">
        <v>54</v>
      </c>
      <c r="C12" s="22"/>
      <c r="D12" s="22"/>
      <c r="E12" s="22"/>
      <c r="F12" s="22"/>
      <c r="G12" s="22"/>
      <c r="H12" s="67">
        <f t="shared" si="0"/>
        <v>44404</v>
      </c>
    </row>
    <row r="13" spans="2:10" x14ac:dyDescent="0.3">
      <c r="B13" s="6" t="s">
        <v>26</v>
      </c>
      <c r="C13" s="22"/>
      <c r="D13" s="22">
        <v>319500</v>
      </c>
      <c r="E13" s="22"/>
      <c r="F13" s="22"/>
      <c r="G13" s="22"/>
      <c r="H13" s="12">
        <f t="shared" si="0"/>
        <v>44404</v>
      </c>
    </row>
    <row r="14" spans="2:10" x14ac:dyDescent="0.3">
      <c r="B14" s="6" t="s">
        <v>22</v>
      </c>
      <c r="C14" s="23"/>
      <c r="D14" s="22"/>
      <c r="E14" s="23"/>
      <c r="F14" s="22"/>
      <c r="G14" s="23"/>
      <c r="H14" s="12">
        <f t="shared" si="0"/>
        <v>44404</v>
      </c>
      <c r="J14" s="4"/>
    </row>
    <row r="15" spans="2:10" x14ac:dyDescent="0.3">
      <c r="B15" s="6" t="s">
        <v>61</v>
      </c>
      <c r="C15" s="23"/>
      <c r="D15" s="22"/>
      <c r="E15" s="23"/>
      <c r="F15" s="22"/>
      <c r="G15" s="23"/>
      <c r="H15" s="67">
        <f t="shared" si="0"/>
        <v>44404</v>
      </c>
      <c r="J15" s="4"/>
    </row>
    <row r="16" spans="2:10" x14ac:dyDescent="0.3">
      <c r="B16" s="6" t="s">
        <v>19</v>
      </c>
      <c r="C16" s="22">
        <v>648000</v>
      </c>
      <c r="D16" s="22"/>
      <c r="E16" s="22"/>
      <c r="F16" s="22"/>
      <c r="G16" s="22"/>
      <c r="H16" s="12">
        <f t="shared" si="0"/>
        <v>44404</v>
      </c>
    </row>
    <row r="17" spans="1:8" x14ac:dyDescent="0.3">
      <c r="B17" s="6" t="s">
        <v>14</v>
      </c>
      <c r="C17" s="22">
        <v>539000</v>
      </c>
      <c r="D17" s="22">
        <v>486000</v>
      </c>
      <c r="E17" s="22">
        <v>45000</v>
      </c>
      <c r="F17" s="22"/>
      <c r="G17" s="22"/>
      <c r="H17" s="12">
        <f t="shared" si="0"/>
        <v>44404</v>
      </c>
    </row>
    <row r="18" spans="1:8" x14ac:dyDescent="0.3">
      <c r="B18" s="6" t="s">
        <v>24</v>
      </c>
      <c r="C18" s="22"/>
      <c r="D18" s="49"/>
      <c r="E18" s="22"/>
      <c r="F18" s="49"/>
      <c r="G18" s="22"/>
      <c r="H18" s="12">
        <f t="shared" si="0"/>
        <v>44404</v>
      </c>
    </row>
    <row r="19" spans="1:8" x14ac:dyDescent="0.3">
      <c r="B19" s="6" t="s">
        <v>21</v>
      </c>
      <c r="C19" s="22"/>
      <c r="D19" s="22"/>
      <c r="E19" s="22"/>
      <c r="F19" s="22"/>
      <c r="G19" s="22"/>
      <c r="H19" s="12">
        <f t="shared" si="0"/>
        <v>44404</v>
      </c>
    </row>
    <row r="20" spans="1:8" x14ac:dyDescent="0.3">
      <c r="B20" s="6" t="s">
        <v>18</v>
      </c>
      <c r="C20" s="22"/>
      <c r="D20" s="22"/>
      <c r="E20" s="22"/>
      <c r="F20" s="22"/>
      <c r="G20" s="22"/>
      <c r="H20" s="12">
        <f t="shared" si="0"/>
        <v>44404</v>
      </c>
    </row>
    <row r="21" spans="1:8" x14ac:dyDescent="0.3">
      <c r="B21" s="6" t="s">
        <v>16</v>
      </c>
      <c r="C21" s="22"/>
      <c r="D21" s="22"/>
      <c r="E21" s="22"/>
      <c r="F21" s="22"/>
      <c r="G21" s="22"/>
      <c r="H21" s="12">
        <f t="shared" si="0"/>
        <v>44404</v>
      </c>
    </row>
    <row r="22" spans="1:8" x14ac:dyDescent="0.3">
      <c r="B22" s="50" t="s">
        <v>27</v>
      </c>
      <c r="C22" s="51">
        <f>SUM(July27_2021428[KSI_AGO])</f>
        <v>1673000</v>
      </c>
      <c r="D22" s="51">
        <f>SUBTOTAL(109,July27_2021428[KSI_PMS])</f>
        <v>1602000</v>
      </c>
      <c r="E22" s="51">
        <f>SUM(July27_2021428[BUIPE_AGO])</f>
        <v>184500</v>
      </c>
      <c r="F22" s="51">
        <f>SUM(July27_2021428[BUIPE_PMS])</f>
        <v>0</v>
      </c>
      <c r="G22" s="51">
        <f>SUM(July27_2021428[AKOSOMBO_AGO])</f>
        <v>0</v>
      </c>
      <c r="H22" s="52"/>
    </row>
    <row r="23" spans="1:8" x14ac:dyDescent="0.3">
      <c r="B23" s="8"/>
      <c r="C23" s="24"/>
      <c r="D23" s="24"/>
      <c r="E23" s="24"/>
      <c r="F23" s="24"/>
      <c r="G23" s="24"/>
      <c r="H23"/>
    </row>
    <row r="24" spans="1:8" x14ac:dyDescent="0.3">
      <c r="B24" s="1" t="s">
        <v>6</v>
      </c>
      <c r="C24" s="1" t="s">
        <v>4</v>
      </c>
      <c r="D24" s="5">
        <f>SUMIF(July27_2021428[[#Headers],[KSI_AGO]:[AKOSOMBO_AGO]],"*"&amp;C24,July27_2021428[[#Totals],[KSI_AGO]:[AKOSOMBO_AGO]])</f>
        <v>1857500</v>
      </c>
      <c r="E24" s="1" t="s">
        <v>5</v>
      </c>
      <c r="F24" s="5">
        <f>SUMIF(July27_2021428[[#Headers],[KSI_AGO]:[AKOSOMBO_AGO]],"*"&amp;E24,July27_2021428[[#Totals],[KSI_AGO]:[AKOSOMBO_AGO]])</f>
        <v>1602000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3FE001BF-0FC9-48A1-878F-54597BA27BDD}">
      <formula1>INDIRECT("BDC_List[BDC List]")</formula1>
    </dataValidation>
  </dataValidations>
  <pageMargins left="0.7" right="0.7" top="0.75" bottom="0.75" header="0.3" footer="0.3"/>
  <tableParts count="1">
    <tablePart r:id="rId1"/>
  </tableParts>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6CB96-8D8A-436E-BB0C-431A77413C7C}">
  <sheetPr codeName="Sheet401"/>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44405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44405</v>
      </c>
    </row>
    <row r="7" spans="2:10" x14ac:dyDescent="0.3">
      <c r="B7" s="6" t="s">
        <v>37</v>
      </c>
      <c r="C7" s="49"/>
      <c r="D7" s="22"/>
      <c r="E7" s="22"/>
      <c r="F7" s="22"/>
      <c r="G7" s="22"/>
      <c r="H7" s="67">
        <f t="shared" si="0"/>
        <v>44405</v>
      </c>
    </row>
    <row r="8" spans="2:10" ht="15.75" customHeight="1" x14ac:dyDescent="0.3">
      <c r="B8" s="6" t="s">
        <v>17</v>
      </c>
      <c r="C8" s="22">
        <v>473000</v>
      </c>
      <c r="D8" s="22"/>
      <c r="E8" s="22"/>
      <c r="F8" s="22">
        <v>108000</v>
      </c>
      <c r="G8" s="22">
        <v>50000</v>
      </c>
      <c r="H8" s="12">
        <f t="shared" si="0"/>
        <v>44405</v>
      </c>
    </row>
    <row r="9" spans="2:10" ht="15.6" x14ac:dyDescent="0.3">
      <c r="B9" s="34" t="s">
        <v>0</v>
      </c>
      <c r="C9" s="60"/>
      <c r="D9" s="60">
        <v>686500</v>
      </c>
      <c r="E9" s="60"/>
      <c r="F9" s="60">
        <v>324000</v>
      </c>
      <c r="G9" s="61"/>
      <c r="H9" s="12">
        <f t="shared" si="0"/>
        <v>44405</v>
      </c>
    </row>
    <row r="10" spans="2:10" x14ac:dyDescent="0.3">
      <c r="B10" s="6" t="s">
        <v>25</v>
      </c>
      <c r="C10" s="22"/>
      <c r="D10" s="22"/>
      <c r="E10" s="22"/>
      <c r="F10" s="22">
        <v>108000</v>
      </c>
      <c r="G10" s="22"/>
      <c r="H10" s="12">
        <f t="shared" si="0"/>
        <v>44405</v>
      </c>
    </row>
    <row r="11" spans="2:10" ht="13.5" customHeight="1" x14ac:dyDescent="0.3">
      <c r="B11" s="6" t="s">
        <v>15</v>
      </c>
      <c r="C11" s="22"/>
      <c r="D11" s="48"/>
      <c r="E11" s="22"/>
      <c r="F11" s="48"/>
      <c r="G11" s="22"/>
      <c r="H11" s="12">
        <f t="shared" si="0"/>
        <v>44405</v>
      </c>
    </row>
    <row r="12" spans="2:10" x14ac:dyDescent="0.3">
      <c r="B12" s="6" t="s">
        <v>54</v>
      </c>
      <c r="C12" s="22"/>
      <c r="D12" s="22"/>
      <c r="E12" s="22"/>
      <c r="F12" s="22"/>
      <c r="G12" s="22"/>
      <c r="H12" s="67">
        <f t="shared" si="0"/>
        <v>44405</v>
      </c>
    </row>
    <row r="13" spans="2:10" x14ac:dyDescent="0.3">
      <c r="B13" s="6" t="s">
        <v>26</v>
      </c>
      <c r="C13" s="22"/>
      <c r="D13" s="22">
        <v>270000</v>
      </c>
      <c r="E13" s="22"/>
      <c r="F13" s="22"/>
      <c r="G13" s="22"/>
      <c r="H13" s="12">
        <f t="shared" si="0"/>
        <v>44405</v>
      </c>
    </row>
    <row r="14" spans="2:10" x14ac:dyDescent="0.3">
      <c r="B14" s="6" t="s">
        <v>22</v>
      </c>
      <c r="C14" s="23"/>
      <c r="D14" s="22"/>
      <c r="E14" s="23"/>
      <c r="F14" s="22"/>
      <c r="G14" s="23"/>
      <c r="H14" s="12">
        <f t="shared" si="0"/>
        <v>44405</v>
      </c>
      <c r="J14" s="4"/>
    </row>
    <row r="15" spans="2:10" x14ac:dyDescent="0.3">
      <c r="B15" s="6" t="s">
        <v>61</v>
      </c>
      <c r="C15" s="23"/>
      <c r="D15" s="22"/>
      <c r="E15" s="23"/>
      <c r="F15" s="22"/>
      <c r="G15" s="23"/>
      <c r="H15" s="67">
        <f t="shared" si="0"/>
        <v>44405</v>
      </c>
      <c r="J15" s="4"/>
    </row>
    <row r="16" spans="2:10" x14ac:dyDescent="0.3">
      <c r="B16" s="6" t="s">
        <v>19</v>
      </c>
      <c r="C16" s="22">
        <v>427500</v>
      </c>
      <c r="D16" s="22"/>
      <c r="E16" s="22"/>
      <c r="F16" s="22"/>
      <c r="G16" s="22"/>
      <c r="H16" s="12">
        <f t="shared" si="0"/>
        <v>44405</v>
      </c>
    </row>
    <row r="17" spans="1:8" x14ac:dyDescent="0.3">
      <c r="B17" s="6" t="s">
        <v>14</v>
      </c>
      <c r="C17" s="22">
        <v>530500</v>
      </c>
      <c r="D17" s="22">
        <v>319500</v>
      </c>
      <c r="E17" s="22"/>
      <c r="F17" s="22">
        <v>54000</v>
      </c>
      <c r="G17" s="22"/>
      <c r="H17" s="12">
        <f t="shared" si="0"/>
        <v>44405</v>
      </c>
    </row>
    <row r="18" spans="1:8" x14ac:dyDescent="0.3">
      <c r="B18" s="6" t="s">
        <v>24</v>
      </c>
      <c r="C18" s="22"/>
      <c r="D18" s="49"/>
      <c r="E18" s="22"/>
      <c r="F18" s="49"/>
      <c r="G18" s="22"/>
      <c r="H18" s="12">
        <f t="shared" si="0"/>
        <v>44405</v>
      </c>
    </row>
    <row r="19" spans="1:8" x14ac:dyDescent="0.3">
      <c r="B19" s="6" t="s">
        <v>21</v>
      </c>
      <c r="C19" s="22"/>
      <c r="D19" s="22"/>
      <c r="E19" s="22"/>
      <c r="F19" s="22"/>
      <c r="G19" s="22"/>
      <c r="H19" s="12">
        <f t="shared" si="0"/>
        <v>44405</v>
      </c>
    </row>
    <row r="20" spans="1:8" x14ac:dyDescent="0.3">
      <c r="B20" s="6" t="s">
        <v>18</v>
      </c>
      <c r="C20" s="22"/>
      <c r="D20" s="22">
        <v>324000</v>
      </c>
      <c r="E20" s="22"/>
      <c r="F20" s="22"/>
      <c r="G20" s="22"/>
      <c r="H20" s="12">
        <f t="shared" si="0"/>
        <v>44405</v>
      </c>
    </row>
    <row r="21" spans="1:8" x14ac:dyDescent="0.3">
      <c r="B21" s="6" t="s">
        <v>16</v>
      </c>
      <c r="C21" s="22"/>
      <c r="D21" s="22"/>
      <c r="E21" s="22"/>
      <c r="F21" s="22"/>
      <c r="G21" s="22">
        <v>50000</v>
      </c>
      <c r="H21" s="12">
        <f t="shared" si="0"/>
        <v>44405</v>
      </c>
    </row>
    <row r="22" spans="1:8" x14ac:dyDescent="0.3">
      <c r="B22" s="50" t="s">
        <v>27</v>
      </c>
      <c r="C22" s="51">
        <f>SUM(July28_2021[KSI_AGO])</f>
        <v>1431000</v>
      </c>
      <c r="D22" s="51">
        <f>SUBTOTAL(109,July28_2021[KSI_PMS])</f>
        <v>1600000</v>
      </c>
      <c r="E22" s="51">
        <f>SUM(July28_2021[BUIPE_AGO])</f>
        <v>0</v>
      </c>
      <c r="F22" s="51">
        <f>SUM(July28_2021[BUIPE_PMS])</f>
        <v>594000</v>
      </c>
      <c r="G22" s="51">
        <f>SUM(July28_2021[AKOSOMBO_AGO])</f>
        <v>100000</v>
      </c>
      <c r="H22" s="52"/>
    </row>
    <row r="23" spans="1:8" x14ac:dyDescent="0.3">
      <c r="B23" s="8"/>
      <c r="C23" s="24"/>
      <c r="D23" s="24"/>
      <c r="E23" s="24"/>
      <c r="F23" s="24"/>
      <c r="G23" s="24"/>
      <c r="H23"/>
    </row>
    <row r="24" spans="1:8" x14ac:dyDescent="0.3">
      <c r="B24" s="1" t="s">
        <v>6</v>
      </c>
      <c r="C24" s="1" t="s">
        <v>4</v>
      </c>
      <c r="D24" s="5">
        <f>SUMIF(July28_2021[[#Headers],[KSI_AGO]:[AKOSOMBO_AGO]],"*"&amp;C24,July28_2021[[#Totals],[KSI_AGO]:[AKOSOMBO_AGO]])</f>
        <v>1531000</v>
      </c>
      <c r="E24" s="1" t="s">
        <v>5</v>
      </c>
      <c r="F24" s="5">
        <f>SUMIF(July28_2021[[#Headers],[KSI_AGO]:[AKOSOMBO_AGO]],"*"&amp;E24,July28_2021[[#Totals],[KSI_AGO]:[AKOSOMBO_AGO]])</f>
        <v>2194000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6AD42AF9-3A13-47F4-9389-EA932E3E9014}">
      <formula1>INDIRECT("BDC_List[BDC List]")</formula1>
    </dataValidation>
  </dataValidations>
  <pageMargins left="0.7" right="0.7" top="0.75" bottom="0.75" header="0.3" footer="0.3"/>
  <tableParts count="1">
    <tablePart r:id="rId1"/>
  </tableParts>
</worksheet>
</file>

<file path=xl/worksheets/sheet4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8433-5B2F-4D73-AB66-20F93FB012E0}">
  <sheetPr codeName="Sheet402"/>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44406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44406</v>
      </c>
    </row>
    <row r="7" spans="2:10" x14ac:dyDescent="0.3">
      <c r="B7" s="6" t="s">
        <v>37</v>
      </c>
      <c r="C7" s="49"/>
      <c r="D7" s="22"/>
      <c r="E7" s="22"/>
      <c r="F7" s="22"/>
      <c r="G7" s="22"/>
      <c r="H7" s="67">
        <f t="shared" si="0"/>
        <v>44406</v>
      </c>
    </row>
    <row r="8" spans="2:10" ht="15.75" customHeight="1" x14ac:dyDescent="0.3">
      <c r="B8" s="6" t="s">
        <v>17</v>
      </c>
      <c r="C8" s="22">
        <v>486000</v>
      </c>
      <c r="D8" s="22">
        <v>49500</v>
      </c>
      <c r="E8" s="22"/>
      <c r="F8" s="22">
        <v>108000</v>
      </c>
      <c r="G8" s="22">
        <v>540000</v>
      </c>
      <c r="H8" s="12">
        <f t="shared" si="0"/>
        <v>44406</v>
      </c>
    </row>
    <row r="9" spans="2:10" ht="15.6" x14ac:dyDescent="0.3">
      <c r="B9" s="34" t="s">
        <v>0</v>
      </c>
      <c r="C9" s="60"/>
      <c r="D9" s="60">
        <v>319500</v>
      </c>
      <c r="E9" s="60"/>
      <c r="F9" s="60">
        <v>216000</v>
      </c>
      <c r="G9" s="61"/>
      <c r="H9" s="12">
        <f t="shared" si="0"/>
        <v>44406</v>
      </c>
    </row>
    <row r="10" spans="2:10" x14ac:dyDescent="0.3">
      <c r="B10" s="6" t="s">
        <v>25</v>
      </c>
      <c r="C10" s="22"/>
      <c r="D10" s="22"/>
      <c r="E10" s="22"/>
      <c r="F10" s="22">
        <v>108000</v>
      </c>
      <c r="G10" s="22"/>
      <c r="H10" s="12">
        <f t="shared" si="0"/>
        <v>44406</v>
      </c>
    </row>
    <row r="11" spans="2:10" ht="13.5" customHeight="1" x14ac:dyDescent="0.3">
      <c r="B11" s="6" t="s">
        <v>15</v>
      </c>
      <c r="C11" s="22"/>
      <c r="D11" s="48"/>
      <c r="E11" s="22"/>
      <c r="F11" s="48">
        <v>104000</v>
      </c>
      <c r="G11" s="22"/>
      <c r="H11" s="12">
        <f t="shared" si="0"/>
        <v>44406</v>
      </c>
    </row>
    <row r="12" spans="2:10" x14ac:dyDescent="0.3">
      <c r="B12" s="6" t="s">
        <v>54</v>
      </c>
      <c r="C12" s="22"/>
      <c r="D12" s="22"/>
      <c r="E12" s="22"/>
      <c r="F12" s="22"/>
      <c r="G12" s="22"/>
      <c r="H12" s="67">
        <f t="shared" si="0"/>
        <v>44406</v>
      </c>
    </row>
    <row r="13" spans="2:10" x14ac:dyDescent="0.3">
      <c r="B13" s="6" t="s">
        <v>26</v>
      </c>
      <c r="C13" s="22"/>
      <c r="D13" s="22">
        <v>203000</v>
      </c>
      <c r="E13" s="22"/>
      <c r="F13" s="22"/>
      <c r="G13" s="22"/>
      <c r="H13" s="12">
        <f t="shared" si="0"/>
        <v>44406</v>
      </c>
    </row>
    <row r="14" spans="2:10" x14ac:dyDescent="0.3">
      <c r="B14" s="6" t="s">
        <v>22</v>
      </c>
      <c r="C14" s="23"/>
      <c r="D14" s="22"/>
      <c r="E14" s="23"/>
      <c r="F14" s="22"/>
      <c r="G14" s="23"/>
      <c r="H14" s="12">
        <f t="shared" si="0"/>
        <v>44406</v>
      </c>
      <c r="J14" s="4"/>
    </row>
    <row r="15" spans="2:10" x14ac:dyDescent="0.3">
      <c r="B15" s="6" t="s">
        <v>61</v>
      </c>
      <c r="C15" s="23"/>
      <c r="D15" s="22"/>
      <c r="E15" s="23"/>
      <c r="F15" s="22"/>
      <c r="G15" s="23"/>
      <c r="H15" s="67">
        <f t="shared" si="0"/>
        <v>44406</v>
      </c>
      <c r="J15" s="4"/>
    </row>
    <row r="16" spans="2:10" x14ac:dyDescent="0.3">
      <c r="B16" s="6" t="s">
        <v>19</v>
      </c>
      <c r="C16" s="22">
        <v>477500</v>
      </c>
      <c r="D16" s="22">
        <v>846000</v>
      </c>
      <c r="E16" s="22"/>
      <c r="F16" s="22"/>
      <c r="G16" s="22"/>
      <c r="H16" s="12">
        <f t="shared" si="0"/>
        <v>44406</v>
      </c>
    </row>
    <row r="17" spans="1:8" x14ac:dyDescent="0.3">
      <c r="B17" s="6" t="s">
        <v>14</v>
      </c>
      <c r="C17" s="22">
        <v>369500</v>
      </c>
      <c r="D17" s="22">
        <v>216000</v>
      </c>
      <c r="E17" s="22"/>
      <c r="F17" s="22"/>
      <c r="G17" s="22"/>
      <c r="H17" s="12">
        <f t="shared" si="0"/>
        <v>44406</v>
      </c>
    </row>
    <row r="18" spans="1:8" x14ac:dyDescent="0.3">
      <c r="B18" s="6" t="s">
        <v>24</v>
      </c>
      <c r="C18" s="22"/>
      <c r="D18" s="49"/>
      <c r="E18" s="22"/>
      <c r="F18" s="49"/>
      <c r="G18" s="22"/>
      <c r="H18" s="12">
        <f t="shared" si="0"/>
        <v>44406</v>
      </c>
    </row>
    <row r="19" spans="1:8" x14ac:dyDescent="0.3">
      <c r="B19" s="6" t="s">
        <v>21</v>
      </c>
      <c r="C19" s="22"/>
      <c r="D19" s="22"/>
      <c r="E19" s="22"/>
      <c r="F19" s="22"/>
      <c r="G19" s="22"/>
      <c r="H19" s="12">
        <f t="shared" si="0"/>
        <v>44406</v>
      </c>
    </row>
    <row r="20" spans="1:8" x14ac:dyDescent="0.3">
      <c r="B20" s="6" t="s">
        <v>18</v>
      </c>
      <c r="C20" s="22"/>
      <c r="D20" s="22">
        <v>212000</v>
      </c>
      <c r="E20" s="22"/>
      <c r="F20" s="22"/>
      <c r="G20" s="22"/>
      <c r="H20" s="12">
        <f t="shared" si="0"/>
        <v>44406</v>
      </c>
    </row>
    <row r="21" spans="1:8" x14ac:dyDescent="0.3">
      <c r="B21" s="6" t="s">
        <v>16</v>
      </c>
      <c r="C21" s="22"/>
      <c r="D21" s="22"/>
      <c r="E21" s="22"/>
      <c r="F21" s="22"/>
      <c r="G21" s="22"/>
      <c r="H21" s="12">
        <f t="shared" si="0"/>
        <v>44406</v>
      </c>
    </row>
    <row r="22" spans="1:8" x14ac:dyDescent="0.3">
      <c r="B22" s="50" t="s">
        <v>27</v>
      </c>
      <c r="C22" s="51">
        <f>SUM(July29_2021430[KSI_AGO])</f>
        <v>1333000</v>
      </c>
      <c r="D22" s="51">
        <f>SUBTOTAL(109,July29_2021430[KSI_PMS])</f>
        <v>1846000</v>
      </c>
      <c r="E22" s="51">
        <f>SUM(July29_2021430[BUIPE_AGO])</f>
        <v>0</v>
      </c>
      <c r="F22" s="51">
        <f>SUM(July29_2021430[BUIPE_PMS])</f>
        <v>536000</v>
      </c>
      <c r="G22" s="51">
        <f>SUM(July29_2021430[AKOSOMBO_AGO])</f>
        <v>540000</v>
      </c>
      <c r="H22" s="52"/>
    </row>
    <row r="23" spans="1:8" x14ac:dyDescent="0.3">
      <c r="B23" s="8"/>
      <c r="C23" s="24"/>
      <c r="D23" s="24"/>
      <c r="E23" s="24"/>
      <c r="F23" s="24"/>
      <c r="G23" s="24"/>
      <c r="H23"/>
    </row>
    <row r="24" spans="1:8" x14ac:dyDescent="0.3">
      <c r="B24" s="1" t="s">
        <v>6</v>
      </c>
      <c r="C24" s="1" t="s">
        <v>4</v>
      </c>
      <c r="D24" s="5">
        <f>SUMIF(July29_2021430[[#Headers],[KSI_AGO]:[AKOSOMBO_AGO]],"*"&amp;C24,July29_2021430[[#Totals],[KSI_AGO]:[AKOSOMBO_AGO]])</f>
        <v>1873000</v>
      </c>
      <c r="E24" s="1" t="s">
        <v>5</v>
      </c>
      <c r="F24" s="5">
        <f>SUMIF(July29_2021430[[#Headers],[KSI_AGO]:[AKOSOMBO_AGO]],"*"&amp;E24,July29_2021430[[#Totals],[KSI_AGO]:[AKOSOMBO_AGO]])</f>
        <v>2382000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4C09EF28-26EB-47F9-8B7B-586084B31686}">
      <formula1>INDIRECT("BDC_List[BDC List]")</formula1>
    </dataValidation>
  </dataValidations>
  <pageMargins left="0.7" right="0.7" top="0.75" bottom="0.75" header="0.3" footer="0.3"/>
  <legacyDrawing r:id="rId1"/>
  <tableParts count="1">
    <tablePart r:id="rId2"/>
  </tableParts>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BF45-FBBE-4C7F-B05A-5E977AB1B964}">
  <sheetPr codeName="Sheet403"/>
  <dimension ref="A1:J34"/>
  <sheetViews>
    <sheetView workbookViewId="0">
      <selection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44407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44407</v>
      </c>
    </row>
    <row r="7" spans="2:10" x14ac:dyDescent="0.3">
      <c r="B7" s="6" t="s">
        <v>37</v>
      </c>
      <c r="C7" s="49"/>
      <c r="D7" s="22"/>
      <c r="E7" s="22"/>
      <c r="F7" s="22"/>
      <c r="G7" s="22"/>
      <c r="H7" s="67">
        <f t="shared" si="0"/>
        <v>44407</v>
      </c>
    </row>
    <row r="8" spans="2:10" ht="15.75" customHeight="1" x14ac:dyDescent="0.3">
      <c r="B8" s="6" t="s">
        <v>17</v>
      </c>
      <c r="C8" s="22">
        <v>1764000</v>
      </c>
      <c r="D8" s="22">
        <v>108000</v>
      </c>
      <c r="E8" s="22"/>
      <c r="F8" s="22"/>
      <c r="G8" s="22">
        <v>959000</v>
      </c>
      <c r="H8" s="12">
        <f t="shared" si="0"/>
        <v>44407</v>
      </c>
    </row>
    <row r="9" spans="2:10" ht="15.6" x14ac:dyDescent="0.3">
      <c r="B9" s="34" t="s">
        <v>0</v>
      </c>
      <c r="C9" s="60"/>
      <c r="D9" s="60">
        <v>324000</v>
      </c>
      <c r="E9" s="60"/>
      <c r="F9" s="60"/>
      <c r="G9" s="61"/>
      <c r="H9" s="12">
        <f t="shared" si="0"/>
        <v>44407</v>
      </c>
    </row>
    <row r="10" spans="2:10" x14ac:dyDescent="0.3">
      <c r="B10" s="6" t="s">
        <v>25</v>
      </c>
      <c r="C10" s="22"/>
      <c r="D10" s="22"/>
      <c r="E10" s="22"/>
      <c r="F10" s="22"/>
      <c r="G10" s="22"/>
      <c r="H10" s="12">
        <f t="shared" si="0"/>
        <v>44407</v>
      </c>
    </row>
    <row r="11" spans="2:10" ht="13.5" customHeight="1" x14ac:dyDescent="0.3">
      <c r="B11" s="6" t="s">
        <v>15</v>
      </c>
      <c r="C11" s="22"/>
      <c r="D11" s="48"/>
      <c r="E11" s="22"/>
      <c r="F11" s="48"/>
      <c r="G11" s="22"/>
      <c r="H11" s="12">
        <f t="shared" si="0"/>
        <v>44407</v>
      </c>
    </row>
    <row r="12" spans="2:10" x14ac:dyDescent="0.3">
      <c r="B12" s="6" t="s">
        <v>54</v>
      </c>
      <c r="C12" s="22"/>
      <c r="D12" s="22"/>
      <c r="E12" s="22"/>
      <c r="F12" s="22"/>
      <c r="G12" s="22"/>
      <c r="H12" s="67">
        <f t="shared" si="0"/>
        <v>44407</v>
      </c>
    </row>
    <row r="13" spans="2:10" x14ac:dyDescent="0.3">
      <c r="B13" s="6" t="s">
        <v>26</v>
      </c>
      <c r="C13" s="22"/>
      <c r="D13" s="22"/>
      <c r="E13" s="22"/>
      <c r="F13" s="22"/>
      <c r="G13" s="22"/>
      <c r="H13" s="12">
        <f t="shared" si="0"/>
        <v>44407</v>
      </c>
    </row>
    <row r="14" spans="2:10" x14ac:dyDescent="0.3">
      <c r="B14" s="6" t="s">
        <v>22</v>
      </c>
      <c r="C14" s="23"/>
      <c r="D14" s="22"/>
      <c r="E14" s="23"/>
      <c r="F14" s="22"/>
      <c r="G14" s="23"/>
      <c r="H14" s="12">
        <f t="shared" si="0"/>
        <v>44407</v>
      </c>
      <c r="J14" s="4"/>
    </row>
    <row r="15" spans="2:10" x14ac:dyDescent="0.3">
      <c r="B15" s="6" t="s">
        <v>61</v>
      </c>
      <c r="C15" s="23"/>
      <c r="D15" s="22"/>
      <c r="E15" s="23"/>
      <c r="F15" s="22"/>
      <c r="G15" s="23"/>
      <c r="H15" s="67">
        <f t="shared" si="0"/>
        <v>44407</v>
      </c>
      <c r="J15" s="4"/>
    </row>
    <row r="16" spans="2:10" x14ac:dyDescent="0.3">
      <c r="B16" s="6" t="s">
        <v>19</v>
      </c>
      <c r="C16" s="22">
        <v>211500</v>
      </c>
      <c r="D16" s="22"/>
      <c r="E16" s="22"/>
      <c r="F16" s="22"/>
      <c r="G16" s="22"/>
      <c r="H16" s="12">
        <f t="shared" si="0"/>
        <v>44407</v>
      </c>
    </row>
    <row r="17" spans="1:8" x14ac:dyDescent="0.3">
      <c r="B17" s="6" t="s">
        <v>14</v>
      </c>
      <c r="C17" s="22"/>
      <c r="D17" s="22">
        <v>1381500</v>
      </c>
      <c r="E17" s="22"/>
      <c r="F17" s="22"/>
      <c r="G17" s="22"/>
      <c r="H17" s="12">
        <f t="shared" si="0"/>
        <v>44407</v>
      </c>
    </row>
    <row r="18" spans="1:8" x14ac:dyDescent="0.3">
      <c r="B18" s="6" t="s">
        <v>24</v>
      </c>
      <c r="C18" s="22"/>
      <c r="D18" s="49"/>
      <c r="E18" s="22"/>
      <c r="F18" s="49"/>
      <c r="G18" s="22"/>
      <c r="H18" s="12">
        <f t="shared" si="0"/>
        <v>44407</v>
      </c>
    </row>
    <row r="19" spans="1:8" x14ac:dyDescent="0.3">
      <c r="B19" s="6" t="s">
        <v>21</v>
      </c>
      <c r="C19" s="22"/>
      <c r="D19" s="22"/>
      <c r="E19" s="22"/>
      <c r="F19" s="22"/>
      <c r="G19" s="22"/>
      <c r="H19" s="12">
        <f t="shared" si="0"/>
        <v>44407</v>
      </c>
    </row>
    <row r="20" spans="1:8" x14ac:dyDescent="0.3">
      <c r="B20" s="6" t="s">
        <v>18</v>
      </c>
      <c r="C20" s="22"/>
      <c r="D20" s="22">
        <v>108000</v>
      </c>
      <c r="E20" s="22"/>
      <c r="F20" s="22"/>
      <c r="G20" s="22"/>
      <c r="H20" s="12">
        <f t="shared" si="0"/>
        <v>44407</v>
      </c>
    </row>
    <row r="21" spans="1:8" x14ac:dyDescent="0.3">
      <c r="B21" s="6" t="s">
        <v>16</v>
      </c>
      <c r="C21" s="22"/>
      <c r="D21" s="22"/>
      <c r="E21" s="22"/>
      <c r="F21" s="22"/>
      <c r="G21" s="22"/>
      <c r="H21" s="12">
        <f t="shared" si="0"/>
        <v>44407</v>
      </c>
    </row>
    <row r="22" spans="1:8" x14ac:dyDescent="0.3">
      <c r="B22" s="50" t="s">
        <v>27</v>
      </c>
      <c r="C22" s="51">
        <f>SUM(July30_2021431[KSI_AGO])</f>
        <v>1975500</v>
      </c>
      <c r="D22" s="51">
        <f>SUBTOTAL(109,July30_2021431[KSI_PMS])</f>
        <v>1921500</v>
      </c>
      <c r="E22" s="51">
        <f>SUM(July30_2021431[BUIPE_AGO])</f>
        <v>0</v>
      </c>
      <c r="F22" s="51">
        <f>SUM(July30_2021431[BUIPE_PMS])</f>
        <v>0</v>
      </c>
      <c r="G22" s="51">
        <f>SUM(July30_2021431[AKOSOMBO_AGO])</f>
        <v>959000</v>
      </c>
      <c r="H22" s="52"/>
    </row>
    <row r="23" spans="1:8" x14ac:dyDescent="0.3">
      <c r="B23" s="8"/>
      <c r="C23" s="24"/>
      <c r="D23" s="24"/>
      <c r="E23" s="24"/>
      <c r="F23" s="24"/>
      <c r="G23" s="24"/>
      <c r="H23"/>
    </row>
    <row r="24" spans="1:8" x14ac:dyDescent="0.3">
      <c r="B24" s="1" t="s">
        <v>6</v>
      </c>
      <c r="C24" s="1" t="s">
        <v>4</v>
      </c>
      <c r="D24" s="5">
        <f>SUMIF(July30_2021431[[#Headers],[KSI_AGO]:[AKOSOMBO_AGO]],"*"&amp;C24,July30_2021431[[#Totals],[KSI_AGO]:[AKOSOMBO_AGO]])</f>
        <v>2934500</v>
      </c>
      <c r="E24" s="1" t="s">
        <v>5</v>
      </c>
      <c r="F24" s="5">
        <f>SUMIF(July30_2021431[[#Headers],[KSI_AGO]:[AKOSOMBO_AGO]],"*"&amp;E24,July30_2021431[[#Totals],[KSI_AGO]:[AKOSOMBO_AGO]])</f>
        <v>1921500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2193962F-A0A7-4E48-B619-522091A7C78E}">
      <formula1>INDIRECT("BDC_List[BDC List]")</formula1>
    </dataValidation>
  </dataValidations>
  <pageMargins left="0.7" right="0.7" top="0.75" bottom="0.75" header="0.3" footer="0.3"/>
  <tableParts count="1">
    <tablePart r:id="rId1"/>
  </tableParts>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D57B-98C6-4467-B36D-67B61F87BF7C}">
  <sheetPr codeName="Sheet404"/>
  <dimension ref="A1:J34"/>
  <sheetViews>
    <sheetView workbookViewId="0">
      <selection activeCell="E14" sqref="E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44410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44410</v>
      </c>
    </row>
    <row r="7" spans="2:10" x14ac:dyDescent="0.3">
      <c r="B7" s="6" t="s">
        <v>37</v>
      </c>
      <c r="C7" s="49"/>
      <c r="D7" s="22"/>
      <c r="E7" s="22"/>
      <c r="F7" s="22"/>
      <c r="G7" s="22"/>
      <c r="H7" s="67">
        <f t="shared" si="0"/>
        <v>44410</v>
      </c>
    </row>
    <row r="8" spans="2:10" ht="15.75" customHeight="1" x14ac:dyDescent="0.3">
      <c r="B8" s="6" t="s">
        <v>17</v>
      </c>
      <c r="C8" s="22">
        <v>162000</v>
      </c>
      <c r="D8" s="22"/>
      <c r="E8" s="22"/>
      <c r="F8" s="22"/>
      <c r="G8" s="22"/>
      <c r="H8" s="12">
        <f t="shared" si="0"/>
        <v>44410</v>
      </c>
    </row>
    <row r="9" spans="2:10" ht="15.6" x14ac:dyDescent="0.3">
      <c r="B9" s="34" t="s">
        <v>0</v>
      </c>
      <c r="C9" s="60"/>
      <c r="D9" s="46"/>
      <c r="E9" s="60"/>
      <c r="F9" s="46"/>
      <c r="G9" s="61"/>
      <c r="H9" s="12">
        <f t="shared" si="0"/>
        <v>44410</v>
      </c>
    </row>
    <row r="10" spans="2:10" x14ac:dyDescent="0.3">
      <c r="B10" s="6" t="s">
        <v>25</v>
      </c>
      <c r="C10" s="22"/>
      <c r="D10" s="22"/>
      <c r="E10" s="22"/>
      <c r="F10" s="22"/>
      <c r="G10" s="22"/>
      <c r="H10" s="12">
        <f t="shared" si="0"/>
        <v>44410</v>
      </c>
    </row>
    <row r="11" spans="2:10" ht="13.5" customHeight="1" x14ac:dyDescent="0.3">
      <c r="B11" s="6" t="s">
        <v>15</v>
      </c>
      <c r="C11" s="22"/>
      <c r="D11" s="48"/>
      <c r="E11" s="22"/>
      <c r="F11" s="48"/>
      <c r="G11" s="22"/>
      <c r="H11" s="12">
        <f t="shared" si="0"/>
        <v>44410</v>
      </c>
    </row>
    <row r="12" spans="2:10" x14ac:dyDescent="0.3">
      <c r="B12" s="6" t="s">
        <v>54</v>
      </c>
      <c r="C12" s="22"/>
      <c r="D12" s="22"/>
      <c r="E12" s="22"/>
      <c r="F12" s="22"/>
      <c r="G12" s="22"/>
      <c r="H12" s="67">
        <f t="shared" si="0"/>
        <v>44410</v>
      </c>
    </row>
    <row r="13" spans="2:10" x14ac:dyDescent="0.3">
      <c r="B13" s="6" t="s">
        <v>26</v>
      </c>
      <c r="C13" s="22"/>
      <c r="D13" s="22"/>
      <c r="E13" s="22"/>
      <c r="F13" s="22"/>
      <c r="G13" s="22"/>
      <c r="H13" s="12">
        <f t="shared" si="0"/>
        <v>44410</v>
      </c>
    </row>
    <row r="14" spans="2:10" x14ac:dyDescent="0.3">
      <c r="B14" s="6" t="s">
        <v>22</v>
      </c>
      <c r="C14" s="23"/>
      <c r="D14" s="22"/>
      <c r="E14" s="23"/>
      <c r="F14" s="22"/>
      <c r="G14" s="23"/>
      <c r="H14" s="12">
        <f t="shared" si="0"/>
        <v>44410</v>
      </c>
      <c r="J14" s="4"/>
    </row>
    <row r="15" spans="2:10" x14ac:dyDescent="0.3">
      <c r="B15" s="6" t="s">
        <v>61</v>
      </c>
      <c r="C15" s="23"/>
      <c r="D15" s="22"/>
      <c r="E15" s="23"/>
      <c r="F15" s="22"/>
      <c r="G15" s="23"/>
      <c r="H15" s="67">
        <f t="shared" si="0"/>
        <v>44410</v>
      </c>
      <c r="J15" s="4"/>
    </row>
    <row r="16" spans="2:10" x14ac:dyDescent="0.3">
      <c r="B16" s="6" t="s">
        <v>19</v>
      </c>
      <c r="C16" s="22"/>
      <c r="D16" s="22"/>
      <c r="E16" s="22"/>
      <c r="F16" s="22"/>
      <c r="G16" s="22"/>
      <c r="H16" s="12">
        <f t="shared" si="0"/>
        <v>44410</v>
      </c>
    </row>
    <row r="17" spans="1:8" x14ac:dyDescent="0.3">
      <c r="B17" s="6" t="s">
        <v>14</v>
      </c>
      <c r="C17" s="22"/>
      <c r="D17" s="22">
        <v>324000</v>
      </c>
      <c r="E17" s="22"/>
      <c r="F17" s="22"/>
      <c r="G17" s="22"/>
      <c r="H17" s="12">
        <f t="shared" si="0"/>
        <v>44410</v>
      </c>
    </row>
    <row r="18" spans="1:8" x14ac:dyDescent="0.3">
      <c r="B18" s="6" t="s">
        <v>24</v>
      </c>
      <c r="C18" s="22"/>
      <c r="D18" s="49"/>
      <c r="E18" s="22"/>
      <c r="F18" s="49"/>
      <c r="G18" s="22"/>
      <c r="H18" s="12">
        <f t="shared" si="0"/>
        <v>44410</v>
      </c>
    </row>
    <row r="19" spans="1:8" x14ac:dyDescent="0.3">
      <c r="B19" s="6" t="s">
        <v>21</v>
      </c>
      <c r="C19" s="22"/>
      <c r="D19" s="22"/>
      <c r="E19" s="22"/>
      <c r="F19" s="22"/>
      <c r="G19" s="22"/>
      <c r="H19" s="12">
        <f t="shared" si="0"/>
        <v>44410</v>
      </c>
    </row>
    <row r="20" spans="1:8" x14ac:dyDescent="0.3">
      <c r="B20" s="6" t="s">
        <v>18</v>
      </c>
      <c r="C20" s="22"/>
      <c r="D20" s="22"/>
      <c r="E20" s="22"/>
      <c r="F20" s="22"/>
      <c r="G20" s="22"/>
      <c r="H20" s="12">
        <f t="shared" si="0"/>
        <v>44410</v>
      </c>
    </row>
    <row r="21" spans="1:8" x14ac:dyDescent="0.3">
      <c r="B21" s="6" t="s">
        <v>16</v>
      </c>
      <c r="C21" s="22"/>
      <c r="D21" s="22"/>
      <c r="E21" s="22"/>
      <c r="F21" s="22"/>
      <c r="G21" s="22"/>
      <c r="H21" s="12">
        <f t="shared" si="0"/>
        <v>44410</v>
      </c>
    </row>
    <row r="22" spans="1:8" x14ac:dyDescent="0.3">
      <c r="B22" s="50" t="s">
        <v>27</v>
      </c>
      <c r="C22" s="51">
        <f>SUM(August02_2021[KSI_AGO])</f>
        <v>162000</v>
      </c>
      <c r="D22" s="51">
        <f>SUBTOTAL(109,August02_2021[KSI_PMS])</f>
        <v>324000</v>
      </c>
      <c r="E22" s="51">
        <f>SUM(August02_2021[BUIPE_AGO])</f>
        <v>0</v>
      </c>
      <c r="F22" s="51">
        <f>SUM(August02_2021[BUIPE_PMS])</f>
        <v>0</v>
      </c>
      <c r="G22" s="51">
        <f>SUM(August02_2021[AKOSOMBO_AGO])</f>
        <v>0</v>
      </c>
      <c r="H22" s="52"/>
    </row>
    <row r="23" spans="1:8" x14ac:dyDescent="0.3">
      <c r="B23" s="8"/>
      <c r="C23" s="24"/>
      <c r="D23" s="24"/>
      <c r="E23" s="24"/>
      <c r="F23" s="24"/>
      <c r="G23" s="24"/>
      <c r="H23"/>
    </row>
    <row r="24" spans="1:8" x14ac:dyDescent="0.3">
      <c r="B24" s="1" t="s">
        <v>6</v>
      </c>
      <c r="C24" s="1" t="s">
        <v>4</v>
      </c>
      <c r="D24" s="5">
        <f>SUMIF(August02_2021[[#Headers],[KSI_AGO]:[AKOSOMBO_AGO]],"*"&amp;C24,August02_2021[[#Totals],[KSI_AGO]:[AKOSOMBO_AGO]])</f>
        <v>162000</v>
      </c>
      <c r="E24" s="1" t="s">
        <v>5</v>
      </c>
      <c r="F24" s="5">
        <f>SUMIF(August02_2021[[#Headers],[KSI_AGO]:[AKOSOMBO_AGO]],"*"&amp;E24,August02_2021[[#Totals],[KSI_AGO]:[AKOSOMBO_AGO]])</f>
        <v>324000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963C49CA-2841-42DA-B6EF-C1C0A214D4B3}">
      <formula1>INDIRECT("BDC_List[BDC List]")</formula1>
    </dataValidation>
  </dataValidations>
  <pageMargins left="0.7" right="0.7" top="0.75" bottom="0.75" header="0.3" footer="0.3"/>
  <tableParts count="1">
    <tablePart r:id="rId1"/>
  </tableParts>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9A41E-8AB8-4705-A90D-DC8B184CD27D}">
  <sheetPr codeName="Sheet405"/>
  <dimension ref="A1:J34"/>
  <sheetViews>
    <sheetView workbookViewId="0">
      <selection activeCell="F14" sqref="F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44411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44411</v>
      </c>
    </row>
    <row r="7" spans="2:10" x14ac:dyDescent="0.3">
      <c r="B7" s="6" t="s">
        <v>37</v>
      </c>
      <c r="C7" s="49"/>
      <c r="D7" s="22"/>
      <c r="E7" s="22"/>
      <c r="F7" s="22"/>
      <c r="G7" s="22"/>
      <c r="H7" s="67">
        <f t="shared" si="0"/>
        <v>44411</v>
      </c>
    </row>
    <row r="8" spans="2:10" ht="15.75" customHeight="1" x14ac:dyDescent="0.3">
      <c r="B8" s="6" t="s">
        <v>17</v>
      </c>
      <c r="C8" s="22">
        <v>1674000</v>
      </c>
      <c r="D8" s="22"/>
      <c r="E8" s="22"/>
      <c r="F8" s="22">
        <v>54000</v>
      </c>
      <c r="G8" s="22"/>
      <c r="H8" s="12">
        <f t="shared" si="0"/>
        <v>44411</v>
      </c>
    </row>
    <row r="9" spans="2:10" ht="15.6" x14ac:dyDescent="0.3">
      <c r="B9" s="34" t="s">
        <v>0</v>
      </c>
      <c r="C9" s="60"/>
      <c r="D9" s="46"/>
      <c r="E9" s="60"/>
      <c r="F9" s="46">
        <v>540000</v>
      </c>
      <c r="G9" s="61"/>
      <c r="H9" s="12">
        <f t="shared" si="0"/>
        <v>44411</v>
      </c>
    </row>
    <row r="10" spans="2:10" x14ac:dyDescent="0.3">
      <c r="B10" s="6" t="s">
        <v>25</v>
      </c>
      <c r="C10" s="22"/>
      <c r="D10" s="22"/>
      <c r="E10" s="22"/>
      <c r="F10" s="22">
        <v>50000</v>
      </c>
      <c r="G10" s="22"/>
      <c r="H10" s="12">
        <f t="shared" si="0"/>
        <v>44411</v>
      </c>
    </row>
    <row r="11" spans="2:10" ht="13.5" customHeight="1" x14ac:dyDescent="0.3">
      <c r="B11" s="6" t="s">
        <v>15</v>
      </c>
      <c r="C11" s="22"/>
      <c r="D11" s="48"/>
      <c r="E11" s="22"/>
      <c r="F11" s="48">
        <v>54000</v>
      </c>
      <c r="G11" s="22"/>
      <c r="H11" s="12">
        <f t="shared" si="0"/>
        <v>44411</v>
      </c>
    </row>
    <row r="12" spans="2:10" x14ac:dyDescent="0.3">
      <c r="B12" s="6" t="s">
        <v>54</v>
      </c>
      <c r="C12" s="22"/>
      <c r="D12" s="22"/>
      <c r="E12" s="22"/>
      <c r="F12" s="22"/>
      <c r="G12" s="22"/>
      <c r="H12" s="67">
        <f t="shared" si="0"/>
        <v>44411</v>
      </c>
    </row>
    <row r="13" spans="2:10" x14ac:dyDescent="0.3">
      <c r="B13" s="6" t="s">
        <v>26</v>
      </c>
      <c r="C13" s="22"/>
      <c r="D13" s="22">
        <v>363000</v>
      </c>
      <c r="E13" s="22"/>
      <c r="F13" s="22">
        <v>45000</v>
      </c>
      <c r="G13" s="22"/>
      <c r="H13" s="12">
        <f t="shared" si="0"/>
        <v>44411</v>
      </c>
    </row>
    <row r="14" spans="2:10" x14ac:dyDescent="0.3">
      <c r="B14" s="6" t="s">
        <v>22</v>
      </c>
      <c r="C14" s="23"/>
      <c r="D14" s="22"/>
      <c r="E14" s="23"/>
      <c r="F14" s="22"/>
      <c r="G14" s="23"/>
      <c r="H14" s="12">
        <f t="shared" si="0"/>
        <v>44411</v>
      </c>
      <c r="J14" s="4"/>
    </row>
    <row r="15" spans="2:10" x14ac:dyDescent="0.3">
      <c r="B15" s="6" t="s">
        <v>61</v>
      </c>
      <c r="C15" s="23"/>
      <c r="D15" s="22"/>
      <c r="E15" s="23"/>
      <c r="F15" s="22"/>
      <c r="G15" s="23"/>
      <c r="H15" s="67">
        <f t="shared" si="0"/>
        <v>44411</v>
      </c>
      <c r="J15" s="4"/>
    </row>
    <row r="16" spans="2:10" x14ac:dyDescent="0.3">
      <c r="B16" s="6" t="s">
        <v>19</v>
      </c>
      <c r="C16" s="62">
        <v>54000</v>
      </c>
      <c r="D16" s="22">
        <v>270000</v>
      </c>
      <c r="E16" s="22"/>
      <c r="F16" s="22">
        <v>108000</v>
      </c>
      <c r="G16" s="22"/>
      <c r="H16" s="12">
        <f t="shared" si="0"/>
        <v>44411</v>
      </c>
    </row>
    <row r="17" spans="1:8" x14ac:dyDescent="0.3">
      <c r="B17" s="6" t="s">
        <v>14</v>
      </c>
      <c r="C17" s="22"/>
      <c r="D17" s="22">
        <v>482000</v>
      </c>
      <c r="E17" s="22"/>
      <c r="F17" s="22"/>
      <c r="G17" s="22"/>
      <c r="H17" s="12">
        <f t="shared" si="0"/>
        <v>44411</v>
      </c>
    </row>
    <row r="18" spans="1:8" x14ac:dyDescent="0.3">
      <c r="B18" s="6" t="s">
        <v>24</v>
      </c>
      <c r="C18" s="22"/>
      <c r="D18" s="49"/>
      <c r="E18" s="22"/>
      <c r="F18" s="49"/>
      <c r="G18" s="22"/>
      <c r="H18" s="12">
        <f t="shared" si="0"/>
        <v>44411</v>
      </c>
    </row>
    <row r="19" spans="1:8" x14ac:dyDescent="0.3">
      <c r="B19" s="6" t="s">
        <v>21</v>
      </c>
      <c r="C19" s="22"/>
      <c r="D19" s="22"/>
      <c r="E19" s="22"/>
      <c r="F19" s="22"/>
      <c r="G19" s="22"/>
      <c r="H19" s="12">
        <f t="shared" si="0"/>
        <v>44411</v>
      </c>
    </row>
    <row r="20" spans="1:8" x14ac:dyDescent="0.3">
      <c r="B20" s="6" t="s">
        <v>18</v>
      </c>
      <c r="C20" s="22"/>
      <c r="D20" s="22">
        <v>216000</v>
      </c>
      <c r="E20" s="22"/>
      <c r="F20" s="22"/>
      <c r="G20" s="22"/>
      <c r="H20" s="12">
        <f t="shared" si="0"/>
        <v>44411</v>
      </c>
    </row>
    <row r="21" spans="1:8" x14ac:dyDescent="0.3">
      <c r="B21" s="6" t="s">
        <v>16</v>
      </c>
      <c r="C21" s="22">
        <v>47000</v>
      </c>
      <c r="D21" s="22"/>
      <c r="E21" s="22"/>
      <c r="F21" s="22"/>
      <c r="G21" s="22"/>
      <c r="H21" s="12">
        <f t="shared" si="0"/>
        <v>44411</v>
      </c>
    </row>
    <row r="22" spans="1:8" x14ac:dyDescent="0.3">
      <c r="B22" s="50" t="s">
        <v>27</v>
      </c>
      <c r="C22" s="51">
        <f>SUM(August03_2021[KSI_AGO])</f>
        <v>1775000</v>
      </c>
      <c r="D22" s="51">
        <f>SUBTOTAL(109,August03_2021[KSI_PMS])</f>
        <v>1331000</v>
      </c>
      <c r="E22" s="51">
        <f>SUM(August03_2021[BUIPE_AGO])</f>
        <v>0</v>
      </c>
      <c r="F22" s="51">
        <f>SUM(August03_2021[BUIPE_PMS])</f>
        <v>851000</v>
      </c>
      <c r="G22" s="51">
        <f>SUM(August03_2021[AKOSOMBO_AGO])</f>
        <v>0</v>
      </c>
      <c r="H22" s="52"/>
    </row>
    <row r="23" spans="1:8" x14ac:dyDescent="0.3">
      <c r="B23" s="8"/>
      <c r="C23" s="24"/>
      <c r="D23" s="24"/>
      <c r="E23" s="24"/>
      <c r="F23" s="24"/>
      <c r="G23" s="24"/>
      <c r="H23"/>
    </row>
    <row r="24" spans="1:8" x14ac:dyDescent="0.3">
      <c r="B24" s="1" t="s">
        <v>6</v>
      </c>
      <c r="C24" s="1" t="s">
        <v>4</v>
      </c>
      <c r="D24" s="5">
        <f>SUMIF(August03_2021[[#Headers],[KSI_AGO]:[AKOSOMBO_AGO]],"*"&amp;C24,August03_2021[[#Totals],[KSI_AGO]:[AKOSOMBO_AGO]])</f>
        <v>1775000</v>
      </c>
      <c r="E24" s="1" t="s">
        <v>5</v>
      </c>
      <c r="F24" s="5">
        <f>SUMIF(August03_2021[[#Headers],[KSI_AGO]:[AKOSOMBO_AGO]],"*"&amp;E24,August03_2021[[#Totals],[KSI_AGO]:[AKOSOMBO_AGO]])</f>
        <v>2182000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57E21195-5D92-452B-B00A-1A025361160F}">
      <formula1>INDIRECT("BDC_List[BDC List]")</formula1>
    </dataValidation>
  </dataValidations>
  <pageMargins left="0.7" right="0.7" top="0.75" bottom="0.75" header="0.3" footer="0.3"/>
  <tableParts count="1">
    <tablePart r:id="rId1"/>
  </tableParts>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E9600-C5CD-4B9C-8864-901AEB8EE582}">
  <sheetPr codeName="Sheet406"/>
  <dimension ref="A1:J34"/>
  <sheetViews>
    <sheetView workbookViewId="0">
      <selection activeCell="C11" sqref="C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44413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44413</v>
      </c>
    </row>
    <row r="7" spans="2:10" x14ac:dyDescent="0.3">
      <c r="B7" s="6" t="s">
        <v>37</v>
      </c>
      <c r="C7" s="49"/>
      <c r="D7" s="22"/>
      <c r="E7" s="22"/>
      <c r="F7" s="22"/>
      <c r="G7" s="22"/>
      <c r="H7" s="67">
        <f t="shared" si="0"/>
        <v>44413</v>
      </c>
    </row>
    <row r="8" spans="2:10" ht="15.75" customHeight="1" x14ac:dyDescent="0.3">
      <c r="B8" s="6" t="s">
        <v>17</v>
      </c>
      <c r="C8" s="22">
        <v>643500</v>
      </c>
      <c r="D8" s="22"/>
      <c r="E8" s="22"/>
      <c r="F8" s="22"/>
      <c r="G8" s="22"/>
      <c r="H8" s="12">
        <f t="shared" si="0"/>
        <v>44413</v>
      </c>
    </row>
    <row r="9" spans="2:10" ht="15.6" x14ac:dyDescent="0.3">
      <c r="B9" s="34" t="s">
        <v>0</v>
      </c>
      <c r="C9" s="60">
        <v>914000</v>
      </c>
      <c r="D9" s="46"/>
      <c r="E9" s="60"/>
      <c r="F9" s="46"/>
      <c r="G9" s="61"/>
      <c r="H9" s="12">
        <f t="shared" si="0"/>
        <v>44413</v>
      </c>
    </row>
    <row r="10" spans="2:10" x14ac:dyDescent="0.3">
      <c r="B10" s="6" t="s">
        <v>25</v>
      </c>
      <c r="C10" s="22"/>
      <c r="D10" s="22"/>
      <c r="E10" s="22"/>
      <c r="F10" s="22"/>
      <c r="G10" s="22"/>
      <c r="H10" s="12">
        <f t="shared" si="0"/>
        <v>44413</v>
      </c>
    </row>
    <row r="11" spans="2:10" ht="13.5" customHeight="1" x14ac:dyDescent="0.3">
      <c r="B11" s="6" t="s">
        <v>15</v>
      </c>
      <c r="C11" s="22"/>
      <c r="D11" s="48"/>
      <c r="E11" s="22"/>
      <c r="F11" s="48"/>
      <c r="G11" s="22"/>
      <c r="H11" s="12">
        <f t="shared" si="0"/>
        <v>44413</v>
      </c>
    </row>
    <row r="12" spans="2:10" x14ac:dyDescent="0.3">
      <c r="B12" s="6" t="s">
        <v>54</v>
      </c>
      <c r="C12" s="22"/>
      <c r="D12" s="22"/>
      <c r="E12" s="22"/>
      <c r="F12" s="22"/>
      <c r="G12" s="22"/>
      <c r="H12" s="67">
        <f t="shared" si="0"/>
        <v>44413</v>
      </c>
    </row>
    <row r="13" spans="2:10" x14ac:dyDescent="0.3">
      <c r="B13" s="6" t="s">
        <v>26</v>
      </c>
      <c r="C13" s="22"/>
      <c r="D13" s="22">
        <v>481500</v>
      </c>
      <c r="E13" s="22"/>
      <c r="F13" s="22"/>
      <c r="G13" s="22"/>
      <c r="H13" s="12">
        <f t="shared" si="0"/>
        <v>44413</v>
      </c>
    </row>
    <row r="14" spans="2:10" x14ac:dyDescent="0.3">
      <c r="B14" s="6" t="s">
        <v>22</v>
      </c>
      <c r="C14" s="23"/>
      <c r="D14" s="22"/>
      <c r="E14" s="23"/>
      <c r="F14" s="22"/>
      <c r="G14" s="23"/>
      <c r="H14" s="12">
        <f t="shared" si="0"/>
        <v>44413</v>
      </c>
      <c r="J14" s="4"/>
    </row>
    <row r="15" spans="2:10" x14ac:dyDescent="0.3">
      <c r="B15" s="6" t="s">
        <v>61</v>
      </c>
      <c r="C15" s="23"/>
      <c r="D15" s="22"/>
      <c r="E15" s="23"/>
      <c r="F15" s="22"/>
      <c r="G15" s="23"/>
      <c r="H15" s="67">
        <f t="shared" si="0"/>
        <v>44413</v>
      </c>
      <c r="J15" s="4"/>
    </row>
    <row r="16" spans="2:10" x14ac:dyDescent="0.3">
      <c r="B16" s="6" t="s">
        <v>19</v>
      </c>
      <c r="C16" s="62"/>
      <c r="D16" s="22">
        <v>481500</v>
      </c>
      <c r="E16" s="22"/>
      <c r="F16" s="22">
        <v>324000</v>
      </c>
      <c r="G16" s="22"/>
      <c r="H16" s="12">
        <f t="shared" si="0"/>
        <v>44413</v>
      </c>
    </row>
    <row r="17" spans="1:8" x14ac:dyDescent="0.3">
      <c r="B17" s="6" t="s">
        <v>14</v>
      </c>
      <c r="C17" s="22"/>
      <c r="D17" s="22">
        <v>207000</v>
      </c>
      <c r="E17" s="22"/>
      <c r="F17" s="22"/>
      <c r="G17" s="22">
        <v>801000</v>
      </c>
      <c r="H17" s="12">
        <f t="shared" si="0"/>
        <v>44413</v>
      </c>
    </row>
    <row r="18" spans="1:8" x14ac:dyDescent="0.3">
      <c r="B18" s="6" t="s">
        <v>24</v>
      </c>
      <c r="C18" s="22"/>
      <c r="D18" s="49"/>
      <c r="E18" s="22"/>
      <c r="F18" s="49"/>
      <c r="G18" s="22"/>
      <c r="H18" s="12">
        <f t="shared" si="0"/>
        <v>44413</v>
      </c>
    </row>
    <row r="19" spans="1:8" x14ac:dyDescent="0.3">
      <c r="B19" s="6" t="s">
        <v>21</v>
      </c>
      <c r="C19" s="22"/>
      <c r="D19" s="22"/>
      <c r="E19" s="22"/>
      <c r="F19" s="22"/>
      <c r="G19" s="22"/>
      <c r="H19" s="12">
        <f t="shared" si="0"/>
        <v>44413</v>
      </c>
    </row>
    <row r="20" spans="1:8" x14ac:dyDescent="0.3">
      <c r="B20" s="6" t="s">
        <v>18</v>
      </c>
      <c r="C20" s="22"/>
      <c r="D20" s="22">
        <v>162000</v>
      </c>
      <c r="E20" s="22"/>
      <c r="F20" s="22"/>
      <c r="G20" s="22"/>
      <c r="H20" s="12">
        <f t="shared" si="0"/>
        <v>44413</v>
      </c>
    </row>
    <row r="21" spans="1:8" x14ac:dyDescent="0.3">
      <c r="B21" s="6" t="s">
        <v>16</v>
      </c>
      <c r="C21" s="22"/>
      <c r="D21" s="22"/>
      <c r="E21" s="22"/>
      <c r="F21" s="22"/>
      <c r="G21" s="22"/>
      <c r="H21" s="12">
        <f t="shared" si="0"/>
        <v>44413</v>
      </c>
    </row>
    <row r="22" spans="1:8" x14ac:dyDescent="0.3">
      <c r="B22" s="50" t="s">
        <v>27</v>
      </c>
      <c r="C22" s="51">
        <f>SUM(August05_2021[KSI_AGO])</f>
        <v>1557500</v>
      </c>
      <c r="D22" s="51">
        <f>SUBTOTAL(109,August05_2021[KSI_PMS])</f>
        <v>1332000</v>
      </c>
      <c r="E22" s="51">
        <f>SUM(August05_2021[BUIPE_AGO])</f>
        <v>0</v>
      </c>
      <c r="F22" s="51">
        <f>SUM(August05_2021[BUIPE_PMS])</f>
        <v>324000</v>
      </c>
      <c r="G22" s="51">
        <f>SUM(August05_2021[AKOSOMBO_AGO])</f>
        <v>801000</v>
      </c>
      <c r="H22" s="52"/>
    </row>
    <row r="23" spans="1:8" x14ac:dyDescent="0.3">
      <c r="B23" s="8"/>
      <c r="C23" s="24"/>
      <c r="D23" s="24"/>
      <c r="E23" s="24"/>
      <c r="F23" s="24"/>
      <c r="G23" s="24"/>
      <c r="H23"/>
    </row>
    <row r="24" spans="1:8" x14ac:dyDescent="0.3">
      <c r="B24" s="1" t="s">
        <v>6</v>
      </c>
      <c r="C24" s="1" t="s">
        <v>4</v>
      </c>
      <c r="D24" s="5">
        <f>SUMIF(August05_2021[[#Headers],[KSI_AGO]:[AKOSOMBO_AGO]],"*"&amp;C24,August05_2021[[#Totals],[KSI_AGO]:[AKOSOMBO_AGO]])</f>
        <v>2358500</v>
      </c>
      <c r="E24" s="1" t="s">
        <v>5</v>
      </c>
      <c r="F24" s="5">
        <f>SUMIF(August05_2021[[#Headers],[KSI_AGO]:[AKOSOMBO_AGO]],"*"&amp;E24,August05_2021[[#Totals],[KSI_AGO]:[AKOSOMBO_AGO]])</f>
        <v>1656000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B1675ABF-A849-4A88-A7B1-C359A73A8288}">
      <formula1>INDIRECT("BDC_List[BDC List]")</formula1>
    </dataValidation>
  </dataValidations>
  <pageMargins left="0.7" right="0.7" top="0.75" bottom="0.75" header="0.3" footer="0.3"/>
  <tableParts count="1">
    <tablePart r:id="rId1"/>
  </tableParts>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3DBBE-1031-4FA9-97B0-C068D6783F8C}">
  <sheetPr codeName="Sheet407"/>
  <dimension ref="A1:J34"/>
  <sheetViews>
    <sheetView workbookViewId="0">
      <selection activeCell="J19" sqref="J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44414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44414</v>
      </c>
    </row>
    <row r="7" spans="2:10" x14ac:dyDescent="0.3">
      <c r="B7" s="6" t="s">
        <v>37</v>
      </c>
      <c r="C7" s="49"/>
      <c r="D7" s="22"/>
      <c r="E7" s="22"/>
      <c r="F7" s="22"/>
      <c r="G7" s="22"/>
      <c r="H7" s="67">
        <f t="shared" si="0"/>
        <v>44414</v>
      </c>
    </row>
    <row r="8" spans="2:10" ht="15.75" customHeight="1" x14ac:dyDescent="0.3">
      <c r="B8" s="6" t="s">
        <v>17</v>
      </c>
      <c r="C8" s="22"/>
      <c r="D8" s="22"/>
      <c r="E8" s="22"/>
      <c r="F8" s="22"/>
      <c r="G8" s="22"/>
      <c r="H8" s="12">
        <f t="shared" si="0"/>
        <v>44414</v>
      </c>
    </row>
    <row r="9" spans="2:10" ht="15.6" x14ac:dyDescent="0.3">
      <c r="B9" s="34" t="s">
        <v>0</v>
      </c>
      <c r="C9" s="60">
        <v>1656000</v>
      </c>
      <c r="D9" s="46"/>
      <c r="E9" s="60"/>
      <c r="F9" s="46"/>
      <c r="G9" s="61">
        <v>540000</v>
      </c>
      <c r="H9" s="12">
        <f t="shared" si="0"/>
        <v>44414</v>
      </c>
    </row>
    <row r="10" spans="2:10" x14ac:dyDescent="0.3">
      <c r="B10" s="6" t="s">
        <v>25</v>
      </c>
      <c r="C10" s="22"/>
      <c r="D10" s="22"/>
      <c r="E10" s="22"/>
      <c r="F10" s="22"/>
      <c r="G10" s="22"/>
      <c r="H10" s="12">
        <f t="shared" si="0"/>
        <v>44414</v>
      </c>
    </row>
    <row r="11" spans="2:10" ht="13.5" customHeight="1" x14ac:dyDescent="0.3">
      <c r="B11" s="6" t="s">
        <v>15</v>
      </c>
      <c r="C11" s="22"/>
      <c r="D11" s="48"/>
      <c r="E11" s="22"/>
      <c r="F11" s="48"/>
      <c r="G11" s="22"/>
      <c r="H11" s="12">
        <f t="shared" si="0"/>
        <v>44414</v>
      </c>
    </row>
    <row r="12" spans="2:10" x14ac:dyDescent="0.3">
      <c r="B12" s="6" t="s">
        <v>54</v>
      </c>
      <c r="C12" s="22"/>
      <c r="D12" s="22"/>
      <c r="E12" s="22"/>
      <c r="F12" s="22"/>
      <c r="G12" s="22"/>
      <c r="H12" s="67">
        <f t="shared" si="0"/>
        <v>44414</v>
      </c>
    </row>
    <row r="13" spans="2:10" x14ac:dyDescent="0.3">
      <c r="B13" s="6" t="s">
        <v>26</v>
      </c>
      <c r="C13" s="22"/>
      <c r="D13" s="22">
        <v>162000</v>
      </c>
      <c r="E13" s="22"/>
      <c r="F13" s="22"/>
      <c r="G13" s="22"/>
      <c r="H13" s="12">
        <f t="shared" si="0"/>
        <v>44414</v>
      </c>
    </row>
    <row r="14" spans="2:10" x14ac:dyDescent="0.3">
      <c r="B14" s="6" t="s">
        <v>22</v>
      </c>
      <c r="C14" s="23"/>
      <c r="D14" s="22"/>
      <c r="E14" s="23"/>
      <c r="F14" s="22"/>
      <c r="G14" s="23"/>
      <c r="H14" s="12">
        <f t="shared" si="0"/>
        <v>44414</v>
      </c>
      <c r="J14" s="4"/>
    </row>
    <row r="15" spans="2:10" x14ac:dyDescent="0.3">
      <c r="B15" s="6" t="s">
        <v>61</v>
      </c>
      <c r="C15" s="23"/>
      <c r="D15" s="22"/>
      <c r="E15" s="23"/>
      <c r="F15" s="22"/>
      <c r="G15" s="23"/>
      <c r="H15" s="67">
        <f t="shared" si="0"/>
        <v>44414</v>
      </c>
      <c r="J15" s="4"/>
    </row>
    <row r="16" spans="2:10" x14ac:dyDescent="0.3">
      <c r="B16" s="6" t="s">
        <v>19</v>
      </c>
      <c r="C16" s="62"/>
      <c r="D16" s="22">
        <v>108000</v>
      </c>
      <c r="E16" s="22"/>
      <c r="F16" s="22"/>
      <c r="G16" s="22"/>
      <c r="H16" s="12">
        <f t="shared" si="0"/>
        <v>44414</v>
      </c>
    </row>
    <row r="17" spans="1:8" x14ac:dyDescent="0.3">
      <c r="B17" s="6" t="s">
        <v>14</v>
      </c>
      <c r="C17" s="22"/>
      <c r="D17" s="22">
        <v>53000</v>
      </c>
      <c r="E17" s="22"/>
      <c r="F17" s="22"/>
      <c r="G17" s="22"/>
      <c r="H17" s="12">
        <f t="shared" si="0"/>
        <v>44414</v>
      </c>
    </row>
    <row r="18" spans="1:8" x14ac:dyDescent="0.3">
      <c r="B18" s="6" t="s">
        <v>24</v>
      </c>
      <c r="C18" s="22"/>
      <c r="D18" s="49"/>
      <c r="E18" s="22"/>
      <c r="F18" s="49"/>
      <c r="G18" s="22"/>
      <c r="H18" s="12">
        <f t="shared" si="0"/>
        <v>44414</v>
      </c>
    </row>
    <row r="19" spans="1:8" x14ac:dyDescent="0.3">
      <c r="B19" s="6" t="s">
        <v>21</v>
      </c>
      <c r="C19" s="22"/>
      <c r="D19" s="22"/>
      <c r="E19" s="22"/>
      <c r="F19" s="22"/>
      <c r="G19" s="22"/>
      <c r="H19" s="12">
        <f t="shared" si="0"/>
        <v>44414</v>
      </c>
    </row>
    <row r="20" spans="1:8" x14ac:dyDescent="0.3">
      <c r="B20" s="6" t="s">
        <v>18</v>
      </c>
      <c r="C20" s="22"/>
      <c r="D20" s="22">
        <v>54000</v>
      </c>
      <c r="E20" s="22"/>
      <c r="F20" s="22"/>
      <c r="G20" s="22"/>
      <c r="H20" s="12">
        <f t="shared" si="0"/>
        <v>44414</v>
      </c>
    </row>
    <row r="21" spans="1:8" x14ac:dyDescent="0.3">
      <c r="B21" s="6" t="s">
        <v>16</v>
      </c>
      <c r="C21" s="22"/>
      <c r="D21" s="22"/>
      <c r="E21" s="22"/>
      <c r="F21" s="22"/>
      <c r="G21" s="22"/>
      <c r="H21" s="12">
        <f t="shared" si="0"/>
        <v>44414</v>
      </c>
    </row>
    <row r="22" spans="1:8" x14ac:dyDescent="0.3">
      <c r="B22" s="50" t="s">
        <v>27</v>
      </c>
      <c r="C22" s="51">
        <f>SUM(August05_20217[KSI_AGO])</f>
        <v>1656000</v>
      </c>
      <c r="D22" s="51">
        <f>SUBTOTAL(109,August05_20217[KSI_PMS])</f>
        <v>377000</v>
      </c>
      <c r="E22" s="51">
        <f>SUM(August05_20217[BUIPE_AGO])</f>
        <v>0</v>
      </c>
      <c r="F22" s="51">
        <f>SUM(August05_20217[BUIPE_PMS])</f>
        <v>0</v>
      </c>
      <c r="G22" s="51">
        <f>SUM(August05_20217[AKOSOMBO_AGO])</f>
        <v>540000</v>
      </c>
      <c r="H22" s="52"/>
    </row>
    <row r="23" spans="1:8" x14ac:dyDescent="0.3">
      <c r="B23" s="8"/>
      <c r="C23" s="24"/>
      <c r="D23" s="24"/>
      <c r="E23" s="24"/>
      <c r="F23" s="24"/>
      <c r="G23" s="24"/>
      <c r="H23"/>
    </row>
    <row r="24" spans="1:8" x14ac:dyDescent="0.3">
      <c r="B24" s="1" t="s">
        <v>6</v>
      </c>
      <c r="C24" s="1" t="s">
        <v>4</v>
      </c>
      <c r="D24" s="5">
        <f>SUMIF(August05_20217[[#Headers],[KSI_AGO]:[AKOSOMBO_AGO]],"*"&amp;C24,August05_20217[[#Totals],[KSI_AGO]:[AKOSOMBO_AGO]])</f>
        <v>2196000</v>
      </c>
      <c r="E24" s="1" t="s">
        <v>5</v>
      </c>
      <c r="F24" s="5">
        <f>SUMIF(August05_20217[[#Headers],[KSI_AGO]:[AKOSOMBO_AGO]],"*"&amp;E24,August05_20217[[#Totals],[KSI_AGO]:[AKOSOMBO_AGO]])</f>
        <v>377000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6DAAFD2-16FC-49B3-8684-F087450863F6}">
      <formula1>INDIRECT("BDC_List[BDC List]")</formula1>
    </dataValidation>
  </dataValidations>
  <pageMargins left="0.7" right="0.7" top="0.75" bottom="0.75" header="0.3" footer="0.3"/>
  <tableParts count="1">
    <tablePart r:id="rId1"/>
  </tableParts>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3D5A9-E194-48DB-83BC-A3FCAF780C53}">
  <sheetPr codeName="Sheet408"/>
  <dimension ref="A1:J34"/>
  <sheetViews>
    <sheetView topLeftCell="A2" workbookViewId="0">
      <selection activeCell="D11" sqref="D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44417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44417</v>
      </c>
    </row>
    <row r="7" spans="2:10" x14ac:dyDescent="0.3">
      <c r="B7" s="6" t="s">
        <v>37</v>
      </c>
      <c r="C7" s="49"/>
      <c r="D7" s="22"/>
      <c r="E7" s="22"/>
      <c r="F7" s="22"/>
      <c r="G7" s="22"/>
      <c r="H7" s="67">
        <f t="shared" si="0"/>
        <v>44417</v>
      </c>
    </row>
    <row r="8" spans="2:10" x14ac:dyDescent="0.3">
      <c r="B8" s="6" t="s">
        <v>17</v>
      </c>
      <c r="C8" s="22">
        <v>378000</v>
      </c>
      <c r="D8" s="22"/>
      <c r="E8" s="22"/>
      <c r="F8" s="22">
        <v>54000</v>
      </c>
      <c r="G8" s="22"/>
      <c r="H8" s="12">
        <f t="shared" si="0"/>
        <v>44417</v>
      </c>
    </row>
    <row r="9" spans="2:10" ht="15.6" x14ac:dyDescent="0.3">
      <c r="B9" s="34" t="s">
        <v>0</v>
      </c>
      <c r="C9" s="60">
        <v>909000</v>
      </c>
      <c r="D9" s="46"/>
      <c r="E9" s="60"/>
      <c r="F9" s="46">
        <v>108000</v>
      </c>
      <c r="G9" s="61">
        <v>486000</v>
      </c>
      <c r="H9" s="12">
        <f t="shared" si="0"/>
        <v>44417</v>
      </c>
    </row>
    <row r="10" spans="2:10" ht="16.2" customHeight="1" x14ac:dyDescent="0.3">
      <c r="B10" s="6" t="s">
        <v>25</v>
      </c>
      <c r="C10" s="22"/>
      <c r="D10" s="22"/>
      <c r="E10" s="22"/>
      <c r="F10" s="22"/>
      <c r="G10" s="22"/>
      <c r="H10" s="12">
        <f t="shared" si="0"/>
        <v>44417</v>
      </c>
    </row>
    <row r="11" spans="2:10" ht="13.5" customHeight="1" x14ac:dyDescent="0.3">
      <c r="B11" s="6" t="s">
        <v>15</v>
      </c>
      <c r="C11" s="22"/>
      <c r="D11" s="48"/>
      <c r="E11" s="22"/>
      <c r="F11" s="48">
        <v>54000</v>
      </c>
      <c r="G11" s="22"/>
      <c r="H11" s="12">
        <f t="shared" si="0"/>
        <v>44417</v>
      </c>
    </row>
    <row r="12" spans="2:10" x14ac:dyDescent="0.3">
      <c r="B12" s="6" t="s">
        <v>54</v>
      </c>
      <c r="C12" s="22">
        <v>432000</v>
      </c>
      <c r="D12" s="22"/>
      <c r="E12" s="22"/>
      <c r="F12" s="22"/>
      <c r="G12" s="22"/>
      <c r="H12" s="67">
        <f t="shared" si="0"/>
        <v>44417</v>
      </c>
    </row>
    <row r="13" spans="2:10" x14ac:dyDescent="0.3">
      <c r="B13" s="6" t="s">
        <v>26</v>
      </c>
      <c r="C13" s="22"/>
      <c r="D13" s="22"/>
      <c r="E13" s="22"/>
      <c r="F13" s="22"/>
      <c r="G13" s="22"/>
      <c r="H13" s="12">
        <f t="shared" si="0"/>
        <v>44417</v>
      </c>
    </row>
    <row r="14" spans="2:10" x14ac:dyDescent="0.3">
      <c r="B14" s="6" t="s">
        <v>22</v>
      </c>
      <c r="C14" s="23"/>
      <c r="D14" s="22"/>
      <c r="E14" s="23"/>
      <c r="F14" s="22"/>
      <c r="G14" s="23"/>
      <c r="H14" s="12">
        <f t="shared" si="0"/>
        <v>44417</v>
      </c>
      <c r="J14" s="4"/>
    </row>
    <row r="15" spans="2:10" x14ac:dyDescent="0.3">
      <c r="B15" s="6" t="s">
        <v>61</v>
      </c>
      <c r="C15" s="23"/>
      <c r="D15" s="22"/>
      <c r="E15" s="23"/>
      <c r="F15" s="22"/>
      <c r="G15" s="23"/>
      <c r="H15" s="67">
        <f t="shared" si="0"/>
        <v>44417</v>
      </c>
      <c r="J15" s="4"/>
    </row>
    <row r="16" spans="2:10" x14ac:dyDescent="0.3">
      <c r="B16" s="6" t="s">
        <v>19</v>
      </c>
      <c r="C16" s="62"/>
      <c r="D16" s="22">
        <v>94500</v>
      </c>
      <c r="E16" s="22"/>
      <c r="F16" s="22">
        <v>162000</v>
      </c>
      <c r="G16" s="22"/>
      <c r="H16" s="12">
        <f t="shared" si="0"/>
        <v>44417</v>
      </c>
    </row>
    <row r="17" spans="1:8" x14ac:dyDescent="0.3">
      <c r="B17" s="6" t="s">
        <v>14</v>
      </c>
      <c r="C17" s="22"/>
      <c r="D17" s="22"/>
      <c r="E17" s="22"/>
      <c r="F17" s="22">
        <v>54000</v>
      </c>
      <c r="G17" s="22">
        <v>54000</v>
      </c>
      <c r="H17" s="12">
        <f t="shared" si="0"/>
        <v>44417</v>
      </c>
    </row>
    <row r="18" spans="1:8" x14ac:dyDescent="0.3">
      <c r="B18" s="6" t="s">
        <v>24</v>
      </c>
      <c r="C18" s="22"/>
      <c r="D18" s="49"/>
      <c r="E18" s="22"/>
      <c r="F18" s="49"/>
      <c r="G18" s="22"/>
      <c r="H18" s="12">
        <f t="shared" si="0"/>
        <v>44417</v>
      </c>
    </row>
    <row r="19" spans="1:8" x14ac:dyDescent="0.3">
      <c r="B19" s="6" t="s">
        <v>21</v>
      </c>
      <c r="C19" s="22"/>
      <c r="D19" s="22"/>
      <c r="E19" s="22"/>
      <c r="F19" s="22"/>
      <c r="G19" s="22"/>
      <c r="H19" s="12">
        <f t="shared" si="0"/>
        <v>44417</v>
      </c>
    </row>
    <row r="20" spans="1:8" x14ac:dyDescent="0.3">
      <c r="B20" s="6" t="s">
        <v>18</v>
      </c>
      <c r="C20" s="22"/>
      <c r="D20" s="22"/>
      <c r="E20" s="22"/>
      <c r="F20" s="22"/>
      <c r="G20" s="22"/>
      <c r="H20" s="12">
        <f t="shared" si="0"/>
        <v>44417</v>
      </c>
    </row>
    <row r="21" spans="1:8" x14ac:dyDescent="0.3">
      <c r="B21" s="6" t="s">
        <v>16</v>
      </c>
      <c r="C21" s="22">
        <v>47000</v>
      </c>
      <c r="D21" s="22"/>
      <c r="E21" s="22"/>
      <c r="F21" s="22"/>
      <c r="G21" s="22"/>
      <c r="H21" s="12">
        <f t="shared" si="0"/>
        <v>44417</v>
      </c>
    </row>
    <row r="22" spans="1:8" x14ac:dyDescent="0.3">
      <c r="B22" s="50" t="s">
        <v>27</v>
      </c>
      <c r="C22" s="51">
        <f>SUM(August09_2021[KSI_AGO])</f>
        <v>1766000</v>
      </c>
      <c r="D22" s="51">
        <f>SUBTOTAL(109,August09_2021[KSI_PMS])</f>
        <v>94500</v>
      </c>
      <c r="E22" s="51">
        <f>SUM(August09_2021[BUIPE_AGO])</f>
        <v>0</v>
      </c>
      <c r="F22" s="51">
        <f>SUM(August09_2021[BUIPE_PMS])</f>
        <v>432000</v>
      </c>
      <c r="G22" s="51">
        <f>SUM(August09_2021[AKOSOMBO_AGO])</f>
        <v>540000</v>
      </c>
      <c r="H22" s="52"/>
    </row>
    <row r="23" spans="1:8" x14ac:dyDescent="0.3">
      <c r="B23" s="8"/>
      <c r="C23" s="24"/>
      <c r="D23" s="24"/>
      <c r="E23" s="24"/>
      <c r="F23" s="24"/>
      <c r="G23" s="24"/>
      <c r="H23"/>
    </row>
    <row r="24" spans="1:8" x14ac:dyDescent="0.3">
      <c r="B24" s="1" t="s">
        <v>6</v>
      </c>
      <c r="C24" s="1" t="s">
        <v>4</v>
      </c>
      <c r="D24" s="5">
        <f>SUMIF(August09_2021[[#Headers],[KSI_AGO]:[AKOSOMBO_AGO]],"*"&amp;C24,August09_2021[[#Totals],[KSI_AGO]:[AKOSOMBO_AGO]])</f>
        <v>2306000</v>
      </c>
      <c r="E24" s="1" t="s">
        <v>5</v>
      </c>
      <c r="F24" s="5">
        <f>SUMIF(August09_2021[[#Headers],[KSI_AGO]:[AKOSOMBO_AGO]],"*"&amp;E24,August09_2021[[#Totals],[KSI_AGO]:[AKOSOMBO_AGO]])</f>
        <v>526500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A3C02ABC-F791-4AD6-A8E5-F8326CA1680B}">
      <formula1>INDIRECT("BDC_List[BDC List]")</formula1>
    </dataValidation>
  </dataValidations>
  <pageMargins left="0.7" right="0.7" top="0.75" bottom="0.75" header="0.3" footer="0.3"/>
  <tableParts count="1">
    <tablePart r:id="rId1"/>
  </tableParts>
</worksheet>
</file>

<file path=xl/worksheets/sheet4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8CED-66D2-48F7-902F-ABE01AE8456B}">
  <sheetPr codeName="Sheet409"/>
  <dimension ref="A1:J34"/>
  <sheetViews>
    <sheetView workbookViewId="0">
      <selection activeCell="E14" sqref="E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44418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44418</v>
      </c>
    </row>
    <row r="7" spans="2:10" x14ac:dyDescent="0.3">
      <c r="B7" s="6" t="s">
        <v>37</v>
      </c>
      <c r="C7" s="49"/>
      <c r="D7" s="22"/>
      <c r="E7" s="22"/>
      <c r="F7" s="22"/>
      <c r="G7" s="22"/>
      <c r="H7" s="67">
        <f t="shared" si="0"/>
        <v>44418</v>
      </c>
    </row>
    <row r="8" spans="2:10" x14ac:dyDescent="0.3">
      <c r="B8" s="6" t="s">
        <v>17</v>
      </c>
      <c r="C8" s="22">
        <v>268000</v>
      </c>
      <c r="D8" s="22"/>
      <c r="E8" s="22"/>
      <c r="F8" s="22"/>
      <c r="G8" s="22"/>
      <c r="H8" s="12">
        <f t="shared" si="0"/>
        <v>44418</v>
      </c>
    </row>
    <row r="9" spans="2:10" ht="15.6" x14ac:dyDescent="0.3">
      <c r="B9" s="34" t="s">
        <v>0</v>
      </c>
      <c r="C9" s="60">
        <v>972000</v>
      </c>
      <c r="D9" s="46"/>
      <c r="E9" s="60"/>
      <c r="F9" s="46"/>
      <c r="G9" s="61">
        <v>585000</v>
      </c>
      <c r="H9" s="12">
        <f t="shared" si="0"/>
        <v>44418</v>
      </c>
    </row>
    <row r="10" spans="2:10" ht="16.2" customHeight="1" x14ac:dyDescent="0.3">
      <c r="B10" s="6" t="s">
        <v>25</v>
      </c>
      <c r="C10" s="22"/>
      <c r="D10" s="22"/>
      <c r="E10" s="22"/>
      <c r="F10" s="22"/>
      <c r="G10" s="22"/>
      <c r="H10" s="12">
        <f t="shared" si="0"/>
        <v>44418</v>
      </c>
    </row>
    <row r="11" spans="2:10" ht="13.5" customHeight="1" x14ac:dyDescent="0.3">
      <c r="B11" s="6" t="s">
        <v>15</v>
      </c>
      <c r="C11" s="22"/>
      <c r="D11" s="48"/>
      <c r="E11" s="22"/>
      <c r="F11" s="48">
        <v>54000</v>
      </c>
      <c r="G11" s="22"/>
      <c r="H11" s="12">
        <f t="shared" si="0"/>
        <v>44418</v>
      </c>
    </row>
    <row r="12" spans="2:10" x14ac:dyDescent="0.3">
      <c r="B12" s="6" t="s">
        <v>54</v>
      </c>
      <c r="C12" s="22">
        <v>216000</v>
      </c>
      <c r="D12" s="22"/>
      <c r="E12" s="22"/>
      <c r="F12" s="22"/>
      <c r="G12" s="22"/>
      <c r="H12" s="67">
        <f t="shared" si="0"/>
        <v>44418</v>
      </c>
    </row>
    <row r="13" spans="2:10" x14ac:dyDescent="0.3">
      <c r="B13" s="6" t="s">
        <v>26</v>
      </c>
      <c r="C13" s="22"/>
      <c r="D13" s="22"/>
      <c r="E13" s="22"/>
      <c r="F13" s="22"/>
      <c r="G13" s="22"/>
      <c r="H13" s="12">
        <f t="shared" si="0"/>
        <v>44418</v>
      </c>
    </row>
    <row r="14" spans="2:10" x14ac:dyDescent="0.3">
      <c r="B14" s="6" t="s">
        <v>22</v>
      </c>
      <c r="C14" s="23"/>
      <c r="D14" s="22"/>
      <c r="E14" s="23"/>
      <c r="F14" s="22"/>
      <c r="G14" s="23"/>
      <c r="H14" s="12">
        <f t="shared" si="0"/>
        <v>44418</v>
      </c>
      <c r="J14" s="4"/>
    </row>
    <row r="15" spans="2:10" x14ac:dyDescent="0.3">
      <c r="B15" s="6" t="s">
        <v>61</v>
      </c>
      <c r="C15" s="23"/>
      <c r="D15" s="22"/>
      <c r="E15" s="23"/>
      <c r="F15" s="22"/>
      <c r="G15" s="23"/>
      <c r="H15" s="67">
        <f t="shared" si="0"/>
        <v>44418</v>
      </c>
      <c r="J15" s="4"/>
    </row>
    <row r="16" spans="2:10" x14ac:dyDescent="0.3">
      <c r="B16" s="6" t="s">
        <v>19</v>
      </c>
      <c r="C16" s="62"/>
      <c r="D16" s="22">
        <v>918000</v>
      </c>
      <c r="E16" s="22"/>
      <c r="F16" s="22"/>
      <c r="G16" s="22"/>
      <c r="H16" s="12">
        <f t="shared" si="0"/>
        <v>44418</v>
      </c>
    </row>
    <row r="17" spans="1:8" x14ac:dyDescent="0.3">
      <c r="B17" s="6" t="s">
        <v>14</v>
      </c>
      <c r="C17" s="22"/>
      <c r="D17" s="22"/>
      <c r="E17" s="22"/>
      <c r="F17" s="22">
        <v>54000</v>
      </c>
      <c r="G17" s="22"/>
      <c r="H17" s="12">
        <f t="shared" si="0"/>
        <v>44418</v>
      </c>
    </row>
    <row r="18" spans="1:8" x14ac:dyDescent="0.3">
      <c r="B18" s="6" t="s">
        <v>24</v>
      </c>
      <c r="C18" s="22"/>
      <c r="D18" s="49"/>
      <c r="E18" s="22"/>
      <c r="F18" s="49"/>
      <c r="G18" s="22"/>
      <c r="H18" s="12">
        <f t="shared" si="0"/>
        <v>44418</v>
      </c>
    </row>
    <row r="19" spans="1:8" x14ac:dyDescent="0.3">
      <c r="B19" s="6" t="s">
        <v>21</v>
      </c>
      <c r="C19" s="22"/>
      <c r="D19" s="22"/>
      <c r="E19" s="22"/>
      <c r="F19" s="22"/>
      <c r="G19" s="22"/>
      <c r="H19" s="12">
        <f t="shared" si="0"/>
        <v>44418</v>
      </c>
    </row>
    <row r="20" spans="1:8" x14ac:dyDescent="0.3">
      <c r="B20" s="6" t="s">
        <v>18</v>
      </c>
      <c r="C20" s="22"/>
      <c r="D20" s="22"/>
      <c r="E20" s="22"/>
      <c r="F20" s="22"/>
      <c r="G20" s="22"/>
      <c r="H20" s="12">
        <f t="shared" si="0"/>
        <v>44418</v>
      </c>
    </row>
    <row r="21" spans="1:8" x14ac:dyDescent="0.3">
      <c r="B21" s="6" t="s">
        <v>16</v>
      </c>
      <c r="C21" s="22"/>
      <c r="D21" s="22"/>
      <c r="E21" s="22"/>
      <c r="F21" s="22"/>
      <c r="G21" s="22"/>
      <c r="H21" s="12">
        <f t="shared" si="0"/>
        <v>44418</v>
      </c>
    </row>
    <row r="22" spans="1:8" x14ac:dyDescent="0.3">
      <c r="B22" s="50" t="s">
        <v>27</v>
      </c>
      <c r="C22" s="51">
        <f>SUM(August10_2021[KSI_AGO])</f>
        <v>1456000</v>
      </c>
      <c r="D22" s="51">
        <f>SUBTOTAL(109,August10_2021[KSI_PMS])</f>
        <v>918000</v>
      </c>
      <c r="E22" s="51">
        <f>SUM(August10_2021[BUIPE_AGO])</f>
        <v>0</v>
      </c>
      <c r="F22" s="51">
        <f>SUM(August10_2021[BUIPE_PMS])</f>
        <v>108000</v>
      </c>
      <c r="G22" s="51">
        <f>SUM(August10_2021[AKOSOMBO_AGO])</f>
        <v>585000</v>
      </c>
      <c r="H22" s="52"/>
    </row>
    <row r="23" spans="1:8" x14ac:dyDescent="0.3">
      <c r="B23" s="8"/>
      <c r="C23" s="24"/>
      <c r="D23" s="24"/>
      <c r="E23" s="24"/>
      <c r="F23" s="24"/>
      <c r="G23" s="24"/>
      <c r="H23"/>
    </row>
    <row r="24" spans="1:8" x14ac:dyDescent="0.3">
      <c r="B24" s="1" t="s">
        <v>6</v>
      </c>
      <c r="C24" s="1" t="s">
        <v>4</v>
      </c>
      <c r="D24" s="5">
        <f>SUMIF(August10_2021[[#Headers],[KSI_AGO]:[AKOSOMBO_AGO]],"*"&amp;C24,August10_2021[[#Totals],[KSI_AGO]:[AKOSOMBO_AGO]])</f>
        <v>2041000</v>
      </c>
      <c r="E24" s="1" t="s">
        <v>5</v>
      </c>
      <c r="F24" s="5">
        <f>SUMIF(August10_2021[[#Headers],[KSI_AGO]:[AKOSOMBO_AGO]],"*"&amp;E24,August10_2021[[#Totals],[KSI_AGO]:[AKOSOMBO_AGO]])</f>
        <v>1026000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D006397E-C31A-4A2B-A444-5E8DE5D3D504}">
      <formula1>INDIRECT("BDC_List[BDC List]")</formula1>
    </dataValidation>
  </dataValidations>
  <pageMargins left="0.7" right="0.7" top="0.75" bottom="0.75" header="0.3" footer="0.3"/>
  <legacyDrawing r:id="rId1"/>
  <tableParts count="1">
    <tablePart r:id="rId2"/>
  </tableParts>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DE4A4-A2E8-4E9B-9B87-C46CBADB79C9}">
  <sheetPr codeName="Sheet410"/>
  <dimension ref="A1:J34"/>
  <sheetViews>
    <sheetView topLeftCell="A6" workbookViewId="0">
      <selection activeCell="B25" sqref="B2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44419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44419</v>
      </c>
    </row>
    <row r="7" spans="2:10" x14ac:dyDescent="0.3">
      <c r="B7" s="6" t="s">
        <v>37</v>
      </c>
      <c r="C7" s="49"/>
      <c r="D7" s="22"/>
      <c r="E7" s="22"/>
      <c r="F7" s="22"/>
      <c r="G7" s="22"/>
      <c r="H7" s="67">
        <f t="shared" si="0"/>
        <v>44419</v>
      </c>
    </row>
    <row r="8" spans="2:10" x14ac:dyDescent="0.3">
      <c r="B8" s="6" t="s">
        <v>17</v>
      </c>
      <c r="C8" s="22">
        <v>162000</v>
      </c>
      <c r="D8" s="22"/>
      <c r="E8" s="22"/>
      <c r="F8" s="22"/>
      <c r="G8" s="22"/>
      <c r="H8" s="12">
        <f t="shared" si="0"/>
        <v>44419</v>
      </c>
    </row>
    <row r="9" spans="2:10" ht="15.6" x14ac:dyDescent="0.3">
      <c r="B9" s="34" t="s">
        <v>0</v>
      </c>
      <c r="C9" s="60">
        <v>648000</v>
      </c>
      <c r="D9" s="46"/>
      <c r="E9" s="60"/>
      <c r="F9" s="46"/>
      <c r="G9" s="61">
        <v>378000</v>
      </c>
      <c r="H9" s="12">
        <f t="shared" si="0"/>
        <v>44419</v>
      </c>
    </row>
    <row r="10" spans="2:10" ht="16.2" customHeight="1" x14ac:dyDescent="0.3">
      <c r="B10" s="6" t="s">
        <v>25</v>
      </c>
      <c r="C10" s="22"/>
      <c r="D10" s="22"/>
      <c r="E10" s="22"/>
      <c r="F10" s="22"/>
      <c r="G10" s="22"/>
      <c r="H10" s="12">
        <f t="shared" si="0"/>
        <v>44419</v>
      </c>
    </row>
    <row r="11" spans="2:10" ht="13.5" customHeight="1" x14ac:dyDescent="0.3">
      <c r="B11" s="6" t="s">
        <v>15</v>
      </c>
      <c r="C11" s="22"/>
      <c r="D11" s="48">
        <v>162000</v>
      </c>
      <c r="E11" s="22"/>
      <c r="F11" s="48"/>
      <c r="G11" s="22"/>
      <c r="H11" s="12">
        <f t="shared" si="0"/>
        <v>44419</v>
      </c>
    </row>
    <row r="12" spans="2:10" x14ac:dyDescent="0.3">
      <c r="B12" s="6" t="s">
        <v>54</v>
      </c>
      <c r="C12" s="22">
        <v>324000</v>
      </c>
      <c r="D12" s="22"/>
      <c r="E12" s="22"/>
      <c r="F12" s="22"/>
      <c r="G12" s="22"/>
      <c r="H12" s="67">
        <f t="shared" si="0"/>
        <v>44419</v>
      </c>
    </row>
    <row r="13" spans="2:10" x14ac:dyDescent="0.3">
      <c r="B13" s="6" t="s">
        <v>26</v>
      </c>
      <c r="C13" s="22"/>
      <c r="D13" s="22"/>
      <c r="E13" s="22"/>
      <c r="F13" s="22"/>
      <c r="G13" s="22"/>
      <c r="H13" s="12">
        <f t="shared" si="0"/>
        <v>44419</v>
      </c>
    </row>
    <row r="14" spans="2:10" x14ac:dyDescent="0.3">
      <c r="B14" s="6" t="s">
        <v>22</v>
      </c>
      <c r="C14" s="23"/>
      <c r="D14" s="22"/>
      <c r="E14" s="23"/>
      <c r="F14" s="22"/>
      <c r="G14" s="23"/>
      <c r="H14" s="12">
        <f t="shared" si="0"/>
        <v>44419</v>
      </c>
      <c r="J14" s="4"/>
    </row>
    <row r="15" spans="2:10" x14ac:dyDescent="0.3">
      <c r="B15" s="6" t="s">
        <v>61</v>
      </c>
      <c r="C15" s="23"/>
      <c r="D15" s="22"/>
      <c r="E15" s="23"/>
      <c r="F15" s="22"/>
      <c r="G15" s="23"/>
      <c r="H15" s="67">
        <f t="shared" si="0"/>
        <v>44419</v>
      </c>
      <c r="J15" s="4"/>
    </row>
    <row r="16" spans="2:10" x14ac:dyDescent="0.3">
      <c r="B16" s="6" t="s">
        <v>19</v>
      </c>
      <c r="C16" s="62"/>
      <c r="D16" s="22"/>
      <c r="E16" s="22"/>
      <c r="F16" s="22"/>
      <c r="G16" s="22"/>
      <c r="H16" s="12">
        <f t="shared" si="0"/>
        <v>44419</v>
      </c>
    </row>
    <row r="17" spans="1:8" x14ac:dyDescent="0.3">
      <c r="B17" s="6" t="s">
        <v>14</v>
      </c>
      <c r="C17" s="22"/>
      <c r="D17" s="22"/>
      <c r="E17" s="22"/>
      <c r="F17" s="22"/>
      <c r="G17" s="22"/>
      <c r="H17" s="12">
        <f t="shared" si="0"/>
        <v>44419</v>
      </c>
    </row>
    <row r="18" spans="1:8" x14ac:dyDescent="0.3">
      <c r="B18" s="6" t="s">
        <v>24</v>
      </c>
      <c r="C18" s="22"/>
      <c r="D18" s="49"/>
      <c r="E18" s="22"/>
      <c r="F18" s="49"/>
      <c r="G18" s="22"/>
      <c r="H18" s="12">
        <f t="shared" si="0"/>
        <v>44419</v>
      </c>
    </row>
    <row r="19" spans="1:8" x14ac:dyDescent="0.3">
      <c r="B19" s="6" t="s">
        <v>21</v>
      </c>
      <c r="C19" s="22"/>
      <c r="D19" s="22"/>
      <c r="E19" s="22"/>
      <c r="F19" s="22"/>
      <c r="G19" s="22"/>
      <c r="H19" s="12">
        <f t="shared" si="0"/>
        <v>44419</v>
      </c>
    </row>
    <row r="20" spans="1:8" x14ac:dyDescent="0.3">
      <c r="B20" s="6" t="s">
        <v>18</v>
      </c>
      <c r="C20" s="22">
        <v>310500</v>
      </c>
      <c r="D20" s="22"/>
      <c r="E20" s="22">
        <v>324000</v>
      </c>
      <c r="F20" s="22"/>
      <c r="G20" s="22"/>
      <c r="H20" s="12">
        <f t="shared" si="0"/>
        <v>44419</v>
      </c>
    </row>
    <row r="21" spans="1:8" x14ac:dyDescent="0.3">
      <c r="B21" s="6" t="s">
        <v>16</v>
      </c>
      <c r="C21" s="22">
        <v>216000</v>
      </c>
      <c r="D21" s="22"/>
      <c r="E21" s="22"/>
      <c r="F21" s="22"/>
      <c r="G21" s="22">
        <v>270000</v>
      </c>
      <c r="H21" s="12">
        <f t="shared" si="0"/>
        <v>44419</v>
      </c>
    </row>
    <row r="22" spans="1:8" x14ac:dyDescent="0.3">
      <c r="B22" s="50" t="s">
        <v>27</v>
      </c>
      <c r="C22" s="51">
        <f>SUM(August11_2021406[KSI_AGO])</f>
        <v>1660500</v>
      </c>
      <c r="D22" s="51">
        <f>SUBTOTAL(109,August11_2021406[KSI_PMS])</f>
        <v>162000</v>
      </c>
      <c r="E22" s="51">
        <f>SUM(August11_2021406[BUIPE_AGO])</f>
        <v>324000</v>
      </c>
      <c r="F22" s="51">
        <f>SUM(August11_2021406[BUIPE_PMS])</f>
        <v>0</v>
      </c>
      <c r="G22" s="51">
        <f>SUM(August11_2021406[AKOSOMBO_AGO])</f>
        <v>648000</v>
      </c>
      <c r="H22" s="52"/>
    </row>
    <row r="23" spans="1:8" x14ac:dyDescent="0.3">
      <c r="B23" s="8"/>
      <c r="C23" s="24"/>
      <c r="D23" s="24"/>
      <c r="E23" s="24"/>
      <c r="F23" s="24"/>
      <c r="G23" s="24"/>
      <c r="H23"/>
    </row>
    <row r="24" spans="1:8" x14ac:dyDescent="0.3">
      <c r="B24" s="1" t="s">
        <v>6</v>
      </c>
      <c r="C24" s="1" t="s">
        <v>4</v>
      </c>
      <c r="D24" s="5">
        <f>SUMIF(August11_2021406[[#Headers],[KSI_AGO]:[AKOSOMBO_AGO]],"*"&amp;C24,August11_2021406[[#Totals],[KSI_AGO]:[AKOSOMBO_AGO]])</f>
        <v>2632500</v>
      </c>
      <c r="E24" s="1" t="s">
        <v>5</v>
      </c>
      <c r="F24" s="5">
        <f>SUMIF(August11_2021406[[#Headers],[KSI_AGO]:[AKOSOMBO_AGO]],"*"&amp;E24,August11_2021406[[#Totals],[KSI_AGO]:[AKOSOMBO_AGO]])</f>
        <v>162000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0F436158-523C-4E03-9968-56DFBE020FC3}">
      <formula1>INDIRECT("BDC_List[BDC List]")</formula1>
    </dataValidation>
  </dataValidations>
  <pageMargins left="0.7" right="0.7" top="0.75" bottom="0.75" header="0.3" footer="0.3"/>
  <tableParts count="1">
    <tablePart r:id="rId1"/>
  </tableParts>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3B71-309D-48B5-AD2B-764CD8D6FACF}">
  <sheetPr codeName="Sheet411"/>
  <dimension ref="A1:J34"/>
  <sheetViews>
    <sheetView workbookViewId="0">
      <selection activeCell="E16" sqref="E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44420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44420</v>
      </c>
    </row>
    <row r="7" spans="2:10" x14ac:dyDescent="0.3">
      <c r="B7" s="6" t="s">
        <v>37</v>
      </c>
      <c r="C7" s="49"/>
      <c r="D7" s="22"/>
      <c r="E7" s="22"/>
      <c r="F7" s="22"/>
      <c r="G7" s="22"/>
      <c r="H7" s="67">
        <f t="shared" si="0"/>
        <v>44420</v>
      </c>
    </row>
    <row r="8" spans="2:10" x14ac:dyDescent="0.3">
      <c r="B8" s="6" t="s">
        <v>17</v>
      </c>
      <c r="C8" s="22"/>
      <c r="D8" s="22"/>
      <c r="E8" s="22"/>
      <c r="F8" s="22"/>
      <c r="G8" s="22"/>
      <c r="H8" s="12">
        <f t="shared" si="0"/>
        <v>44420</v>
      </c>
    </row>
    <row r="9" spans="2:10" ht="15.6" x14ac:dyDescent="0.3">
      <c r="B9" s="34" t="s">
        <v>0</v>
      </c>
      <c r="C9" s="60">
        <v>203000</v>
      </c>
      <c r="D9" s="46"/>
      <c r="E9" s="60"/>
      <c r="F9" s="46"/>
      <c r="G9" s="61">
        <v>270000</v>
      </c>
      <c r="H9" s="12">
        <f t="shared" si="0"/>
        <v>44420</v>
      </c>
    </row>
    <row r="10" spans="2:10" ht="16.2" customHeight="1" x14ac:dyDescent="0.3">
      <c r="B10" s="6" t="s">
        <v>25</v>
      </c>
      <c r="C10" s="22"/>
      <c r="D10" s="22"/>
      <c r="E10" s="22"/>
      <c r="F10" s="22"/>
      <c r="G10" s="22"/>
      <c r="H10" s="12">
        <f t="shared" si="0"/>
        <v>44420</v>
      </c>
    </row>
    <row r="11" spans="2:10" ht="13.5" customHeight="1" x14ac:dyDescent="0.3">
      <c r="B11" s="6" t="s">
        <v>15</v>
      </c>
      <c r="C11" s="22"/>
      <c r="D11" s="48">
        <v>1453500</v>
      </c>
      <c r="E11" s="22"/>
      <c r="F11" s="48"/>
      <c r="G11" s="22"/>
      <c r="H11" s="12">
        <f t="shared" si="0"/>
        <v>44420</v>
      </c>
    </row>
    <row r="12" spans="2:10" x14ac:dyDescent="0.3">
      <c r="B12" s="6" t="s">
        <v>54</v>
      </c>
      <c r="C12" s="22">
        <v>594000</v>
      </c>
      <c r="D12" s="22"/>
      <c r="E12" s="22"/>
      <c r="F12" s="22"/>
      <c r="G12" s="22"/>
      <c r="H12" s="67">
        <f t="shared" si="0"/>
        <v>44420</v>
      </c>
    </row>
    <row r="13" spans="2:10" x14ac:dyDescent="0.3">
      <c r="B13" s="6" t="s">
        <v>26</v>
      </c>
      <c r="C13" s="22"/>
      <c r="D13" s="22">
        <v>45000</v>
      </c>
      <c r="E13" s="22"/>
      <c r="F13" s="22"/>
      <c r="G13" s="22"/>
      <c r="H13" s="12">
        <f t="shared" si="0"/>
        <v>44420</v>
      </c>
    </row>
    <row r="14" spans="2:10" x14ac:dyDescent="0.3">
      <c r="B14" s="6" t="s">
        <v>22</v>
      </c>
      <c r="C14" s="23"/>
      <c r="D14" s="22"/>
      <c r="E14" s="23"/>
      <c r="F14" s="22"/>
      <c r="G14" s="23"/>
      <c r="H14" s="12">
        <f t="shared" si="0"/>
        <v>44420</v>
      </c>
      <c r="J14" s="4"/>
    </row>
    <row r="15" spans="2:10" x14ac:dyDescent="0.3">
      <c r="B15" s="6" t="s">
        <v>61</v>
      </c>
      <c r="C15" s="23"/>
      <c r="D15" s="22"/>
      <c r="E15" s="23"/>
      <c r="F15" s="22"/>
      <c r="G15" s="23"/>
      <c r="H15" s="67">
        <f t="shared" si="0"/>
        <v>44420</v>
      </c>
      <c r="J15" s="4"/>
    </row>
    <row r="16" spans="2:10" x14ac:dyDescent="0.3">
      <c r="B16" s="6" t="s">
        <v>19</v>
      </c>
      <c r="C16" s="62"/>
      <c r="D16" s="22">
        <v>45000</v>
      </c>
      <c r="E16" s="22"/>
      <c r="F16" s="22"/>
      <c r="G16" s="22"/>
      <c r="H16" s="12">
        <f t="shared" si="0"/>
        <v>44420</v>
      </c>
    </row>
    <row r="17" spans="1:8" x14ac:dyDescent="0.3">
      <c r="B17" s="6" t="s">
        <v>14</v>
      </c>
      <c r="C17" s="22"/>
      <c r="D17" s="22">
        <v>45000</v>
      </c>
      <c r="E17" s="22"/>
      <c r="F17" s="22"/>
      <c r="G17" s="22"/>
      <c r="H17" s="12">
        <f t="shared" si="0"/>
        <v>44420</v>
      </c>
    </row>
    <row r="18" spans="1:8" x14ac:dyDescent="0.3">
      <c r="B18" s="6" t="s">
        <v>24</v>
      </c>
      <c r="C18" s="22"/>
      <c r="D18" s="49"/>
      <c r="E18" s="22"/>
      <c r="F18" s="49"/>
      <c r="G18" s="22"/>
      <c r="H18" s="12">
        <f t="shared" si="0"/>
        <v>44420</v>
      </c>
    </row>
    <row r="19" spans="1:8" x14ac:dyDescent="0.3">
      <c r="B19" s="6" t="s">
        <v>21</v>
      </c>
      <c r="C19" s="22"/>
      <c r="D19" s="22"/>
      <c r="E19" s="22"/>
      <c r="F19" s="22"/>
      <c r="G19" s="22"/>
      <c r="H19" s="12">
        <f t="shared" si="0"/>
        <v>44420</v>
      </c>
    </row>
    <row r="20" spans="1:8" x14ac:dyDescent="0.3">
      <c r="B20" s="6" t="s">
        <v>18</v>
      </c>
      <c r="C20" s="22">
        <v>486000</v>
      </c>
      <c r="D20" s="22"/>
      <c r="E20" s="22"/>
      <c r="F20" s="22"/>
      <c r="G20" s="22"/>
      <c r="H20" s="12">
        <f t="shared" si="0"/>
        <v>44420</v>
      </c>
    </row>
    <row r="21" spans="1:8" x14ac:dyDescent="0.3">
      <c r="B21" s="6" t="s">
        <v>16</v>
      </c>
      <c r="C21" s="22">
        <v>378000</v>
      </c>
      <c r="D21" s="22"/>
      <c r="E21" s="22"/>
      <c r="F21" s="22"/>
      <c r="G21" s="22">
        <v>270000</v>
      </c>
      <c r="H21" s="12">
        <f t="shared" si="0"/>
        <v>44420</v>
      </c>
    </row>
    <row r="22" spans="1:8" x14ac:dyDescent="0.3">
      <c r="B22" s="50" t="s">
        <v>27</v>
      </c>
      <c r="C22" s="51">
        <f>SUM(August12_2021[KSI_AGO])</f>
        <v>1661000</v>
      </c>
      <c r="D22" s="51">
        <f>SUBTOTAL(109,August12_2021[KSI_PMS])</f>
        <v>1588500</v>
      </c>
      <c r="E22" s="51">
        <f>SUM(August12_2021[BUIPE_AGO])</f>
        <v>0</v>
      </c>
      <c r="F22" s="51">
        <f>SUM(August12_2021[BUIPE_PMS])</f>
        <v>0</v>
      </c>
      <c r="G22" s="51">
        <f>SUM(August12_2021[AKOSOMBO_AGO])</f>
        <v>540000</v>
      </c>
      <c r="H22" s="52"/>
    </row>
    <row r="23" spans="1:8" x14ac:dyDescent="0.3">
      <c r="B23" s="8"/>
      <c r="C23" s="24"/>
      <c r="D23" s="24"/>
      <c r="E23" s="24"/>
      <c r="F23" s="24"/>
      <c r="G23" s="24"/>
      <c r="H23"/>
    </row>
    <row r="24" spans="1:8" x14ac:dyDescent="0.3">
      <c r="B24" s="1" t="s">
        <v>6</v>
      </c>
      <c r="C24" s="1" t="s">
        <v>4</v>
      </c>
      <c r="D24" s="5">
        <f>SUMIF(August12_2021[[#Headers],[KSI_AGO]:[AKOSOMBO_AGO]],"*"&amp;C24,August12_2021[[#Totals],[KSI_AGO]:[AKOSOMBO_AGO]])</f>
        <v>2201000</v>
      </c>
      <c r="E24" s="1" t="s">
        <v>5</v>
      </c>
      <c r="F24" s="5">
        <f>SUMIF(August12_2021[[#Headers],[KSI_AGO]:[AKOSOMBO_AGO]],"*"&amp;E24,August12_2021[[#Totals],[KSI_AGO]:[AKOSOMBO_AGO]])</f>
        <v>1588500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2A02F98-AEF4-40F8-A257-25D00503D7AF}">
      <formula1>INDIRECT("BDC_List[BDC List]")</formula1>
    </dataValidation>
  </dataValidations>
  <pageMargins left="0.7" right="0.7" top="0.75" bottom="0.75" header="0.3" footer="0.3"/>
  <tableParts count="1">
    <tablePart r:id="rId1"/>
  </tableParts>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F1BB1-DD0F-4A1E-BBF4-9DC4A17E89CD}">
  <sheetPr codeName="Sheet412"/>
  <dimension ref="A1:J34"/>
  <sheetViews>
    <sheetView workbookViewId="0">
      <selection activeCell="E14" sqref="E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44421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44421</v>
      </c>
    </row>
    <row r="7" spans="2:10" x14ac:dyDescent="0.3">
      <c r="B7" s="6" t="s">
        <v>37</v>
      </c>
      <c r="C7" s="49"/>
      <c r="D7" s="22"/>
      <c r="E7" s="22"/>
      <c r="F7" s="22"/>
      <c r="G7" s="22"/>
      <c r="H7" s="67">
        <f t="shared" si="0"/>
        <v>44421</v>
      </c>
    </row>
    <row r="8" spans="2:10" x14ac:dyDescent="0.3">
      <c r="B8" s="6" t="s">
        <v>17</v>
      </c>
      <c r="C8" s="22"/>
      <c r="D8" s="22"/>
      <c r="E8" s="22"/>
      <c r="F8" s="22"/>
      <c r="G8" s="22">
        <v>270000</v>
      </c>
      <c r="H8" s="12">
        <f t="shared" si="0"/>
        <v>44421</v>
      </c>
    </row>
    <row r="9" spans="2:10" ht="15.6" x14ac:dyDescent="0.3">
      <c r="B9" s="34" t="s">
        <v>0</v>
      </c>
      <c r="C9" s="60">
        <v>108000</v>
      </c>
      <c r="D9" s="46"/>
      <c r="E9" s="60"/>
      <c r="F9" s="46"/>
      <c r="G9" s="61"/>
      <c r="H9" s="12">
        <f t="shared" si="0"/>
        <v>44421</v>
      </c>
    </row>
    <row r="10" spans="2:10" ht="16.2" customHeight="1" x14ac:dyDescent="0.3">
      <c r="B10" s="6" t="s">
        <v>25</v>
      </c>
      <c r="C10" s="22">
        <v>864000</v>
      </c>
      <c r="D10" s="22">
        <v>801000</v>
      </c>
      <c r="E10" s="22"/>
      <c r="F10" s="22"/>
      <c r="G10" s="22">
        <v>270000</v>
      </c>
      <c r="H10" s="12">
        <f t="shared" si="0"/>
        <v>44421</v>
      </c>
    </row>
    <row r="11" spans="2:10" ht="13.5" customHeight="1" x14ac:dyDescent="0.3">
      <c r="B11" s="6" t="s">
        <v>15</v>
      </c>
      <c r="C11" s="22"/>
      <c r="D11" s="48">
        <v>324000</v>
      </c>
      <c r="E11" s="22"/>
      <c r="F11" s="48"/>
      <c r="G11" s="22"/>
      <c r="H11" s="12">
        <f t="shared" si="0"/>
        <v>44421</v>
      </c>
    </row>
    <row r="12" spans="2:10" x14ac:dyDescent="0.3">
      <c r="B12" s="6" t="s">
        <v>54</v>
      </c>
      <c r="C12" s="22">
        <v>108000</v>
      </c>
      <c r="D12" s="22"/>
      <c r="E12" s="22"/>
      <c r="F12" s="22"/>
      <c r="G12" s="22"/>
      <c r="H12" s="67">
        <f t="shared" si="0"/>
        <v>44421</v>
      </c>
    </row>
    <row r="13" spans="2:10" x14ac:dyDescent="0.3">
      <c r="B13" s="6" t="s">
        <v>26</v>
      </c>
      <c r="C13" s="22"/>
      <c r="D13" s="22"/>
      <c r="E13" s="22"/>
      <c r="F13" s="22"/>
      <c r="G13" s="22"/>
      <c r="H13" s="12">
        <f t="shared" si="0"/>
        <v>44421</v>
      </c>
    </row>
    <row r="14" spans="2:10" x14ac:dyDescent="0.3">
      <c r="B14" s="6" t="s">
        <v>22</v>
      </c>
      <c r="C14" s="23"/>
      <c r="D14" s="22"/>
      <c r="E14" s="23"/>
      <c r="F14" s="22"/>
      <c r="G14" s="23"/>
      <c r="H14" s="12">
        <f t="shared" si="0"/>
        <v>44421</v>
      </c>
      <c r="J14" s="4"/>
    </row>
    <row r="15" spans="2:10" x14ac:dyDescent="0.3">
      <c r="B15" s="6" t="s">
        <v>61</v>
      </c>
      <c r="C15" s="23"/>
      <c r="D15" s="22"/>
      <c r="E15" s="23"/>
      <c r="F15" s="22"/>
      <c r="G15" s="23"/>
      <c r="H15" s="67">
        <f t="shared" si="0"/>
        <v>44421</v>
      </c>
      <c r="J15" s="4"/>
    </row>
    <row r="16" spans="2:10" x14ac:dyDescent="0.3">
      <c r="B16" s="6" t="s">
        <v>19</v>
      </c>
      <c r="C16" s="62"/>
      <c r="D16" s="22"/>
      <c r="E16" s="22"/>
      <c r="F16" s="22"/>
      <c r="G16" s="22"/>
      <c r="H16" s="12">
        <f t="shared" si="0"/>
        <v>44421</v>
      </c>
    </row>
    <row r="17" spans="1:8" x14ac:dyDescent="0.3">
      <c r="B17" s="6" t="s">
        <v>14</v>
      </c>
      <c r="C17" s="22"/>
      <c r="D17" s="22"/>
      <c r="E17" s="22"/>
      <c r="F17" s="22"/>
      <c r="G17" s="22"/>
      <c r="H17" s="12">
        <f t="shared" si="0"/>
        <v>44421</v>
      </c>
    </row>
    <row r="18" spans="1:8" x14ac:dyDescent="0.3">
      <c r="B18" s="6" t="s">
        <v>24</v>
      </c>
      <c r="C18" s="22"/>
      <c r="D18" s="49"/>
      <c r="E18" s="22"/>
      <c r="F18" s="49"/>
      <c r="G18" s="22"/>
      <c r="H18" s="12">
        <f t="shared" si="0"/>
        <v>44421</v>
      </c>
    </row>
    <row r="19" spans="1:8" x14ac:dyDescent="0.3">
      <c r="B19" s="6" t="s">
        <v>21</v>
      </c>
      <c r="C19" s="22"/>
      <c r="D19" s="22"/>
      <c r="E19" s="22"/>
      <c r="F19" s="22"/>
      <c r="G19" s="22"/>
      <c r="H19" s="12">
        <f t="shared" si="0"/>
        <v>44421</v>
      </c>
    </row>
    <row r="20" spans="1:8" x14ac:dyDescent="0.3">
      <c r="B20" s="6" t="s">
        <v>18</v>
      </c>
      <c r="C20" s="22">
        <v>378000</v>
      </c>
      <c r="D20" s="22"/>
      <c r="E20" s="22"/>
      <c r="F20" s="22"/>
      <c r="G20" s="22"/>
      <c r="H20" s="12">
        <f t="shared" si="0"/>
        <v>44421</v>
      </c>
    </row>
    <row r="21" spans="1:8" x14ac:dyDescent="0.3">
      <c r="B21" s="6" t="s">
        <v>16</v>
      </c>
      <c r="C21" s="22"/>
      <c r="D21" s="22"/>
      <c r="E21" s="22"/>
      <c r="F21" s="22"/>
      <c r="G21" s="22"/>
      <c r="H21" s="12">
        <f t="shared" si="0"/>
        <v>44421</v>
      </c>
    </row>
    <row r="22" spans="1:8" x14ac:dyDescent="0.3">
      <c r="B22" s="50" t="s">
        <v>27</v>
      </c>
      <c r="C22" s="51">
        <f>SUM(August13_2021[KSI_AGO])</f>
        <v>1458000</v>
      </c>
      <c r="D22" s="51">
        <f>SUBTOTAL(109,August13_2021[KSI_PMS])</f>
        <v>1125000</v>
      </c>
      <c r="E22" s="51">
        <f>SUM(August13_2021[BUIPE_AGO])</f>
        <v>0</v>
      </c>
      <c r="F22" s="51">
        <f>SUM(August13_2021[BUIPE_PMS])</f>
        <v>0</v>
      </c>
      <c r="G22" s="51">
        <f>SUM(August13_2021[AKOSOMBO_AGO])</f>
        <v>540000</v>
      </c>
      <c r="H22" s="52"/>
    </row>
    <row r="23" spans="1:8" x14ac:dyDescent="0.3">
      <c r="B23" s="8"/>
      <c r="C23" s="24"/>
      <c r="D23" s="24"/>
      <c r="E23" s="24"/>
      <c r="F23" s="24"/>
      <c r="G23" s="24"/>
      <c r="H23"/>
    </row>
    <row r="24" spans="1:8" x14ac:dyDescent="0.3">
      <c r="B24" s="1" t="s">
        <v>6</v>
      </c>
      <c r="C24" s="1" t="s">
        <v>4</v>
      </c>
      <c r="D24" s="5">
        <f>SUMIF(August13_2021[[#Headers],[KSI_AGO]:[AKOSOMBO_AGO]],"*"&amp;C24,August13_2021[[#Totals],[KSI_AGO]:[AKOSOMBO_AGO]])</f>
        <v>1998000</v>
      </c>
      <c r="E24" s="1" t="s">
        <v>5</v>
      </c>
      <c r="F24" s="5">
        <f>SUMIF(August13_2021[[#Headers],[KSI_AGO]:[AKOSOMBO_AGO]],"*"&amp;E24,August13_2021[[#Totals],[KSI_AGO]:[AKOSOMBO_AGO]])</f>
        <v>1125000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4AEDF017-CCB2-4AA6-9AD1-73733E58D811}">
      <formula1>INDIRECT("BDC_List[BDC List]")</formula1>
    </dataValidation>
  </dataValidations>
  <pageMargins left="0.7" right="0.7" top="0.75" bottom="0.75" header="0.3" footer="0.3"/>
  <tableParts count="1">
    <tablePart r:id="rId1"/>
  </tableParts>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FA439-8824-40AA-897B-A5413C70641F}">
  <sheetPr codeName="Sheet413"/>
  <dimension ref="A1:J34"/>
  <sheetViews>
    <sheetView workbookViewId="0">
      <selection activeCell="E12" sqref="E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44424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44424</v>
      </c>
    </row>
    <row r="7" spans="2:10" x14ac:dyDescent="0.3">
      <c r="B7" s="6" t="s">
        <v>37</v>
      </c>
      <c r="C7" s="49"/>
      <c r="D7" s="22"/>
      <c r="E7" s="22"/>
      <c r="F7" s="22"/>
      <c r="G7" s="22"/>
      <c r="H7" s="67">
        <f t="shared" si="0"/>
        <v>44424</v>
      </c>
    </row>
    <row r="8" spans="2:10" x14ac:dyDescent="0.3">
      <c r="B8" s="6" t="s">
        <v>17</v>
      </c>
      <c r="C8" s="22"/>
      <c r="D8" s="22"/>
      <c r="E8" s="22"/>
      <c r="F8" s="22"/>
      <c r="G8" s="22">
        <v>324000</v>
      </c>
      <c r="H8" s="12">
        <f t="shared" si="0"/>
        <v>44424</v>
      </c>
    </row>
    <row r="9" spans="2:10" ht="15.6" x14ac:dyDescent="0.3">
      <c r="B9" s="34" t="s">
        <v>0</v>
      </c>
      <c r="C9" s="60"/>
      <c r="D9" s="46"/>
      <c r="E9" s="60"/>
      <c r="F9" s="46"/>
      <c r="G9" s="61">
        <v>45000</v>
      </c>
      <c r="H9" s="12">
        <f t="shared" si="0"/>
        <v>44424</v>
      </c>
    </row>
    <row r="10" spans="2:10" ht="16.2" customHeight="1" x14ac:dyDescent="0.3">
      <c r="B10" s="6" t="s">
        <v>25</v>
      </c>
      <c r="C10" s="22"/>
      <c r="D10" s="22">
        <v>1184000</v>
      </c>
      <c r="E10" s="22"/>
      <c r="F10" s="22"/>
      <c r="G10" s="22"/>
      <c r="H10" s="12">
        <f t="shared" si="0"/>
        <v>44424</v>
      </c>
    </row>
    <row r="11" spans="2:10" ht="13.5" customHeight="1" x14ac:dyDescent="0.3">
      <c r="B11" s="6" t="s">
        <v>15</v>
      </c>
      <c r="C11" s="22"/>
      <c r="D11" s="48">
        <v>210000</v>
      </c>
      <c r="E11" s="22"/>
      <c r="F11" s="48"/>
      <c r="G11" s="22"/>
      <c r="H11" s="12">
        <f t="shared" si="0"/>
        <v>44424</v>
      </c>
    </row>
    <row r="12" spans="2:10" x14ac:dyDescent="0.3">
      <c r="B12" s="6" t="s">
        <v>54</v>
      </c>
      <c r="C12" s="22"/>
      <c r="D12" s="22"/>
      <c r="E12" s="22"/>
      <c r="F12" s="22"/>
      <c r="G12" s="22"/>
      <c r="H12" s="67">
        <f t="shared" si="0"/>
        <v>44424</v>
      </c>
    </row>
    <row r="13" spans="2:10" x14ac:dyDescent="0.3">
      <c r="B13" s="6" t="s">
        <v>26</v>
      </c>
      <c r="C13" s="22"/>
      <c r="D13" s="22"/>
      <c r="E13" s="22"/>
      <c r="F13" s="22"/>
      <c r="G13" s="22"/>
      <c r="H13" s="12">
        <f t="shared" si="0"/>
        <v>44424</v>
      </c>
    </row>
    <row r="14" spans="2:10" x14ac:dyDescent="0.3">
      <c r="B14" s="6" t="s">
        <v>22</v>
      </c>
      <c r="C14" s="23"/>
      <c r="D14" s="22"/>
      <c r="E14" s="23"/>
      <c r="F14" s="22"/>
      <c r="G14" s="23"/>
      <c r="H14" s="12">
        <f t="shared" si="0"/>
        <v>44424</v>
      </c>
      <c r="J14" s="4"/>
    </row>
    <row r="15" spans="2:10" x14ac:dyDescent="0.3">
      <c r="B15" s="6" t="s">
        <v>61</v>
      </c>
      <c r="C15" s="23"/>
      <c r="D15" s="22"/>
      <c r="E15" s="23"/>
      <c r="F15" s="22"/>
      <c r="G15" s="23"/>
      <c r="H15" s="67">
        <f t="shared" si="0"/>
        <v>44424</v>
      </c>
      <c r="J15" s="4"/>
    </row>
    <row r="16" spans="2:10" x14ac:dyDescent="0.3">
      <c r="B16" s="6" t="s">
        <v>19</v>
      </c>
      <c r="C16" s="62">
        <v>180000</v>
      </c>
      <c r="D16" s="22"/>
      <c r="E16" s="22"/>
      <c r="F16" s="22"/>
      <c r="G16" s="22"/>
      <c r="H16" s="12">
        <f t="shared" si="0"/>
        <v>44424</v>
      </c>
    </row>
    <row r="17" spans="1:8" x14ac:dyDescent="0.3">
      <c r="B17" s="6" t="s">
        <v>14</v>
      </c>
      <c r="C17" s="22"/>
      <c r="D17" s="22"/>
      <c r="E17" s="22"/>
      <c r="F17" s="22"/>
      <c r="G17" s="22"/>
      <c r="H17" s="12">
        <f t="shared" si="0"/>
        <v>44424</v>
      </c>
    </row>
    <row r="18" spans="1:8" x14ac:dyDescent="0.3">
      <c r="B18" s="6" t="s">
        <v>24</v>
      </c>
      <c r="C18" s="22"/>
      <c r="D18" s="49"/>
      <c r="E18" s="22"/>
      <c r="F18" s="49"/>
      <c r="G18" s="22"/>
      <c r="H18" s="12">
        <f t="shared" si="0"/>
        <v>44424</v>
      </c>
    </row>
    <row r="19" spans="1:8" x14ac:dyDescent="0.3">
      <c r="B19" s="6" t="s">
        <v>21</v>
      </c>
      <c r="C19" s="22"/>
      <c r="D19" s="22"/>
      <c r="E19" s="22"/>
      <c r="F19" s="22"/>
      <c r="G19" s="22"/>
      <c r="H19" s="12">
        <f t="shared" si="0"/>
        <v>44424</v>
      </c>
    </row>
    <row r="20" spans="1:8" x14ac:dyDescent="0.3">
      <c r="B20" s="6" t="s">
        <v>18</v>
      </c>
      <c r="C20" s="22">
        <v>162000</v>
      </c>
      <c r="D20" s="22"/>
      <c r="E20" s="22"/>
      <c r="F20" s="22"/>
      <c r="G20" s="22"/>
      <c r="H20" s="12">
        <f t="shared" si="0"/>
        <v>44424</v>
      </c>
    </row>
    <row r="21" spans="1:8" x14ac:dyDescent="0.3">
      <c r="B21" s="6" t="s">
        <v>16</v>
      </c>
      <c r="C21" s="22">
        <v>45000</v>
      </c>
      <c r="D21" s="22"/>
      <c r="E21" s="22"/>
      <c r="F21" s="22"/>
      <c r="G21" s="22">
        <v>162000</v>
      </c>
      <c r="H21" s="12">
        <f t="shared" si="0"/>
        <v>44424</v>
      </c>
    </row>
    <row r="22" spans="1:8" x14ac:dyDescent="0.3">
      <c r="B22" s="50" t="s">
        <v>27</v>
      </c>
      <c r="C22" s="51">
        <f>SUM(August16_2021[KSI_AGO])</f>
        <v>387000</v>
      </c>
      <c r="D22" s="51">
        <f>SUBTOTAL(109,August16_2021[KSI_PMS])</f>
        <v>1394000</v>
      </c>
      <c r="E22" s="51">
        <f>SUM(August16_2021[BUIPE_AGO])</f>
        <v>0</v>
      </c>
      <c r="F22" s="51">
        <f>SUM(August16_2021[BUIPE_PMS])</f>
        <v>0</v>
      </c>
      <c r="G22" s="51">
        <f>SUM(August16_2021[AKOSOMBO_AGO])</f>
        <v>531000</v>
      </c>
      <c r="H22" s="52"/>
    </row>
    <row r="23" spans="1:8" x14ac:dyDescent="0.3">
      <c r="B23" s="8"/>
      <c r="C23" s="24"/>
      <c r="D23" s="24"/>
      <c r="E23" s="24"/>
      <c r="F23" s="24"/>
      <c r="G23" s="24"/>
      <c r="H23"/>
    </row>
    <row r="24" spans="1:8" x14ac:dyDescent="0.3">
      <c r="B24" s="1" t="s">
        <v>6</v>
      </c>
      <c r="C24" s="1" t="s">
        <v>4</v>
      </c>
      <c r="D24" s="5">
        <f>SUMIF(August16_2021[[#Headers],[KSI_AGO]:[AKOSOMBO_AGO]],"*"&amp;C24,August16_2021[[#Totals],[KSI_AGO]:[AKOSOMBO_AGO]])</f>
        <v>918000</v>
      </c>
      <c r="E24" s="1" t="s">
        <v>5</v>
      </c>
      <c r="F24" s="5">
        <f>SUMIF(August16_2021[[#Headers],[KSI_AGO]:[AKOSOMBO_AGO]],"*"&amp;E24,August16_2021[[#Totals],[KSI_AGO]:[AKOSOMBO_AGO]])</f>
        <v>1394000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0888C355-3041-481B-88CE-5F98D0AC970F}">
      <formula1>INDIRECT("BDC_List[BDC List]")</formula1>
    </dataValidation>
  </dataValidations>
  <pageMargins left="0.7" right="0.7" top="0.75" bottom="0.75" header="0.3" footer="0.3"/>
  <tableParts count="1">
    <tablePart r:id="rId1"/>
  </tableParts>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95F4E-B78E-4535-898B-73EC679D1933}">
  <sheetPr codeName="Sheet414"/>
  <dimension ref="A1:J34"/>
  <sheetViews>
    <sheetView workbookViewId="0">
      <pane xSplit="2" ySplit="5" topLeftCell="C6" activePane="bottomRight" state="frozen"/>
      <selection pane="topRight" activeCell="C1" sqref="C1"/>
      <selection pane="bottomLeft" activeCell="A6" sqref="A6"/>
      <selection pane="bottomRight" activeCell="B14" sqref="B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44425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44425</v>
      </c>
    </row>
    <row r="7" spans="2:10" x14ac:dyDescent="0.3">
      <c r="B7" s="6" t="s">
        <v>37</v>
      </c>
      <c r="C7" s="49"/>
      <c r="D7" s="22"/>
      <c r="E7" s="22"/>
      <c r="F7" s="22"/>
      <c r="G7" s="22"/>
      <c r="H7" s="67">
        <f t="shared" si="0"/>
        <v>44425</v>
      </c>
    </row>
    <row r="8" spans="2:10" x14ac:dyDescent="0.3">
      <c r="B8" s="6" t="s">
        <v>17</v>
      </c>
      <c r="C8" s="22"/>
      <c r="D8" s="22"/>
      <c r="E8" s="22"/>
      <c r="F8" s="22">
        <v>54000</v>
      </c>
      <c r="G8" s="22">
        <v>108000</v>
      </c>
      <c r="H8" s="12">
        <f t="shared" si="0"/>
        <v>44425</v>
      </c>
    </row>
    <row r="9" spans="2:10" ht="15.6" x14ac:dyDescent="0.3">
      <c r="B9" s="34" t="s">
        <v>0</v>
      </c>
      <c r="C9" s="60"/>
      <c r="D9" s="46"/>
      <c r="E9" s="60"/>
      <c r="F9" s="46">
        <v>162000</v>
      </c>
      <c r="G9" s="61">
        <v>95000</v>
      </c>
      <c r="H9" s="12">
        <f t="shared" si="0"/>
        <v>44425</v>
      </c>
    </row>
    <row r="10" spans="2:10" ht="16.2" customHeight="1" x14ac:dyDescent="0.3">
      <c r="B10" s="6" t="s">
        <v>25</v>
      </c>
      <c r="C10" s="22">
        <v>45000</v>
      </c>
      <c r="D10" s="22">
        <v>1013000</v>
      </c>
      <c r="E10" s="22"/>
      <c r="F10" s="22"/>
      <c r="G10" s="22">
        <v>95000</v>
      </c>
      <c r="H10" s="12">
        <f t="shared" si="0"/>
        <v>44425</v>
      </c>
    </row>
    <row r="11" spans="2:10" ht="13.5" customHeight="1" x14ac:dyDescent="0.3">
      <c r="B11" s="6" t="s">
        <v>15</v>
      </c>
      <c r="C11" s="22"/>
      <c r="D11" s="48"/>
      <c r="E11" s="22"/>
      <c r="F11" s="48"/>
      <c r="G11" s="22"/>
      <c r="H11" s="12">
        <f t="shared" si="0"/>
        <v>44425</v>
      </c>
    </row>
    <row r="12" spans="2:10" x14ac:dyDescent="0.3">
      <c r="B12" s="6" t="s">
        <v>54</v>
      </c>
      <c r="C12" s="22"/>
      <c r="D12" s="22">
        <v>370000</v>
      </c>
      <c r="E12" s="22"/>
      <c r="F12" s="22"/>
      <c r="G12" s="22"/>
      <c r="H12" s="67">
        <f t="shared" si="0"/>
        <v>44425</v>
      </c>
    </row>
    <row r="13" spans="2:10" x14ac:dyDescent="0.3">
      <c r="B13" s="6" t="s">
        <v>26</v>
      </c>
      <c r="C13" s="22"/>
      <c r="D13" s="22"/>
      <c r="E13" s="22"/>
      <c r="F13" s="22"/>
      <c r="G13" s="22"/>
      <c r="H13" s="12">
        <f t="shared" si="0"/>
        <v>44425</v>
      </c>
    </row>
    <row r="14" spans="2:10" x14ac:dyDescent="0.3">
      <c r="B14" s="6" t="s">
        <v>22</v>
      </c>
      <c r="C14" s="23"/>
      <c r="D14" s="22"/>
      <c r="E14" s="23"/>
      <c r="F14" s="22"/>
      <c r="G14" s="23"/>
      <c r="H14" s="12">
        <f t="shared" si="0"/>
        <v>44425</v>
      </c>
      <c r="J14" s="4"/>
    </row>
    <row r="15" spans="2:10" x14ac:dyDescent="0.3">
      <c r="B15" s="6" t="s">
        <v>61</v>
      </c>
      <c r="C15" s="23"/>
      <c r="D15" s="22"/>
      <c r="E15" s="23"/>
      <c r="F15" s="22"/>
      <c r="G15" s="23"/>
      <c r="H15" s="67">
        <f t="shared" si="0"/>
        <v>44425</v>
      </c>
      <c r="J15" s="4"/>
    </row>
    <row r="16" spans="2:10" x14ac:dyDescent="0.3">
      <c r="B16" s="6" t="s">
        <v>19</v>
      </c>
      <c r="C16" s="62">
        <v>643500</v>
      </c>
      <c r="D16" s="22"/>
      <c r="E16" s="22">
        <v>481500</v>
      </c>
      <c r="F16" s="22"/>
      <c r="G16" s="22">
        <v>54000</v>
      </c>
      <c r="H16" s="12">
        <f t="shared" si="0"/>
        <v>44425</v>
      </c>
    </row>
    <row r="17" spans="1:8" x14ac:dyDescent="0.3">
      <c r="B17" s="6" t="s">
        <v>14</v>
      </c>
      <c r="C17" s="22"/>
      <c r="D17" s="22"/>
      <c r="E17" s="22"/>
      <c r="F17" s="22">
        <v>54000</v>
      </c>
      <c r="G17" s="22">
        <v>50000</v>
      </c>
      <c r="H17" s="12">
        <f t="shared" si="0"/>
        <v>44425</v>
      </c>
    </row>
    <row r="18" spans="1:8" x14ac:dyDescent="0.3">
      <c r="B18" s="6" t="s">
        <v>24</v>
      </c>
      <c r="C18" s="22"/>
      <c r="D18" s="49"/>
      <c r="E18" s="22"/>
      <c r="F18" s="49"/>
      <c r="G18" s="22"/>
      <c r="H18" s="12">
        <f t="shared" si="0"/>
        <v>44425</v>
      </c>
    </row>
    <row r="19" spans="1:8" x14ac:dyDescent="0.3">
      <c r="B19" s="6" t="s">
        <v>21</v>
      </c>
      <c r="C19" s="22"/>
      <c r="D19" s="22"/>
      <c r="E19" s="22"/>
      <c r="F19" s="22"/>
      <c r="G19" s="22"/>
      <c r="H19" s="12">
        <f t="shared" si="0"/>
        <v>44425</v>
      </c>
    </row>
    <row r="20" spans="1:8" x14ac:dyDescent="0.3">
      <c r="B20" s="6" t="s">
        <v>18</v>
      </c>
      <c r="C20" s="22"/>
      <c r="D20" s="22"/>
      <c r="E20" s="22"/>
      <c r="F20" s="22"/>
      <c r="G20" s="22"/>
      <c r="H20" s="12">
        <f t="shared" si="0"/>
        <v>44425</v>
      </c>
    </row>
    <row r="21" spans="1:8" x14ac:dyDescent="0.3">
      <c r="B21" s="6" t="s">
        <v>16</v>
      </c>
      <c r="C21" s="22"/>
      <c r="D21" s="22"/>
      <c r="E21" s="22"/>
      <c r="F21" s="22"/>
      <c r="G21" s="22">
        <v>108000</v>
      </c>
      <c r="H21" s="12">
        <f t="shared" si="0"/>
        <v>44425</v>
      </c>
    </row>
    <row r="22" spans="1:8" x14ac:dyDescent="0.3">
      <c r="B22" s="50" t="s">
        <v>27</v>
      </c>
      <c r="C22" s="51">
        <f>SUM(August17_2021405[KSI_AGO])</f>
        <v>688500</v>
      </c>
      <c r="D22" s="51">
        <f>SUBTOTAL(109,August17_2021405[KSI_PMS])</f>
        <v>1383000</v>
      </c>
      <c r="E22" s="51">
        <f>SUM(August17_2021405[BUIPE_AGO])</f>
        <v>481500</v>
      </c>
      <c r="F22" s="51">
        <f>SUM(August17_2021405[BUIPE_PMS])</f>
        <v>270000</v>
      </c>
      <c r="G22" s="51">
        <f>SUM(August17_2021405[AKOSOMBO_AGO])</f>
        <v>510000</v>
      </c>
      <c r="H22" s="52"/>
    </row>
    <row r="23" spans="1:8" x14ac:dyDescent="0.3">
      <c r="B23" s="8"/>
      <c r="C23" s="24"/>
      <c r="D23" s="24"/>
      <c r="E23" s="24"/>
      <c r="F23" s="24"/>
      <c r="G23" s="24"/>
      <c r="H23"/>
    </row>
    <row r="24" spans="1:8" x14ac:dyDescent="0.3">
      <c r="B24" s="1" t="s">
        <v>6</v>
      </c>
      <c r="C24" s="1" t="s">
        <v>4</v>
      </c>
      <c r="D24" s="5">
        <f>SUMIF(August17_2021405[[#Headers],[KSI_AGO]:[AKOSOMBO_AGO]],"*"&amp;C24,August17_2021405[[#Totals],[KSI_AGO]:[AKOSOMBO_AGO]])</f>
        <v>1680000</v>
      </c>
      <c r="E24" s="1" t="s">
        <v>5</v>
      </c>
      <c r="F24" s="5">
        <f>SUMIF(August17_2021405[[#Headers],[KSI_AGO]:[AKOSOMBO_AGO]],"*"&amp;E24,August17_2021405[[#Totals],[KSI_AGO]:[AKOSOMBO_AGO]])</f>
        <v>1653000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9798069-F009-48EF-861E-972CD5330416}">
      <formula1>INDIRECT("BDC_List[BDC List]")</formula1>
    </dataValidation>
  </dataValidations>
  <pageMargins left="0.7" right="0.7" top="0.75" bottom="0.75" header="0.3" footer="0.3"/>
  <tableParts count="1">
    <tablePart r:id="rId1"/>
  </tableParts>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71AF9-02B2-445B-8AFD-2B569DCF37CC}">
  <sheetPr codeName="Sheet415"/>
  <dimension ref="A1:J34"/>
  <sheetViews>
    <sheetView workbookViewId="0">
      <pane xSplit="2" ySplit="5" topLeftCell="C9" activePane="bottomRight" state="frozen"/>
      <selection pane="topRight" activeCell="C1" sqref="C1"/>
      <selection pane="bottomLeft" activeCell="A6" sqref="A6"/>
      <selection pane="bottomRight" activeCell="F13" sqref="F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44426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44426</v>
      </c>
    </row>
    <row r="7" spans="2:10" x14ac:dyDescent="0.3">
      <c r="B7" s="6" t="s">
        <v>37</v>
      </c>
      <c r="C7" s="49"/>
      <c r="D7" s="22"/>
      <c r="E7" s="22"/>
      <c r="F7" s="22"/>
      <c r="G7" s="22"/>
      <c r="H7" s="67">
        <f t="shared" si="0"/>
        <v>44426</v>
      </c>
    </row>
    <row r="8" spans="2:10" x14ac:dyDescent="0.3">
      <c r="B8" s="6" t="s">
        <v>17</v>
      </c>
      <c r="C8" s="22"/>
      <c r="D8" s="22"/>
      <c r="E8" s="22"/>
      <c r="F8" s="22">
        <v>108000</v>
      </c>
      <c r="G8" s="22">
        <v>45000</v>
      </c>
      <c r="H8" s="12">
        <f t="shared" si="0"/>
        <v>44426</v>
      </c>
    </row>
    <row r="9" spans="2:10" ht="15.6" x14ac:dyDescent="0.3">
      <c r="B9" s="34" t="s">
        <v>0</v>
      </c>
      <c r="C9" s="60"/>
      <c r="D9" s="46"/>
      <c r="E9" s="60"/>
      <c r="F9" s="46">
        <v>162000</v>
      </c>
      <c r="G9" s="61"/>
      <c r="H9" s="12">
        <f t="shared" si="0"/>
        <v>44426</v>
      </c>
    </row>
    <row r="10" spans="2:10" ht="16.2" customHeight="1" x14ac:dyDescent="0.3">
      <c r="B10" s="6" t="s">
        <v>25</v>
      </c>
      <c r="C10" s="22">
        <v>45000</v>
      </c>
      <c r="D10" s="22"/>
      <c r="E10" s="22"/>
      <c r="F10" s="22"/>
      <c r="G10" s="22">
        <v>135000</v>
      </c>
      <c r="H10" s="12">
        <f t="shared" si="0"/>
        <v>44426</v>
      </c>
    </row>
    <row r="11" spans="2:10" ht="13.5" customHeight="1" x14ac:dyDescent="0.3">
      <c r="B11" s="6" t="s">
        <v>15</v>
      </c>
      <c r="C11" s="22"/>
      <c r="D11" s="48">
        <v>100000</v>
      </c>
      <c r="E11" s="22"/>
      <c r="F11" s="48">
        <v>108000</v>
      </c>
      <c r="G11" s="22"/>
      <c r="H11" s="12">
        <f t="shared" si="0"/>
        <v>44426</v>
      </c>
    </row>
    <row r="12" spans="2:10" x14ac:dyDescent="0.3">
      <c r="B12" s="6" t="s">
        <v>54</v>
      </c>
      <c r="C12" s="22"/>
      <c r="D12" s="22">
        <v>1022000</v>
      </c>
      <c r="E12" s="22"/>
      <c r="F12" s="22"/>
      <c r="G12" s="22"/>
      <c r="H12" s="67">
        <f t="shared" si="0"/>
        <v>44426</v>
      </c>
    </row>
    <row r="13" spans="2:10" x14ac:dyDescent="0.3">
      <c r="B13" s="6" t="s">
        <v>26</v>
      </c>
      <c r="C13" s="22"/>
      <c r="D13" s="22">
        <v>47000</v>
      </c>
      <c r="E13" s="22"/>
      <c r="F13" s="22"/>
      <c r="G13" s="22"/>
      <c r="H13" s="12">
        <f t="shared" si="0"/>
        <v>44426</v>
      </c>
    </row>
    <row r="14" spans="2:10" x14ac:dyDescent="0.3">
      <c r="B14" s="6" t="s">
        <v>22</v>
      </c>
      <c r="C14" s="23"/>
      <c r="D14" s="22"/>
      <c r="E14" s="23"/>
      <c r="F14" s="22"/>
      <c r="G14" s="23"/>
      <c r="H14" s="12">
        <f t="shared" si="0"/>
        <v>44426</v>
      </c>
      <c r="J14" s="4"/>
    </row>
    <row r="15" spans="2:10" x14ac:dyDescent="0.3">
      <c r="B15" s="6" t="s">
        <v>61</v>
      </c>
      <c r="C15" s="23"/>
      <c r="D15" s="22"/>
      <c r="E15" s="23"/>
      <c r="F15" s="22"/>
      <c r="G15" s="23"/>
      <c r="H15" s="67">
        <f t="shared" si="0"/>
        <v>44426</v>
      </c>
      <c r="J15" s="4"/>
    </row>
    <row r="16" spans="2:10" x14ac:dyDescent="0.3">
      <c r="B16" s="6" t="s">
        <v>19</v>
      </c>
      <c r="C16" s="62">
        <v>324000</v>
      </c>
      <c r="D16" s="22"/>
      <c r="E16" s="22">
        <v>266000</v>
      </c>
      <c r="F16" s="22"/>
      <c r="G16" s="22">
        <v>162000</v>
      </c>
      <c r="H16" s="12">
        <f t="shared" si="0"/>
        <v>44426</v>
      </c>
    </row>
    <row r="17" spans="1:8" x14ac:dyDescent="0.3">
      <c r="B17" s="6" t="s">
        <v>14</v>
      </c>
      <c r="C17" s="22">
        <v>1271000</v>
      </c>
      <c r="D17" s="22"/>
      <c r="E17" s="22">
        <v>216000</v>
      </c>
      <c r="F17" s="22">
        <v>216000</v>
      </c>
      <c r="G17" s="22"/>
      <c r="H17" s="12">
        <f t="shared" si="0"/>
        <v>44426</v>
      </c>
    </row>
    <row r="18" spans="1:8" x14ac:dyDescent="0.3">
      <c r="B18" s="6" t="s">
        <v>24</v>
      </c>
      <c r="C18" s="22"/>
      <c r="D18" s="49"/>
      <c r="E18" s="22"/>
      <c r="F18" s="49"/>
      <c r="G18" s="22"/>
      <c r="H18" s="12">
        <f t="shared" si="0"/>
        <v>44426</v>
      </c>
    </row>
    <row r="19" spans="1:8" x14ac:dyDescent="0.3">
      <c r="B19" s="6" t="s">
        <v>21</v>
      </c>
      <c r="C19" s="22"/>
      <c r="D19" s="22"/>
      <c r="E19" s="22"/>
      <c r="F19" s="22"/>
      <c r="G19" s="22"/>
      <c r="H19" s="12">
        <f t="shared" si="0"/>
        <v>44426</v>
      </c>
    </row>
    <row r="20" spans="1:8" x14ac:dyDescent="0.3">
      <c r="B20" s="6" t="s">
        <v>18</v>
      </c>
      <c r="C20" s="22"/>
      <c r="D20" s="22"/>
      <c r="E20" s="22"/>
      <c r="F20" s="22"/>
      <c r="G20" s="22"/>
      <c r="H20" s="12">
        <f t="shared" si="0"/>
        <v>44426</v>
      </c>
    </row>
    <row r="21" spans="1:8" x14ac:dyDescent="0.3">
      <c r="B21" s="6" t="s">
        <v>16</v>
      </c>
      <c r="C21" s="22"/>
      <c r="D21" s="22"/>
      <c r="E21" s="22"/>
      <c r="F21" s="22"/>
      <c r="G21" s="22"/>
      <c r="H21" s="12">
        <f t="shared" si="0"/>
        <v>44426</v>
      </c>
    </row>
    <row r="22" spans="1:8" x14ac:dyDescent="0.3">
      <c r="B22" s="50" t="s">
        <v>27</v>
      </c>
      <c r="C22" s="51">
        <f>SUM(August18_2021[KSI_AGO])</f>
        <v>1640000</v>
      </c>
      <c r="D22" s="51">
        <f>SUBTOTAL(109,August18_2021[KSI_PMS])</f>
        <v>1169000</v>
      </c>
      <c r="E22" s="51">
        <f>SUM(August18_2021[BUIPE_AGO])</f>
        <v>482000</v>
      </c>
      <c r="F22" s="51">
        <f>SUM(August18_2021[BUIPE_PMS])</f>
        <v>594000</v>
      </c>
      <c r="G22" s="51">
        <f>SUM(August18_2021[AKOSOMBO_AGO])</f>
        <v>342000</v>
      </c>
      <c r="H22" s="52"/>
    </row>
    <row r="23" spans="1:8" x14ac:dyDescent="0.3">
      <c r="B23" s="8"/>
      <c r="C23" s="24"/>
      <c r="D23" s="24"/>
      <c r="E23" s="24"/>
      <c r="F23" s="24"/>
      <c r="G23" s="24"/>
      <c r="H23"/>
    </row>
    <row r="24" spans="1:8" x14ac:dyDescent="0.3">
      <c r="B24" s="1" t="s">
        <v>6</v>
      </c>
      <c r="C24" s="1" t="s">
        <v>4</v>
      </c>
      <c r="D24" s="5">
        <f>SUMIF(August18_2021[[#Headers],[KSI_AGO]:[AKOSOMBO_AGO]],"*"&amp;C24,August18_2021[[#Totals],[KSI_AGO]:[AKOSOMBO_AGO]])</f>
        <v>2464000</v>
      </c>
      <c r="E24" s="1" t="s">
        <v>5</v>
      </c>
      <c r="F24" s="5">
        <f>SUMIF(August18_2021[[#Headers],[KSI_AGO]:[AKOSOMBO_AGO]],"*"&amp;E24,August18_2021[[#Totals],[KSI_AGO]:[AKOSOMBO_AGO]])</f>
        <v>1763000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55E99238-F528-40AB-B307-0E56390D24F0}">
      <formula1>INDIRECT("BDC_List[BDC List]")</formula1>
    </dataValidation>
  </dataValidations>
  <pageMargins left="0.7" right="0.7" top="0.75" bottom="0.75" header="0.3" footer="0.3"/>
  <tableParts count="1">
    <tablePart r:id="rId1"/>
  </tableParts>
</worksheet>
</file>

<file path=xl/worksheets/sheet4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445A3-1C33-4571-9D43-977DC5E29D64}">
  <sheetPr codeName="Sheet416"/>
  <dimension ref="A1:J34"/>
  <sheetViews>
    <sheetView workbookViewId="0">
      <pane xSplit="2" ySplit="5" topLeftCell="C6" activePane="bottomRight" state="frozen"/>
      <selection pane="topRight" activeCell="C1" sqref="C1"/>
      <selection pane="bottomLeft" activeCell="A6" sqref="A6"/>
      <selection pane="bottomRight" activeCell="F12" sqref="F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44427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44427</v>
      </c>
    </row>
    <row r="7" spans="2:10" x14ac:dyDescent="0.3">
      <c r="B7" s="6" t="s">
        <v>37</v>
      </c>
      <c r="C7" s="49"/>
      <c r="D7" s="22">
        <v>594000</v>
      </c>
      <c r="E7" s="22"/>
      <c r="F7" s="22"/>
      <c r="G7" s="22"/>
      <c r="H7" s="67">
        <f t="shared" si="0"/>
        <v>44427</v>
      </c>
    </row>
    <row r="8" spans="2:10" x14ac:dyDescent="0.3">
      <c r="B8" s="6" t="s">
        <v>17</v>
      </c>
      <c r="C8" s="22"/>
      <c r="D8" s="22"/>
      <c r="E8" s="22"/>
      <c r="F8" s="22"/>
      <c r="G8" s="22"/>
      <c r="H8" s="12">
        <f t="shared" si="0"/>
        <v>44427</v>
      </c>
    </row>
    <row r="9" spans="2:10" ht="15.6" x14ac:dyDescent="0.3">
      <c r="B9" s="34" t="s">
        <v>0</v>
      </c>
      <c r="C9" s="60"/>
      <c r="D9" s="46"/>
      <c r="E9" s="60"/>
      <c r="F9" s="46"/>
      <c r="G9" s="61"/>
      <c r="H9" s="12">
        <f t="shared" si="0"/>
        <v>44427</v>
      </c>
    </row>
    <row r="10" spans="2:10" ht="16.2" customHeight="1" x14ac:dyDescent="0.3">
      <c r="B10" s="6" t="s">
        <v>25</v>
      </c>
      <c r="C10" s="22"/>
      <c r="D10" s="22"/>
      <c r="E10" s="22"/>
      <c r="F10" s="22"/>
      <c r="G10" s="22"/>
      <c r="H10" s="12">
        <f t="shared" si="0"/>
        <v>44427</v>
      </c>
    </row>
    <row r="11" spans="2:10" ht="13.5" customHeight="1" x14ac:dyDescent="0.3">
      <c r="B11" s="6" t="s">
        <v>15</v>
      </c>
      <c r="C11" s="22"/>
      <c r="D11" s="48"/>
      <c r="E11" s="22"/>
      <c r="F11" s="48"/>
      <c r="G11" s="22"/>
      <c r="H11" s="12">
        <f t="shared" si="0"/>
        <v>44427</v>
      </c>
    </row>
    <row r="12" spans="2:10" x14ac:dyDescent="0.3">
      <c r="B12" s="6" t="s">
        <v>54</v>
      </c>
      <c r="C12" s="22"/>
      <c r="D12" s="22"/>
      <c r="E12" s="22"/>
      <c r="F12" s="22"/>
      <c r="G12" s="22"/>
      <c r="H12" s="67">
        <f t="shared" si="0"/>
        <v>44427</v>
      </c>
    </row>
    <row r="13" spans="2:10" x14ac:dyDescent="0.3">
      <c r="B13" s="6" t="s">
        <v>26</v>
      </c>
      <c r="C13" s="22"/>
      <c r="D13" s="22"/>
      <c r="E13" s="22"/>
      <c r="F13" s="22"/>
      <c r="G13" s="22"/>
      <c r="H13" s="12">
        <f t="shared" si="0"/>
        <v>44427</v>
      </c>
    </row>
    <row r="14" spans="2:10" x14ac:dyDescent="0.3">
      <c r="B14" s="6" t="s">
        <v>22</v>
      </c>
      <c r="C14" s="23"/>
      <c r="D14" s="22"/>
      <c r="E14" s="23"/>
      <c r="F14" s="22"/>
      <c r="G14" s="23"/>
      <c r="H14" s="12">
        <f t="shared" si="0"/>
        <v>44427</v>
      </c>
      <c r="J14" s="4"/>
    </row>
    <row r="15" spans="2:10" x14ac:dyDescent="0.3">
      <c r="B15" s="6" t="s">
        <v>61</v>
      </c>
      <c r="C15" s="23"/>
      <c r="D15" s="22"/>
      <c r="E15" s="23"/>
      <c r="F15" s="22"/>
      <c r="G15" s="23"/>
      <c r="H15" s="67">
        <f t="shared" si="0"/>
        <v>44427</v>
      </c>
      <c r="J15" s="4"/>
    </row>
    <row r="16" spans="2:10" x14ac:dyDescent="0.3">
      <c r="B16" s="6" t="s">
        <v>19</v>
      </c>
      <c r="C16" s="22">
        <v>850500</v>
      </c>
      <c r="D16" s="22">
        <v>900000</v>
      </c>
      <c r="E16" s="22">
        <v>270000</v>
      </c>
      <c r="F16" s="22"/>
      <c r="G16" s="22">
        <v>54000</v>
      </c>
      <c r="H16" s="12">
        <f t="shared" si="0"/>
        <v>44427</v>
      </c>
    </row>
    <row r="17" spans="1:8" x14ac:dyDescent="0.3">
      <c r="B17" s="6" t="s">
        <v>14</v>
      </c>
      <c r="C17" s="22">
        <v>586000</v>
      </c>
      <c r="D17" s="22">
        <v>90000</v>
      </c>
      <c r="E17" s="22">
        <v>216000</v>
      </c>
      <c r="F17" s="22"/>
      <c r="G17" s="22"/>
      <c r="H17" s="12">
        <f t="shared" si="0"/>
        <v>44427</v>
      </c>
    </row>
    <row r="18" spans="1:8" x14ac:dyDescent="0.3">
      <c r="B18" s="6" t="s">
        <v>24</v>
      </c>
      <c r="C18" s="22"/>
      <c r="D18" s="49"/>
      <c r="E18" s="22"/>
      <c r="F18" s="49"/>
      <c r="G18" s="22"/>
      <c r="H18" s="12">
        <f t="shared" si="0"/>
        <v>44427</v>
      </c>
    </row>
    <row r="19" spans="1:8" x14ac:dyDescent="0.3">
      <c r="B19" s="6" t="s">
        <v>21</v>
      </c>
      <c r="C19" s="22"/>
      <c r="D19" s="22"/>
      <c r="E19" s="22"/>
      <c r="F19" s="22"/>
      <c r="G19" s="22"/>
      <c r="H19" s="12">
        <f t="shared" si="0"/>
        <v>44427</v>
      </c>
    </row>
    <row r="20" spans="1:8" x14ac:dyDescent="0.3">
      <c r="B20" s="6" t="s">
        <v>18</v>
      </c>
      <c r="C20" s="22"/>
      <c r="D20" s="22"/>
      <c r="E20" s="22"/>
      <c r="F20" s="22"/>
      <c r="G20" s="22"/>
      <c r="H20" s="12">
        <f t="shared" si="0"/>
        <v>44427</v>
      </c>
    </row>
    <row r="21" spans="1:8" x14ac:dyDescent="0.3">
      <c r="B21" s="6" t="s">
        <v>16</v>
      </c>
      <c r="C21" s="22"/>
      <c r="D21" s="22"/>
      <c r="E21" s="22"/>
      <c r="F21" s="22"/>
      <c r="G21" s="22">
        <v>90000</v>
      </c>
      <c r="H21" s="12">
        <f t="shared" si="0"/>
        <v>44427</v>
      </c>
    </row>
    <row r="22" spans="1:8" x14ac:dyDescent="0.3">
      <c r="B22" s="50" t="s">
        <v>27</v>
      </c>
      <c r="C22" s="51">
        <f>SUM(August19_2021[KSI_AGO])</f>
        <v>1436500</v>
      </c>
      <c r="D22" s="51">
        <f>SUBTOTAL(109,August19_2021[KSI_PMS])</f>
        <v>1584000</v>
      </c>
      <c r="E22" s="51">
        <f>SUM(August19_2021[BUIPE_AGO])</f>
        <v>486000</v>
      </c>
      <c r="F22" s="51">
        <f>SUM(August19_2021[BUIPE_PMS])</f>
        <v>0</v>
      </c>
      <c r="G22" s="51">
        <f>SUM(August19_2021[AKOSOMBO_AGO])</f>
        <v>144000</v>
      </c>
      <c r="H22" s="52"/>
    </row>
    <row r="23" spans="1:8" x14ac:dyDescent="0.3">
      <c r="B23" s="8"/>
      <c r="C23" s="24"/>
      <c r="D23" s="24"/>
      <c r="E23" s="24"/>
      <c r="F23" s="24"/>
      <c r="G23" s="24"/>
      <c r="H23"/>
    </row>
    <row r="24" spans="1:8" x14ac:dyDescent="0.3">
      <c r="B24" s="1" t="s">
        <v>6</v>
      </c>
      <c r="C24" s="1" t="s">
        <v>4</v>
      </c>
      <c r="D24" s="5">
        <f>SUMIF(August19_2021[[#Headers],[KSI_AGO]:[AKOSOMBO_AGO]],"*"&amp;C24,August19_2021[[#Totals],[KSI_AGO]:[AKOSOMBO_AGO]])</f>
        <v>2066500</v>
      </c>
      <c r="E24" s="1" t="s">
        <v>5</v>
      </c>
      <c r="F24" s="5">
        <f>SUMIF(August19_2021[[#Headers],[KSI_AGO]:[AKOSOMBO_AGO]],"*"&amp;E24,August19_2021[[#Totals],[KSI_AGO]:[AKOSOMBO_AGO]])</f>
        <v>1584000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B8E643D2-3DFF-422B-B953-7BECCB7FB3A5}">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4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4A72A-9167-4B6E-AB8C-62BB16A95EEF}">
  <sheetPr codeName="Sheet417"/>
  <dimension ref="A1:J34"/>
  <sheetViews>
    <sheetView workbookViewId="0">
      <selection activeCell="F15" sqref="F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44428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44428</v>
      </c>
    </row>
    <row r="7" spans="2:10" x14ac:dyDescent="0.3">
      <c r="B7" s="6" t="s">
        <v>37</v>
      </c>
      <c r="C7" s="49"/>
      <c r="D7" s="22">
        <v>644000</v>
      </c>
      <c r="E7" s="22"/>
      <c r="F7" s="22"/>
      <c r="G7" s="22"/>
      <c r="H7" s="67">
        <f t="shared" si="0"/>
        <v>44428</v>
      </c>
    </row>
    <row r="8" spans="2:10" x14ac:dyDescent="0.3">
      <c r="B8" s="6" t="s">
        <v>17</v>
      </c>
      <c r="C8" s="22"/>
      <c r="D8" s="22"/>
      <c r="E8" s="22"/>
      <c r="F8" s="22"/>
      <c r="G8" s="22">
        <v>53000</v>
      </c>
      <c r="H8" s="12">
        <f t="shared" si="0"/>
        <v>44428</v>
      </c>
    </row>
    <row r="9" spans="2:10" ht="15.6" x14ac:dyDescent="0.3">
      <c r="B9" s="34" t="s">
        <v>0</v>
      </c>
      <c r="C9" s="60"/>
      <c r="D9" s="46"/>
      <c r="E9" s="60"/>
      <c r="F9" s="46"/>
      <c r="G9" s="61"/>
      <c r="H9" s="12">
        <f t="shared" si="0"/>
        <v>44428</v>
      </c>
    </row>
    <row r="10" spans="2:10" ht="16.2" customHeight="1" x14ac:dyDescent="0.3">
      <c r="B10" s="6" t="s">
        <v>25</v>
      </c>
      <c r="C10" s="22"/>
      <c r="D10" s="22"/>
      <c r="E10" s="22"/>
      <c r="F10" s="22"/>
      <c r="G10" s="22"/>
      <c r="H10" s="12">
        <f t="shared" si="0"/>
        <v>44428</v>
      </c>
    </row>
    <row r="11" spans="2:10" ht="13.5" customHeight="1" x14ac:dyDescent="0.3">
      <c r="B11" s="6" t="s">
        <v>15</v>
      </c>
      <c r="C11" s="22"/>
      <c r="D11" s="48"/>
      <c r="E11" s="22"/>
      <c r="F11" s="48"/>
      <c r="G11" s="22"/>
      <c r="H11" s="12">
        <f t="shared" si="0"/>
        <v>44428</v>
      </c>
    </row>
    <row r="12" spans="2:10" x14ac:dyDescent="0.3">
      <c r="B12" s="6" t="s">
        <v>54</v>
      </c>
      <c r="C12" s="22"/>
      <c r="D12" s="22"/>
      <c r="E12" s="22"/>
      <c r="F12" s="22"/>
      <c r="G12" s="22"/>
      <c r="H12" s="67">
        <f t="shared" si="0"/>
        <v>44428</v>
      </c>
    </row>
    <row r="13" spans="2:10" x14ac:dyDescent="0.3">
      <c r="B13" s="6" t="s">
        <v>26</v>
      </c>
      <c r="C13" s="22"/>
      <c r="D13" s="22"/>
      <c r="E13" s="22"/>
      <c r="F13" s="22"/>
      <c r="G13" s="22"/>
      <c r="H13" s="12">
        <f t="shared" si="0"/>
        <v>44428</v>
      </c>
    </row>
    <row r="14" spans="2:10" x14ac:dyDescent="0.3">
      <c r="B14" s="6" t="s">
        <v>22</v>
      </c>
      <c r="C14" s="23"/>
      <c r="D14" s="22"/>
      <c r="E14" s="23"/>
      <c r="F14" s="22"/>
      <c r="G14" s="23"/>
      <c r="H14" s="12">
        <f t="shared" si="0"/>
        <v>44428</v>
      </c>
      <c r="J14" s="4"/>
    </row>
    <row r="15" spans="2:10" x14ac:dyDescent="0.3">
      <c r="B15" s="6" t="s">
        <v>61</v>
      </c>
      <c r="C15" s="23"/>
      <c r="D15" s="22"/>
      <c r="E15" s="23"/>
      <c r="F15" s="22"/>
      <c r="G15" s="23"/>
      <c r="H15" s="67">
        <f t="shared" si="0"/>
        <v>44428</v>
      </c>
      <c r="J15" s="4"/>
    </row>
    <row r="16" spans="2:10" x14ac:dyDescent="0.3">
      <c r="B16" s="6" t="s">
        <v>19</v>
      </c>
      <c r="C16" s="22">
        <v>90000</v>
      </c>
      <c r="D16" s="22">
        <v>108000</v>
      </c>
      <c r="E16" s="22">
        <v>478000</v>
      </c>
      <c r="F16" s="22"/>
      <c r="G16" s="22">
        <v>185000</v>
      </c>
      <c r="H16" s="12">
        <f t="shared" si="0"/>
        <v>44428</v>
      </c>
    </row>
    <row r="17" spans="1:8" x14ac:dyDescent="0.3">
      <c r="B17" s="6" t="s">
        <v>14</v>
      </c>
      <c r="C17" s="22">
        <v>50000</v>
      </c>
      <c r="D17" s="22"/>
      <c r="E17" s="22">
        <v>216000</v>
      </c>
      <c r="F17" s="22"/>
      <c r="G17" s="22">
        <v>45000</v>
      </c>
      <c r="H17" s="12">
        <f t="shared" si="0"/>
        <v>44428</v>
      </c>
    </row>
    <row r="18" spans="1:8" x14ac:dyDescent="0.3">
      <c r="B18" s="6" t="s">
        <v>24</v>
      </c>
      <c r="C18" s="22"/>
      <c r="D18" s="49"/>
      <c r="E18" s="22"/>
      <c r="F18" s="49"/>
      <c r="G18" s="22"/>
      <c r="H18" s="12">
        <f t="shared" si="0"/>
        <v>44428</v>
      </c>
    </row>
    <row r="19" spans="1:8" x14ac:dyDescent="0.3">
      <c r="B19" s="6" t="s">
        <v>21</v>
      </c>
      <c r="C19" s="22"/>
      <c r="D19" s="22"/>
      <c r="E19" s="22"/>
      <c r="F19" s="22"/>
      <c r="G19" s="22"/>
      <c r="H19" s="12">
        <f t="shared" si="0"/>
        <v>44428</v>
      </c>
    </row>
    <row r="20" spans="1:8" x14ac:dyDescent="0.3">
      <c r="B20" s="6" t="s">
        <v>18</v>
      </c>
      <c r="C20" s="22"/>
      <c r="D20" s="22"/>
      <c r="E20" s="22"/>
      <c r="F20" s="22"/>
      <c r="G20" s="22"/>
      <c r="H20" s="12">
        <f t="shared" si="0"/>
        <v>44428</v>
      </c>
    </row>
    <row r="21" spans="1:8" x14ac:dyDescent="0.3">
      <c r="B21" s="6" t="s">
        <v>16</v>
      </c>
      <c r="C21" s="22"/>
      <c r="D21" s="22"/>
      <c r="E21" s="22"/>
      <c r="F21" s="22"/>
      <c r="G21" s="22"/>
      <c r="H21" s="12">
        <f t="shared" si="0"/>
        <v>44428</v>
      </c>
    </row>
    <row r="22" spans="1:8" x14ac:dyDescent="0.3">
      <c r="B22" s="50" t="s">
        <v>27</v>
      </c>
      <c r="C22" s="51">
        <f>SUM(August20_2021[KSI_AGO])</f>
        <v>140000</v>
      </c>
      <c r="D22" s="51">
        <f>SUBTOTAL(109,August20_2021[KSI_PMS])</f>
        <v>752000</v>
      </c>
      <c r="E22" s="51">
        <f>SUM(August20_2021[BUIPE_AGO])</f>
        <v>694000</v>
      </c>
      <c r="F22" s="51">
        <f>SUM(August20_2021[BUIPE_PMS])</f>
        <v>0</v>
      </c>
      <c r="G22" s="51">
        <f>SUM(August20_2021[AKOSOMBO_AGO])</f>
        <v>283000</v>
      </c>
      <c r="H22" s="52"/>
    </row>
    <row r="23" spans="1:8" x14ac:dyDescent="0.3">
      <c r="B23" s="8"/>
      <c r="C23" s="24"/>
      <c r="D23" s="24"/>
      <c r="E23" s="24"/>
      <c r="F23" s="24"/>
      <c r="G23" s="24"/>
      <c r="H23"/>
    </row>
    <row r="24" spans="1:8" x14ac:dyDescent="0.3">
      <c r="B24" s="1" t="s">
        <v>6</v>
      </c>
      <c r="C24" s="1" t="s">
        <v>4</v>
      </c>
      <c r="D24" s="5">
        <f>SUMIF(August20_2021[[#Headers],[KSI_AGO]:[AKOSOMBO_AGO]],"*"&amp;C24,August20_2021[[#Totals],[KSI_AGO]:[AKOSOMBO_AGO]])</f>
        <v>1117000</v>
      </c>
      <c r="E24" s="1" t="s">
        <v>5</v>
      </c>
      <c r="F24" s="5">
        <f>SUMIF(August20_2021[[#Headers],[KSI_AGO]:[AKOSOMBO_AGO]],"*"&amp;E24,August20_2021[[#Totals],[KSI_AGO]:[AKOSOMBO_AGO]])</f>
        <v>752000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B97D524B-19E4-4302-A19D-1F2F18088B4D}">
      <formula1>INDIRECT("BDC_List[BDC List]")</formula1>
    </dataValidation>
  </dataValidations>
  <pageMargins left="0.7" right="0.7" top="0.75" bottom="0.75" header="0.3" footer="0.3"/>
  <legacyDrawing r:id="rId1"/>
  <tableParts count="1">
    <tablePart r:id="rId2"/>
  </tableParts>
</worksheet>
</file>

<file path=xl/worksheets/sheet4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9FD16-31BC-42F4-ADC0-8ACE850A4CDB}">
  <sheetPr codeName="Sheet418"/>
  <dimension ref="A1:J34"/>
  <sheetViews>
    <sheetView workbookViewId="0">
      <pane xSplit="2" ySplit="5" topLeftCell="C6" activePane="bottomRight" state="frozen"/>
      <selection pane="topRight" activeCell="C1" sqref="C1"/>
      <selection pane="bottomLeft" activeCell="A6" sqref="A6"/>
      <selection pane="bottomRight" activeCell="F13" sqref="F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44431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44431</v>
      </c>
    </row>
    <row r="7" spans="2:10" x14ac:dyDescent="0.3">
      <c r="B7" s="6" t="s">
        <v>37</v>
      </c>
      <c r="C7" s="49"/>
      <c r="D7" s="22"/>
      <c r="E7" s="22"/>
      <c r="F7" s="22"/>
      <c r="G7" s="22"/>
      <c r="H7" s="67">
        <f t="shared" si="0"/>
        <v>44431</v>
      </c>
    </row>
    <row r="8" spans="2:10" x14ac:dyDescent="0.3">
      <c r="B8" s="6" t="s">
        <v>17</v>
      </c>
      <c r="C8" s="22"/>
      <c r="D8" s="22"/>
      <c r="E8" s="22"/>
      <c r="F8" s="22"/>
      <c r="G8" s="22"/>
      <c r="H8" s="12">
        <f t="shared" si="0"/>
        <v>44431</v>
      </c>
    </row>
    <row r="9" spans="2:10" ht="15.6" x14ac:dyDescent="0.3">
      <c r="B9" s="34" t="s">
        <v>0</v>
      </c>
      <c r="C9" s="60"/>
      <c r="D9" s="46"/>
      <c r="E9" s="60"/>
      <c r="F9" s="46"/>
      <c r="G9" s="61"/>
      <c r="H9" s="12">
        <f t="shared" si="0"/>
        <v>44431</v>
      </c>
    </row>
    <row r="10" spans="2:10" ht="16.2" customHeight="1" x14ac:dyDescent="0.3">
      <c r="B10" s="6" t="s">
        <v>25</v>
      </c>
      <c r="C10" s="22"/>
      <c r="D10" s="22"/>
      <c r="E10" s="22"/>
      <c r="F10" s="22"/>
      <c r="G10" s="22"/>
      <c r="H10" s="12">
        <f t="shared" si="0"/>
        <v>44431</v>
      </c>
    </row>
    <row r="11" spans="2:10" ht="13.5" customHeight="1" x14ac:dyDescent="0.3">
      <c r="B11" s="6" t="s">
        <v>15</v>
      </c>
      <c r="C11" s="22">
        <v>1670000</v>
      </c>
      <c r="D11" s="48"/>
      <c r="E11" s="22">
        <v>207000</v>
      </c>
      <c r="F11" s="48"/>
      <c r="G11" s="22"/>
      <c r="H11" s="12">
        <f t="shared" si="0"/>
        <v>44431</v>
      </c>
    </row>
    <row r="12" spans="2:10" x14ac:dyDescent="0.3">
      <c r="B12" s="6" t="s">
        <v>54</v>
      </c>
      <c r="C12" s="22"/>
      <c r="D12" s="22"/>
      <c r="E12" s="22"/>
      <c r="F12" s="22"/>
      <c r="G12" s="22"/>
      <c r="H12" s="67">
        <f t="shared" si="0"/>
        <v>44431</v>
      </c>
    </row>
    <row r="13" spans="2:10" x14ac:dyDescent="0.3">
      <c r="B13" s="6" t="s">
        <v>26</v>
      </c>
      <c r="C13" s="22"/>
      <c r="D13" s="22"/>
      <c r="E13" s="22"/>
      <c r="F13" s="22"/>
      <c r="G13" s="22"/>
      <c r="H13" s="12">
        <f t="shared" si="0"/>
        <v>44431</v>
      </c>
    </row>
    <row r="14" spans="2:10" x14ac:dyDescent="0.3">
      <c r="B14" s="6" t="s">
        <v>22</v>
      </c>
      <c r="C14" s="23"/>
      <c r="D14" s="22"/>
      <c r="E14" s="23"/>
      <c r="F14" s="22"/>
      <c r="G14" s="23"/>
      <c r="H14" s="12">
        <f t="shared" si="0"/>
        <v>44431</v>
      </c>
      <c r="J14" s="4"/>
    </row>
    <row r="15" spans="2:10" x14ac:dyDescent="0.3">
      <c r="B15" s="6" t="s">
        <v>61</v>
      </c>
      <c r="C15" s="23"/>
      <c r="D15" s="22"/>
      <c r="E15" s="23"/>
      <c r="F15" s="22"/>
      <c r="G15" s="23"/>
      <c r="H15" s="67">
        <f t="shared" si="0"/>
        <v>44431</v>
      </c>
      <c r="J15" s="4"/>
    </row>
    <row r="16" spans="2:10" x14ac:dyDescent="0.3">
      <c r="B16" s="6" t="s">
        <v>19</v>
      </c>
      <c r="C16" s="22"/>
      <c r="D16" s="22">
        <v>54000</v>
      </c>
      <c r="E16" s="22"/>
      <c r="F16" s="22"/>
      <c r="G16" s="22">
        <v>45000</v>
      </c>
      <c r="H16" s="12">
        <f t="shared" si="0"/>
        <v>44431</v>
      </c>
    </row>
    <row r="17" spans="1:8" x14ac:dyDescent="0.3">
      <c r="B17" s="6" t="s">
        <v>14</v>
      </c>
      <c r="C17" s="22"/>
      <c r="D17" s="22">
        <v>1350000</v>
      </c>
      <c r="E17" s="22"/>
      <c r="F17" s="22"/>
      <c r="G17" s="22">
        <v>45000</v>
      </c>
      <c r="H17" s="12">
        <f t="shared" si="0"/>
        <v>44431</v>
      </c>
    </row>
    <row r="18" spans="1:8" x14ac:dyDescent="0.3">
      <c r="B18" s="6" t="s">
        <v>24</v>
      </c>
      <c r="C18" s="22"/>
      <c r="D18" s="49"/>
      <c r="E18" s="22"/>
      <c r="F18" s="49"/>
      <c r="G18" s="22"/>
      <c r="H18" s="12">
        <f t="shared" si="0"/>
        <v>44431</v>
      </c>
    </row>
    <row r="19" spans="1:8" x14ac:dyDescent="0.3">
      <c r="B19" s="6" t="s">
        <v>21</v>
      </c>
      <c r="C19" s="22"/>
      <c r="D19" s="22"/>
      <c r="E19" s="22"/>
      <c r="F19" s="22"/>
      <c r="G19" s="22"/>
      <c r="H19" s="12">
        <f t="shared" si="0"/>
        <v>44431</v>
      </c>
    </row>
    <row r="20" spans="1:8" x14ac:dyDescent="0.3">
      <c r="B20" s="6" t="s">
        <v>18</v>
      </c>
      <c r="C20" s="22"/>
      <c r="D20" s="22"/>
      <c r="E20" s="22"/>
      <c r="F20" s="22"/>
      <c r="G20" s="22"/>
      <c r="H20" s="12">
        <f t="shared" si="0"/>
        <v>44431</v>
      </c>
    </row>
    <row r="21" spans="1:8" x14ac:dyDescent="0.3">
      <c r="B21" s="6" t="s">
        <v>16</v>
      </c>
      <c r="C21" s="22"/>
      <c r="D21" s="22"/>
      <c r="E21" s="22"/>
      <c r="F21" s="22"/>
      <c r="G21" s="22"/>
      <c r="H21" s="12">
        <f t="shared" si="0"/>
        <v>44431</v>
      </c>
    </row>
    <row r="22" spans="1:8" x14ac:dyDescent="0.3">
      <c r="B22" s="50" t="s">
        <v>27</v>
      </c>
      <c r="C22" s="51">
        <f>SUM(August23_2021[KSI_AGO])</f>
        <v>1670000</v>
      </c>
      <c r="D22" s="51">
        <f>SUBTOTAL(109,August23_2021[KSI_PMS])</f>
        <v>1404000</v>
      </c>
      <c r="E22" s="51">
        <f>SUM(August23_2021[BUIPE_AGO])</f>
        <v>207000</v>
      </c>
      <c r="F22" s="51">
        <f>SUM(August23_2021[BUIPE_PMS])</f>
        <v>0</v>
      </c>
      <c r="G22" s="51">
        <f>SUM(August23_2021[AKOSOMBO_AGO])</f>
        <v>90000</v>
      </c>
      <c r="H22" s="52"/>
    </row>
    <row r="23" spans="1:8" x14ac:dyDescent="0.3">
      <c r="B23" s="8"/>
      <c r="C23" s="24"/>
      <c r="D23" s="24"/>
      <c r="E23" s="24"/>
      <c r="F23" s="24"/>
      <c r="G23" s="24"/>
      <c r="H23"/>
    </row>
    <row r="24" spans="1:8" x14ac:dyDescent="0.3">
      <c r="B24" s="1" t="s">
        <v>6</v>
      </c>
      <c r="C24" s="1" t="s">
        <v>4</v>
      </c>
      <c r="D24" s="5">
        <f>SUMIF(August23_2021[[#Headers],[KSI_AGO]:[AKOSOMBO_AGO]],"*"&amp;C24,August23_2021[[#Totals],[KSI_AGO]:[AKOSOMBO_AGO]])</f>
        <v>1967000</v>
      </c>
      <c r="E24" s="1" t="s">
        <v>5</v>
      </c>
      <c r="F24" s="5">
        <f>SUMIF(August23_2021[[#Headers],[KSI_AGO]:[AKOSOMBO_AGO]],"*"&amp;E24,August23_2021[[#Totals],[KSI_AGO]:[AKOSOMBO_AGO]])</f>
        <v>1404000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BD5D6BBD-CCDA-4618-A608-20ACC76757ED}">
      <formula1>INDIRECT("BDC_List[BDC List]")</formula1>
    </dataValidation>
  </dataValidations>
  <pageMargins left="0.7" right="0.7" top="0.75" bottom="0.75" header="0.3" footer="0.3"/>
  <legacyDrawing r:id="rId1"/>
  <tableParts count="1">
    <tablePart r:id="rId2"/>
  </tableParts>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E799-9C8C-4D6A-ACA6-BFBEB55B2E7F}">
  <sheetPr codeName="Sheet419"/>
  <dimension ref="A1:J34"/>
  <sheetViews>
    <sheetView workbookViewId="0">
      <selection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44432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44432</v>
      </c>
    </row>
    <row r="7" spans="2:10" x14ac:dyDescent="0.3">
      <c r="B7" s="6" t="s">
        <v>37</v>
      </c>
      <c r="C7" s="49"/>
      <c r="D7" s="22">
        <v>153000</v>
      </c>
      <c r="E7" s="22"/>
      <c r="F7" s="22"/>
      <c r="G7" s="22"/>
      <c r="H7" s="67">
        <f t="shared" si="0"/>
        <v>44432</v>
      </c>
    </row>
    <row r="8" spans="2:10" x14ac:dyDescent="0.3">
      <c r="B8" s="6" t="s">
        <v>17</v>
      </c>
      <c r="C8" s="22"/>
      <c r="D8" s="22"/>
      <c r="E8" s="22"/>
      <c r="F8" s="22"/>
      <c r="G8" s="22"/>
      <c r="H8" s="12">
        <f t="shared" si="0"/>
        <v>44432</v>
      </c>
    </row>
    <row r="9" spans="2:10" ht="15.6" x14ac:dyDescent="0.3">
      <c r="B9" s="34" t="s">
        <v>0</v>
      </c>
      <c r="C9" s="60"/>
      <c r="D9" s="46"/>
      <c r="E9" s="60"/>
      <c r="F9" s="46"/>
      <c r="G9" s="61"/>
      <c r="H9" s="12">
        <f t="shared" si="0"/>
        <v>44432</v>
      </c>
    </row>
    <row r="10" spans="2:10" ht="16.2" customHeight="1" x14ac:dyDescent="0.3">
      <c r="B10" s="6" t="s">
        <v>25</v>
      </c>
      <c r="C10" s="22"/>
      <c r="D10" s="22"/>
      <c r="E10" s="22"/>
      <c r="F10" s="22"/>
      <c r="G10" s="22"/>
      <c r="H10" s="12">
        <f t="shared" si="0"/>
        <v>44432</v>
      </c>
    </row>
    <row r="11" spans="2:10" ht="13.5" customHeight="1" x14ac:dyDescent="0.3">
      <c r="B11" s="6" t="s">
        <v>15</v>
      </c>
      <c r="C11" s="22">
        <v>374000</v>
      </c>
      <c r="D11" s="48"/>
      <c r="E11" s="22">
        <v>90000</v>
      </c>
      <c r="F11" s="48"/>
      <c r="G11" s="22"/>
      <c r="H11" s="12">
        <f t="shared" si="0"/>
        <v>44432</v>
      </c>
    </row>
    <row r="12" spans="2:10" x14ac:dyDescent="0.3">
      <c r="B12" s="6" t="s">
        <v>54</v>
      </c>
      <c r="C12" s="22"/>
      <c r="D12" s="22"/>
      <c r="E12" s="22"/>
      <c r="F12" s="22"/>
      <c r="G12" s="22"/>
      <c r="H12" s="67">
        <f t="shared" si="0"/>
        <v>44432</v>
      </c>
    </row>
    <row r="13" spans="2:10" x14ac:dyDescent="0.3">
      <c r="B13" s="6" t="s">
        <v>26</v>
      </c>
      <c r="C13" s="22"/>
      <c r="D13" s="22"/>
      <c r="E13" s="22"/>
      <c r="F13" s="22"/>
      <c r="G13" s="22"/>
      <c r="H13" s="12">
        <f t="shared" si="0"/>
        <v>44432</v>
      </c>
    </row>
    <row r="14" spans="2:10" x14ac:dyDescent="0.3">
      <c r="B14" s="6" t="s">
        <v>22</v>
      </c>
      <c r="C14" s="23"/>
      <c r="D14" s="22"/>
      <c r="E14" s="23"/>
      <c r="F14" s="22"/>
      <c r="G14" s="23"/>
      <c r="H14" s="12">
        <f t="shared" si="0"/>
        <v>44432</v>
      </c>
      <c r="J14" s="4"/>
    </row>
    <row r="15" spans="2:10" x14ac:dyDescent="0.3">
      <c r="B15" s="6" t="s">
        <v>61</v>
      </c>
      <c r="C15" s="23"/>
      <c r="D15" s="22"/>
      <c r="E15" s="23"/>
      <c r="F15" s="22"/>
      <c r="G15" s="23"/>
      <c r="H15" s="67">
        <f t="shared" si="0"/>
        <v>44432</v>
      </c>
      <c r="J15" s="4"/>
    </row>
    <row r="16" spans="2:10" x14ac:dyDescent="0.3">
      <c r="B16" s="6" t="s">
        <v>19</v>
      </c>
      <c r="C16" s="22"/>
      <c r="D16" s="22"/>
      <c r="E16" s="22"/>
      <c r="F16" s="22"/>
      <c r="G16" s="22"/>
      <c r="H16" s="12">
        <f t="shared" si="0"/>
        <v>44432</v>
      </c>
    </row>
    <row r="17" spans="1:8" x14ac:dyDescent="0.3">
      <c r="B17" s="6" t="s">
        <v>14</v>
      </c>
      <c r="C17" s="22"/>
      <c r="D17" s="22">
        <v>594000</v>
      </c>
      <c r="E17" s="22">
        <v>50000</v>
      </c>
      <c r="F17" s="22"/>
      <c r="G17" s="22"/>
      <c r="H17" s="12">
        <f t="shared" si="0"/>
        <v>44432</v>
      </c>
    </row>
    <row r="18" spans="1:8" x14ac:dyDescent="0.3">
      <c r="B18" s="6" t="s">
        <v>24</v>
      </c>
      <c r="C18" s="22"/>
      <c r="D18" s="49"/>
      <c r="E18" s="22"/>
      <c r="F18" s="49"/>
      <c r="G18" s="22"/>
      <c r="H18" s="12">
        <f t="shared" si="0"/>
        <v>44432</v>
      </c>
    </row>
    <row r="19" spans="1:8" x14ac:dyDescent="0.3">
      <c r="B19" s="6" t="s">
        <v>21</v>
      </c>
      <c r="C19" s="22"/>
      <c r="D19" s="22"/>
      <c r="E19" s="22"/>
      <c r="F19" s="22"/>
      <c r="G19" s="22"/>
      <c r="H19" s="12">
        <f t="shared" si="0"/>
        <v>44432</v>
      </c>
    </row>
    <row r="20" spans="1:8" x14ac:dyDescent="0.3">
      <c r="B20" s="6" t="s">
        <v>18</v>
      </c>
      <c r="C20" s="22"/>
      <c r="D20" s="22"/>
      <c r="E20" s="22"/>
      <c r="F20" s="22"/>
      <c r="G20" s="22"/>
      <c r="H20" s="12">
        <f t="shared" si="0"/>
        <v>44432</v>
      </c>
    </row>
    <row r="21" spans="1:8" x14ac:dyDescent="0.3">
      <c r="B21" s="6" t="s">
        <v>16</v>
      </c>
      <c r="C21" s="22"/>
      <c r="D21" s="22">
        <v>580500</v>
      </c>
      <c r="E21" s="22"/>
      <c r="F21" s="22"/>
      <c r="G21" s="22"/>
      <c r="H21" s="12">
        <f t="shared" si="0"/>
        <v>44432</v>
      </c>
    </row>
    <row r="22" spans="1:8" x14ac:dyDescent="0.3">
      <c r="B22" s="50" t="s">
        <v>27</v>
      </c>
      <c r="C22" s="51">
        <f>SUM(August24_2021[KSI_AGO])</f>
        <v>374000</v>
      </c>
      <c r="D22" s="51">
        <f>SUBTOTAL(109,August24_2021[KSI_PMS])</f>
        <v>1327500</v>
      </c>
      <c r="E22" s="51">
        <f>SUM(August24_2021[BUIPE_AGO])</f>
        <v>140000</v>
      </c>
      <c r="F22" s="51">
        <f>SUM(August24_2021[BUIPE_PMS])</f>
        <v>0</v>
      </c>
      <c r="G22" s="51">
        <f>SUM(August24_2021[AKOSOMBO_AGO])</f>
        <v>0</v>
      </c>
      <c r="H22" s="52"/>
    </row>
    <row r="23" spans="1:8" x14ac:dyDescent="0.3">
      <c r="B23" s="8"/>
      <c r="C23" s="24"/>
      <c r="D23" s="24"/>
      <c r="E23" s="24"/>
      <c r="F23" s="24"/>
      <c r="G23" s="24"/>
      <c r="H23"/>
    </row>
    <row r="24" spans="1:8" x14ac:dyDescent="0.3">
      <c r="B24" s="1" t="s">
        <v>6</v>
      </c>
      <c r="C24" s="1" t="s">
        <v>4</v>
      </c>
      <c r="D24" s="5">
        <f>SUMIF(August24_2021[[#Headers],[KSI_AGO]:[AKOSOMBO_AGO]],"*"&amp;C24,August24_2021[[#Totals],[KSI_AGO]:[AKOSOMBO_AGO]])</f>
        <v>514000</v>
      </c>
      <c r="E24" s="1" t="s">
        <v>5</v>
      </c>
      <c r="F24" s="5">
        <f>SUMIF(August24_2021[[#Headers],[KSI_AGO]:[AKOSOMBO_AGO]],"*"&amp;E24,August24_2021[[#Totals],[KSI_AGO]:[AKOSOMBO_AGO]])</f>
        <v>1327500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365DEAD5-767D-4297-B5C1-E1BC776C5096}">
      <formula1>INDIRECT("BDC_List[BDC List]")</formula1>
    </dataValidation>
  </dataValidations>
  <pageMargins left="0.7" right="0.7" top="0.75" bottom="0.75" header="0.3" footer="0.3"/>
  <tableParts count="1">
    <tablePart r:id="rId1"/>
  </tableParts>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8F21-020D-4451-BC5B-6E5A8BE862EA}">
  <sheetPr codeName="Sheet420"/>
  <dimension ref="A1:J34"/>
  <sheetViews>
    <sheetView workbookViewId="0">
      <selection activeCell="J18" sqref="J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44433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44433</v>
      </c>
    </row>
    <row r="7" spans="2:10" x14ac:dyDescent="0.3">
      <c r="B7" s="6" t="s">
        <v>37</v>
      </c>
      <c r="C7" s="49"/>
      <c r="D7" s="22">
        <v>45000</v>
      </c>
      <c r="E7" s="22"/>
      <c r="F7" s="22"/>
      <c r="G7" s="22"/>
      <c r="H7" s="67">
        <f t="shared" si="0"/>
        <v>44433</v>
      </c>
    </row>
    <row r="8" spans="2:10" x14ac:dyDescent="0.3">
      <c r="B8" s="6" t="s">
        <v>17</v>
      </c>
      <c r="C8" s="22"/>
      <c r="D8" s="22"/>
      <c r="E8" s="22"/>
      <c r="F8" s="22"/>
      <c r="G8" s="22"/>
      <c r="H8" s="12">
        <f t="shared" si="0"/>
        <v>44433</v>
      </c>
    </row>
    <row r="9" spans="2:10" ht="15.6" x14ac:dyDescent="0.3">
      <c r="B9" s="34" t="s">
        <v>0</v>
      </c>
      <c r="C9" s="60"/>
      <c r="D9" s="46"/>
      <c r="E9" s="60"/>
      <c r="F9" s="46"/>
      <c r="G9" s="61"/>
      <c r="H9" s="12">
        <f t="shared" si="0"/>
        <v>44433</v>
      </c>
    </row>
    <row r="10" spans="2:10" ht="16.2" customHeight="1" x14ac:dyDescent="0.3">
      <c r="B10" s="6" t="s">
        <v>25</v>
      </c>
      <c r="C10" s="22"/>
      <c r="D10" s="22"/>
      <c r="E10" s="22"/>
      <c r="F10" s="22"/>
      <c r="G10" s="22"/>
      <c r="H10" s="12">
        <f t="shared" si="0"/>
        <v>44433</v>
      </c>
    </row>
    <row r="11" spans="2:10" ht="13.5" customHeight="1" x14ac:dyDescent="0.3">
      <c r="B11" s="6" t="s">
        <v>15</v>
      </c>
      <c r="C11" s="22"/>
      <c r="D11" s="48"/>
      <c r="E11" s="22"/>
      <c r="F11" s="48"/>
      <c r="G11" s="22"/>
      <c r="H11" s="12">
        <f t="shared" si="0"/>
        <v>44433</v>
      </c>
    </row>
    <row r="12" spans="2:10" x14ac:dyDescent="0.3">
      <c r="B12" s="6" t="s">
        <v>54</v>
      </c>
      <c r="C12" s="22"/>
      <c r="D12" s="22"/>
      <c r="E12" s="22"/>
      <c r="F12" s="22"/>
      <c r="G12" s="22"/>
      <c r="H12" s="67">
        <f t="shared" si="0"/>
        <v>44433</v>
      </c>
    </row>
    <row r="13" spans="2:10" x14ac:dyDescent="0.3">
      <c r="B13" s="6" t="s">
        <v>26</v>
      </c>
      <c r="C13" s="22"/>
      <c r="D13" s="22"/>
      <c r="E13" s="22"/>
      <c r="F13" s="22"/>
      <c r="G13" s="22"/>
      <c r="H13" s="12">
        <f t="shared" si="0"/>
        <v>44433</v>
      </c>
    </row>
    <row r="14" spans="2:10" x14ac:dyDescent="0.3">
      <c r="B14" s="6" t="s">
        <v>22</v>
      </c>
      <c r="C14" s="23"/>
      <c r="D14" s="22"/>
      <c r="E14" s="23"/>
      <c r="F14" s="22"/>
      <c r="G14" s="23"/>
      <c r="H14" s="12">
        <f t="shared" si="0"/>
        <v>44433</v>
      </c>
      <c r="J14" s="4"/>
    </row>
    <row r="15" spans="2:10" x14ac:dyDescent="0.3">
      <c r="B15" s="6" t="s">
        <v>61</v>
      </c>
      <c r="C15" s="23"/>
      <c r="D15" s="22"/>
      <c r="E15" s="23"/>
      <c r="F15" s="22"/>
      <c r="G15" s="23"/>
      <c r="H15" s="67">
        <f t="shared" si="0"/>
        <v>44433</v>
      </c>
      <c r="J15" s="4"/>
    </row>
    <row r="16" spans="2:10" x14ac:dyDescent="0.3">
      <c r="B16" s="6" t="s">
        <v>19</v>
      </c>
      <c r="C16" s="22"/>
      <c r="D16" s="22"/>
      <c r="E16" s="22"/>
      <c r="F16" s="22"/>
      <c r="G16" s="22"/>
      <c r="H16" s="12">
        <f t="shared" si="0"/>
        <v>44433</v>
      </c>
    </row>
    <row r="17" spans="1:8" x14ac:dyDescent="0.3">
      <c r="B17" s="6" t="s">
        <v>14</v>
      </c>
      <c r="C17" s="22"/>
      <c r="D17" s="22"/>
      <c r="E17" s="22"/>
      <c r="F17" s="22"/>
      <c r="G17" s="22"/>
      <c r="H17" s="12">
        <f t="shared" si="0"/>
        <v>44433</v>
      </c>
    </row>
    <row r="18" spans="1:8" x14ac:dyDescent="0.3">
      <c r="B18" s="6" t="s">
        <v>24</v>
      </c>
      <c r="C18" s="22"/>
      <c r="D18" s="49"/>
      <c r="E18" s="22"/>
      <c r="F18" s="49"/>
      <c r="G18" s="22"/>
      <c r="H18" s="12">
        <f t="shared" si="0"/>
        <v>44433</v>
      </c>
    </row>
    <row r="19" spans="1:8" x14ac:dyDescent="0.3">
      <c r="B19" s="6" t="s">
        <v>21</v>
      </c>
      <c r="C19" s="22"/>
      <c r="D19" s="22"/>
      <c r="E19" s="22"/>
      <c r="F19" s="22"/>
      <c r="G19" s="22"/>
      <c r="H19" s="12">
        <f t="shared" si="0"/>
        <v>44433</v>
      </c>
    </row>
    <row r="20" spans="1:8" x14ac:dyDescent="0.3">
      <c r="B20" s="6" t="s">
        <v>18</v>
      </c>
      <c r="C20" s="22"/>
      <c r="D20" s="22"/>
      <c r="E20" s="22"/>
      <c r="F20" s="22"/>
      <c r="G20" s="22"/>
      <c r="H20" s="12">
        <f t="shared" si="0"/>
        <v>44433</v>
      </c>
    </row>
    <row r="21" spans="1:8" x14ac:dyDescent="0.3">
      <c r="B21" s="6" t="s">
        <v>16</v>
      </c>
      <c r="C21" s="22"/>
      <c r="D21" s="22">
        <v>216000</v>
      </c>
      <c r="E21" s="22"/>
      <c r="F21" s="22"/>
      <c r="G21" s="22"/>
      <c r="H21" s="12">
        <f t="shared" si="0"/>
        <v>44433</v>
      </c>
    </row>
    <row r="22" spans="1:8" x14ac:dyDescent="0.3">
      <c r="B22" s="50" t="s">
        <v>27</v>
      </c>
      <c r="C22" s="51">
        <f>SUM(August25_2021[KSI_AGO])</f>
        <v>0</v>
      </c>
      <c r="D22" s="51">
        <f>SUBTOTAL(109,August25_2021[KSI_PMS])</f>
        <v>261000</v>
      </c>
      <c r="E22" s="51">
        <f>SUM(August25_2021[BUIPE_AGO])</f>
        <v>0</v>
      </c>
      <c r="F22" s="51">
        <f>SUM(August25_2021[BUIPE_PMS])</f>
        <v>0</v>
      </c>
      <c r="G22" s="51">
        <f>SUM(August25_2021[AKOSOMBO_AGO])</f>
        <v>0</v>
      </c>
      <c r="H22" s="52"/>
    </row>
    <row r="23" spans="1:8" x14ac:dyDescent="0.3">
      <c r="B23" s="8"/>
      <c r="C23" s="24"/>
      <c r="D23" s="24"/>
      <c r="E23" s="24"/>
      <c r="F23" s="24"/>
      <c r="G23" s="24"/>
      <c r="H23"/>
    </row>
    <row r="24" spans="1:8" x14ac:dyDescent="0.3">
      <c r="B24" s="1" t="s">
        <v>6</v>
      </c>
      <c r="C24" s="1" t="s">
        <v>4</v>
      </c>
      <c r="D24" s="5">
        <f>SUMIF(August25_2021[[#Headers],[KSI_AGO]:[AKOSOMBO_AGO]],"*"&amp;C24,August25_2021[[#Totals],[KSI_AGO]:[AKOSOMBO_AGO]])</f>
        <v>0</v>
      </c>
      <c r="E24" s="1" t="s">
        <v>5</v>
      </c>
      <c r="F24" s="5">
        <f>SUMIF(August25_2021[[#Headers],[KSI_AGO]:[AKOSOMBO_AGO]],"*"&amp;E24,August25_2021[[#Totals],[KSI_AGO]:[AKOSOMBO_AGO]])</f>
        <v>261000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EE81E853-9BB1-4BB9-A39C-14A1AA8935FC}">
      <formula1>INDIRECT("BDC_List[BDC List]")</formula1>
    </dataValidation>
  </dataValidations>
  <pageMargins left="0.7" right="0.7" top="0.75" bottom="0.75" header="0.3" footer="0.3"/>
  <tableParts count="1">
    <tablePart r:id="rId1"/>
  </tableParts>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624B0-D1E0-4880-92C0-FCABCE377202}">
  <sheetPr codeName="Sheet421"/>
  <dimension ref="A1:J34"/>
  <sheetViews>
    <sheetView workbookViewId="0">
      <selection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44434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44434</v>
      </c>
    </row>
    <row r="7" spans="2:10" x14ac:dyDescent="0.3">
      <c r="B7" s="6" t="s">
        <v>37</v>
      </c>
      <c r="C7" s="49"/>
      <c r="D7" s="22"/>
      <c r="E7" s="22"/>
      <c r="F7" s="22"/>
      <c r="G7" s="22"/>
      <c r="H7" s="67">
        <f t="shared" si="0"/>
        <v>44434</v>
      </c>
    </row>
    <row r="8" spans="2:10" x14ac:dyDescent="0.3">
      <c r="B8" s="6" t="s">
        <v>17</v>
      </c>
      <c r="C8" s="22"/>
      <c r="D8" s="22"/>
      <c r="E8" s="22"/>
      <c r="F8" s="22">
        <v>108000</v>
      </c>
      <c r="G8" s="22"/>
      <c r="H8" s="12">
        <f t="shared" si="0"/>
        <v>44434</v>
      </c>
    </row>
    <row r="9" spans="2:10" ht="15.6" x14ac:dyDescent="0.3">
      <c r="B9" s="34" t="s">
        <v>0</v>
      </c>
      <c r="C9" s="60"/>
      <c r="D9" s="46"/>
      <c r="E9" s="60"/>
      <c r="F9" s="46">
        <v>324000</v>
      </c>
      <c r="G9" s="61"/>
      <c r="H9" s="12">
        <f t="shared" si="0"/>
        <v>44434</v>
      </c>
    </row>
    <row r="10" spans="2:10" ht="16.2" customHeight="1" x14ac:dyDescent="0.3">
      <c r="B10" s="6" t="s">
        <v>25</v>
      </c>
      <c r="C10" s="22">
        <v>45000</v>
      </c>
      <c r="D10" s="22"/>
      <c r="E10" s="22"/>
      <c r="F10" s="22"/>
      <c r="G10" s="22"/>
      <c r="H10" s="12">
        <f t="shared" si="0"/>
        <v>44434</v>
      </c>
    </row>
    <row r="11" spans="2:10" ht="13.5" customHeight="1" x14ac:dyDescent="0.3">
      <c r="B11" s="6" t="s">
        <v>15</v>
      </c>
      <c r="C11" s="22"/>
      <c r="D11" s="48">
        <v>486000</v>
      </c>
      <c r="E11" s="22"/>
      <c r="F11" s="48">
        <v>54000</v>
      </c>
      <c r="G11" s="22"/>
      <c r="H11" s="12">
        <f t="shared" si="0"/>
        <v>44434</v>
      </c>
    </row>
    <row r="12" spans="2:10" x14ac:dyDescent="0.3">
      <c r="B12" s="6" t="s">
        <v>54</v>
      </c>
      <c r="C12" s="22"/>
      <c r="D12" s="22"/>
      <c r="E12" s="22"/>
      <c r="F12" s="22"/>
      <c r="G12" s="22"/>
      <c r="H12" s="67">
        <f t="shared" si="0"/>
        <v>44434</v>
      </c>
    </row>
    <row r="13" spans="2:10" x14ac:dyDescent="0.3">
      <c r="B13" s="6" t="s">
        <v>26</v>
      </c>
      <c r="C13" s="22">
        <v>216000</v>
      </c>
      <c r="D13" s="22">
        <v>864000</v>
      </c>
      <c r="E13" s="22"/>
      <c r="F13" s="22"/>
      <c r="G13" s="22"/>
      <c r="H13" s="12">
        <f t="shared" si="0"/>
        <v>44434</v>
      </c>
    </row>
    <row r="14" spans="2:10" x14ac:dyDescent="0.3">
      <c r="B14" s="6" t="s">
        <v>22</v>
      </c>
      <c r="C14" s="23"/>
      <c r="D14" s="22"/>
      <c r="E14" s="23"/>
      <c r="F14" s="22"/>
      <c r="G14" s="23"/>
      <c r="H14" s="12">
        <f t="shared" si="0"/>
        <v>44434</v>
      </c>
      <c r="J14" s="4"/>
    </row>
    <row r="15" spans="2:10" x14ac:dyDescent="0.3">
      <c r="B15" s="6" t="s">
        <v>61</v>
      </c>
      <c r="C15" s="23"/>
      <c r="D15" s="22"/>
      <c r="E15" s="23"/>
      <c r="F15" s="22"/>
      <c r="G15" s="23"/>
      <c r="H15" s="67">
        <f t="shared" si="0"/>
        <v>44434</v>
      </c>
      <c r="J15" s="4"/>
    </row>
    <row r="16" spans="2:10" x14ac:dyDescent="0.3">
      <c r="B16" s="6" t="s">
        <v>19</v>
      </c>
      <c r="C16" s="22"/>
      <c r="D16" s="22"/>
      <c r="E16" s="22"/>
      <c r="F16" s="22"/>
      <c r="G16" s="22"/>
      <c r="H16" s="12">
        <f t="shared" si="0"/>
        <v>44434</v>
      </c>
    </row>
    <row r="17" spans="1:8" x14ac:dyDescent="0.3">
      <c r="B17" s="6" t="s">
        <v>14</v>
      </c>
      <c r="C17" s="22"/>
      <c r="D17" s="22">
        <v>54000</v>
      </c>
      <c r="E17" s="22"/>
      <c r="F17" s="22">
        <v>108000</v>
      </c>
      <c r="G17" s="22"/>
      <c r="H17" s="12">
        <f t="shared" si="0"/>
        <v>44434</v>
      </c>
    </row>
    <row r="18" spans="1:8" x14ac:dyDescent="0.3">
      <c r="B18" s="6" t="s">
        <v>24</v>
      </c>
      <c r="C18" s="22"/>
      <c r="D18" s="49"/>
      <c r="E18" s="22"/>
      <c r="F18" s="49"/>
      <c r="G18" s="22"/>
      <c r="H18" s="12">
        <f t="shared" si="0"/>
        <v>44434</v>
      </c>
    </row>
    <row r="19" spans="1:8" x14ac:dyDescent="0.3">
      <c r="B19" s="6" t="s">
        <v>21</v>
      </c>
      <c r="C19" s="22"/>
      <c r="D19" s="22"/>
      <c r="E19" s="22"/>
      <c r="F19" s="22"/>
      <c r="G19" s="22"/>
      <c r="H19" s="12">
        <f t="shared" si="0"/>
        <v>44434</v>
      </c>
    </row>
    <row r="20" spans="1:8" x14ac:dyDescent="0.3">
      <c r="B20" s="6" t="s">
        <v>18</v>
      </c>
      <c r="C20" s="22"/>
      <c r="D20" s="22"/>
      <c r="E20" s="22"/>
      <c r="F20" s="22"/>
      <c r="G20" s="22"/>
      <c r="H20" s="12">
        <f t="shared" si="0"/>
        <v>44434</v>
      </c>
    </row>
    <row r="21" spans="1:8" x14ac:dyDescent="0.3">
      <c r="B21" s="6" t="s">
        <v>16</v>
      </c>
      <c r="C21" s="22"/>
      <c r="D21" s="22"/>
      <c r="E21" s="22"/>
      <c r="F21" s="22"/>
      <c r="G21" s="22"/>
      <c r="H21" s="12">
        <f t="shared" si="0"/>
        <v>44434</v>
      </c>
    </row>
    <row r="22" spans="1:8" x14ac:dyDescent="0.3">
      <c r="B22" s="50" t="s">
        <v>27</v>
      </c>
      <c r="C22" s="51">
        <f>SUM(August26_2021[KSI_AGO])</f>
        <v>261000</v>
      </c>
      <c r="D22" s="51">
        <f>SUBTOTAL(109,August26_2021[KSI_PMS])</f>
        <v>1404000</v>
      </c>
      <c r="E22" s="51">
        <f>SUM(August26_2021[BUIPE_AGO])</f>
        <v>0</v>
      </c>
      <c r="F22" s="51">
        <f>SUM(August26_2021[BUIPE_PMS])</f>
        <v>594000</v>
      </c>
      <c r="G22" s="51">
        <f>SUM(August26_2021[AKOSOMBO_AGO])</f>
        <v>0</v>
      </c>
      <c r="H22" s="52"/>
    </row>
    <row r="23" spans="1:8" x14ac:dyDescent="0.3">
      <c r="B23" s="8"/>
      <c r="C23" s="24"/>
      <c r="D23" s="24"/>
      <c r="E23" s="24"/>
      <c r="F23" s="24"/>
      <c r="G23" s="24"/>
      <c r="H23"/>
    </row>
    <row r="24" spans="1:8" x14ac:dyDescent="0.3">
      <c r="B24" s="1" t="s">
        <v>6</v>
      </c>
      <c r="C24" s="1" t="s">
        <v>4</v>
      </c>
      <c r="D24" s="5">
        <f>SUMIF(August26_2021[[#Headers],[KSI_AGO]:[AKOSOMBO_AGO]],"*"&amp;C24,August26_2021[[#Totals],[KSI_AGO]:[AKOSOMBO_AGO]])</f>
        <v>261000</v>
      </c>
      <c r="E24" s="1" t="s">
        <v>5</v>
      </c>
      <c r="F24" s="5">
        <f>SUMIF(August26_2021[[#Headers],[KSI_AGO]:[AKOSOMBO_AGO]],"*"&amp;E24,August26_2021[[#Totals],[KSI_AGO]:[AKOSOMBO_AGO]])</f>
        <v>1998000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ADFD33E-3C53-4201-A189-6220F2B6279C}">
      <formula1>INDIRECT("BDC_List[BDC List]")</formula1>
    </dataValidation>
  </dataValidations>
  <pageMargins left="0.7" right="0.7" top="0.75" bottom="0.75" header="0.3" footer="0.3"/>
  <tableParts count="1">
    <tablePart r:id="rId1"/>
  </tableParts>
</worksheet>
</file>

<file path=xl/worksheets/sheet4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14343-4878-4CA7-87A4-C8349053A227}">
  <sheetPr codeName="Sheet422"/>
  <dimension ref="A1:J34"/>
  <sheetViews>
    <sheetView workbookViewId="0">
      <selection activeCell="I13" sqref="I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44435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44435</v>
      </c>
    </row>
    <row r="7" spans="2:10" x14ac:dyDescent="0.3">
      <c r="B7" s="6" t="s">
        <v>37</v>
      </c>
      <c r="C7" s="49"/>
      <c r="D7" s="22"/>
      <c r="E7" s="22"/>
      <c r="F7" s="22"/>
      <c r="G7" s="22"/>
      <c r="H7" s="67">
        <f t="shared" si="0"/>
        <v>44435</v>
      </c>
    </row>
    <row r="8" spans="2:10" x14ac:dyDescent="0.3">
      <c r="B8" s="6" t="s">
        <v>17</v>
      </c>
      <c r="C8" s="22"/>
      <c r="D8" s="22"/>
      <c r="E8" s="22"/>
      <c r="F8" s="22"/>
      <c r="G8" s="22"/>
      <c r="H8" s="12">
        <f t="shared" si="0"/>
        <v>44435</v>
      </c>
    </row>
    <row r="9" spans="2:10" ht="15.6" x14ac:dyDescent="0.3">
      <c r="B9" s="34" t="s">
        <v>0</v>
      </c>
      <c r="C9" s="60"/>
      <c r="D9" s="46"/>
      <c r="E9" s="60"/>
      <c r="F9" s="46">
        <v>162000</v>
      </c>
      <c r="G9" s="61"/>
      <c r="H9" s="12">
        <f t="shared" si="0"/>
        <v>44435</v>
      </c>
    </row>
    <row r="10" spans="2:10" ht="16.2" customHeight="1" x14ac:dyDescent="0.3">
      <c r="B10" s="6" t="s">
        <v>25</v>
      </c>
      <c r="C10" s="22"/>
      <c r="D10" s="22"/>
      <c r="E10" s="22"/>
      <c r="F10" s="22"/>
      <c r="G10" s="22"/>
      <c r="H10" s="12">
        <f t="shared" si="0"/>
        <v>44435</v>
      </c>
    </row>
    <row r="11" spans="2:10" ht="13.5" customHeight="1" x14ac:dyDescent="0.3">
      <c r="B11" s="6" t="s">
        <v>15</v>
      </c>
      <c r="C11" s="22"/>
      <c r="D11" s="48">
        <v>1341000</v>
      </c>
      <c r="E11" s="22"/>
      <c r="F11" s="48">
        <v>108000</v>
      </c>
      <c r="G11" s="22"/>
      <c r="H11" s="12">
        <f t="shared" si="0"/>
        <v>44435</v>
      </c>
    </row>
    <row r="12" spans="2:10" x14ac:dyDescent="0.3">
      <c r="B12" s="6" t="s">
        <v>54</v>
      </c>
      <c r="C12" s="22"/>
      <c r="D12" s="22"/>
      <c r="E12" s="22"/>
      <c r="F12" s="22"/>
      <c r="G12" s="22"/>
      <c r="H12" s="67">
        <f t="shared" si="0"/>
        <v>44435</v>
      </c>
    </row>
    <row r="13" spans="2:10" x14ac:dyDescent="0.3">
      <c r="B13" s="6" t="s">
        <v>26</v>
      </c>
      <c r="C13" s="22"/>
      <c r="D13" s="22"/>
      <c r="E13" s="22"/>
      <c r="F13" s="22"/>
      <c r="G13" s="22"/>
      <c r="H13" s="12">
        <f t="shared" si="0"/>
        <v>44435</v>
      </c>
    </row>
    <row r="14" spans="2:10" x14ac:dyDescent="0.3">
      <c r="B14" s="6" t="s">
        <v>22</v>
      </c>
      <c r="C14" s="23"/>
      <c r="D14" s="22"/>
      <c r="E14" s="23"/>
      <c r="F14" s="22"/>
      <c r="G14" s="23"/>
      <c r="H14" s="12">
        <f t="shared" si="0"/>
        <v>44435</v>
      </c>
      <c r="J14" s="4"/>
    </row>
    <row r="15" spans="2:10" x14ac:dyDescent="0.3">
      <c r="B15" s="6" t="s">
        <v>61</v>
      </c>
      <c r="C15" s="23"/>
      <c r="D15" s="22"/>
      <c r="E15" s="23"/>
      <c r="F15" s="22"/>
      <c r="G15" s="23"/>
      <c r="H15" s="67">
        <f t="shared" si="0"/>
        <v>44435</v>
      </c>
      <c r="J15" s="4"/>
    </row>
    <row r="16" spans="2:10" x14ac:dyDescent="0.3">
      <c r="B16" s="6" t="s">
        <v>19</v>
      </c>
      <c r="C16" s="22"/>
      <c r="D16" s="22">
        <v>855000</v>
      </c>
      <c r="E16" s="22"/>
      <c r="F16" s="22"/>
      <c r="G16" s="22"/>
      <c r="H16" s="12">
        <f t="shared" si="0"/>
        <v>44435</v>
      </c>
    </row>
    <row r="17" spans="1:8" x14ac:dyDescent="0.3">
      <c r="B17" s="6" t="s">
        <v>14</v>
      </c>
      <c r="C17" s="22"/>
      <c r="D17" s="22"/>
      <c r="E17" s="22"/>
      <c r="F17" s="22"/>
      <c r="G17" s="22"/>
      <c r="H17" s="12">
        <f t="shared" si="0"/>
        <v>44435</v>
      </c>
    </row>
    <row r="18" spans="1:8" x14ac:dyDescent="0.3">
      <c r="B18" s="6" t="s">
        <v>24</v>
      </c>
      <c r="C18" s="22"/>
      <c r="D18" s="49"/>
      <c r="E18" s="22"/>
      <c r="F18" s="49"/>
      <c r="G18" s="22"/>
      <c r="H18" s="12">
        <f t="shared" si="0"/>
        <v>44435</v>
      </c>
    </row>
    <row r="19" spans="1:8" x14ac:dyDescent="0.3">
      <c r="B19" s="6" t="s">
        <v>21</v>
      </c>
      <c r="C19" s="22"/>
      <c r="D19" s="22"/>
      <c r="E19" s="22"/>
      <c r="F19" s="22"/>
      <c r="G19" s="22"/>
      <c r="H19" s="12">
        <f t="shared" si="0"/>
        <v>44435</v>
      </c>
    </row>
    <row r="20" spans="1:8" x14ac:dyDescent="0.3">
      <c r="B20" s="6" t="s">
        <v>18</v>
      </c>
      <c r="C20" s="22"/>
      <c r="D20" s="22"/>
      <c r="E20" s="22"/>
      <c r="F20" s="22"/>
      <c r="G20" s="22"/>
      <c r="H20" s="12">
        <f t="shared" si="0"/>
        <v>44435</v>
      </c>
    </row>
    <row r="21" spans="1:8" x14ac:dyDescent="0.3">
      <c r="B21" s="6" t="s">
        <v>16</v>
      </c>
      <c r="C21" s="22"/>
      <c r="D21" s="22"/>
      <c r="E21" s="22"/>
      <c r="F21" s="22"/>
      <c r="G21" s="22"/>
      <c r="H21" s="12">
        <f t="shared" si="0"/>
        <v>44435</v>
      </c>
    </row>
    <row r="22" spans="1:8" x14ac:dyDescent="0.3">
      <c r="B22" s="50" t="s">
        <v>27</v>
      </c>
      <c r="C22" s="51">
        <f>SUM(August27_2021[KSI_AGO])</f>
        <v>0</v>
      </c>
      <c r="D22" s="51">
        <f>SUBTOTAL(109,August27_2021[KSI_PMS])</f>
        <v>2196000</v>
      </c>
      <c r="E22" s="51">
        <f>SUM(August27_2021[BUIPE_AGO])</f>
        <v>0</v>
      </c>
      <c r="F22" s="51">
        <f>SUM(August27_2021[BUIPE_PMS])</f>
        <v>270000</v>
      </c>
      <c r="G22" s="51">
        <f>SUM(August27_2021[AKOSOMBO_AGO])</f>
        <v>0</v>
      </c>
      <c r="H22" s="52"/>
    </row>
    <row r="23" spans="1:8" x14ac:dyDescent="0.3">
      <c r="B23" s="8"/>
      <c r="C23" s="24"/>
      <c r="D23" s="24"/>
      <c r="E23" s="24"/>
      <c r="F23" s="24"/>
      <c r="G23" s="24"/>
      <c r="H23"/>
    </row>
    <row r="24" spans="1:8" x14ac:dyDescent="0.3">
      <c r="B24" s="1" t="s">
        <v>6</v>
      </c>
      <c r="C24" s="1" t="s">
        <v>4</v>
      </c>
      <c r="D24" s="5">
        <f>SUMIF(August27_2021[[#Headers],[KSI_AGO]:[AKOSOMBO_AGO]],"*"&amp;C24,August27_2021[[#Totals],[KSI_AGO]:[AKOSOMBO_AGO]])</f>
        <v>0</v>
      </c>
      <c r="E24" s="1" t="s">
        <v>5</v>
      </c>
      <c r="F24" s="5">
        <f>SUMIF(August27_2021[[#Headers],[KSI_AGO]:[AKOSOMBO_AGO]],"*"&amp;E24,August27_2021[[#Totals],[KSI_AGO]:[AKOSOMBO_AGO]])</f>
        <v>2466000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8C63355-1F5D-46D7-9860-B94BFE9BE31F}">
      <formula1>INDIRECT("BDC_List[BDC List]")</formula1>
    </dataValidation>
  </dataValidations>
  <pageMargins left="0.7" right="0.7" top="0.75" bottom="0.75" header="0.3" footer="0.3"/>
  <legacyDrawing r:id="rId1"/>
  <tableParts count="1">
    <tablePart r:id="rId2"/>
  </tableParts>
</worksheet>
</file>

<file path=xl/worksheets/sheet4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7FB0-2621-4C9A-80E1-7A2AE6512330}">
  <sheetPr codeName="Sheet423"/>
  <dimension ref="A1:J34"/>
  <sheetViews>
    <sheetView topLeftCell="C1" workbookViewId="0">
      <selection activeCell="F13" sqref="F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44438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44438</v>
      </c>
    </row>
    <row r="7" spans="2:10" x14ac:dyDescent="0.3">
      <c r="B7" s="6" t="s">
        <v>37</v>
      </c>
      <c r="C7" s="49"/>
      <c r="D7" s="22"/>
      <c r="E7" s="22"/>
      <c r="F7" s="22"/>
      <c r="G7" s="22"/>
      <c r="H7" s="67">
        <f t="shared" si="0"/>
        <v>44438</v>
      </c>
    </row>
    <row r="8" spans="2:10" x14ac:dyDescent="0.3">
      <c r="B8" s="6" t="s">
        <v>17</v>
      </c>
      <c r="C8" s="22"/>
      <c r="D8" s="22"/>
      <c r="E8" s="22"/>
      <c r="F8" s="22"/>
      <c r="G8" s="22"/>
      <c r="H8" s="12">
        <f t="shared" si="0"/>
        <v>44438</v>
      </c>
    </row>
    <row r="9" spans="2:10" ht="15.6" x14ac:dyDescent="0.3">
      <c r="B9" s="34" t="s">
        <v>0</v>
      </c>
      <c r="C9" s="60"/>
      <c r="D9" s="46"/>
      <c r="E9" s="60"/>
      <c r="F9" s="46">
        <v>162000</v>
      </c>
      <c r="G9" s="61"/>
      <c r="H9" s="12">
        <f t="shared" si="0"/>
        <v>44438</v>
      </c>
    </row>
    <row r="10" spans="2:10" ht="16.2" customHeight="1" x14ac:dyDescent="0.3">
      <c r="B10" s="6" t="s">
        <v>25</v>
      </c>
      <c r="C10" s="22"/>
      <c r="D10" s="22"/>
      <c r="E10" s="22"/>
      <c r="F10" s="22">
        <v>45000</v>
      </c>
      <c r="G10" s="22"/>
      <c r="H10" s="12">
        <f t="shared" si="0"/>
        <v>44438</v>
      </c>
    </row>
    <row r="11" spans="2:10" ht="13.5" customHeight="1" x14ac:dyDescent="0.3">
      <c r="B11" s="6" t="s">
        <v>15</v>
      </c>
      <c r="C11" s="22"/>
      <c r="D11" s="48">
        <v>648000</v>
      </c>
      <c r="E11" s="22"/>
      <c r="F11" s="48">
        <v>108000</v>
      </c>
      <c r="G11" s="22"/>
      <c r="H11" s="12">
        <f t="shared" si="0"/>
        <v>44438</v>
      </c>
    </row>
    <row r="12" spans="2:10" x14ac:dyDescent="0.3">
      <c r="B12" s="6" t="s">
        <v>54</v>
      </c>
      <c r="C12" s="22"/>
      <c r="D12" s="22"/>
      <c r="E12" s="22"/>
      <c r="F12" s="22"/>
      <c r="G12" s="22"/>
      <c r="H12" s="67">
        <f t="shared" si="0"/>
        <v>44438</v>
      </c>
    </row>
    <row r="13" spans="2:10" x14ac:dyDescent="0.3">
      <c r="B13" s="6" t="s">
        <v>26</v>
      </c>
      <c r="C13" s="22"/>
      <c r="D13" s="22"/>
      <c r="E13" s="22"/>
      <c r="F13" s="22"/>
      <c r="G13" s="22"/>
      <c r="H13" s="12">
        <f t="shared" si="0"/>
        <v>44438</v>
      </c>
    </row>
    <row r="14" spans="2:10" x14ac:dyDescent="0.3">
      <c r="B14" s="6" t="s">
        <v>22</v>
      </c>
      <c r="C14" s="23"/>
      <c r="D14" s="22"/>
      <c r="E14" s="23"/>
      <c r="F14" s="22"/>
      <c r="G14" s="23"/>
      <c r="H14" s="12">
        <f t="shared" si="0"/>
        <v>44438</v>
      </c>
      <c r="J14" s="4"/>
    </row>
    <row r="15" spans="2:10" x14ac:dyDescent="0.3">
      <c r="B15" s="6" t="s">
        <v>61</v>
      </c>
      <c r="C15" s="23"/>
      <c r="D15" s="22"/>
      <c r="E15" s="23"/>
      <c r="F15" s="22"/>
      <c r="G15" s="23"/>
      <c r="H15" s="67">
        <f t="shared" si="0"/>
        <v>44438</v>
      </c>
      <c r="J15" s="4"/>
    </row>
    <row r="16" spans="2:10" x14ac:dyDescent="0.3">
      <c r="B16" s="6" t="s">
        <v>19</v>
      </c>
      <c r="C16" s="22">
        <v>45000</v>
      </c>
      <c r="D16" s="22">
        <v>522000</v>
      </c>
      <c r="E16" s="22"/>
      <c r="F16" s="22"/>
      <c r="G16" s="22"/>
      <c r="H16" s="12">
        <f t="shared" si="0"/>
        <v>44438</v>
      </c>
    </row>
    <row r="17" spans="1:8" x14ac:dyDescent="0.3">
      <c r="B17" s="6" t="s">
        <v>14</v>
      </c>
      <c r="C17" s="22"/>
      <c r="D17" s="22">
        <v>432000</v>
      </c>
      <c r="E17" s="22"/>
      <c r="F17" s="22"/>
      <c r="G17" s="22"/>
      <c r="H17" s="12">
        <f t="shared" si="0"/>
        <v>44438</v>
      </c>
    </row>
    <row r="18" spans="1:8" x14ac:dyDescent="0.3">
      <c r="B18" s="6" t="s">
        <v>24</v>
      </c>
      <c r="C18" s="22"/>
      <c r="D18" s="49"/>
      <c r="E18" s="22"/>
      <c r="F18" s="49"/>
      <c r="G18" s="22"/>
      <c r="H18" s="12">
        <f t="shared" si="0"/>
        <v>44438</v>
      </c>
    </row>
    <row r="19" spans="1:8" x14ac:dyDescent="0.3">
      <c r="B19" s="6" t="s">
        <v>21</v>
      </c>
      <c r="C19" s="22"/>
      <c r="D19" s="22"/>
      <c r="E19" s="22"/>
      <c r="F19" s="22"/>
      <c r="G19" s="22"/>
      <c r="H19" s="12">
        <f t="shared" si="0"/>
        <v>44438</v>
      </c>
    </row>
    <row r="20" spans="1:8" x14ac:dyDescent="0.3">
      <c r="B20" s="6" t="s">
        <v>18</v>
      </c>
      <c r="C20" s="22">
        <v>162000</v>
      </c>
      <c r="D20" s="22"/>
      <c r="E20" s="22">
        <v>108000</v>
      </c>
      <c r="F20" s="22"/>
      <c r="G20" s="22"/>
      <c r="H20" s="12">
        <f t="shared" si="0"/>
        <v>44438</v>
      </c>
    </row>
    <row r="21" spans="1:8" x14ac:dyDescent="0.3">
      <c r="B21" s="6" t="s">
        <v>16</v>
      </c>
      <c r="C21" s="22"/>
      <c r="D21" s="22"/>
      <c r="E21" s="22"/>
      <c r="F21" s="22"/>
      <c r="G21" s="22"/>
      <c r="H21" s="12">
        <f t="shared" si="0"/>
        <v>44438</v>
      </c>
    </row>
    <row r="22" spans="1:8" x14ac:dyDescent="0.3">
      <c r="B22" s="50" t="s">
        <v>27</v>
      </c>
      <c r="C22" s="51">
        <f>SUM(August30_2021[KSI_AGO])</f>
        <v>207000</v>
      </c>
      <c r="D22" s="51">
        <f>SUBTOTAL(109,August30_2021[KSI_PMS])</f>
        <v>1602000</v>
      </c>
      <c r="E22" s="51">
        <f>SUM(August30_2021[BUIPE_AGO])</f>
        <v>108000</v>
      </c>
      <c r="F22" s="51">
        <f>SUM(August30_2021[BUIPE_PMS])</f>
        <v>315000</v>
      </c>
      <c r="G22" s="51">
        <f>SUM(August30_2021[AKOSOMBO_AGO])</f>
        <v>0</v>
      </c>
      <c r="H22" s="52"/>
    </row>
    <row r="23" spans="1:8" x14ac:dyDescent="0.3">
      <c r="B23" s="8"/>
      <c r="C23" s="24"/>
      <c r="D23" s="24"/>
      <c r="E23" s="24"/>
      <c r="F23" s="24"/>
      <c r="G23" s="24"/>
      <c r="H23"/>
    </row>
    <row r="24" spans="1:8" x14ac:dyDescent="0.3">
      <c r="B24" s="1" t="s">
        <v>6</v>
      </c>
      <c r="C24" s="1" t="s">
        <v>4</v>
      </c>
      <c r="D24" s="5">
        <f>SUMIF(August30_2021[[#Headers],[KSI_AGO]:[AKOSOMBO_AGO]],"*"&amp;C24,August30_2021[[#Totals],[KSI_AGO]:[AKOSOMBO_AGO]])</f>
        <v>315000</v>
      </c>
      <c r="E24" s="1" t="s">
        <v>5</v>
      </c>
      <c r="F24" s="5">
        <f>SUMIF(August30_2021[[#Headers],[KSI_AGO]:[AKOSOMBO_AGO]],"*"&amp;E24,August30_2021[[#Totals],[KSI_AGO]:[AKOSOMBO_AGO]])</f>
        <v>1917000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ECB46A6-FE32-4A04-993C-0D8C3625B140}">
      <formula1>INDIRECT("BDC_List[BDC List]")</formula1>
    </dataValidation>
  </dataValidations>
  <pageMargins left="0.7" right="0.7" top="0.75" bottom="0.75" header="0.3" footer="0.3"/>
  <legacyDrawing r:id="rId1"/>
  <tableParts count="1">
    <tablePart r:id="rId2"/>
  </tableParts>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35171-F10B-41C8-99CF-B1F80745C071}">
  <sheetPr codeName="Sheet424"/>
  <dimension ref="A1:J34"/>
  <sheetViews>
    <sheetView workbookViewId="0">
      <pane xSplit="2" ySplit="5" topLeftCell="C6" activePane="bottomRight" state="frozen"/>
      <selection pane="topRight" activeCell="C1" sqref="C1"/>
      <selection pane="bottomLeft" activeCell="A6" sqref="A6"/>
      <selection pane="bottomRight" activeCell="E18" sqref="E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44439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44439</v>
      </c>
    </row>
    <row r="7" spans="2:10" x14ac:dyDescent="0.3">
      <c r="B7" s="6" t="s">
        <v>37</v>
      </c>
      <c r="C7" s="49"/>
      <c r="D7" s="22"/>
      <c r="E7" s="22"/>
      <c r="F7" s="22"/>
      <c r="G7" s="22"/>
      <c r="H7" s="67">
        <f t="shared" si="0"/>
        <v>44439</v>
      </c>
    </row>
    <row r="8" spans="2:10" x14ac:dyDescent="0.3">
      <c r="B8" s="6" t="s">
        <v>17</v>
      </c>
      <c r="C8" s="22"/>
      <c r="D8" s="22"/>
      <c r="E8" s="22"/>
      <c r="F8" s="22"/>
      <c r="G8" s="22"/>
      <c r="H8" s="12">
        <f t="shared" si="0"/>
        <v>44439</v>
      </c>
    </row>
    <row r="9" spans="2:10" ht="15.6" x14ac:dyDescent="0.3">
      <c r="B9" s="34" t="s">
        <v>0</v>
      </c>
      <c r="C9" s="60"/>
      <c r="D9" s="46"/>
      <c r="E9" s="60"/>
      <c r="F9" s="46">
        <v>216000</v>
      </c>
      <c r="G9" s="61"/>
      <c r="H9" s="12">
        <f t="shared" si="0"/>
        <v>44439</v>
      </c>
    </row>
    <row r="10" spans="2:10" ht="16.2" customHeight="1" x14ac:dyDescent="0.3">
      <c r="B10" s="6" t="s">
        <v>25</v>
      </c>
      <c r="C10" s="22"/>
      <c r="D10" s="22"/>
      <c r="E10" s="22"/>
      <c r="F10" s="22"/>
      <c r="G10" s="22">
        <v>540000</v>
      </c>
      <c r="H10" s="12">
        <f t="shared" si="0"/>
        <v>44439</v>
      </c>
    </row>
    <row r="11" spans="2:10" ht="13.5" customHeight="1" x14ac:dyDescent="0.3">
      <c r="B11" s="6" t="s">
        <v>15</v>
      </c>
      <c r="C11" s="22"/>
      <c r="D11" s="48"/>
      <c r="E11" s="22"/>
      <c r="F11" s="48"/>
      <c r="G11" s="22"/>
      <c r="H11" s="12">
        <f t="shared" si="0"/>
        <v>44439</v>
      </c>
    </row>
    <row r="12" spans="2:10" x14ac:dyDescent="0.3">
      <c r="B12" s="6" t="s">
        <v>54</v>
      </c>
      <c r="C12" s="22"/>
      <c r="D12" s="22">
        <v>419000</v>
      </c>
      <c r="E12" s="22"/>
      <c r="F12" s="22"/>
      <c r="G12" s="22"/>
      <c r="H12" s="67">
        <f t="shared" si="0"/>
        <v>44439</v>
      </c>
    </row>
    <row r="13" spans="2:10" x14ac:dyDescent="0.3">
      <c r="B13" s="6" t="s">
        <v>26</v>
      </c>
      <c r="C13" s="22"/>
      <c r="D13" s="22"/>
      <c r="E13" s="22"/>
      <c r="F13" s="22"/>
      <c r="G13" s="22"/>
      <c r="H13" s="12">
        <f t="shared" si="0"/>
        <v>44439</v>
      </c>
    </row>
    <row r="14" spans="2:10" x14ac:dyDescent="0.3">
      <c r="B14" s="6" t="s">
        <v>22</v>
      </c>
      <c r="C14" s="23"/>
      <c r="D14" s="22"/>
      <c r="E14" s="23"/>
      <c r="F14" s="22"/>
      <c r="G14" s="23"/>
      <c r="H14" s="12">
        <f t="shared" si="0"/>
        <v>44439</v>
      </c>
      <c r="J14" s="4"/>
    </row>
    <row r="15" spans="2:10" x14ac:dyDescent="0.3">
      <c r="B15" s="6" t="s">
        <v>61</v>
      </c>
      <c r="C15" s="23"/>
      <c r="D15" s="22"/>
      <c r="E15" s="23"/>
      <c r="F15" s="22"/>
      <c r="G15" s="23"/>
      <c r="H15" s="67">
        <f t="shared" si="0"/>
        <v>44439</v>
      </c>
      <c r="J15" s="4"/>
    </row>
    <row r="16" spans="2:10" x14ac:dyDescent="0.3">
      <c r="B16" s="6" t="s">
        <v>19</v>
      </c>
      <c r="C16" s="22"/>
      <c r="D16" s="22"/>
      <c r="E16" s="22"/>
      <c r="F16" s="22"/>
      <c r="G16" s="22"/>
      <c r="H16" s="12">
        <f t="shared" si="0"/>
        <v>44439</v>
      </c>
    </row>
    <row r="17" spans="1:8" x14ac:dyDescent="0.3">
      <c r="B17" s="6" t="s">
        <v>14</v>
      </c>
      <c r="C17" s="22"/>
      <c r="D17" s="22">
        <v>958500</v>
      </c>
      <c r="E17" s="22"/>
      <c r="F17" s="22">
        <v>540000</v>
      </c>
      <c r="G17" s="22"/>
      <c r="H17" s="12">
        <f t="shared" si="0"/>
        <v>44439</v>
      </c>
    </row>
    <row r="18" spans="1:8" x14ac:dyDescent="0.3">
      <c r="B18" s="6" t="s">
        <v>24</v>
      </c>
      <c r="C18" s="22"/>
      <c r="D18" s="49"/>
      <c r="E18" s="22"/>
      <c r="F18" s="49"/>
      <c r="G18" s="22"/>
      <c r="H18" s="12">
        <f t="shared" si="0"/>
        <v>44439</v>
      </c>
    </row>
    <row r="19" spans="1:8" x14ac:dyDescent="0.3">
      <c r="B19" s="6" t="s">
        <v>21</v>
      </c>
      <c r="C19" s="22"/>
      <c r="D19" s="22"/>
      <c r="E19" s="22"/>
      <c r="F19" s="22"/>
      <c r="G19" s="22"/>
      <c r="H19" s="12">
        <f t="shared" si="0"/>
        <v>44439</v>
      </c>
    </row>
    <row r="20" spans="1:8" x14ac:dyDescent="0.3">
      <c r="B20" s="6" t="s">
        <v>18</v>
      </c>
      <c r="C20" s="22"/>
      <c r="D20" s="22"/>
      <c r="E20" s="22"/>
      <c r="F20" s="22"/>
      <c r="G20" s="22"/>
      <c r="H20" s="12">
        <f t="shared" si="0"/>
        <v>44439</v>
      </c>
    </row>
    <row r="21" spans="1:8" x14ac:dyDescent="0.3">
      <c r="B21" s="6" t="s">
        <v>16</v>
      </c>
      <c r="C21" s="22"/>
      <c r="D21" s="22"/>
      <c r="E21" s="22"/>
      <c r="F21" s="22"/>
      <c r="G21" s="22"/>
      <c r="H21" s="12">
        <f t="shared" si="0"/>
        <v>44439</v>
      </c>
    </row>
    <row r="22" spans="1:8" x14ac:dyDescent="0.3">
      <c r="B22" s="50" t="s">
        <v>27</v>
      </c>
      <c r="C22" s="51">
        <f>SUM(August31_2021[KSI_AGO])</f>
        <v>0</v>
      </c>
      <c r="D22" s="51">
        <f>SUBTOTAL(109,August31_2021[KSI_PMS])</f>
        <v>1377500</v>
      </c>
      <c r="E22" s="51">
        <f>SUM(August31_2021[BUIPE_AGO])</f>
        <v>0</v>
      </c>
      <c r="F22" s="51">
        <f>SUM(August31_2021[BUIPE_PMS])</f>
        <v>756000</v>
      </c>
      <c r="G22" s="51">
        <f>SUM(August31_2021[AKOSOMBO_AGO])</f>
        <v>540000</v>
      </c>
      <c r="H22" s="52"/>
    </row>
    <row r="23" spans="1:8" x14ac:dyDescent="0.3">
      <c r="B23" s="8"/>
      <c r="C23" s="24"/>
      <c r="D23" s="24"/>
      <c r="E23" s="24"/>
      <c r="F23" s="24"/>
      <c r="G23" s="24"/>
      <c r="H23"/>
    </row>
    <row r="24" spans="1:8" x14ac:dyDescent="0.3">
      <c r="B24" s="1" t="s">
        <v>6</v>
      </c>
      <c r="C24" s="1" t="s">
        <v>4</v>
      </c>
      <c r="D24" s="5">
        <f>SUMIF(August31_2021[[#Headers],[KSI_AGO]:[AKOSOMBO_AGO]],"*"&amp;C24,August31_2021[[#Totals],[KSI_AGO]:[AKOSOMBO_AGO]])</f>
        <v>540000</v>
      </c>
      <c r="E24" s="1" t="s">
        <v>5</v>
      </c>
      <c r="F24" s="5">
        <f>SUMIF(August31_2021[[#Headers],[KSI_AGO]:[AKOSOMBO_AGO]],"*"&amp;E24,August31_2021[[#Totals],[KSI_AGO]:[AKOSOMBO_AGO]])</f>
        <v>2133500</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F6DD3B3-C345-4B4D-B016-00F0EF1C6F98}">
      <formula1>INDIRECT("BDC_List[BDC List]")</formula1>
    </dataValidation>
  </dataValidations>
  <pageMargins left="0.7" right="0.7" top="0.75" bottom="0.75" header="0.3" footer="0.3"/>
  <tableParts count="1">
    <tablePart r:id="rId1"/>
  </tableParts>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554A-9E9C-4D61-A57F-0D89E2AFE7D5}">
  <sheetPr codeName="Sheet425"/>
  <dimension ref="A1:J34"/>
  <sheetViews>
    <sheetView workbookViewId="0">
      <pane xSplit="2" ySplit="5" topLeftCell="C6" activePane="bottomRight" state="frozen"/>
      <selection activeCell="E16" sqref="E16"/>
      <selection pane="topRight" activeCell="E16" sqref="E16"/>
      <selection pane="bottomLeft" activeCell="E16" sqref="E16"/>
      <selection pane="bottomRight" activeCell="E15" sqref="E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44441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44441</v>
      </c>
    </row>
    <row r="7" spans="2:10" x14ac:dyDescent="0.3">
      <c r="B7" s="6" t="s">
        <v>37</v>
      </c>
      <c r="C7" s="49"/>
      <c r="D7" s="22"/>
      <c r="E7" s="22"/>
      <c r="F7" s="22"/>
      <c r="G7" s="22"/>
      <c r="H7" s="67">
        <f t="shared" si="0"/>
        <v>44441</v>
      </c>
    </row>
    <row r="8" spans="2:10" x14ac:dyDescent="0.3">
      <c r="B8" s="6" t="s">
        <v>17</v>
      </c>
      <c r="C8" s="22"/>
      <c r="D8" s="22"/>
      <c r="E8" s="22"/>
      <c r="F8" s="22"/>
      <c r="G8" s="22"/>
      <c r="H8" s="12">
        <f t="shared" si="0"/>
        <v>44441</v>
      </c>
    </row>
    <row r="9" spans="2:10" ht="15.6" x14ac:dyDescent="0.3">
      <c r="B9" s="34" t="s">
        <v>0</v>
      </c>
      <c r="C9" s="60"/>
      <c r="D9" s="46"/>
      <c r="E9" s="60"/>
      <c r="F9" s="46"/>
      <c r="G9" s="61"/>
      <c r="H9" s="12">
        <f t="shared" si="0"/>
        <v>44441</v>
      </c>
    </row>
    <row r="10" spans="2:10" ht="16.2" customHeight="1" x14ac:dyDescent="0.3">
      <c r="B10" s="6" t="s">
        <v>25</v>
      </c>
      <c r="C10" s="22"/>
      <c r="D10" s="22"/>
      <c r="E10" s="22"/>
      <c r="F10" s="22"/>
      <c r="G10" s="22">
        <v>459000</v>
      </c>
      <c r="H10" s="12">
        <f t="shared" si="0"/>
        <v>44441</v>
      </c>
    </row>
    <row r="11" spans="2:10" ht="13.5" customHeight="1" x14ac:dyDescent="0.3">
      <c r="B11" s="6" t="s">
        <v>15</v>
      </c>
      <c r="C11" s="22"/>
      <c r="D11" s="48"/>
      <c r="E11" s="22"/>
      <c r="F11" s="48"/>
      <c r="G11" s="22"/>
      <c r="H11" s="12">
        <f t="shared" si="0"/>
        <v>44441</v>
      </c>
    </row>
    <row r="12" spans="2:10" x14ac:dyDescent="0.3">
      <c r="B12" s="6" t="s">
        <v>54</v>
      </c>
      <c r="C12" s="22"/>
      <c r="D12" s="22">
        <v>365000</v>
      </c>
      <c r="E12" s="22"/>
      <c r="F12" s="22"/>
      <c r="G12" s="22"/>
      <c r="H12" s="67">
        <f t="shared" si="0"/>
        <v>44441</v>
      </c>
    </row>
    <row r="13" spans="2:10" x14ac:dyDescent="0.3">
      <c r="B13" s="6" t="s">
        <v>26</v>
      </c>
      <c r="C13" s="22"/>
      <c r="D13" s="22">
        <v>90000</v>
      </c>
      <c r="E13" s="22"/>
      <c r="F13" s="22"/>
      <c r="G13" s="22"/>
      <c r="H13" s="12">
        <f t="shared" si="0"/>
        <v>44441</v>
      </c>
    </row>
    <row r="14" spans="2:10" x14ac:dyDescent="0.3">
      <c r="B14" s="6" t="s">
        <v>22</v>
      </c>
      <c r="C14" s="23"/>
      <c r="D14" s="22"/>
      <c r="E14" s="23"/>
      <c r="F14" s="22"/>
      <c r="G14" s="23"/>
      <c r="H14" s="12">
        <f t="shared" si="0"/>
        <v>44441</v>
      </c>
      <c r="J14" s="4"/>
    </row>
    <row r="15" spans="2:10" x14ac:dyDescent="0.3">
      <c r="B15" s="6" t="s">
        <v>61</v>
      </c>
      <c r="C15" s="23"/>
      <c r="D15" s="22"/>
      <c r="E15" s="23"/>
      <c r="F15" s="22"/>
      <c r="G15" s="23"/>
      <c r="H15" s="67">
        <f t="shared" si="0"/>
        <v>44441</v>
      </c>
      <c r="J15" s="4"/>
    </row>
    <row r="16" spans="2:10" x14ac:dyDescent="0.3">
      <c r="B16" s="6" t="s">
        <v>19</v>
      </c>
      <c r="C16" s="22">
        <v>972000</v>
      </c>
      <c r="D16" s="22"/>
      <c r="E16" s="22"/>
      <c r="F16" s="22"/>
      <c r="G16" s="22">
        <v>54000</v>
      </c>
      <c r="H16" s="12">
        <f t="shared" si="0"/>
        <v>44441</v>
      </c>
    </row>
    <row r="17" spans="1:8" x14ac:dyDescent="0.3">
      <c r="B17" s="6" t="s">
        <v>14</v>
      </c>
      <c r="C17" s="22">
        <v>324000</v>
      </c>
      <c r="D17" s="22">
        <v>860000</v>
      </c>
      <c r="E17" s="22"/>
      <c r="F17" s="22"/>
      <c r="G17" s="22"/>
      <c r="H17" s="12">
        <f t="shared" si="0"/>
        <v>44441</v>
      </c>
    </row>
    <row r="18" spans="1:8" x14ac:dyDescent="0.3">
      <c r="B18" s="6" t="s">
        <v>24</v>
      </c>
      <c r="C18" s="22"/>
      <c r="D18" s="49"/>
      <c r="E18" s="22"/>
      <c r="F18" s="49"/>
      <c r="G18" s="22"/>
      <c r="H18" s="12">
        <f t="shared" si="0"/>
        <v>44441</v>
      </c>
    </row>
    <row r="19" spans="1:8" x14ac:dyDescent="0.3">
      <c r="B19" s="6" t="s">
        <v>21</v>
      </c>
      <c r="C19" s="22"/>
      <c r="D19" s="22"/>
      <c r="E19" s="22"/>
      <c r="F19" s="22"/>
      <c r="G19" s="22"/>
      <c r="H19" s="12">
        <f t="shared" si="0"/>
        <v>44441</v>
      </c>
    </row>
    <row r="20" spans="1:8" x14ac:dyDescent="0.3">
      <c r="B20" s="6" t="s">
        <v>18</v>
      </c>
      <c r="C20" s="22"/>
      <c r="D20" s="22"/>
      <c r="E20" s="22"/>
      <c r="F20" s="22"/>
      <c r="G20" s="22"/>
      <c r="H20" s="12">
        <f t="shared" si="0"/>
        <v>44441</v>
      </c>
    </row>
    <row r="21" spans="1:8" x14ac:dyDescent="0.3">
      <c r="B21" s="6" t="s">
        <v>16</v>
      </c>
      <c r="C21" s="22">
        <v>535500</v>
      </c>
      <c r="D21" s="22"/>
      <c r="E21" s="22"/>
      <c r="F21" s="22"/>
      <c r="G21" s="22"/>
      <c r="H21" s="12">
        <f t="shared" si="0"/>
        <v>44441</v>
      </c>
    </row>
    <row r="22" spans="1:8" x14ac:dyDescent="0.3">
      <c r="B22" s="50" t="s">
        <v>27</v>
      </c>
      <c r="C22" s="51">
        <f>SUM(August31_2021357[KSI_AGO])</f>
        <v>1831500</v>
      </c>
      <c r="D22" s="51">
        <f>SUBTOTAL(109,August31_2021357[KSI_PMS])</f>
        <v>1315000</v>
      </c>
      <c r="E22" s="51">
        <f>SUM(August31_2021357[BUIPE_AGO])</f>
        <v>0</v>
      </c>
      <c r="F22" s="51">
        <f>SUM(August31_2021357[BUIPE_PMS])</f>
        <v>0</v>
      </c>
      <c r="G22" s="51">
        <f>SUM(August31_2021357[AKOSOMBO_AGO])</f>
        <v>513000</v>
      </c>
      <c r="H22" s="52"/>
    </row>
    <row r="23" spans="1:8" x14ac:dyDescent="0.3">
      <c r="B23" s="8"/>
      <c r="C23" s="24"/>
      <c r="D23" s="24"/>
      <c r="E23" s="24"/>
      <c r="F23" s="24"/>
      <c r="G23" s="24"/>
      <c r="H23"/>
    </row>
    <row r="24" spans="1:8" x14ac:dyDescent="0.3">
      <c r="B24" s="1" t="s">
        <v>6</v>
      </c>
      <c r="C24" s="1" t="s">
        <v>4</v>
      </c>
      <c r="D24" s="5">
        <f>SUMIF(August31_2021357[[#Headers],[KSI_AGO]:[AKOSOMBO_AGO]],"*"&amp;C24,August31_2021357[[#Totals],[KSI_AGO]:[AKOSOMBO_AGO]])</f>
        <v>2344500</v>
      </c>
      <c r="E24" s="1" t="s">
        <v>5</v>
      </c>
      <c r="F24" s="5">
        <f>SUMIF(August31_2021357[[#Headers],[KSI_AGO]:[AKOSOMBO_AGO]],"*"&amp;E24,August31_2021357[[#Totals],[KSI_AGO]:[AKOSOMBO_AGO]])</f>
        <v>1315000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4D313F79-2262-4FD9-BC0B-666B74AB6802}">
      <formula1>INDIRECT("BDC_List[BDC List]")</formula1>
    </dataValidation>
  </dataValidations>
  <pageMargins left="0.7" right="0.7" top="0.75" bottom="0.75" header="0.3" footer="0.3"/>
  <tableParts count="1">
    <tablePart r:id="rId1"/>
  </tableParts>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E875E-6624-4DA3-8980-5EDD8E2368F4}">
  <sheetPr codeName="Sheet426"/>
  <dimension ref="A1:J34"/>
  <sheetViews>
    <sheetView workbookViewId="0">
      <pane xSplit="2" ySplit="5" topLeftCell="C6" activePane="bottomRight" state="frozen"/>
      <selection activeCell="E16" sqref="E16"/>
      <selection pane="topRight" activeCell="E16" sqref="E16"/>
      <selection pane="bottomLeft" activeCell="E16" sqref="E16"/>
      <selection pane="bottomRight" activeCell="G11" sqref="G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44441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44441</v>
      </c>
    </row>
    <row r="7" spans="2:10" x14ac:dyDescent="0.3">
      <c r="B7" s="6" t="s">
        <v>37</v>
      </c>
      <c r="C7" s="49"/>
      <c r="D7" s="22"/>
      <c r="E7" s="22"/>
      <c r="F7" s="22"/>
      <c r="G7" s="22"/>
      <c r="H7" s="67">
        <f t="shared" si="0"/>
        <v>44441</v>
      </c>
    </row>
    <row r="8" spans="2:10" x14ac:dyDescent="0.3">
      <c r="B8" s="6" t="s">
        <v>17</v>
      </c>
      <c r="C8" s="22">
        <v>266000</v>
      </c>
      <c r="D8" s="22"/>
      <c r="E8" s="22"/>
      <c r="F8" s="22"/>
      <c r="G8" s="22"/>
      <c r="H8" s="12">
        <f t="shared" si="0"/>
        <v>44441</v>
      </c>
    </row>
    <row r="9" spans="2:10" ht="15.6" x14ac:dyDescent="0.3">
      <c r="B9" s="34" t="s">
        <v>0</v>
      </c>
      <c r="C9" s="60"/>
      <c r="D9" s="46"/>
      <c r="E9" s="60"/>
      <c r="F9" s="46"/>
      <c r="G9" s="61"/>
      <c r="H9" s="12">
        <f t="shared" si="0"/>
        <v>44441</v>
      </c>
    </row>
    <row r="10" spans="2:10" ht="16.2" customHeight="1" x14ac:dyDescent="0.3">
      <c r="B10" s="6" t="s">
        <v>25</v>
      </c>
      <c r="C10" s="22"/>
      <c r="D10" s="22"/>
      <c r="E10" s="22"/>
      <c r="F10" s="22"/>
      <c r="G10" s="22"/>
      <c r="H10" s="12">
        <f t="shared" si="0"/>
        <v>44441</v>
      </c>
    </row>
    <row r="11" spans="2:10" ht="13.5" customHeight="1" x14ac:dyDescent="0.3">
      <c r="B11" s="6" t="s">
        <v>15</v>
      </c>
      <c r="C11" s="22"/>
      <c r="D11" s="48"/>
      <c r="E11" s="22"/>
      <c r="F11" s="48"/>
      <c r="G11" s="22"/>
      <c r="H11" s="12">
        <f t="shared" si="0"/>
        <v>44441</v>
      </c>
    </row>
    <row r="12" spans="2:10" x14ac:dyDescent="0.3">
      <c r="B12" s="6" t="s">
        <v>54</v>
      </c>
      <c r="C12" s="22"/>
      <c r="D12" s="22">
        <v>425500</v>
      </c>
      <c r="E12" s="22"/>
      <c r="F12" s="22"/>
      <c r="G12" s="22"/>
      <c r="H12" s="67">
        <f t="shared" si="0"/>
        <v>44441</v>
      </c>
    </row>
    <row r="13" spans="2:10" x14ac:dyDescent="0.3">
      <c r="B13" s="6" t="s">
        <v>26</v>
      </c>
      <c r="C13" s="22"/>
      <c r="D13" s="22"/>
      <c r="E13" s="22"/>
      <c r="F13" s="22"/>
      <c r="G13" s="22"/>
      <c r="H13" s="12">
        <f t="shared" si="0"/>
        <v>44441</v>
      </c>
    </row>
    <row r="14" spans="2:10" x14ac:dyDescent="0.3">
      <c r="B14" s="6" t="s">
        <v>22</v>
      </c>
      <c r="C14" s="23"/>
      <c r="D14" s="22"/>
      <c r="E14" s="23"/>
      <c r="F14" s="22"/>
      <c r="G14" s="23"/>
      <c r="H14" s="12">
        <f t="shared" si="0"/>
        <v>44441</v>
      </c>
      <c r="J14" s="4"/>
    </row>
    <row r="15" spans="2:10" x14ac:dyDescent="0.3">
      <c r="B15" s="6" t="s">
        <v>61</v>
      </c>
      <c r="C15" s="23"/>
      <c r="D15" s="22"/>
      <c r="E15" s="23"/>
      <c r="F15" s="22"/>
      <c r="G15" s="23"/>
      <c r="H15" s="67">
        <f t="shared" si="0"/>
        <v>44441</v>
      </c>
      <c r="J15" s="4"/>
    </row>
    <row r="16" spans="2:10" x14ac:dyDescent="0.3">
      <c r="B16" s="6" t="s">
        <v>19</v>
      </c>
      <c r="C16" s="22">
        <v>486000</v>
      </c>
      <c r="D16" s="22"/>
      <c r="E16" s="22"/>
      <c r="F16" s="22"/>
      <c r="G16" s="22">
        <v>594000</v>
      </c>
      <c r="H16" s="12">
        <f t="shared" si="0"/>
        <v>44441</v>
      </c>
    </row>
    <row r="17" spans="1:8" x14ac:dyDescent="0.3">
      <c r="B17" s="6" t="s">
        <v>14</v>
      </c>
      <c r="C17" s="22">
        <v>702000</v>
      </c>
      <c r="D17" s="22">
        <v>648000</v>
      </c>
      <c r="E17" s="22"/>
      <c r="F17" s="22"/>
      <c r="G17" s="22"/>
      <c r="H17" s="12">
        <f t="shared" si="0"/>
        <v>44441</v>
      </c>
    </row>
    <row r="18" spans="1:8" x14ac:dyDescent="0.3">
      <c r="B18" s="6" t="s">
        <v>24</v>
      </c>
      <c r="C18" s="22"/>
      <c r="D18" s="49"/>
      <c r="E18" s="22"/>
      <c r="F18" s="49"/>
      <c r="G18" s="22"/>
      <c r="H18" s="12">
        <f t="shared" si="0"/>
        <v>44441</v>
      </c>
    </row>
    <row r="19" spans="1:8" x14ac:dyDescent="0.3">
      <c r="B19" s="6" t="s">
        <v>21</v>
      </c>
      <c r="C19" s="22"/>
      <c r="D19" s="22"/>
      <c r="E19" s="22"/>
      <c r="F19" s="22"/>
      <c r="G19" s="22"/>
      <c r="H19" s="12">
        <f t="shared" si="0"/>
        <v>44441</v>
      </c>
    </row>
    <row r="20" spans="1:8" x14ac:dyDescent="0.3">
      <c r="B20" s="6" t="s">
        <v>18</v>
      </c>
      <c r="C20" s="22"/>
      <c r="D20" s="22"/>
      <c r="E20" s="22"/>
      <c r="F20" s="22"/>
      <c r="G20" s="22"/>
      <c r="H20" s="12">
        <f t="shared" si="0"/>
        <v>44441</v>
      </c>
    </row>
    <row r="21" spans="1:8" x14ac:dyDescent="0.3">
      <c r="B21" s="6" t="s">
        <v>16</v>
      </c>
      <c r="C21" s="22">
        <v>432000</v>
      </c>
      <c r="D21" s="22"/>
      <c r="E21" s="22"/>
      <c r="F21" s="22"/>
      <c r="G21" s="22"/>
      <c r="H21" s="12">
        <f t="shared" si="0"/>
        <v>44441</v>
      </c>
    </row>
    <row r="22" spans="1:8" x14ac:dyDescent="0.3">
      <c r="B22" s="50" t="s">
        <v>27</v>
      </c>
      <c r="C22" s="51">
        <f>SUM(September3_2021[KSI_AGO])</f>
        <v>1886000</v>
      </c>
      <c r="D22" s="51">
        <f>SUBTOTAL(109,September3_2021[KSI_PMS])</f>
        <v>1073500</v>
      </c>
      <c r="E22" s="51">
        <f>SUM(September3_2021[BUIPE_AGO])</f>
        <v>0</v>
      </c>
      <c r="F22" s="51">
        <f>SUM(September3_2021[BUIPE_PMS])</f>
        <v>0</v>
      </c>
      <c r="G22" s="51">
        <f>SUM(September3_2021[AKOSOMBO_AGO])</f>
        <v>594000</v>
      </c>
      <c r="H22" s="52"/>
    </row>
    <row r="23" spans="1:8" x14ac:dyDescent="0.3">
      <c r="B23" s="8"/>
      <c r="C23" s="24"/>
      <c r="D23" s="24"/>
      <c r="E23" s="24"/>
      <c r="F23" s="24"/>
      <c r="G23" s="24"/>
      <c r="H23"/>
    </row>
    <row r="24" spans="1:8" x14ac:dyDescent="0.3">
      <c r="B24" s="1" t="s">
        <v>6</v>
      </c>
      <c r="C24" s="1" t="s">
        <v>4</v>
      </c>
      <c r="D24" s="5">
        <f>SUMIF(September3_2021[[#Headers],[KSI_AGO]:[AKOSOMBO_AGO]],"*"&amp;C24,September3_2021[[#Totals],[KSI_AGO]:[AKOSOMBO_AGO]])</f>
        <v>2480000</v>
      </c>
      <c r="E24" s="1" t="s">
        <v>5</v>
      </c>
      <c r="F24" s="5">
        <f>SUMIF(September3_2021[[#Headers],[KSI_AGO]:[AKOSOMBO_AGO]],"*"&amp;E24,September3_2021[[#Totals],[KSI_AGO]:[AKOSOMBO_AGO]])</f>
        <v>1073500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3B24BC9-3BEE-4B11-9836-101C1970C012}">
      <formula1>INDIRECT("BDC_List[BDC List]")</formula1>
    </dataValidation>
  </dataValidations>
  <pageMargins left="0.7" right="0.7" top="0.75" bottom="0.75" header="0.3" footer="0.3"/>
  <tableParts count="1">
    <tablePart r:id="rId1"/>
  </tableParts>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142D5-E474-4F7A-A90C-AC1A1BA4494C}">
  <sheetPr codeName="Sheet427"/>
  <dimension ref="A1:J34"/>
  <sheetViews>
    <sheetView workbookViewId="0">
      <pane xSplit="2" ySplit="5" topLeftCell="C6" activePane="bottomRight" state="frozen"/>
      <selection activeCell="E16" sqref="E16"/>
      <selection pane="topRight" activeCell="E16" sqref="E16"/>
      <selection pane="bottomLeft" activeCell="E16" sqref="E16"/>
      <selection pane="bottomRight" activeCell="F19" sqref="F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44445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44445</v>
      </c>
    </row>
    <row r="7" spans="2:10" x14ac:dyDescent="0.3">
      <c r="B7" s="6" t="s">
        <v>37</v>
      </c>
      <c r="C7" s="49"/>
      <c r="D7" s="22"/>
      <c r="E7" s="22"/>
      <c r="F7" s="22"/>
      <c r="G7" s="22"/>
      <c r="H7" s="67">
        <f t="shared" si="0"/>
        <v>44445</v>
      </c>
    </row>
    <row r="8" spans="2:10" x14ac:dyDescent="0.3">
      <c r="B8" s="6" t="s">
        <v>17</v>
      </c>
      <c r="C8" s="22">
        <v>860000</v>
      </c>
      <c r="D8" s="22"/>
      <c r="E8" s="22"/>
      <c r="F8" s="22"/>
      <c r="G8" s="22"/>
      <c r="H8" s="12">
        <f t="shared" si="0"/>
        <v>44445</v>
      </c>
    </row>
    <row r="9" spans="2:10" ht="15.6" x14ac:dyDescent="0.3">
      <c r="B9" s="34" t="s">
        <v>0</v>
      </c>
      <c r="C9" s="60"/>
      <c r="D9" s="46"/>
      <c r="E9" s="60"/>
      <c r="F9" s="46">
        <v>162000</v>
      </c>
      <c r="G9" s="61"/>
      <c r="H9" s="12">
        <f t="shared" si="0"/>
        <v>44445</v>
      </c>
    </row>
    <row r="10" spans="2:10" ht="16.2" customHeight="1" x14ac:dyDescent="0.3">
      <c r="B10" s="6" t="s">
        <v>25</v>
      </c>
      <c r="C10" s="22"/>
      <c r="D10" s="22"/>
      <c r="E10" s="22"/>
      <c r="F10" s="22">
        <v>54000</v>
      </c>
      <c r="G10" s="22"/>
      <c r="H10" s="12">
        <f t="shared" si="0"/>
        <v>44445</v>
      </c>
    </row>
    <row r="11" spans="2:10" ht="13.5" customHeight="1" x14ac:dyDescent="0.3">
      <c r="B11" s="6" t="s">
        <v>15</v>
      </c>
      <c r="C11" s="22"/>
      <c r="D11" s="48"/>
      <c r="E11" s="22"/>
      <c r="F11" s="48"/>
      <c r="G11" s="22"/>
      <c r="H11" s="12">
        <f t="shared" si="0"/>
        <v>44445</v>
      </c>
    </row>
    <row r="12" spans="2:10" x14ac:dyDescent="0.3">
      <c r="B12" s="6" t="s">
        <v>54</v>
      </c>
      <c r="C12" s="22">
        <v>108000</v>
      </c>
      <c r="D12" s="22">
        <v>378000</v>
      </c>
      <c r="E12" s="22"/>
      <c r="F12" s="22"/>
      <c r="G12" s="22"/>
      <c r="H12" s="67">
        <f t="shared" si="0"/>
        <v>44445</v>
      </c>
    </row>
    <row r="13" spans="2:10" x14ac:dyDescent="0.3">
      <c r="B13" s="6" t="s">
        <v>26</v>
      </c>
      <c r="C13" s="22"/>
      <c r="D13" s="22"/>
      <c r="E13" s="22"/>
      <c r="F13" s="22"/>
      <c r="G13" s="22"/>
      <c r="H13" s="12">
        <f t="shared" si="0"/>
        <v>44445</v>
      </c>
    </row>
    <row r="14" spans="2:10" x14ac:dyDescent="0.3">
      <c r="B14" s="6" t="s">
        <v>22</v>
      </c>
      <c r="C14" s="23"/>
      <c r="D14" s="22"/>
      <c r="E14" s="23"/>
      <c r="F14" s="22"/>
      <c r="G14" s="23"/>
      <c r="H14" s="12">
        <f t="shared" si="0"/>
        <v>44445</v>
      </c>
      <c r="J14" s="4"/>
    </row>
    <row r="15" spans="2:10" x14ac:dyDescent="0.3">
      <c r="B15" s="6" t="s">
        <v>61</v>
      </c>
      <c r="C15" s="23"/>
      <c r="D15" s="22"/>
      <c r="E15" s="23"/>
      <c r="F15" s="22"/>
      <c r="G15" s="23"/>
      <c r="H15" s="67">
        <f t="shared" si="0"/>
        <v>44445</v>
      </c>
      <c r="J15" s="4"/>
    </row>
    <row r="16" spans="2:10" x14ac:dyDescent="0.3">
      <c r="B16" s="6" t="s">
        <v>19</v>
      </c>
      <c r="C16" s="22">
        <v>378000</v>
      </c>
      <c r="D16" s="22"/>
      <c r="E16" s="22"/>
      <c r="F16" s="22"/>
      <c r="G16" s="22">
        <v>352000</v>
      </c>
      <c r="H16" s="12">
        <f t="shared" si="0"/>
        <v>44445</v>
      </c>
    </row>
    <row r="17" spans="1:8" x14ac:dyDescent="0.3">
      <c r="B17" s="6" t="s">
        <v>14</v>
      </c>
      <c r="C17" s="22">
        <v>374000</v>
      </c>
      <c r="D17" s="22">
        <v>428000</v>
      </c>
      <c r="E17" s="22"/>
      <c r="F17" s="22">
        <v>54000</v>
      </c>
      <c r="G17" s="22"/>
      <c r="H17" s="12">
        <f t="shared" si="0"/>
        <v>44445</v>
      </c>
    </row>
    <row r="18" spans="1:8" x14ac:dyDescent="0.3">
      <c r="B18" s="6" t="s">
        <v>24</v>
      </c>
      <c r="C18" s="22"/>
      <c r="D18" s="49"/>
      <c r="E18" s="22"/>
      <c r="F18" s="49"/>
      <c r="G18" s="22"/>
      <c r="H18" s="12">
        <f t="shared" si="0"/>
        <v>44445</v>
      </c>
    </row>
    <row r="19" spans="1:8" x14ac:dyDescent="0.3">
      <c r="B19" s="6" t="s">
        <v>21</v>
      </c>
      <c r="C19" s="22"/>
      <c r="D19" s="22"/>
      <c r="E19" s="22"/>
      <c r="F19" s="22"/>
      <c r="G19" s="22"/>
      <c r="H19" s="12">
        <f t="shared" si="0"/>
        <v>44445</v>
      </c>
    </row>
    <row r="20" spans="1:8" x14ac:dyDescent="0.3">
      <c r="B20" s="6" t="s">
        <v>18</v>
      </c>
      <c r="C20" s="22"/>
      <c r="D20" s="22"/>
      <c r="E20" s="22"/>
      <c r="F20" s="22"/>
      <c r="G20" s="22"/>
      <c r="H20" s="12">
        <f t="shared" si="0"/>
        <v>44445</v>
      </c>
    </row>
    <row r="21" spans="1:8" x14ac:dyDescent="0.3">
      <c r="B21" s="6" t="s">
        <v>16</v>
      </c>
      <c r="C21" s="22">
        <v>108000</v>
      </c>
      <c r="D21" s="22"/>
      <c r="E21" s="22"/>
      <c r="F21" s="22"/>
      <c r="G21" s="22"/>
      <c r="H21" s="12">
        <f t="shared" si="0"/>
        <v>44445</v>
      </c>
    </row>
    <row r="22" spans="1:8" x14ac:dyDescent="0.3">
      <c r="B22" s="50" t="s">
        <v>27</v>
      </c>
      <c r="C22" s="51">
        <f>SUM(September6_2021[KSI_AGO])</f>
        <v>1828000</v>
      </c>
      <c r="D22" s="51">
        <f>SUBTOTAL(109,September6_2021[KSI_PMS])</f>
        <v>806000</v>
      </c>
      <c r="E22" s="51">
        <f>SUM(September6_2021[BUIPE_AGO])</f>
        <v>0</v>
      </c>
      <c r="F22" s="51">
        <f>SUM(September6_2021[BUIPE_PMS])</f>
        <v>270000</v>
      </c>
      <c r="G22" s="51">
        <f>SUM(September6_2021[AKOSOMBO_AGO])</f>
        <v>352000</v>
      </c>
      <c r="H22" s="52"/>
    </row>
    <row r="23" spans="1:8" x14ac:dyDescent="0.3">
      <c r="B23" s="8"/>
      <c r="C23" s="24"/>
      <c r="D23" s="24"/>
      <c r="E23" s="24"/>
      <c r="F23" s="24"/>
      <c r="G23" s="24"/>
      <c r="H23"/>
    </row>
    <row r="24" spans="1:8" x14ac:dyDescent="0.3">
      <c r="B24" s="1" t="s">
        <v>6</v>
      </c>
      <c r="C24" s="1" t="s">
        <v>4</v>
      </c>
      <c r="D24" s="5">
        <f>SUMIF(September6_2021[[#Headers],[KSI_AGO]:[AKOSOMBO_AGO]],"*"&amp;C24,September6_2021[[#Totals],[KSI_AGO]:[AKOSOMBO_AGO]])</f>
        <v>2180000</v>
      </c>
      <c r="E24" s="1" t="s">
        <v>5</v>
      </c>
      <c r="F24" s="5">
        <f>SUMIF(September6_2021[[#Headers],[KSI_AGO]:[AKOSOMBO_AGO]],"*"&amp;E24,September6_2021[[#Totals],[KSI_AGO]:[AKOSOMBO_AGO]])</f>
        <v>1076000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EBD943D5-74AC-4A80-AC26-5240853F03E9}">
      <formula1>INDIRECT("BDC_List[BDC List]")</formula1>
    </dataValidation>
  </dataValidations>
  <pageMargins left="0.7" right="0.7" top="0.75" bottom="0.75" header="0.3" footer="0.3"/>
  <tableParts count="1">
    <tablePart r:id="rId1"/>
  </tableParts>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E4B3D-0909-4BF1-A2ED-7FAC0F315F93}">
  <sheetPr codeName="Sheet428"/>
  <dimension ref="A1:J34"/>
  <sheetViews>
    <sheetView workbookViewId="0">
      <pane xSplit="2" ySplit="5" topLeftCell="C6" activePane="bottomRight" state="frozen"/>
      <selection activeCell="E16" sqref="E16"/>
      <selection pane="topRight" activeCell="E16" sqref="E16"/>
      <selection pane="bottomLeft" activeCell="E16" sqref="E16"/>
      <selection pane="bottomRight" activeCell="G14" sqref="G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44446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44446</v>
      </c>
    </row>
    <row r="7" spans="2:10" x14ac:dyDescent="0.3">
      <c r="B7" s="6" t="s">
        <v>37</v>
      </c>
      <c r="C7" s="49"/>
      <c r="D7" s="22">
        <v>45000</v>
      </c>
      <c r="E7" s="22"/>
      <c r="F7" s="22"/>
      <c r="G7" s="22"/>
      <c r="H7" s="67">
        <f t="shared" si="0"/>
        <v>44446</v>
      </c>
    </row>
    <row r="8" spans="2:10" x14ac:dyDescent="0.3">
      <c r="B8" s="6" t="s">
        <v>17</v>
      </c>
      <c r="C8" s="22">
        <v>540000</v>
      </c>
      <c r="D8" s="22"/>
      <c r="E8" s="22"/>
      <c r="F8" s="22"/>
      <c r="G8" s="22"/>
      <c r="H8" s="12">
        <f t="shared" si="0"/>
        <v>44446</v>
      </c>
    </row>
    <row r="9" spans="2:10" ht="15.6" x14ac:dyDescent="0.3">
      <c r="B9" s="34" t="s">
        <v>0</v>
      </c>
      <c r="C9" s="60"/>
      <c r="D9" s="46"/>
      <c r="E9" s="60"/>
      <c r="F9" s="46"/>
      <c r="G9" s="61"/>
      <c r="H9" s="12">
        <f t="shared" si="0"/>
        <v>44446</v>
      </c>
    </row>
    <row r="10" spans="2:10" ht="16.2" customHeight="1" x14ac:dyDescent="0.3">
      <c r="B10" s="6" t="s">
        <v>25</v>
      </c>
      <c r="C10" s="22"/>
      <c r="D10" s="22"/>
      <c r="E10" s="22"/>
      <c r="F10" s="22"/>
      <c r="G10" s="22"/>
      <c r="H10" s="12">
        <f t="shared" si="0"/>
        <v>44446</v>
      </c>
    </row>
    <row r="11" spans="2:10" ht="13.5" customHeight="1" x14ac:dyDescent="0.3">
      <c r="B11" s="6" t="s">
        <v>15</v>
      </c>
      <c r="C11" s="22"/>
      <c r="D11" s="48">
        <v>90000</v>
      </c>
      <c r="E11" s="22"/>
      <c r="F11" s="48"/>
      <c r="G11" s="22"/>
      <c r="H11" s="12">
        <f t="shared" si="0"/>
        <v>44446</v>
      </c>
    </row>
    <row r="12" spans="2:10" x14ac:dyDescent="0.3">
      <c r="B12" s="6" t="s">
        <v>54</v>
      </c>
      <c r="C12" s="22">
        <v>643500</v>
      </c>
      <c r="D12" s="22">
        <v>324000</v>
      </c>
      <c r="E12" s="22"/>
      <c r="F12" s="22"/>
      <c r="G12" s="22"/>
      <c r="H12" s="67">
        <f t="shared" si="0"/>
        <v>44446</v>
      </c>
    </row>
    <row r="13" spans="2:10" x14ac:dyDescent="0.3">
      <c r="B13" s="6" t="s">
        <v>26</v>
      </c>
      <c r="C13" s="22"/>
      <c r="D13" s="22"/>
      <c r="E13" s="22"/>
      <c r="F13" s="22"/>
      <c r="G13" s="22"/>
      <c r="H13" s="12">
        <f t="shared" si="0"/>
        <v>44446</v>
      </c>
    </row>
    <row r="14" spans="2:10" x14ac:dyDescent="0.3">
      <c r="B14" s="6" t="s">
        <v>22</v>
      </c>
      <c r="C14" s="23"/>
      <c r="D14" s="22"/>
      <c r="E14" s="23"/>
      <c r="F14" s="22"/>
      <c r="G14" s="23"/>
      <c r="H14" s="12">
        <f t="shared" si="0"/>
        <v>44446</v>
      </c>
      <c r="J14" s="4"/>
    </row>
    <row r="15" spans="2:10" x14ac:dyDescent="0.3">
      <c r="B15" s="6" t="s">
        <v>61</v>
      </c>
      <c r="C15" s="23"/>
      <c r="D15" s="22"/>
      <c r="E15" s="23"/>
      <c r="F15" s="22"/>
      <c r="G15" s="23"/>
      <c r="H15" s="67">
        <f t="shared" si="0"/>
        <v>44446</v>
      </c>
      <c r="J15" s="4"/>
    </row>
    <row r="16" spans="2:10" x14ac:dyDescent="0.3">
      <c r="B16" s="6" t="s">
        <v>19</v>
      </c>
      <c r="C16" s="22">
        <v>207000</v>
      </c>
      <c r="D16" s="22"/>
      <c r="E16" s="22"/>
      <c r="F16" s="22"/>
      <c r="G16" s="22">
        <v>540000</v>
      </c>
      <c r="H16" s="12">
        <f t="shared" si="0"/>
        <v>44446</v>
      </c>
    </row>
    <row r="17" spans="1:8" x14ac:dyDescent="0.3">
      <c r="B17" s="6" t="s">
        <v>14</v>
      </c>
      <c r="C17" s="22">
        <v>486000</v>
      </c>
      <c r="D17" s="22">
        <v>324000</v>
      </c>
      <c r="E17" s="22"/>
      <c r="F17" s="22"/>
      <c r="G17" s="22"/>
      <c r="H17" s="12">
        <f t="shared" si="0"/>
        <v>44446</v>
      </c>
    </row>
    <row r="18" spans="1:8" x14ac:dyDescent="0.3">
      <c r="B18" s="6" t="s">
        <v>24</v>
      </c>
      <c r="C18" s="22"/>
      <c r="D18" s="49"/>
      <c r="E18" s="22"/>
      <c r="F18" s="49"/>
      <c r="G18" s="22"/>
      <c r="H18" s="12">
        <f t="shared" si="0"/>
        <v>44446</v>
      </c>
    </row>
    <row r="19" spans="1:8" x14ac:dyDescent="0.3">
      <c r="B19" s="6" t="s">
        <v>21</v>
      </c>
      <c r="C19" s="22"/>
      <c r="D19" s="22"/>
      <c r="E19" s="22"/>
      <c r="F19" s="22"/>
      <c r="G19" s="22"/>
      <c r="H19" s="12">
        <f t="shared" si="0"/>
        <v>44446</v>
      </c>
    </row>
    <row r="20" spans="1:8" x14ac:dyDescent="0.3">
      <c r="B20" s="6" t="s">
        <v>18</v>
      </c>
      <c r="C20" s="22"/>
      <c r="D20" s="22"/>
      <c r="E20" s="22"/>
      <c r="F20" s="22"/>
      <c r="G20" s="22"/>
      <c r="H20" s="12">
        <f t="shared" si="0"/>
        <v>44446</v>
      </c>
    </row>
    <row r="21" spans="1:8" x14ac:dyDescent="0.3">
      <c r="B21" s="6" t="s">
        <v>16</v>
      </c>
      <c r="C21" s="22"/>
      <c r="D21" s="22"/>
      <c r="E21" s="22"/>
      <c r="F21" s="22"/>
      <c r="G21" s="22"/>
      <c r="H21" s="12">
        <f t="shared" si="0"/>
        <v>44446</v>
      </c>
    </row>
    <row r="22" spans="1:8" x14ac:dyDescent="0.3">
      <c r="B22" s="50" t="s">
        <v>27</v>
      </c>
      <c r="C22" s="51">
        <f>SUM(September7_2021[KSI_AGO])</f>
        <v>1876500</v>
      </c>
      <c r="D22" s="51">
        <f>SUBTOTAL(109,September7_2021[KSI_PMS])</f>
        <v>783000</v>
      </c>
      <c r="E22" s="51">
        <f>SUM(September7_2021[BUIPE_AGO])</f>
        <v>0</v>
      </c>
      <c r="F22" s="51">
        <f>SUM(September7_2021[BUIPE_PMS])</f>
        <v>0</v>
      </c>
      <c r="G22" s="51">
        <f>SUM(September7_2021[AKOSOMBO_AGO])</f>
        <v>540000</v>
      </c>
      <c r="H22" s="52"/>
    </row>
    <row r="23" spans="1:8" x14ac:dyDescent="0.3">
      <c r="B23" s="8"/>
      <c r="C23" s="24"/>
      <c r="D23" s="24"/>
      <c r="E23" s="24"/>
      <c r="F23" s="24"/>
      <c r="G23" s="24"/>
      <c r="H23"/>
    </row>
    <row r="24" spans="1:8" x14ac:dyDescent="0.3">
      <c r="B24" s="1" t="s">
        <v>6</v>
      </c>
      <c r="C24" s="1" t="s">
        <v>4</v>
      </c>
      <c r="D24" s="5">
        <f>SUMIF(September7_2021[[#Headers],[KSI_AGO]:[AKOSOMBO_AGO]],"*"&amp;C24,September7_2021[[#Totals],[KSI_AGO]:[AKOSOMBO_AGO]])</f>
        <v>2416500</v>
      </c>
      <c r="E24" s="1" t="s">
        <v>5</v>
      </c>
      <c r="F24" s="5">
        <f>SUMIF(September7_2021[[#Headers],[KSI_AGO]:[AKOSOMBO_AGO]],"*"&amp;E24,September7_2021[[#Totals],[KSI_AGO]:[AKOSOMBO_AGO]])</f>
        <v>783000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5D372271-9FC3-4C2B-8961-FACAD94CC1D4}">
      <formula1>INDIRECT("BDC_List[BDC List]")</formula1>
    </dataValidation>
  </dataValidations>
  <pageMargins left="0.7" right="0.7" top="0.75" bottom="0.75" header="0.3" footer="0.3"/>
  <tableParts count="1">
    <tablePart r:id="rId1"/>
  </tableParts>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17BC-89DA-4687-9B8F-205EFFDCC27B}">
  <sheetPr codeName="Sheet429"/>
  <dimension ref="A1:J34"/>
  <sheetViews>
    <sheetView workbookViewId="0">
      <pane xSplit="2" ySplit="5" topLeftCell="C6" activePane="bottomRight" state="frozen"/>
      <selection activeCell="E16" sqref="E16"/>
      <selection pane="topRight" activeCell="E16" sqref="E16"/>
      <selection pane="bottomLeft" activeCell="E16" sqref="E16"/>
      <selection pane="bottomRight" activeCell="G12" sqref="G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44447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44447</v>
      </c>
    </row>
    <row r="7" spans="2:10" x14ac:dyDescent="0.3">
      <c r="B7" s="6" t="s">
        <v>37</v>
      </c>
      <c r="C7" s="49"/>
      <c r="D7" s="22"/>
      <c r="E7" s="22"/>
      <c r="F7" s="22"/>
      <c r="G7" s="22"/>
      <c r="H7" s="67">
        <f t="shared" si="0"/>
        <v>44447</v>
      </c>
    </row>
    <row r="8" spans="2:10" x14ac:dyDescent="0.3">
      <c r="B8" s="6" t="s">
        <v>17</v>
      </c>
      <c r="C8" s="22">
        <v>1134000</v>
      </c>
      <c r="D8" s="22"/>
      <c r="E8" s="22"/>
      <c r="F8" s="22">
        <v>54000</v>
      </c>
      <c r="G8" s="22"/>
      <c r="H8" s="12">
        <f t="shared" si="0"/>
        <v>44447</v>
      </c>
    </row>
    <row r="9" spans="2:10" ht="15.6" x14ac:dyDescent="0.3">
      <c r="B9" s="34" t="s">
        <v>0</v>
      </c>
      <c r="C9" s="60"/>
      <c r="D9" s="46">
        <v>212000</v>
      </c>
      <c r="E9" s="60"/>
      <c r="F9" s="46">
        <v>216000</v>
      </c>
      <c r="G9" s="61"/>
      <c r="H9" s="12">
        <f t="shared" si="0"/>
        <v>44447</v>
      </c>
    </row>
    <row r="10" spans="2:10" ht="16.2" customHeight="1" x14ac:dyDescent="0.3">
      <c r="B10" s="6" t="s">
        <v>25</v>
      </c>
      <c r="C10" s="22"/>
      <c r="D10" s="22"/>
      <c r="E10" s="22"/>
      <c r="F10" s="22">
        <v>108000</v>
      </c>
      <c r="G10" s="22"/>
      <c r="H10" s="12">
        <f t="shared" si="0"/>
        <v>44447</v>
      </c>
    </row>
    <row r="11" spans="2:10" ht="13.5" customHeight="1" x14ac:dyDescent="0.3">
      <c r="B11" s="6" t="s">
        <v>15</v>
      </c>
      <c r="C11" s="22"/>
      <c r="D11" s="48"/>
      <c r="E11" s="22"/>
      <c r="F11" s="48">
        <v>54000</v>
      </c>
      <c r="G11" s="22"/>
      <c r="H11" s="12">
        <f t="shared" si="0"/>
        <v>44447</v>
      </c>
    </row>
    <row r="12" spans="2:10" x14ac:dyDescent="0.3">
      <c r="B12" s="6" t="s">
        <v>54</v>
      </c>
      <c r="C12" s="22">
        <v>594000</v>
      </c>
      <c r="D12" s="22">
        <v>424000</v>
      </c>
      <c r="E12" s="22"/>
      <c r="F12" s="22"/>
      <c r="G12" s="22"/>
      <c r="H12" s="67">
        <f t="shared" si="0"/>
        <v>44447</v>
      </c>
    </row>
    <row r="13" spans="2:10" x14ac:dyDescent="0.3">
      <c r="B13" s="6" t="s">
        <v>26</v>
      </c>
      <c r="C13" s="22"/>
      <c r="D13" s="22">
        <v>45000</v>
      </c>
      <c r="E13" s="22"/>
      <c r="F13" s="22"/>
      <c r="G13" s="22"/>
      <c r="H13" s="12">
        <f t="shared" si="0"/>
        <v>44447</v>
      </c>
    </row>
    <row r="14" spans="2:10" x14ac:dyDescent="0.3">
      <c r="B14" s="6" t="s">
        <v>22</v>
      </c>
      <c r="C14" s="23"/>
      <c r="D14" s="22"/>
      <c r="E14" s="23"/>
      <c r="F14" s="22"/>
      <c r="G14" s="23"/>
      <c r="H14" s="12">
        <f t="shared" si="0"/>
        <v>44447</v>
      </c>
      <c r="J14" s="4"/>
    </row>
    <row r="15" spans="2:10" x14ac:dyDescent="0.3">
      <c r="B15" s="6" t="s">
        <v>61</v>
      </c>
      <c r="C15" s="23"/>
      <c r="D15" s="22"/>
      <c r="E15" s="23"/>
      <c r="F15" s="22"/>
      <c r="G15" s="23"/>
      <c r="H15" s="67">
        <f t="shared" si="0"/>
        <v>44447</v>
      </c>
      <c r="J15" s="4"/>
    </row>
    <row r="16" spans="2:10" x14ac:dyDescent="0.3">
      <c r="B16" s="6" t="s">
        <v>19</v>
      </c>
      <c r="C16" s="22"/>
      <c r="D16" s="22"/>
      <c r="E16" s="22"/>
      <c r="F16" s="22"/>
      <c r="G16" s="22">
        <v>415000</v>
      </c>
      <c r="H16" s="12">
        <f t="shared" si="0"/>
        <v>44447</v>
      </c>
    </row>
    <row r="17" spans="1:8" x14ac:dyDescent="0.3">
      <c r="B17" s="6" t="s">
        <v>14</v>
      </c>
      <c r="C17" s="22">
        <v>153000</v>
      </c>
      <c r="D17" s="22">
        <v>432000</v>
      </c>
      <c r="E17" s="22"/>
      <c r="F17" s="22">
        <v>54000</v>
      </c>
      <c r="G17" s="22"/>
      <c r="H17" s="12">
        <f t="shared" si="0"/>
        <v>44447</v>
      </c>
    </row>
    <row r="18" spans="1:8" x14ac:dyDescent="0.3">
      <c r="B18" s="6" t="s">
        <v>24</v>
      </c>
      <c r="C18" s="22"/>
      <c r="D18" s="49"/>
      <c r="E18" s="22"/>
      <c r="F18" s="49"/>
      <c r="G18" s="22"/>
      <c r="H18" s="12">
        <f t="shared" si="0"/>
        <v>44447</v>
      </c>
    </row>
    <row r="19" spans="1:8" x14ac:dyDescent="0.3">
      <c r="B19" s="6" t="s">
        <v>21</v>
      </c>
      <c r="C19" s="22"/>
      <c r="D19" s="22"/>
      <c r="E19" s="22"/>
      <c r="F19" s="22"/>
      <c r="G19" s="22"/>
      <c r="H19" s="12">
        <f t="shared" si="0"/>
        <v>44447</v>
      </c>
    </row>
    <row r="20" spans="1:8" x14ac:dyDescent="0.3">
      <c r="B20" s="6" t="s">
        <v>18</v>
      </c>
      <c r="C20" s="22"/>
      <c r="D20" s="22"/>
      <c r="E20" s="22"/>
      <c r="F20" s="22"/>
      <c r="G20" s="22"/>
      <c r="H20" s="12">
        <f t="shared" si="0"/>
        <v>44447</v>
      </c>
    </row>
    <row r="21" spans="1:8" x14ac:dyDescent="0.3">
      <c r="B21" s="6" t="s">
        <v>16</v>
      </c>
      <c r="C21" s="22"/>
      <c r="D21" s="22"/>
      <c r="E21" s="22"/>
      <c r="F21" s="22"/>
      <c r="G21" s="22"/>
      <c r="H21" s="12">
        <f t="shared" si="0"/>
        <v>44447</v>
      </c>
    </row>
    <row r="22" spans="1:8" x14ac:dyDescent="0.3">
      <c r="B22" s="50" t="s">
        <v>27</v>
      </c>
      <c r="C22" s="51">
        <f>SUM(September8_2021[KSI_AGO])</f>
        <v>1881000</v>
      </c>
      <c r="D22" s="51">
        <f>SUBTOTAL(109,September8_2021[KSI_PMS])</f>
        <v>1113000</v>
      </c>
      <c r="E22" s="51">
        <f>SUM(September8_2021[BUIPE_AGO])</f>
        <v>0</v>
      </c>
      <c r="F22" s="51">
        <f>SUM(September8_2021[BUIPE_PMS])</f>
        <v>486000</v>
      </c>
      <c r="G22" s="51">
        <f>SUM(September8_2021[AKOSOMBO_AGO])</f>
        <v>415000</v>
      </c>
      <c r="H22" s="52"/>
    </row>
    <row r="23" spans="1:8" x14ac:dyDescent="0.3">
      <c r="B23" s="8"/>
      <c r="C23" s="24"/>
      <c r="D23" s="24"/>
      <c r="E23" s="24"/>
      <c r="F23" s="24"/>
      <c r="G23" s="24"/>
      <c r="H23"/>
    </row>
    <row r="24" spans="1:8" x14ac:dyDescent="0.3">
      <c r="B24" s="1" t="s">
        <v>6</v>
      </c>
      <c r="C24" s="1" t="s">
        <v>4</v>
      </c>
      <c r="D24" s="5">
        <f>SUMIF(September8_2021[[#Headers],[KSI_AGO]:[AKOSOMBO_AGO]],"*"&amp;C24,September8_2021[[#Totals],[KSI_AGO]:[AKOSOMBO_AGO]])</f>
        <v>2296000</v>
      </c>
      <c r="E24" s="1" t="s">
        <v>5</v>
      </c>
      <c r="F24" s="5">
        <f>SUMIF(September8_2021[[#Headers],[KSI_AGO]:[AKOSOMBO_AGO]],"*"&amp;E24,September8_2021[[#Totals],[KSI_AGO]:[AKOSOMBO_AGO]])</f>
        <v>1599000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428C1681-7C87-4806-9C34-9E21C41AF97B}">
      <formula1>INDIRECT("BDC_List[BDC List]")</formula1>
    </dataValidation>
  </dataValidations>
  <pageMargins left="0.7" right="0.7" top="0.75" bottom="0.75" header="0.3" footer="0.3"/>
  <tableParts count="1">
    <tablePart r:id="rId1"/>
  </tableParts>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CE45A-6D43-49D4-BF92-5B42F88AD53D}">
  <sheetPr codeName="Sheet430"/>
  <dimension ref="A1:J34"/>
  <sheetViews>
    <sheetView workbookViewId="0">
      <pane xSplit="2" ySplit="5" topLeftCell="C6" activePane="bottomRight" state="frozen"/>
      <selection activeCell="E16" sqref="E16"/>
      <selection pane="topRight" activeCell="E16" sqref="E16"/>
      <selection pane="bottomLeft" activeCell="E16" sqref="E16"/>
      <selection pane="bottomRight"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44448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44448</v>
      </c>
    </row>
    <row r="7" spans="2:10" x14ac:dyDescent="0.3">
      <c r="B7" s="6" t="s">
        <v>37</v>
      </c>
      <c r="C7" s="49"/>
      <c r="D7" s="22"/>
      <c r="E7" s="22"/>
      <c r="F7" s="22"/>
      <c r="G7" s="22"/>
      <c r="H7" s="67">
        <f t="shared" si="0"/>
        <v>44448</v>
      </c>
    </row>
    <row r="8" spans="2:10" x14ac:dyDescent="0.3">
      <c r="B8" s="6" t="s">
        <v>17</v>
      </c>
      <c r="C8" s="22">
        <v>108000</v>
      </c>
      <c r="D8" s="22"/>
      <c r="E8" s="22"/>
      <c r="F8" s="22"/>
      <c r="G8" s="22"/>
      <c r="H8" s="12">
        <f t="shared" si="0"/>
        <v>44448</v>
      </c>
    </row>
    <row r="9" spans="2:10" ht="15.6" x14ac:dyDescent="0.3">
      <c r="B9" s="34" t="s">
        <v>0</v>
      </c>
      <c r="C9" s="60"/>
      <c r="D9" s="46">
        <v>644000</v>
      </c>
      <c r="E9" s="60"/>
      <c r="F9" s="46"/>
      <c r="G9" s="61"/>
      <c r="H9" s="12">
        <f t="shared" si="0"/>
        <v>44448</v>
      </c>
    </row>
    <row r="10" spans="2:10" ht="16.2" customHeight="1" x14ac:dyDescent="0.3">
      <c r="B10" s="6" t="s">
        <v>25</v>
      </c>
      <c r="C10" s="22"/>
      <c r="D10" s="22"/>
      <c r="E10" s="22"/>
      <c r="F10" s="22"/>
      <c r="G10" s="22"/>
      <c r="H10" s="12">
        <f t="shared" si="0"/>
        <v>44448</v>
      </c>
    </row>
    <row r="11" spans="2:10" ht="13.5" customHeight="1" x14ac:dyDescent="0.3">
      <c r="B11" s="6" t="s">
        <v>15</v>
      </c>
      <c r="C11" s="22"/>
      <c r="D11" s="48"/>
      <c r="E11" s="22"/>
      <c r="F11" s="48"/>
      <c r="G11" s="22"/>
      <c r="H11" s="12">
        <f t="shared" si="0"/>
        <v>44448</v>
      </c>
    </row>
    <row r="12" spans="2:10" x14ac:dyDescent="0.3">
      <c r="B12" s="6" t="s">
        <v>54</v>
      </c>
      <c r="C12" s="22">
        <v>162000</v>
      </c>
      <c r="D12" s="22"/>
      <c r="E12" s="22"/>
      <c r="F12" s="22"/>
      <c r="G12" s="22"/>
      <c r="H12" s="67">
        <f t="shared" si="0"/>
        <v>44448</v>
      </c>
    </row>
    <row r="13" spans="2:10" x14ac:dyDescent="0.3">
      <c r="B13" s="6" t="s">
        <v>26</v>
      </c>
      <c r="C13" s="22">
        <v>135000</v>
      </c>
      <c r="D13" s="22"/>
      <c r="E13" s="22"/>
      <c r="F13" s="22"/>
      <c r="G13" s="22"/>
      <c r="H13" s="12">
        <f t="shared" si="0"/>
        <v>44448</v>
      </c>
    </row>
    <row r="14" spans="2:10" x14ac:dyDescent="0.3">
      <c r="B14" s="6" t="s">
        <v>22</v>
      </c>
      <c r="C14" s="23"/>
      <c r="D14" s="22"/>
      <c r="E14" s="23"/>
      <c r="F14" s="22"/>
      <c r="G14" s="23"/>
      <c r="H14" s="12">
        <f t="shared" si="0"/>
        <v>44448</v>
      </c>
      <c r="J14" s="4"/>
    </row>
    <row r="15" spans="2:10" x14ac:dyDescent="0.3">
      <c r="B15" s="6" t="s">
        <v>61</v>
      </c>
      <c r="C15" s="23"/>
      <c r="D15" s="22"/>
      <c r="E15" s="23"/>
      <c r="F15" s="22"/>
      <c r="G15" s="23"/>
      <c r="H15" s="67">
        <f t="shared" si="0"/>
        <v>44448</v>
      </c>
      <c r="J15" s="4"/>
    </row>
    <row r="16" spans="2:10" x14ac:dyDescent="0.3">
      <c r="B16" s="6" t="s">
        <v>19</v>
      </c>
      <c r="C16" s="22"/>
      <c r="D16" s="22">
        <v>324000</v>
      </c>
      <c r="E16" s="22"/>
      <c r="F16" s="22">
        <v>54000</v>
      </c>
      <c r="G16" s="22">
        <v>45000</v>
      </c>
      <c r="H16" s="12">
        <f t="shared" si="0"/>
        <v>44448</v>
      </c>
    </row>
    <row r="17" spans="1:8" x14ac:dyDescent="0.3">
      <c r="B17" s="6" t="s">
        <v>14</v>
      </c>
      <c r="C17" s="22">
        <v>45000</v>
      </c>
      <c r="D17" s="22">
        <v>216000</v>
      </c>
      <c r="E17" s="22"/>
      <c r="F17" s="22"/>
      <c r="G17" s="22"/>
      <c r="H17" s="12">
        <f t="shared" si="0"/>
        <v>44448</v>
      </c>
    </row>
    <row r="18" spans="1:8" x14ac:dyDescent="0.3">
      <c r="B18" s="6" t="s">
        <v>24</v>
      </c>
      <c r="C18" s="22"/>
      <c r="D18" s="49"/>
      <c r="E18" s="22"/>
      <c r="F18" s="49"/>
      <c r="G18" s="22"/>
      <c r="H18" s="12">
        <f t="shared" si="0"/>
        <v>44448</v>
      </c>
    </row>
    <row r="19" spans="1:8" x14ac:dyDescent="0.3">
      <c r="B19" s="6" t="s">
        <v>21</v>
      </c>
      <c r="C19" s="22"/>
      <c r="D19" s="22"/>
      <c r="E19" s="22"/>
      <c r="F19" s="22"/>
      <c r="G19" s="22"/>
      <c r="H19" s="12">
        <f t="shared" si="0"/>
        <v>44448</v>
      </c>
    </row>
    <row r="20" spans="1:8" x14ac:dyDescent="0.3">
      <c r="B20" s="6" t="s">
        <v>18</v>
      </c>
      <c r="C20" s="22"/>
      <c r="D20" s="22"/>
      <c r="E20" s="22"/>
      <c r="F20" s="22"/>
      <c r="G20" s="22"/>
      <c r="H20" s="12">
        <f t="shared" si="0"/>
        <v>44448</v>
      </c>
    </row>
    <row r="21" spans="1:8" x14ac:dyDescent="0.3">
      <c r="B21" s="6" t="s">
        <v>16</v>
      </c>
      <c r="C21" s="22"/>
      <c r="D21" s="22">
        <v>270000</v>
      </c>
      <c r="E21" s="22"/>
      <c r="F21" s="22"/>
      <c r="G21" s="22"/>
      <c r="H21" s="12">
        <f t="shared" si="0"/>
        <v>44448</v>
      </c>
    </row>
    <row r="22" spans="1:8" x14ac:dyDescent="0.3">
      <c r="B22" s="50" t="s">
        <v>27</v>
      </c>
      <c r="C22" s="51">
        <f>SUM(September9_2021448[KSI_AGO])</f>
        <v>450000</v>
      </c>
      <c r="D22" s="51">
        <f>SUBTOTAL(109,September9_2021448[KSI_PMS])</f>
        <v>1454000</v>
      </c>
      <c r="E22" s="51">
        <f>SUM(September9_2021448[BUIPE_AGO])</f>
        <v>0</v>
      </c>
      <c r="F22" s="51">
        <f>SUM(September9_2021448[BUIPE_PMS])</f>
        <v>54000</v>
      </c>
      <c r="G22" s="51">
        <f>SUM(September9_2021448[AKOSOMBO_AGO])</f>
        <v>45000</v>
      </c>
      <c r="H22" s="52"/>
    </row>
    <row r="23" spans="1:8" x14ac:dyDescent="0.3">
      <c r="B23" s="8"/>
      <c r="C23" s="24"/>
      <c r="D23" s="24"/>
      <c r="E23" s="24"/>
      <c r="F23" s="24"/>
      <c r="G23" s="24"/>
      <c r="H23"/>
    </row>
    <row r="24" spans="1:8" x14ac:dyDescent="0.3">
      <c r="B24" s="1" t="s">
        <v>6</v>
      </c>
      <c r="C24" s="1" t="s">
        <v>4</v>
      </c>
      <c r="D24" s="5">
        <f>SUMIF(September9_2021448[[#Headers],[KSI_AGO]:[AKOSOMBO_AGO]],"*"&amp;C24,September9_2021448[[#Totals],[KSI_AGO]:[AKOSOMBO_AGO]])</f>
        <v>495000</v>
      </c>
      <c r="E24" s="1" t="s">
        <v>5</v>
      </c>
      <c r="F24" s="5">
        <f>SUMIF(September9_2021448[[#Headers],[KSI_AGO]:[AKOSOMBO_AGO]],"*"&amp;E24,September9_2021448[[#Totals],[KSI_AGO]:[AKOSOMBO_AGO]])</f>
        <v>1508000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24A2BA2-7ADA-4BD2-AB9C-02756B7FE501}">
      <formula1>INDIRECT("BDC_List[BDC List]")</formula1>
    </dataValidation>
  </dataValidations>
  <pageMargins left="0.7" right="0.7" top="0.75" bottom="0.75" header="0.3" footer="0.3"/>
  <tableParts count="1">
    <tablePart r:id="rId1"/>
  </tableParts>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B40E1-F0AE-4DF2-B061-63432AE34AB9}">
  <sheetPr codeName="Sheet431"/>
  <dimension ref="A1:J34"/>
  <sheetViews>
    <sheetView workbookViewId="0">
      <pane xSplit="2" ySplit="5" topLeftCell="C6" activePane="bottomRight" state="frozen"/>
      <selection activeCell="E16" sqref="E16"/>
      <selection pane="topRight" activeCell="E16" sqref="E16"/>
      <selection pane="bottomLeft" activeCell="E16" sqref="E16"/>
      <selection pane="bottomRight" activeCell="F15" sqref="F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44449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44449</v>
      </c>
    </row>
    <row r="7" spans="2:10" x14ac:dyDescent="0.3">
      <c r="B7" s="6" t="s">
        <v>37</v>
      </c>
      <c r="C7" s="49"/>
      <c r="D7" s="22"/>
      <c r="E7" s="22"/>
      <c r="F7" s="22"/>
      <c r="G7" s="22"/>
      <c r="H7" s="67">
        <f t="shared" si="0"/>
        <v>44449</v>
      </c>
    </row>
    <row r="8" spans="2:10" x14ac:dyDescent="0.3">
      <c r="B8" s="6" t="s">
        <v>17</v>
      </c>
      <c r="C8" s="22"/>
      <c r="D8" s="22"/>
      <c r="E8" s="22"/>
      <c r="F8" s="22">
        <v>162000</v>
      </c>
      <c r="G8" s="22"/>
      <c r="H8" s="12">
        <f t="shared" si="0"/>
        <v>44449</v>
      </c>
    </row>
    <row r="9" spans="2:10" ht="15.6" x14ac:dyDescent="0.3">
      <c r="B9" s="34" t="s">
        <v>0</v>
      </c>
      <c r="C9" s="60"/>
      <c r="D9" s="46">
        <v>639000</v>
      </c>
      <c r="E9" s="60"/>
      <c r="F9" s="46"/>
      <c r="G9" s="61"/>
      <c r="H9" s="12">
        <f t="shared" si="0"/>
        <v>44449</v>
      </c>
    </row>
    <row r="10" spans="2:10" ht="16.2" customHeight="1" x14ac:dyDescent="0.3">
      <c r="B10" s="6" t="s">
        <v>25</v>
      </c>
      <c r="C10" s="22"/>
      <c r="D10" s="22"/>
      <c r="E10" s="22"/>
      <c r="F10" s="22"/>
      <c r="G10" s="22"/>
      <c r="H10" s="12">
        <f t="shared" si="0"/>
        <v>44449</v>
      </c>
    </row>
    <row r="11" spans="2:10" ht="13.5" customHeight="1" x14ac:dyDescent="0.3">
      <c r="B11" s="6" t="s">
        <v>15</v>
      </c>
      <c r="C11" s="22"/>
      <c r="D11" s="48"/>
      <c r="E11" s="22"/>
      <c r="F11" s="48"/>
      <c r="G11" s="22"/>
      <c r="H11" s="12">
        <f t="shared" si="0"/>
        <v>44449</v>
      </c>
    </row>
    <row r="12" spans="2:10" x14ac:dyDescent="0.3">
      <c r="B12" s="6" t="s">
        <v>54</v>
      </c>
      <c r="C12" s="22"/>
      <c r="D12" s="22">
        <v>162000</v>
      </c>
      <c r="E12" s="22"/>
      <c r="F12" s="22"/>
      <c r="G12" s="22"/>
      <c r="H12" s="67">
        <f t="shared" si="0"/>
        <v>44449</v>
      </c>
    </row>
    <row r="13" spans="2:10" x14ac:dyDescent="0.3">
      <c r="B13" s="6" t="s">
        <v>26</v>
      </c>
      <c r="C13" s="22"/>
      <c r="D13" s="22"/>
      <c r="E13" s="22"/>
      <c r="F13" s="22"/>
      <c r="G13" s="22"/>
      <c r="H13" s="12">
        <f t="shared" si="0"/>
        <v>44449</v>
      </c>
    </row>
    <row r="14" spans="2:10" x14ac:dyDescent="0.3">
      <c r="B14" s="6" t="s">
        <v>22</v>
      </c>
      <c r="C14" s="23"/>
      <c r="D14" s="22"/>
      <c r="E14" s="23"/>
      <c r="F14" s="22"/>
      <c r="G14" s="23"/>
      <c r="H14" s="12">
        <f t="shared" si="0"/>
        <v>44449</v>
      </c>
      <c r="J14" s="4"/>
    </row>
    <row r="15" spans="2:10" x14ac:dyDescent="0.3">
      <c r="B15" s="6" t="s">
        <v>61</v>
      </c>
      <c r="C15" s="23"/>
      <c r="D15" s="22"/>
      <c r="E15" s="23"/>
      <c r="F15" s="22"/>
      <c r="G15" s="23"/>
      <c r="H15" s="67">
        <f t="shared" si="0"/>
        <v>44449</v>
      </c>
      <c r="J15" s="4"/>
    </row>
    <row r="16" spans="2:10" x14ac:dyDescent="0.3">
      <c r="B16" s="6" t="s">
        <v>19</v>
      </c>
      <c r="C16" s="22"/>
      <c r="D16" s="22">
        <v>270000</v>
      </c>
      <c r="E16" s="22"/>
      <c r="F16" s="22"/>
      <c r="G16" s="22"/>
      <c r="H16" s="12">
        <f t="shared" si="0"/>
        <v>44449</v>
      </c>
    </row>
    <row r="17" spans="1:8" x14ac:dyDescent="0.3">
      <c r="B17" s="6" t="s">
        <v>14</v>
      </c>
      <c r="C17" s="22"/>
      <c r="D17" s="22">
        <v>162000</v>
      </c>
      <c r="E17" s="22"/>
      <c r="F17" s="22"/>
      <c r="G17" s="22"/>
      <c r="H17" s="12">
        <f t="shared" si="0"/>
        <v>44449</v>
      </c>
    </row>
    <row r="18" spans="1:8" x14ac:dyDescent="0.3">
      <c r="B18" s="6" t="s">
        <v>24</v>
      </c>
      <c r="C18" s="22"/>
      <c r="D18" s="49"/>
      <c r="E18" s="22"/>
      <c r="F18" s="49"/>
      <c r="G18" s="22"/>
      <c r="H18" s="12">
        <f t="shared" si="0"/>
        <v>44449</v>
      </c>
    </row>
    <row r="19" spans="1:8" x14ac:dyDescent="0.3">
      <c r="B19" s="6" t="s">
        <v>21</v>
      </c>
      <c r="C19" s="22"/>
      <c r="D19" s="22"/>
      <c r="E19" s="22"/>
      <c r="F19" s="22"/>
      <c r="G19" s="22"/>
      <c r="H19" s="12">
        <f t="shared" si="0"/>
        <v>44449</v>
      </c>
    </row>
    <row r="20" spans="1:8" x14ac:dyDescent="0.3">
      <c r="B20" s="6" t="s">
        <v>18</v>
      </c>
      <c r="C20" s="22"/>
      <c r="D20" s="22"/>
      <c r="E20" s="22"/>
      <c r="F20" s="22"/>
      <c r="G20" s="22"/>
      <c r="H20" s="12">
        <f t="shared" si="0"/>
        <v>44449</v>
      </c>
    </row>
    <row r="21" spans="1:8" x14ac:dyDescent="0.3">
      <c r="B21" s="6" t="s">
        <v>16</v>
      </c>
      <c r="C21" s="22"/>
      <c r="D21" s="22">
        <v>216000</v>
      </c>
      <c r="E21" s="22"/>
      <c r="F21" s="22"/>
      <c r="G21" s="22"/>
      <c r="H21" s="12">
        <f t="shared" si="0"/>
        <v>44449</v>
      </c>
    </row>
    <row r="22" spans="1:8" x14ac:dyDescent="0.3">
      <c r="B22" s="50" t="s">
        <v>27</v>
      </c>
      <c r="C22" s="51">
        <f>SUM(September10_2021[KSI_AGO])</f>
        <v>0</v>
      </c>
      <c r="D22" s="51">
        <f>SUBTOTAL(109,September10_2021[KSI_PMS])</f>
        <v>1449000</v>
      </c>
      <c r="E22" s="51">
        <f>SUM(September10_2021[BUIPE_AGO])</f>
        <v>0</v>
      </c>
      <c r="F22" s="51">
        <f>SUM(September10_2021[BUIPE_PMS])</f>
        <v>162000</v>
      </c>
      <c r="G22" s="51">
        <f>SUM(September10_2021[AKOSOMBO_AGO])</f>
        <v>0</v>
      </c>
      <c r="H22" s="52"/>
    </row>
    <row r="23" spans="1:8" x14ac:dyDescent="0.3">
      <c r="B23" s="8"/>
      <c r="C23" s="24"/>
      <c r="D23" s="24"/>
      <c r="E23" s="24"/>
      <c r="F23" s="24"/>
      <c r="G23" s="24"/>
      <c r="H23"/>
    </row>
    <row r="24" spans="1:8" x14ac:dyDescent="0.3">
      <c r="B24" s="1" t="s">
        <v>6</v>
      </c>
      <c r="C24" s="1" t="s">
        <v>4</v>
      </c>
      <c r="D24" s="5">
        <f>SUMIF(September10_2021[[#Headers],[KSI_AGO]:[AKOSOMBO_AGO]],"*"&amp;C24,September10_2021[[#Totals],[KSI_AGO]:[AKOSOMBO_AGO]])</f>
        <v>0</v>
      </c>
      <c r="E24" s="1" t="s">
        <v>5</v>
      </c>
      <c r="F24" s="5">
        <f>SUMIF(September10_2021[[#Headers],[KSI_AGO]:[AKOSOMBO_AGO]],"*"&amp;E24,September10_2021[[#Totals],[KSI_AGO]:[AKOSOMBO_AGO]])</f>
        <v>1611000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06883DC-8FF8-46B8-8B25-7BD7689EAFC5}">
      <formula1>INDIRECT("BDC_List[BDC List]")</formula1>
    </dataValidation>
  </dataValidations>
  <pageMargins left="0.7" right="0.7" top="0.75" bottom="0.75" header="0.3" footer="0.3"/>
  <tableParts count="1">
    <tablePart r:id="rId1"/>
  </tableParts>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7BD4C-23CE-4949-943F-3D87F32EF4A1}">
  <sheetPr codeName="Sheet432"/>
  <dimension ref="A1:J34"/>
  <sheetViews>
    <sheetView workbookViewId="0">
      <pane xSplit="2" ySplit="5" topLeftCell="C7" activePane="bottomRight" state="frozen"/>
      <selection activeCell="E16" sqref="E16"/>
      <selection pane="topRight" activeCell="E16" sqref="E16"/>
      <selection pane="bottomLeft" activeCell="E16" sqref="E16"/>
      <selection pane="bottomRight" activeCell="H12" sqref="H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44452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44452</v>
      </c>
    </row>
    <row r="7" spans="2:10" x14ac:dyDescent="0.3">
      <c r="B7" s="6" t="s">
        <v>37</v>
      </c>
      <c r="C7" s="49"/>
      <c r="D7" s="22"/>
      <c r="E7" s="22"/>
      <c r="F7" s="22"/>
      <c r="G7" s="22"/>
      <c r="H7" s="67">
        <f t="shared" si="0"/>
        <v>44452</v>
      </c>
    </row>
    <row r="8" spans="2:10" x14ac:dyDescent="0.3">
      <c r="B8" s="6" t="s">
        <v>17</v>
      </c>
      <c r="C8" s="22">
        <v>1985000</v>
      </c>
      <c r="D8" s="22"/>
      <c r="E8" s="22"/>
      <c r="F8" s="22"/>
      <c r="G8" s="22"/>
      <c r="H8" s="12">
        <f t="shared" si="0"/>
        <v>44452</v>
      </c>
    </row>
    <row r="9" spans="2:10" ht="15.6" x14ac:dyDescent="0.3">
      <c r="B9" s="34" t="s">
        <v>0</v>
      </c>
      <c r="C9" s="60"/>
      <c r="D9" s="46">
        <v>424000</v>
      </c>
      <c r="E9" s="60"/>
      <c r="F9" s="46">
        <v>270000</v>
      </c>
      <c r="G9" s="61"/>
      <c r="H9" s="12">
        <f t="shared" si="0"/>
        <v>44452</v>
      </c>
    </row>
    <row r="10" spans="2:10" ht="16.2" customHeight="1" x14ac:dyDescent="0.3">
      <c r="B10" s="6" t="s">
        <v>25</v>
      </c>
      <c r="C10" s="22"/>
      <c r="D10" s="22"/>
      <c r="E10" s="22"/>
      <c r="F10" s="22">
        <v>108000</v>
      </c>
      <c r="G10" s="22"/>
      <c r="H10" s="12">
        <f t="shared" si="0"/>
        <v>44452</v>
      </c>
    </row>
    <row r="11" spans="2:10" ht="13.5" customHeight="1" x14ac:dyDescent="0.3">
      <c r="B11" s="6" t="s">
        <v>15</v>
      </c>
      <c r="C11" s="22">
        <v>45000</v>
      </c>
      <c r="D11" s="48"/>
      <c r="E11" s="22"/>
      <c r="F11" s="48">
        <v>54000</v>
      </c>
      <c r="G11" s="22"/>
      <c r="H11" s="12">
        <f t="shared" si="0"/>
        <v>44452</v>
      </c>
    </row>
    <row r="12" spans="2:10" x14ac:dyDescent="0.3">
      <c r="B12" s="6" t="s">
        <v>54</v>
      </c>
      <c r="C12" s="22"/>
      <c r="D12" s="22">
        <v>254000</v>
      </c>
      <c r="E12" s="22"/>
      <c r="F12" s="22"/>
      <c r="G12" s="22"/>
      <c r="H12" s="67">
        <f t="shared" si="0"/>
        <v>44452</v>
      </c>
    </row>
    <row r="13" spans="2:10" x14ac:dyDescent="0.3">
      <c r="B13" s="6" t="s">
        <v>26</v>
      </c>
      <c r="C13" s="22">
        <v>45000</v>
      </c>
      <c r="D13" s="22"/>
      <c r="E13" s="22"/>
      <c r="F13" s="22"/>
      <c r="G13" s="22"/>
      <c r="H13" s="12">
        <f t="shared" si="0"/>
        <v>44452</v>
      </c>
    </row>
    <row r="14" spans="2:10" x14ac:dyDescent="0.3">
      <c r="B14" s="6" t="s">
        <v>22</v>
      </c>
      <c r="C14" s="23"/>
      <c r="D14" s="22"/>
      <c r="E14" s="23"/>
      <c r="F14" s="22"/>
      <c r="G14" s="23"/>
      <c r="H14" s="12">
        <f t="shared" si="0"/>
        <v>44452</v>
      </c>
      <c r="J14" s="4"/>
    </row>
    <row r="15" spans="2:10" x14ac:dyDescent="0.3">
      <c r="B15" s="6" t="s">
        <v>61</v>
      </c>
      <c r="C15" s="23"/>
      <c r="D15" s="22"/>
      <c r="E15" s="23"/>
      <c r="F15" s="22"/>
      <c r="G15" s="23"/>
      <c r="H15" s="67">
        <f t="shared" si="0"/>
        <v>44452</v>
      </c>
      <c r="J15" s="4"/>
    </row>
    <row r="16" spans="2:10" x14ac:dyDescent="0.3">
      <c r="B16" s="6" t="s">
        <v>19</v>
      </c>
      <c r="C16" s="22"/>
      <c r="D16" s="22">
        <v>99000</v>
      </c>
      <c r="E16" s="22"/>
      <c r="F16" s="22">
        <v>108000</v>
      </c>
      <c r="G16" s="22"/>
      <c r="H16" s="12">
        <f t="shared" si="0"/>
        <v>44452</v>
      </c>
    </row>
    <row r="17" spans="1:8" x14ac:dyDescent="0.3">
      <c r="B17" s="6" t="s">
        <v>14</v>
      </c>
      <c r="C17" s="22"/>
      <c r="D17" s="22">
        <v>211500</v>
      </c>
      <c r="E17" s="22"/>
      <c r="F17" s="22"/>
      <c r="G17" s="22"/>
      <c r="H17" s="12">
        <f t="shared" si="0"/>
        <v>44452</v>
      </c>
    </row>
    <row r="18" spans="1:8" x14ac:dyDescent="0.3">
      <c r="B18" s="6" t="s">
        <v>24</v>
      </c>
      <c r="C18" s="22"/>
      <c r="D18" s="49"/>
      <c r="E18" s="22"/>
      <c r="F18" s="49"/>
      <c r="G18" s="22"/>
      <c r="H18" s="12">
        <f t="shared" si="0"/>
        <v>44452</v>
      </c>
    </row>
    <row r="19" spans="1:8" x14ac:dyDescent="0.3">
      <c r="B19" s="6" t="s">
        <v>21</v>
      </c>
      <c r="C19" s="22"/>
      <c r="D19" s="22"/>
      <c r="E19" s="22"/>
      <c r="F19" s="22"/>
      <c r="G19" s="22"/>
      <c r="H19" s="12">
        <f t="shared" si="0"/>
        <v>44452</v>
      </c>
    </row>
    <row r="20" spans="1:8" x14ac:dyDescent="0.3">
      <c r="B20" s="6" t="s">
        <v>18</v>
      </c>
      <c r="C20" s="22"/>
      <c r="D20" s="22"/>
      <c r="E20" s="22"/>
      <c r="F20" s="22"/>
      <c r="G20" s="22"/>
      <c r="H20" s="12">
        <f t="shared" si="0"/>
        <v>44452</v>
      </c>
    </row>
    <row r="21" spans="1:8" x14ac:dyDescent="0.3">
      <c r="B21" s="6" t="s">
        <v>16</v>
      </c>
      <c r="C21" s="22">
        <v>45000</v>
      </c>
      <c r="D21" s="22">
        <v>270000</v>
      </c>
      <c r="E21" s="22"/>
      <c r="F21" s="22"/>
      <c r="G21" s="22"/>
      <c r="H21" s="12">
        <f t="shared" si="0"/>
        <v>44452</v>
      </c>
    </row>
    <row r="22" spans="1:8" x14ac:dyDescent="0.3">
      <c r="B22" s="50" t="s">
        <v>27</v>
      </c>
      <c r="C22" s="51">
        <f>SUM(September13_2021[KSI_AGO])</f>
        <v>2120000</v>
      </c>
      <c r="D22" s="51">
        <f>SUBTOTAL(109,September13_2021[KSI_PMS])</f>
        <v>1258500</v>
      </c>
      <c r="E22" s="51">
        <f>SUM(September13_2021[BUIPE_AGO])</f>
        <v>0</v>
      </c>
      <c r="F22" s="51">
        <f>SUM(September13_2021[BUIPE_PMS])</f>
        <v>540000</v>
      </c>
      <c r="G22" s="51">
        <f>SUM(September13_2021[AKOSOMBO_AGO])</f>
        <v>0</v>
      </c>
      <c r="H22" s="52"/>
    </row>
    <row r="23" spans="1:8" x14ac:dyDescent="0.3">
      <c r="B23" s="8"/>
      <c r="C23" s="24"/>
      <c r="D23" s="24"/>
      <c r="E23" s="24"/>
      <c r="F23" s="24"/>
      <c r="G23" s="24"/>
      <c r="H23"/>
    </row>
    <row r="24" spans="1:8" x14ac:dyDescent="0.3">
      <c r="B24" s="1" t="s">
        <v>6</v>
      </c>
      <c r="C24" s="1" t="s">
        <v>4</v>
      </c>
      <c r="D24" s="5">
        <f>SUMIF(September13_2021[[#Headers],[KSI_AGO]:[AKOSOMBO_AGO]],"*"&amp;C24,September13_2021[[#Totals],[KSI_AGO]:[AKOSOMBO_AGO]])</f>
        <v>2120000</v>
      </c>
      <c r="E24" s="1" t="s">
        <v>5</v>
      </c>
      <c r="F24" s="5">
        <f>SUMIF(September13_2021[[#Headers],[KSI_AGO]:[AKOSOMBO_AGO]],"*"&amp;E24,September13_2021[[#Totals],[KSI_AGO]:[AKOSOMBO_AGO]])</f>
        <v>1798500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192AF92A-C1AA-40AC-AEC7-F5089F179EE0}">
      <formula1>INDIRECT("BDC_List[BDC List]")</formula1>
    </dataValidation>
  </dataValidations>
  <pageMargins left="0.7" right="0.7" top="0.75" bottom="0.75" header="0.3" footer="0.3"/>
  <tableParts count="1">
    <tablePart r:id="rId1"/>
  </tableParts>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5319-57CD-4333-9B63-5E05F728B583}">
  <sheetPr codeName="Sheet433"/>
  <dimension ref="A1:J34"/>
  <sheetViews>
    <sheetView workbookViewId="0">
      <pane xSplit="2" ySplit="5" topLeftCell="C7" activePane="bottomRight" state="frozen"/>
      <selection activeCell="E16" sqref="E16"/>
      <selection pane="topRight" activeCell="E16" sqref="E16"/>
      <selection pane="bottomLeft" activeCell="E16" sqref="E16"/>
      <selection pane="bottomRight" activeCell="F19" sqref="F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44453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44453</v>
      </c>
    </row>
    <row r="7" spans="2:10" x14ac:dyDescent="0.3">
      <c r="B7" s="6" t="s">
        <v>37</v>
      </c>
      <c r="C7" s="49"/>
      <c r="D7" s="22"/>
      <c r="E7" s="22"/>
      <c r="F7" s="22"/>
      <c r="G7" s="22"/>
      <c r="H7" s="67">
        <f t="shared" si="0"/>
        <v>44453</v>
      </c>
    </row>
    <row r="8" spans="2:10" x14ac:dyDescent="0.3">
      <c r="B8" s="6" t="s">
        <v>17</v>
      </c>
      <c r="C8" s="22">
        <v>374000</v>
      </c>
      <c r="D8" s="22"/>
      <c r="E8" s="22"/>
      <c r="F8" s="22"/>
      <c r="G8" s="22"/>
      <c r="H8" s="12">
        <f t="shared" si="0"/>
        <v>44453</v>
      </c>
    </row>
    <row r="9" spans="2:10" ht="15.6" x14ac:dyDescent="0.3">
      <c r="B9" s="34" t="s">
        <v>0</v>
      </c>
      <c r="C9" s="60"/>
      <c r="D9" s="46"/>
      <c r="E9" s="60"/>
      <c r="F9" s="46"/>
      <c r="G9" s="61"/>
      <c r="H9" s="12">
        <f t="shared" si="0"/>
        <v>44453</v>
      </c>
    </row>
    <row r="10" spans="2:10" ht="16.2" customHeight="1" x14ac:dyDescent="0.3">
      <c r="B10" s="6" t="s">
        <v>25</v>
      </c>
      <c r="C10" s="22">
        <v>1564000</v>
      </c>
      <c r="D10" s="22">
        <v>216000</v>
      </c>
      <c r="E10" s="22"/>
      <c r="F10" s="22"/>
      <c r="G10" s="22"/>
      <c r="H10" s="12">
        <f t="shared" si="0"/>
        <v>44453</v>
      </c>
    </row>
    <row r="11" spans="2:10" ht="13.5" customHeight="1" x14ac:dyDescent="0.3">
      <c r="B11" s="6" t="s">
        <v>15</v>
      </c>
      <c r="C11" s="22"/>
      <c r="D11" s="48"/>
      <c r="E11" s="22"/>
      <c r="F11" s="48"/>
      <c r="G11" s="22"/>
      <c r="H11" s="12">
        <f t="shared" si="0"/>
        <v>44453</v>
      </c>
    </row>
    <row r="12" spans="2:10" x14ac:dyDescent="0.3">
      <c r="B12" s="6" t="s">
        <v>54</v>
      </c>
      <c r="C12" s="22"/>
      <c r="D12" s="22"/>
      <c r="E12" s="22"/>
      <c r="F12" s="22"/>
      <c r="G12" s="22"/>
      <c r="H12" s="67">
        <f t="shared" si="0"/>
        <v>44453</v>
      </c>
    </row>
    <row r="13" spans="2:10" x14ac:dyDescent="0.3">
      <c r="B13" s="6" t="s">
        <v>26</v>
      </c>
      <c r="C13" s="22"/>
      <c r="D13" s="22">
        <v>211500</v>
      </c>
      <c r="E13" s="22"/>
      <c r="F13" s="22"/>
      <c r="G13" s="22"/>
      <c r="H13" s="12">
        <f t="shared" si="0"/>
        <v>44453</v>
      </c>
    </row>
    <row r="14" spans="2:10" x14ac:dyDescent="0.3">
      <c r="B14" s="6" t="s">
        <v>22</v>
      </c>
      <c r="C14" s="23"/>
      <c r="D14" s="22"/>
      <c r="E14" s="23"/>
      <c r="F14" s="22"/>
      <c r="G14" s="23"/>
      <c r="H14" s="12">
        <f t="shared" si="0"/>
        <v>44453</v>
      </c>
      <c r="J14" s="4"/>
    </row>
    <row r="15" spans="2:10" x14ac:dyDescent="0.3">
      <c r="B15" s="6" t="s">
        <v>61</v>
      </c>
      <c r="C15" s="23"/>
      <c r="D15" s="22"/>
      <c r="E15" s="23"/>
      <c r="F15" s="22"/>
      <c r="G15" s="23"/>
      <c r="H15" s="67">
        <f t="shared" si="0"/>
        <v>44453</v>
      </c>
      <c r="J15" s="4"/>
    </row>
    <row r="16" spans="2:10" x14ac:dyDescent="0.3">
      <c r="B16" s="6" t="s">
        <v>19</v>
      </c>
      <c r="C16" s="22"/>
      <c r="D16" s="22">
        <v>108000</v>
      </c>
      <c r="E16" s="22"/>
      <c r="F16" s="22"/>
      <c r="G16" s="22"/>
      <c r="H16" s="12">
        <f t="shared" si="0"/>
        <v>44453</v>
      </c>
    </row>
    <row r="17" spans="1:8" x14ac:dyDescent="0.3">
      <c r="B17" s="6" t="s">
        <v>14</v>
      </c>
      <c r="C17" s="22"/>
      <c r="D17" s="22">
        <v>270000</v>
      </c>
      <c r="E17" s="22"/>
      <c r="F17" s="22"/>
      <c r="G17" s="22"/>
      <c r="H17" s="12">
        <f t="shared" si="0"/>
        <v>44453</v>
      </c>
    </row>
    <row r="18" spans="1:8" x14ac:dyDescent="0.3">
      <c r="B18" s="6" t="s">
        <v>24</v>
      </c>
      <c r="C18" s="22"/>
      <c r="D18" s="49"/>
      <c r="E18" s="22"/>
      <c r="F18" s="49"/>
      <c r="G18" s="22"/>
      <c r="H18" s="12">
        <f t="shared" si="0"/>
        <v>44453</v>
      </c>
    </row>
    <row r="19" spans="1:8" x14ac:dyDescent="0.3">
      <c r="B19" s="6" t="s">
        <v>21</v>
      </c>
      <c r="C19" s="22"/>
      <c r="D19" s="22"/>
      <c r="E19" s="22"/>
      <c r="F19" s="22"/>
      <c r="G19" s="22"/>
      <c r="H19" s="12">
        <f t="shared" si="0"/>
        <v>44453</v>
      </c>
    </row>
    <row r="20" spans="1:8" x14ac:dyDescent="0.3">
      <c r="B20" s="6" t="s">
        <v>18</v>
      </c>
      <c r="C20" s="22"/>
      <c r="D20" s="22"/>
      <c r="E20" s="22"/>
      <c r="F20" s="22"/>
      <c r="G20" s="22"/>
      <c r="H20" s="12">
        <f t="shared" si="0"/>
        <v>44453</v>
      </c>
    </row>
    <row r="21" spans="1:8" x14ac:dyDescent="0.3">
      <c r="B21" s="6" t="s">
        <v>16</v>
      </c>
      <c r="C21" s="22"/>
      <c r="D21" s="22">
        <v>206500</v>
      </c>
      <c r="E21" s="22"/>
      <c r="F21" s="22"/>
      <c r="G21" s="22"/>
      <c r="H21" s="12">
        <f t="shared" si="0"/>
        <v>44453</v>
      </c>
    </row>
    <row r="22" spans="1:8" x14ac:dyDescent="0.3">
      <c r="B22" s="50" t="s">
        <v>27</v>
      </c>
      <c r="C22" s="51">
        <f>SUM(September14_2021[KSI_AGO])</f>
        <v>1938000</v>
      </c>
      <c r="D22" s="51">
        <f>SUBTOTAL(109,September14_2021[KSI_PMS])</f>
        <v>1012000</v>
      </c>
      <c r="E22" s="51">
        <f>SUM(September14_2021[BUIPE_AGO])</f>
        <v>0</v>
      </c>
      <c r="F22" s="51">
        <f>SUM(September14_2021[BUIPE_PMS])</f>
        <v>0</v>
      </c>
      <c r="G22" s="51">
        <f>SUM(September14_2021[AKOSOMBO_AGO])</f>
        <v>0</v>
      </c>
      <c r="H22" s="52"/>
    </row>
    <row r="23" spans="1:8" x14ac:dyDescent="0.3">
      <c r="B23" s="8"/>
      <c r="C23" s="24"/>
      <c r="D23" s="24"/>
      <c r="E23" s="24"/>
      <c r="F23" s="24"/>
      <c r="G23" s="24"/>
      <c r="H23"/>
    </row>
    <row r="24" spans="1:8" x14ac:dyDescent="0.3">
      <c r="B24" s="1" t="s">
        <v>6</v>
      </c>
      <c r="C24" s="1" t="s">
        <v>4</v>
      </c>
      <c r="D24" s="5">
        <f>SUMIF(September14_2021[[#Headers],[KSI_AGO]:[AKOSOMBO_AGO]],"*"&amp;C24,September14_2021[[#Totals],[KSI_AGO]:[AKOSOMBO_AGO]])</f>
        <v>1938000</v>
      </c>
      <c r="E24" s="1" t="s">
        <v>5</v>
      </c>
      <c r="F24" s="5">
        <f>SUMIF(September14_2021[[#Headers],[KSI_AGO]:[AKOSOMBO_AGO]],"*"&amp;E24,September14_2021[[#Totals],[KSI_AGO]:[AKOSOMBO_AGO]])</f>
        <v>1012000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4EF4A32F-0321-43D8-B135-4E6CEAE1261D}">
      <formula1>INDIRECT("BDC_List[BDC List]")</formula1>
    </dataValidation>
  </dataValidations>
  <pageMargins left="0.7" right="0.7" top="0.75" bottom="0.75" header="0.3" footer="0.3"/>
  <tableParts count="1">
    <tablePart r:id="rId1"/>
  </tableParts>
</worksheet>
</file>

<file path=xl/worksheets/sheet4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C6AB1-DC86-41E8-8DD1-ADE23F1574F6}">
  <sheetPr codeName="Sheet434"/>
  <dimension ref="A1:J34"/>
  <sheetViews>
    <sheetView workbookViewId="0">
      <pane xSplit="2" ySplit="5" topLeftCell="C6" activePane="bottomRight" state="frozen"/>
      <selection activeCell="E16" sqref="E16"/>
      <selection pane="topRight" activeCell="E16" sqref="E16"/>
      <selection pane="bottomLeft" activeCell="E16" sqref="E16"/>
      <selection pane="bottomRight" activeCell="C21" sqref="C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44454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44454</v>
      </c>
    </row>
    <row r="7" spans="2:10" x14ac:dyDescent="0.3">
      <c r="B7" s="6" t="s">
        <v>37</v>
      </c>
      <c r="C7" s="49"/>
      <c r="D7" s="22"/>
      <c r="E7" s="22"/>
      <c r="F7" s="22"/>
      <c r="G7" s="22"/>
      <c r="H7" s="67">
        <f t="shared" si="0"/>
        <v>44454</v>
      </c>
    </row>
    <row r="8" spans="2:10" x14ac:dyDescent="0.3">
      <c r="B8" s="6" t="s">
        <v>17</v>
      </c>
      <c r="C8" s="22"/>
      <c r="D8" s="22"/>
      <c r="E8" s="22"/>
      <c r="F8" s="22"/>
      <c r="G8" s="22"/>
      <c r="H8" s="12">
        <f t="shared" si="0"/>
        <v>44454</v>
      </c>
    </row>
    <row r="9" spans="2:10" ht="15.6" x14ac:dyDescent="0.3">
      <c r="B9" s="34" t="s">
        <v>0</v>
      </c>
      <c r="C9" s="60"/>
      <c r="D9" s="46">
        <v>810000</v>
      </c>
      <c r="E9" s="60"/>
      <c r="F9" s="46"/>
      <c r="G9" s="61"/>
      <c r="H9" s="12">
        <f t="shared" si="0"/>
        <v>44454</v>
      </c>
    </row>
    <row r="10" spans="2:10" ht="16.2" customHeight="1" x14ac:dyDescent="0.3">
      <c r="B10" s="6" t="s">
        <v>25</v>
      </c>
      <c r="C10" s="22">
        <v>378000</v>
      </c>
      <c r="D10" s="22">
        <v>162000</v>
      </c>
      <c r="E10" s="22"/>
      <c r="F10" s="22"/>
      <c r="G10" s="22">
        <v>150000</v>
      </c>
      <c r="H10" s="12">
        <f t="shared" si="0"/>
        <v>44454</v>
      </c>
    </row>
    <row r="11" spans="2:10" ht="13.5" customHeight="1" x14ac:dyDescent="0.3">
      <c r="B11" s="6" t="s">
        <v>15</v>
      </c>
      <c r="C11" s="22"/>
      <c r="D11" s="48"/>
      <c r="E11" s="22"/>
      <c r="F11" s="48"/>
      <c r="G11" s="22"/>
      <c r="H11" s="12">
        <f t="shared" si="0"/>
        <v>44454</v>
      </c>
    </row>
    <row r="12" spans="2:10" x14ac:dyDescent="0.3">
      <c r="B12" s="6" t="s">
        <v>54</v>
      </c>
      <c r="C12" s="22"/>
      <c r="D12" s="22"/>
      <c r="E12" s="22"/>
      <c r="F12" s="22"/>
      <c r="G12" s="22"/>
      <c r="H12" s="67">
        <f t="shared" si="0"/>
        <v>44454</v>
      </c>
    </row>
    <row r="13" spans="2:10" x14ac:dyDescent="0.3">
      <c r="B13" s="6" t="s">
        <v>26</v>
      </c>
      <c r="C13" s="22"/>
      <c r="D13" s="22">
        <v>216000</v>
      </c>
      <c r="E13" s="22"/>
      <c r="F13" s="22"/>
      <c r="G13" s="22"/>
      <c r="H13" s="12">
        <f t="shared" si="0"/>
        <v>44454</v>
      </c>
    </row>
    <row r="14" spans="2:10" x14ac:dyDescent="0.3">
      <c r="B14" s="6" t="s">
        <v>22</v>
      </c>
      <c r="C14" s="23"/>
      <c r="D14" s="22"/>
      <c r="E14" s="23"/>
      <c r="F14" s="22"/>
      <c r="G14" s="23"/>
      <c r="H14" s="12">
        <f t="shared" si="0"/>
        <v>44454</v>
      </c>
      <c r="J14" s="4"/>
    </row>
    <row r="15" spans="2:10" x14ac:dyDescent="0.3">
      <c r="B15" s="6" t="s">
        <v>61</v>
      </c>
      <c r="C15" s="23"/>
      <c r="D15" s="22"/>
      <c r="E15" s="23"/>
      <c r="F15" s="22"/>
      <c r="G15" s="23"/>
      <c r="H15" s="67">
        <f t="shared" si="0"/>
        <v>44454</v>
      </c>
      <c r="J15" s="4"/>
    </row>
    <row r="16" spans="2:10" x14ac:dyDescent="0.3">
      <c r="B16" s="6" t="s">
        <v>19</v>
      </c>
      <c r="C16" s="22"/>
      <c r="D16" s="22">
        <v>1107000</v>
      </c>
      <c r="E16" s="22"/>
      <c r="F16" s="22"/>
      <c r="G16" s="22"/>
      <c r="H16" s="12">
        <f t="shared" si="0"/>
        <v>44454</v>
      </c>
    </row>
    <row r="17" spans="1:8" x14ac:dyDescent="0.3">
      <c r="B17" s="6" t="s">
        <v>14</v>
      </c>
      <c r="C17" s="22"/>
      <c r="D17" s="22">
        <v>54000</v>
      </c>
      <c r="E17" s="22"/>
      <c r="F17" s="22"/>
      <c r="G17" s="22"/>
      <c r="H17" s="12">
        <f t="shared" si="0"/>
        <v>44454</v>
      </c>
    </row>
    <row r="18" spans="1:8" x14ac:dyDescent="0.3">
      <c r="B18" s="6" t="s">
        <v>24</v>
      </c>
      <c r="C18" s="22"/>
      <c r="D18" s="49"/>
      <c r="E18" s="22"/>
      <c r="F18" s="49"/>
      <c r="G18" s="22"/>
      <c r="H18" s="12">
        <f t="shared" si="0"/>
        <v>44454</v>
      </c>
    </row>
    <row r="19" spans="1:8" x14ac:dyDescent="0.3">
      <c r="B19" s="6" t="s">
        <v>21</v>
      </c>
      <c r="C19" s="22"/>
      <c r="D19" s="22"/>
      <c r="E19" s="22"/>
      <c r="F19" s="22"/>
      <c r="G19" s="22"/>
      <c r="H19" s="12">
        <f t="shared" si="0"/>
        <v>44454</v>
      </c>
    </row>
    <row r="20" spans="1:8" x14ac:dyDescent="0.3">
      <c r="B20" s="6" t="s">
        <v>18</v>
      </c>
      <c r="C20" s="22"/>
      <c r="D20" s="22"/>
      <c r="E20" s="22"/>
      <c r="F20" s="22"/>
      <c r="G20" s="22"/>
      <c r="H20" s="12">
        <f t="shared" si="0"/>
        <v>44454</v>
      </c>
    </row>
    <row r="21" spans="1:8" x14ac:dyDescent="0.3">
      <c r="B21" s="6" t="s">
        <v>16</v>
      </c>
      <c r="C21" s="22">
        <v>90000</v>
      </c>
      <c r="D21" s="22"/>
      <c r="E21" s="22"/>
      <c r="F21" s="22"/>
      <c r="G21" s="22"/>
      <c r="H21" s="12">
        <f t="shared" si="0"/>
        <v>44454</v>
      </c>
    </row>
    <row r="22" spans="1:8" x14ac:dyDescent="0.3">
      <c r="B22" s="50" t="s">
        <v>27</v>
      </c>
      <c r="C22" s="51">
        <f>SUM(September15_202112[KSI_AGO])</f>
        <v>468000</v>
      </c>
      <c r="D22" s="51">
        <f>SUBTOTAL(109,September15_202112[KSI_PMS])</f>
        <v>2349000</v>
      </c>
      <c r="E22" s="51">
        <f>SUM(September15_202112[BUIPE_AGO])</f>
        <v>0</v>
      </c>
      <c r="F22" s="51">
        <f>SUM(September15_202112[BUIPE_PMS])</f>
        <v>0</v>
      </c>
      <c r="G22" s="51">
        <f>SUM(September15_202112[AKOSOMBO_AGO])</f>
        <v>150000</v>
      </c>
      <c r="H22" s="52"/>
    </row>
    <row r="23" spans="1:8" x14ac:dyDescent="0.3">
      <c r="B23" s="8"/>
      <c r="C23" s="24"/>
      <c r="D23" s="24"/>
      <c r="E23" s="24"/>
      <c r="F23" s="24"/>
      <c r="G23" s="24"/>
      <c r="H23"/>
    </row>
    <row r="24" spans="1:8" x14ac:dyDescent="0.3">
      <c r="B24" s="1" t="s">
        <v>6</v>
      </c>
      <c r="C24" s="1" t="s">
        <v>4</v>
      </c>
      <c r="D24" s="5">
        <f>SUMIF(September15_202112[[#Headers],[KSI_AGO]:[AKOSOMBO_AGO]],"*"&amp;C24,September15_202112[[#Totals],[KSI_AGO]:[AKOSOMBO_AGO]])</f>
        <v>618000</v>
      </c>
      <c r="E24" s="1" t="s">
        <v>5</v>
      </c>
      <c r="F24" s="5">
        <f>SUMIF(September15_202112[[#Headers],[KSI_AGO]:[AKOSOMBO_AGO]],"*"&amp;E24,September15_202112[[#Totals],[KSI_AGO]:[AKOSOMBO_AGO]])</f>
        <v>2349000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25C7BA2C-7AA6-44D3-9905-BFACA0742D66}">
      <formula1>INDIRECT("BDC_List[BDC List]")</formula1>
    </dataValidation>
  </dataValidations>
  <pageMargins left="0.7" right="0.7" top="0.75" bottom="0.75" header="0.3" footer="0.3"/>
  <legacyDrawing r:id="rId1"/>
  <tableParts count="1">
    <tablePart r:id="rId2"/>
  </tableParts>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2B5B5-5066-4423-AECC-B0399EE7AA04}">
  <sheetPr codeName="Sheet435"/>
  <dimension ref="A1:J34"/>
  <sheetViews>
    <sheetView workbookViewId="0">
      <pane xSplit="2" ySplit="5" topLeftCell="C6" activePane="bottomRight" state="frozen"/>
      <selection activeCell="E16" sqref="E16"/>
      <selection pane="topRight" activeCell="E16" sqref="E16"/>
      <selection pane="bottomLeft" activeCell="E16" sqref="E16"/>
      <selection pane="bottomRight" activeCell="E19" sqref="E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44455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44455</v>
      </c>
    </row>
    <row r="7" spans="2:10" x14ac:dyDescent="0.3">
      <c r="B7" s="6" t="s">
        <v>37</v>
      </c>
      <c r="C7" s="49"/>
      <c r="D7" s="22"/>
      <c r="E7" s="22"/>
      <c r="F7" s="22"/>
      <c r="G7" s="22"/>
      <c r="H7" s="67">
        <f t="shared" si="0"/>
        <v>44455</v>
      </c>
    </row>
    <row r="8" spans="2:10" x14ac:dyDescent="0.3">
      <c r="B8" s="6" t="s">
        <v>17</v>
      </c>
      <c r="C8" s="22">
        <v>142000</v>
      </c>
      <c r="D8" s="22"/>
      <c r="E8" s="22"/>
      <c r="F8" s="22">
        <v>54000</v>
      </c>
      <c r="G8" s="22"/>
      <c r="H8" s="12">
        <f t="shared" si="0"/>
        <v>44455</v>
      </c>
    </row>
    <row r="9" spans="2:10" ht="15.6" x14ac:dyDescent="0.3">
      <c r="B9" s="34" t="s">
        <v>0</v>
      </c>
      <c r="C9" s="60">
        <v>756000</v>
      </c>
      <c r="D9" s="46">
        <v>756000</v>
      </c>
      <c r="E9" s="60"/>
      <c r="F9" s="46">
        <v>54000</v>
      </c>
      <c r="G9" s="61"/>
      <c r="H9" s="12">
        <f t="shared" si="0"/>
        <v>44455</v>
      </c>
    </row>
    <row r="10" spans="2:10" ht="16.2" customHeight="1" x14ac:dyDescent="0.3">
      <c r="B10" s="6" t="s">
        <v>25</v>
      </c>
      <c r="C10" s="22"/>
      <c r="D10" s="22">
        <v>324000</v>
      </c>
      <c r="E10" s="22"/>
      <c r="F10" s="22">
        <v>54000</v>
      </c>
      <c r="G10" s="22"/>
      <c r="H10" s="12">
        <f t="shared" si="0"/>
        <v>44455</v>
      </c>
    </row>
    <row r="11" spans="2:10" ht="13.5" customHeight="1" x14ac:dyDescent="0.3">
      <c r="B11" s="6" t="s">
        <v>15</v>
      </c>
      <c r="C11" s="22"/>
      <c r="D11" s="48">
        <v>108000</v>
      </c>
      <c r="E11" s="22"/>
      <c r="F11" s="48"/>
      <c r="G11" s="22"/>
      <c r="H11" s="12">
        <f t="shared" si="0"/>
        <v>44455</v>
      </c>
    </row>
    <row r="12" spans="2:10" x14ac:dyDescent="0.3">
      <c r="B12" s="6" t="s">
        <v>54</v>
      </c>
      <c r="C12" s="22"/>
      <c r="D12" s="22"/>
      <c r="E12" s="22"/>
      <c r="F12" s="22"/>
      <c r="G12" s="22"/>
      <c r="H12" s="67">
        <f t="shared" si="0"/>
        <v>44455</v>
      </c>
    </row>
    <row r="13" spans="2:10" x14ac:dyDescent="0.3">
      <c r="B13" s="6" t="s">
        <v>26</v>
      </c>
      <c r="C13" s="22"/>
      <c r="D13" s="22">
        <v>54000</v>
      </c>
      <c r="E13" s="22"/>
      <c r="F13" s="22">
        <v>54000</v>
      </c>
      <c r="G13" s="22"/>
      <c r="H13" s="12">
        <f t="shared" si="0"/>
        <v>44455</v>
      </c>
    </row>
    <row r="14" spans="2:10" x14ac:dyDescent="0.3">
      <c r="B14" s="6" t="s">
        <v>22</v>
      </c>
      <c r="C14" s="23"/>
      <c r="D14" s="22"/>
      <c r="E14" s="23"/>
      <c r="F14" s="22"/>
      <c r="G14" s="23"/>
      <c r="H14" s="12">
        <f t="shared" si="0"/>
        <v>44455</v>
      </c>
      <c r="J14" s="4"/>
    </row>
    <row r="15" spans="2:10" x14ac:dyDescent="0.3">
      <c r="B15" s="6" t="s">
        <v>61</v>
      </c>
      <c r="C15" s="23"/>
      <c r="D15" s="22"/>
      <c r="E15" s="23"/>
      <c r="F15" s="22"/>
      <c r="G15" s="23"/>
      <c r="H15" s="67">
        <f t="shared" si="0"/>
        <v>44455</v>
      </c>
      <c r="J15" s="4"/>
    </row>
    <row r="16" spans="2:10" x14ac:dyDescent="0.3">
      <c r="B16" s="6" t="s">
        <v>19</v>
      </c>
      <c r="C16" s="22"/>
      <c r="D16" s="22"/>
      <c r="E16" s="22"/>
      <c r="F16" s="22"/>
      <c r="G16" s="22"/>
      <c r="H16" s="12">
        <f t="shared" si="0"/>
        <v>44455</v>
      </c>
    </row>
    <row r="17" spans="1:8" x14ac:dyDescent="0.3">
      <c r="B17" s="6" t="s">
        <v>14</v>
      </c>
      <c r="C17" s="22"/>
      <c r="D17" s="22"/>
      <c r="E17" s="22"/>
      <c r="F17" s="22">
        <v>54000</v>
      </c>
      <c r="G17" s="22"/>
      <c r="H17" s="12">
        <f t="shared" si="0"/>
        <v>44455</v>
      </c>
    </row>
    <row r="18" spans="1:8" x14ac:dyDescent="0.3">
      <c r="B18" s="6" t="s">
        <v>24</v>
      </c>
      <c r="C18" s="22"/>
      <c r="D18" s="49"/>
      <c r="E18" s="22"/>
      <c r="F18" s="49"/>
      <c r="G18" s="22"/>
      <c r="H18" s="12">
        <f t="shared" si="0"/>
        <v>44455</v>
      </c>
    </row>
    <row r="19" spans="1:8" x14ac:dyDescent="0.3">
      <c r="B19" s="6" t="s">
        <v>21</v>
      </c>
      <c r="C19" s="22"/>
      <c r="D19" s="22"/>
      <c r="E19" s="22"/>
      <c r="F19" s="22"/>
      <c r="G19" s="22"/>
      <c r="H19" s="12">
        <f t="shared" si="0"/>
        <v>44455</v>
      </c>
    </row>
    <row r="20" spans="1:8" x14ac:dyDescent="0.3">
      <c r="B20" s="6" t="s">
        <v>18</v>
      </c>
      <c r="C20" s="22"/>
      <c r="D20" s="22"/>
      <c r="E20" s="22"/>
      <c r="F20" s="22"/>
      <c r="G20" s="22"/>
      <c r="H20" s="12">
        <f t="shared" si="0"/>
        <v>44455</v>
      </c>
    </row>
    <row r="21" spans="1:8" x14ac:dyDescent="0.3">
      <c r="B21" s="6" t="s">
        <v>16</v>
      </c>
      <c r="C21" s="22"/>
      <c r="D21" s="22">
        <v>162000</v>
      </c>
      <c r="E21" s="22"/>
      <c r="F21" s="22"/>
      <c r="G21" s="22"/>
      <c r="H21" s="12">
        <f t="shared" si="0"/>
        <v>44455</v>
      </c>
    </row>
    <row r="22" spans="1:8" x14ac:dyDescent="0.3">
      <c r="B22" s="50" t="s">
        <v>27</v>
      </c>
      <c r="C22" s="51">
        <f>SUM(September16_2021[KSI_AGO])</f>
        <v>898000</v>
      </c>
      <c r="D22" s="51">
        <f>SUBTOTAL(109,September16_2021[KSI_PMS])</f>
        <v>1404000</v>
      </c>
      <c r="E22" s="51">
        <f>SUM(September16_2021[BUIPE_AGO])</f>
        <v>0</v>
      </c>
      <c r="F22" s="51">
        <f>SUM(September16_2021[BUIPE_PMS])</f>
        <v>270000</v>
      </c>
      <c r="G22" s="51">
        <f>SUM(September16_2021[AKOSOMBO_AGO])</f>
        <v>0</v>
      </c>
      <c r="H22" s="52"/>
    </row>
    <row r="23" spans="1:8" x14ac:dyDescent="0.3">
      <c r="B23" s="8"/>
      <c r="C23" s="24"/>
      <c r="D23" s="24"/>
      <c r="E23" s="24"/>
      <c r="F23" s="24"/>
      <c r="G23" s="24"/>
      <c r="H23"/>
    </row>
    <row r="24" spans="1:8" x14ac:dyDescent="0.3">
      <c r="B24" s="1" t="s">
        <v>6</v>
      </c>
      <c r="C24" s="1" t="s">
        <v>4</v>
      </c>
      <c r="D24" s="5">
        <f>SUMIF(September16_2021[[#Headers],[KSI_AGO]:[AKOSOMBO_AGO]],"*"&amp;C24,September16_2021[[#Totals],[KSI_AGO]:[AKOSOMBO_AGO]])</f>
        <v>898000</v>
      </c>
      <c r="E24" s="1" t="s">
        <v>5</v>
      </c>
      <c r="F24" s="5">
        <f>SUMIF(September16_2021[[#Headers],[KSI_AGO]:[AKOSOMBO_AGO]],"*"&amp;E24,September16_2021[[#Totals],[KSI_AGO]:[AKOSOMBO_AGO]])</f>
        <v>1674000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7761D3F5-EFF9-46AE-9AD4-B78366749E0E}">
      <formula1>INDIRECT("BDC_List[BDC List]")</formula1>
    </dataValidation>
  </dataValidations>
  <pageMargins left="0.7" right="0.7" top="0.75" bottom="0.75" header="0.3" footer="0.3"/>
  <tableParts count="1">
    <tablePart r:id="rId1"/>
  </tableParts>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2F686-A197-47AB-8A2D-9780578DF69E}">
  <sheetPr codeName="Sheet436"/>
  <dimension ref="A1:J34"/>
  <sheetViews>
    <sheetView workbookViewId="0">
      <pane xSplit="2" ySplit="5" topLeftCell="C7" activePane="bottomRight" state="frozen"/>
      <selection activeCell="E16" sqref="E16"/>
      <selection pane="topRight" activeCell="E16" sqref="E16"/>
      <selection pane="bottomLeft" activeCell="E16" sqref="E16"/>
      <selection pane="bottomRight" activeCell="C14" sqref="C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44456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44456</v>
      </c>
    </row>
    <row r="7" spans="2:10" x14ac:dyDescent="0.3">
      <c r="B7" s="6" t="s">
        <v>37</v>
      </c>
      <c r="C7" s="49"/>
      <c r="D7" s="22"/>
      <c r="E7" s="22"/>
      <c r="F7" s="22"/>
      <c r="G7" s="22"/>
      <c r="H7" s="67">
        <f t="shared" si="0"/>
        <v>44456</v>
      </c>
    </row>
    <row r="8" spans="2:10" x14ac:dyDescent="0.3">
      <c r="B8" s="6" t="s">
        <v>17</v>
      </c>
      <c r="C8" s="22">
        <v>90000</v>
      </c>
      <c r="D8" s="22"/>
      <c r="E8" s="22"/>
      <c r="F8" s="22">
        <v>108000</v>
      </c>
      <c r="G8" s="22"/>
      <c r="H8" s="12">
        <f t="shared" si="0"/>
        <v>44456</v>
      </c>
    </row>
    <row r="9" spans="2:10" ht="15.6" x14ac:dyDescent="0.3">
      <c r="B9" s="34" t="s">
        <v>0</v>
      </c>
      <c r="C9" s="60">
        <v>108000</v>
      </c>
      <c r="D9" s="46">
        <v>698000</v>
      </c>
      <c r="E9" s="60"/>
      <c r="F9" s="46">
        <v>108000</v>
      </c>
      <c r="G9" s="61"/>
      <c r="H9" s="12">
        <f t="shared" si="0"/>
        <v>44456</v>
      </c>
    </row>
    <row r="10" spans="2:10" ht="16.2" customHeight="1" x14ac:dyDescent="0.3">
      <c r="B10" s="6" t="s">
        <v>25</v>
      </c>
      <c r="C10" s="22">
        <v>54000</v>
      </c>
      <c r="D10" s="22">
        <v>162000</v>
      </c>
      <c r="E10" s="22"/>
      <c r="F10" s="22"/>
      <c r="G10" s="22">
        <v>50000</v>
      </c>
      <c r="H10" s="12">
        <f t="shared" si="0"/>
        <v>44456</v>
      </c>
    </row>
    <row r="11" spans="2:10" ht="13.5" customHeight="1" x14ac:dyDescent="0.3">
      <c r="B11" s="6" t="s">
        <v>15</v>
      </c>
      <c r="C11" s="22"/>
      <c r="D11" s="48">
        <v>324000</v>
      </c>
      <c r="E11" s="22"/>
      <c r="F11" s="48"/>
      <c r="G11" s="22"/>
      <c r="H11" s="12">
        <f t="shared" si="0"/>
        <v>44456</v>
      </c>
    </row>
    <row r="12" spans="2:10" x14ac:dyDescent="0.3">
      <c r="B12" s="6" t="s">
        <v>54</v>
      </c>
      <c r="C12" s="22"/>
      <c r="D12" s="22"/>
      <c r="E12" s="22"/>
      <c r="F12" s="22"/>
      <c r="G12" s="22"/>
      <c r="H12" s="67">
        <f t="shared" si="0"/>
        <v>44456</v>
      </c>
    </row>
    <row r="13" spans="2:10" x14ac:dyDescent="0.3">
      <c r="B13" s="6" t="s">
        <v>26</v>
      </c>
      <c r="C13" s="22"/>
      <c r="D13" s="22">
        <v>432000</v>
      </c>
      <c r="E13" s="22"/>
      <c r="F13" s="22">
        <v>54000</v>
      </c>
      <c r="G13" s="22"/>
      <c r="H13" s="12">
        <f t="shared" si="0"/>
        <v>44456</v>
      </c>
    </row>
    <row r="14" spans="2:10" x14ac:dyDescent="0.3">
      <c r="B14" s="6" t="s">
        <v>22</v>
      </c>
      <c r="C14" s="23"/>
      <c r="D14" s="22"/>
      <c r="E14" s="23"/>
      <c r="F14" s="22"/>
      <c r="G14" s="23"/>
      <c r="H14" s="12">
        <f t="shared" si="0"/>
        <v>44456</v>
      </c>
      <c r="J14" s="4"/>
    </row>
    <row r="15" spans="2:10" x14ac:dyDescent="0.3">
      <c r="B15" s="6" t="s">
        <v>61</v>
      </c>
      <c r="C15" s="23"/>
      <c r="D15" s="22"/>
      <c r="E15" s="23"/>
      <c r="F15" s="22"/>
      <c r="G15" s="23"/>
      <c r="H15" s="67">
        <f t="shared" si="0"/>
        <v>44456</v>
      </c>
      <c r="J15" s="4"/>
    </row>
    <row r="16" spans="2:10" x14ac:dyDescent="0.3">
      <c r="B16" s="6" t="s">
        <v>19</v>
      </c>
      <c r="C16" s="22"/>
      <c r="D16" s="22"/>
      <c r="E16" s="22"/>
      <c r="F16" s="22"/>
      <c r="G16" s="22"/>
      <c r="H16" s="12">
        <f t="shared" si="0"/>
        <v>44456</v>
      </c>
    </row>
    <row r="17" spans="1:8" x14ac:dyDescent="0.3">
      <c r="B17" s="6" t="s">
        <v>14</v>
      </c>
      <c r="C17" s="22"/>
      <c r="D17" s="22"/>
      <c r="E17" s="22"/>
      <c r="F17" s="22"/>
      <c r="G17" s="22"/>
      <c r="H17" s="12">
        <f t="shared" si="0"/>
        <v>44456</v>
      </c>
    </row>
    <row r="18" spans="1:8" x14ac:dyDescent="0.3">
      <c r="B18" s="6" t="s">
        <v>24</v>
      </c>
      <c r="C18" s="22"/>
      <c r="D18" s="49"/>
      <c r="E18" s="22"/>
      <c r="F18" s="49"/>
      <c r="G18" s="22"/>
      <c r="H18" s="12">
        <f t="shared" si="0"/>
        <v>44456</v>
      </c>
    </row>
    <row r="19" spans="1:8" x14ac:dyDescent="0.3">
      <c r="B19" s="6" t="s">
        <v>21</v>
      </c>
      <c r="C19" s="22"/>
      <c r="D19" s="22"/>
      <c r="E19" s="22"/>
      <c r="F19" s="22"/>
      <c r="G19" s="22"/>
      <c r="H19" s="12">
        <f t="shared" si="0"/>
        <v>44456</v>
      </c>
    </row>
    <row r="20" spans="1:8" x14ac:dyDescent="0.3">
      <c r="B20" s="6" t="s">
        <v>18</v>
      </c>
      <c r="C20" s="22"/>
      <c r="D20" s="22"/>
      <c r="E20" s="22"/>
      <c r="F20" s="22"/>
      <c r="G20" s="22"/>
      <c r="H20" s="12">
        <f t="shared" si="0"/>
        <v>44456</v>
      </c>
    </row>
    <row r="21" spans="1:8" x14ac:dyDescent="0.3">
      <c r="B21" s="6" t="s">
        <v>16</v>
      </c>
      <c r="C21" s="22"/>
      <c r="D21" s="22">
        <v>324000</v>
      </c>
      <c r="E21" s="22"/>
      <c r="F21" s="22"/>
      <c r="G21" s="22"/>
      <c r="H21" s="12">
        <f t="shared" si="0"/>
        <v>44456</v>
      </c>
    </row>
    <row r="22" spans="1:8" x14ac:dyDescent="0.3">
      <c r="B22" s="50" t="s">
        <v>27</v>
      </c>
      <c r="C22" s="51">
        <f>SUM(September17_2021[KSI_AGO])</f>
        <v>252000</v>
      </c>
      <c r="D22" s="51">
        <f>SUBTOTAL(109,September17_2021[KSI_PMS])</f>
        <v>1940000</v>
      </c>
      <c r="E22" s="51">
        <f>SUM(September17_2021[BUIPE_AGO])</f>
        <v>0</v>
      </c>
      <c r="F22" s="51">
        <f>SUM(September17_2021[BUIPE_PMS])</f>
        <v>270000</v>
      </c>
      <c r="G22" s="51">
        <f>SUM(September17_2021[AKOSOMBO_AGO])</f>
        <v>50000</v>
      </c>
      <c r="H22" s="52"/>
    </row>
    <row r="23" spans="1:8" x14ac:dyDescent="0.3">
      <c r="B23" s="8"/>
      <c r="C23" s="24"/>
      <c r="D23" s="24"/>
      <c r="E23" s="24"/>
      <c r="F23" s="24"/>
      <c r="G23" s="24"/>
      <c r="H23"/>
    </row>
    <row r="24" spans="1:8" x14ac:dyDescent="0.3">
      <c r="B24" s="1" t="s">
        <v>6</v>
      </c>
      <c r="C24" s="1" t="s">
        <v>4</v>
      </c>
      <c r="D24" s="5">
        <f>SUMIF(September17_2021[[#Headers],[KSI_AGO]:[AKOSOMBO_AGO]],"*"&amp;C24,September17_2021[[#Totals],[KSI_AGO]:[AKOSOMBO_AGO]])</f>
        <v>302000</v>
      </c>
      <c r="E24" s="1" t="s">
        <v>5</v>
      </c>
      <c r="F24" s="5">
        <f>SUMIF(September17_2021[[#Headers],[KSI_AGO]:[AKOSOMBO_AGO]],"*"&amp;E24,September17_2021[[#Totals],[KSI_AGO]:[AKOSOMBO_AGO]])</f>
        <v>2210000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21691392-12C3-4A34-8475-85BACAA189D6}">
      <formula1>INDIRECT("BDC_List[BDC List]")</formula1>
    </dataValidation>
  </dataValidations>
  <pageMargins left="0.7" right="0.7" top="0.75" bottom="0.75" header="0.3" footer="0.3"/>
  <tableParts count="1">
    <tablePart r:id="rId1"/>
  </tableParts>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E8776-2670-49A4-9342-733A5184EC56}">
  <sheetPr codeName="Sheet437"/>
  <dimension ref="A1:J34"/>
  <sheetViews>
    <sheetView workbookViewId="0">
      <pane xSplit="2" ySplit="5" topLeftCell="C7" activePane="bottomRight" state="frozen"/>
      <selection activeCell="E16" sqref="E16"/>
      <selection pane="topRight" activeCell="E16" sqref="E16"/>
      <selection pane="bottomLeft" activeCell="E16" sqref="E16"/>
      <selection pane="bottomRight"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44459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44459</v>
      </c>
    </row>
    <row r="7" spans="2:10" x14ac:dyDescent="0.3">
      <c r="B7" s="6" t="s">
        <v>37</v>
      </c>
      <c r="C7" s="49"/>
      <c r="D7" s="22"/>
      <c r="E7" s="22"/>
      <c r="F7" s="22"/>
      <c r="G7" s="22"/>
      <c r="H7" s="67">
        <f t="shared" si="0"/>
        <v>44459</v>
      </c>
    </row>
    <row r="8" spans="2:10" x14ac:dyDescent="0.3">
      <c r="B8" s="6" t="s">
        <v>17</v>
      </c>
      <c r="C8" s="22"/>
      <c r="D8" s="22"/>
      <c r="E8" s="22"/>
      <c r="F8" s="22"/>
      <c r="G8" s="22"/>
      <c r="H8" s="12">
        <f t="shared" si="0"/>
        <v>44459</v>
      </c>
    </row>
    <row r="9" spans="2:10" ht="15.6" x14ac:dyDescent="0.3">
      <c r="B9" s="34" t="s">
        <v>0</v>
      </c>
      <c r="C9" s="60"/>
      <c r="D9" s="46">
        <v>751500</v>
      </c>
      <c r="E9" s="60"/>
      <c r="F9" s="46"/>
      <c r="G9" s="61"/>
      <c r="H9" s="12">
        <f t="shared" si="0"/>
        <v>44459</v>
      </c>
    </row>
    <row r="10" spans="2:10" ht="16.2" customHeight="1" x14ac:dyDescent="0.3">
      <c r="B10" s="6" t="s">
        <v>25</v>
      </c>
      <c r="C10" s="22"/>
      <c r="D10" s="22"/>
      <c r="E10" s="22"/>
      <c r="F10" s="22"/>
      <c r="G10" s="22"/>
      <c r="H10" s="12">
        <f t="shared" si="0"/>
        <v>44459</v>
      </c>
    </row>
    <row r="11" spans="2:10" ht="13.5" customHeight="1" x14ac:dyDescent="0.3">
      <c r="B11" s="6" t="s">
        <v>15</v>
      </c>
      <c r="C11" s="22">
        <v>45000</v>
      </c>
      <c r="D11" s="48">
        <v>265500</v>
      </c>
      <c r="E11" s="22"/>
      <c r="F11" s="48"/>
      <c r="G11" s="22"/>
      <c r="H11" s="12">
        <f t="shared" si="0"/>
        <v>44459</v>
      </c>
    </row>
    <row r="12" spans="2:10" x14ac:dyDescent="0.3">
      <c r="B12" s="6" t="s">
        <v>54</v>
      </c>
      <c r="C12" s="22"/>
      <c r="D12" s="22"/>
      <c r="E12" s="22"/>
      <c r="F12" s="22"/>
      <c r="G12" s="22"/>
      <c r="H12" s="67">
        <f t="shared" si="0"/>
        <v>44459</v>
      </c>
    </row>
    <row r="13" spans="2:10" x14ac:dyDescent="0.3">
      <c r="B13" s="6" t="s">
        <v>26</v>
      </c>
      <c r="C13" s="22"/>
      <c r="D13" s="22">
        <v>378000</v>
      </c>
      <c r="E13" s="22"/>
      <c r="F13" s="22"/>
      <c r="G13" s="22"/>
      <c r="H13" s="12">
        <f t="shared" si="0"/>
        <v>44459</v>
      </c>
    </row>
    <row r="14" spans="2:10" x14ac:dyDescent="0.3">
      <c r="B14" s="6" t="s">
        <v>22</v>
      </c>
      <c r="C14" s="23"/>
      <c r="D14" s="22"/>
      <c r="E14" s="23"/>
      <c r="F14" s="22"/>
      <c r="G14" s="23"/>
      <c r="H14" s="12">
        <f t="shared" si="0"/>
        <v>44459</v>
      </c>
      <c r="J14" s="4"/>
    </row>
    <row r="15" spans="2:10" x14ac:dyDescent="0.3">
      <c r="B15" s="6" t="s">
        <v>61</v>
      </c>
      <c r="C15" s="23"/>
      <c r="D15" s="22"/>
      <c r="E15" s="23"/>
      <c r="F15" s="22"/>
      <c r="G15" s="23"/>
      <c r="H15" s="67">
        <f t="shared" si="0"/>
        <v>44459</v>
      </c>
      <c r="J15" s="4"/>
    </row>
    <row r="16" spans="2:10" x14ac:dyDescent="0.3">
      <c r="B16" s="6" t="s">
        <v>19</v>
      </c>
      <c r="C16" s="22">
        <v>162000</v>
      </c>
      <c r="D16" s="22"/>
      <c r="E16" s="22"/>
      <c r="F16" s="22"/>
      <c r="G16" s="22"/>
      <c r="H16" s="12">
        <f t="shared" si="0"/>
        <v>44459</v>
      </c>
    </row>
    <row r="17" spans="1:8" x14ac:dyDescent="0.3">
      <c r="B17" s="6" t="s">
        <v>14</v>
      </c>
      <c r="C17" s="22"/>
      <c r="D17" s="22"/>
      <c r="E17" s="22"/>
      <c r="F17" s="22"/>
      <c r="G17" s="22"/>
      <c r="H17" s="12">
        <f t="shared" si="0"/>
        <v>44459</v>
      </c>
    </row>
    <row r="18" spans="1:8" x14ac:dyDescent="0.3">
      <c r="B18" s="6" t="s">
        <v>24</v>
      </c>
      <c r="C18" s="22"/>
      <c r="D18" s="49"/>
      <c r="E18" s="22"/>
      <c r="F18" s="49"/>
      <c r="G18" s="22"/>
      <c r="H18" s="12">
        <f t="shared" si="0"/>
        <v>44459</v>
      </c>
    </row>
    <row r="19" spans="1:8" x14ac:dyDescent="0.3">
      <c r="B19" s="6" t="s">
        <v>21</v>
      </c>
      <c r="C19" s="22"/>
      <c r="D19" s="22"/>
      <c r="E19" s="22"/>
      <c r="F19" s="22"/>
      <c r="G19" s="22"/>
      <c r="H19" s="12">
        <f t="shared" si="0"/>
        <v>44459</v>
      </c>
    </row>
    <row r="20" spans="1:8" x14ac:dyDescent="0.3">
      <c r="B20" s="6" t="s">
        <v>18</v>
      </c>
      <c r="C20" s="22"/>
      <c r="D20" s="22"/>
      <c r="E20" s="22"/>
      <c r="F20" s="22"/>
      <c r="G20" s="22"/>
      <c r="H20" s="12">
        <f t="shared" si="0"/>
        <v>44459</v>
      </c>
    </row>
    <row r="21" spans="1:8" x14ac:dyDescent="0.3">
      <c r="B21" s="6" t="s">
        <v>16</v>
      </c>
      <c r="C21" s="22"/>
      <c r="D21" s="22">
        <v>103500</v>
      </c>
      <c r="E21" s="22"/>
      <c r="F21" s="22"/>
      <c r="G21" s="22"/>
      <c r="H21" s="12">
        <f t="shared" si="0"/>
        <v>44459</v>
      </c>
    </row>
    <row r="22" spans="1:8" x14ac:dyDescent="0.3">
      <c r="B22" s="50" t="s">
        <v>27</v>
      </c>
      <c r="C22" s="51">
        <f>SUM(September20_2021[KSI_AGO])</f>
        <v>207000</v>
      </c>
      <c r="D22" s="51">
        <f>SUBTOTAL(109,September20_2021[KSI_PMS])</f>
        <v>1498500</v>
      </c>
      <c r="E22" s="51">
        <f>SUM(September20_2021[BUIPE_AGO])</f>
        <v>0</v>
      </c>
      <c r="F22" s="51">
        <f>SUM(September20_2021[BUIPE_PMS])</f>
        <v>0</v>
      </c>
      <c r="G22" s="51">
        <f>SUM(September20_2021[AKOSOMBO_AGO])</f>
        <v>0</v>
      </c>
      <c r="H22" s="52"/>
    </row>
    <row r="23" spans="1:8" x14ac:dyDescent="0.3">
      <c r="B23" s="8"/>
      <c r="C23" s="24"/>
      <c r="D23" s="24"/>
      <c r="E23" s="24"/>
      <c r="F23" s="24"/>
      <c r="G23" s="24"/>
      <c r="H23"/>
    </row>
    <row r="24" spans="1:8" x14ac:dyDescent="0.3">
      <c r="B24" s="1" t="s">
        <v>6</v>
      </c>
      <c r="C24" s="1" t="s">
        <v>4</v>
      </c>
      <c r="D24" s="5">
        <f>SUMIF(September20_2021[[#Headers],[KSI_AGO]:[AKOSOMBO_AGO]],"*"&amp;C24,September20_2021[[#Totals],[KSI_AGO]:[AKOSOMBO_AGO]])</f>
        <v>207000</v>
      </c>
      <c r="E24" s="1" t="s">
        <v>5</v>
      </c>
      <c r="F24" s="5">
        <f>SUMIF(September20_2021[[#Headers],[KSI_AGO]:[AKOSOMBO_AGO]],"*"&amp;E24,September20_2021[[#Totals],[KSI_AGO]:[AKOSOMBO_AGO]])</f>
        <v>1498500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D6347F17-C6F0-4985-AA75-9BB53C58E2A5}">
      <formula1>INDIRECT("BDC_List[BDC List]")</formula1>
    </dataValidation>
  </dataValidations>
  <pageMargins left="0.7" right="0.7" top="0.75" bottom="0.75" header="0.3" footer="0.3"/>
  <tableParts count="1">
    <tablePart r:id="rId1"/>
  </tableParts>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8B96-EFA6-4F8A-B3EE-B35CCE3EB31C}">
  <sheetPr codeName="Sheet438"/>
  <dimension ref="A1:J34"/>
  <sheetViews>
    <sheetView workbookViewId="0">
      <pane xSplit="2" ySplit="5" topLeftCell="C7" activePane="bottomRight" state="frozen"/>
      <selection activeCell="E16" sqref="E16"/>
      <selection pane="topRight" activeCell="E16" sqref="E16"/>
      <selection pane="bottomLeft" activeCell="E16" sqref="E16"/>
      <selection pane="bottomRight"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44461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44461</v>
      </c>
    </row>
    <row r="7" spans="2:10" x14ac:dyDescent="0.3">
      <c r="B7" s="6" t="s">
        <v>37</v>
      </c>
      <c r="C7" s="49"/>
      <c r="D7" s="22"/>
      <c r="E7" s="22"/>
      <c r="F7" s="22"/>
      <c r="G7" s="22"/>
      <c r="H7" s="67">
        <f t="shared" si="0"/>
        <v>44461</v>
      </c>
    </row>
    <row r="8" spans="2:10" x14ac:dyDescent="0.3">
      <c r="B8" s="6" t="s">
        <v>17</v>
      </c>
      <c r="C8" s="22">
        <v>2052000</v>
      </c>
      <c r="D8" s="22"/>
      <c r="E8" s="22"/>
      <c r="F8" s="22"/>
      <c r="G8" s="22"/>
      <c r="H8" s="12">
        <f t="shared" si="0"/>
        <v>44461</v>
      </c>
    </row>
    <row r="9" spans="2:10" ht="15.6" x14ac:dyDescent="0.3">
      <c r="B9" s="34" t="s">
        <v>0</v>
      </c>
      <c r="C9" s="60">
        <v>45000</v>
      </c>
      <c r="D9" s="46">
        <v>693000</v>
      </c>
      <c r="E9" s="60"/>
      <c r="F9" s="46"/>
      <c r="G9" s="61"/>
      <c r="H9" s="12">
        <f t="shared" si="0"/>
        <v>44461</v>
      </c>
    </row>
    <row r="10" spans="2:10" ht="16.2" customHeight="1" x14ac:dyDescent="0.3">
      <c r="B10" s="6" t="s">
        <v>25</v>
      </c>
      <c r="C10" s="22"/>
      <c r="D10" s="22"/>
      <c r="E10" s="22"/>
      <c r="F10" s="22"/>
      <c r="G10" s="22"/>
      <c r="H10" s="12">
        <f t="shared" si="0"/>
        <v>44461</v>
      </c>
    </row>
    <row r="11" spans="2:10" ht="13.5" customHeight="1" x14ac:dyDescent="0.3">
      <c r="B11" s="6" t="s">
        <v>15</v>
      </c>
      <c r="C11" s="22"/>
      <c r="D11" s="48">
        <v>108000</v>
      </c>
      <c r="E11" s="22"/>
      <c r="F11" s="48"/>
      <c r="G11" s="22"/>
      <c r="H11" s="12">
        <f t="shared" si="0"/>
        <v>44461</v>
      </c>
    </row>
    <row r="12" spans="2:10" x14ac:dyDescent="0.3">
      <c r="B12" s="6" t="s">
        <v>54</v>
      </c>
      <c r="C12" s="22"/>
      <c r="D12" s="22"/>
      <c r="E12" s="22"/>
      <c r="F12" s="22"/>
      <c r="G12" s="22"/>
      <c r="H12" s="67">
        <f t="shared" si="0"/>
        <v>44461</v>
      </c>
    </row>
    <row r="13" spans="2:10" x14ac:dyDescent="0.3">
      <c r="B13" s="6" t="s">
        <v>26</v>
      </c>
      <c r="C13" s="22"/>
      <c r="D13" s="22">
        <v>204000</v>
      </c>
      <c r="E13" s="22"/>
      <c r="F13" s="22"/>
      <c r="G13" s="22"/>
      <c r="H13" s="12">
        <f t="shared" si="0"/>
        <v>44461</v>
      </c>
    </row>
    <row r="14" spans="2:10" x14ac:dyDescent="0.3">
      <c r="B14" s="6" t="s">
        <v>22</v>
      </c>
      <c r="C14" s="23"/>
      <c r="D14" s="22"/>
      <c r="E14" s="23"/>
      <c r="F14" s="22"/>
      <c r="G14" s="23"/>
      <c r="H14" s="12">
        <f t="shared" si="0"/>
        <v>44461</v>
      </c>
      <c r="J14" s="4"/>
    </row>
    <row r="15" spans="2:10" x14ac:dyDescent="0.3">
      <c r="B15" s="6" t="s">
        <v>61</v>
      </c>
      <c r="C15" s="23"/>
      <c r="D15" s="22"/>
      <c r="E15" s="23"/>
      <c r="F15" s="22"/>
      <c r="G15" s="23"/>
      <c r="H15" s="67">
        <f t="shared" si="0"/>
        <v>44461</v>
      </c>
      <c r="J15" s="4"/>
    </row>
    <row r="16" spans="2:10" x14ac:dyDescent="0.3">
      <c r="B16" s="6" t="s">
        <v>19</v>
      </c>
      <c r="C16" s="22">
        <v>270000</v>
      </c>
      <c r="D16" s="22"/>
      <c r="E16" s="22"/>
      <c r="F16" s="22"/>
      <c r="G16" s="22"/>
      <c r="H16" s="12">
        <f t="shared" si="0"/>
        <v>44461</v>
      </c>
    </row>
    <row r="17" spans="1:8" x14ac:dyDescent="0.3">
      <c r="B17" s="6" t="s">
        <v>14</v>
      </c>
      <c r="C17" s="22"/>
      <c r="D17" s="22"/>
      <c r="E17" s="22"/>
      <c r="F17" s="22"/>
      <c r="G17" s="22"/>
      <c r="H17" s="12">
        <f t="shared" si="0"/>
        <v>44461</v>
      </c>
    </row>
    <row r="18" spans="1:8" x14ac:dyDescent="0.3">
      <c r="B18" s="6" t="s">
        <v>24</v>
      </c>
      <c r="C18" s="22"/>
      <c r="D18" s="49"/>
      <c r="E18" s="22"/>
      <c r="F18" s="49"/>
      <c r="G18" s="22"/>
      <c r="H18" s="12">
        <f t="shared" si="0"/>
        <v>44461</v>
      </c>
    </row>
    <row r="19" spans="1:8" x14ac:dyDescent="0.3">
      <c r="B19" s="6" t="s">
        <v>21</v>
      </c>
      <c r="C19" s="22"/>
      <c r="D19" s="22"/>
      <c r="E19" s="22"/>
      <c r="F19" s="22"/>
      <c r="G19" s="22"/>
      <c r="H19" s="12">
        <f t="shared" si="0"/>
        <v>44461</v>
      </c>
    </row>
    <row r="20" spans="1:8" x14ac:dyDescent="0.3">
      <c r="B20" s="6" t="s">
        <v>18</v>
      </c>
      <c r="C20" s="22"/>
      <c r="D20" s="22"/>
      <c r="E20" s="22"/>
      <c r="F20" s="22"/>
      <c r="G20" s="22"/>
      <c r="H20" s="12">
        <f t="shared" si="0"/>
        <v>44461</v>
      </c>
    </row>
    <row r="21" spans="1:8" x14ac:dyDescent="0.3">
      <c r="B21" s="6" t="s">
        <v>16</v>
      </c>
      <c r="C21" s="22"/>
      <c r="D21" s="22">
        <v>54000</v>
      </c>
      <c r="E21" s="22"/>
      <c r="F21" s="22"/>
      <c r="G21" s="22"/>
      <c r="H21" s="12">
        <f t="shared" si="0"/>
        <v>44461</v>
      </c>
    </row>
    <row r="22" spans="1:8" x14ac:dyDescent="0.3">
      <c r="B22" s="50" t="s">
        <v>27</v>
      </c>
      <c r="C22" s="51">
        <f>SUM(September22_2021451[KSI_AGO])</f>
        <v>2367000</v>
      </c>
      <c r="D22" s="51">
        <f>SUBTOTAL(109,September22_2021451[KSI_PMS])</f>
        <v>1059000</v>
      </c>
      <c r="E22" s="51">
        <f>SUM(September22_2021451[BUIPE_AGO])</f>
        <v>0</v>
      </c>
      <c r="F22" s="51">
        <f>SUM(September22_2021451[BUIPE_PMS])</f>
        <v>0</v>
      </c>
      <c r="G22" s="51">
        <f>SUM(September22_2021451[AKOSOMBO_AGO])</f>
        <v>0</v>
      </c>
      <c r="H22" s="52"/>
    </row>
    <row r="23" spans="1:8" x14ac:dyDescent="0.3">
      <c r="B23" s="8"/>
      <c r="C23" s="24"/>
      <c r="D23" s="24"/>
      <c r="E23" s="24"/>
      <c r="F23" s="24"/>
      <c r="G23" s="24"/>
      <c r="H23"/>
    </row>
    <row r="24" spans="1:8" x14ac:dyDescent="0.3">
      <c r="B24" s="1" t="s">
        <v>6</v>
      </c>
      <c r="C24" s="1" t="s">
        <v>4</v>
      </c>
      <c r="D24" s="5">
        <f>SUMIF(September22_2021451[[#Headers],[KSI_AGO]:[AKOSOMBO_AGO]],"*"&amp;C24,September22_2021451[[#Totals],[KSI_AGO]:[AKOSOMBO_AGO]])</f>
        <v>2367000</v>
      </c>
      <c r="E24" s="1" t="s">
        <v>5</v>
      </c>
      <c r="F24" s="5">
        <f>SUMIF(September22_2021451[[#Headers],[KSI_AGO]:[AKOSOMBO_AGO]],"*"&amp;E24,September22_2021451[[#Totals],[KSI_AGO]:[AKOSOMBO_AGO]])</f>
        <v>1059000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9588CD0D-7828-472B-88FF-D948BC0AE488}">
      <formula1>INDIRECT("BDC_List[BDC List]")</formula1>
    </dataValidation>
  </dataValidations>
  <pageMargins left="0.7" right="0.7" top="0.75" bottom="0.75" header="0.3" footer="0.3"/>
  <tableParts count="1">
    <tablePart r:id="rId1"/>
  </tableParts>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CB4DF-75EF-4594-B71D-67420D2A7D87}">
  <sheetPr codeName="Sheet439">
    <tabColor rgb="FF7030A0"/>
  </sheetPr>
  <dimension ref="A1:J34"/>
  <sheetViews>
    <sheetView workbookViewId="0">
      <pane xSplit="2" ySplit="5" topLeftCell="C7" activePane="bottomRight" state="frozen"/>
      <selection activeCell="E16" sqref="E16"/>
      <selection pane="topRight" activeCell="E16" sqref="E16"/>
      <selection pane="bottomLeft" activeCell="E16" sqref="E16"/>
      <selection pane="bottomRight" activeCell="F12" sqref="F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44462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44462</v>
      </c>
    </row>
    <row r="7" spans="2:10" x14ac:dyDescent="0.3">
      <c r="B7" s="6" t="s">
        <v>37</v>
      </c>
      <c r="C7" s="49"/>
      <c r="D7" s="22"/>
      <c r="E7" s="22"/>
      <c r="F7" s="22"/>
      <c r="G7" s="22"/>
      <c r="H7" s="67">
        <f t="shared" si="0"/>
        <v>44462</v>
      </c>
    </row>
    <row r="8" spans="2:10" x14ac:dyDescent="0.3">
      <c r="B8" s="6" t="s">
        <v>17</v>
      </c>
      <c r="C8" s="22">
        <v>1458000</v>
      </c>
      <c r="D8" s="22"/>
      <c r="E8" s="22"/>
      <c r="F8" s="22"/>
      <c r="G8" s="22"/>
      <c r="H8" s="12">
        <f t="shared" si="0"/>
        <v>44462</v>
      </c>
    </row>
    <row r="9" spans="2:10" ht="15.6" x14ac:dyDescent="0.3">
      <c r="B9" s="34" t="s">
        <v>0</v>
      </c>
      <c r="C9" s="60">
        <v>90000</v>
      </c>
      <c r="D9" s="46">
        <v>752000</v>
      </c>
      <c r="E9" s="60"/>
      <c r="F9" s="46">
        <v>108000</v>
      </c>
      <c r="G9" s="61"/>
      <c r="H9" s="12">
        <f t="shared" si="0"/>
        <v>44462</v>
      </c>
    </row>
    <row r="10" spans="2:10" ht="16.2" customHeight="1" x14ac:dyDescent="0.3">
      <c r="B10" s="6" t="s">
        <v>25</v>
      </c>
      <c r="C10" s="22"/>
      <c r="D10" s="22"/>
      <c r="E10" s="22"/>
      <c r="F10" s="22"/>
      <c r="G10" s="22"/>
      <c r="H10" s="12">
        <f t="shared" si="0"/>
        <v>44462</v>
      </c>
    </row>
    <row r="11" spans="2:10" ht="13.5" customHeight="1" x14ac:dyDescent="0.3">
      <c r="B11" s="6" t="s">
        <v>15</v>
      </c>
      <c r="C11" s="22"/>
      <c r="D11" s="48">
        <v>216000</v>
      </c>
      <c r="E11" s="22"/>
      <c r="F11" s="48">
        <v>54000</v>
      </c>
      <c r="G11" s="22"/>
      <c r="H11" s="12">
        <f t="shared" si="0"/>
        <v>44462</v>
      </c>
    </row>
    <row r="12" spans="2:10" x14ac:dyDescent="0.3">
      <c r="B12" s="6" t="s">
        <v>54</v>
      </c>
      <c r="C12" s="22"/>
      <c r="D12" s="22"/>
      <c r="E12" s="22"/>
      <c r="F12" s="22"/>
      <c r="G12" s="22"/>
      <c r="H12" s="67">
        <f t="shared" si="0"/>
        <v>44462</v>
      </c>
    </row>
    <row r="13" spans="2:10" x14ac:dyDescent="0.3">
      <c r="B13" s="6" t="s">
        <v>26</v>
      </c>
      <c r="C13" s="22"/>
      <c r="D13" s="22">
        <v>216000</v>
      </c>
      <c r="E13" s="22"/>
      <c r="F13" s="22"/>
      <c r="G13" s="22"/>
      <c r="H13" s="12">
        <f t="shared" si="0"/>
        <v>44462</v>
      </c>
    </row>
    <row r="14" spans="2:10" x14ac:dyDescent="0.3">
      <c r="B14" s="6" t="s">
        <v>22</v>
      </c>
      <c r="C14" s="23"/>
      <c r="D14" s="22"/>
      <c r="E14" s="23"/>
      <c r="F14" s="22"/>
      <c r="G14" s="23"/>
      <c r="H14" s="12">
        <f t="shared" si="0"/>
        <v>44462</v>
      </c>
      <c r="J14" s="4"/>
    </row>
    <row r="15" spans="2:10" x14ac:dyDescent="0.3">
      <c r="B15" s="6" t="s">
        <v>61</v>
      </c>
      <c r="C15" s="23"/>
      <c r="D15" s="22"/>
      <c r="E15" s="23"/>
      <c r="F15" s="22"/>
      <c r="G15" s="23"/>
      <c r="H15" s="67">
        <f t="shared" si="0"/>
        <v>44462</v>
      </c>
      <c r="J15" s="4"/>
    </row>
    <row r="16" spans="2:10" x14ac:dyDescent="0.3">
      <c r="B16" s="6" t="s">
        <v>19</v>
      </c>
      <c r="C16" s="22">
        <v>108000</v>
      </c>
      <c r="D16" s="22"/>
      <c r="E16" s="22"/>
      <c r="F16" s="22">
        <v>54000</v>
      </c>
      <c r="G16" s="22">
        <v>270000</v>
      </c>
      <c r="H16" s="12">
        <f t="shared" si="0"/>
        <v>44462</v>
      </c>
    </row>
    <row r="17" spans="1:8" x14ac:dyDescent="0.3">
      <c r="B17" s="6" t="s">
        <v>14</v>
      </c>
      <c r="C17" s="22">
        <v>756000</v>
      </c>
      <c r="D17" s="22">
        <v>320000</v>
      </c>
      <c r="E17" s="22"/>
      <c r="F17" s="22">
        <v>54000</v>
      </c>
      <c r="G17" s="22">
        <v>540000</v>
      </c>
      <c r="H17" s="12">
        <f t="shared" si="0"/>
        <v>44462</v>
      </c>
    </row>
    <row r="18" spans="1:8" x14ac:dyDescent="0.3">
      <c r="B18" s="6" t="s">
        <v>24</v>
      </c>
      <c r="C18" s="22"/>
      <c r="D18" s="49"/>
      <c r="E18" s="22"/>
      <c r="F18" s="49"/>
      <c r="G18" s="22"/>
      <c r="H18" s="12">
        <f t="shared" si="0"/>
        <v>44462</v>
      </c>
    </row>
    <row r="19" spans="1:8" x14ac:dyDescent="0.3">
      <c r="B19" s="6" t="s">
        <v>21</v>
      </c>
      <c r="C19" s="22"/>
      <c r="D19" s="22"/>
      <c r="E19" s="22"/>
      <c r="F19" s="22"/>
      <c r="G19" s="22"/>
      <c r="H19" s="12">
        <f t="shared" si="0"/>
        <v>44462</v>
      </c>
    </row>
    <row r="20" spans="1:8" x14ac:dyDescent="0.3">
      <c r="B20" s="6" t="s">
        <v>18</v>
      </c>
      <c r="C20" s="22"/>
      <c r="D20" s="22"/>
      <c r="E20" s="22"/>
      <c r="F20" s="22"/>
      <c r="G20" s="22"/>
      <c r="H20" s="12">
        <f t="shared" si="0"/>
        <v>44462</v>
      </c>
    </row>
    <row r="21" spans="1:8" x14ac:dyDescent="0.3">
      <c r="B21" s="6" t="s">
        <v>16</v>
      </c>
      <c r="C21" s="22">
        <v>369000</v>
      </c>
      <c r="D21" s="22">
        <v>216000</v>
      </c>
      <c r="E21" s="22">
        <v>162000</v>
      </c>
      <c r="F21" s="22"/>
      <c r="G21" s="22"/>
      <c r="H21" s="12">
        <f t="shared" si="0"/>
        <v>44462</v>
      </c>
    </row>
    <row r="22" spans="1:8" x14ac:dyDescent="0.3">
      <c r="B22" s="50" t="s">
        <v>27</v>
      </c>
      <c r="C22" s="51">
        <f>SUM(September23_2021[KSI_AGO])</f>
        <v>2781000</v>
      </c>
      <c r="D22" s="51">
        <f>SUBTOTAL(109,September23_2021[KSI_PMS])</f>
        <v>1720000</v>
      </c>
      <c r="E22" s="51">
        <f>SUM(September23_2021[BUIPE_AGO])</f>
        <v>162000</v>
      </c>
      <c r="F22" s="51">
        <f>SUM(September23_2021[BUIPE_PMS])</f>
        <v>270000</v>
      </c>
      <c r="G22" s="51">
        <f>SUM(September23_2021[AKOSOMBO_AGO])</f>
        <v>810000</v>
      </c>
      <c r="H22" s="52"/>
    </row>
    <row r="23" spans="1:8" x14ac:dyDescent="0.3">
      <c r="B23" s="8"/>
      <c r="C23" s="24"/>
      <c r="D23" s="24"/>
      <c r="E23" s="24"/>
      <c r="F23" s="24"/>
      <c r="G23" s="24"/>
      <c r="H23"/>
    </row>
    <row r="24" spans="1:8" x14ac:dyDescent="0.3">
      <c r="B24" s="1" t="s">
        <v>6</v>
      </c>
      <c r="C24" s="1" t="s">
        <v>4</v>
      </c>
      <c r="D24" s="5">
        <f>SUMIF(September23_2021[[#Headers],[KSI_AGO]:[AKOSOMBO_AGO]],"*"&amp;C24,September23_2021[[#Totals],[KSI_AGO]:[AKOSOMBO_AGO]])</f>
        <v>3753000</v>
      </c>
      <c r="E24" s="1" t="s">
        <v>5</v>
      </c>
      <c r="F24" s="5">
        <f>SUMIF(September23_2021[[#Headers],[KSI_AGO]:[AKOSOMBO_AGO]],"*"&amp;E24,September23_2021[[#Totals],[KSI_AGO]:[AKOSOMBO_AGO]])</f>
        <v>1990000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320CCCCD-9ADF-44DE-B8C1-DC7008D56B5C}">
      <formula1>INDIRECT("BDC_List[BDC List]")</formula1>
    </dataValidation>
  </dataValidations>
  <pageMargins left="0.7" right="0.7" top="0.75" bottom="0.75" header="0.3" footer="0.3"/>
  <tableParts count="1">
    <tablePart r:id="rId1"/>
  </tableParts>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656CD-1749-476F-B180-7EE403F1881F}">
  <sheetPr codeName="Sheet440"/>
  <dimension ref="A1:J34"/>
  <sheetViews>
    <sheetView workbookViewId="0">
      <pane xSplit="2" ySplit="5" topLeftCell="C6" activePane="bottomRight" state="frozen"/>
      <selection activeCell="E16" sqref="E16"/>
      <selection pane="topRight" activeCell="E16" sqref="E16"/>
      <selection pane="bottomLeft" activeCell="E16" sqref="E16"/>
      <selection pane="bottomRight" activeCell="G9" sqref="G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44463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22"/>
      <c r="E6" s="45"/>
      <c r="F6" s="45"/>
      <c r="G6" s="45"/>
      <c r="H6" s="12">
        <f t="shared" ref="H6:H21" si="0">$G$3</f>
        <v>44463</v>
      </c>
    </row>
    <row r="7" spans="2:10" x14ac:dyDescent="0.3">
      <c r="B7" s="6" t="s">
        <v>37</v>
      </c>
      <c r="C7" s="49"/>
      <c r="D7" s="22"/>
      <c r="E7" s="22"/>
      <c r="F7" s="22"/>
      <c r="G7" s="22"/>
      <c r="H7" s="67">
        <f t="shared" si="0"/>
        <v>44463</v>
      </c>
    </row>
    <row r="8" spans="2:10" x14ac:dyDescent="0.3">
      <c r="B8" s="6" t="s">
        <v>17</v>
      </c>
      <c r="C8" s="22">
        <v>45000</v>
      </c>
      <c r="D8" s="46">
        <v>864000</v>
      </c>
      <c r="E8" s="22"/>
      <c r="F8" s="22"/>
      <c r="G8" s="22"/>
      <c r="H8" s="12">
        <f t="shared" si="0"/>
        <v>44463</v>
      </c>
    </row>
    <row r="9" spans="2:10" ht="15.6" x14ac:dyDescent="0.3">
      <c r="B9" s="34" t="s">
        <v>0</v>
      </c>
      <c r="C9" s="60"/>
      <c r="D9" s="22"/>
      <c r="E9" s="60"/>
      <c r="F9" s="46">
        <v>324000</v>
      </c>
      <c r="G9" s="61"/>
      <c r="H9" s="12">
        <f t="shared" si="0"/>
        <v>44463</v>
      </c>
    </row>
    <row r="10" spans="2:10" ht="16.2" customHeight="1" x14ac:dyDescent="0.3">
      <c r="B10" s="6" t="s">
        <v>25</v>
      </c>
      <c r="C10" s="22"/>
      <c r="D10" s="48">
        <v>369000</v>
      </c>
      <c r="E10" s="22"/>
      <c r="F10" s="22">
        <v>54000</v>
      </c>
      <c r="G10" s="22"/>
      <c r="H10" s="12">
        <f t="shared" si="0"/>
        <v>44463</v>
      </c>
    </row>
    <row r="11" spans="2:10" ht="13.5" customHeight="1" x14ac:dyDescent="0.3">
      <c r="B11" s="6" t="s">
        <v>15</v>
      </c>
      <c r="C11" s="22"/>
      <c r="D11" s="22"/>
      <c r="E11" s="22"/>
      <c r="F11" s="48">
        <v>54000</v>
      </c>
      <c r="G11" s="22"/>
      <c r="H11" s="12">
        <f t="shared" si="0"/>
        <v>44463</v>
      </c>
    </row>
    <row r="12" spans="2:10" x14ac:dyDescent="0.3">
      <c r="B12" s="6" t="s">
        <v>54</v>
      </c>
      <c r="C12" s="22"/>
      <c r="D12" s="22"/>
      <c r="E12" s="22"/>
      <c r="F12" s="22"/>
      <c r="G12" s="22"/>
      <c r="H12" s="67">
        <f t="shared" si="0"/>
        <v>44463</v>
      </c>
    </row>
    <row r="13" spans="2:10" x14ac:dyDescent="0.3">
      <c r="B13" s="6" t="s">
        <v>26</v>
      </c>
      <c r="C13" s="22">
        <v>324000</v>
      </c>
      <c r="D13" s="22"/>
      <c r="E13" s="22">
        <v>216000</v>
      </c>
      <c r="F13" s="22">
        <v>54000</v>
      </c>
      <c r="G13" s="22"/>
      <c r="H13" s="12">
        <f t="shared" si="0"/>
        <v>44463</v>
      </c>
    </row>
    <row r="14" spans="2:10" x14ac:dyDescent="0.3">
      <c r="B14" s="6" t="s">
        <v>22</v>
      </c>
      <c r="C14" s="23"/>
      <c r="D14" s="22"/>
      <c r="E14" s="23"/>
      <c r="F14" s="22"/>
      <c r="G14" s="23"/>
      <c r="H14" s="12">
        <f t="shared" si="0"/>
        <v>44463</v>
      </c>
      <c r="J14" s="4"/>
    </row>
    <row r="15" spans="2:10" x14ac:dyDescent="0.3">
      <c r="B15" s="6" t="s">
        <v>61</v>
      </c>
      <c r="C15" s="23"/>
      <c r="D15" s="22"/>
      <c r="E15" s="23"/>
      <c r="F15" s="22"/>
      <c r="G15" s="23"/>
      <c r="H15" s="67">
        <f t="shared" si="0"/>
        <v>44463</v>
      </c>
      <c r="J15" s="4"/>
    </row>
    <row r="16" spans="2:10" x14ac:dyDescent="0.3">
      <c r="B16" s="6" t="s">
        <v>19</v>
      </c>
      <c r="C16" s="22">
        <v>797000</v>
      </c>
      <c r="D16" s="22">
        <v>410500</v>
      </c>
      <c r="E16" s="22"/>
      <c r="F16" s="22"/>
      <c r="G16" s="22">
        <v>482000</v>
      </c>
      <c r="H16" s="12">
        <f t="shared" si="0"/>
        <v>44463</v>
      </c>
    </row>
    <row r="17" spans="1:8" x14ac:dyDescent="0.3">
      <c r="B17" s="6" t="s">
        <v>14</v>
      </c>
      <c r="C17" s="22">
        <v>797000</v>
      </c>
      <c r="D17" s="49"/>
      <c r="E17" s="22">
        <v>100000</v>
      </c>
      <c r="F17" s="22">
        <v>54000</v>
      </c>
      <c r="G17" s="22">
        <v>315000</v>
      </c>
      <c r="H17" s="12">
        <f t="shared" si="0"/>
        <v>44463</v>
      </c>
    </row>
    <row r="18" spans="1:8" x14ac:dyDescent="0.3">
      <c r="B18" s="6" t="s">
        <v>24</v>
      </c>
      <c r="C18" s="22"/>
      <c r="D18" s="22"/>
      <c r="E18" s="22"/>
      <c r="F18" s="49"/>
      <c r="G18" s="22"/>
      <c r="H18" s="12">
        <f t="shared" si="0"/>
        <v>44463</v>
      </c>
    </row>
    <row r="19" spans="1:8" x14ac:dyDescent="0.3">
      <c r="B19" s="6" t="s">
        <v>21</v>
      </c>
      <c r="C19" s="22"/>
      <c r="D19" s="22"/>
      <c r="E19" s="22"/>
      <c r="F19" s="22"/>
      <c r="G19" s="22"/>
      <c r="H19" s="12">
        <f t="shared" si="0"/>
        <v>44463</v>
      </c>
    </row>
    <row r="20" spans="1:8" x14ac:dyDescent="0.3">
      <c r="B20" s="6" t="s">
        <v>18</v>
      </c>
      <c r="C20" s="22"/>
      <c r="D20" s="22">
        <v>54000</v>
      </c>
      <c r="E20" s="22"/>
      <c r="F20" s="22">
        <v>54000</v>
      </c>
      <c r="G20" s="22"/>
      <c r="H20" s="12">
        <f t="shared" si="0"/>
        <v>44463</v>
      </c>
    </row>
    <row r="21" spans="1:8" x14ac:dyDescent="0.3">
      <c r="B21" s="6" t="s">
        <v>16</v>
      </c>
      <c r="C21" s="22">
        <v>630000</v>
      </c>
      <c r="D21" s="22"/>
      <c r="E21" s="22">
        <v>52000</v>
      </c>
      <c r="F21" s="22"/>
      <c r="G21" s="22"/>
      <c r="H21" s="12">
        <f t="shared" si="0"/>
        <v>44463</v>
      </c>
    </row>
    <row r="22" spans="1:8" x14ac:dyDescent="0.3">
      <c r="B22" s="50" t="s">
        <v>27</v>
      </c>
      <c r="C22" s="51">
        <f>SUM(September23_202118[KSI_AGO])</f>
        <v>2593000</v>
      </c>
      <c r="D22" s="51">
        <f>SUBTOTAL(109,September23_202118[KSI_PMS])</f>
        <v>1697500</v>
      </c>
      <c r="E22" s="51">
        <f>SUM(September23_202118[BUIPE_AGO])</f>
        <v>368000</v>
      </c>
      <c r="F22" s="51">
        <f>SUM(September23_202118[BUIPE_PMS])</f>
        <v>594000</v>
      </c>
      <c r="G22" s="51">
        <f>SUM(September23_202118[AKOSOMBO_AGO])</f>
        <v>797000</v>
      </c>
      <c r="H22" s="52"/>
    </row>
    <row r="23" spans="1:8" x14ac:dyDescent="0.3">
      <c r="B23" s="8"/>
      <c r="C23" s="24"/>
      <c r="D23" s="24"/>
      <c r="E23" s="24"/>
      <c r="F23" s="24"/>
      <c r="G23" s="24"/>
      <c r="H23"/>
    </row>
    <row r="24" spans="1:8" x14ac:dyDescent="0.3">
      <c r="B24" s="1" t="s">
        <v>6</v>
      </c>
      <c r="C24" s="1" t="s">
        <v>4</v>
      </c>
      <c r="D24" s="5">
        <f>SUMIF(September23_202118[[#Headers],[KSI_AGO]:[AKOSOMBO_AGO]],"*"&amp;C24,September23_202118[[#Totals],[KSI_AGO]:[AKOSOMBO_AGO]])</f>
        <v>3758000</v>
      </c>
      <c r="E24" s="1" t="s">
        <v>5</v>
      </c>
      <c r="F24" s="5">
        <f>SUMIF(September23_202118[[#Headers],[KSI_AGO]:[AKOSOMBO_AGO]],"*"&amp;E24,September23_202118[[#Totals],[KSI_AGO]:[AKOSOMBO_AGO]])</f>
        <v>2291500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2A015971-45E9-4BEF-902E-5F1BF2C54904}">
      <formula1>INDIRECT("BDC_List[BDC List]")</formula1>
    </dataValidation>
  </dataValidations>
  <pageMargins left="0.7" right="0.7" top="0.75" bottom="0.75" header="0.3" footer="0.3"/>
  <tableParts count="1">
    <tablePart r:id="rId1"/>
  </tableParts>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62D6-D40E-4899-B7E4-0E23487AC11C}">
  <sheetPr codeName="Sheet441"/>
  <dimension ref="A1:J34"/>
  <sheetViews>
    <sheetView workbookViewId="0">
      <pane xSplit="2" ySplit="5" topLeftCell="C7" activePane="bottomRight" state="frozen"/>
      <selection activeCell="E16" sqref="E16"/>
      <selection pane="topRight" activeCell="E16" sqref="E16"/>
      <selection pane="bottomLeft" activeCell="E16" sqref="E16"/>
      <selection pane="bottomRight" sqref="A1:XFD104857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44466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44466</v>
      </c>
    </row>
    <row r="7" spans="2:10" x14ac:dyDescent="0.3">
      <c r="B7" s="6" t="s">
        <v>37</v>
      </c>
      <c r="C7" s="49"/>
      <c r="D7" s="22"/>
      <c r="E7" s="22"/>
      <c r="F7" s="22"/>
      <c r="G7" s="22"/>
      <c r="H7" s="67">
        <f t="shared" si="0"/>
        <v>44466</v>
      </c>
    </row>
    <row r="8" spans="2:10" x14ac:dyDescent="0.3">
      <c r="B8" s="6" t="s">
        <v>17</v>
      </c>
      <c r="C8" s="22"/>
      <c r="D8" s="22">
        <v>162000</v>
      </c>
      <c r="E8" s="22"/>
      <c r="F8" s="22"/>
      <c r="G8" s="22"/>
      <c r="H8" s="12">
        <f t="shared" si="0"/>
        <v>44466</v>
      </c>
    </row>
    <row r="9" spans="2:10" ht="15.6" x14ac:dyDescent="0.3">
      <c r="B9" s="34" t="s">
        <v>0</v>
      </c>
      <c r="C9" s="60">
        <v>540000</v>
      </c>
      <c r="D9" s="46">
        <v>378000</v>
      </c>
      <c r="E9" s="60"/>
      <c r="F9" s="46">
        <v>216000</v>
      </c>
      <c r="G9" s="61"/>
      <c r="H9" s="12">
        <f t="shared" si="0"/>
        <v>44466</v>
      </c>
    </row>
    <row r="10" spans="2:10" ht="16.2" customHeight="1" x14ac:dyDescent="0.3">
      <c r="B10" s="6" t="s">
        <v>25</v>
      </c>
      <c r="C10" s="22"/>
      <c r="D10" s="22"/>
      <c r="E10" s="22"/>
      <c r="F10" s="22">
        <v>54000</v>
      </c>
      <c r="G10" s="22"/>
      <c r="H10" s="12">
        <f t="shared" si="0"/>
        <v>44466</v>
      </c>
    </row>
    <row r="11" spans="2:10" ht="13.5" customHeight="1" x14ac:dyDescent="0.3">
      <c r="B11" s="6" t="s">
        <v>15</v>
      </c>
      <c r="C11" s="22"/>
      <c r="D11" s="48">
        <v>108000</v>
      </c>
      <c r="E11" s="22"/>
      <c r="F11" s="48"/>
      <c r="G11" s="22"/>
      <c r="H11" s="12">
        <f t="shared" si="0"/>
        <v>44466</v>
      </c>
    </row>
    <row r="12" spans="2:10" x14ac:dyDescent="0.3">
      <c r="B12" s="6" t="s">
        <v>54</v>
      </c>
      <c r="C12" s="22"/>
      <c r="D12" s="22"/>
      <c r="E12" s="22"/>
      <c r="F12" s="22"/>
      <c r="G12" s="22"/>
      <c r="H12" s="67">
        <f t="shared" si="0"/>
        <v>44466</v>
      </c>
    </row>
    <row r="13" spans="2:10" x14ac:dyDescent="0.3">
      <c r="B13" s="6" t="s">
        <v>26</v>
      </c>
      <c r="C13" s="22">
        <v>216000</v>
      </c>
      <c r="D13" s="22">
        <v>108000</v>
      </c>
      <c r="E13" s="22">
        <v>100000</v>
      </c>
      <c r="F13" s="22">
        <v>54000</v>
      </c>
      <c r="G13" s="22"/>
      <c r="H13" s="12">
        <f t="shared" si="0"/>
        <v>44466</v>
      </c>
    </row>
    <row r="14" spans="2:10" x14ac:dyDescent="0.3">
      <c r="B14" s="6" t="s">
        <v>22</v>
      </c>
      <c r="C14" s="23"/>
      <c r="D14" s="22"/>
      <c r="E14" s="23"/>
      <c r="F14" s="22"/>
      <c r="G14" s="23"/>
      <c r="H14" s="12">
        <f t="shared" si="0"/>
        <v>44466</v>
      </c>
      <c r="J14" s="4"/>
    </row>
    <row r="15" spans="2:10" x14ac:dyDescent="0.3">
      <c r="B15" s="6" t="s">
        <v>61</v>
      </c>
      <c r="C15" s="23"/>
      <c r="D15" s="22"/>
      <c r="E15" s="23"/>
      <c r="F15" s="22"/>
      <c r="G15" s="23"/>
      <c r="H15" s="67">
        <f t="shared" si="0"/>
        <v>44466</v>
      </c>
      <c r="J15" s="4"/>
    </row>
    <row r="16" spans="2:10" x14ac:dyDescent="0.3">
      <c r="B16" s="6" t="s">
        <v>19</v>
      </c>
      <c r="C16" s="22">
        <v>270000</v>
      </c>
      <c r="D16" s="22"/>
      <c r="E16" s="22"/>
      <c r="F16" s="22">
        <v>54000</v>
      </c>
      <c r="G16" s="22">
        <v>248000</v>
      </c>
      <c r="H16" s="12">
        <f t="shared" si="0"/>
        <v>44466</v>
      </c>
    </row>
    <row r="17" spans="1:8" x14ac:dyDescent="0.3">
      <c r="B17" s="6" t="s">
        <v>14</v>
      </c>
      <c r="C17" s="22">
        <v>864000</v>
      </c>
      <c r="D17" s="22">
        <v>162000</v>
      </c>
      <c r="E17" s="22">
        <v>45000</v>
      </c>
      <c r="F17" s="22">
        <v>100000</v>
      </c>
      <c r="G17" s="22">
        <v>145000</v>
      </c>
      <c r="H17" s="12">
        <f t="shared" si="0"/>
        <v>44466</v>
      </c>
    </row>
    <row r="18" spans="1:8" x14ac:dyDescent="0.3">
      <c r="B18" s="6" t="s">
        <v>24</v>
      </c>
      <c r="C18" s="22"/>
      <c r="D18" s="49"/>
      <c r="E18" s="22"/>
      <c r="F18" s="49"/>
      <c r="G18" s="22"/>
      <c r="H18" s="12">
        <f t="shared" si="0"/>
        <v>44466</v>
      </c>
    </row>
    <row r="19" spans="1:8" x14ac:dyDescent="0.3">
      <c r="B19" s="6" t="s">
        <v>21</v>
      </c>
      <c r="C19" s="22"/>
      <c r="D19" s="22"/>
      <c r="E19" s="22"/>
      <c r="F19" s="22"/>
      <c r="G19" s="22"/>
      <c r="H19" s="12">
        <f t="shared" si="0"/>
        <v>44466</v>
      </c>
    </row>
    <row r="20" spans="1:8" x14ac:dyDescent="0.3">
      <c r="B20" s="6" t="s">
        <v>18</v>
      </c>
      <c r="C20" s="22"/>
      <c r="D20" s="22"/>
      <c r="E20" s="22"/>
      <c r="F20" s="22">
        <v>54000</v>
      </c>
      <c r="G20" s="22"/>
      <c r="H20" s="12">
        <f t="shared" si="0"/>
        <v>44466</v>
      </c>
    </row>
    <row r="21" spans="1:8" x14ac:dyDescent="0.3">
      <c r="B21" s="6" t="s">
        <v>16</v>
      </c>
      <c r="C21" s="22">
        <v>153000</v>
      </c>
      <c r="D21" s="22">
        <v>108000</v>
      </c>
      <c r="E21" s="22">
        <v>50000</v>
      </c>
      <c r="F21" s="22"/>
      <c r="G21" s="22"/>
      <c r="H21" s="12">
        <f t="shared" si="0"/>
        <v>44466</v>
      </c>
    </row>
    <row r="22" spans="1:8" x14ac:dyDescent="0.3">
      <c r="B22" s="50" t="s">
        <v>27</v>
      </c>
      <c r="C22" s="51">
        <f>SUM(September27_2021449[KSI_AGO])</f>
        <v>2043000</v>
      </c>
      <c r="D22" s="51">
        <f>SUBTOTAL(109,September27_2021449[KSI_PMS])</f>
        <v>1026000</v>
      </c>
      <c r="E22" s="51">
        <f>SUM(September27_2021449[BUIPE_AGO])</f>
        <v>195000</v>
      </c>
      <c r="F22" s="51">
        <f>SUM(September27_2021449[BUIPE_PMS])</f>
        <v>532000</v>
      </c>
      <c r="G22" s="51">
        <f>SUM(September27_2021449[AKOSOMBO_AGO])</f>
        <v>393000</v>
      </c>
      <c r="H22" s="52"/>
    </row>
    <row r="23" spans="1:8" x14ac:dyDescent="0.3">
      <c r="B23" s="8"/>
      <c r="C23" s="24"/>
      <c r="D23" s="24"/>
      <c r="E23" s="24"/>
      <c r="F23" s="24"/>
      <c r="G23" s="24"/>
      <c r="H23"/>
    </row>
    <row r="24" spans="1:8" x14ac:dyDescent="0.3">
      <c r="B24" s="1" t="s">
        <v>6</v>
      </c>
      <c r="C24" s="1" t="s">
        <v>4</v>
      </c>
      <c r="D24" s="5">
        <f>SUMIF(September27_2021449[[#Headers],[KSI_AGO]:[AKOSOMBO_AGO]],"*"&amp;C24,September27_2021449[[#Totals],[KSI_AGO]:[AKOSOMBO_AGO]])</f>
        <v>2631000</v>
      </c>
      <c r="E24" s="1" t="s">
        <v>5</v>
      </c>
      <c r="F24" s="5">
        <f>SUMIF(September27_2021449[[#Headers],[KSI_AGO]:[AKOSOMBO_AGO]],"*"&amp;E24,September27_2021449[[#Totals],[KSI_AGO]:[AKOSOMBO_AGO]])</f>
        <v>1558000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2886C8C-00AA-44DE-8240-BB4E45AED3F6}">
      <formula1>INDIRECT("BDC_List[BDC List]")</formula1>
    </dataValidation>
  </dataValidations>
  <pageMargins left="0.7" right="0.7" top="0.75" bottom="0.75" header="0.3" footer="0.3"/>
  <tableParts count="1">
    <tablePart r:id="rId1"/>
  </tableParts>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8FD2-9EB4-4BE6-B989-3DE4C5529204}">
  <sheetPr codeName="Sheet442"/>
  <dimension ref="A1:J34"/>
  <sheetViews>
    <sheetView workbookViewId="0">
      <pane xSplit="2" ySplit="5" topLeftCell="C7" activePane="bottomRight" state="frozen"/>
      <selection activeCell="E16" sqref="E16"/>
      <selection pane="topRight" activeCell="E16" sqref="E16"/>
      <selection pane="bottomLeft" activeCell="E16" sqref="E16"/>
      <selection pane="bottomRight" activeCell="G10" sqref="G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44467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44467</v>
      </c>
    </row>
    <row r="7" spans="2:10" x14ac:dyDescent="0.3">
      <c r="B7" s="6" t="s">
        <v>37</v>
      </c>
      <c r="C7" s="49"/>
      <c r="D7" s="22"/>
      <c r="E7" s="22"/>
      <c r="F7" s="22"/>
      <c r="G7" s="22"/>
      <c r="H7" s="67">
        <f t="shared" si="0"/>
        <v>44467</v>
      </c>
    </row>
    <row r="8" spans="2:10" x14ac:dyDescent="0.3">
      <c r="B8" s="6" t="s">
        <v>17</v>
      </c>
      <c r="C8" s="22">
        <v>108000</v>
      </c>
      <c r="D8" s="22">
        <v>378000</v>
      </c>
      <c r="E8" s="22"/>
      <c r="F8" s="22"/>
      <c r="G8" s="22"/>
      <c r="H8" s="12">
        <f t="shared" si="0"/>
        <v>44467</v>
      </c>
    </row>
    <row r="9" spans="2:10" ht="15.6" x14ac:dyDescent="0.3">
      <c r="B9" s="34" t="s">
        <v>0</v>
      </c>
      <c r="C9" s="60">
        <v>1400000</v>
      </c>
      <c r="D9" s="60">
        <v>864000</v>
      </c>
      <c r="E9" s="60"/>
      <c r="F9" s="46"/>
      <c r="G9" s="61"/>
      <c r="H9" s="12">
        <f t="shared" si="0"/>
        <v>44467</v>
      </c>
    </row>
    <row r="10" spans="2:10" ht="16.2" customHeight="1" x14ac:dyDescent="0.3">
      <c r="B10" s="6" t="s">
        <v>25</v>
      </c>
      <c r="C10" s="22"/>
      <c r="D10" s="22"/>
      <c r="E10" s="22"/>
      <c r="F10" s="22"/>
      <c r="G10" s="22"/>
      <c r="H10" s="12">
        <f t="shared" si="0"/>
        <v>44467</v>
      </c>
    </row>
    <row r="11" spans="2:10" ht="13.5" customHeight="1" x14ac:dyDescent="0.3">
      <c r="B11" s="6" t="s">
        <v>15</v>
      </c>
      <c r="C11" s="22"/>
      <c r="D11" s="48">
        <v>211500</v>
      </c>
      <c r="E11" s="22"/>
      <c r="F11" s="48"/>
      <c r="G11" s="22"/>
      <c r="H11" s="12">
        <f t="shared" si="0"/>
        <v>44467</v>
      </c>
    </row>
    <row r="12" spans="2:10" x14ac:dyDescent="0.3">
      <c r="B12" s="6" t="s">
        <v>54</v>
      </c>
      <c r="C12" s="22"/>
      <c r="D12" s="22"/>
      <c r="E12" s="22"/>
      <c r="F12" s="22"/>
      <c r="G12" s="22"/>
      <c r="H12" s="67">
        <f t="shared" si="0"/>
        <v>44467</v>
      </c>
    </row>
    <row r="13" spans="2:10" x14ac:dyDescent="0.3">
      <c r="B13" s="6" t="s">
        <v>26</v>
      </c>
      <c r="C13" s="22">
        <v>261000</v>
      </c>
      <c r="D13" s="22">
        <v>90000</v>
      </c>
      <c r="E13" s="22"/>
      <c r="F13" s="22"/>
      <c r="G13" s="22"/>
      <c r="H13" s="12">
        <f t="shared" si="0"/>
        <v>44467</v>
      </c>
    </row>
    <row r="14" spans="2:10" x14ac:dyDescent="0.3">
      <c r="B14" s="6" t="s">
        <v>22</v>
      </c>
      <c r="C14" s="23"/>
      <c r="D14" s="22"/>
      <c r="E14" s="23"/>
      <c r="F14" s="22"/>
      <c r="G14" s="23"/>
      <c r="H14" s="12">
        <f t="shared" si="0"/>
        <v>44467</v>
      </c>
      <c r="J14" s="4"/>
    </row>
    <row r="15" spans="2:10" x14ac:dyDescent="0.3">
      <c r="B15" s="6" t="s">
        <v>61</v>
      </c>
      <c r="C15" s="23"/>
      <c r="D15" s="22"/>
      <c r="E15" s="23"/>
      <c r="F15" s="22"/>
      <c r="G15" s="23"/>
      <c r="H15" s="67">
        <f t="shared" si="0"/>
        <v>44467</v>
      </c>
      <c r="J15" s="4"/>
    </row>
    <row r="16" spans="2:10" x14ac:dyDescent="0.3">
      <c r="B16" s="6" t="s">
        <v>19</v>
      </c>
      <c r="C16" s="22">
        <v>594000</v>
      </c>
      <c r="D16" s="22">
        <v>45000</v>
      </c>
      <c r="E16" s="22"/>
      <c r="F16" s="22"/>
      <c r="G16" s="22"/>
      <c r="H16" s="12">
        <f t="shared" si="0"/>
        <v>44467</v>
      </c>
    </row>
    <row r="17" spans="1:8" x14ac:dyDescent="0.3">
      <c r="B17" s="6" t="s">
        <v>14</v>
      </c>
      <c r="C17" s="22">
        <v>851500</v>
      </c>
      <c r="D17" s="22">
        <v>54000</v>
      </c>
      <c r="E17" s="22">
        <v>54000</v>
      </c>
      <c r="F17" s="22"/>
      <c r="G17" s="22"/>
      <c r="H17" s="12">
        <f t="shared" si="0"/>
        <v>44467</v>
      </c>
    </row>
    <row r="18" spans="1:8" x14ac:dyDescent="0.3">
      <c r="B18" s="6" t="s">
        <v>24</v>
      </c>
      <c r="C18" s="22"/>
      <c r="D18" s="49"/>
      <c r="E18" s="22"/>
      <c r="F18" s="49"/>
      <c r="G18" s="22"/>
      <c r="H18" s="12">
        <f t="shared" si="0"/>
        <v>44467</v>
      </c>
    </row>
    <row r="19" spans="1:8" x14ac:dyDescent="0.3">
      <c r="B19" s="6" t="s">
        <v>21</v>
      </c>
      <c r="C19" s="22"/>
      <c r="D19" s="22"/>
      <c r="E19" s="22"/>
      <c r="F19" s="22"/>
      <c r="G19" s="22"/>
      <c r="H19" s="12">
        <f t="shared" si="0"/>
        <v>44467</v>
      </c>
    </row>
    <row r="20" spans="1:8" x14ac:dyDescent="0.3">
      <c r="B20" s="6" t="s">
        <v>18</v>
      </c>
      <c r="C20" s="22"/>
      <c r="D20" s="22"/>
      <c r="E20" s="22"/>
      <c r="F20" s="22"/>
      <c r="G20" s="22"/>
      <c r="H20" s="12">
        <f t="shared" si="0"/>
        <v>44467</v>
      </c>
    </row>
    <row r="21" spans="1:8" x14ac:dyDescent="0.3">
      <c r="B21" s="6" t="s">
        <v>16</v>
      </c>
      <c r="C21" s="22">
        <v>45000</v>
      </c>
      <c r="D21" s="22">
        <v>106000</v>
      </c>
      <c r="E21" s="22"/>
      <c r="F21" s="22"/>
      <c r="G21" s="22"/>
      <c r="H21" s="12">
        <f t="shared" si="0"/>
        <v>44467</v>
      </c>
    </row>
    <row r="22" spans="1:8" x14ac:dyDescent="0.3">
      <c r="B22" s="50" t="s">
        <v>27</v>
      </c>
      <c r="C22" s="51">
        <f>SUM(September28_2021[KSI_AGO])</f>
        <v>3259500</v>
      </c>
      <c r="D22" s="51">
        <f>SUBTOTAL(109,September28_2021[KSI_PMS])</f>
        <v>1748500</v>
      </c>
      <c r="E22" s="51">
        <f>SUM(September28_2021[BUIPE_AGO])</f>
        <v>54000</v>
      </c>
      <c r="F22" s="51">
        <f>SUM(September28_2021[BUIPE_PMS])</f>
        <v>0</v>
      </c>
      <c r="G22" s="51">
        <f>SUM(September28_2021[AKOSOMBO_AGO])</f>
        <v>0</v>
      </c>
      <c r="H22" s="52"/>
    </row>
    <row r="23" spans="1:8" x14ac:dyDescent="0.3">
      <c r="B23" s="8"/>
      <c r="C23" s="24"/>
      <c r="D23" s="24"/>
      <c r="E23" s="24"/>
      <c r="F23" s="24"/>
      <c r="G23" s="24"/>
      <c r="H23"/>
    </row>
    <row r="24" spans="1:8" x14ac:dyDescent="0.3">
      <c r="B24" s="1" t="s">
        <v>6</v>
      </c>
      <c r="C24" s="1" t="s">
        <v>4</v>
      </c>
      <c r="D24" s="5">
        <f>SUMIF(September28_2021[[#Headers],[KSI_AGO]:[AKOSOMBO_AGO]],"*"&amp;C24,September28_2021[[#Totals],[KSI_AGO]:[AKOSOMBO_AGO]])</f>
        <v>3313500</v>
      </c>
      <c r="E24" s="1" t="s">
        <v>5</v>
      </c>
      <c r="F24" s="5">
        <f>SUMIF(September28_2021[[#Headers],[KSI_AGO]:[AKOSOMBO_AGO]],"*"&amp;E24,September28_2021[[#Totals],[KSI_AGO]:[AKOSOMBO_AGO]])</f>
        <v>1748500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DF371DEF-D1D0-4717-9EB3-5A9132FA4D9B}">
      <formula1>INDIRECT("BDC_List[BDC List]")</formula1>
    </dataValidation>
  </dataValidations>
  <pageMargins left="0.7" right="0.7" top="0.75" bottom="0.75" header="0.3" footer="0.3"/>
  <tableParts count="1">
    <tablePart r:id="rId1"/>
  </tableParts>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A4AE-A432-497C-8420-8423129C3744}">
  <sheetPr codeName="Sheet443"/>
  <dimension ref="A1:J34"/>
  <sheetViews>
    <sheetView workbookViewId="0">
      <pane xSplit="2" ySplit="5" topLeftCell="C7" activePane="bottomRight" state="frozen"/>
      <selection activeCell="E16" sqref="E16"/>
      <selection pane="topRight" activeCell="E16" sqref="E16"/>
      <selection pane="bottomLeft" activeCell="E16" sqref="E16"/>
      <selection pane="bottomRight" activeCell="B20" sqref="B2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44468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44468</v>
      </c>
    </row>
    <row r="7" spans="2:10" x14ac:dyDescent="0.3">
      <c r="B7" s="6" t="s">
        <v>37</v>
      </c>
      <c r="C7" s="49"/>
      <c r="D7" s="22"/>
      <c r="E7" s="22"/>
      <c r="F7" s="22"/>
      <c r="G7" s="22"/>
      <c r="H7" s="67">
        <f t="shared" si="0"/>
        <v>44468</v>
      </c>
    </row>
    <row r="8" spans="2:10" x14ac:dyDescent="0.3">
      <c r="B8" s="6" t="s">
        <v>17</v>
      </c>
      <c r="C8" s="22">
        <v>1458000</v>
      </c>
      <c r="D8" s="22">
        <v>216000</v>
      </c>
      <c r="E8" s="22"/>
      <c r="F8" s="22"/>
      <c r="G8" s="22"/>
      <c r="H8" s="12">
        <f t="shared" si="0"/>
        <v>44468</v>
      </c>
    </row>
    <row r="9" spans="2:10" ht="15.6" x14ac:dyDescent="0.3">
      <c r="B9" s="34" t="s">
        <v>0</v>
      </c>
      <c r="C9" s="60">
        <v>857000</v>
      </c>
      <c r="D9" s="46">
        <v>594000</v>
      </c>
      <c r="E9" s="60">
        <v>212000</v>
      </c>
      <c r="F9" s="46"/>
      <c r="G9" s="61"/>
      <c r="H9" s="12">
        <f t="shared" si="0"/>
        <v>44468</v>
      </c>
    </row>
    <row r="10" spans="2:10" ht="16.2" customHeight="1" x14ac:dyDescent="0.3">
      <c r="B10" s="6" t="s">
        <v>25</v>
      </c>
      <c r="C10" s="22"/>
      <c r="D10" s="22"/>
      <c r="E10" s="22"/>
      <c r="F10" s="22"/>
      <c r="G10" s="22"/>
      <c r="H10" s="12">
        <f t="shared" si="0"/>
        <v>44468</v>
      </c>
    </row>
    <row r="11" spans="2:10" ht="13.5" customHeight="1" x14ac:dyDescent="0.3">
      <c r="B11" s="6" t="s">
        <v>15</v>
      </c>
      <c r="C11" s="22"/>
      <c r="D11" s="48">
        <v>108000</v>
      </c>
      <c r="E11" s="22"/>
      <c r="F11" s="48"/>
      <c r="G11" s="22"/>
      <c r="H11" s="12">
        <f t="shared" si="0"/>
        <v>44468</v>
      </c>
    </row>
    <row r="12" spans="2:10" x14ac:dyDescent="0.3">
      <c r="B12" s="6" t="s">
        <v>54</v>
      </c>
      <c r="C12" s="22">
        <v>54000</v>
      </c>
      <c r="D12" s="22"/>
      <c r="E12" s="22"/>
      <c r="F12" s="22"/>
      <c r="G12" s="22"/>
      <c r="H12" s="67">
        <f t="shared" si="0"/>
        <v>44468</v>
      </c>
    </row>
    <row r="13" spans="2:10" x14ac:dyDescent="0.3">
      <c r="B13" s="6" t="s">
        <v>26</v>
      </c>
      <c r="C13" s="22">
        <v>153000</v>
      </c>
      <c r="D13" s="22"/>
      <c r="E13" s="22">
        <v>90000</v>
      </c>
      <c r="F13" s="22"/>
      <c r="G13" s="22"/>
      <c r="H13" s="12">
        <f t="shared" si="0"/>
        <v>44468</v>
      </c>
    </row>
    <row r="14" spans="2:10" x14ac:dyDescent="0.3">
      <c r="B14" s="6" t="s">
        <v>22</v>
      </c>
      <c r="C14" s="23"/>
      <c r="D14" s="22"/>
      <c r="E14" s="23"/>
      <c r="F14" s="22"/>
      <c r="G14" s="23"/>
      <c r="H14" s="12">
        <f t="shared" si="0"/>
        <v>44468</v>
      </c>
      <c r="J14" s="4"/>
    </row>
    <row r="15" spans="2:10" x14ac:dyDescent="0.3">
      <c r="B15" s="6" t="s">
        <v>61</v>
      </c>
      <c r="C15" s="23"/>
      <c r="D15" s="22"/>
      <c r="E15" s="23"/>
      <c r="F15" s="22"/>
      <c r="G15" s="23"/>
      <c r="H15" s="67">
        <f t="shared" si="0"/>
        <v>44468</v>
      </c>
      <c r="J15" s="4"/>
    </row>
    <row r="16" spans="2:10" x14ac:dyDescent="0.3">
      <c r="B16" s="6" t="s">
        <v>19</v>
      </c>
      <c r="C16" s="22">
        <v>50000</v>
      </c>
      <c r="D16" s="22"/>
      <c r="E16" s="22"/>
      <c r="F16" s="22"/>
      <c r="G16" s="22"/>
      <c r="H16" s="12">
        <f t="shared" si="0"/>
        <v>44468</v>
      </c>
    </row>
    <row r="17" spans="1:8" x14ac:dyDescent="0.3">
      <c r="B17" s="6" t="s">
        <v>14</v>
      </c>
      <c r="C17" s="22">
        <v>45000</v>
      </c>
      <c r="D17" s="22">
        <v>47500</v>
      </c>
      <c r="E17" s="22"/>
      <c r="F17" s="22"/>
      <c r="G17" s="22"/>
      <c r="H17" s="12">
        <f t="shared" si="0"/>
        <v>44468</v>
      </c>
    </row>
    <row r="18" spans="1:8" x14ac:dyDescent="0.3">
      <c r="B18" s="6" t="s">
        <v>24</v>
      </c>
      <c r="C18" s="22"/>
      <c r="D18" s="49"/>
      <c r="E18" s="22"/>
      <c r="F18" s="49"/>
      <c r="G18" s="22"/>
      <c r="H18" s="12">
        <f t="shared" si="0"/>
        <v>44468</v>
      </c>
    </row>
    <row r="19" spans="1:8" x14ac:dyDescent="0.3">
      <c r="B19" s="6" t="s">
        <v>21</v>
      </c>
      <c r="C19" s="22"/>
      <c r="D19" s="22"/>
      <c r="E19" s="22"/>
      <c r="F19" s="22"/>
      <c r="G19" s="22"/>
      <c r="H19" s="12">
        <f t="shared" si="0"/>
        <v>44468</v>
      </c>
    </row>
    <row r="20" spans="1:8" x14ac:dyDescent="0.3">
      <c r="B20" s="6" t="s">
        <v>18</v>
      </c>
      <c r="C20" s="22"/>
      <c r="D20" s="22"/>
      <c r="E20" s="22"/>
      <c r="F20" s="22"/>
      <c r="G20" s="22"/>
      <c r="H20" s="12">
        <f t="shared" si="0"/>
        <v>44468</v>
      </c>
    </row>
    <row r="21" spans="1:8" x14ac:dyDescent="0.3">
      <c r="B21" s="6" t="s">
        <v>16</v>
      </c>
      <c r="C21" s="22">
        <v>54000</v>
      </c>
      <c r="D21" s="22">
        <v>216000</v>
      </c>
      <c r="E21" s="22"/>
      <c r="F21" s="22"/>
      <c r="G21" s="22"/>
      <c r="H21" s="12">
        <f t="shared" si="0"/>
        <v>44468</v>
      </c>
    </row>
    <row r="22" spans="1:8" x14ac:dyDescent="0.3">
      <c r="B22" s="50" t="s">
        <v>27</v>
      </c>
      <c r="C22" s="51">
        <f>SUM(September29_2021450[KSI_AGO])</f>
        <v>2671000</v>
      </c>
      <c r="D22" s="51">
        <f>SUBTOTAL(109,September29_2021450[KSI_PMS])</f>
        <v>1181500</v>
      </c>
      <c r="E22" s="51">
        <f>SUM(September29_2021450[BUIPE_AGO])</f>
        <v>302000</v>
      </c>
      <c r="F22" s="51">
        <f>SUM(September29_2021450[BUIPE_PMS])</f>
        <v>0</v>
      </c>
      <c r="G22" s="51">
        <f>SUM(September29_2021450[AKOSOMBO_AGO])</f>
        <v>0</v>
      </c>
      <c r="H22" s="52"/>
    </row>
    <row r="23" spans="1:8" x14ac:dyDescent="0.3">
      <c r="B23" s="8"/>
      <c r="C23" s="24"/>
      <c r="D23" s="24"/>
      <c r="E23" s="24"/>
      <c r="F23" s="24"/>
      <c r="G23" s="24"/>
      <c r="H23"/>
    </row>
    <row r="24" spans="1:8" x14ac:dyDescent="0.3">
      <c r="B24" s="1" t="s">
        <v>6</v>
      </c>
      <c r="C24" s="1" t="s">
        <v>4</v>
      </c>
      <c r="D24" s="5">
        <f>SUMIF(September29_2021450[[#Headers],[KSI_AGO]:[AKOSOMBO_AGO]],"*"&amp;C24,September29_2021450[[#Totals],[KSI_AGO]:[AKOSOMBO_AGO]])</f>
        <v>2973000</v>
      </c>
      <c r="E24" s="1" t="s">
        <v>5</v>
      </c>
      <c r="F24" s="5">
        <f>SUMIF(September29_2021450[[#Headers],[KSI_AGO]:[AKOSOMBO_AGO]],"*"&amp;E24,September29_2021450[[#Totals],[KSI_AGO]:[AKOSOMBO_AGO]])</f>
        <v>1181500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09107AA2-E45D-4A94-B087-5BE252D7E15F}">
      <formula1>INDIRECT("BDC_List[BDC List]")</formula1>
    </dataValidation>
  </dataValidations>
  <pageMargins left="0.7" right="0.7" top="0.75" bottom="0.75" header="0.3" footer="0.3"/>
  <tableParts count="1">
    <tablePart r:id="rId1"/>
  </tableParts>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F47C-1198-4442-84F1-BCA8148D8201}">
  <sheetPr codeName="Sheet444"/>
  <dimension ref="A1:J34"/>
  <sheetViews>
    <sheetView workbookViewId="0">
      <pane xSplit="2" ySplit="5" topLeftCell="C7" activePane="bottomRight" state="frozen"/>
      <selection activeCell="E16" sqref="E16"/>
      <selection pane="topRight" activeCell="E16" sqref="E16"/>
      <selection pane="bottomLeft" activeCell="E16" sqref="E16"/>
      <selection pane="bottomRight" activeCell="F25" sqref="F2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44469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44469</v>
      </c>
    </row>
    <row r="7" spans="2:10" x14ac:dyDescent="0.3">
      <c r="B7" s="6" t="s">
        <v>37</v>
      </c>
      <c r="C7" s="53">
        <v>270000</v>
      </c>
      <c r="D7" s="22"/>
      <c r="E7" s="22">
        <v>216000</v>
      </c>
      <c r="F7" s="22"/>
      <c r="G7" s="22"/>
      <c r="H7" s="67">
        <f t="shared" si="0"/>
        <v>44469</v>
      </c>
    </row>
    <row r="8" spans="2:10" x14ac:dyDescent="0.3">
      <c r="B8" s="6" t="s">
        <v>17</v>
      </c>
      <c r="C8" s="22">
        <v>203500</v>
      </c>
      <c r="D8" s="22">
        <v>270000</v>
      </c>
      <c r="E8" s="22"/>
      <c r="F8" s="22"/>
      <c r="G8" s="22"/>
      <c r="H8" s="12">
        <f t="shared" si="0"/>
        <v>44469</v>
      </c>
    </row>
    <row r="9" spans="2:10" ht="15.6" x14ac:dyDescent="0.3">
      <c r="B9" s="34" t="s">
        <v>0</v>
      </c>
      <c r="C9" s="60">
        <v>149000</v>
      </c>
      <c r="D9" s="46">
        <v>972000</v>
      </c>
      <c r="E9" s="60">
        <v>108000</v>
      </c>
      <c r="F9" s="46"/>
      <c r="G9" s="61"/>
      <c r="H9" s="12">
        <f t="shared" si="0"/>
        <v>44469</v>
      </c>
    </row>
    <row r="10" spans="2:10" ht="16.2" customHeight="1" x14ac:dyDescent="0.3">
      <c r="B10" s="6" t="s">
        <v>25</v>
      </c>
      <c r="C10" s="22"/>
      <c r="D10" s="22"/>
      <c r="E10" s="22"/>
      <c r="F10" s="22"/>
      <c r="G10" s="22"/>
      <c r="H10" s="12">
        <f t="shared" si="0"/>
        <v>44469</v>
      </c>
    </row>
    <row r="11" spans="2:10" ht="13.5" customHeight="1" x14ac:dyDescent="0.3">
      <c r="B11" s="6" t="s">
        <v>15</v>
      </c>
      <c r="C11" s="22">
        <v>54000</v>
      </c>
      <c r="D11" s="48">
        <v>108000</v>
      </c>
      <c r="E11" s="22"/>
      <c r="F11" s="48"/>
      <c r="G11" s="22"/>
      <c r="H11" s="12">
        <f t="shared" si="0"/>
        <v>44469</v>
      </c>
    </row>
    <row r="12" spans="2:10" x14ac:dyDescent="0.3">
      <c r="B12" s="6" t="s">
        <v>54</v>
      </c>
      <c r="C12" s="22">
        <v>590000</v>
      </c>
      <c r="D12" s="22"/>
      <c r="E12" s="22"/>
      <c r="F12" s="22"/>
      <c r="G12" s="22"/>
      <c r="H12" s="67">
        <f t="shared" si="0"/>
        <v>44469</v>
      </c>
    </row>
    <row r="13" spans="2:10" x14ac:dyDescent="0.3">
      <c r="B13" s="6" t="s">
        <v>26</v>
      </c>
      <c r="C13" s="22">
        <v>45000</v>
      </c>
      <c r="D13" s="22"/>
      <c r="E13" s="22"/>
      <c r="F13" s="22"/>
      <c r="G13" s="22"/>
      <c r="H13" s="12">
        <f t="shared" si="0"/>
        <v>44469</v>
      </c>
    </row>
    <row r="14" spans="2:10" x14ac:dyDescent="0.3">
      <c r="B14" s="6" t="s">
        <v>22</v>
      </c>
      <c r="C14" s="23"/>
      <c r="D14" s="22"/>
      <c r="E14" s="23"/>
      <c r="F14" s="22"/>
      <c r="G14" s="23"/>
      <c r="H14" s="12">
        <f t="shared" si="0"/>
        <v>44469</v>
      </c>
      <c r="J14" s="4"/>
    </row>
    <row r="15" spans="2:10" x14ac:dyDescent="0.3">
      <c r="B15" s="6" t="s">
        <v>61</v>
      </c>
      <c r="C15" s="23"/>
      <c r="D15" s="22"/>
      <c r="E15" s="23"/>
      <c r="F15" s="22"/>
      <c r="G15" s="23"/>
      <c r="H15" s="67">
        <f t="shared" si="0"/>
        <v>44469</v>
      </c>
      <c r="J15" s="4"/>
    </row>
    <row r="16" spans="2:10" x14ac:dyDescent="0.3">
      <c r="B16" s="6" t="s">
        <v>19</v>
      </c>
      <c r="C16" s="22">
        <v>104000</v>
      </c>
      <c r="D16" s="22"/>
      <c r="E16" s="22"/>
      <c r="F16" s="22"/>
      <c r="G16" s="22"/>
      <c r="H16" s="12">
        <f t="shared" si="0"/>
        <v>44469</v>
      </c>
    </row>
    <row r="17" spans="1:8" x14ac:dyDescent="0.3">
      <c r="B17" s="6" t="s">
        <v>14</v>
      </c>
      <c r="C17" s="22"/>
      <c r="D17" s="22">
        <v>104000</v>
      </c>
      <c r="E17" s="22"/>
      <c r="F17" s="22"/>
      <c r="G17" s="22"/>
      <c r="H17" s="12">
        <f t="shared" si="0"/>
        <v>44469</v>
      </c>
    </row>
    <row r="18" spans="1:8" x14ac:dyDescent="0.3">
      <c r="B18" s="6" t="s">
        <v>24</v>
      </c>
      <c r="C18" s="22"/>
      <c r="D18" s="49"/>
      <c r="E18" s="22"/>
      <c r="F18" s="49"/>
      <c r="G18" s="22"/>
      <c r="H18" s="12">
        <f t="shared" si="0"/>
        <v>44469</v>
      </c>
    </row>
    <row r="19" spans="1:8" x14ac:dyDescent="0.3">
      <c r="B19" s="6" t="s">
        <v>21</v>
      </c>
      <c r="C19" s="22"/>
      <c r="D19" s="22"/>
      <c r="E19" s="22"/>
      <c r="F19" s="22"/>
      <c r="G19" s="22"/>
      <c r="H19" s="12">
        <f t="shared" si="0"/>
        <v>44469</v>
      </c>
    </row>
    <row r="20" spans="1:8" x14ac:dyDescent="0.3">
      <c r="B20" s="6" t="s">
        <v>18</v>
      </c>
      <c r="C20" s="22">
        <v>686000</v>
      </c>
      <c r="D20" s="22"/>
      <c r="E20" s="22"/>
      <c r="F20" s="22"/>
      <c r="G20" s="22"/>
      <c r="H20" s="12">
        <f t="shared" si="0"/>
        <v>44469</v>
      </c>
    </row>
    <row r="21" spans="1:8" x14ac:dyDescent="0.3">
      <c r="B21" s="6" t="s">
        <v>16</v>
      </c>
      <c r="C21" s="22">
        <v>698000</v>
      </c>
      <c r="D21" s="22">
        <v>108000</v>
      </c>
      <c r="E21" s="22">
        <v>536000</v>
      </c>
      <c r="F21" s="22"/>
      <c r="G21" s="22"/>
      <c r="H21" s="12">
        <f t="shared" si="0"/>
        <v>44469</v>
      </c>
    </row>
    <row r="22" spans="1:8" x14ac:dyDescent="0.3">
      <c r="B22" s="50" t="s">
        <v>27</v>
      </c>
      <c r="C22" s="51">
        <f>SUM(September30_2021[KSI_AGO])</f>
        <v>2799500</v>
      </c>
      <c r="D22" s="51">
        <f>SUBTOTAL(109,September30_2021[KSI_PMS])</f>
        <v>1562000</v>
      </c>
      <c r="E22" s="51">
        <f>SUM(September30_2021[BUIPE_AGO])</f>
        <v>860000</v>
      </c>
      <c r="F22" s="51">
        <f>SUM(September30_2021[BUIPE_PMS])</f>
        <v>0</v>
      </c>
      <c r="G22" s="51">
        <f>SUM(September30_2021[AKOSOMBO_AGO])</f>
        <v>0</v>
      </c>
      <c r="H22" s="52"/>
    </row>
    <row r="23" spans="1:8" x14ac:dyDescent="0.3">
      <c r="B23" s="8"/>
      <c r="C23" s="24"/>
      <c r="D23" s="24"/>
      <c r="E23" s="24"/>
      <c r="F23" s="24"/>
      <c r="G23" s="24"/>
      <c r="H23"/>
    </row>
    <row r="24" spans="1:8" x14ac:dyDescent="0.3">
      <c r="B24" s="1" t="s">
        <v>6</v>
      </c>
      <c r="C24" s="1" t="s">
        <v>4</v>
      </c>
      <c r="D24" s="5">
        <f>SUMIF(September30_2021[[#Headers],[KSI_AGO]:[AKOSOMBO_AGO]],"*"&amp;C24,September30_2021[[#Totals],[KSI_AGO]:[AKOSOMBO_AGO]])</f>
        <v>3659500</v>
      </c>
      <c r="E24" s="1" t="s">
        <v>5</v>
      </c>
      <c r="F24" s="5">
        <f>SUMIF(September30_2021[[#Headers],[KSI_AGO]:[AKOSOMBO_AGO]],"*"&amp;E24,September30_2021[[#Totals],[KSI_AGO]:[AKOSOMBO_AGO]])</f>
        <v>1562000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04A2B052-47B7-498D-8A04-12F3A075D87A}">
      <formula1>INDIRECT("BDC_List[BDC List]")</formula1>
    </dataValidation>
  </dataValidations>
  <pageMargins left="0.7" right="0.7" top="0.75" bottom="0.75" header="0.3" footer="0.3"/>
  <tableParts count="1">
    <tablePart r:id="rId1"/>
  </tableParts>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3DA1-490E-4180-B840-21CD4741F68C}">
  <sheetPr codeName="Sheet445"/>
  <dimension ref="A1:J34"/>
  <sheetViews>
    <sheetView workbookViewId="0">
      <pane xSplit="2" ySplit="5" topLeftCell="E6" activePane="bottomRight" state="frozen"/>
      <selection activeCell="E16" sqref="E16"/>
      <selection pane="topRight" activeCell="E16" sqref="E16"/>
      <selection pane="bottomLeft" activeCell="E16" sqref="E16"/>
      <selection pane="bottomRight" activeCell="F11" sqref="F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44473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44473</v>
      </c>
    </row>
    <row r="7" spans="2:10" x14ac:dyDescent="0.3">
      <c r="B7" s="6" t="s">
        <v>37</v>
      </c>
      <c r="C7" s="53">
        <v>320000</v>
      </c>
      <c r="D7" s="22"/>
      <c r="E7" s="22">
        <v>54000</v>
      </c>
      <c r="F7" s="22"/>
      <c r="G7" s="22"/>
      <c r="H7" s="67">
        <f t="shared" si="0"/>
        <v>44473</v>
      </c>
    </row>
    <row r="8" spans="2:10" x14ac:dyDescent="0.3">
      <c r="B8" s="6" t="s">
        <v>17</v>
      </c>
      <c r="C8" s="22">
        <v>270000</v>
      </c>
      <c r="D8" s="22">
        <v>536000</v>
      </c>
      <c r="E8" s="22"/>
      <c r="F8" s="22"/>
      <c r="G8" s="22"/>
      <c r="H8" s="12">
        <f t="shared" si="0"/>
        <v>44473</v>
      </c>
    </row>
    <row r="9" spans="2:10" ht="15.6" x14ac:dyDescent="0.3">
      <c r="B9" s="34" t="s">
        <v>0</v>
      </c>
      <c r="C9" s="60"/>
      <c r="D9" s="60">
        <v>216000</v>
      </c>
      <c r="E9" s="60"/>
      <c r="F9" s="60">
        <v>432000</v>
      </c>
      <c r="G9" s="61"/>
      <c r="H9" s="12">
        <f t="shared" si="0"/>
        <v>44473</v>
      </c>
    </row>
    <row r="10" spans="2:10" ht="16.2" customHeight="1" x14ac:dyDescent="0.3">
      <c r="B10" s="6" t="s">
        <v>25</v>
      </c>
      <c r="C10" s="22"/>
      <c r="D10" s="22"/>
      <c r="E10" s="22"/>
      <c r="F10" s="22">
        <v>45000</v>
      </c>
      <c r="G10" s="22"/>
      <c r="H10" s="12">
        <f t="shared" si="0"/>
        <v>44473</v>
      </c>
    </row>
    <row r="11" spans="2:10" ht="13.5" customHeight="1" x14ac:dyDescent="0.3">
      <c r="B11" s="6" t="s">
        <v>15</v>
      </c>
      <c r="C11" s="22">
        <v>486000</v>
      </c>
      <c r="D11" s="48">
        <v>54000</v>
      </c>
      <c r="E11" s="22"/>
      <c r="F11" s="48"/>
      <c r="G11" s="22"/>
      <c r="H11" s="12">
        <f t="shared" si="0"/>
        <v>44473</v>
      </c>
    </row>
    <row r="12" spans="2:10" x14ac:dyDescent="0.3">
      <c r="B12" s="6" t="s">
        <v>54</v>
      </c>
      <c r="C12" s="22">
        <v>594000</v>
      </c>
      <c r="D12" s="22"/>
      <c r="E12" s="22"/>
      <c r="F12" s="22"/>
      <c r="G12" s="22"/>
      <c r="H12" s="67">
        <f t="shared" si="0"/>
        <v>44473</v>
      </c>
    </row>
    <row r="13" spans="2:10" x14ac:dyDescent="0.3">
      <c r="B13" s="6" t="s">
        <v>26</v>
      </c>
      <c r="C13" s="22"/>
      <c r="D13" s="22"/>
      <c r="E13" s="22"/>
      <c r="F13" s="22"/>
      <c r="G13" s="22"/>
      <c r="H13" s="12">
        <f t="shared" si="0"/>
        <v>44473</v>
      </c>
    </row>
    <row r="14" spans="2:10" x14ac:dyDescent="0.3">
      <c r="B14" s="6" t="s">
        <v>22</v>
      </c>
      <c r="C14" s="23"/>
      <c r="D14" s="22"/>
      <c r="E14" s="23"/>
      <c r="F14" s="22"/>
      <c r="G14" s="23"/>
      <c r="H14" s="12">
        <f t="shared" si="0"/>
        <v>44473</v>
      </c>
      <c r="J14" s="4"/>
    </row>
    <row r="15" spans="2:10" x14ac:dyDescent="0.3">
      <c r="B15" s="6" t="s">
        <v>61</v>
      </c>
      <c r="C15" s="23"/>
      <c r="D15" s="22"/>
      <c r="E15" s="23"/>
      <c r="F15" s="22"/>
      <c r="G15" s="23"/>
      <c r="H15" s="67">
        <f t="shared" si="0"/>
        <v>44473</v>
      </c>
      <c r="J15" s="4"/>
    </row>
    <row r="16" spans="2:10" x14ac:dyDescent="0.3">
      <c r="B16" s="6" t="s">
        <v>19</v>
      </c>
      <c r="C16" s="22">
        <v>185000</v>
      </c>
      <c r="D16" s="22">
        <v>162000</v>
      </c>
      <c r="E16" s="22"/>
      <c r="F16" s="22"/>
      <c r="G16" s="22"/>
      <c r="H16" s="12">
        <f t="shared" si="0"/>
        <v>44473</v>
      </c>
    </row>
    <row r="17" spans="1:8" x14ac:dyDescent="0.3">
      <c r="B17" s="6" t="s">
        <v>14</v>
      </c>
      <c r="C17" s="22">
        <v>140000</v>
      </c>
      <c r="D17" s="22">
        <v>54000</v>
      </c>
      <c r="E17" s="22"/>
      <c r="F17" s="22">
        <v>108000</v>
      </c>
      <c r="G17" s="22"/>
      <c r="H17" s="12">
        <f t="shared" si="0"/>
        <v>44473</v>
      </c>
    </row>
    <row r="18" spans="1:8" x14ac:dyDescent="0.3">
      <c r="B18" s="6" t="s">
        <v>24</v>
      </c>
      <c r="C18" s="22"/>
      <c r="D18" s="49"/>
      <c r="E18" s="22"/>
      <c r="F18" s="49"/>
      <c r="G18" s="22"/>
      <c r="H18" s="12">
        <f t="shared" si="0"/>
        <v>44473</v>
      </c>
    </row>
    <row r="19" spans="1:8" x14ac:dyDescent="0.3">
      <c r="B19" s="6" t="s">
        <v>21</v>
      </c>
      <c r="C19" s="22"/>
      <c r="D19" s="22"/>
      <c r="E19" s="22"/>
      <c r="F19" s="22"/>
      <c r="G19" s="22"/>
      <c r="H19" s="12">
        <f t="shared" si="0"/>
        <v>44473</v>
      </c>
    </row>
    <row r="20" spans="1:8" x14ac:dyDescent="0.3">
      <c r="B20" s="6" t="s">
        <v>18</v>
      </c>
      <c r="C20" s="22">
        <v>162000</v>
      </c>
      <c r="D20" s="22"/>
      <c r="E20" s="22"/>
      <c r="F20" s="22">
        <v>54000</v>
      </c>
      <c r="G20" s="22"/>
      <c r="H20" s="12">
        <f t="shared" si="0"/>
        <v>44473</v>
      </c>
    </row>
    <row r="21" spans="1:8" x14ac:dyDescent="0.3">
      <c r="B21" s="6" t="s">
        <v>16</v>
      </c>
      <c r="C21" s="22">
        <v>207000</v>
      </c>
      <c r="D21" s="22">
        <v>54000</v>
      </c>
      <c r="E21" s="22"/>
      <c r="F21" s="22"/>
      <c r="G21" s="22"/>
      <c r="H21" s="12">
        <f t="shared" si="0"/>
        <v>44473</v>
      </c>
    </row>
    <row r="22" spans="1:8" x14ac:dyDescent="0.3">
      <c r="B22" s="50" t="s">
        <v>27</v>
      </c>
      <c r="C22" s="51">
        <f>SUM(October04_2021[KSI_AGO])</f>
        <v>2364000</v>
      </c>
      <c r="D22" s="51">
        <f>SUBTOTAL(109,October04_2021[KSI_PMS])</f>
        <v>1076000</v>
      </c>
      <c r="E22" s="51">
        <f>SUM(October04_2021[BUIPE_AGO])</f>
        <v>54000</v>
      </c>
      <c r="F22" s="51">
        <f>SUM(October04_2021[BUIPE_PMS])</f>
        <v>639000</v>
      </c>
      <c r="G22" s="51">
        <f>SUM(October04_2021[AKOSOMBO_AGO])</f>
        <v>0</v>
      </c>
      <c r="H22" s="52"/>
    </row>
    <row r="23" spans="1:8" x14ac:dyDescent="0.3">
      <c r="B23" s="8"/>
      <c r="C23" s="24"/>
      <c r="D23" s="24"/>
      <c r="E23" s="24"/>
      <c r="F23" s="24"/>
      <c r="G23" s="24"/>
      <c r="H23"/>
    </row>
    <row r="24" spans="1:8" x14ac:dyDescent="0.3">
      <c r="B24" s="1" t="s">
        <v>6</v>
      </c>
      <c r="C24" s="1" t="s">
        <v>4</v>
      </c>
      <c r="D24" s="5">
        <f>SUMIF(October04_2021[[#Headers],[KSI_AGO]:[AKOSOMBO_AGO]],"*"&amp;C24,October04_2021[[#Totals],[KSI_AGO]:[AKOSOMBO_AGO]])</f>
        <v>2418000</v>
      </c>
      <c r="E24" s="1" t="s">
        <v>5</v>
      </c>
      <c r="F24" s="5">
        <f>SUMIF(October04_2021[[#Headers],[KSI_AGO]:[AKOSOMBO_AGO]],"*"&amp;E24,October04_2021[[#Totals],[KSI_AGO]:[AKOSOMBO_AGO]])</f>
        <v>1715000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5D3C6605-A8F5-43D6-BF5C-593D19A7D9B6}">
      <formula1>INDIRECT("BDC_List[BDC List]")</formula1>
    </dataValidation>
  </dataValidations>
  <pageMargins left="0.7" right="0.7" top="0.75" bottom="0.75" header="0.3" footer="0.3"/>
  <tableParts count="1">
    <tablePart r:id="rId1"/>
  </tableParts>
</worksheet>
</file>

<file path=xl/worksheets/sheet4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D87C0-0BCD-40CE-8436-62DACBAE5674}">
  <sheetPr codeName="Sheet446"/>
  <dimension ref="A1:J34"/>
  <sheetViews>
    <sheetView workbookViewId="0">
      <pane xSplit="2" ySplit="5" topLeftCell="E6" activePane="bottomRight" state="frozen"/>
      <selection activeCell="E16" sqref="E16"/>
      <selection pane="topRight" activeCell="E16" sqref="E16"/>
      <selection pane="bottomLeft" activeCell="E16" sqref="E16"/>
      <selection pane="bottomRight" activeCell="F15" sqref="F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44474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44474</v>
      </c>
    </row>
    <row r="7" spans="2:10" x14ac:dyDescent="0.3">
      <c r="B7" s="6" t="s">
        <v>37</v>
      </c>
      <c r="C7" s="53"/>
      <c r="D7" s="22"/>
      <c r="E7" s="22">
        <v>270000</v>
      </c>
      <c r="F7" s="22"/>
      <c r="G7" s="22"/>
      <c r="H7" s="67">
        <f t="shared" si="0"/>
        <v>44474</v>
      </c>
    </row>
    <row r="8" spans="2:10" x14ac:dyDescent="0.3">
      <c r="B8" s="6" t="s">
        <v>17</v>
      </c>
      <c r="C8" s="22">
        <v>108000</v>
      </c>
      <c r="D8" s="22">
        <v>324000</v>
      </c>
      <c r="E8" s="22"/>
      <c r="F8" s="22"/>
      <c r="G8" s="22"/>
      <c r="H8" s="12">
        <f t="shared" si="0"/>
        <v>44474</v>
      </c>
    </row>
    <row r="9" spans="2:10" ht="15.6" x14ac:dyDescent="0.3">
      <c r="B9" s="34" t="s">
        <v>0</v>
      </c>
      <c r="C9" s="60"/>
      <c r="D9" s="60">
        <v>378000</v>
      </c>
      <c r="E9" s="60">
        <v>45000</v>
      </c>
      <c r="F9" s="60"/>
      <c r="G9" s="61"/>
      <c r="H9" s="12">
        <f t="shared" si="0"/>
        <v>44474</v>
      </c>
    </row>
    <row r="10" spans="2:10" ht="16.2" customHeight="1" x14ac:dyDescent="0.3">
      <c r="B10" s="6" t="s">
        <v>25</v>
      </c>
      <c r="C10" s="22"/>
      <c r="D10" s="22"/>
      <c r="E10" s="22"/>
      <c r="F10" s="22"/>
      <c r="G10" s="22"/>
      <c r="H10" s="12">
        <f t="shared" si="0"/>
        <v>44474</v>
      </c>
    </row>
    <row r="11" spans="2:10" ht="13.5" customHeight="1" x14ac:dyDescent="0.3">
      <c r="B11" s="6" t="s">
        <v>15</v>
      </c>
      <c r="C11" s="22">
        <v>378000</v>
      </c>
      <c r="D11" s="48">
        <v>256500</v>
      </c>
      <c r="E11" s="22"/>
      <c r="F11" s="48"/>
      <c r="G11" s="22"/>
      <c r="H11" s="12">
        <f t="shared" si="0"/>
        <v>44474</v>
      </c>
    </row>
    <row r="12" spans="2:10" x14ac:dyDescent="0.3">
      <c r="B12" s="6" t="s">
        <v>54</v>
      </c>
      <c r="C12" s="22">
        <v>594000</v>
      </c>
      <c r="D12" s="22"/>
      <c r="E12" s="22"/>
      <c r="F12" s="22"/>
      <c r="G12" s="22"/>
      <c r="H12" s="67">
        <f t="shared" si="0"/>
        <v>44474</v>
      </c>
    </row>
    <row r="13" spans="2:10" x14ac:dyDescent="0.3">
      <c r="B13" s="6" t="s">
        <v>26</v>
      </c>
      <c r="C13" s="22"/>
      <c r="D13" s="22"/>
      <c r="E13" s="22"/>
      <c r="F13" s="22"/>
      <c r="G13" s="22"/>
      <c r="H13" s="12">
        <f t="shared" si="0"/>
        <v>44474</v>
      </c>
    </row>
    <row r="14" spans="2:10" x14ac:dyDescent="0.3">
      <c r="B14" s="6" t="s">
        <v>22</v>
      </c>
      <c r="C14" s="23"/>
      <c r="D14" s="22"/>
      <c r="E14" s="23"/>
      <c r="F14" s="22"/>
      <c r="G14" s="23"/>
      <c r="H14" s="12">
        <f t="shared" si="0"/>
        <v>44474</v>
      </c>
      <c r="J14" s="4"/>
    </row>
    <row r="15" spans="2:10" x14ac:dyDescent="0.3">
      <c r="B15" s="6" t="s">
        <v>61</v>
      </c>
      <c r="C15" s="23"/>
      <c r="D15" s="22"/>
      <c r="E15" s="23"/>
      <c r="F15" s="22"/>
      <c r="G15" s="23"/>
      <c r="H15" s="67">
        <f t="shared" si="0"/>
        <v>44474</v>
      </c>
      <c r="J15" s="4"/>
    </row>
    <row r="16" spans="2:10" x14ac:dyDescent="0.3">
      <c r="B16" s="6" t="s">
        <v>19</v>
      </c>
      <c r="C16" s="22"/>
      <c r="D16" s="22">
        <v>243000</v>
      </c>
      <c r="E16" s="22"/>
      <c r="F16" s="22"/>
      <c r="G16" s="22"/>
      <c r="H16" s="12">
        <f t="shared" si="0"/>
        <v>44474</v>
      </c>
    </row>
    <row r="17" spans="1:8" x14ac:dyDescent="0.3">
      <c r="B17" s="6" t="s">
        <v>14</v>
      </c>
      <c r="C17" s="22">
        <v>909000</v>
      </c>
      <c r="D17" s="22"/>
      <c r="E17" s="22"/>
      <c r="F17" s="22"/>
      <c r="G17" s="22">
        <v>540000</v>
      </c>
      <c r="H17" s="12">
        <f t="shared" si="0"/>
        <v>44474</v>
      </c>
    </row>
    <row r="18" spans="1:8" x14ac:dyDescent="0.3">
      <c r="B18" s="6" t="s">
        <v>24</v>
      </c>
      <c r="C18" s="22"/>
      <c r="D18" s="49"/>
      <c r="E18" s="22"/>
      <c r="F18" s="49"/>
      <c r="G18" s="22"/>
      <c r="H18" s="12">
        <f t="shared" si="0"/>
        <v>44474</v>
      </c>
    </row>
    <row r="19" spans="1:8" x14ac:dyDescent="0.3">
      <c r="B19" s="6" t="s">
        <v>21</v>
      </c>
      <c r="C19" s="22"/>
      <c r="D19" s="22"/>
      <c r="E19" s="22"/>
      <c r="F19" s="22"/>
      <c r="G19" s="22"/>
      <c r="H19" s="12">
        <f t="shared" si="0"/>
        <v>44474</v>
      </c>
    </row>
    <row r="20" spans="1:8" x14ac:dyDescent="0.3">
      <c r="B20" s="6" t="s">
        <v>18</v>
      </c>
      <c r="C20" s="22"/>
      <c r="D20" s="22"/>
      <c r="E20" s="22">
        <v>99500</v>
      </c>
      <c r="F20" s="22"/>
      <c r="G20" s="22"/>
      <c r="H20" s="12">
        <f t="shared" si="0"/>
        <v>44474</v>
      </c>
    </row>
    <row r="21" spans="1:8" x14ac:dyDescent="0.3">
      <c r="B21" s="6" t="s">
        <v>16</v>
      </c>
      <c r="C21" s="22">
        <v>369000</v>
      </c>
      <c r="D21" s="22">
        <v>99000</v>
      </c>
      <c r="E21" s="22">
        <v>162000</v>
      </c>
      <c r="F21" s="22"/>
      <c r="G21" s="22"/>
      <c r="H21" s="12">
        <f t="shared" si="0"/>
        <v>44474</v>
      </c>
    </row>
    <row r="22" spans="1:8" x14ac:dyDescent="0.3">
      <c r="B22" s="50" t="s">
        <v>27</v>
      </c>
      <c r="C22" s="51">
        <f>SUM(October04_20212[KSI_AGO])</f>
        <v>2358000</v>
      </c>
      <c r="D22" s="51">
        <f>SUBTOTAL(109,October04_20212[KSI_PMS])</f>
        <v>1300500</v>
      </c>
      <c r="E22" s="51">
        <f>SUM(October04_20212[BUIPE_AGO])</f>
        <v>576500</v>
      </c>
      <c r="F22" s="51">
        <f>SUM(October04_20212[BUIPE_PMS])</f>
        <v>0</v>
      </c>
      <c r="G22" s="51">
        <f>SUM(October04_20212[AKOSOMBO_AGO])</f>
        <v>540000</v>
      </c>
      <c r="H22" s="52"/>
    </row>
    <row r="23" spans="1:8" x14ac:dyDescent="0.3">
      <c r="B23" s="8"/>
      <c r="C23" s="24"/>
      <c r="D23" s="24"/>
      <c r="E23" s="24"/>
      <c r="F23" s="24"/>
      <c r="G23" s="24"/>
      <c r="H23"/>
    </row>
    <row r="24" spans="1:8" x14ac:dyDescent="0.3">
      <c r="B24" s="1" t="s">
        <v>6</v>
      </c>
      <c r="C24" s="1" t="s">
        <v>4</v>
      </c>
      <c r="D24" s="5">
        <f>SUMIF(October04_20212[[#Headers],[KSI_AGO]:[AKOSOMBO_AGO]],"*"&amp;C24,October04_20212[[#Totals],[KSI_AGO]:[AKOSOMBO_AGO]])</f>
        <v>3474500</v>
      </c>
      <c r="E24" s="1" t="s">
        <v>5</v>
      </c>
      <c r="F24" s="5">
        <f>SUMIF(October04_20212[[#Headers],[KSI_AGO]:[AKOSOMBO_AGO]],"*"&amp;E24,October04_20212[[#Totals],[KSI_AGO]:[AKOSOMBO_AGO]])</f>
        <v>1300500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6C63DB9-9695-4D43-81A6-94C04296BB08}">
      <formula1>INDIRECT("BDC_List[BDC List]")</formula1>
    </dataValidation>
  </dataValidations>
  <pageMargins left="0.7" right="0.7" top="0.75" bottom="0.75" header="0.3" footer="0.3"/>
  <legacyDrawing r:id="rId1"/>
  <tableParts count="1">
    <tablePart r:id="rId2"/>
  </tableParts>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AE6E-8E1E-4B88-A9D0-1E6E4FE40B38}">
  <sheetPr codeName="Sheet447"/>
  <dimension ref="A1:J34"/>
  <sheetViews>
    <sheetView topLeftCell="C1" workbookViewId="0">
      <selection activeCell="B17" sqref="B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44475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44475</v>
      </c>
    </row>
    <row r="7" spans="2:10" x14ac:dyDescent="0.3">
      <c r="B7" s="6" t="s">
        <v>37</v>
      </c>
      <c r="C7" s="53"/>
      <c r="D7" s="22"/>
      <c r="E7" s="22">
        <v>54000</v>
      </c>
      <c r="F7" s="22"/>
      <c r="G7" s="22"/>
      <c r="H7" s="67">
        <f t="shared" si="0"/>
        <v>44475</v>
      </c>
    </row>
    <row r="8" spans="2:10" x14ac:dyDescent="0.3">
      <c r="B8" s="6" t="s">
        <v>17</v>
      </c>
      <c r="C8" s="22">
        <v>54000</v>
      </c>
      <c r="D8" s="22">
        <v>629000</v>
      </c>
      <c r="E8" s="22"/>
      <c r="F8" s="22"/>
      <c r="G8" s="22"/>
      <c r="H8" s="12">
        <f t="shared" si="0"/>
        <v>44475</v>
      </c>
    </row>
    <row r="9" spans="2:10" ht="15.6" x14ac:dyDescent="0.3">
      <c r="B9" s="34" t="s">
        <v>0</v>
      </c>
      <c r="C9" s="60">
        <v>482000</v>
      </c>
      <c r="D9" s="60">
        <v>216000</v>
      </c>
      <c r="E9" s="60"/>
      <c r="F9" s="60"/>
      <c r="G9" s="61">
        <v>50000</v>
      </c>
      <c r="H9" s="12">
        <f t="shared" si="0"/>
        <v>44475</v>
      </c>
    </row>
    <row r="10" spans="2:10" ht="16.2" customHeight="1" x14ac:dyDescent="0.3">
      <c r="B10" s="6" t="s">
        <v>25</v>
      </c>
      <c r="C10" s="22"/>
      <c r="D10" s="22"/>
      <c r="E10" s="22"/>
      <c r="F10" s="22"/>
      <c r="G10" s="22"/>
      <c r="H10" s="12">
        <f t="shared" si="0"/>
        <v>44475</v>
      </c>
    </row>
    <row r="11" spans="2:10" ht="13.5" customHeight="1" x14ac:dyDescent="0.3">
      <c r="B11" s="6" t="s">
        <v>15</v>
      </c>
      <c r="C11" s="22">
        <v>158000</v>
      </c>
      <c r="D11" s="48">
        <v>216000</v>
      </c>
      <c r="E11" s="22"/>
      <c r="F11" s="48"/>
      <c r="G11" s="22"/>
      <c r="H11" s="12">
        <f t="shared" si="0"/>
        <v>44475</v>
      </c>
    </row>
    <row r="12" spans="2:10" x14ac:dyDescent="0.3">
      <c r="B12" s="6" t="s">
        <v>54</v>
      </c>
      <c r="C12" s="22">
        <v>540000</v>
      </c>
      <c r="D12" s="22"/>
      <c r="E12" s="22"/>
      <c r="F12" s="22"/>
      <c r="G12" s="22"/>
      <c r="H12" s="67">
        <f t="shared" si="0"/>
        <v>44475</v>
      </c>
    </row>
    <row r="13" spans="2:10" x14ac:dyDescent="0.3">
      <c r="B13" s="6" t="s">
        <v>26</v>
      </c>
      <c r="C13" s="22"/>
      <c r="D13" s="22"/>
      <c r="E13" s="22"/>
      <c r="F13" s="22"/>
      <c r="G13" s="22"/>
      <c r="H13" s="12">
        <f t="shared" si="0"/>
        <v>44475</v>
      </c>
    </row>
    <row r="14" spans="2:10" x14ac:dyDescent="0.3">
      <c r="B14" s="6" t="s">
        <v>22</v>
      </c>
      <c r="C14" s="23"/>
      <c r="D14" s="22"/>
      <c r="E14" s="23"/>
      <c r="F14" s="22"/>
      <c r="G14" s="23"/>
      <c r="H14" s="12">
        <f t="shared" si="0"/>
        <v>44475</v>
      </c>
      <c r="J14" s="4"/>
    </row>
    <row r="15" spans="2:10" x14ac:dyDescent="0.3">
      <c r="B15" s="6" t="s">
        <v>61</v>
      </c>
      <c r="C15" s="23"/>
      <c r="D15" s="22"/>
      <c r="E15" s="23"/>
      <c r="F15" s="22"/>
      <c r="G15" s="23"/>
      <c r="H15" s="67">
        <f t="shared" si="0"/>
        <v>44475</v>
      </c>
      <c r="J15" s="4"/>
    </row>
    <row r="16" spans="2:10" x14ac:dyDescent="0.3">
      <c r="B16" s="6" t="s">
        <v>19</v>
      </c>
      <c r="C16" s="22"/>
      <c r="D16" s="22">
        <v>90000</v>
      </c>
      <c r="E16" s="22"/>
      <c r="F16" s="22"/>
      <c r="G16" s="22"/>
      <c r="H16" s="12">
        <f t="shared" si="0"/>
        <v>44475</v>
      </c>
    </row>
    <row r="17" spans="1:8" x14ac:dyDescent="0.3">
      <c r="B17" s="6" t="s">
        <v>14</v>
      </c>
      <c r="C17" s="22">
        <v>702000</v>
      </c>
      <c r="D17" s="22">
        <v>162000</v>
      </c>
      <c r="E17" s="22"/>
      <c r="F17" s="22"/>
      <c r="G17" s="22">
        <v>482000</v>
      </c>
      <c r="H17" s="12">
        <f t="shared" si="0"/>
        <v>44475</v>
      </c>
    </row>
    <row r="18" spans="1:8" x14ac:dyDescent="0.3">
      <c r="B18" s="6" t="s">
        <v>24</v>
      </c>
      <c r="C18" s="22"/>
      <c r="D18" s="49"/>
      <c r="E18" s="22"/>
      <c r="F18" s="49"/>
      <c r="G18" s="22"/>
      <c r="H18" s="12">
        <f t="shared" si="0"/>
        <v>44475</v>
      </c>
    </row>
    <row r="19" spans="1:8" x14ac:dyDescent="0.3">
      <c r="B19" s="6" t="s">
        <v>21</v>
      </c>
      <c r="C19" s="22"/>
      <c r="D19" s="22"/>
      <c r="E19" s="22"/>
      <c r="F19" s="22"/>
      <c r="G19" s="22"/>
      <c r="H19" s="12">
        <f t="shared" si="0"/>
        <v>44475</v>
      </c>
    </row>
    <row r="20" spans="1:8" x14ac:dyDescent="0.3">
      <c r="B20" s="6" t="s">
        <v>18</v>
      </c>
      <c r="C20" s="22"/>
      <c r="D20" s="22"/>
      <c r="E20" s="22"/>
      <c r="F20" s="22"/>
      <c r="G20" s="22"/>
      <c r="H20" s="12">
        <f t="shared" si="0"/>
        <v>44475</v>
      </c>
    </row>
    <row r="21" spans="1:8" x14ac:dyDescent="0.3">
      <c r="B21" s="6" t="s">
        <v>16</v>
      </c>
      <c r="C21" s="22">
        <v>324000</v>
      </c>
      <c r="D21" s="22">
        <v>50000</v>
      </c>
      <c r="E21" s="22"/>
      <c r="F21" s="22"/>
      <c r="G21" s="22"/>
      <c r="H21" s="12">
        <f t="shared" si="0"/>
        <v>44475</v>
      </c>
    </row>
    <row r="22" spans="1:8" x14ac:dyDescent="0.3">
      <c r="B22" s="50" t="s">
        <v>27</v>
      </c>
      <c r="C22" s="51">
        <f>SUM(October0_202124[KSI_AGO])</f>
        <v>2260000</v>
      </c>
      <c r="D22" s="51">
        <f>SUBTOTAL(109,October0_202124[KSI_PMS])</f>
        <v>1363000</v>
      </c>
      <c r="E22" s="51">
        <f>SUM(October0_202124[BUIPE_AGO])</f>
        <v>54000</v>
      </c>
      <c r="F22" s="51">
        <f>SUM(October0_202124[BUIPE_PMS])</f>
        <v>0</v>
      </c>
      <c r="G22" s="51">
        <f>SUM(October0_202124[AKOSOMBO_AGO])</f>
        <v>532000</v>
      </c>
      <c r="H22" s="52"/>
    </row>
    <row r="23" spans="1:8" x14ac:dyDescent="0.3">
      <c r="B23" s="8"/>
      <c r="C23" s="24"/>
      <c r="D23" s="24"/>
      <c r="E23" s="24"/>
      <c r="F23" s="24"/>
      <c r="G23" s="24"/>
      <c r="H23"/>
    </row>
    <row r="24" spans="1:8" x14ac:dyDescent="0.3">
      <c r="B24" s="1" t="s">
        <v>6</v>
      </c>
      <c r="C24" s="1" t="s">
        <v>4</v>
      </c>
      <c r="D24" s="5">
        <f>SUMIF(October0_202124[[#Headers],[KSI_AGO]:[AKOSOMBO_AGO]],"*"&amp;C24,October0_202124[[#Totals],[KSI_AGO]:[AKOSOMBO_AGO]])</f>
        <v>2846000</v>
      </c>
      <c r="E24" s="1" t="s">
        <v>5</v>
      </c>
      <c r="F24" s="5">
        <f>SUMIF(October0_202124[[#Headers],[KSI_AGO]:[AKOSOMBO_AGO]],"*"&amp;E24,October0_202124[[#Totals],[KSI_AGO]:[AKOSOMBO_AGO]])</f>
        <v>1363000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614236A-AE5C-4B64-A776-D43C9FCA919E}">
      <formula1>INDIRECT("BDC_List[BDC List]")</formula1>
    </dataValidation>
  </dataValidations>
  <pageMargins left="0.7" right="0.7" top="0.75" bottom="0.75" header="0.3" footer="0.3"/>
  <tableParts count="1">
    <tablePart r:id="rId1"/>
  </tableParts>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3E91-47C4-4EBF-808A-16656650611B}">
  <sheetPr codeName="Sheet448"/>
  <dimension ref="A1:J34"/>
  <sheetViews>
    <sheetView topLeftCell="C4" workbookViewId="0">
      <selection activeCell="F14" sqref="F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44476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44476</v>
      </c>
    </row>
    <row r="7" spans="2:10" x14ac:dyDescent="0.3">
      <c r="B7" s="6" t="s">
        <v>37</v>
      </c>
      <c r="C7" s="22"/>
      <c r="D7" s="53"/>
      <c r="E7" s="53"/>
      <c r="F7" s="22"/>
      <c r="G7" s="22"/>
      <c r="H7" s="67">
        <f t="shared" si="0"/>
        <v>44476</v>
      </c>
    </row>
    <row r="8" spans="2:10" x14ac:dyDescent="0.3">
      <c r="B8" s="6" t="s">
        <v>17</v>
      </c>
      <c r="C8" s="22">
        <v>108000</v>
      </c>
      <c r="D8" s="22">
        <v>594000</v>
      </c>
      <c r="E8" s="22"/>
      <c r="F8" s="22"/>
      <c r="G8" s="22"/>
      <c r="H8" s="12">
        <f t="shared" si="0"/>
        <v>44476</v>
      </c>
    </row>
    <row r="9" spans="2:10" ht="15.6" x14ac:dyDescent="0.3">
      <c r="B9" s="34" t="s">
        <v>0</v>
      </c>
      <c r="C9" s="60">
        <v>270000</v>
      </c>
      <c r="D9" s="60"/>
      <c r="E9" s="60"/>
      <c r="F9" s="60"/>
      <c r="G9" s="61">
        <v>324000</v>
      </c>
      <c r="H9" s="12">
        <f t="shared" si="0"/>
        <v>44476</v>
      </c>
    </row>
    <row r="10" spans="2:10" ht="16.2" customHeight="1" x14ac:dyDescent="0.3">
      <c r="B10" s="6" t="s">
        <v>25</v>
      </c>
      <c r="C10" s="22"/>
      <c r="D10" s="22"/>
      <c r="E10" s="22"/>
      <c r="F10" s="22"/>
      <c r="G10" s="22"/>
      <c r="H10" s="12">
        <f t="shared" si="0"/>
        <v>44476</v>
      </c>
    </row>
    <row r="11" spans="2:10" ht="13.5" customHeight="1" x14ac:dyDescent="0.3">
      <c r="B11" s="6" t="s">
        <v>15</v>
      </c>
      <c r="C11" s="48"/>
      <c r="D11" s="22">
        <v>162000</v>
      </c>
      <c r="E11" s="22"/>
      <c r="F11" s="48"/>
      <c r="G11" s="22"/>
      <c r="H11" s="12">
        <f t="shared" si="0"/>
        <v>44476</v>
      </c>
    </row>
    <row r="12" spans="2:10" x14ac:dyDescent="0.3">
      <c r="B12" s="6" t="s">
        <v>54</v>
      </c>
      <c r="C12" s="22">
        <v>432000</v>
      </c>
      <c r="D12" s="22"/>
      <c r="E12" s="22"/>
      <c r="F12" s="22"/>
      <c r="G12" s="22"/>
      <c r="H12" s="67">
        <f t="shared" si="0"/>
        <v>44476</v>
      </c>
    </row>
    <row r="13" spans="2:10" x14ac:dyDescent="0.3">
      <c r="B13" s="6" t="s">
        <v>26</v>
      </c>
      <c r="C13" s="22"/>
      <c r="D13" s="22"/>
      <c r="E13" s="22"/>
      <c r="F13" s="22"/>
      <c r="G13" s="22"/>
      <c r="H13" s="12">
        <f t="shared" si="0"/>
        <v>44476</v>
      </c>
    </row>
    <row r="14" spans="2:10" x14ac:dyDescent="0.3">
      <c r="B14" s="6" t="s">
        <v>22</v>
      </c>
      <c r="C14" s="22"/>
      <c r="D14" s="23"/>
      <c r="E14" s="23"/>
      <c r="F14" s="22"/>
      <c r="G14" s="23"/>
      <c r="H14" s="12">
        <f t="shared" si="0"/>
        <v>44476</v>
      </c>
      <c r="J14" s="4"/>
    </row>
    <row r="15" spans="2:10" x14ac:dyDescent="0.3">
      <c r="B15" s="6" t="s">
        <v>61</v>
      </c>
      <c r="C15" s="22"/>
      <c r="D15" s="23"/>
      <c r="E15" s="23"/>
      <c r="F15" s="22"/>
      <c r="G15" s="23"/>
      <c r="H15" s="67">
        <f t="shared" si="0"/>
        <v>44476</v>
      </c>
      <c r="J15" s="4"/>
    </row>
    <row r="16" spans="2:10" x14ac:dyDescent="0.3">
      <c r="B16" s="6" t="s">
        <v>19</v>
      </c>
      <c r="C16" s="22"/>
      <c r="D16" s="22"/>
      <c r="E16" s="22"/>
      <c r="F16" s="22"/>
      <c r="G16" s="22"/>
      <c r="H16" s="12">
        <f t="shared" si="0"/>
        <v>44476</v>
      </c>
    </row>
    <row r="17" spans="1:8" x14ac:dyDescent="0.3">
      <c r="B17" s="6" t="s">
        <v>14</v>
      </c>
      <c r="C17" s="22">
        <v>810000</v>
      </c>
      <c r="D17" s="22">
        <v>270000</v>
      </c>
      <c r="E17" s="22"/>
      <c r="F17" s="22"/>
      <c r="G17" s="22">
        <v>216000</v>
      </c>
      <c r="H17" s="12">
        <f t="shared" si="0"/>
        <v>44476</v>
      </c>
    </row>
    <row r="18" spans="1:8" x14ac:dyDescent="0.3">
      <c r="B18" s="6" t="s">
        <v>24</v>
      </c>
      <c r="C18" s="49"/>
      <c r="D18" s="22"/>
      <c r="E18" s="22"/>
      <c r="F18" s="49"/>
      <c r="G18" s="22"/>
      <c r="H18" s="12">
        <f t="shared" si="0"/>
        <v>44476</v>
      </c>
    </row>
    <row r="19" spans="1:8" x14ac:dyDescent="0.3">
      <c r="B19" s="6" t="s">
        <v>21</v>
      </c>
      <c r="C19" s="22"/>
      <c r="D19" s="22"/>
      <c r="E19" s="22"/>
      <c r="F19" s="22"/>
      <c r="G19" s="22"/>
      <c r="H19" s="12">
        <f t="shared" si="0"/>
        <v>44476</v>
      </c>
    </row>
    <row r="20" spans="1:8" x14ac:dyDescent="0.3">
      <c r="B20" s="6" t="s">
        <v>18</v>
      </c>
      <c r="C20" s="22">
        <v>150000</v>
      </c>
      <c r="D20" s="22"/>
      <c r="E20" s="22"/>
      <c r="F20" s="22"/>
      <c r="G20" s="22"/>
      <c r="H20" s="12">
        <f t="shared" si="0"/>
        <v>44476</v>
      </c>
    </row>
    <row r="21" spans="1:8" x14ac:dyDescent="0.3">
      <c r="B21" s="6" t="s">
        <v>16</v>
      </c>
      <c r="C21" s="22"/>
      <c r="D21" s="22">
        <v>108000</v>
      </c>
      <c r="E21" s="22"/>
      <c r="F21" s="22"/>
      <c r="G21" s="22"/>
      <c r="H21" s="12">
        <f t="shared" si="0"/>
        <v>44476</v>
      </c>
    </row>
    <row r="22" spans="1:8" x14ac:dyDescent="0.3">
      <c r="B22" s="50" t="s">
        <v>27</v>
      </c>
      <c r="C22" s="51">
        <f>SUM(October07_2021[KSI_AGO])</f>
        <v>1770000</v>
      </c>
      <c r="D22" s="51">
        <f>SUBTOTAL(109,October07_2021[KSI_PMS])</f>
        <v>1134000</v>
      </c>
      <c r="E22" s="51">
        <f>SUM(October07_2021[BUIPE_AGO])</f>
        <v>0</v>
      </c>
      <c r="F22" s="51">
        <f>SUM(October07_2021[BUIPE_PMS])</f>
        <v>0</v>
      </c>
      <c r="G22" s="51">
        <f>SUM(October07_2021[AKOSOMBO_AGO])</f>
        <v>540000</v>
      </c>
      <c r="H22" s="52"/>
    </row>
    <row r="23" spans="1:8" x14ac:dyDescent="0.3">
      <c r="B23" s="8"/>
      <c r="C23" s="24"/>
      <c r="D23" s="24"/>
      <c r="E23" s="24"/>
      <c r="F23" s="24"/>
      <c r="G23" s="24"/>
      <c r="H23"/>
    </row>
    <row r="24" spans="1:8" x14ac:dyDescent="0.3">
      <c r="B24" s="1" t="s">
        <v>6</v>
      </c>
      <c r="C24" s="1" t="s">
        <v>4</v>
      </c>
      <c r="D24" s="5">
        <f>SUMIF(October07_2021[[#Headers],[KSI_AGO]:[AKOSOMBO_AGO]],"*"&amp;C24,October07_2021[[#Totals],[KSI_AGO]:[AKOSOMBO_AGO]])</f>
        <v>2310000</v>
      </c>
      <c r="E24" s="1" t="s">
        <v>5</v>
      </c>
      <c r="F24" s="5">
        <f>SUMIF(October07_2021[[#Headers],[KSI_AGO]:[AKOSOMBO_AGO]],"*"&amp;E24,October07_2021[[#Totals],[KSI_AGO]:[AKOSOMBO_AGO]])</f>
        <v>1134000</v>
      </c>
    </row>
    <row r="27" spans="1:8" ht="18" x14ac:dyDescent="0.35">
      <c r="B27" s="107" t="s">
        <v>64</v>
      </c>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6C5C1414-D173-4482-AE5A-963DB4BBFE78}">
      <formula1>INDIRECT("BDC_List[BDC List]")</formula1>
    </dataValidation>
  </dataValidations>
  <pageMargins left="0.7" right="0.7" top="0.75" bottom="0.75" header="0.3" footer="0.3"/>
  <tableParts count="1">
    <tablePart r:id="rId1"/>
  </tableParts>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31FCE-97BC-4ABE-B2C2-75E54FEB06B5}">
  <sheetPr codeName="Sheet449"/>
  <dimension ref="A1:J34"/>
  <sheetViews>
    <sheetView workbookViewId="0">
      <pane xSplit="2" ySplit="5" topLeftCell="F6" activePane="bottomRight" state="frozen"/>
      <selection pane="topRight" activeCell="C1" sqref="C1"/>
      <selection pane="bottomLeft" activeCell="A6" sqref="A6"/>
      <selection pane="bottomRight" activeCell="E16" sqref="E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44477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44477</v>
      </c>
    </row>
    <row r="7" spans="2:10" x14ac:dyDescent="0.3">
      <c r="B7" s="6" t="s">
        <v>37</v>
      </c>
      <c r="C7" s="22"/>
      <c r="D7" s="53"/>
      <c r="E7" s="53"/>
      <c r="F7" s="22"/>
      <c r="G7" s="22"/>
      <c r="H7" s="67">
        <f t="shared" si="0"/>
        <v>44477</v>
      </c>
    </row>
    <row r="8" spans="2:10" x14ac:dyDescent="0.3">
      <c r="B8" s="6" t="s">
        <v>17</v>
      </c>
      <c r="C8" s="22"/>
      <c r="D8" s="22">
        <v>688500</v>
      </c>
      <c r="E8" s="22"/>
      <c r="F8" s="22"/>
      <c r="G8" s="22"/>
      <c r="H8" s="12">
        <f t="shared" si="0"/>
        <v>44477</v>
      </c>
    </row>
    <row r="9" spans="2:10" ht="15.6" x14ac:dyDescent="0.3">
      <c r="B9" s="34" t="s">
        <v>0</v>
      </c>
      <c r="C9" s="60">
        <v>149000</v>
      </c>
      <c r="D9" s="60"/>
      <c r="E9" s="60"/>
      <c r="F9" s="60">
        <v>162000</v>
      </c>
      <c r="G9" s="61">
        <v>424000</v>
      </c>
      <c r="H9" s="12">
        <f t="shared" si="0"/>
        <v>44477</v>
      </c>
    </row>
    <row r="10" spans="2:10" ht="16.2" customHeight="1" x14ac:dyDescent="0.3">
      <c r="B10" s="6" t="s">
        <v>25</v>
      </c>
      <c r="C10" s="22"/>
      <c r="D10" s="22"/>
      <c r="E10" s="22"/>
      <c r="F10" s="22">
        <v>54000</v>
      </c>
      <c r="G10" s="22"/>
      <c r="H10" s="12">
        <f t="shared" si="0"/>
        <v>44477</v>
      </c>
    </row>
    <row r="11" spans="2:10" ht="13.5" customHeight="1" x14ac:dyDescent="0.3">
      <c r="B11" s="6" t="s">
        <v>15</v>
      </c>
      <c r="C11" s="48"/>
      <c r="D11" s="22"/>
      <c r="E11" s="22"/>
      <c r="F11" s="48"/>
      <c r="G11" s="22"/>
      <c r="H11" s="12">
        <f t="shared" si="0"/>
        <v>44477</v>
      </c>
    </row>
    <row r="12" spans="2:10" x14ac:dyDescent="0.3">
      <c r="B12" s="6" t="s">
        <v>54</v>
      </c>
      <c r="C12" s="22">
        <v>540000</v>
      </c>
      <c r="D12" s="22"/>
      <c r="E12" s="22"/>
      <c r="F12" s="22"/>
      <c r="G12" s="22"/>
      <c r="H12" s="67">
        <f t="shared" si="0"/>
        <v>44477</v>
      </c>
    </row>
    <row r="13" spans="2:10" x14ac:dyDescent="0.3">
      <c r="B13" s="6" t="s">
        <v>26</v>
      </c>
      <c r="C13" s="22"/>
      <c r="D13" s="22">
        <v>45000</v>
      </c>
      <c r="E13" s="22">
        <v>45000</v>
      </c>
      <c r="F13" s="22"/>
      <c r="G13" s="22"/>
      <c r="H13" s="12">
        <f t="shared" si="0"/>
        <v>44477</v>
      </c>
    </row>
    <row r="14" spans="2:10" x14ac:dyDescent="0.3">
      <c r="B14" s="6" t="s">
        <v>22</v>
      </c>
      <c r="C14" s="22"/>
      <c r="D14" s="23"/>
      <c r="E14" s="23"/>
      <c r="F14" s="22"/>
      <c r="G14" s="23"/>
      <c r="H14" s="12">
        <f t="shared" si="0"/>
        <v>44477</v>
      </c>
      <c r="J14" s="4"/>
    </row>
    <row r="15" spans="2:10" x14ac:dyDescent="0.3">
      <c r="B15" s="6" t="s">
        <v>61</v>
      </c>
      <c r="C15" s="22"/>
      <c r="D15" s="23"/>
      <c r="E15" s="23"/>
      <c r="F15" s="22"/>
      <c r="G15" s="23"/>
      <c r="H15" s="67">
        <f t="shared" si="0"/>
        <v>44477</v>
      </c>
      <c r="J15" s="4"/>
    </row>
    <row r="16" spans="2:10" x14ac:dyDescent="0.3">
      <c r="B16" s="6" t="s">
        <v>19</v>
      </c>
      <c r="C16" s="22"/>
      <c r="D16" s="22"/>
      <c r="E16" s="22"/>
      <c r="F16" s="22">
        <v>54000</v>
      </c>
      <c r="G16" s="22"/>
      <c r="H16" s="12">
        <f t="shared" si="0"/>
        <v>44477</v>
      </c>
    </row>
    <row r="17" spans="1:8" x14ac:dyDescent="0.3">
      <c r="B17" s="6" t="s">
        <v>14</v>
      </c>
      <c r="C17" s="22">
        <v>1565500</v>
      </c>
      <c r="D17" s="22">
        <v>486000</v>
      </c>
      <c r="E17" s="22"/>
      <c r="F17" s="22">
        <v>54000</v>
      </c>
      <c r="G17" s="22">
        <v>108000</v>
      </c>
      <c r="H17" s="12">
        <f t="shared" si="0"/>
        <v>44477</v>
      </c>
    </row>
    <row r="18" spans="1:8" x14ac:dyDescent="0.3">
      <c r="B18" s="6" t="s">
        <v>24</v>
      </c>
      <c r="C18" s="49"/>
      <c r="D18" s="22"/>
      <c r="E18" s="22"/>
      <c r="F18" s="49"/>
      <c r="G18" s="22"/>
      <c r="H18" s="12">
        <f t="shared" si="0"/>
        <v>44477</v>
      </c>
    </row>
    <row r="19" spans="1:8" x14ac:dyDescent="0.3">
      <c r="B19" s="6" t="s">
        <v>21</v>
      </c>
      <c r="C19" s="22"/>
      <c r="D19" s="22"/>
      <c r="E19" s="22"/>
      <c r="F19" s="22"/>
      <c r="G19" s="22"/>
      <c r="H19" s="12">
        <f t="shared" si="0"/>
        <v>44477</v>
      </c>
    </row>
    <row r="20" spans="1:8" x14ac:dyDescent="0.3">
      <c r="B20" s="6" t="s">
        <v>18</v>
      </c>
      <c r="C20" s="22"/>
      <c r="D20" s="22"/>
      <c r="E20" s="22">
        <v>50000</v>
      </c>
      <c r="F20" s="22">
        <v>108000</v>
      </c>
      <c r="G20" s="22"/>
      <c r="H20" s="12">
        <f t="shared" si="0"/>
        <v>44477</v>
      </c>
    </row>
    <row r="21" spans="1:8" x14ac:dyDescent="0.3">
      <c r="B21" s="6" t="s">
        <v>16</v>
      </c>
      <c r="C21" s="22"/>
      <c r="D21" s="22"/>
      <c r="E21" s="22"/>
      <c r="F21" s="22"/>
      <c r="G21" s="22"/>
      <c r="H21" s="12">
        <f t="shared" si="0"/>
        <v>44477</v>
      </c>
    </row>
    <row r="22" spans="1:8" x14ac:dyDescent="0.3">
      <c r="B22" s="50" t="s">
        <v>27</v>
      </c>
      <c r="C22" s="51">
        <f>SUM(October07_20217[KSI_AGO])</f>
        <v>2254500</v>
      </c>
      <c r="D22" s="51">
        <f>SUBTOTAL(109,October07_20217[KSI_PMS])</f>
        <v>1219500</v>
      </c>
      <c r="E22" s="51">
        <f>SUM(October07_20217[BUIPE_AGO])</f>
        <v>95000</v>
      </c>
      <c r="F22" s="51">
        <f>SUM(October07_20217[BUIPE_PMS])</f>
        <v>432000</v>
      </c>
      <c r="G22" s="51">
        <f>SUM(October07_20217[AKOSOMBO_AGO])</f>
        <v>532000</v>
      </c>
      <c r="H22" s="52"/>
    </row>
    <row r="23" spans="1:8" x14ac:dyDescent="0.3">
      <c r="B23" s="8"/>
      <c r="C23" s="24"/>
      <c r="D23" s="24"/>
      <c r="E23" s="24"/>
      <c r="F23" s="24"/>
      <c r="G23" s="24"/>
      <c r="H23"/>
    </row>
    <row r="24" spans="1:8" x14ac:dyDescent="0.3">
      <c r="B24" s="1" t="s">
        <v>6</v>
      </c>
      <c r="C24" s="1" t="s">
        <v>4</v>
      </c>
      <c r="D24" s="5">
        <f>SUMIF(October07_20217[[#Headers],[KSI_AGO]:[AKOSOMBO_AGO]],"*"&amp;C24,October07_20217[[#Totals],[KSI_AGO]:[AKOSOMBO_AGO]])</f>
        <v>2881500</v>
      </c>
      <c r="E24" s="1" t="s">
        <v>5</v>
      </c>
      <c r="F24" s="5">
        <f>SUMIF(October07_20217[[#Headers],[KSI_AGO]:[AKOSOMBO_AGO]],"*"&amp;E24,October07_20217[[#Totals],[KSI_AGO]:[AKOSOMBO_AGO]])</f>
        <v>1651500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DC052EC-C58D-42C4-B6C2-BB85541E005D}">
      <formula1>INDIRECT("BDC_List[BDC List]")</formula1>
    </dataValidation>
  </dataValidations>
  <pageMargins left="0.7" right="0.7" top="0.75" bottom="0.75" header="0.3" footer="0.3"/>
  <tableParts count="1">
    <tablePart r:id="rId1"/>
  </tableParts>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57CE1-EAD7-44FA-AC73-B769F9769E9B}">
  <sheetPr codeName="Sheet450"/>
  <dimension ref="A1:J34"/>
  <sheetViews>
    <sheetView workbookViewId="0">
      <pane xSplit="2" ySplit="5" topLeftCell="F6" activePane="bottomRight" state="frozen"/>
      <selection pane="topRight" activeCell="C1" sqref="C1"/>
      <selection pane="bottomLeft" activeCell="A6" sqref="A6"/>
      <selection pane="bottomRight" activeCell="H13" sqref="H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44480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44480</v>
      </c>
    </row>
    <row r="7" spans="2:10" x14ac:dyDescent="0.3">
      <c r="B7" s="6" t="s">
        <v>37</v>
      </c>
      <c r="C7" s="22"/>
      <c r="D7" s="53"/>
      <c r="E7" s="53"/>
      <c r="F7" s="22"/>
      <c r="G7" s="22"/>
      <c r="H7" s="67">
        <f t="shared" si="0"/>
        <v>44480</v>
      </c>
    </row>
    <row r="8" spans="2:10" x14ac:dyDescent="0.3">
      <c r="B8" s="6" t="s">
        <v>17</v>
      </c>
      <c r="C8" s="22">
        <v>783000</v>
      </c>
      <c r="D8" s="22">
        <v>747500</v>
      </c>
      <c r="E8" s="22"/>
      <c r="F8" s="22"/>
      <c r="G8" s="22"/>
      <c r="H8" s="12">
        <f t="shared" si="0"/>
        <v>44480</v>
      </c>
    </row>
    <row r="9" spans="2:10" ht="15.6" x14ac:dyDescent="0.3">
      <c r="B9" s="34" t="s">
        <v>0</v>
      </c>
      <c r="C9" s="60"/>
      <c r="D9" s="60"/>
      <c r="E9" s="60">
        <v>135000</v>
      </c>
      <c r="F9" s="60">
        <v>320000</v>
      </c>
      <c r="G9" s="61">
        <v>50000</v>
      </c>
      <c r="H9" s="12">
        <f t="shared" si="0"/>
        <v>44480</v>
      </c>
    </row>
    <row r="10" spans="2:10" ht="16.2" customHeight="1" x14ac:dyDescent="0.3">
      <c r="B10" s="6" t="s">
        <v>25</v>
      </c>
      <c r="C10" s="22"/>
      <c r="D10" s="22"/>
      <c r="E10" s="22"/>
      <c r="F10" s="22"/>
      <c r="G10" s="22"/>
      <c r="H10" s="12">
        <f t="shared" si="0"/>
        <v>44480</v>
      </c>
    </row>
    <row r="11" spans="2:10" ht="13.5" customHeight="1" x14ac:dyDescent="0.3">
      <c r="B11" s="6" t="s">
        <v>15</v>
      </c>
      <c r="C11" s="48"/>
      <c r="D11" s="22"/>
      <c r="E11" s="22"/>
      <c r="F11" s="48">
        <v>54000</v>
      </c>
      <c r="G11" s="22"/>
      <c r="H11" s="12">
        <f t="shared" si="0"/>
        <v>44480</v>
      </c>
    </row>
    <row r="12" spans="2:10" x14ac:dyDescent="0.3">
      <c r="B12" s="6" t="s">
        <v>54</v>
      </c>
      <c r="C12" s="22">
        <v>162000</v>
      </c>
      <c r="D12" s="22"/>
      <c r="E12" s="22"/>
      <c r="F12" s="22"/>
      <c r="G12" s="22"/>
      <c r="H12" s="67">
        <f t="shared" si="0"/>
        <v>44480</v>
      </c>
    </row>
    <row r="13" spans="2:10" x14ac:dyDescent="0.3">
      <c r="B13" s="6" t="s">
        <v>26</v>
      </c>
      <c r="C13" s="22"/>
      <c r="D13" s="22"/>
      <c r="E13" s="22"/>
      <c r="F13" s="22"/>
      <c r="G13" s="22"/>
      <c r="H13" s="12">
        <f t="shared" si="0"/>
        <v>44480</v>
      </c>
    </row>
    <row r="14" spans="2:10" x14ac:dyDescent="0.3">
      <c r="B14" s="6" t="s">
        <v>22</v>
      </c>
      <c r="C14" s="22"/>
      <c r="D14" s="23"/>
      <c r="E14" s="23"/>
      <c r="F14" s="22"/>
      <c r="G14" s="23"/>
      <c r="H14" s="12">
        <f t="shared" si="0"/>
        <v>44480</v>
      </c>
      <c r="J14" s="4"/>
    </row>
    <row r="15" spans="2:10" x14ac:dyDescent="0.3">
      <c r="B15" s="6" t="s">
        <v>61</v>
      </c>
      <c r="C15" s="22"/>
      <c r="D15" s="23"/>
      <c r="E15" s="23"/>
      <c r="F15" s="22"/>
      <c r="G15" s="23"/>
      <c r="H15" s="67">
        <f t="shared" si="0"/>
        <v>44480</v>
      </c>
      <c r="J15" s="4"/>
    </row>
    <row r="16" spans="2:10" x14ac:dyDescent="0.3">
      <c r="B16" s="6" t="s">
        <v>19</v>
      </c>
      <c r="C16" s="22"/>
      <c r="D16" s="22"/>
      <c r="E16" s="22"/>
      <c r="F16" s="22"/>
      <c r="G16" s="22"/>
      <c r="H16" s="12">
        <f t="shared" si="0"/>
        <v>44480</v>
      </c>
    </row>
    <row r="17" spans="1:8" x14ac:dyDescent="0.3">
      <c r="B17" s="6" t="s">
        <v>14</v>
      </c>
      <c r="C17" s="22">
        <v>419500</v>
      </c>
      <c r="D17" s="22">
        <v>594000</v>
      </c>
      <c r="E17" s="22"/>
      <c r="F17" s="22">
        <v>108000</v>
      </c>
      <c r="G17" s="22">
        <v>324000</v>
      </c>
      <c r="H17" s="12">
        <f t="shared" si="0"/>
        <v>44480</v>
      </c>
    </row>
    <row r="18" spans="1:8" x14ac:dyDescent="0.3">
      <c r="B18" s="6" t="s">
        <v>24</v>
      </c>
      <c r="C18" s="49"/>
      <c r="D18" s="22"/>
      <c r="E18" s="22"/>
      <c r="F18" s="49"/>
      <c r="G18" s="22"/>
      <c r="H18" s="12">
        <f t="shared" si="0"/>
        <v>44480</v>
      </c>
    </row>
    <row r="19" spans="1:8" x14ac:dyDescent="0.3">
      <c r="B19" s="6" t="s">
        <v>21</v>
      </c>
      <c r="C19" s="22"/>
      <c r="D19" s="22"/>
      <c r="E19" s="22"/>
      <c r="F19" s="22"/>
      <c r="G19" s="22"/>
      <c r="H19" s="12">
        <f t="shared" si="0"/>
        <v>44480</v>
      </c>
    </row>
    <row r="20" spans="1:8" x14ac:dyDescent="0.3">
      <c r="B20" s="6" t="s">
        <v>18</v>
      </c>
      <c r="C20" s="22"/>
      <c r="D20" s="22"/>
      <c r="E20" s="22">
        <v>50000</v>
      </c>
      <c r="F20" s="22">
        <v>54000</v>
      </c>
      <c r="G20" s="22"/>
      <c r="H20" s="12">
        <f t="shared" si="0"/>
        <v>44480</v>
      </c>
    </row>
    <row r="21" spans="1:8" x14ac:dyDescent="0.3">
      <c r="B21" s="6" t="s">
        <v>16</v>
      </c>
      <c r="C21" s="22"/>
      <c r="D21" s="22"/>
      <c r="E21" s="22"/>
      <c r="F21" s="22"/>
      <c r="G21" s="22"/>
      <c r="H21" s="12">
        <f t="shared" si="0"/>
        <v>44480</v>
      </c>
    </row>
    <row r="22" spans="1:8" x14ac:dyDescent="0.3">
      <c r="B22" s="50" t="s">
        <v>27</v>
      </c>
      <c r="C22" s="51">
        <f>SUM(October11_2021[KSI_AGO])</f>
        <v>1364500</v>
      </c>
      <c r="D22" s="51">
        <f>SUBTOTAL(109,October11_2021[KSI_PMS])</f>
        <v>1341500</v>
      </c>
      <c r="E22" s="51">
        <f>SUM(October11_2021[BUIPE_AGO])</f>
        <v>185000</v>
      </c>
      <c r="F22" s="51">
        <f>SUM(October11_2021[BUIPE_PMS])</f>
        <v>536000</v>
      </c>
      <c r="G22" s="51">
        <f>SUM(October11_2021[AKOSOMBO_AGO])</f>
        <v>374000</v>
      </c>
      <c r="H22" s="52"/>
    </row>
    <row r="23" spans="1:8" x14ac:dyDescent="0.3">
      <c r="B23" s="8"/>
      <c r="C23" s="24"/>
      <c r="D23" s="24"/>
      <c r="E23" s="24"/>
      <c r="F23" s="24"/>
      <c r="G23" s="24"/>
      <c r="H23"/>
    </row>
    <row r="24" spans="1:8" x14ac:dyDescent="0.3">
      <c r="B24" s="1" t="s">
        <v>6</v>
      </c>
      <c r="C24" s="1" t="s">
        <v>4</v>
      </c>
      <c r="D24" s="5">
        <f>SUMIF(October11_2021[[#Headers],[KSI_AGO]:[AKOSOMBO_AGO]],"*"&amp;C24,October11_2021[[#Totals],[KSI_AGO]:[AKOSOMBO_AGO]])</f>
        <v>1923500</v>
      </c>
      <c r="E24" s="1" t="s">
        <v>5</v>
      </c>
      <c r="F24" s="5">
        <f>SUMIF(October11_2021[[#Headers],[KSI_AGO]:[AKOSOMBO_AGO]],"*"&amp;E24,October11_2021[[#Totals],[KSI_AGO]:[AKOSOMBO_AGO]])</f>
        <v>1877500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BE6E0D2-AA35-4337-BA24-7534EACD2992}">
      <formula1>INDIRECT("BDC_List[BDC List]")</formula1>
    </dataValidation>
  </dataValidations>
  <pageMargins left="0.7" right="0.7" top="0.75" bottom="0.75" header="0.3" footer="0.3"/>
  <tableParts count="1">
    <tablePart r:id="rId1"/>
  </tableParts>
</worksheet>
</file>

<file path=xl/worksheets/sheet4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7B5DC-67C1-4899-844D-E99340A205C6}">
  <sheetPr codeName="Sheet451"/>
  <dimension ref="A1:J34"/>
  <sheetViews>
    <sheetView workbookViewId="0">
      <pane xSplit="2" ySplit="5" topLeftCell="F6" activePane="bottomRight" state="frozen"/>
      <selection pane="topRight" activeCell="C1" sqref="C1"/>
      <selection pane="bottomLeft" activeCell="A6" sqref="A6"/>
      <selection pane="bottomRight" activeCell="F15" sqref="F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44481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44481</v>
      </c>
    </row>
    <row r="7" spans="2:10" x14ac:dyDescent="0.3">
      <c r="B7" s="6" t="s">
        <v>37</v>
      </c>
      <c r="C7" s="22"/>
      <c r="D7" s="53"/>
      <c r="E7" s="53"/>
      <c r="F7" s="22"/>
      <c r="G7" s="22"/>
      <c r="H7" s="67">
        <f t="shared" si="0"/>
        <v>44481</v>
      </c>
    </row>
    <row r="8" spans="2:10" x14ac:dyDescent="0.3">
      <c r="B8" s="6" t="s">
        <v>17</v>
      </c>
      <c r="C8" s="22">
        <v>313500</v>
      </c>
      <c r="D8" s="22">
        <v>698000</v>
      </c>
      <c r="E8" s="22"/>
      <c r="F8" s="22"/>
      <c r="G8" s="22"/>
      <c r="H8" s="12">
        <f t="shared" si="0"/>
        <v>44481</v>
      </c>
    </row>
    <row r="9" spans="2:10" ht="15.6" x14ac:dyDescent="0.3">
      <c r="B9" s="34" t="s">
        <v>0</v>
      </c>
      <c r="C9" s="60">
        <v>153000</v>
      </c>
      <c r="D9" s="60"/>
      <c r="E9" s="60"/>
      <c r="F9" s="60">
        <v>216000</v>
      </c>
      <c r="G9" s="61">
        <v>50000</v>
      </c>
      <c r="H9" s="12">
        <f t="shared" si="0"/>
        <v>44481</v>
      </c>
    </row>
    <row r="10" spans="2:10" ht="16.2" customHeight="1" x14ac:dyDescent="0.3">
      <c r="B10" s="6" t="s">
        <v>25</v>
      </c>
      <c r="C10" s="22"/>
      <c r="D10" s="22"/>
      <c r="E10" s="22"/>
      <c r="F10" s="22"/>
      <c r="G10" s="22"/>
      <c r="H10" s="12">
        <f t="shared" si="0"/>
        <v>44481</v>
      </c>
    </row>
    <row r="11" spans="2:10" ht="13.5" customHeight="1" x14ac:dyDescent="0.3">
      <c r="B11" s="6" t="s">
        <v>15</v>
      </c>
      <c r="C11" s="48"/>
      <c r="D11" s="22"/>
      <c r="E11" s="22"/>
      <c r="F11" s="48">
        <v>107000</v>
      </c>
      <c r="G11" s="22"/>
      <c r="H11" s="12">
        <f t="shared" si="0"/>
        <v>44481</v>
      </c>
    </row>
    <row r="12" spans="2:10" x14ac:dyDescent="0.3">
      <c r="B12" s="6" t="s">
        <v>54</v>
      </c>
      <c r="C12" s="22">
        <v>162000</v>
      </c>
      <c r="D12" s="22"/>
      <c r="E12" s="22"/>
      <c r="F12" s="22"/>
      <c r="G12" s="22"/>
      <c r="H12" s="67">
        <f t="shared" si="0"/>
        <v>44481</v>
      </c>
    </row>
    <row r="13" spans="2:10" x14ac:dyDescent="0.3">
      <c r="B13" s="6" t="s">
        <v>26</v>
      </c>
      <c r="C13" s="22"/>
      <c r="D13" s="22">
        <v>45000</v>
      </c>
      <c r="E13" s="22"/>
      <c r="F13" s="22"/>
      <c r="G13" s="22"/>
      <c r="H13" s="12">
        <f t="shared" si="0"/>
        <v>44481</v>
      </c>
    </row>
    <row r="14" spans="2:10" x14ac:dyDescent="0.3">
      <c r="B14" s="6" t="s">
        <v>22</v>
      </c>
      <c r="C14" s="22"/>
      <c r="D14" s="23"/>
      <c r="E14" s="23"/>
      <c r="F14" s="22"/>
      <c r="G14" s="23"/>
      <c r="H14" s="12">
        <f t="shared" si="0"/>
        <v>44481</v>
      </c>
      <c r="J14" s="4"/>
    </row>
    <row r="15" spans="2:10" x14ac:dyDescent="0.3">
      <c r="B15" s="6" t="s">
        <v>61</v>
      </c>
      <c r="C15" s="22"/>
      <c r="D15" s="23"/>
      <c r="E15" s="23"/>
      <c r="F15" s="22"/>
      <c r="G15" s="23"/>
      <c r="H15" s="67">
        <f t="shared" si="0"/>
        <v>44481</v>
      </c>
      <c r="J15" s="4"/>
    </row>
    <row r="16" spans="2:10" x14ac:dyDescent="0.3">
      <c r="B16" s="6" t="s">
        <v>19</v>
      </c>
      <c r="C16" s="22"/>
      <c r="D16" s="22"/>
      <c r="E16" s="22"/>
      <c r="F16" s="22"/>
      <c r="G16" s="22"/>
      <c r="H16" s="12">
        <f t="shared" si="0"/>
        <v>44481</v>
      </c>
    </row>
    <row r="17" spans="1:8" x14ac:dyDescent="0.3">
      <c r="B17" s="6" t="s">
        <v>14</v>
      </c>
      <c r="C17" s="22">
        <v>320000</v>
      </c>
      <c r="D17" s="22">
        <v>378000</v>
      </c>
      <c r="E17" s="22"/>
      <c r="F17" s="22">
        <v>157500</v>
      </c>
      <c r="G17" s="22">
        <v>45000</v>
      </c>
      <c r="H17" s="12">
        <f t="shared" si="0"/>
        <v>44481</v>
      </c>
    </row>
    <row r="18" spans="1:8" x14ac:dyDescent="0.3">
      <c r="B18" s="6" t="s">
        <v>24</v>
      </c>
      <c r="C18" s="49"/>
      <c r="D18" s="22"/>
      <c r="E18" s="22"/>
      <c r="F18" s="49"/>
      <c r="G18" s="22"/>
      <c r="H18" s="12">
        <f t="shared" si="0"/>
        <v>44481</v>
      </c>
    </row>
    <row r="19" spans="1:8" x14ac:dyDescent="0.3">
      <c r="B19" s="6" t="s">
        <v>21</v>
      </c>
      <c r="C19" s="22"/>
      <c r="D19" s="22"/>
      <c r="E19" s="22"/>
      <c r="F19" s="22"/>
      <c r="G19" s="22"/>
      <c r="H19" s="12">
        <f t="shared" si="0"/>
        <v>44481</v>
      </c>
    </row>
    <row r="20" spans="1:8" x14ac:dyDescent="0.3">
      <c r="B20" s="6" t="s">
        <v>18</v>
      </c>
      <c r="C20" s="22"/>
      <c r="D20" s="22"/>
      <c r="E20" s="22"/>
      <c r="F20" s="22">
        <v>54000</v>
      </c>
      <c r="G20" s="22"/>
      <c r="H20" s="12">
        <f t="shared" si="0"/>
        <v>44481</v>
      </c>
    </row>
    <row r="21" spans="1:8" x14ac:dyDescent="0.3">
      <c r="B21" s="6" t="s">
        <v>16</v>
      </c>
      <c r="C21" s="22">
        <v>45000</v>
      </c>
      <c r="D21" s="22"/>
      <c r="E21" s="22"/>
      <c r="F21" s="22"/>
      <c r="G21" s="22"/>
      <c r="H21" s="12">
        <f t="shared" si="0"/>
        <v>44481</v>
      </c>
    </row>
    <row r="22" spans="1:8" x14ac:dyDescent="0.3">
      <c r="B22" s="50" t="s">
        <v>27</v>
      </c>
      <c r="C22" s="51">
        <f>SUM(October12_2021[KSI_AGO])</f>
        <v>993500</v>
      </c>
      <c r="D22" s="51">
        <f>SUBTOTAL(109,October12_2021[KSI_PMS])</f>
        <v>1121000</v>
      </c>
      <c r="E22" s="51">
        <f>SUM(October12_2021[BUIPE_AGO])</f>
        <v>0</v>
      </c>
      <c r="F22" s="51">
        <f>SUM(October12_2021[BUIPE_PMS])</f>
        <v>534500</v>
      </c>
      <c r="G22" s="51">
        <f>SUM(October12_2021[AKOSOMBO_AGO])</f>
        <v>95000</v>
      </c>
      <c r="H22" s="52"/>
    </row>
    <row r="23" spans="1:8" x14ac:dyDescent="0.3">
      <c r="B23" s="8"/>
      <c r="C23" s="24"/>
      <c r="D23" s="24"/>
      <c r="E23" s="24"/>
      <c r="F23" s="24"/>
      <c r="G23" s="24"/>
      <c r="H23"/>
    </row>
    <row r="24" spans="1:8" x14ac:dyDescent="0.3">
      <c r="B24" s="1" t="s">
        <v>6</v>
      </c>
      <c r="C24" s="1" t="s">
        <v>4</v>
      </c>
      <c r="D24" s="5">
        <f>SUMIF(October12_2021[[#Headers],[KSI_AGO]:[AKOSOMBO_AGO]],"*"&amp;C24,October12_2021[[#Totals],[KSI_AGO]:[AKOSOMBO_AGO]])</f>
        <v>1088500</v>
      </c>
      <c r="E24" s="1" t="s">
        <v>5</v>
      </c>
      <c r="F24" s="5">
        <f>SUMIF(October12_2021[[#Headers],[KSI_AGO]:[AKOSOMBO_AGO]],"*"&amp;E24,October12_2021[[#Totals],[KSI_AGO]:[AKOSOMBO_AGO]])</f>
        <v>1655500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C5890E7E-8472-4582-B65F-993F67830F24}">
      <formula1>INDIRECT("BDC_List[BDC List]")</formula1>
    </dataValidation>
  </dataValidations>
  <pageMargins left="0.7" right="0.7" top="0.75" bottom="0.75" header="0.3" footer="0.3"/>
  <legacyDrawing r:id="rId1"/>
  <tableParts count="1">
    <tablePart r:id="rId2"/>
  </tableParts>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FC14D-4F7F-4B0F-A6C1-04E865B977C6}">
  <sheetPr codeName="Sheet452"/>
  <dimension ref="A1:J34"/>
  <sheetViews>
    <sheetView topLeftCell="D1" workbookViewId="0">
      <selection activeCell="E15" sqref="E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44482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44482</v>
      </c>
    </row>
    <row r="7" spans="2:10" x14ac:dyDescent="0.3">
      <c r="B7" s="6" t="s">
        <v>37</v>
      </c>
      <c r="C7" s="22"/>
      <c r="D7" s="53"/>
      <c r="E7" s="53"/>
      <c r="F7" s="22"/>
      <c r="G7" s="22"/>
      <c r="H7" s="67">
        <f t="shared" si="0"/>
        <v>44482</v>
      </c>
    </row>
    <row r="8" spans="2:10" x14ac:dyDescent="0.3">
      <c r="B8" s="6" t="s">
        <v>17</v>
      </c>
      <c r="C8" s="22">
        <v>864000</v>
      </c>
      <c r="D8" s="22">
        <v>378000</v>
      </c>
      <c r="E8" s="22"/>
      <c r="F8" s="22"/>
      <c r="G8" s="22"/>
      <c r="H8" s="12">
        <f t="shared" si="0"/>
        <v>44482</v>
      </c>
    </row>
    <row r="9" spans="2:10" ht="15.6" x14ac:dyDescent="0.3">
      <c r="B9" s="34" t="s">
        <v>0</v>
      </c>
      <c r="C9" s="60"/>
      <c r="D9" s="60"/>
      <c r="E9" s="60"/>
      <c r="F9" s="60"/>
      <c r="G9" s="61">
        <v>50000</v>
      </c>
      <c r="H9" s="12">
        <f t="shared" si="0"/>
        <v>44482</v>
      </c>
    </row>
    <row r="10" spans="2:10" ht="16.2" customHeight="1" x14ac:dyDescent="0.3">
      <c r="B10" s="6" t="s">
        <v>25</v>
      </c>
      <c r="C10" s="22"/>
      <c r="D10" s="22">
        <v>693000</v>
      </c>
      <c r="E10" s="22"/>
      <c r="F10" s="22"/>
      <c r="G10" s="22"/>
      <c r="H10" s="12">
        <f t="shared" si="0"/>
        <v>44482</v>
      </c>
    </row>
    <row r="11" spans="2:10" ht="13.5" customHeight="1" x14ac:dyDescent="0.3">
      <c r="B11" s="6" t="s">
        <v>15</v>
      </c>
      <c r="C11" s="48">
        <v>135000</v>
      </c>
      <c r="D11" s="22"/>
      <c r="E11" s="22"/>
      <c r="F11" s="48"/>
      <c r="G11" s="22"/>
      <c r="H11" s="12">
        <f t="shared" si="0"/>
        <v>44482</v>
      </c>
    </row>
    <row r="12" spans="2:10" x14ac:dyDescent="0.3">
      <c r="B12" s="6" t="s">
        <v>54</v>
      </c>
      <c r="C12" s="22"/>
      <c r="D12" s="22"/>
      <c r="E12" s="22"/>
      <c r="F12" s="22"/>
      <c r="G12" s="22"/>
      <c r="H12" s="67">
        <f t="shared" si="0"/>
        <v>44482</v>
      </c>
    </row>
    <row r="13" spans="2:10" x14ac:dyDescent="0.3">
      <c r="B13" s="6" t="s">
        <v>26</v>
      </c>
      <c r="C13" s="22"/>
      <c r="D13" s="22"/>
      <c r="E13" s="22">
        <v>45000</v>
      </c>
      <c r="F13" s="22"/>
      <c r="G13" s="22"/>
      <c r="H13" s="12">
        <f t="shared" si="0"/>
        <v>44482</v>
      </c>
    </row>
    <row r="14" spans="2:10" x14ac:dyDescent="0.3">
      <c r="B14" s="6" t="s">
        <v>22</v>
      </c>
      <c r="C14" s="22"/>
      <c r="D14" s="23"/>
      <c r="E14" s="23"/>
      <c r="F14" s="22"/>
      <c r="G14" s="23"/>
      <c r="H14" s="12">
        <f t="shared" si="0"/>
        <v>44482</v>
      </c>
      <c r="J14" s="4"/>
    </row>
    <row r="15" spans="2:10" x14ac:dyDescent="0.3">
      <c r="B15" s="6" t="s">
        <v>61</v>
      </c>
      <c r="C15" s="22"/>
      <c r="D15" s="23"/>
      <c r="E15" s="23"/>
      <c r="F15" s="22"/>
      <c r="G15" s="23"/>
      <c r="H15" s="67">
        <f t="shared" si="0"/>
        <v>44482</v>
      </c>
      <c r="J15" s="4"/>
    </row>
    <row r="16" spans="2:10" x14ac:dyDescent="0.3">
      <c r="B16" s="6" t="s">
        <v>19</v>
      </c>
      <c r="C16" s="22">
        <v>104000</v>
      </c>
      <c r="D16" s="22"/>
      <c r="E16" s="22"/>
      <c r="F16" s="22"/>
      <c r="G16" s="22"/>
      <c r="H16" s="12">
        <f t="shared" si="0"/>
        <v>44482</v>
      </c>
    </row>
    <row r="17" spans="1:8" x14ac:dyDescent="0.3">
      <c r="B17" s="6" t="s">
        <v>14</v>
      </c>
      <c r="C17" s="22">
        <v>216000</v>
      </c>
      <c r="D17" s="22"/>
      <c r="E17" s="22"/>
      <c r="F17" s="22"/>
      <c r="G17" s="22">
        <v>45000</v>
      </c>
      <c r="H17" s="12">
        <f t="shared" si="0"/>
        <v>44482</v>
      </c>
    </row>
    <row r="18" spans="1:8" x14ac:dyDescent="0.3">
      <c r="B18" s="6" t="s">
        <v>24</v>
      </c>
      <c r="C18" s="49"/>
      <c r="D18" s="22"/>
      <c r="E18" s="22"/>
      <c r="F18" s="49"/>
      <c r="G18" s="22"/>
      <c r="H18" s="12">
        <f t="shared" si="0"/>
        <v>44482</v>
      </c>
    </row>
    <row r="19" spans="1:8" x14ac:dyDescent="0.3">
      <c r="B19" s="6" t="s">
        <v>21</v>
      </c>
      <c r="C19" s="22"/>
      <c r="D19" s="22"/>
      <c r="E19" s="22"/>
      <c r="F19" s="22"/>
      <c r="G19" s="22"/>
      <c r="H19" s="12">
        <f t="shared" si="0"/>
        <v>44482</v>
      </c>
    </row>
    <row r="20" spans="1:8" x14ac:dyDescent="0.3">
      <c r="B20" s="6" t="s">
        <v>18</v>
      </c>
      <c r="C20" s="22"/>
      <c r="D20" s="22"/>
      <c r="E20" s="22"/>
      <c r="F20" s="22"/>
      <c r="G20" s="22"/>
      <c r="H20" s="12">
        <f t="shared" si="0"/>
        <v>44482</v>
      </c>
    </row>
    <row r="21" spans="1:8" x14ac:dyDescent="0.3">
      <c r="B21" s="6" t="s">
        <v>16</v>
      </c>
      <c r="C21" s="22"/>
      <c r="D21" s="22"/>
      <c r="E21" s="22"/>
      <c r="F21" s="22"/>
      <c r="G21" s="22"/>
      <c r="H21" s="12">
        <f t="shared" si="0"/>
        <v>44482</v>
      </c>
    </row>
    <row r="22" spans="1:8" x14ac:dyDescent="0.3">
      <c r="B22" s="50" t="s">
        <v>27</v>
      </c>
      <c r="C22" s="51">
        <f>SUM(October13_2021[KSI_AGO])</f>
        <v>1319000</v>
      </c>
      <c r="D22" s="51">
        <f>SUBTOTAL(109,October13_2021[KSI_PMS])</f>
        <v>1071000</v>
      </c>
      <c r="E22" s="51">
        <f>SUM(October13_2021[BUIPE_AGO])</f>
        <v>45000</v>
      </c>
      <c r="F22" s="51">
        <f>SUM(October13_2021[BUIPE_PMS])</f>
        <v>0</v>
      </c>
      <c r="G22" s="51">
        <f>SUM(October13_2021[AKOSOMBO_AGO])</f>
        <v>95000</v>
      </c>
      <c r="H22" s="52"/>
    </row>
    <row r="23" spans="1:8" x14ac:dyDescent="0.3">
      <c r="B23" s="8"/>
      <c r="C23" s="24"/>
      <c r="D23" s="24"/>
      <c r="E23" s="24"/>
      <c r="F23" s="24"/>
      <c r="G23" s="24"/>
      <c r="H23"/>
    </row>
    <row r="24" spans="1:8" x14ac:dyDescent="0.3">
      <c r="B24" s="1" t="s">
        <v>6</v>
      </c>
      <c r="C24" s="1" t="s">
        <v>4</v>
      </c>
      <c r="D24" s="5">
        <f>SUMIF(October13_2021[[#Headers],[KSI_AGO]:[AKOSOMBO_AGO]],"*"&amp;C24,October13_2021[[#Totals],[KSI_AGO]:[AKOSOMBO_AGO]])</f>
        <v>1459000</v>
      </c>
      <c r="E24" s="1" t="s">
        <v>5</v>
      </c>
      <c r="F24" s="5">
        <f>SUMIF(October13_2021[[#Headers],[KSI_AGO]:[AKOSOMBO_AGO]],"*"&amp;E24,October13_2021[[#Totals],[KSI_AGO]:[AKOSOMBO_AGO]])</f>
        <v>1071000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9DD74FD2-3756-4BF9-8956-2942936A4651}">
      <formula1>INDIRECT("BDC_List[BDC List]")</formula1>
    </dataValidation>
  </dataValidations>
  <pageMargins left="0.7" right="0.7" top="0.75" bottom="0.75" header="0.3" footer="0.3"/>
  <tableParts count="1">
    <tablePart r:id="rId1"/>
  </tableParts>
</worksheet>
</file>

<file path=xl/worksheets/sheet4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BF8AC-BBDA-4BCB-8B32-75742DF3BD1C}">
  <sheetPr codeName="Sheet453"/>
  <dimension ref="A1:J34"/>
  <sheetViews>
    <sheetView topLeftCell="D1" workbookViewId="0">
      <selection activeCell="G10" sqref="G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44483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44483</v>
      </c>
    </row>
    <row r="7" spans="2:10" x14ac:dyDescent="0.3">
      <c r="B7" s="6" t="s">
        <v>37</v>
      </c>
      <c r="C7" s="22"/>
      <c r="D7" s="53"/>
      <c r="E7" s="53"/>
      <c r="F7" s="22"/>
      <c r="G7" s="22"/>
      <c r="H7" s="67">
        <f t="shared" si="0"/>
        <v>44483</v>
      </c>
    </row>
    <row r="8" spans="2:10" x14ac:dyDescent="0.3">
      <c r="B8" s="6" t="s">
        <v>17</v>
      </c>
      <c r="C8" s="22">
        <v>792500</v>
      </c>
      <c r="D8" s="22">
        <v>49500</v>
      </c>
      <c r="E8" s="22"/>
      <c r="F8" s="22"/>
      <c r="G8" s="22"/>
      <c r="H8" s="12">
        <f t="shared" si="0"/>
        <v>44483</v>
      </c>
    </row>
    <row r="9" spans="2:10" ht="15.6" x14ac:dyDescent="0.3">
      <c r="B9" s="34" t="s">
        <v>0</v>
      </c>
      <c r="C9" s="60"/>
      <c r="D9" s="60"/>
      <c r="E9" s="60"/>
      <c r="F9" s="60">
        <v>270000</v>
      </c>
      <c r="G9" s="61">
        <v>50000</v>
      </c>
      <c r="H9" s="12">
        <f t="shared" si="0"/>
        <v>44483</v>
      </c>
    </row>
    <row r="10" spans="2:10" ht="16.2" customHeight="1" x14ac:dyDescent="0.3">
      <c r="B10" s="6" t="s">
        <v>25</v>
      </c>
      <c r="C10" s="22"/>
      <c r="D10" s="22">
        <v>864000</v>
      </c>
      <c r="E10" s="22"/>
      <c r="F10" s="22"/>
      <c r="G10" s="22"/>
      <c r="H10" s="12">
        <f t="shared" si="0"/>
        <v>44483</v>
      </c>
    </row>
    <row r="11" spans="2:10" ht="13.5" customHeight="1" x14ac:dyDescent="0.3">
      <c r="B11" s="6" t="s">
        <v>15</v>
      </c>
      <c r="C11" s="48"/>
      <c r="D11" s="22"/>
      <c r="E11" s="22"/>
      <c r="F11" s="48"/>
      <c r="G11" s="22"/>
      <c r="H11" s="12">
        <f t="shared" si="0"/>
        <v>44483</v>
      </c>
    </row>
    <row r="12" spans="2:10" x14ac:dyDescent="0.3">
      <c r="B12" s="6" t="s">
        <v>54</v>
      </c>
      <c r="C12" s="22"/>
      <c r="D12" s="22"/>
      <c r="E12" s="22"/>
      <c r="F12" s="22"/>
      <c r="G12" s="22"/>
      <c r="H12" s="67">
        <f t="shared" si="0"/>
        <v>44483</v>
      </c>
    </row>
    <row r="13" spans="2:10" x14ac:dyDescent="0.3">
      <c r="B13" s="6" t="s">
        <v>26</v>
      </c>
      <c r="C13" s="22"/>
      <c r="D13" s="22">
        <v>45000</v>
      </c>
      <c r="E13" s="22"/>
      <c r="F13" s="22">
        <v>108000</v>
      </c>
      <c r="G13" s="22"/>
      <c r="H13" s="12">
        <f t="shared" si="0"/>
        <v>44483</v>
      </c>
    </row>
    <row r="14" spans="2:10" x14ac:dyDescent="0.3">
      <c r="B14" s="6" t="s">
        <v>22</v>
      </c>
      <c r="C14" s="22"/>
      <c r="D14" s="23"/>
      <c r="E14" s="23"/>
      <c r="F14" s="22"/>
      <c r="G14" s="23"/>
      <c r="H14" s="12">
        <f t="shared" si="0"/>
        <v>44483</v>
      </c>
      <c r="J14" s="4"/>
    </row>
    <row r="15" spans="2:10" x14ac:dyDescent="0.3">
      <c r="B15" s="6" t="s">
        <v>61</v>
      </c>
      <c r="C15" s="22"/>
      <c r="D15" s="23"/>
      <c r="E15" s="23"/>
      <c r="F15" s="22"/>
      <c r="G15" s="23"/>
      <c r="H15" s="67">
        <f t="shared" si="0"/>
        <v>44483</v>
      </c>
      <c r="J15" s="4"/>
    </row>
    <row r="16" spans="2:10" x14ac:dyDescent="0.3">
      <c r="B16" s="6" t="s">
        <v>19</v>
      </c>
      <c r="C16" s="22">
        <v>918000</v>
      </c>
      <c r="D16" s="22">
        <v>864000</v>
      </c>
      <c r="E16" s="22"/>
      <c r="F16" s="22"/>
      <c r="G16" s="22"/>
      <c r="H16" s="12">
        <f t="shared" si="0"/>
        <v>44483</v>
      </c>
    </row>
    <row r="17" spans="1:8" x14ac:dyDescent="0.3">
      <c r="B17" s="6" t="s">
        <v>14</v>
      </c>
      <c r="C17" s="22">
        <v>45000</v>
      </c>
      <c r="D17" s="22">
        <v>108000</v>
      </c>
      <c r="E17" s="22"/>
      <c r="F17" s="22">
        <v>108000</v>
      </c>
      <c r="G17" s="22">
        <v>45000</v>
      </c>
      <c r="H17" s="12">
        <f t="shared" si="0"/>
        <v>44483</v>
      </c>
    </row>
    <row r="18" spans="1:8" x14ac:dyDescent="0.3">
      <c r="B18" s="6" t="s">
        <v>24</v>
      </c>
      <c r="C18" s="49"/>
      <c r="D18" s="22"/>
      <c r="E18" s="22"/>
      <c r="F18" s="49"/>
      <c r="G18" s="22"/>
      <c r="H18" s="12">
        <f t="shared" si="0"/>
        <v>44483</v>
      </c>
    </row>
    <row r="19" spans="1:8" x14ac:dyDescent="0.3">
      <c r="B19" s="6" t="s">
        <v>21</v>
      </c>
      <c r="C19" s="22"/>
      <c r="D19" s="22"/>
      <c r="E19" s="22"/>
      <c r="F19" s="22"/>
      <c r="G19" s="22"/>
      <c r="H19" s="12">
        <f t="shared" si="0"/>
        <v>44483</v>
      </c>
    </row>
    <row r="20" spans="1:8" x14ac:dyDescent="0.3">
      <c r="B20" s="6" t="s">
        <v>18</v>
      </c>
      <c r="C20" s="22"/>
      <c r="D20" s="22"/>
      <c r="E20" s="22"/>
      <c r="F20" s="22"/>
      <c r="G20" s="22"/>
      <c r="H20" s="12">
        <f t="shared" si="0"/>
        <v>44483</v>
      </c>
    </row>
    <row r="21" spans="1:8" x14ac:dyDescent="0.3">
      <c r="B21" s="6" t="s">
        <v>16</v>
      </c>
      <c r="C21" s="22">
        <v>49500</v>
      </c>
      <c r="D21" s="22"/>
      <c r="E21" s="22"/>
      <c r="F21" s="22"/>
      <c r="G21" s="22"/>
      <c r="H21" s="12">
        <f t="shared" si="0"/>
        <v>44483</v>
      </c>
    </row>
    <row r="22" spans="1:8" x14ac:dyDescent="0.3">
      <c r="B22" s="50" t="s">
        <v>27</v>
      </c>
      <c r="C22" s="51">
        <f>SUM(October14_2021[KSI_AGO])</f>
        <v>1805000</v>
      </c>
      <c r="D22" s="51">
        <f>SUBTOTAL(109,October14_2021[KSI_PMS])</f>
        <v>1930500</v>
      </c>
      <c r="E22" s="51">
        <f>SUM(October14_2021[BUIPE_AGO])</f>
        <v>0</v>
      </c>
      <c r="F22" s="51">
        <f>SUM(October14_2021[BUIPE_PMS])</f>
        <v>486000</v>
      </c>
      <c r="G22" s="51">
        <f>SUM(October14_2021[AKOSOMBO_AGO])</f>
        <v>95000</v>
      </c>
      <c r="H22" s="52"/>
    </row>
    <row r="23" spans="1:8" x14ac:dyDescent="0.3">
      <c r="B23" s="8"/>
      <c r="C23" s="24"/>
      <c r="D23" s="24"/>
      <c r="E23" s="24"/>
      <c r="F23" s="24"/>
      <c r="G23" s="24"/>
      <c r="H23"/>
    </row>
    <row r="24" spans="1:8" x14ac:dyDescent="0.3">
      <c r="B24" s="1" t="s">
        <v>6</v>
      </c>
      <c r="C24" s="1" t="s">
        <v>4</v>
      </c>
      <c r="D24" s="5">
        <f>SUMIF(October14_2021[[#Headers],[KSI_AGO]:[AKOSOMBO_AGO]],"*"&amp;C24,October14_2021[[#Totals],[KSI_AGO]:[AKOSOMBO_AGO]])</f>
        <v>1900000</v>
      </c>
      <c r="E24" s="1" t="s">
        <v>5</v>
      </c>
      <c r="F24" s="5">
        <f>SUMIF(October14_2021[[#Headers],[KSI_AGO]:[AKOSOMBO_AGO]],"*"&amp;E24,October14_2021[[#Totals],[KSI_AGO]:[AKOSOMBO_AGO]])</f>
        <v>2416500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0BC72666-5975-4606-9EFB-92515D9EE43D}">
      <formula1>INDIRECT("BDC_List[BDC List]")</formula1>
    </dataValidation>
  </dataValidations>
  <pageMargins left="0.7" right="0.7" top="0.75" bottom="0.75" header="0.3" footer="0.3"/>
  <legacyDrawing r:id="rId1"/>
  <tableParts count="1">
    <tablePart r:id="rId2"/>
  </tableParts>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1FAA-602A-4AED-BDBB-076AE413E47E}">
  <sheetPr codeName="Sheet454"/>
  <dimension ref="A1:J34"/>
  <sheetViews>
    <sheetView topLeftCell="C1" workbookViewId="0">
      <selection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44484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44484</v>
      </c>
    </row>
    <row r="7" spans="2:10" x14ac:dyDescent="0.3">
      <c r="B7" s="6" t="s">
        <v>37</v>
      </c>
      <c r="C7" s="22"/>
      <c r="D7" s="53"/>
      <c r="E7" s="53"/>
      <c r="F7" s="22"/>
      <c r="G7" s="22"/>
      <c r="H7" s="67">
        <f t="shared" si="0"/>
        <v>44484</v>
      </c>
    </row>
    <row r="8" spans="2:10" x14ac:dyDescent="0.3">
      <c r="B8" s="6" t="s">
        <v>17</v>
      </c>
      <c r="C8" s="22">
        <v>316000</v>
      </c>
      <c r="D8" s="22">
        <v>54000</v>
      </c>
      <c r="E8" s="22"/>
      <c r="F8" s="22"/>
      <c r="G8" s="22"/>
      <c r="H8" s="12">
        <f t="shared" si="0"/>
        <v>44484</v>
      </c>
    </row>
    <row r="9" spans="2:10" ht="15.6" x14ac:dyDescent="0.3">
      <c r="B9" s="34" t="s">
        <v>0</v>
      </c>
      <c r="C9" s="60"/>
      <c r="D9" s="60">
        <v>90000</v>
      </c>
      <c r="E9" s="60"/>
      <c r="F9" s="60">
        <v>104000</v>
      </c>
      <c r="G9" s="61"/>
      <c r="H9" s="12">
        <f t="shared" si="0"/>
        <v>44484</v>
      </c>
    </row>
    <row r="10" spans="2:10" ht="16.2" customHeight="1" x14ac:dyDescent="0.3">
      <c r="B10" s="6" t="s">
        <v>25</v>
      </c>
      <c r="C10" s="22"/>
      <c r="D10" s="22">
        <v>1021500</v>
      </c>
      <c r="E10" s="22"/>
      <c r="F10" s="22"/>
      <c r="G10" s="22"/>
      <c r="H10" s="12">
        <f t="shared" si="0"/>
        <v>44484</v>
      </c>
    </row>
    <row r="11" spans="2:10" ht="13.5" customHeight="1" x14ac:dyDescent="0.3">
      <c r="B11" s="6" t="s">
        <v>15</v>
      </c>
      <c r="C11" s="48"/>
      <c r="D11" s="22"/>
      <c r="E11" s="22"/>
      <c r="F11" s="48"/>
      <c r="G11" s="22"/>
      <c r="H11" s="12">
        <f t="shared" si="0"/>
        <v>44484</v>
      </c>
    </row>
    <row r="12" spans="2:10" x14ac:dyDescent="0.3">
      <c r="B12" s="6" t="s">
        <v>54</v>
      </c>
      <c r="C12" s="22"/>
      <c r="D12" s="22"/>
      <c r="E12" s="22"/>
      <c r="F12" s="22"/>
      <c r="G12" s="22"/>
      <c r="H12" s="67">
        <f t="shared" si="0"/>
        <v>44484</v>
      </c>
    </row>
    <row r="13" spans="2:10" x14ac:dyDescent="0.3">
      <c r="B13" s="6" t="s">
        <v>26</v>
      </c>
      <c r="C13" s="22"/>
      <c r="D13" s="22"/>
      <c r="E13" s="22"/>
      <c r="F13" s="22">
        <v>162000</v>
      </c>
      <c r="G13" s="22"/>
      <c r="H13" s="12">
        <f t="shared" si="0"/>
        <v>44484</v>
      </c>
    </row>
    <row r="14" spans="2:10" x14ac:dyDescent="0.3">
      <c r="B14" s="6" t="s">
        <v>22</v>
      </c>
      <c r="C14" s="22"/>
      <c r="D14" s="23"/>
      <c r="E14" s="23"/>
      <c r="F14" s="22"/>
      <c r="G14" s="23"/>
      <c r="H14" s="12">
        <f t="shared" si="0"/>
        <v>44484</v>
      </c>
      <c r="J14" s="4"/>
    </row>
    <row r="15" spans="2:10" x14ac:dyDescent="0.3">
      <c r="B15" s="6" t="s">
        <v>61</v>
      </c>
      <c r="C15" s="22"/>
      <c r="D15" s="23"/>
      <c r="E15" s="23"/>
      <c r="F15" s="22"/>
      <c r="G15" s="23"/>
      <c r="H15" s="67">
        <f t="shared" si="0"/>
        <v>44484</v>
      </c>
      <c r="J15" s="4"/>
    </row>
    <row r="16" spans="2:10" x14ac:dyDescent="0.3">
      <c r="B16" s="6" t="s">
        <v>19</v>
      </c>
      <c r="C16" s="22">
        <v>917500</v>
      </c>
      <c r="D16" s="22">
        <v>306000</v>
      </c>
      <c r="E16" s="22"/>
      <c r="F16" s="22"/>
      <c r="G16" s="22"/>
      <c r="H16" s="12">
        <f t="shared" si="0"/>
        <v>44484</v>
      </c>
    </row>
    <row r="17" spans="1:8" x14ac:dyDescent="0.3">
      <c r="B17" s="6" t="s">
        <v>14</v>
      </c>
      <c r="C17" s="22">
        <v>54000</v>
      </c>
      <c r="D17" s="22"/>
      <c r="E17" s="22"/>
      <c r="F17" s="22"/>
      <c r="G17" s="22"/>
      <c r="H17" s="12">
        <f t="shared" si="0"/>
        <v>44484</v>
      </c>
    </row>
    <row r="18" spans="1:8" x14ac:dyDescent="0.3">
      <c r="B18" s="6" t="s">
        <v>24</v>
      </c>
      <c r="C18" s="49"/>
      <c r="D18" s="22"/>
      <c r="E18" s="22"/>
      <c r="F18" s="49"/>
      <c r="G18" s="22"/>
      <c r="H18" s="12">
        <f t="shared" si="0"/>
        <v>44484</v>
      </c>
    </row>
    <row r="19" spans="1:8" x14ac:dyDescent="0.3">
      <c r="B19" s="6" t="s">
        <v>21</v>
      </c>
      <c r="C19" s="22"/>
      <c r="D19" s="22"/>
      <c r="E19" s="22"/>
      <c r="F19" s="22"/>
      <c r="G19" s="22"/>
      <c r="H19" s="12">
        <f t="shared" si="0"/>
        <v>44484</v>
      </c>
    </row>
    <row r="20" spans="1:8" x14ac:dyDescent="0.3">
      <c r="B20" s="6" t="s">
        <v>18</v>
      </c>
      <c r="C20" s="22"/>
      <c r="D20" s="22"/>
      <c r="E20" s="22"/>
      <c r="F20" s="22"/>
      <c r="G20" s="22"/>
      <c r="H20" s="12">
        <f t="shared" si="0"/>
        <v>44484</v>
      </c>
    </row>
    <row r="21" spans="1:8" x14ac:dyDescent="0.3">
      <c r="B21" s="6" t="s">
        <v>16</v>
      </c>
      <c r="C21" s="22"/>
      <c r="D21" s="22"/>
      <c r="E21" s="22"/>
      <c r="F21" s="22"/>
      <c r="G21" s="22"/>
      <c r="H21" s="12">
        <f t="shared" si="0"/>
        <v>44484</v>
      </c>
    </row>
    <row r="22" spans="1:8" x14ac:dyDescent="0.3">
      <c r="B22" s="50" t="s">
        <v>27</v>
      </c>
      <c r="C22" s="51">
        <f>SUM(October15_2021[KSI_AGO])</f>
        <v>1287500</v>
      </c>
      <c r="D22" s="51">
        <f>SUBTOTAL(109,October15_2021[KSI_PMS])</f>
        <v>1471500</v>
      </c>
      <c r="E22" s="51">
        <f>SUM(October15_2021[BUIPE_AGO])</f>
        <v>0</v>
      </c>
      <c r="F22" s="51">
        <f>SUM(October15_2021[BUIPE_PMS])</f>
        <v>266000</v>
      </c>
      <c r="G22" s="51">
        <f>SUM(October15_2021[AKOSOMBO_AGO])</f>
        <v>0</v>
      </c>
      <c r="H22" s="52"/>
    </row>
    <row r="23" spans="1:8" x14ac:dyDescent="0.3">
      <c r="B23" s="8"/>
      <c r="C23" s="24"/>
      <c r="D23" s="24"/>
      <c r="E23" s="24"/>
      <c r="F23" s="24"/>
      <c r="G23" s="24"/>
      <c r="H23"/>
    </row>
    <row r="24" spans="1:8" x14ac:dyDescent="0.3">
      <c r="B24" s="1" t="s">
        <v>6</v>
      </c>
      <c r="C24" s="1" t="s">
        <v>4</v>
      </c>
      <c r="D24" s="5">
        <f>SUMIF(October15_2021[[#Headers],[KSI_AGO]:[AKOSOMBO_AGO]],"*"&amp;C24,October15_2021[[#Totals],[KSI_AGO]:[AKOSOMBO_AGO]])</f>
        <v>1287500</v>
      </c>
      <c r="E24" s="1" t="s">
        <v>5</v>
      </c>
      <c r="F24" s="5">
        <f>SUMIF(October15_2021[[#Headers],[KSI_AGO]:[AKOSOMBO_AGO]],"*"&amp;E24,October15_2021[[#Totals],[KSI_AGO]:[AKOSOMBO_AGO]])</f>
        <v>1737500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E2D8AF96-4992-47D9-9C33-D1A887E7FEBC}">
      <formula1>INDIRECT("BDC_List[BDC List]")</formula1>
    </dataValidation>
  </dataValidations>
  <pageMargins left="0.7" right="0.7" top="0.75" bottom="0.75" header="0.3" footer="0.3"/>
  <tableParts count="1">
    <tablePart r:id="rId1"/>
  </tableParts>
</worksheet>
</file>

<file path=xl/worksheets/sheet4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966B-DA51-4772-AEB7-B2F74B15419B}">
  <sheetPr codeName="Sheet455"/>
  <dimension ref="A1:J34"/>
  <sheetViews>
    <sheetView topLeftCell="D1" workbookViewId="0">
      <selection activeCell="G19" sqref="G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44489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44489</v>
      </c>
    </row>
    <row r="7" spans="2:10" x14ac:dyDescent="0.3">
      <c r="B7" s="6" t="s">
        <v>37</v>
      </c>
      <c r="C7" s="22">
        <v>108000</v>
      </c>
      <c r="D7" s="53"/>
      <c r="E7" s="53"/>
      <c r="F7" s="22"/>
      <c r="G7" s="22"/>
      <c r="H7" s="67">
        <f t="shared" si="0"/>
        <v>44489</v>
      </c>
    </row>
    <row r="8" spans="2:10" x14ac:dyDescent="0.3">
      <c r="B8" s="6" t="s">
        <v>17</v>
      </c>
      <c r="C8" s="22">
        <v>54000</v>
      </c>
      <c r="D8" s="22"/>
      <c r="E8" s="22"/>
      <c r="F8" s="22"/>
      <c r="G8" s="22"/>
      <c r="H8" s="12">
        <f t="shared" si="0"/>
        <v>44489</v>
      </c>
    </row>
    <row r="9" spans="2:10" ht="15.6" x14ac:dyDescent="0.3">
      <c r="B9" s="34" t="s">
        <v>0</v>
      </c>
      <c r="C9" s="60"/>
      <c r="D9" s="60"/>
      <c r="E9" s="60"/>
      <c r="F9" s="60"/>
      <c r="G9" s="61"/>
      <c r="H9" s="12">
        <f t="shared" si="0"/>
        <v>44489</v>
      </c>
    </row>
    <row r="10" spans="2:10" ht="16.2" customHeight="1" x14ac:dyDescent="0.3">
      <c r="B10" s="6" t="s">
        <v>25</v>
      </c>
      <c r="C10" s="22"/>
      <c r="D10" s="22">
        <v>216000</v>
      </c>
      <c r="E10" s="22"/>
      <c r="F10" s="22"/>
      <c r="G10" s="22"/>
      <c r="H10" s="12">
        <f t="shared" si="0"/>
        <v>44489</v>
      </c>
    </row>
    <row r="11" spans="2:10" ht="13.5" customHeight="1" x14ac:dyDescent="0.3">
      <c r="B11" s="6" t="s">
        <v>15</v>
      </c>
      <c r="C11" s="48"/>
      <c r="D11" s="22"/>
      <c r="E11" s="22"/>
      <c r="F11" s="48"/>
      <c r="G11" s="22"/>
      <c r="H11" s="12">
        <f t="shared" si="0"/>
        <v>44489</v>
      </c>
    </row>
    <row r="12" spans="2:10" x14ac:dyDescent="0.3">
      <c r="B12" s="6" t="s">
        <v>54</v>
      </c>
      <c r="C12" s="22"/>
      <c r="D12" s="22"/>
      <c r="E12" s="22"/>
      <c r="F12" s="22"/>
      <c r="G12" s="22"/>
      <c r="H12" s="67">
        <f t="shared" si="0"/>
        <v>44489</v>
      </c>
    </row>
    <row r="13" spans="2:10" x14ac:dyDescent="0.3">
      <c r="B13" s="6" t="s">
        <v>26</v>
      </c>
      <c r="C13" s="22"/>
      <c r="D13" s="22"/>
      <c r="E13" s="22"/>
      <c r="F13" s="22"/>
      <c r="G13" s="22"/>
      <c r="H13" s="12">
        <f t="shared" si="0"/>
        <v>44489</v>
      </c>
    </row>
    <row r="14" spans="2:10" x14ac:dyDescent="0.3">
      <c r="B14" s="6" t="s">
        <v>22</v>
      </c>
      <c r="C14" s="22"/>
      <c r="D14" s="23">
        <v>108000</v>
      </c>
      <c r="E14" s="23"/>
      <c r="F14" s="22"/>
      <c r="G14" s="23"/>
      <c r="H14" s="12">
        <f t="shared" si="0"/>
        <v>44489</v>
      </c>
      <c r="J14" s="4"/>
    </row>
    <row r="15" spans="2:10" x14ac:dyDescent="0.3">
      <c r="B15" s="6" t="s">
        <v>61</v>
      </c>
      <c r="C15" s="22"/>
      <c r="D15" s="23"/>
      <c r="E15" s="23"/>
      <c r="F15" s="22"/>
      <c r="G15" s="23"/>
      <c r="H15" s="67">
        <f t="shared" si="0"/>
        <v>44489</v>
      </c>
      <c r="J15" s="4"/>
    </row>
    <row r="16" spans="2:10" x14ac:dyDescent="0.3">
      <c r="B16" s="6" t="s">
        <v>19</v>
      </c>
      <c r="C16" s="22">
        <v>54000</v>
      </c>
      <c r="D16" s="22">
        <v>594000</v>
      </c>
      <c r="E16" s="22"/>
      <c r="F16" s="22"/>
      <c r="G16" s="22"/>
      <c r="H16" s="12">
        <f t="shared" si="0"/>
        <v>44489</v>
      </c>
    </row>
    <row r="17" spans="1:8" x14ac:dyDescent="0.3">
      <c r="B17" s="6" t="s">
        <v>14</v>
      </c>
      <c r="C17" s="22"/>
      <c r="D17" s="22"/>
      <c r="E17" s="22"/>
      <c r="F17" s="22"/>
      <c r="G17" s="22">
        <v>194000</v>
      </c>
      <c r="H17" s="12">
        <f t="shared" si="0"/>
        <v>44489</v>
      </c>
    </row>
    <row r="18" spans="1:8" x14ac:dyDescent="0.3">
      <c r="B18" s="6" t="s">
        <v>24</v>
      </c>
      <c r="C18" s="49"/>
      <c r="D18" s="22"/>
      <c r="E18" s="22"/>
      <c r="F18" s="49"/>
      <c r="G18" s="22"/>
      <c r="H18" s="12">
        <f t="shared" si="0"/>
        <v>44489</v>
      </c>
    </row>
    <row r="19" spans="1:8" x14ac:dyDescent="0.3">
      <c r="B19" s="6" t="s">
        <v>21</v>
      </c>
      <c r="C19" s="22"/>
      <c r="D19" s="22"/>
      <c r="E19" s="22"/>
      <c r="F19" s="22"/>
      <c r="G19" s="22"/>
      <c r="H19" s="12">
        <f t="shared" si="0"/>
        <v>44489</v>
      </c>
    </row>
    <row r="20" spans="1:8" x14ac:dyDescent="0.3">
      <c r="B20" s="6" t="s">
        <v>18</v>
      </c>
      <c r="C20" s="22"/>
      <c r="D20" s="22"/>
      <c r="E20" s="22"/>
      <c r="F20" s="22"/>
      <c r="G20" s="22"/>
      <c r="H20" s="12">
        <f t="shared" si="0"/>
        <v>44489</v>
      </c>
    </row>
    <row r="21" spans="1:8" x14ac:dyDescent="0.3">
      <c r="B21" s="6" t="s">
        <v>16</v>
      </c>
      <c r="C21" s="22"/>
      <c r="D21" s="22"/>
      <c r="E21" s="22"/>
      <c r="F21" s="22"/>
      <c r="G21" s="22"/>
      <c r="H21" s="12">
        <f t="shared" si="0"/>
        <v>44489</v>
      </c>
    </row>
    <row r="22" spans="1:8" x14ac:dyDescent="0.3">
      <c r="B22" s="50" t="s">
        <v>27</v>
      </c>
      <c r="C22" s="51">
        <f>SUM(October20_2021[KSI_AGO])</f>
        <v>216000</v>
      </c>
      <c r="D22" s="51">
        <f>SUBTOTAL(109,October20_2021[KSI_PMS])</f>
        <v>918000</v>
      </c>
      <c r="E22" s="51">
        <f>SUM(October20_2021[BUIPE_AGO])</f>
        <v>0</v>
      </c>
      <c r="F22" s="51">
        <f>SUM(October20_2021[BUIPE_PMS])</f>
        <v>0</v>
      </c>
      <c r="G22" s="51">
        <f>SUM(October20_2021[AKOSOMBO_AGO])</f>
        <v>194000</v>
      </c>
      <c r="H22" s="52"/>
    </row>
    <row r="23" spans="1:8" x14ac:dyDescent="0.3">
      <c r="B23" s="8"/>
      <c r="C23" s="24"/>
      <c r="D23" s="24"/>
      <c r="E23" s="24"/>
      <c r="F23" s="24"/>
      <c r="G23" s="24"/>
      <c r="H23"/>
    </row>
    <row r="24" spans="1:8" x14ac:dyDescent="0.3">
      <c r="B24" s="1" t="s">
        <v>6</v>
      </c>
      <c r="C24" s="1" t="s">
        <v>4</v>
      </c>
      <c r="D24" s="5">
        <f>SUMIF(October20_2021[[#Headers],[KSI_AGO]:[AKOSOMBO_AGO]],"*"&amp;C24,October20_2021[[#Totals],[KSI_AGO]:[AKOSOMBO_AGO]])</f>
        <v>410000</v>
      </c>
      <c r="E24" s="1" t="s">
        <v>5</v>
      </c>
      <c r="F24" s="5">
        <f>SUMIF(October20_2021[[#Headers],[KSI_AGO]:[AKOSOMBO_AGO]],"*"&amp;E24,October20_2021[[#Totals],[KSI_AGO]:[AKOSOMBO_AGO]])</f>
        <v>918000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731A1F18-0004-408F-830E-24F7386EC299}">
      <formula1>INDIRECT("BDC_List[BDC List]")</formula1>
    </dataValidation>
  </dataValidations>
  <pageMargins left="0.7" right="0.7" top="0.75" bottom="0.75" header="0.3" footer="0.3"/>
  <legacyDrawing r:id="rId1"/>
  <tableParts count="1">
    <tablePart r:id="rId2"/>
  </tableParts>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CF13-04C7-433D-8F99-58B74A23F2F9}">
  <sheetPr codeName="Sheet456"/>
  <dimension ref="A1:J34"/>
  <sheetViews>
    <sheetView topLeftCell="C1" workbookViewId="0">
      <selection activeCell="F14" sqref="F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44490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44490</v>
      </c>
    </row>
    <row r="7" spans="2:10" x14ac:dyDescent="0.3">
      <c r="B7" s="6" t="s">
        <v>37</v>
      </c>
      <c r="C7" s="22"/>
      <c r="D7" s="53"/>
      <c r="E7" s="53"/>
      <c r="F7" s="22"/>
      <c r="G7" s="22"/>
      <c r="H7" s="67">
        <f t="shared" si="0"/>
        <v>44490</v>
      </c>
    </row>
    <row r="8" spans="2:10" x14ac:dyDescent="0.3">
      <c r="B8" s="6" t="s">
        <v>17</v>
      </c>
      <c r="C8" s="22"/>
      <c r="D8" s="22"/>
      <c r="E8" s="22"/>
      <c r="F8" s="22"/>
      <c r="G8" s="22"/>
      <c r="H8" s="12">
        <f t="shared" si="0"/>
        <v>44490</v>
      </c>
    </row>
    <row r="9" spans="2:10" ht="15.6" x14ac:dyDescent="0.3">
      <c r="B9" s="34" t="s">
        <v>0</v>
      </c>
      <c r="C9" s="60"/>
      <c r="D9" s="60">
        <v>45000</v>
      </c>
      <c r="E9" s="60"/>
      <c r="F9" s="60"/>
      <c r="G9" s="61"/>
      <c r="H9" s="12">
        <f t="shared" si="0"/>
        <v>44490</v>
      </c>
    </row>
    <row r="10" spans="2:10" ht="16.2" customHeight="1" x14ac:dyDescent="0.3">
      <c r="B10" s="6" t="s">
        <v>25</v>
      </c>
      <c r="C10" s="22"/>
      <c r="D10" s="22">
        <v>54000</v>
      </c>
      <c r="E10" s="22"/>
      <c r="F10" s="22"/>
      <c r="G10" s="22"/>
      <c r="H10" s="12">
        <f t="shared" si="0"/>
        <v>44490</v>
      </c>
    </row>
    <row r="11" spans="2:10" ht="13.5" customHeight="1" x14ac:dyDescent="0.3">
      <c r="B11" s="6" t="s">
        <v>15</v>
      </c>
      <c r="C11" s="48"/>
      <c r="D11" s="22"/>
      <c r="E11" s="22"/>
      <c r="F11" s="48"/>
      <c r="G11" s="22"/>
      <c r="H11" s="12">
        <f t="shared" si="0"/>
        <v>44490</v>
      </c>
    </row>
    <row r="12" spans="2:10" x14ac:dyDescent="0.3">
      <c r="B12" s="6" t="s">
        <v>54</v>
      </c>
      <c r="C12" s="22"/>
      <c r="D12" s="22"/>
      <c r="E12" s="22"/>
      <c r="F12" s="22"/>
      <c r="G12" s="22"/>
      <c r="H12" s="67">
        <f t="shared" si="0"/>
        <v>44490</v>
      </c>
    </row>
    <row r="13" spans="2:10" x14ac:dyDescent="0.3">
      <c r="B13" s="6" t="s">
        <v>26</v>
      </c>
      <c r="C13" s="22">
        <v>747500</v>
      </c>
      <c r="D13" s="22"/>
      <c r="E13" s="22"/>
      <c r="F13" s="22"/>
      <c r="G13" s="22">
        <v>261000</v>
      </c>
      <c r="H13" s="12">
        <f t="shared" si="0"/>
        <v>44490</v>
      </c>
    </row>
    <row r="14" spans="2:10" x14ac:dyDescent="0.3">
      <c r="B14" s="6" t="s">
        <v>22</v>
      </c>
      <c r="C14" s="22"/>
      <c r="D14" s="23">
        <v>212000</v>
      </c>
      <c r="E14" s="23"/>
      <c r="F14" s="22"/>
      <c r="G14" s="23"/>
      <c r="H14" s="12">
        <f t="shared" si="0"/>
        <v>44490</v>
      </c>
      <c r="J14" s="4"/>
    </row>
    <row r="15" spans="2:10" x14ac:dyDescent="0.3">
      <c r="B15" s="6" t="s">
        <v>61</v>
      </c>
      <c r="C15" s="22"/>
      <c r="D15" s="23"/>
      <c r="E15" s="23"/>
      <c r="F15" s="22"/>
      <c r="G15" s="23"/>
      <c r="H15" s="67">
        <f t="shared" si="0"/>
        <v>44490</v>
      </c>
      <c r="J15" s="4"/>
    </row>
    <row r="16" spans="2:10" x14ac:dyDescent="0.3">
      <c r="B16" s="6" t="s">
        <v>19</v>
      </c>
      <c r="C16" s="22"/>
      <c r="D16" s="22">
        <v>378000</v>
      </c>
      <c r="E16" s="22"/>
      <c r="F16" s="22"/>
      <c r="G16" s="22"/>
      <c r="H16" s="12">
        <f t="shared" si="0"/>
        <v>44490</v>
      </c>
    </row>
    <row r="17" spans="1:8" x14ac:dyDescent="0.3">
      <c r="B17" s="6" t="s">
        <v>14</v>
      </c>
      <c r="C17" s="22"/>
      <c r="D17" s="22">
        <v>792000</v>
      </c>
      <c r="E17" s="22"/>
      <c r="F17" s="22"/>
      <c r="G17" s="22"/>
      <c r="H17" s="12">
        <f t="shared" si="0"/>
        <v>44490</v>
      </c>
    </row>
    <row r="18" spans="1:8" x14ac:dyDescent="0.3">
      <c r="B18" s="6" t="s">
        <v>24</v>
      </c>
      <c r="C18" s="49"/>
      <c r="D18" s="22"/>
      <c r="E18" s="22"/>
      <c r="F18" s="49"/>
      <c r="G18" s="22"/>
      <c r="H18" s="12">
        <f t="shared" si="0"/>
        <v>44490</v>
      </c>
    </row>
    <row r="19" spans="1:8" x14ac:dyDescent="0.3">
      <c r="B19" s="6" t="s">
        <v>21</v>
      </c>
      <c r="C19" s="22"/>
      <c r="D19" s="22"/>
      <c r="E19" s="22"/>
      <c r="F19" s="22"/>
      <c r="G19" s="22"/>
      <c r="H19" s="12">
        <f t="shared" si="0"/>
        <v>44490</v>
      </c>
    </row>
    <row r="20" spans="1:8" x14ac:dyDescent="0.3">
      <c r="B20" s="6" t="s">
        <v>18</v>
      </c>
      <c r="C20" s="22"/>
      <c r="D20" s="22"/>
      <c r="E20" s="22"/>
      <c r="F20" s="22"/>
      <c r="G20" s="22"/>
      <c r="H20" s="12">
        <f t="shared" si="0"/>
        <v>44490</v>
      </c>
    </row>
    <row r="21" spans="1:8" x14ac:dyDescent="0.3">
      <c r="B21" s="6" t="s">
        <v>16</v>
      </c>
      <c r="C21" s="22"/>
      <c r="D21" s="22"/>
      <c r="E21" s="22"/>
      <c r="F21" s="22"/>
      <c r="G21" s="22"/>
      <c r="H21" s="12">
        <f t="shared" si="0"/>
        <v>44490</v>
      </c>
    </row>
    <row r="22" spans="1:8" x14ac:dyDescent="0.3">
      <c r="B22" s="50" t="s">
        <v>27</v>
      </c>
      <c r="C22" s="51">
        <f>SUM(October21_2021[KSI_AGO])</f>
        <v>747500</v>
      </c>
      <c r="D22" s="51">
        <f>SUBTOTAL(109,October21_2021[KSI_PMS])</f>
        <v>1481000</v>
      </c>
      <c r="E22" s="51">
        <f>SUM(October21_2021[BUIPE_AGO])</f>
        <v>0</v>
      </c>
      <c r="F22" s="51">
        <f>SUM(October21_2021[BUIPE_PMS])</f>
        <v>0</v>
      </c>
      <c r="G22" s="51">
        <f>SUM(October21_2021[AKOSOMBO_AGO])</f>
        <v>261000</v>
      </c>
      <c r="H22" s="52"/>
    </row>
    <row r="23" spans="1:8" x14ac:dyDescent="0.3">
      <c r="B23" s="8"/>
      <c r="C23" s="24"/>
      <c r="D23" s="24"/>
      <c r="E23" s="24"/>
      <c r="F23" s="24"/>
      <c r="G23" s="24"/>
      <c r="H23"/>
    </row>
    <row r="24" spans="1:8" x14ac:dyDescent="0.3">
      <c r="B24" s="1" t="s">
        <v>6</v>
      </c>
      <c r="C24" s="1" t="s">
        <v>4</v>
      </c>
      <c r="D24" s="5">
        <f>SUMIF(October21_2021[[#Headers],[KSI_AGO]:[AKOSOMBO_AGO]],"*"&amp;C24,October21_2021[[#Totals],[KSI_AGO]:[AKOSOMBO_AGO]])</f>
        <v>1008500</v>
      </c>
      <c r="E24" s="1" t="s">
        <v>5</v>
      </c>
      <c r="F24" s="5">
        <f>SUMIF(October21_2021[[#Headers],[KSI_AGO]:[AKOSOMBO_AGO]],"*"&amp;E24,October21_2021[[#Totals],[KSI_AGO]:[AKOSOMBO_AGO]])</f>
        <v>1481000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D8C46DF-FAC9-4989-B181-3979EFE735AF}">
      <formula1>INDIRECT("BDC_List[BDC List]")</formula1>
    </dataValidation>
  </dataValidations>
  <pageMargins left="0.7" right="0.7" top="0.75" bottom="0.75" header="0.3" footer="0.3"/>
  <tableParts count="1">
    <tablePart r:id="rId1"/>
  </tableParts>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8D7CB-488A-4BAF-A370-6F92313BEA8D}">
  <sheetPr codeName="Sheet457"/>
  <dimension ref="A1:J34"/>
  <sheetViews>
    <sheetView topLeftCell="C1" workbookViewId="0">
      <selection activeCell="H27" sqref="H2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44491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44491</v>
      </c>
    </row>
    <row r="7" spans="2:10" x14ac:dyDescent="0.3">
      <c r="B7" s="6" t="s">
        <v>37</v>
      </c>
      <c r="C7" s="22"/>
      <c r="D7" s="53"/>
      <c r="E7" s="53"/>
      <c r="F7" s="22"/>
      <c r="G7" s="22"/>
      <c r="H7" s="67">
        <f t="shared" si="0"/>
        <v>44491</v>
      </c>
    </row>
    <row r="8" spans="2:10" x14ac:dyDescent="0.3">
      <c r="B8" s="6" t="s">
        <v>17</v>
      </c>
      <c r="C8" s="22"/>
      <c r="D8" s="22"/>
      <c r="E8" s="22"/>
      <c r="F8" s="22"/>
      <c r="G8" s="22"/>
      <c r="H8" s="12">
        <f t="shared" si="0"/>
        <v>44491</v>
      </c>
    </row>
    <row r="9" spans="2:10" ht="15.6" x14ac:dyDescent="0.3">
      <c r="B9" s="34" t="s">
        <v>0</v>
      </c>
      <c r="C9" s="60"/>
      <c r="D9" s="60"/>
      <c r="E9" s="60"/>
      <c r="F9" s="60">
        <v>324000</v>
      </c>
      <c r="G9" s="61"/>
      <c r="H9" s="12">
        <f t="shared" si="0"/>
        <v>44491</v>
      </c>
    </row>
    <row r="10" spans="2:10" ht="16.2" customHeight="1" x14ac:dyDescent="0.3">
      <c r="B10" s="6" t="s">
        <v>25</v>
      </c>
      <c r="C10" s="22"/>
      <c r="D10" s="22"/>
      <c r="E10" s="22"/>
      <c r="F10" s="22"/>
      <c r="G10" s="22"/>
      <c r="H10" s="12">
        <f t="shared" si="0"/>
        <v>44491</v>
      </c>
    </row>
    <row r="11" spans="2:10" ht="13.5" customHeight="1" x14ac:dyDescent="0.3">
      <c r="B11" s="6" t="s">
        <v>15</v>
      </c>
      <c r="C11" s="48"/>
      <c r="D11" s="22"/>
      <c r="E11" s="22"/>
      <c r="F11" s="48"/>
      <c r="G11" s="22"/>
      <c r="H11" s="12">
        <f t="shared" si="0"/>
        <v>44491</v>
      </c>
    </row>
    <row r="12" spans="2:10" x14ac:dyDescent="0.3">
      <c r="B12" s="6" t="s">
        <v>54</v>
      </c>
      <c r="C12" s="22"/>
      <c r="D12" s="22"/>
      <c r="E12" s="22"/>
      <c r="F12" s="22"/>
      <c r="G12" s="22"/>
      <c r="H12" s="67">
        <f t="shared" si="0"/>
        <v>44491</v>
      </c>
    </row>
    <row r="13" spans="2:10" x14ac:dyDescent="0.3">
      <c r="B13" s="6" t="s">
        <v>26</v>
      </c>
      <c r="C13" s="22"/>
      <c r="D13" s="22"/>
      <c r="E13" s="22"/>
      <c r="F13" s="22"/>
      <c r="G13" s="22">
        <v>90000</v>
      </c>
      <c r="H13" s="12">
        <f t="shared" si="0"/>
        <v>44491</v>
      </c>
    </row>
    <row r="14" spans="2:10" x14ac:dyDescent="0.3">
      <c r="B14" s="6" t="s">
        <v>22</v>
      </c>
      <c r="C14" s="22"/>
      <c r="D14" s="23"/>
      <c r="E14" s="23"/>
      <c r="F14" s="22"/>
      <c r="G14" s="23"/>
      <c r="H14" s="12">
        <f t="shared" si="0"/>
        <v>44491</v>
      </c>
      <c r="J14" s="4"/>
    </row>
    <row r="15" spans="2:10" x14ac:dyDescent="0.3">
      <c r="B15" s="6" t="s">
        <v>61</v>
      </c>
      <c r="C15" s="22"/>
      <c r="D15" s="23"/>
      <c r="E15" s="23"/>
      <c r="F15" s="22"/>
      <c r="G15" s="23"/>
      <c r="H15" s="67">
        <f t="shared" si="0"/>
        <v>44491</v>
      </c>
      <c r="J15" s="4"/>
    </row>
    <row r="16" spans="2:10" x14ac:dyDescent="0.3">
      <c r="B16" s="6" t="s">
        <v>19</v>
      </c>
      <c r="C16" s="22"/>
      <c r="D16" s="22">
        <v>216000</v>
      </c>
      <c r="E16" s="22"/>
      <c r="F16" s="22"/>
      <c r="G16" s="22"/>
      <c r="H16" s="12">
        <f t="shared" si="0"/>
        <v>44491</v>
      </c>
    </row>
    <row r="17" spans="1:8" x14ac:dyDescent="0.3">
      <c r="B17" s="6" t="s">
        <v>14</v>
      </c>
      <c r="C17" s="22"/>
      <c r="D17" s="22">
        <v>378000</v>
      </c>
      <c r="E17" s="22"/>
      <c r="F17" s="22">
        <v>54000</v>
      </c>
      <c r="G17" s="22"/>
      <c r="H17" s="12">
        <f t="shared" si="0"/>
        <v>44491</v>
      </c>
    </row>
    <row r="18" spans="1:8" x14ac:dyDescent="0.3">
      <c r="B18" s="6" t="s">
        <v>24</v>
      </c>
      <c r="C18" s="49"/>
      <c r="D18" s="22"/>
      <c r="E18" s="22"/>
      <c r="F18" s="49"/>
      <c r="G18" s="22"/>
      <c r="H18" s="12">
        <f t="shared" si="0"/>
        <v>44491</v>
      </c>
    </row>
    <row r="19" spans="1:8" x14ac:dyDescent="0.3">
      <c r="B19" s="6" t="s">
        <v>21</v>
      </c>
      <c r="C19" s="22"/>
      <c r="D19" s="22"/>
      <c r="E19" s="22"/>
      <c r="F19" s="22"/>
      <c r="G19" s="22"/>
      <c r="H19" s="12">
        <f t="shared" si="0"/>
        <v>44491</v>
      </c>
    </row>
    <row r="20" spans="1:8" x14ac:dyDescent="0.3">
      <c r="B20" s="6" t="s">
        <v>18</v>
      </c>
      <c r="C20" s="22"/>
      <c r="D20" s="22"/>
      <c r="E20" s="22"/>
      <c r="F20" s="22"/>
      <c r="G20" s="22"/>
      <c r="H20" s="12">
        <f t="shared" si="0"/>
        <v>44491</v>
      </c>
    </row>
    <row r="21" spans="1:8" x14ac:dyDescent="0.3">
      <c r="B21" s="6" t="s">
        <v>16</v>
      </c>
      <c r="C21" s="22">
        <v>1609000</v>
      </c>
      <c r="D21" s="22">
        <v>594000</v>
      </c>
      <c r="E21" s="22"/>
      <c r="F21" s="22">
        <v>54000</v>
      </c>
      <c r="G21" s="22">
        <v>365000</v>
      </c>
      <c r="H21" s="12">
        <f t="shared" si="0"/>
        <v>44491</v>
      </c>
    </row>
    <row r="22" spans="1:8" x14ac:dyDescent="0.3">
      <c r="B22" s="50" t="s">
        <v>27</v>
      </c>
      <c r="C22" s="51">
        <f>SUM(October22_2021[KSI_AGO])</f>
        <v>1609000</v>
      </c>
      <c r="D22" s="51">
        <f>SUBTOTAL(109,October22_2021[KSI_PMS])</f>
        <v>1188000</v>
      </c>
      <c r="E22" s="51">
        <f>SUM(October22_2021[BUIPE_AGO])</f>
        <v>0</v>
      </c>
      <c r="F22" s="51">
        <f>SUM(October22_2021[BUIPE_PMS])</f>
        <v>432000</v>
      </c>
      <c r="G22" s="51">
        <f>SUM(October22_2021[AKOSOMBO_AGO])</f>
        <v>455000</v>
      </c>
      <c r="H22" s="52"/>
    </row>
    <row r="23" spans="1:8" x14ac:dyDescent="0.3">
      <c r="B23" s="8"/>
      <c r="C23" s="24"/>
      <c r="D23" s="24"/>
      <c r="E23" s="24"/>
      <c r="F23" s="24"/>
      <c r="G23" s="24"/>
      <c r="H23"/>
    </row>
    <row r="24" spans="1:8" x14ac:dyDescent="0.3">
      <c r="B24" s="1" t="s">
        <v>6</v>
      </c>
      <c r="C24" s="1" t="s">
        <v>4</v>
      </c>
      <c r="D24" s="5">
        <f>SUMIF(October22_2021[[#Headers],[KSI_AGO]:[AKOSOMBO_AGO]],"*"&amp;C24,October22_2021[[#Totals],[KSI_AGO]:[AKOSOMBO_AGO]])</f>
        <v>2064000</v>
      </c>
      <c r="E24" s="1" t="s">
        <v>5</v>
      </c>
      <c r="F24" s="5">
        <f>SUMIF(October22_2021[[#Headers],[KSI_AGO]:[AKOSOMBO_AGO]],"*"&amp;E24,October22_2021[[#Totals],[KSI_AGO]:[AKOSOMBO_AGO]])</f>
        <v>1620000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FE38412-B80D-4BC4-893E-5A437AE252B3}">
      <formula1>INDIRECT("BDC_List[BDC List]")</formula1>
    </dataValidation>
  </dataValidations>
  <pageMargins left="0.7" right="0.7" top="0.75" bottom="0.75" header="0.3" footer="0.3"/>
  <tableParts count="1">
    <tablePart r:id="rId1"/>
  </tableParts>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7189-C399-4F28-B2ED-55D1D52A3E1D}">
  <sheetPr codeName="Sheet458"/>
  <dimension ref="A1:J34"/>
  <sheetViews>
    <sheetView topLeftCell="C1" workbookViewId="0">
      <selection activeCell="B18" sqref="B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44494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44494</v>
      </c>
    </row>
    <row r="7" spans="2:10" x14ac:dyDescent="0.3">
      <c r="B7" s="6" t="s">
        <v>37</v>
      </c>
      <c r="C7" s="22"/>
      <c r="D7" s="53"/>
      <c r="E7" s="53"/>
      <c r="F7" s="22"/>
      <c r="G7" s="22"/>
      <c r="H7" s="67">
        <f t="shared" si="0"/>
        <v>44494</v>
      </c>
    </row>
    <row r="8" spans="2:10" x14ac:dyDescent="0.3">
      <c r="B8" s="6" t="s">
        <v>17</v>
      </c>
      <c r="C8" s="22"/>
      <c r="D8" s="22"/>
      <c r="E8" s="22"/>
      <c r="F8" s="22"/>
      <c r="G8" s="22"/>
      <c r="H8" s="12">
        <f t="shared" si="0"/>
        <v>44494</v>
      </c>
    </row>
    <row r="9" spans="2:10" ht="15.6" x14ac:dyDescent="0.3">
      <c r="B9" s="34" t="s">
        <v>0</v>
      </c>
      <c r="C9" s="60">
        <v>1611000</v>
      </c>
      <c r="D9" s="60"/>
      <c r="E9" s="60"/>
      <c r="F9" s="60"/>
      <c r="G9" s="61">
        <v>432000</v>
      </c>
      <c r="H9" s="12">
        <f t="shared" si="0"/>
        <v>44494</v>
      </c>
    </row>
    <row r="10" spans="2:10" ht="16.2" customHeight="1" x14ac:dyDescent="0.3">
      <c r="B10" s="6" t="s">
        <v>25</v>
      </c>
      <c r="C10" s="22"/>
      <c r="D10" s="22"/>
      <c r="E10" s="22"/>
      <c r="F10" s="22"/>
      <c r="G10" s="22"/>
      <c r="H10" s="12">
        <f t="shared" si="0"/>
        <v>44494</v>
      </c>
    </row>
    <row r="11" spans="2:10" ht="13.5" customHeight="1" x14ac:dyDescent="0.3">
      <c r="B11" s="6" t="s">
        <v>15</v>
      </c>
      <c r="C11" s="48"/>
      <c r="D11" s="22"/>
      <c r="E11" s="22"/>
      <c r="F11" s="48"/>
      <c r="G11" s="22"/>
      <c r="H11" s="12">
        <f t="shared" si="0"/>
        <v>44494</v>
      </c>
    </row>
    <row r="12" spans="2:10" x14ac:dyDescent="0.3">
      <c r="B12" s="6" t="s">
        <v>54</v>
      </c>
      <c r="C12" s="22"/>
      <c r="D12" s="22"/>
      <c r="E12" s="22"/>
      <c r="F12" s="22"/>
      <c r="G12" s="22"/>
      <c r="H12" s="67">
        <f t="shared" si="0"/>
        <v>44494</v>
      </c>
    </row>
    <row r="13" spans="2:10" x14ac:dyDescent="0.3">
      <c r="B13" s="6" t="s">
        <v>26</v>
      </c>
      <c r="C13" s="22">
        <v>50000</v>
      </c>
      <c r="D13" s="22"/>
      <c r="E13" s="22"/>
      <c r="F13" s="22">
        <v>108000</v>
      </c>
      <c r="G13" s="22"/>
      <c r="H13" s="12">
        <f t="shared" si="0"/>
        <v>44494</v>
      </c>
    </row>
    <row r="14" spans="2:10" x14ac:dyDescent="0.3">
      <c r="B14" s="6" t="s">
        <v>22</v>
      </c>
      <c r="C14" s="22"/>
      <c r="D14" s="23"/>
      <c r="E14" s="23"/>
      <c r="F14" s="22"/>
      <c r="G14" s="23"/>
      <c r="H14" s="12">
        <f t="shared" si="0"/>
        <v>44494</v>
      </c>
      <c r="J14" s="4"/>
    </row>
    <row r="15" spans="2:10" x14ac:dyDescent="0.3">
      <c r="B15" s="6" t="s">
        <v>61</v>
      </c>
      <c r="C15" s="22"/>
      <c r="D15" s="23"/>
      <c r="E15" s="23"/>
      <c r="F15" s="22"/>
      <c r="G15" s="23"/>
      <c r="H15" s="67">
        <f t="shared" si="0"/>
        <v>44494</v>
      </c>
      <c r="J15" s="4"/>
    </row>
    <row r="16" spans="2:10" x14ac:dyDescent="0.3">
      <c r="B16" s="6" t="s">
        <v>19</v>
      </c>
      <c r="C16" s="22"/>
      <c r="D16" s="22"/>
      <c r="E16" s="22"/>
      <c r="F16" s="22"/>
      <c r="G16" s="22"/>
      <c r="H16" s="12">
        <f t="shared" si="0"/>
        <v>44494</v>
      </c>
    </row>
    <row r="17" spans="1:8" x14ac:dyDescent="0.3">
      <c r="B17" s="6" t="s">
        <v>14</v>
      </c>
      <c r="C17" s="22"/>
      <c r="D17" s="22">
        <v>486000</v>
      </c>
      <c r="E17" s="22"/>
      <c r="F17" s="22">
        <v>50000</v>
      </c>
      <c r="G17" s="22"/>
      <c r="H17" s="12">
        <f t="shared" si="0"/>
        <v>44494</v>
      </c>
    </row>
    <row r="18" spans="1:8" x14ac:dyDescent="0.3">
      <c r="B18" s="6" t="s">
        <v>24</v>
      </c>
      <c r="C18" s="49"/>
      <c r="D18" s="22"/>
      <c r="E18" s="22"/>
      <c r="F18" s="49"/>
      <c r="G18" s="22"/>
      <c r="H18" s="12">
        <f t="shared" si="0"/>
        <v>44494</v>
      </c>
    </row>
    <row r="19" spans="1:8" x14ac:dyDescent="0.3">
      <c r="B19" s="6" t="s">
        <v>21</v>
      </c>
      <c r="C19" s="22"/>
      <c r="D19" s="22"/>
      <c r="E19" s="22"/>
      <c r="F19" s="22"/>
      <c r="G19" s="22"/>
      <c r="H19" s="12">
        <f t="shared" si="0"/>
        <v>44494</v>
      </c>
    </row>
    <row r="20" spans="1:8" x14ac:dyDescent="0.3">
      <c r="B20" s="6" t="s">
        <v>18</v>
      </c>
      <c r="C20" s="22"/>
      <c r="D20" s="22"/>
      <c r="E20" s="22"/>
      <c r="F20" s="22"/>
      <c r="G20" s="22"/>
      <c r="H20" s="12">
        <f t="shared" si="0"/>
        <v>44494</v>
      </c>
    </row>
    <row r="21" spans="1:8" x14ac:dyDescent="0.3">
      <c r="B21" s="6" t="s">
        <v>16</v>
      </c>
      <c r="C21" s="22">
        <v>162000</v>
      </c>
      <c r="D21" s="22">
        <v>430000</v>
      </c>
      <c r="E21" s="22"/>
      <c r="F21" s="22">
        <v>54000</v>
      </c>
      <c r="G21" s="22">
        <v>90000</v>
      </c>
      <c r="H21" s="12">
        <f t="shared" si="0"/>
        <v>44494</v>
      </c>
    </row>
    <row r="22" spans="1:8" x14ac:dyDescent="0.3">
      <c r="B22" s="50" t="s">
        <v>27</v>
      </c>
      <c r="C22" s="51">
        <f>SUM(October25_2021[KSI_AGO])</f>
        <v>1823000</v>
      </c>
      <c r="D22" s="51">
        <f>SUBTOTAL(109,October25_2021[KSI_PMS])</f>
        <v>916000</v>
      </c>
      <c r="E22" s="51">
        <f>SUM(October25_2021[BUIPE_AGO])</f>
        <v>0</v>
      </c>
      <c r="F22" s="51">
        <f>SUM(October25_2021[BUIPE_PMS])</f>
        <v>212000</v>
      </c>
      <c r="G22" s="51">
        <f>SUM(October25_2021[AKOSOMBO_AGO])</f>
        <v>522000</v>
      </c>
      <c r="H22" s="52"/>
    </row>
    <row r="23" spans="1:8" x14ac:dyDescent="0.3">
      <c r="B23" s="8"/>
      <c r="C23" s="24"/>
      <c r="D23" s="24"/>
      <c r="E23" s="24"/>
      <c r="F23" s="24"/>
      <c r="G23" s="24"/>
      <c r="H23"/>
    </row>
    <row r="24" spans="1:8" x14ac:dyDescent="0.3">
      <c r="B24" s="1" t="s">
        <v>6</v>
      </c>
      <c r="C24" s="1" t="s">
        <v>4</v>
      </c>
      <c r="D24" s="5">
        <f>SUMIF(October25_2021[[#Headers],[KSI_AGO]:[AKOSOMBO_AGO]],"*"&amp;C24,October25_2021[[#Totals],[KSI_AGO]:[AKOSOMBO_AGO]])</f>
        <v>2345000</v>
      </c>
      <c r="E24" s="1" t="s">
        <v>5</v>
      </c>
      <c r="F24" s="5">
        <f>SUMIF(October25_2021[[#Headers],[KSI_AGO]:[AKOSOMBO_AGO]],"*"&amp;E24,October25_2021[[#Totals],[KSI_AGO]:[AKOSOMBO_AGO]])</f>
        <v>1128000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7AA8703-646E-42FE-8779-BE5630AC87FF}">
      <formula1>INDIRECT("BDC_List[BDC List]")</formula1>
    </dataValidation>
  </dataValidations>
  <pageMargins left="0.7" right="0.7" top="0.75" bottom="0.75" header="0.3" footer="0.3"/>
  <tableParts count="1">
    <tablePart r:id="rId1"/>
  </tableParts>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A9FBA-D120-4EC6-BDAF-6DE24CEB9B24}">
  <sheetPr codeName="Sheet459"/>
  <dimension ref="A1:J34"/>
  <sheetViews>
    <sheetView topLeftCell="D1" workbookViewId="0">
      <selection activeCell="G12" sqref="G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5.55468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44495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44495</v>
      </c>
    </row>
    <row r="7" spans="2:10" x14ac:dyDescent="0.3">
      <c r="B7" s="6" t="s">
        <v>37</v>
      </c>
      <c r="C7" s="22"/>
      <c r="D7" s="53"/>
      <c r="E7" s="53"/>
      <c r="F7" s="22"/>
      <c r="G7" s="22"/>
      <c r="H7" s="67">
        <f t="shared" si="0"/>
        <v>44495</v>
      </c>
    </row>
    <row r="8" spans="2:10" x14ac:dyDescent="0.3">
      <c r="B8" s="6" t="s">
        <v>17</v>
      </c>
      <c r="C8" s="22"/>
      <c r="D8" s="22">
        <v>49500</v>
      </c>
      <c r="E8" s="22"/>
      <c r="F8" s="22"/>
      <c r="G8" s="22"/>
      <c r="H8" s="12">
        <f t="shared" si="0"/>
        <v>44495</v>
      </c>
    </row>
    <row r="9" spans="2:10" ht="15.6" x14ac:dyDescent="0.3">
      <c r="B9" s="34" t="s">
        <v>0</v>
      </c>
      <c r="C9" s="60">
        <v>2259000</v>
      </c>
      <c r="D9" s="60"/>
      <c r="E9" s="60"/>
      <c r="F9" s="60"/>
      <c r="G9" s="61">
        <v>689000</v>
      </c>
      <c r="H9" s="12">
        <f t="shared" si="0"/>
        <v>44495</v>
      </c>
    </row>
    <row r="10" spans="2:10" ht="16.2" customHeight="1" x14ac:dyDescent="0.3">
      <c r="B10" s="6" t="s">
        <v>25</v>
      </c>
      <c r="C10" s="22"/>
      <c r="D10" s="22"/>
      <c r="E10" s="22"/>
      <c r="F10" s="22">
        <v>90000</v>
      </c>
      <c r="G10" s="22"/>
      <c r="H10" s="12">
        <f t="shared" si="0"/>
        <v>44495</v>
      </c>
    </row>
    <row r="11" spans="2:10" ht="13.5" customHeight="1" x14ac:dyDescent="0.3">
      <c r="B11" s="6" t="s">
        <v>15</v>
      </c>
      <c r="C11" s="48"/>
      <c r="D11" s="22"/>
      <c r="E11" s="22"/>
      <c r="F11" s="48"/>
      <c r="G11" s="22"/>
      <c r="H11" s="12">
        <f t="shared" si="0"/>
        <v>44495</v>
      </c>
    </row>
    <row r="12" spans="2:10" x14ac:dyDescent="0.3">
      <c r="B12" s="6" t="s">
        <v>54</v>
      </c>
      <c r="C12" s="22"/>
      <c r="D12" s="22"/>
      <c r="E12" s="22"/>
      <c r="F12" s="22"/>
      <c r="G12" s="22"/>
      <c r="H12" s="67">
        <f t="shared" si="0"/>
        <v>44495</v>
      </c>
    </row>
    <row r="13" spans="2:10" x14ac:dyDescent="0.3">
      <c r="B13" s="6" t="s">
        <v>26</v>
      </c>
      <c r="C13" s="22"/>
      <c r="D13" s="22"/>
      <c r="E13" s="22"/>
      <c r="F13" s="22">
        <v>162000</v>
      </c>
      <c r="G13" s="22">
        <v>47000</v>
      </c>
      <c r="H13" s="12">
        <f t="shared" si="0"/>
        <v>44495</v>
      </c>
    </row>
    <row r="14" spans="2:10" x14ac:dyDescent="0.3">
      <c r="B14" s="6" t="s">
        <v>22</v>
      </c>
      <c r="C14" s="22"/>
      <c r="D14" s="23"/>
      <c r="E14" s="23"/>
      <c r="F14" s="22"/>
      <c r="G14" s="23"/>
      <c r="H14" s="12">
        <f t="shared" si="0"/>
        <v>44495</v>
      </c>
      <c r="J14" s="4"/>
    </row>
    <row r="15" spans="2:10" x14ac:dyDescent="0.3">
      <c r="B15" s="6" t="s">
        <v>61</v>
      </c>
      <c r="C15" s="22"/>
      <c r="D15" s="23"/>
      <c r="E15" s="23"/>
      <c r="F15" s="22"/>
      <c r="G15" s="23"/>
      <c r="H15" s="67">
        <f t="shared" si="0"/>
        <v>44495</v>
      </c>
      <c r="J15" s="4"/>
    </row>
    <row r="16" spans="2:10" x14ac:dyDescent="0.3">
      <c r="B16" s="6" t="s">
        <v>19</v>
      </c>
      <c r="C16" s="22"/>
      <c r="D16" s="22"/>
      <c r="E16" s="22"/>
      <c r="F16" s="22"/>
      <c r="G16" s="22"/>
      <c r="H16" s="12">
        <f t="shared" si="0"/>
        <v>44495</v>
      </c>
    </row>
    <row r="17" spans="1:8" x14ac:dyDescent="0.3">
      <c r="B17" s="6" t="s">
        <v>14</v>
      </c>
      <c r="C17" s="22"/>
      <c r="D17" s="22">
        <v>540000</v>
      </c>
      <c r="E17" s="22"/>
      <c r="F17" s="22"/>
      <c r="G17" s="22"/>
      <c r="H17" s="12">
        <f t="shared" si="0"/>
        <v>44495</v>
      </c>
    </row>
    <row r="18" spans="1:8" x14ac:dyDescent="0.3">
      <c r="B18" s="6" t="s">
        <v>24</v>
      </c>
      <c r="C18" s="49"/>
      <c r="D18" s="22"/>
      <c r="E18" s="22"/>
      <c r="F18" s="49"/>
      <c r="G18" s="22"/>
      <c r="H18" s="12">
        <f t="shared" si="0"/>
        <v>44495</v>
      </c>
    </row>
    <row r="19" spans="1:8" x14ac:dyDescent="0.3">
      <c r="B19" s="6" t="s">
        <v>21</v>
      </c>
      <c r="C19" s="22"/>
      <c r="D19" s="22"/>
      <c r="E19" s="22"/>
      <c r="F19" s="22"/>
      <c r="G19" s="22"/>
      <c r="H19" s="12">
        <f t="shared" si="0"/>
        <v>44495</v>
      </c>
    </row>
    <row r="20" spans="1:8" x14ac:dyDescent="0.3">
      <c r="B20" s="6" t="s">
        <v>18</v>
      </c>
      <c r="C20" s="22"/>
      <c r="D20" s="22"/>
      <c r="E20" s="22"/>
      <c r="F20" s="22"/>
      <c r="G20" s="22"/>
      <c r="H20" s="12">
        <f t="shared" si="0"/>
        <v>44495</v>
      </c>
    </row>
    <row r="21" spans="1:8" x14ac:dyDescent="0.3">
      <c r="B21" s="6" t="s">
        <v>16</v>
      </c>
      <c r="C21" s="22">
        <v>162000</v>
      </c>
      <c r="D21" s="22">
        <v>108000</v>
      </c>
      <c r="E21" s="22"/>
      <c r="F21" s="22">
        <v>45000</v>
      </c>
      <c r="G21" s="22">
        <v>45000</v>
      </c>
      <c r="H21" s="12">
        <f t="shared" si="0"/>
        <v>44495</v>
      </c>
    </row>
    <row r="22" spans="1:8" x14ac:dyDescent="0.3">
      <c r="B22" s="50" t="s">
        <v>27</v>
      </c>
      <c r="C22" s="51">
        <f>SUM(October25_202117[KSI_AGO])</f>
        <v>2421000</v>
      </c>
      <c r="D22" s="51">
        <f>SUBTOTAL(109,October25_202117[KSI_PMS])</f>
        <v>697500</v>
      </c>
      <c r="E22" s="51">
        <f>SUM(October25_202117[BUIPE_AGO])</f>
        <v>0</v>
      </c>
      <c r="F22" s="51">
        <f>SUM(October25_202117[BUIPE_PMS])</f>
        <v>297000</v>
      </c>
      <c r="G22" s="51">
        <f>SUM(October25_202117[AKOSOMBO_AGO])</f>
        <v>781000</v>
      </c>
      <c r="H22" s="52"/>
    </row>
    <row r="23" spans="1:8" x14ac:dyDescent="0.3">
      <c r="B23" s="8"/>
      <c r="C23" s="24"/>
      <c r="D23" s="24"/>
      <c r="E23" s="24"/>
      <c r="F23" s="24"/>
      <c r="G23" s="24"/>
      <c r="H23"/>
    </row>
    <row r="24" spans="1:8" x14ac:dyDescent="0.3">
      <c r="B24" s="1" t="s">
        <v>6</v>
      </c>
      <c r="C24" s="1" t="s">
        <v>4</v>
      </c>
      <c r="D24" s="5">
        <f>SUMIF(October25_202117[[#Headers],[KSI_AGO]:[AKOSOMBO_AGO]],"*"&amp;C24,October25_202117[[#Totals],[KSI_AGO]:[AKOSOMBO_AGO]])</f>
        <v>3202000</v>
      </c>
      <c r="E24" s="1" t="s">
        <v>5</v>
      </c>
      <c r="F24" s="5">
        <f>SUMIF(October25_202117[[#Headers],[KSI_AGO]:[AKOSOMBO_AGO]],"*"&amp;E24,October25_202117[[#Totals],[KSI_AGO]:[AKOSOMBO_AGO]])</f>
        <v>994500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38452D58-67E9-4F8D-9B6E-1315F455A830}">
      <formula1>INDIRECT("BDC_List[BDC List]")</formula1>
    </dataValidation>
  </dataValidations>
  <pageMargins left="0.7" right="0.7" top="0.75" bottom="0.75" header="0.3" footer="0.3"/>
  <tableParts count="1">
    <tablePart r:id="rId1"/>
  </tableParts>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872AC-FD7F-43A5-A9BE-263C9F9753BE}">
  <sheetPr codeName="Sheet460"/>
  <dimension ref="A1:J34"/>
  <sheetViews>
    <sheetView topLeftCell="C1" workbookViewId="0">
      <selection activeCell="E14" sqref="E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5.55468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44496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44496</v>
      </c>
    </row>
    <row r="7" spans="2:10" x14ac:dyDescent="0.3">
      <c r="B7" s="6" t="s">
        <v>37</v>
      </c>
      <c r="C7" s="22"/>
      <c r="D7" s="53"/>
      <c r="E7" s="53"/>
      <c r="F7" s="22"/>
      <c r="G7" s="22"/>
      <c r="H7" s="67">
        <f t="shared" si="0"/>
        <v>44496</v>
      </c>
    </row>
    <row r="8" spans="2:10" x14ac:dyDescent="0.3">
      <c r="B8" s="6" t="s">
        <v>17</v>
      </c>
      <c r="C8" s="22">
        <v>972000</v>
      </c>
      <c r="D8" s="22">
        <v>216000</v>
      </c>
      <c r="E8" s="22">
        <v>311000</v>
      </c>
      <c r="F8" s="22"/>
      <c r="G8" s="22"/>
      <c r="H8" s="12">
        <f t="shared" si="0"/>
        <v>44496</v>
      </c>
    </row>
    <row r="9" spans="2:10" ht="15.6" x14ac:dyDescent="0.3">
      <c r="B9" s="34" t="s">
        <v>0</v>
      </c>
      <c r="C9" s="60">
        <v>536000</v>
      </c>
      <c r="D9" s="60"/>
      <c r="E9" s="60"/>
      <c r="F9" s="60"/>
      <c r="G9" s="61">
        <v>378000</v>
      </c>
      <c r="H9" s="12">
        <f t="shared" si="0"/>
        <v>44496</v>
      </c>
    </row>
    <row r="10" spans="2:10" ht="16.2" customHeight="1" x14ac:dyDescent="0.3">
      <c r="B10" s="6" t="s">
        <v>25</v>
      </c>
      <c r="C10" s="22"/>
      <c r="D10" s="22">
        <v>108000</v>
      </c>
      <c r="E10" s="22"/>
      <c r="F10" s="22"/>
      <c r="G10" s="22"/>
      <c r="H10" s="12">
        <f t="shared" si="0"/>
        <v>44496</v>
      </c>
    </row>
    <row r="11" spans="2:10" ht="13.5" customHeight="1" x14ac:dyDescent="0.3">
      <c r="B11" s="6" t="s">
        <v>15</v>
      </c>
      <c r="C11" s="48"/>
      <c r="D11" s="22"/>
      <c r="E11" s="22"/>
      <c r="F11" s="48"/>
      <c r="G11" s="22"/>
      <c r="H11" s="12">
        <f t="shared" si="0"/>
        <v>44496</v>
      </c>
    </row>
    <row r="12" spans="2:10" x14ac:dyDescent="0.3">
      <c r="B12" s="6" t="s">
        <v>54</v>
      </c>
      <c r="C12" s="22"/>
      <c r="D12" s="22"/>
      <c r="E12" s="22"/>
      <c r="F12" s="22"/>
      <c r="G12" s="22"/>
      <c r="H12" s="67">
        <f t="shared" si="0"/>
        <v>44496</v>
      </c>
    </row>
    <row r="13" spans="2:10" x14ac:dyDescent="0.3">
      <c r="B13" s="6" t="s">
        <v>26</v>
      </c>
      <c r="C13" s="22"/>
      <c r="D13" s="22">
        <v>45000</v>
      </c>
      <c r="E13" s="22"/>
      <c r="F13" s="22"/>
      <c r="G13" s="22"/>
      <c r="H13" s="12">
        <f t="shared" si="0"/>
        <v>44496</v>
      </c>
    </row>
    <row r="14" spans="2:10" x14ac:dyDescent="0.3">
      <c r="B14" s="6" t="s">
        <v>22</v>
      </c>
      <c r="C14" s="22"/>
      <c r="D14" s="23"/>
      <c r="E14" s="23"/>
      <c r="F14" s="22"/>
      <c r="G14" s="23"/>
      <c r="H14" s="12">
        <f t="shared" si="0"/>
        <v>44496</v>
      </c>
      <c r="J14" s="4"/>
    </row>
    <row r="15" spans="2:10" x14ac:dyDescent="0.3">
      <c r="B15" s="6" t="s">
        <v>61</v>
      </c>
      <c r="C15" s="22"/>
      <c r="D15" s="23"/>
      <c r="E15" s="23"/>
      <c r="F15" s="22"/>
      <c r="G15" s="23"/>
      <c r="H15" s="67">
        <f t="shared" si="0"/>
        <v>44496</v>
      </c>
      <c r="J15" s="4"/>
    </row>
    <row r="16" spans="2:10" x14ac:dyDescent="0.3">
      <c r="B16" s="6" t="s">
        <v>19</v>
      </c>
      <c r="C16" s="22">
        <v>753500</v>
      </c>
      <c r="D16" s="22">
        <v>45000</v>
      </c>
      <c r="E16" s="22"/>
      <c r="F16" s="22"/>
      <c r="G16" s="22"/>
      <c r="H16" s="12">
        <f t="shared" si="0"/>
        <v>44496</v>
      </c>
    </row>
    <row r="17" spans="1:8" x14ac:dyDescent="0.3">
      <c r="B17" s="6" t="s">
        <v>14</v>
      </c>
      <c r="C17" s="22"/>
      <c r="D17" s="22"/>
      <c r="E17" s="22"/>
      <c r="F17" s="22">
        <v>50000</v>
      </c>
      <c r="G17" s="22"/>
      <c r="H17" s="12">
        <f t="shared" si="0"/>
        <v>44496</v>
      </c>
    </row>
    <row r="18" spans="1:8" x14ac:dyDescent="0.3">
      <c r="B18" s="6" t="s">
        <v>24</v>
      </c>
      <c r="C18" s="49"/>
      <c r="D18" s="22"/>
      <c r="E18" s="22"/>
      <c r="F18" s="49"/>
      <c r="G18" s="22"/>
      <c r="H18" s="12">
        <f t="shared" si="0"/>
        <v>44496</v>
      </c>
    </row>
    <row r="19" spans="1:8" x14ac:dyDescent="0.3">
      <c r="B19" s="6" t="s">
        <v>21</v>
      </c>
      <c r="C19" s="22"/>
      <c r="D19" s="22"/>
      <c r="E19" s="22"/>
      <c r="F19" s="22"/>
      <c r="G19" s="22"/>
      <c r="H19" s="12">
        <f t="shared" si="0"/>
        <v>44496</v>
      </c>
    </row>
    <row r="20" spans="1:8" x14ac:dyDescent="0.3">
      <c r="B20" s="6" t="s">
        <v>18</v>
      </c>
      <c r="C20" s="22"/>
      <c r="D20" s="22"/>
      <c r="E20" s="22"/>
      <c r="F20" s="22"/>
      <c r="G20" s="22"/>
      <c r="H20" s="12">
        <f t="shared" si="0"/>
        <v>44496</v>
      </c>
    </row>
    <row r="21" spans="1:8" x14ac:dyDescent="0.3">
      <c r="B21" s="6" t="s">
        <v>16</v>
      </c>
      <c r="C21" s="22"/>
      <c r="D21" s="22">
        <v>99000</v>
      </c>
      <c r="E21" s="22"/>
      <c r="F21" s="22">
        <v>45000</v>
      </c>
      <c r="G21" s="22"/>
      <c r="H21" s="12">
        <f t="shared" si="0"/>
        <v>44496</v>
      </c>
    </row>
    <row r="22" spans="1:8" x14ac:dyDescent="0.3">
      <c r="B22" s="50" t="s">
        <v>27</v>
      </c>
      <c r="C22" s="51">
        <f>SUM(October27_2021[KSI_AGO])</f>
        <v>2261500</v>
      </c>
      <c r="D22" s="51">
        <f>SUBTOTAL(109,October27_2021[KSI_PMS])</f>
        <v>513000</v>
      </c>
      <c r="E22" s="51">
        <f>SUM(October27_2021[BUIPE_AGO])</f>
        <v>311000</v>
      </c>
      <c r="F22" s="51">
        <f>SUM(October27_2021[BUIPE_PMS])</f>
        <v>95000</v>
      </c>
      <c r="G22" s="51">
        <f>SUM(October27_2021[AKOSOMBO_AGO])</f>
        <v>378000</v>
      </c>
      <c r="H22" s="52"/>
    </row>
    <row r="23" spans="1:8" x14ac:dyDescent="0.3">
      <c r="B23" s="8"/>
      <c r="C23" s="24"/>
      <c r="D23" s="24"/>
      <c r="E23" s="24"/>
      <c r="F23" s="24"/>
      <c r="G23" s="24"/>
      <c r="H23"/>
    </row>
    <row r="24" spans="1:8" x14ac:dyDescent="0.3">
      <c r="B24" s="1" t="s">
        <v>6</v>
      </c>
      <c r="C24" s="1" t="s">
        <v>4</v>
      </c>
      <c r="D24" s="5">
        <f>SUMIF(October27_2021[[#Headers],[KSI_AGO]:[AKOSOMBO_AGO]],"*"&amp;C24,October27_2021[[#Totals],[KSI_AGO]:[AKOSOMBO_AGO]])</f>
        <v>2950500</v>
      </c>
      <c r="E24" s="1" t="s">
        <v>5</v>
      </c>
      <c r="F24" s="5">
        <f>SUMIF(October27_2021[[#Headers],[KSI_AGO]:[AKOSOMBO_AGO]],"*"&amp;E24,October27_2021[[#Totals],[KSI_AGO]:[AKOSOMBO_AGO]])</f>
        <v>608000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4A5D4D46-60AD-462B-BA80-EC38269F51E0}">
      <formula1>INDIRECT("BDC_List[BDC List]")</formula1>
    </dataValidation>
  </dataValidations>
  <pageMargins left="0.7" right="0.7" top="0.75" bottom="0.75" header="0.3" footer="0.3"/>
  <tableParts count="1">
    <tablePart r:id="rId1"/>
  </tableParts>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A26D7-E655-4C24-90F8-9E03F4FC9984}">
  <sheetPr codeName="Sheet461"/>
  <dimension ref="A1:J34"/>
  <sheetViews>
    <sheetView topLeftCell="C1" workbookViewId="0">
      <selection activeCell="F10" sqref="F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5.55468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44497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44497</v>
      </c>
    </row>
    <row r="7" spans="2:10" x14ac:dyDescent="0.3">
      <c r="B7" s="6" t="s">
        <v>37</v>
      </c>
      <c r="C7" s="22"/>
      <c r="D7" s="53"/>
      <c r="E7" s="53"/>
      <c r="F7" s="22"/>
      <c r="G7" s="22"/>
      <c r="H7" s="67">
        <f t="shared" si="0"/>
        <v>44497</v>
      </c>
    </row>
    <row r="8" spans="2:10" x14ac:dyDescent="0.3">
      <c r="B8" s="6" t="s">
        <v>17</v>
      </c>
      <c r="C8" s="22">
        <v>1026000</v>
      </c>
      <c r="D8" s="22"/>
      <c r="E8" s="22">
        <v>45000</v>
      </c>
      <c r="F8" s="22"/>
      <c r="G8" s="22"/>
      <c r="H8" s="12">
        <f t="shared" si="0"/>
        <v>44497</v>
      </c>
    </row>
    <row r="9" spans="2:10" ht="15.6" x14ac:dyDescent="0.3">
      <c r="B9" s="34" t="s">
        <v>0</v>
      </c>
      <c r="C9" s="60">
        <v>90000</v>
      </c>
      <c r="D9" s="60"/>
      <c r="E9" s="60"/>
      <c r="F9" s="60"/>
      <c r="G9" s="61"/>
      <c r="H9" s="12">
        <f t="shared" si="0"/>
        <v>44497</v>
      </c>
    </row>
    <row r="10" spans="2:10" ht="16.2" customHeight="1" x14ac:dyDescent="0.3">
      <c r="B10" s="6" t="s">
        <v>25</v>
      </c>
      <c r="C10" s="22"/>
      <c r="D10" s="116">
        <v>807800</v>
      </c>
      <c r="E10" s="22"/>
      <c r="F10" s="22"/>
      <c r="G10" s="49"/>
      <c r="H10" s="12">
        <f t="shared" si="0"/>
        <v>44497</v>
      </c>
    </row>
    <row r="11" spans="2:10" ht="13.5" customHeight="1" x14ac:dyDescent="0.3">
      <c r="B11" s="6" t="s">
        <v>15</v>
      </c>
      <c r="C11" s="48"/>
      <c r="D11" s="22"/>
      <c r="E11" s="22"/>
      <c r="F11" s="48"/>
      <c r="G11" s="22"/>
      <c r="H11" s="12">
        <f t="shared" si="0"/>
        <v>44497</v>
      </c>
    </row>
    <row r="12" spans="2:10" x14ac:dyDescent="0.3">
      <c r="B12" s="6" t="s">
        <v>54</v>
      </c>
      <c r="C12" s="22"/>
      <c r="D12" s="22"/>
      <c r="E12" s="22"/>
      <c r="F12" s="22"/>
      <c r="G12" s="22"/>
      <c r="H12" s="67">
        <f t="shared" si="0"/>
        <v>44497</v>
      </c>
    </row>
    <row r="13" spans="2:10" x14ac:dyDescent="0.3">
      <c r="B13" s="6" t="s">
        <v>26</v>
      </c>
      <c r="C13" s="22"/>
      <c r="D13" s="22"/>
      <c r="E13" s="22"/>
      <c r="F13" s="22"/>
      <c r="G13" s="22"/>
      <c r="H13" s="12">
        <f t="shared" si="0"/>
        <v>44497</v>
      </c>
    </row>
    <row r="14" spans="2:10" x14ac:dyDescent="0.3">
      <c r="B14" s="6" t="s">
        <v>22</v>
      </c>
      <c r="C14" s="22"/>
      <c r="D14" s="23"/>
      <c r="E14" s="23"/>
      <c r="F14" s="22"/>
      <c r="G14" s="23"/>
      <c r="H14" s="12">
        <f t="shared" si="0"/>
        <v>44497</v>
      </c>
      <c r="J14" s="4"/>
    </row>
    <row r="15" spans="2:10" x14ac:dyDescent="0.3">
      <c r="B15" s="6" t="s">
        <v>61</v>
      </c>
      <c r="C15" s="22"/>
      <c r="D15" s="23"/>
      <c r="E15" s="23"/>
      <c r="F15" s="22"/>
      <c r="G15" s="23"/>
      <c r="H15" s="67">
        <f t="shared" si="0"/>
        <v>44497</v>
      </c>
      <c r="J15" s="4"/>
    </row>
    <row r="16" spans="2:10" x14ac:dyDescent="0.3">
      <c r="B16" s="6" t="s">
        <v>19</v>
      </c>
      <c r="C16" s="22">
        <v>634500</v>
      </c>
      <c r="D16" s="22"/>
      <c r="E16" s="22"/>
      <c r="F16" s="22"/>
      <c r="G16" s="22"/>
      <c r="H16" s="12">
        <f t="shared" si="0"/>
        <v>44497</v>
      </c>
    </row>
    <row r="17" spans="1:8" x14ac:dyDescent="0.3">
      <c r="B17" s="6" t="s">
        <v>14</v>
      </c>
      <c r="C17" s="22"/>
      <c r="D17" s="22"/>
      <c r="E17" s="22"/>
      <c r="F17" s="22"/>
      <c r="G17" s="22"/>
      <c r="H17" s="12">
        <f t="shared" si="0"/>
        <v>44497</v>
      </c>
    </row>
    <row r="18" spans="1:8" x14ac:dyDescent="0.3">
      <c r="B18" s="6" t="s">
        <v>24</v>
      </c>
      <c r="C18" s="49"/>
      <c r="D18" s="22"/>
      <c r="E18" s="22"/>
      <c r="F18" s="49"/>
      <c r="G18" s="22"/>
      <c r="H18" s="12">
        <f t="shared" si="0"/>
        <v>44497</v>
      </c>
    </row>
    <row r="19" spans="1:8" x14ac:dyDescent="0.3">
      <c r="B19" s="6" t="s">
        <v>21</v>
      </c>
      <c r="C19" s="22"/>
      <c r="D19" s="22"/>
      <c r="E19" s="22"/>
      <c r="F19" s="22"/>
      <c r="G19" s="22"/>
      <c r="H19" s="12">
        <f t="shared" si="0"/>
        <v>44497</v>
      </c>
    </row>
    <row r="20" spans="1:8" x14ac:dyDescent="0.3">
      <c r="B20" s="6" t="s">
        <v>18</v>
      </c>
      <c r="C20" s="22">
        <v>369000</v>
      </c>
      <c r="D20" s="22"/>
      <c r="E20" s="22"/>
      <c r="F20" s="22"/>
      <c r="G20" s="22"/>
      <c r="H20" s="12">
        <f t="shared" si="0"/>
        <v>44497</v>
      </c>
    </row>
    <row r="21" spans="1:8" x14ac:dyDescent="0.3">
      <c r="B21" s="6" t="s">
        <v>16</v>
      </c>
      <c r="C21" s="22"/>
      <c r="D21" s="22"/>
      <c r="E21" s="22"/>
      <c r="F21" s="22"/>
      <c r="G21" s="22"/>
      <c r="H21" s="12">
        <f t="shared" si="0"/>
        <v>44497</v>
      </c>
    </row>
    <row r="22" spans="1:8" x14ac:dyDescent="0.3">
      <c r="B22" s="50" t="s">
        <v>27</v>
      </c>
      <c r="C22" s="51">
        <f>SUM(October28_2021[KSI_AGO])</f>
        <v>2119500</v>
      </c>
      <c r="D22" s="51">
        <f>SUBTOTAL(109,October28_2021[KSI_PMS])</f>
        <v>807800</v>
      </c>
      <c r="E22" s="51">
        <f>SUM(October28_2021[BUIPE_AGO])</f>
        <v>45000</v>
      </c>
      <c r="F22" s="51">
        <f>SUM(October28_2021[BUIPE_PMS])</f>
        <v>0</v>
      </c>
      <c r="G22" s="51">
        <f>SUM(October28_2021[AKOSOMBO_AGO])</f>
        <v>0</v>
      </c>
      <c r="H22" s="52"/>
    </row>
    <row r="23" spans="1:8" x14ac:dyDescent="0.3">
      <c r="B23" s="8"/>
      <c r="C23" s="24"/>
      <c r="D23" s="24"/>
      <c r="E23" s="24"/>
      <c r="F23" s="24"/>
      <c r="G23" s="24"/>
      <c r="H23"/>
    </row>
    <row r="24" spans="1:8" x14ac:dyDescent="0.3">
      <c r="B24" s="1" t="s">
        <v>6</v>
      </c>
      <c r="C24" s="1" t="s">
        <v>4</v>
      </c>
      <c r="D24" s="5">
        <f>SUMIF(October28_2021[[#Headers],[KSI_AGO]:[AKOSOMBO_AGO]],"*"&amp;C24,October28_2021[[#Totals],[KSI_AGO]:[AKOSOMBO_AGO]])</f>
        <v>2164500</v>
      </c>
      <c r="E24" s="1" t="s">
        <v>5</v>
      </c>
      <c r="F24" s="5">
        <f>SUMIF(October28_2021[[#Headers],[KSI_AGO]:[AKOSOMBO_AGO]],"*"&amp;E24,October28_2021[[#Totals],[KSI_AGO]:[AKOSOMBO_AGO]])</f>
        <v>807800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3C3E6820-0C5D-4E0E-9A28-AFBF984D91B4}">
      <formula1>INDIRECT("BDC_List[BDC List]")</formula1>
    </dataValidation>
  </dataValidations>
  <pageMargins left="0.7" right="0.7" top="0.75" bottom="0.75" header="0.3" footer="0.3"/>
  <tableParts count="1">
    <tablePart r:id="rId1"/>
  </tableParts>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F30D9-5AEF-419A-B5DD-6F4C45E04E32}">
  <sheetPr codeName="Sheet462"/>
  <dimension ref="A1:J34"/>
  <sheetViews>
    <sheetView topLeftCell="C1" workbookViewId="0">
      <selection activeCell="E22" sqref="E2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5.55468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44498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45"/>
      <c r="D6" s="22"/>
      <c r="E6" s="22"/>
      <c r="F6" s="45"/>
      <c r="G6" s="45"/>
      <c r="H6" s="12">
        <f t="shared" ref="H6:H21" si="0">$G$3</f>
        <v>44498</v>
      </c>
    </row>
    <row r="7" spans="2:10" x14ac:dyDescent="0.3">
      <c r="B7" s="6" t="s">
        <v>37</v>
      </c>
      <c r="C7" s="22"/>
      <c r="D7" s="53"/>
      <c r="E7" s="53"/>
      <c r="F7" s="22"/>
      <c r="G7" s="22"/>
      <c r="H7" s="67">
        <f t="shared" si="0"/>
        <v>44498</v>
      </c>
    </row>
    <row r="8" spans="2:10" x14ac:dyDescent="0.3">
      <c r="B8" s="6" t="s">
        <v>17</v>
      </c>
      <c r="C8" s="22"/>
      <c r="D8" s="22"/>
      <c r="E8" s="22">
        <v>99000</v>
      </c>
      <c r="F8" s="22"/>
      <c r="G8" s="22"/>
      <c r="H8" s="12">
        <f t="shared" si="0"/>
        <v>44498</v>
      </c>
    </row>
    <row r="9" spans="2:10" ht="15.6" x14ac:dyDescent="0.3">
      <c r="B9" s="34" t="s">
        <v>0</v>
      </c>
      <c r="C9" s="60"/>
      <c r="D9" s="60">
        <v>531000</v>
      </c>
      <c r="E9" s="60"/>
      <c r="F9" s="60">
        <v>531500</v>
      </c>
      <c r="G9" s="61"/>
      <c r="H9" s="12">
        <f t="shared" si="0"/>
        <v>44498</v>
      </c>
    </row>
    <row r="10" spans="2:10" ht="16.2" customHeight="1" x14ac:dyDescent="0.3">
      <c r="B10" s="6" t="s">
        <v>25</v>
      </c>
      <c r="C10" s="22"/>
      <c r="D10" s="22"/>
      <c r="E10" s="22"/>
      <c r="F10" s="22"/>
      <c r="G10" s="49"/>
      <c r="H10" s="12">
        <f t="shared" si="0"/>
        <v>44498</v>
      </c>
    </row>
    <row r="11" spans="2:10" ht="13.5" customHeight="1" x14ac:dyDescent="0.3">
      <c r="B11" s="6" t="s">
        <v>15</v>
      </c>
      <c r="C11" s="48"/>
      <c r="D11" s="22"/>
      <c r="E11" s="22"/>
      <c r="F11" s="48"/>
      <c r="G11" s="22"/>
      <c r="H11" s="12">
        <f t="shared" si="0"/>
        <v>44498</v>
      </c>
    </row>
    <row r="12" spans="2:10" x14ac:dyDescent="0.3">
      <c r="B12" s="6" t="s">
        <v>54</v>
      </c>
      <c r="C12" s="22"/>
      <c r="D12" s="22"/>
      <c r="E12" s="22"/>
      <c r="F12" s="22"/>
      <c r="G12" s="22"/>
      <c r="H12" s="67">
        <f t="shared" si="0"/>
        <v>44498</v>
      </c>
    </row>
    <row r="13" spans="2:10" x14ac:dyDescent="0.3">
      <c r="B13" s="6" t="s">
        <v>26</v>
      </c>
      <c r="C13" s="22"/>
      <c r="D13" s="22"/>
      <c r="E13" s="22"/>
      <c r="F13" s="22"/>
      <c r="G13" s="22"/>
      <c r="H13" s="12">
        <f t="shared" si="0"/>
        <v>44498</v>
      </c>
    </row>
    <row r="14" spans="2:10" x14ac:dyDescent="0.3">
      <c r="B14" s="6" t="s">
        <v>22</v>
      </c>
      <c r="C14" s="22"/>
      <c r="D14" s="23"/>
      <c r="E14" s="23"/>
      <c r="F14" s="22"/>
      <c r="G14" s="23"/>
      <c r="H14" s="12">
        <f t="shared" si="0"/>
        <v>44498</v>
      </c>
      <c r="J14" s="4"/>
    </row>
    <row r="15" spans="2:10" x14ac:dyDescent="0.3">
      <c r="B15" s="6" t="s">
        <v>61</v>
      </c>
      <c r="C15" s="22"/>
      <c r="D15" s="23"/>
      <c r="E15" s="23"/>
      <c r="F15" s="22"/>
      <c r="G15" s="23"/>
      <c r="H15" s="67">
        <f t="shared" si="0"/>
        <v>44498</v>
      </c>
      <c r="J15" s="4"/>
    </row>
    <row r="16" spans="2:10" x14ac:dyDescent="0.3">
      <c r="B16" s="6" t="s">
        <v>19</v>
      </c>
      <c r="C16" s="22">
        <v>108000</v>
      </c>
      <c r="D16" s="22"/>
      <c r="E16" s="22"/>
      <c r="F16" s="22"/>
      <c r="G16" s="22"/>
      <c r="H16" s="12">
        <f t="shared" si="0"/>
        <v>44498</v>
      </c>
    </row>
    <row r="17" spans="1:8" x14ac:dyDescent="0.3">
      <c r="B17" s="6" t="s">
        <v>14</v>
      </c>
      <c r="C17" s="22"/>
      <c r="D17" s="22"/>
      <c r="E17" s="22"/>
      <c r="F17" s="22"/>
      <c r="G17" s="22"/>
      <c r="H17" s="12">
        <f t="shared" si="0"/>
        <v>44498</v>
      </c>
    </row>
    <row r="18" spans="1:8" x14ac:dyDescent="0.3">
      <c r="B18" s="6" t="s">
        <v>24</v>
      </c>
      <c r="C18" s="49"/>
      <c r="D18" s="22"/>
      <c r="E18" s="22"/>
      <c r="F18" s="49"/>
      <c r="G18" s="22"/>
      <c r="H18" s="12">
        <f t="shared" si="0"/>
        <v>44498</v>
      </c>
    </row>
    <row r="19" spans="1:8" x14ac:dyDescent="0.3">
      <c r="B19" s="6" t="s">
        <v>21</v>
      </c>
      <c r="C19" s="22"/>
      <c r="D19" s="22"/>
      <c r="E19" s="22"/>
      <c r="F19" s="22"/>
      <c r="G19" s="22"/>
      <c r="H19" s="12">
        <f t="shared" si="0"/>
        <v>44498</v>
      </c>
    </row>
    <row r="20" spans="1:8" x14ac:dyDescent="0.3">
      <c r="B20" s="6" t="s">
        <v>18</v>
      </c>
      <c r="C20" s="22">
        <v>580500</v>
      </c>
      <c r="D20" s="22"/>
      <c r="E20" s="22"/>
      <c r="F20" s="22"/>
      <c r="G20" s="22"/>
      <c r="H20" s="12">
        <f t="shared" si="0"/>
        <v>44498</v>
      </c>
    </row>
    <row r="21" spans="1:8" x14ac:dyDescent="0.3">
      <c r="B21" s="6" t="s">
        <v>16</v>
      </c>
      <c r="C21" s="22"/>
      <c r="D21" s="22"/>
      <c r="E21" s="22"/>
      <c r="F21" s="22"/>
      <c r="G21" s="22"/>
      <c r="H21" s="12">
        <f t="shared" si="0"/>
        <v>44498</v>
      </c>
    </row>
    <row r="22" spans="1:8" x14ac:dyDescent="0.3">
      <c r="B22" s="50" t="s">
        <v>27</v>
      </c>
      <c r="C22" s="51">
        <f>SUM(October29_2021[KSI_AGO])</f>
        <v>688500</v>
      </c>
      <c r="D22" s="51">
        <f>SUBTOTAL(109,October29_2021[KSI_PMS])</f>
        <v>531000</v>
      </c>
      <c r="E22" s="51">
        <f>SUM(October29_2021[BUIPE_AGO])</f>
        <v>99000</v>
      </c>
      <c r="F22" s="51">
        <f>SUM(October29_2021[BUIPE_PMS])</f>
        <v>531500</v>
      </c>
      <c r="G22" s="51">
        <f>SUM(October29_2021[AKOSOMBO_AGO])</f>
        <v>0</v>
      </c>
      <c r="H22" s="52"/>
    </row>
    <row r="23" spans="1:8" x14ac:dyDescent="0.3">
      <c r="B23" s="8"/>
      <c r="C23" s="24"/>
      <c r="D23" s="24"/>
      <c r="E23" s="24"/>
      <c r="F23" s="24"/>
      <c r="G23" s="24"/>
      <c r="H23"/>
    </row>
    <row r="24" spans="1:8" x14ac:dyDescent="0.3">
      <c r="B24" s="1" t="s">
        <v>6</v>
      </c>
      <c r="C24" s="1" t="s">
        <v>4</v>
      </c>
      <c r="D24" s="5">
        <f>SUMIF(October29_2021[[#Headers],[KSI_AGO]:[AKOSOMBO_AGO]],"*"&amp;C24,October29_2021[[#Totals],[KSI_AGO]:[AKOSOMBO_AGO]])</f>
        <v>787500</v>
      </c>
      <c r="E24" s="1" t="s">
        <v>5</v>
      </c>
      <c r="F24" s="5">
        <f>SUMIF(October29_2021[[#Headers],[KSI_AGO]:[AKOSOMBO_AGO]],"*"&amp;E24,October29_2021[[#Totals],[KSI_AGO]:[AKOSOMBO_AGO]])</f>
        <v>1062500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71AEEE35-B9C1-46F4-9734-18CD98416F80}">
      <formula1>INDIRECT("BDC_List[BDC List]")</formula1>
    </dataValidation>
  </dataValidations>
  <pageMargins left="0.7" right="0.7" top="0.75" bottom="0.75" header="0.3" footer="0.3"/>
  <tableParts count="1">
    <tablePart r:id="rId1"/>
  </tableParts>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D3AA-0E67-4006-A37D-33700B7BAA2D}">
  <sheetPr codeName="Sheet463"/>
  <dimension ref="A1:J34"/>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44502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44502</v>
      </c>
    </row>
    <row r="7" spans="2:10" x14ac:dyDescent="0.3">
      <c r="B7" s="6" t="s">
        <v>37</v>
      </c>
      <c r="C7" s="49"/>
      <c r="D7" s="22"/>
      <c r="E7" s="22"/>
      <c r="F7" s="22"/>
      <c r="G7" s="22"/>
      <c r="H7" s="67">
        <f t="shared" si="0"/>
        <v>44502</v>
      </c>
    </row>
    <row r="8" spans="2:10" x14ac:dyDescent="0.3">
      <c r="B8" s="6" t="s">
        <v>17</v>
      </c>
      <c r="C8" s="22"/>
      <c r="D8" s="22"/>
      <c r="E8" s="22"/>
      <c r="F8" s="22"/>
      <c r="G8" s="22"/>
      <c r="H8" s="12">
        <f t="shared" si="0"/>
        <v>44502</v>
      </c>
    </row>
    <row r="9" spans="2:10" ht="15.6" x14ac:dyDescent="0.3">
      <c r="B9" s="34" t="s">
        <v>0</v>
      </c>
      <c r="C9" s="60"/>
      <c r="D9" s="60">
        <v>1079000</v>
      </c>
      <c r="E9" s="60"/>
      <c r="F9" s="60">
        <v>535000</v>
      </c>
      <c r="G9" s="61"/>
      <c r="H9" s="12">
        <f t="shared" si="0"/>
        <v>44502</v>
      </c>
    </row>
    <row r="10" spans="2:10" ht="16.2" customHeight="1" x14ac:dyDescent="0.3">
      <c r="B10" s="6" t="s">
        <v>25</v>
      </c>
      <c r="C10" s="22"/>
      <c r="D10" s="22"/>
      <c r="E10" s="22"/>
      <c r="F10" s="22"/>
      <c r="G10" s="22"/>
      <c r="H10" s="12">
        <f t="shared" si="0"/>
        <v>44502</v>
      </c>
    </row>
    <row r="11" spans="2:10" ht="13.5" customHeight="1" x14ac:dyDescent="0.3">
      <c r="B11" s="6" t="s">
        <v>15</v>
      </c>
      <c r="C11" s="22"/>
      <c r="D11" s="48"/>
      <c r="E11" s="22"/>
      <c r="F11" s="48"/>
      <c r="G11" s="22"/>
      <c r="H11" s="12">
        <f t="shared" si="0"/>
        <v>44502</v>
      </c>
    </row>
    <row r="12" spans="2:10" x14ac:dyDescent="0.3">
      <c r="B12" s="6" t="s">
        <v>54</v>
      </c>
      <c r="C12" s="22"/>
      <c r="D12" s="22"/>
      <c r="E12" s="22"/>
      <c r="F12" s="22"/>
      <c r="G12" s="22"/>
      <c r="H12" s="67">
        <f t="shared" si="0"/>
        <v>44502</v>
      </c>
    </row>
    <row r="13" spans="2:10" x14ac:dyDescent="0.3">
      <c r="B13" s="6" t="s">
        <v>26</v>
      </c>
      <c r="C13" s="22"/>
      <c r="D13" s="22"/>
      <c r="E13" s="22"/>
      <c r="F13" s="22"/>
      <c r="G13" s="22"/>
      <c r="H13" s="12">
        <f t="shared" si="0"/>
        <v>44502</v>
      </c>
    </row>
    <row r="14" spans="2:10" x14ac:dyDescent="0.3">
      <c r="B14" s="6" t="s">
        <v>22</v>
      </c>
      <c r="C14" s="23"/>
      <c r="D14" s="22"/>
      <c r="E14" s="23"/>
      <c r="F14" s="22"/>
      <c r="G14" s="23"/>
      <c r="H14" s="12">
        <f t="shared" si="0"/>
        <v>44502</v>
      </c>
      <c r="J14" s="4"/>
    </row>
    <row r="15" spans="2:10" x14ac:dyDescent="0.3">
      <c r="B15" s="6" t="s">
        <v>61</v>
      </c>
      <c r="C15" s="23"/>
      <c r="D15" s="22"/>
      <c r="E15" s="23"/>
      <c r="F15" s="22"/>
      <c r="G15" s="23"/>
      <c r="H15" s="67">
        <f t="shared" si="0"/>
        <v>44502</v>
      </c>
      <c r="J15" s="4"/>
    </row>
    <row r="16" spans="2:10" x14ac:dyDescent="0.3">
      <c r="B16" s="6" t="s">
        <v>19</v>
      </c>
      <c r="C16" s="22"/>
      <c r="D16" s="22"/>
      <c r="E16" s="22"/>
      <c r="F16" s="22"/>
      <c r="G16" s="22"/>
      <c r="H16" s="12">
        <f t="shared" si="0"/>
        <v>44502</v>
      </c>
    </row>
    <row r="17" spans="1:8" x14ac:dyDescent="0.3">
      <c r="B17" s="6" t="s">
        <v>14</v>
      </c>
      <c r="C17" s="22"/>
      <c r="D17" s="22"/>
      <c r="E17" s="22"/>
      <c r="F17" s="22"/>
      <c r="G17" s="22"/>
      <c r="H17" s="12">
        <f t="shared" si="0"/>
        <v>44502</v>
      </c>
    </row>
    <row r="18" spans="1:8" x14ac:dyDescent="0.3">
      <c r="B18" s="6" t="s">
        <v>24</v>
      </c>
      <c r="C18" s="22"/>
      <c r="D18" s="49"/>
      <c r="E18" s="22"/>
      <c r="F18" s="49"/>
      <c r="G18" s="22"/>
      <c r="H18" s="12">
        <f t="shared" si="0"/>
        <v>44502</v>
      </c>
    </row>
    <row r="19" spans="1:8" x14ac:dyDescent="0.3">
      <c r="B19" s="6" t="s">
        <v>21</v>
      </c>
      <c r="C19" s="22"/>
      <c r="D19" s="22"/>
      <c r="E19" s="22"/>
      <c r="F19" s="22"/>
      <c r="G19" s="22"/>
      <c r="H19" s="12">
        <f t="shared" si="0"/>
        <v>44502</v>
      </c>
    </row>
    <row r="20" spans="1:8" x14ac:dyDescent="0.3">
      <c r="B20" s="6" t="s">
        <v>18</v>
      </c>
      <c r="C20" s="22"/>
      <c r="D20" s="22"/>
      <c r="E20" s="22"/>
      <c r="F20" s="22"/>
      <c r="G20" s="22"/>
      <c r="H20" s="12">
        <f t="shared" si="0"/>
        <v>44502</v>
      </c>
    </row>
    <row r="21" spans="1:8" x14ac:dyDescent="0.3">
      <c r="B21" s="6" t="s">
        <v>16</v>
      </c>
      <c r="C21" s="22"/>
      <c r="D21" s="22"/>
      <c r="E21" s="22"/>
      <c r="F21" s="22"/>
      <c r="G21" s="22"/>
      <c r="H21" s="12">
        <f t="shared" si="0"/>
        <v>44502</v>
      </c>
    </row>
    <row r="22" spans="1:8" x14ac:dyDescent="0.3">
      <c r="B22" s="50" t="s">
        <v>27</v>
      </c>
      <c r="C22" s="51">
        <f>SUM(November02_2021[KSI_AGO])</f>
        <v>0</v>
      </c>
      <c r="D22" s="51">
        <f>SUBTOTAL(109,November02_2021[KSI_PMS])</f>
        <v>1079000</v>
      </c>
      <c r="E22" s="51">
        <f>SUM(November02_2021[BUIPE_AGO])</f>
        <v>0</v>
      </c>
      <c r="F22" s="51">
        <f>SUM(November02_2021[BUIPE_PMS])</f>
        <v>535000</v>
      </c>
      <c r="G22" s="51">
        <f>SUM(November02_2021[AKOSOMBO_AGO])</f>
        <v>0</v>
      </c>
      <c r="H22" s="52"/>
    </row>
    <row r="23" spans="1:8" x14ac:dyDescent="0.3">
      <c r="B23" s="8"/>
      <c r="C23" s="24"/>
      <c r="D23" s="24"/>
      <c r="E23" s="24"/>
      <c r="F23" s="24"/>
      <c r="G23" s="24"/>
      <c r="H23"/>
    </row>
    <row r="24" spans="1:8" x14ac:dyDescent="0.3">
      <c r="B24" s="1" t="s">
        <v>6</v>
      </c>
      <c r="C24" s="1" t="s">
        <v>4</v>
      </c>
      <c r="D24" s="5">
        <f>SUMIF(November02_2021[[#Headers],[KSI_AGO]:[AKOSOMBO_AGO]],"*"&amp;C24,November02_2021[[#Totals],[KSI_AGO]:[AKOSOMBO_AGO]])</f>
        <v>0</v>
      </c>
      <c r="E24" s="1" t="s">
        <v>5</v>
      </c>
      <c r="F24" s="5">
        <f>SUMIF(November02_2021[[#Headers],[KSI_AGO]:[AKOSOMBO_AGO]],"*"&amp;E24,November02_2021[[#Totals],[KSI_AGO]:[AKOSOMBO_AGO]])</f>
        <v>1614000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F1225F6F-CB6A-429E-A5B5-CBE0E4FF5401}">
      <formula1>INDIRECT("BDC_List[BDC List]")</formula1>
    </dataValidation>
  </dataValidations>
  <pageMargins left="0.7" right="0.7" top="0.75" bottom="0.75" header="0.3" footer="0.3"/>
  <tableParts count="1">
    <tablePart r:id="rId1"/>
  </tableParts>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8E234-24D7-4950-A6A3-638F3F8A7895}">
  <sheetPr codeName="Sheet464"/>
  <dimension ref="A1:J34"/>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44503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44503</v>
      </c>
    </row>
    <row r="7" spans="2:10" x14ac:dyDescent="0.3">
      <c r="B7" s="6" t="s">
        <v>37</v>
      </c>
      <c r="C7" s="49"/>
      <c r="D7" s="22"/>
      <c r="E7" s="22"/>
      <c r="F7" s="22"/>
      <c r="G7" s="22"/>
      <c r="H7" s="67">
        <f t="shared" si="0"/>
        <v>44503</v>
      </c>
    </row>
    <row r="8" spans="2:10" x14ac:dyDescent="0.3">
      <c r="B8" s="6" t="s">
        <v>17</v>
      </c>
      <c r="C8" s="22">
        <v>211500</v>
      </c>
      <c r="D8" s="22"/>
      <c r="E8" s="22">
        <v>45000</v>
      </c>
      <c r="F8" s="22"/>
      <c r="G8" s="22"/>
      <c r="H8" s="12">
        <f t="shared" si="0"/>
        <v>44503</v>
      </c>
    </row>
    <row r="9" spans="2:10" ht="15.6" x14ac:dyDescent="0.3">
      <c r="B9" s="34" t="s">
        <v>0</v>
      </c>
      <c r="C9" s="60"/>
      <c r="D9" s="60">
        <v>1333000</v>
      </c>
      <c r="E9" s="60"/>
      <c r="F9" s="60">
        <v>486000</v>
      </c>
      <c r="G9" s="61"/>
      <c r="H9" s="12">
        <f t="shared" si="0"/>
        <v>44503</v>
      </c>
    </row>
    <row r="10" spans="2:10" ht="16.2" customHeight="1" x14ac:dyDescent="0.3">
      <c r="B10" s="6" t="s">
        <v>25</v>
      </c>
      <c r="C10" s="22"/>
      <c r="D10" s="22"/>
      <c r="E10" s="22"/>
      <c r="F10" s="22"/>
      <c r="G10" s="22"/>
      <c r="H10" s="12">
        <f t="shared" si="0"/>
        <v>44503</v>
      </c>
    </row>
    <row r="11" spans="2:10" ht="13.5" customHeight="1" x14ac:dyDescent="0.3">
      <c r="B11" s="6" t="s">
        <v>15</v>
      </c>
      <c r="C11" s="22"/>
      <c r="D11" s="48"/>
      <c r="E11" s="22"/>
      <c r="F11" s="48"/>
      <c r="G11" s="22"/>
      <c r="H11" s="12">
        <f t="shared" si="0"/>
        <v>44503</v>
      </c>
    </row>
    <row r="12" spans="2:10" x14ac:dyDescent="0.3">
      <c r="B12" s="6" t="s">
        <v>54</v>
      </c>
      <c r="C12" s="22"/>
      <c r="D12" s="22"/>
      <c r="E12" s="22"/>
      <c r="F12" s="22"/>
      <c r="G12" s="22"/>
      <c r="H12" s="67">
        <f t="shared" si="0"/>
        <v>44503</v>
      </c>
    </row>
    <row r="13" spans="2:10" x14ac:dyDescent="0.3">
      <c r="B13" s="6" t="s">
        <v>26</v>
      </c>
      <c r="C13" s="22">
        <v>800500</v>
      </c>
      <c r="D13" s="22"/>
      <c r="E13" s="22">
        <v>162000</v>
      </c>
      <c r="F13" s="22"/>
      <c r="G13" s="22"/>
      <c r="H13" s="12">
        <f t="shared" si="0"/>
        <v>44503</v>
      </c>
    </row>
    <row r="14" spans="2:10" x14ac:dyDescent="0.3">
      <c r="B14" s="6" t="s">
        <v>22</v>
      </c>
      <c r="C14" s="23"/>
      <c r="D14" s="22"/>
      <c r="E14" s="23"/>
      <c r="F14" s="22"/>
      <c r="G14" s="23"/>
      <c r="H14" s="12">
        <f t="shared" si="0"/>
        <v>44503</v>
      </c>
      <c r="J14" s="4"/>
    </row>
    <row r="15" spans="2:10" x14ac:dyDescent="0.3">
      <c r="B15" s="6" t="s">
        <v>61</v>
      </c>
      <c r="C15" s="23"/>
      <c r="D15" s="22"/>
      <c r="E15" s="23"/>
      <c r="F15" s="22"/>
      <c r="G15" s="23"/>
      <c r="H15" s="67">
        <f t="shared" si="0"/>
        <v>44503</v>
      </c>
      <c r="J15" s="4"/>
    </row>
    <row r="16" spans="2:10" x14ac:dyDescent="0.3">
      <c r="B16" s="6" t="s">
        <v>19</v>
      </c>
      <c r="C16" s="22"/>
      <c r="D16" s="22"/>
      <c r="E16" s="22"/>
      <c r="F16" s="22"/>
      <c r="G16" s="22"/>
      <c r="H16" s="12">
        <f t="shared" si="0"/>
        <v>44503</v>
      </c>
    </row>
    <row r="17" spans="1:8" x14ac:dyDescent="0.3">
      <c r="B17" s="6" t="s">
        <v>14</v>
      </c>
      <c r="C17" s="22"/>
      <c r="D17" s="22"/>
      <c r="E17" s="22"/>
      <c r="F17" s="22"/>
      <c r="G17" s="22"/>
      <c r="H17" s="12">
        <f t="shared" si="0"/>
        <v>44503</v>
      </c>
    </row>
    <row r="18" spans="1:8" x14ac:dyDescent="0.3">
      <c r="B18" s="6" t="s">
        <v>24</v>
      </c>
      <c r="C18" s="22"/>
      <c r="D18" s="49"/>
      <c r="E18" s="22"/>
      <c r="F18" s="49"/>
      <c r="G18" s="22"/>
      <c r="H18" s="12">
        <f t="shared" si="0"/>
        <v>44503</v>
      </c>
    </row>
    <row r="19" spans="1:8" x14ac:dyDescent="0.3">
      <c r="B19" s="6" t="s">
        <v>21</v>
      </c>
      <c r="C19" s="22"/>
      <c r="D19" s="22"/>
      <c r="E19" s="22"/>
      <c r="F19" s="22"/>
      <c r="G19" s="22"/>
      <c r="H19" s="12">
        <f t="shared" si="0"/>
        <v>44503</v>
      </c>
    </row>
    <row r="20" spans="1:8" x14ac:dyDescent="0.3">
      <c r="B20" s="6" t="s">
        <v>18</v>
      </c>
      <c r="C20" s="22"/>
      <c r="D20" s="22"/>
      <c r="E20" s="22"/>
      <c r="F20" s="22"/>
      <c r="G20" s="22"/>
      <c r="H20" s="12">
        <f t="shared" si="0"/>
        <v>44503</v>
      </c>
    </row>
    <row r="21" spans="1:8" x14ac:dyDescent="0.3">
      <c r="B21" s="6" t="s">
        <v>16</v>
      </c>
      <c r="C21" s="22"/>
      <c r="D21" s="22"/>
      <c r="E21" s="22"/>
      <c r="F21" s="22"/>
      <c r="G21" s="22"/>
      <c r="H21" s="12">
        <f t="shared" si="0"/>
        <v>44503</v>
      </c>
    </row>
    <row r="22" spans="1:8" x14ac:dyDescent="0.3">
      <c r="B22" s="50" t="s">
        <v>27</v>
      </c>
      <c r="C22" s="51">
        <f>SUM(November02_20212[KSI_AGO])</f>
        <v>1012000</v>
      </c>
      <c r="D22" s="51">
        <f>SUBTOTAL(109,November02_20212[KSI_PMS])</f>
        <v>1333000</v>
      </c>
      <c r="E22" s="51">
        <f>SUM(November02_20212[BUIPE_AGO])</f>
        <v>207000</v>
      </c>
      <c r="F22" s="51">
        <f>SUM(November02_20212[BUIPE_PMS])</f>
        <v>486000</v>
      </c>
      <c r="G22" s="51">
        <f>SUM(November02_20212[AKOSOMBO_AGO])</f>
        <v>0</v>
      </c>
      <c r="H22" s="52"/>
    </row>
    <row r="23" spans="1:8" x14ac:dyDescent="0.3">
      <c r="B23" s="8"/>
      <c r="C23" s="24"/>
      <c r="D23" s="24"/>
      <c r="E23" s="24"/>
      <c r="F23" s="24"/>
      <c r="G23" s="24"/>
      <c r="H23"/>
    </row>
    <row r="24" spans="1:8" x14ac:dyDescent="0.3">
      <c r="B24" s="1" t="s">
        <v>6</v>
      </c>
      <c r="C24" s="1" t="s">
        <v>4</v>
      </c>
      <c r="D24" s="5">
        <f>SUMIF(November02_20212[[#Headers],[KSI_AGO]:[AKOSOMBO_AGO]],"*"&amp;C24,November02_20212[[#Totals],[KSI_AGO]:[AKOSOMBO_AGO]])</f>
        <v>1219000</v>
      </c>
      <c r="E24" s="1" t="s">
        <v>5</v>
      </c>
      <c r="F24" s="5">
        <f>SUMIF(November02_20212[[#Headers],[KSI_AGO]:[AKOSOMBO_AGO]],"*"&amp;E24,November02_20212[[#Totals],[KSI_AGO]:[AKOSOMBO_AGO]])</f>
        <v>1819000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87284DF0-CB34-45F3-BD06-0CB19BF89FA9}">
      <formula1>INDIRECT("BDC_List[BDC List]")</formula1>
    </dataValidation>
  </dataValidations>
  <pageMargins left="0.7" right="0.7" top="0.75" bottom="0.75" header="0.3" footer="0.3"/>
  <tableParts count="1">
    <tablePart r:id="rId1"/>
  </tableParts>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3B48-8AF7-4AC8-BCBD-475D54B28C30}">
  <sheetPr codeName="Sheet465"/>
  <dimension ref="A1:J34"/>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44504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44504</v>
      </c>
    </row>
    <row r="7" spans="2:10" x14ac:dyDescent="0.3">
      <c r="B7" s="6" t="s">
        <v>37</v>
      </c>
      <c r="C7" s="49"/>
      <c r="D7" s="22"/>
      <c r="E7" s="22"/>
      <c r="F7" s="22"/>
      <c r="G7" s="22"/>
      <c r="H7" s="67">
        <f t="shared" si="0"/>
        <v>44504</v>
      </c>
    </row>
    <row r="8" spans="2:10" x14ac:dyDescent="0.3">
      <c r="B8" s="6" t="s">
        <v>17</v>
      </c>
      <c r="C8" s="22">
        <v>364500</v>
      </c>
      <c r="D8" s="22">
        <v>855000</v>
      </c>
      <c r="E8" s="22">
        <v>99000</v>
      </c>
      <c r="F8" s="22"/>
      <c r="G8" s="22"/>
      <c r="H8" s="12">
        <f t="shared" si="0"/>
        <v>44504</v>
      </c>
    </row>
    <row r="9" spans="2:10" ht="15.6" x14ac:dyDescent="0.3">
      <c r="B9" s="34" t="s">
        <v>0</v>
      </c>
      <c r="C9" s="60"/>
      <c r="D9" s="60">
        <v>54000</v>
      </c>
      <c r="E9" s="60"/>
      <c r="F9" s="60">
        <v>540000</v>
      </c>
      <c r="G9" s="61"/>
      <c r="H9" s="12">
        <f t="shared" si="0"/>
        <v>44504</v>
      </c>
    </row>
    <row r="10" spans="2:10" ht="16.2" customHeight="1" x14ac:dyDescent="0.3">
      <c r="B10" s="6" t="s">
        <v>25</v>
      </c>
      <c r="C10" s="22"/>
      <c r="D10" s="22"/>
      <c r="E10" s="22"/>
      <c r="F10" s="22"/>
      <c r="G10" s="22"/>
      <c r="H10" s="12">
        <f t="shared" si="0"/>
        <v>44504</v>
      </c>
    </row>
    <row r="11" spans="2:10" ht="13.5" customHeight="1" x14ac:dyDescent="0.3">
      <c r="B11" s="6" t="s">
        <v>15</v>
      </c>
      <c r="C11" s="22"/>
      <c r="D11" s="48"/>
      <c r="E11" s="22"/>
      <c r="F11" s="48"/>
      <c r="G11" s="22"/>
      <c r="H11" s="12">
        <f t="shared" si="0"/>
        <v>44504</v>
      </c>
    </row>
    <row r="12" spans="2:10" x14ac:dyDescent="0.3">
      <c r="B12" s="6" t="s">
        <v>54</v>
      </c>
      <c r="C12" s="22">
        <v>1174500</v>
      </c>
      <c r="D12" s="22"/>
      <c r="E12" s="22"/>
      <c r="F12" s="22"/>
      <c r="G12" s="22"/>
      <c r="H12" s="67">
        <f t="shared" si="0"/>
        <v>44504</v>
      </c>
    </row>
    <row r="13" spans="2:10" x14ac:dyDescent="0.3">
      <c r="B13" s="6" t="s">
        <v>26</v>
      </c>
      <c r="C13" s="22">
        <v>103500</v>
      </c>
      <c r="D13" s="22"/>
      <c r="E13" s="22"/>
      <c r="F13" s="22"/>
      <c r="G13" s="22"/>
      <c r="H13" s="12">
        <f t="shared" si="0"/>
        <v>44504</v>
      </c>
    </row>
    <row r="14" spans="2:10" x14ac:dyDescent="0.3">
      <c r="B14" s="6" t="s">
        <v>22</v>
      </c>
      <c r="C14" s="23"/>
      <c r="D14" s="22">
        <v>162000</v>
      </c>
      <c r="E14" s="23"/>
      <c r="F14" s="22"/>
      <c r="G14" s="23"/>
      <c r="H14" s="12">
        <f t="shared" si="0"/>
        <v>44504</v>
      </c>
      <c r="J14" s="4"/>
    </row>
    <row r="15" spans="2:10" x14ac:dyDescent="0.3">
      <c r="B15" s="6" t="s">
        <v>61</v>
      </c>
      <c r="C15" s="23"/>
      <c r="D15" s="22"/>
      <c r="E15" s="23"/>
      <c r="F15" s="22"/>
      <c r="G15" s="23"/>
      <c r="H15" s="67">
        <f t="shared" si="0"/>
        <v>44504</v>
      </c>
      <c r="J15" s="4"/>
    </row>
    <row r="16" spans="2:10" x14ac:dyDescent="0.3">
      <c r="B16" s="6" t="s">
        <v>19</v>
      </c>
      <c r="C16" s="22"/>
      <c r="D16" s="22">
        <v>486000</v>
      </c>
      <c r="E16" s="22"/>
      <c r="F16" s="22"/>
      <c r="G16" s="22"/>
      <c r="H16" s="12">
        <f t="shared" si="0"/>
        <v>44504</v>
      </c>
    </row>
    <row r="17" spans="1:8" x14ac:dyDescent="0.3">
      <c r="B17" s="6" t="s">
        <v>14</v>
      </c>
      <c r="C17" s="22">
        <v>648000</v>
      </c>
      <c r="D17" s="22"/>
      <c r="E17" s="22"/>
      <c r="F17" s="22"/>
      <c r="G17" s="22"/>
      <c r="H17" s="12">
        <f t="shared" si="0"/>
        <v>44504</v>
      </c>
    </row>
    <row r="18" spans="1:8" x14ac:dyDescent="0.3">
      <c r="B18" s="6" t="s">
        <v>24</v>
      </c>
      <c r="C18" s="22"/>
      <c r="D18" s="49"/>
      <c r="E18" s="22"/>
      <c r="F18" s="49"/>
      <c r="G18" s="22"/>
      <c r="H18" s="12">
        <f t="shared" si="0"/>
        <v>44504</v>
      </c>
    </row>
    <row r="19" spans="1:8" x14ac:dyDescent="0.3">
      <c r="B19" s="6" t="s">
        <v>21</v>
      </c>
      <c r="C19" s="22"/>
      <c r="D19" s="22"/>
      <c r="E19" s="22"/>
      <c r="F19" s="22"/>
      <c r="G19" s="22"/>
      <c r="H19" s="12">
        <f t="shared" si="0"/>
        <v>44504</v>
      </c>
    </row>
    <row r="20" spans="1:8" x14ac:dyDescent="0.3">
      <c r="B20" s="6" t="s">
        <v>18</v>
      </c>
      <c r="C20" s="22"/>
      <c r="D20" s="22"/>
      <c r="E20" s="22"/>
      <c r="F20" s="22"/>
      <c r="G20" s="22"/>
      <c r="H20" s="12">
        <f t="shared" si="0"/>
        <v>44504</v>
      </c>
    </row>
    <row r="21" spans="1:8" x14ac:dyDescent="0.3">
      <c r="B21" s="6" t="s">
        <v>16</v>
      </c>
      <c r="C21" s="22"/>
      <c r="D21" s="22"/>
      <c r="E21" s="22"/>
      <c r="F21" s="22"/>
      <c r="G21" s="22"/>
      <c r="H21" s="12">
        <f t="shared" si="0"/>
        <v>44504</v>
      </c>
    </row>
    <row r="22" spans="1:8" x14ac:dyDescent="0.3">
      <c r="B22" s="50" t="s">
        <v>27</v>
      </c>
      <c r="C22" s="51">
        <f>SUM(November04_2021[KSI_AGO])</f>
        <v>2290500</v>
      </c>
      <c r="D22" s="51">
        <f>SUBTOTAL(109,November04_2021[KSI_PMS])</f>
        <v>1557000</v>
      </c>
      <c r="E22" s="51">
        <f>SUM(November04_2021[BUIPE_AGO])</f>
        <v>99000</v>
      </c>
      <c r="F22" s="51">
        <f>SUM(November04_2021[BUIPE_PMS])</f>
        <v>540000</v>
      </c>
      <c r="G22" s="51">
        <f>SUM(November04_2021[AKOSOMBO_AGO])</f>
        <v>0</v>
      </c>
      <c r="H22" s="52"/>
    </row>
    <row r="23" spans="1:8" x14ac:dyDescent="0.3">
      <c r="B23" s="8"/>
      <c r="C23" s="24"/>
      <c r="D23" s="24"/>
      <c r="E23" s="24"/>
      <c r="F23" s="24"/>
      <c r="G23" s="24"/>
      <c r="H23"/>
    </row>
    <row r="24" spans="1:8" x14ac:dyDescent="0.3">
      <c r="B24" s="1" t="s">
        <v>6</v>
      </c>
      <c r="C24" s="1" t="s">
        <v>4</v>
      </c>
      <c r="D24" s="5">
        <f>SUMIF(November04_2021[[#Headers],[KSI_AGO]:[AKOSOMBO_AGO]],"*"&amp;C24,November04_2021[[#Totals],[KSI_AGO]:[AKOSOMBO_AGO]])</f>
        <v>2389500</v>
      </c>
      <c r="E24" s="1" t="s">
        <v>5</v>
      </c>
      <c r="F24" s="5">
        <f>SUMIF(November04_2021[[#Headers],[KSI_AGO]:[AKOSOMBO_AGO]],"*"&amp;E24,November04_2021[[#Totals],[KSI_AGO]:[AKOSOMBO_AGO]])</f>
        <v>2097000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A6237464-4245-4163-930F-D33B2191638E}">
      <formula1>INDIRECT("BDC_List[BDC List]")</formula1>
    </dataValidation>
  </dataValidations>
  <pageMargins left="0.7" right="0.7" top="0.75" bottom="0.75" header="0.3" footer="0.3"/>
  <tableParts count="1">
    <tablePart r:id="rId1"/>
  </tableParts>
</worksheet>
</file>

<file path=xl/worksheets/sheet4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39F9-FDF8-4874-A96C-F40D888B37DE}">
  <sheetPr codeName="Sheet466"/>
  <dimension ref="A1:J34"/>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44505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44505</v>
      </c>
    </row>
    <row r="7" spans="2:10" x14ac:dyDescent="0.3">
      <c r="B7" s="6" t="s">
        <v>37</v>
      </c>
      <c r="C7" s="49"/>
      <c r="D7" s="22"/>
      <c r="E7" s="22"/>
      <c r="F7" s="22"/>
      <c r="G7" s="22"/>
      <c r="H7" s="67">
        <f t="shared" si="0"/>
        <v>44505</v>
      </c>
    </row>
    <row r="8" spans="2:10" x14ac:dyDescent="0.3">
      <c r="B8" s="6" t="s">
        <v>17</v>
      </c>
      <c r="C8" s="22"/>
      <c r="D8" s="22">
        <v>533500</v>
      </c>
      <c r="E8" s="22"/>
      <c r="F8" s="22"/>
      <c r="G8" s="22"/>
      <c r="H8" s="12">
        <f t="shared" si="0"/>
        <v>44505</v>
      </c>
    </row>
    <row r="9" spans="2:10" ht="15.6" x14ac:dyDescent="0.3">
      <c r="B9" s="34" t="s">
        <v>0</v>
      </c>
      <c r="C9" s="60"/>
      <c r="D9" s="60"/>
      <c r="E9" s="60"/>
      <c r="F9" s="60">
        <v>594000</v>
      </c>
      <c r="G9" s="61"/>
      <c r="H9" s="12">
        <f t="shared" si="0"/>
        <v>44505</v>
      </c>
    </row>
    <row r="10" spans="2:10" ht="16.2" customHeight="1" x14ac:dyDescent="0.3">
      <c r="B10" s="6" t="s">
        <v>25</v>
      </c>
      <c r="C10" s="22"/>
      <c r="D10" s="22"/>
      <c r="E10" s="22"/>
      <c r="F10" s="22"/>
      <c r="G10" s="22"/>
      <c r="H10" s="12">
        <f t="shared" si="0"/>
        <v>44505</v>
      </c>
    </row>
    <row r="11" spans="2:10" ht="13.5" customHeight="1" x14ac:dyDescent="0.3">
      <c r="B11" s="6" t="s">
        <v>15</v>
      </c>
      <c r="C11" s="22"/>
      <c r="D11" s="48"/>
      <c r="E11" s="22"/>
      <c r="F11" s="48"/>
      <c r="G11" s="22"/>
      <c r="H11" s="12">
        <f t="shared" si="0"/>
        <v>44505</v>
      </c>
    </row>
    <row r="12" spans="2:10" x14ac:dyDescent="0.3">
      <c r="B12" s="6" t="s">
        <v>54</v>
      </c>
      <c r="C12" s="22">
        <v>373500</v>
      </c>
      <c r="D12" s="22"/>
      <c r="E12" s="22"/>
      <c r="F12" s="22"/>
      <c r="G12" s="22"/>
      <c r="H12" s="67">
        <f t="shared" si="0"/>
        <v>44505</v>
      </c>
    </row>
    <row r="13" spans="2:10" x14ac:dyDescent="0.3">
      <c r="B13" s="6" t="s">
        <v>26</v>
      </c>
      <c r="C13" s="22">
        <v>108000</v>
      </c>
      <c r="D13" s="22"/>
      <c r="E13" s="22"/>
      <c r="F13" s="22"/>
      <c r="G13" s="22"/>
      <c r="H13" s="12">
        <f t="shared" si="0"/>
        <v>44505</v>
      </c>
    </row>
    <row r="14" spans="2:10" x14ac:dyDescent="0.3">
      <c r="B14" s="6" t="s">
        <v>22</v>
      </c>
      <c r="C14" s="23"/>
      <c r="D14" s="22"/>
      <c r="E14" s="23"/>
      <c r="F14" s="22"/>
      <c r="G14" s="23"/>
      <c r="H14" s="12">
        <f t="shared" si="0"/>
        <v>44505</v>
      </c>
      <c r="J14" s="4"/>
    </row>
    <row r="15" spans="2:10" x14ac:dyDescent="0.3">
      <c r="B15" s="6" t="s">
        <v>61</v>
      </c>
      <c r="C15" s="23"/>
      <c r="D15" s="22"/>
      <c r="E15" s="23"/>
      <c r="F15" s="22"/>
      <c r="G15" s="23"/>
      <c r="H15" s="67">
        <f t="shared" si="0"/>
        <v>44505</v>
      </c>
      <c r="J15" s="4"/>
    </row>
    <row r="16" spans="2:10" x14ac:dyDescent="0.3">
      <c r="B16" s="6" t="s">
        <v>19</v>
      </c>
      <c r="C16" s="22"/>
      <c r="D16" s="22">
        <v>414000</v>
      </c>
      <c r="E16" s="22"/>
      <c r="F16" s="22"/>
      <c r="G16" s="22"/>
      <c r="H16" s="12">
        <f t="shared" si="0"/>
        <v>44505</v>
      </c>
    </row>
    <row r="17" spans="1:8" x14ac:dyDescent="0.3">
      <c r="B17" s="6" t="s">
        <v>14</v>
      </c>
      <c r="C17" s="22">
        <v>697500</v>
      </c>
      <c r="D17" s="22"/>
      <c r="E17" s="22"/>
      <c r="F17" s="22"/>
      <c r="G17" s="22"/>
      <c r="H17" s="12">
        <f t="shared" si="0"/>
        <v>44505</v>
      </c>
    </row>
    <row r="18" spans="1:8" x14ac:dyDescent="0.3">
      <c r="B18" s="6" t="s">
        <v>24</v>
      </c>
      <c r="C18" s="22"/>
      <c r="D18" s="49"/>
      <c r="E18" s="22"/>
      <c r="F18" s="49"/>
      <c r="G18" s="22"/>
      <c r="H18" s="12">
        <f t="shared" si="0"/>
        <v>44505</v>
      </c>
    </row>
    <row r="19" spans="1:8" x14ac:dyDescent="0.3">
      <c r="B19" s="6" t="s">
        <v>21</v>
      </c>
      <c r="C19" s="22"/>
      <c r="D19" s="22"/>
      <c r="E19" s="22"/>
      <c r="F19" s="22"/>
      <c r="G19" s="22"/>
      <c r="H19" s="12">
        <f t="shared" si="0"/>
        <v>44505</v>
      </c>
    </row>
    <row r="20" spans="1:8" x14ac:dyDescent="0.3">
      <c r="B20" s="6" t="s">
        <v>18</v>
      </c>
      <c r="C20" s="22">
        <v>50000</v>
      </c>
      <c r="D20" s="22"/>
      <c r="E20" s="22"/>
      <c r="F20" s="22"/>
      <c r="G20" s="22"/>
      <c r="H20" s="12">
        <f t="shared" si="0"/>
        <v>44505</v>
      </c>
    </row>
    <row r="21" spans="1:8" x14ac:dyDescent="0.3">
      <c r="B21" s="6" t="s">
        <v>16</v>
      </c>
      <c r="C21" s="22">
        <v>431000</v>
      </c>
      <c r="D21" s="22"/>
      <c r="E21" s="22"/>
      <c r="F21" s="22"/>
      <c r="G21" s="22">
        <v>540000</v>
      </c>
      <c r="H21" s="12">
        <f t="shared" si="0"/>
        <v>44505</v>
      </c>
    </row>
    <row r="22" spans="1:8" x14ac:dyDescent="0.3">
      <c r="B22" s="50" t="s">
        <v>27</v>
      </c>
      <c r="C22" s="51">
        <f>SUM(November05_2021[KSI_AGO])</f>
        <v>1660000</v>
      </c>
      <c r="D22" s="51">
        <f>SUBTOTAL(109,November05_2021[KSI_PMS])</f>
        <v>947500</v>
      </c>
      <c r="E22" s="51">
        <f>SUM(November05_2021[BUIPE_AGO])</f>
        <v>0</v>
      </c>
      <c r="F22" s="51">
        <f>SUM(November05_2021[BUIPE_PMS])</f>
        <v>594000</v>
      </c>
      <c r="G22" s="51">
        <f>SUM(November05_2021[AKOSOMBO_AGO])</f>
        <v>540000</v>
      </c>
      <c r="H22" s="52"/>
    </row>
    <row r="23" spans="1:8" x14ac:dyDescent="0.3">
      <c r="B23" s="8"/>
      <c r="C23" s="24"/>
      <c r="D23" s="24"/>
      <c r="E23" s="24"/>
      <c r="F23" s="24"/>
      <c r="G23" s="24"/>
      <c r="H23"/>
    </row>
    <row r="24" spans="1:8" x14ac:dyDescent="0.3">
      <c r="B24" s="1" t="s">
        <v>6</v>
      </c>
      <c r="C24" s="1" t="s">
        <v>4</v>
      </c>
      <c r="D24" s="5">
        <f>SUMIF(November05_2021[[#Headers],[KSI_AGO]:[AKOSOMBO_AGO]],"*"&amp;C24,November05_2021[[#Totals],[KSI_AGO]:[AKOSOMBO_AGO]])</f>
        <v>2200000</v>
      </c>
      <c r="E24" s="1" t="s">
        <v>5</v>
      </c>
      <c r="F24" s="5">
        <f>SUMIF(November05_2021[[#Headers],[KSI_AGO]:[AKOSOMBO_AGO]],"*"&amp;E24,November05_2021[[#Totals],[KSI_AGO]:[AKOSOMBO_AGO]])</f>
        <v>1541500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E73031AE-C66B-4E44-AFE9-DFADC5C2DB00}">
      <formula1>INDIRECT("BDC_List[BDC List]")</formula1>
    </dataValidation>
  </dataValidations>
  <pageMargins left="0.7" right="0.7" top="0.75" bottom="0.75" header="0.3" footer="0.3"/>
  <legacyDrawing r:id="rId1"/>
  <tableParts count="1">
    <tablePart r:id="rId2"/>
  </tableParts>
</worksheet>
</file>

<file path=xl/worksheets/sheet4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588E-4DA8-4E4B-8371-C2915721C6E9}">
  <sheetPr codeName="Sheet467"/>
  <dimension ref="A1:J34"/>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44508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44508</v>
      </c>
    </row>
    <row r="7" spans="2:10" x14ac:dyDescent="0.3">
      <c r="B7" s="6" t="s">
        <v>37</v>
      </c>
      <c r="C7" s="49"/>
      <c r="D7" s="22"/>
      <c r="E7" s="22"/>
      <c r="F7" s="22"/>
      <c r="G7" s="22"/>
      <c r="H7" s="67">
        <f t="shared" si="0"/>
        <v>44508</v>
      </c>
    </row>
    <row r="8" spans="2:10" x14ac:dyDescent="0.3">
      <c r="B8" s="6" t="s">
        <v>17</v>
      </c>
      <c r="C8" s="22">
        <v>216000</v>
      </c>
      <c r="D8" s="22">
        <v>324000</v>
      </c>
      <c r="E8" s="22">
        <v>162000</v>
      </c>
      <c r="F8" s="22"/>
      <c r="G8" s="22"/>
      <c r="H8" s="12">
        <f t="shared" si="0"/>
        <v>44508</v>
      </c>
    </row>
    <row r="9" spans="2:10" ht="15.6" x14ac:dyDescent="0.3">
      <c r="B9" s="34" t="s">
        <v>0</v>
      </c>
      <c r="C9" s="60"/>
      <c r="D9" s="60"/>
      <c r="E9" s="60"/>
      <c r="F9" s="60">
        <v>374000</v>
      </c>
      <c r="G9" s="61"/>
      <c r="H9" s="12">
        <f t="shared" si="0"/>
        <v>44508</v>
      </c>
    </row>
    <row r="10" spans="2:10" ht="16.2" customHeight="1" x14ac:dyDescent="0.3">
      <c r="B10" s="6" t="s">
        <v>25</v>
      </c>
      <c r="C10" s="22"/>
      <c r="D10" s="22">
        <v>216000</v>
      </c>
      <c r="E10" s="22"/>
      <c r="F10" s="22"/>
      <c r="G10" s="22"/>
      <c r="H10" s="12">
        <f t="shared" si="0"/>
        <v>44508</v>
      </c>
    </row>
    <row r="11" spans="2:10" ht="13.5" customHeight="1" x14ac:dyDescent="0.3">
      <c r="B11" s="6" t="s">
        <v>15</v>
      </c>
      <c r="C11" s="22">
        <v>324000</v>
      </c>
      <c r="D11" s="48"/>
      <c r="E11" s="22"/>
      <c r="F11" s="48"/>
      <c r="G11" s="22"/>
      <c r="H11" s="12">
        <f t="shared" si="0"/>
        <v>44508</v>
      </c>
    </row>
    <row r="12" spans="2:10" x14ac:dyDescent="0.3">
      <c r="B12" s="6" t="s">
        <v>54</v>
      </c>
      <c r="C12" s="22">
        <v>324000</v>
      </c>
      <c r="D12" s="22"/>
      <c r="E12" s="22"/>
      <c r="F12" s="22"/>
      <c r="G12" s="22"/>
      <c r="H12" s="67">
        <f t="shared" si="0"/>
        <v>44508</v>
      </c>
    </row>
    <row r="13" spans="2:10" x14ac:dyDescent="0.3">
      <c r="B13" s="6" t="s">
        <v>26</v>
      </c>
      <c r="C13" s="22"/>
      <c r="D13" s="22"/>
      <c r="E13" s="22"/>
      <c r="F13" s="22"/>
      <c r="G13" s="22"/>
      <c r="H13" s="12">
        <f t="shared" si="0"/>
        <v>44508</v>
      </c>
    </row>
    <row r="14" spans="2:10" x14ac:dyDescent="0.3">
      <c r="B14" s="6" t="s">
        <v>22</v>
      </c>
      <c r="C14" s="23"/>
      <c r="D14" s="22">
        <v>54000</v>
      </c>
      <c r="E14" s="23"/>
      <c r="F14" s="22"/>
      <c r="G14" s="23"/>
      <c r="H14" s="12">
        <f t="shared" si="0"/>
        <v>44508</v>
      </c>
      <c r="J14" s="4"/>
    </row>
    <row r="15" spans="2:10" x14ac:dyDescent="0.3">
      <c r="B15" s="6" t="s">
        <v>61</v>
      </c>
      <c r="C15" s="23"/>
      <c r="D15" s="22">
        <v>378000</v>
      </c>
      <c r="E15" s="23"/>
      <c r="F15" s="22"/>
      <c r="G15" s="23"/>
      <c r="H15" s="67">
        <f t="shared" si="0"/>
        <v>44508</v>
      </c>
      <c r="J15" s="4"/>
    </row>
    <row r="16" spans="2:10" x14ac:dyDescent="0.3">
      <c r="B16" s="6" t="s">
        <v>19</v>
      </c>
      <c r="C16" s="22"/>
      <c r="D16" s="22">
        <v>108000</v>
      </c>
      <c r="E16" s="22"/>
      <c r="F16" s="22"/>
      <c r="G16" s="22">
        <v>540000</v>
      </c>
      <c r="H16" s="12">
        <f t="shared" si="0"/>
        <v>44508</v>
      </c>
    </row>
    <row r="17" spans="1:8" x14ac:dyDescent="0.3">
      <c r="B17" s="6" t="s">
        <v>14</v>
      </c>
      <c r="C17" s="22">
        <v>270000</v>
      </c>
      <c r="D17" s="22"/>
      <c r="E17" s="22"/>
      <c r="F17" s="22"/>
      <c r="G17" s="22"/>
      <c r="H17" s="12">
        <f t="shared" si="0"/>
        <v>44508</v>
      </c>
    </row>
    <row r="18" spans="1:8" x14ac:dyDescent="0.3">
      <c r="B18" s="6" t="s">
        <v>24</v>
      </c>
      <c r="C18" s="22"/>
      <c r="D18" s="49"/>
      <c r="E18" s="22"/>
      <c r="F18" s="49"/>
      <c r="G18" s="22"/>
      <c r="H18" s="12">
        <f t="shared" si="0"/>
        <v>44508</v>
      </c>
    </row>
    <row r="19" spans="1:8" x14ac:dyDescent="0.3">
      <c r="B19" s="6" t="s">
        <v>21</v>
      </c>
      <c r="C19" s="22"/>
      <c r="D19" s="22"/>
      <c r="E19" s="22"/>
      <c r="F19" s="22"/>
      <c r="G19" s="22"/>
      <c r="H19" s="12">
        <f t="shared" si="0"/>
        <v>44508</v>
      </c>
    </row>
    <row r="20" spans="1:8" x14ac:dyDescent="0.3">
      <c r="B20" s="6" t="s">
        <v>18</v>
      </c>
      <c r="C20" s="22"/>
      <c r="D20" s="22"/>
      <c r="E20" s="22"/>
      <c r="F20" s="22"/>
      <c r="G20" s="22"/>
      <c r="H20" s="12">
        <f t="shared" si="0"/>
        <v>44508</v>
      </c>
    </row>
    <row r="21" spans="1:8" x14ac:dyDescent="0.3">
      <c r="B21" s="6" t="s">
        <v>16</v>
      </c>
      <c r="C21" s="22">
        <v>378000</v>
      </c>
      <c r="D21" s="22"/>
      <c r="E21" s="22"/>
      <c r="F21" s="22"/>
      <c r="G21" s="22"/>
      <c r="H21" s="12">
        <f t="shared" si="0"/>
        <v>44508</v>
      </c>
    </row>
    <row r="22" spans="1:8" x14ac:dyDescent="0.3">
      <c r="B22" s="50" t="s">
        <v>27</v>
      </c>
      <c r="C22" s="51">
        <f>SUM(November08_2021[KSI_AGO])</f>
        <v>1512000</v>
      </c>
      <c r="D22" s="51">
        <f>SUBTOTAL(109,November08_2021[KSI_PMS])</f>
        <v>1080000</v>
      </c>
      <c r="E22" s="51">
        <f>SUM(November08_2021[BUIPE_AGO])</f>
        <v>162000</v>
      </c>
      <c r="F22" s="51">
        <f>SUM(November08_2021[BUIPE_PMS])</f>
        <v>374000</v>
      </c>
      <c r="G22" s="51">
        <f>SUM(November08_2021[AKOSOMBO_AGO])</f>
        <v>540000</v>
      </c>
      <c r="H22" s="52"/>
    </row>
    <row r="23" spans="1:8" x14ac:dyDescent="0.3">
      <c r="B23" s="8"/>
      <c r="C23" s="24"/>
      <c r="D23" s="24"/>
      <c r="E23" s="24"/>
      <c r="F23" s="24"/>
      <c r="G23" s="24"/>
      <c r="H23"/>
    </row>
    <row r="24" spans="1:8" x14ac:dyDescent="0.3">
      <c r="B24" s="1" t="s">
        <v>6</v>
      </c>
      <c r="C24" s="1" t="s">
        <v>4</v>
      </c>
      <c r="D24" s="5">
        <f>SUMIF(November08_2021[[#Headers],[KSI_AGO]:[AKOSOMBO_AGO]],"*"&amp;C24,November08_2021[[#Totals],[KSI_AGO]:[AKOSOMBO_AGO]])</f>
        <v>2214000</v>
      </c>
      <c r="E24" s="1" t="s">
        <v>5</v>
      </c>
      <c r="F24" s="5">
        <f>SUMIF(November08_2021[[#Headers],[KSI_AGO]:[AKOSOMBO_AGO]],"*"&amp;E24,November08_2021[[#Totals],[KSI_AGO]:[AKOSOMBO_AGO]])</f>
        <v>1454000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45E9FC66-EF68-48DB-B04E-02C514831B61}">
      <formula1>INDIRECT("BDC_List[BDC List]")</formula1>
    </dataValidation>
  </dataValidations>
  <pageMargins left="0.7" right="0.7" top="0.75" bottom="0.75" header="0.3" footer="0.3"/>
  <legacyDrawing r:id="rId1"/>
  <tableParts count="1">
    <tablePart r:id="rId2"/>
  </tableParts>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8C798-D490-4B96-BD3E-8E080C29D6D1}">
  <sheetPr codeName="Sheet468"/>
  <dimension ref="A1:J34"/>
  <sheetViews>
    <sheetView workbookViewId="0">
      <pane xSplit="2" ySplit="5" topLeftCell="C6" activePane="bottomRight" state="frozen"/>
      <selection activeCell="H6" sqref="H6"/>
      <selection pane="topRight" activeCell="H6" sqref="H6"/>
      <selection pane="bottomLeft" activeCell="H6" sqref="H6"/>
      <selection pane="bottomRight" activeCell="D14" sqref="D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44509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44509</v>
      </c>
    </row>
    <row r="7" spans="2:10" x14ac:dyDescent="0.3">
      <c r="B7" s="6" t="s">
        <v>37</v>
      </c>
      <c r="C7" s="49"/>
      <c r="D7" s="22"/>
      <c r="E7" s="22"/>
      <c r="F7" s="22"/>
      <c r="G7" s="22"/>
      <c r="H7" s="67">
        <f t="shared" si="0"/>
        <v>44509</v>
      </c>
    </row>
    <row r="8" spans="2:10" x14ac:dyDescent="0.3">
      <c r="B8" s="6" t="s">
        <v>17</v>
      </c>
      <c r="C8" s="22">
        <v>378000</v>
      </c>
      <c r="D8" s="22">
        <v>216000</v>
      </c>
      <c r="E8" s="22">
        <v>54000</v>
      </c>
      <c r="F8" s="22"/>
      <c r="G8" s="22"/>
      <c r="H8" s="12">
        <f t="shared" si="0"/>
        <v>44509</v>
      </c>
    </row>
    <row r="9" spans="2:10" ht="15.6" x14ac:dyDescent="0.3">
      <c r="B9" s="34" t="s">
        <v>0</v>
      </c>
      <c r="C9" s="60"/>
      <c r="D9" s="60"/>
      <c r="E9" s="60"/>
      <c r="F9" s="60"/>
      <c r="G9" s="61"/>
      <c r="H9" s="12">
        <f t="shared" si="0"/>
        <v>44509</v>
      </c>
    </row>
    <row r="10" spans="2:10" ht="16.2" customHeight="1" x14ac:dyDescent="0.3">
      <c r="B10" s="6" t="s">
        <v>25</v>
      </c>
      <c r="C10" s="22"/>
      <c r="D10" s="22"/>
      <c r="E10" s="22"/>
      <c r="F10" s="22"/>
      <c r="G10" s="22"/>
      <c r="H10" s="12">
        <f t="shared" si="0"/>
        <v>44509</v>
      </c>
    </row>
    <row r="11" spans="2:10" ht="13.5" customHeight="1" x14ac:dyDescent="0.3">
      <c r="B11" s="6" t="s">
        <v>15</v>
      </c>
      <c r="C11" s="22">
        <v>324000</v>
      </c>
      <c r="D11" s="48"/>
      <c r="E11" s="22"/>
      <c r="F11" s="48"/>
      <c r="G11" s="22">
        <v>297000</v>
      </c>
      <c r="H11" s="12">
        <f t="shared" si="0"/>
        <v>44509</v>
      </c>
    </row>
    <row r="12" spans="2:10" x14ac:dyDescent="0.3">
      <c r="B12" s="6" t="s">
        <v>54</v>
      </c>
      <c r="C12" s="22">
        <v>423000</v>
      </c>
      <c r="D12" s="22"/>
      <c r="E12" s="22"/>
      <c r="F12" s="22"/>
      <c r="G12" s="22"/>
      <c r="H12" s="67">
        <f t="shared" si="0"/>
        <v>44509</v>
      </c>
    </row>
    <row r="13" spans="2:10" x14ac:dyDescent="0.3">
      <c r="B13" s="6" t="s">
        <v>26</v>
      </c>
      <c r="C13" s="22">
        <v>50000</v>
      </c>
      <c r="D13" s="22">
        <v>540000</v>
      </c>
      <c r="E13" s="22"/>
      <c r="F13" s="22"/>
      <c r="G13" s="22"/>
      <c r="H13" s="12">
        <f t="shared" si="0"/>
        <v>44509</v>
      </c>
    </row>
    <row r="14" spans="2:10" x14ac:dyDescent="0.3">
      <c r="B14" s="6" t="s">
        <v>22</v>
      </c>
      <c r="C14" s="23"/>
      <c r="D14" s="22"/>
      <c r="E14" s="23"/>
      <c r="F14" s="22"/>
      <c r="G14" s="23"/>
      <c r="H14" s="12">
        <f t="shared" si="0"/>
        <v>44509</v>
      </c>
      <c r="J14" s="4"/>
    </row>
    <row r="15" spans="2:10" x14ac:dyDescent="0.3">
      <c r="B15" s="6" t="s">
        <v>61</v>
      </c>
      <c r="C15" s="23"/>
      <c r="D15" s="22">
        <v>270000</v>
      </c>
      <c r="E15" s="23"/>
      <c r="F15" s="22"/>
      <c r="G15" s="23"/>
      <c r="H15" s="67">
        <f t="shared" si="0"/>
        <v>44509</v>
      </c>
      <c r="J15" s="4"/>
    </row>
    <row r="16" spans="2:10" x14ac:dyDescent="0.3">
      <c r="B16" s="6" t="s">
        <v>19</v>
      </c>
      <c r="C16" s="22"/>
      <c r="D16" s="22"/>
      <c r="E16" s="22"/>
      <c r="F16" s="22"/>
      <c r="G16" s="22"/>
      <c r="H16" s="12">
        <f t="shared" si="0"/>
        <v>44509</v>
      </c>
    </row>
    <row r="17" spans="1:8" x14ac:dyDescent="0.3">
      <c r="B17" s="6" t="s">
        <v>14</v>
      </c>
      <c r="C17" s="22">
        <v>744000</v>
      </c>
      <c r="D17" s="22"/>
      <c r="E17" s="22"/>
      <c r="F17" s="22"/>
      <c r="G17" s="22"/>
      <c r="H17" s="12">
        <f t="shared" si="0"/>
        <v>44509</v>
      </c>
    </row>
    <row r="18" spans="1:8" x14ac:dyDescent="0.3">
      <c r="B18" s="6" t="s">
        <v>24</v>
      </c>
      <c r="C18" s="22"/>
      <c r="D18" s="49"/>
      <c r="E18" s="22"/>
      <c r="F18" s="49"/>
      <c r="G18" s="22"/>
      <c r="H18" s="12">
        <f t="shared" si="0"/>
        <v>44509</v>
      </c>
    </row>
    <row r="19" spans="1:8" x14ac:dyDescent="0.3">
      <c r="B19" s="6" t="s">
        <v>21</v>
      </c>
      <c r="C19" s="22"/>
      <c r="D19" s="22"/>
      <c r="E19" s="22"/>
      <c r="F19" s="22"/>
      <c r="G19" s="22"/>
      <c r="H19" s="12">
        <f t="shared" si="0"/>
        <v>44509</v>
      </c>
    </row>
    <row r="20" spans="1:8" x14ac:dyDescent="0.3">
      <c r="B20" s="6" t="s">
        <v>18</v>
      </c>
      <c r="C20" s="22"/>
      <c r="D20" s="22"/>
      <c r="E20" s="22"/>
      <c r="F20" s="22"/>
      <c r="G20" s="22"/>
      <c r="H20" s="12">
        <f t="shared" si="0"/>
        <v>44509</v>
      </c>
    </row>
    <row r="21" spans="1:8" x14ac:dyDescent="0.3">
      <c r="B21" s="6" t="s">
        <v>16</v>
      </c>
      <c r="C21" s="22">
        <v>108000</v>
      </c>
      <c r="D21" s="22"/>
      <c r="E21" s="22"/>
      <c r="F21" s="22"/>
      <c r="G21" s="22"/>
      <c r="H21" s="12">
        <f t="shared" si="0"/>
        <v>44509</v>
      </c>
    </row>
    <row r="22" spans="1:8" x14ac:dyDescent="0.3">
      <c r="B22" s="50" t="s">
        <v>27</v>
      </c>
      <c r="C22" s="51">
        <f>SUM(November05_202178[KSI_AGO])</f>
        <v>2027000</v>
      </c>
      <c r="D22" s="51">
        <f>SUBTOTAL(109,November05_202178[KSI_PMS])</f>
        <v>1026000</v>
      </c>
      <c r="E22" s="51">
        <f>SUM(November05_202178[BUIPE_AGO])</f>
        <v>54000</v>
      </c>
      <c r="F22" s="51">
        <f>SUM(November05_202178[BUIPE_PMS])</f>
        <v>0</v>
      </c>
      <c r="G22" s="51">
        <f>SUM(November05_202178[AKOSOMBO_AGO])</f>
        <v>297000</v>
      </c>
      <c r="H22" s="52"/>
    </row>
    <row r="23" spans="1:8" x14ac:dyDescent="0.3">
      <c r="B23" s="8"/>
      <c r="C23" s="24"/>
      <c r="D23" s="24"/>
      <c r="E23" s="24"/>
      <c r="F23" s="24"/>
      <c r="G23" s="24"/>
      <c r="H23"/>
    </row>
    <row r="24" spans="1:8" x14ac:dyDescent="0.3">
      <c r="B24" s="1" t="s">
        <v>6</v>
      </c>
      <c r="C24" s="1" t="s">
        <v>4</v>
      </c>
      <c r="D24" s="5">
        <f>SUMIF(November05_202178[[#Headers],[KSI_AGO]:[AKOSOMBO_AGO]],"*"&amp;C24,November05_202178[[#Totals],[KSI_AGO]:[AKOSOMBO_AGO]])</f>
        <v>2378000</v>
      </c>
      <c r="E24" s="1" t="s">
        <v>5</v>
      </c>
      <c r="F24" s="5">
        <f>SUMIF(November05_202178[[#Headers],[KSI_AGO]:[AKOSOMBO_AGO]],"*"&amp;E24,November05_202178[[#Totals],[KSI_AGO]:[AKOSOMBO_AGO]])</f>
        <v>1026000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9AB79952-E5CA-4127-B75E-EEE70EB02D6B}">
      <formula1>INDIRECT("BDC_List[BDC List]")</formula1>
    </dataValidation>
  </dataValidations>
  <pageMargins left="0.7" right="0.7" top="0.75" bottom="0.75" header="0.3" footer="0.3"/>
  <tableParts count="1">
    <tablePart r:id="rId1"/>
  </tableParts>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A044-1179-4683-B9CE-897887C22E3C}">
  <sheetPr codeName="Sheet469"/>
  <dimension ref="A1:J34"/>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44510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44510</v>
      </c>
    </row>
    <row r="7" spans="2:10" x14ac:dyDescent="0.3">
      <c r="B7" s="6" t="s">
        <v>37</v>
      </c>
      <c r="C7" s="49"/>
      <c r="D7" s="22"/>
      <c r="E7" s="22"/>
      <c r="F7" s="22"/>
      <c r="G7" s="22"/>
      <c r="H7" s="67">
        <f t="shared" si="0"/>
        <v>44510</v>
      </c>
    </row>
    <row r="8" spans="2:10" x14ac:dyDescent="0.3">
      <c r="B8" s="6" t="s">
        <v>17</v>
      </c>
      <c r="C8" s="22"/>
      <c r="D8" s="22"/>
      <c r="E8" s="22"/>
      <c r="F8" s="22"/>
      <c r="G8" s="22"/>
      <c r="H8" s="12">
        <f t="shared" si="0"/>
        <v>44510</v>
      </c>
    </row>
    <row r="9" spans="2:10" ht="15.6" x14ac:dyDescent="0.3">
      <c r="B9" s="34" t="s">
        <v>0</v>
      </c>
      <c r="C9" s="60"/>
      <c r="D9" s="60"/>
      <c r="E9" s="60"/>
      <c r="F9" s="60"/>
      <c r="G9" s="61"/>
      <c r="H9" s="12">
        <f t="shared" si="0"/>
        <v>44510</v>
      </c>
    </row>
    <row r="10" spans="2:10" ht="16.2" customHeight="1" x14ac:dyDescent="0.3">
      <c r="B10" s="6" t="s">
        <v>25</v>
      </c>
      <c r="C10" s="22"/>
      <c r="D10" s="22"/>
      <c r="E10" s="22"/>
      <c r="F10" s="22"/>
      <c r="G10" s="22"/>
      <c r="H10" s="12">
        <f t="shared" si="0"/>
        <v>44510</v>
      </c>
    </row>
    <row r="11" spans="2:10" ht="13.5" customHeight="1" x14ac:dyDescent="0.3">
      <c r="B11" s="6" t="s">
        <v>15</v>
      </c>
      <c r="C11" s="22">
        <v>540000</v>
      </c>
      <c r="D11" s="48"/>
      <c r="E11" s="22"/>
      <c r="F11" s="48"/>
      <c r="G11" s="22"/>
      <c r="H11" s="12">
        <f t="shared" si="0"/>
        <v>44510</v>
      </c>
    </row>
    <row r="12" spans="2:10" x14ac:dyDescent="0.3">
      <c r="B12" s="6" t="s">
        <v>54</v>
      </c>
      <c r="C12" s="22">
        <v>967500</v>
      </c>
      <c r="D12" s="22"/>
      <c r="E12" s="22"/>
      <c r="F12" s="22"/>
      <c r="G12" s="22"/>
      <c r="H12" s="67">
        <f t="shared" si="0"/>
        <v>44510</v>
      </c>
    </row>
    <row r="13" spans="2:10" x14ac:dyDescent="0.3">
      <c r="B13" s="6" t="s">
        <v>26</v>
      </c>
      <c r="C13" s="22">
        <v>378000</v>
      </c>
      <c r="D13" s="22">
        <v>810000</v>
      </c>
      <c r="E13" s="22"/>
      <c r="F13" s="22"/>
      <c r="G13" s="22"/>
      <c r="H13" s="12">
        <f t="shared" si="0"/>
        <v>44510</v>
      </c>
    </row>
    <row r="14" spans="2:10" x14ac:dyDescent="0.3">
      <c r="B14" s="6" t="s">
        <v>22</v>
      </c>
      <c r="C14" s="23"/>
      <c r="D14" s="22"/>
      <c r="E14" s="23"/>
      <c r="F14" s="22"/>
      <c r="G14" s="23"/>
      <c r="H14" s="12">
        <f t="shared" si="0"/>
        <v>44510</v>
      </c>
      <c r="J14" s="4"/>
    </row>
    <row r="15" spans="2:10" x14ac:dyDescent="0.3">
      <c r="B15" s="6" t="s">
        <v>61</v>
      </c>
      <c r="C15" s="23"/>
      <c r="D15" s="22"/>
      <c r="E15" s="23"/>
      <c r="F15" s="22"/>
      <c r="G15" s="23"/>
      <c r="H15" s="67">
        <f t="shared" si="0"/>
        <v>44510</v>
      </c>
      <c r="J15" s="4"/>
    </row>
    <row r="16" spans="2:10" x14ac:dyDescent="0.3">
      <c r="B16" s="6" t="s">
        <v>19</v>
      </c>
      <c r="C16" s="22"/>
      <c r="D16" s="22"/>
      <c r="E16" s="22"/>
      <c r="F16" s="22"/>
      <c r="G16" s="22"/>
      <c r="H16" s="12">
        <f t="shared" si="0"/>
        <v>44510</v>
      </c>
    </row>
    <row r="17" spans="1:8" x14ac:dyDescent="0.3">
      <c r="B17" s="6" t="s">
        <v>14</v>
      </c>
      <c r="C17" s="22">
        <v>747000</v>
      </c>
      <c r="D17" s="22"/>
      <c r="E17" s="22"/>
      <c r="F17" s="22"/>
      <c r="G17" s="22"/>
      <c r="H17" s="12">
        <f t="shared" si="0"/>
        <v>44510</v>
      </c>
    </row>
    <row r="18" spans="1:8" x14ac:dyDescent="0.3">
      <c r="B18" s="6" t="s">
        <v>24</v>
      </c>
      <c r="C18" s="22"/>
      <c r="D18" s="49"/>
      <c r="E18" s="22"/>
      <c r="F18" s="49"/>
      <c r="G18" s="22"/>
      <c r="H18" s="12">
        <f t="shared" si="0"/>
        <v>44510</v>
      </c>
    </row>
    <row r="19" spans="1:8" x14ac:dyDescent="0.3">
      <c r="B19" s="6" t="s">
        <v>21</v>
      </c>
      <c r="C19" s="22"/>
      <c r="D19" s="22"/>
      <c r="E19" s="22"/>
      <c r="F19" s="22"/>
      <c r="G19" s="22"/>
      <c r="H19" s="12">
        <f t="shared" si="0"/>
        <v>44510</v>
      </c>
    </row>
    <row r="20" spans="1:8" x14ac:dyDescent="0.3">
      <c r="B20" s="6" t="s">
        <v>18</v>
      </c>
      <c r="C20" s="22">
        <v>486000</v>
      </c>
      <c r="D20" s="22"/>
      <c r="E20" s="22"/>
      <c r="F20" s="22"/>
      <c r="G20" s="22">
        <v>162000</v>
      </c>
      <c r="H20" s="12">
        <f t="shared" si="0"/>
        <v>44510</v>
      </c>
    </row>
    <row r="21" spans="1:8" x14ac:dyDescent="0.3">
      <c r="B21" s="6" t="s">
        <v>16</v>
      </c>
      <c r="C21" s="22">
        <v>270000</v>
      </c>
      <c r="D21" s="22"/>
      <c r="E21" s="22"/>
      <c r="F21" s="22"/>
      <c r="G21" s="22"/>
      <c r="H21" s="12">
        <f t="shared" si="0"/>
        <v>44510</v>
      </c>
    </row>
    <row r="22" spans="1:8" x14ac:dyDescent="0.3">
      <c r="B22" s="50" t="s">
        <v>27</v>
      </c>
      <c r="C22" s="51">
        <f>SUM(November10_2021[KSI_AGO])</f>
        <v>3388500</v>
      </c>
      <c r="D22" s="51">
        <f>SUBTOTAL(109,November10_2021[KSI_PMS])</f>
        <v>810000</v>
      </c>
      <c r="E22" s="51">
        <f>SUM(November10_2021[BUIPE_AGO])</f>
        <v>0</v>
      </c>
      <c r="F22" s="51">
        <f>SUM(November10_2021[BUIPE_PMS])</f>
        <v>0</v>
      </c>
      <c r="G22" s="51">
        <f>SUM(November10_2021[AKOSOMBO_AGO])</f>
        <v>162000</v>
      </c>
      <c r="H22" s="52"/>
    </row>
    <row r="23" spans="1:8" x14ac:dyDescent="0.3">
      <c r="B23" s="8"/>
      <c r="C23" s="24"/>
      <c r="D23" s="24"/>
      <c r="E23" s="24"/>
      <c r="F23" s="24"/>
      <c r="G23" s="24"/>
      <c r="H23"/>
    </row>
    <row r="24" spans="1:8" x14ac:dyDescent="0.3">
      <c r="B24" s="1" t="s">
        <v>6</v>
      </c>
      <c r="C24" s="1" t="s">
        <v>4</v>
      </c>
      <c r="D24" s="5">
        <f>SUMIF(November10_2021[[#Headers],[KSI_AGO]:[AKOSOMBO_AGO]],"*"&amp;C24,November10_2021[[#Totals],[KSI_AGO]:[AKOSOMBO_AGO]])</f>
        <v>3550500</v>
      </c>
      <c r="E24" s="1" t="s">
        <v>5</v>
      </c>
      <c r="F24" s="5">
        <f>SUMIF(November10_2021[[#Headers],[KSI_AGO]:[AKOSOMBO_AGO]],"*"&amp;E24,November10_2021[[#Totals],[KSI_AGO]:[AKOSOMBO_AGO]])</f>
        <v>810000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91FCB189-707E-48BB-B926-3A521212769B}">
      <formula1>INDIRECT("BDC_List[BDC List]")</formula1>
    </dataValidation>
  </dataValidations>
  <pageMargins left="0.7" right="0.7" top="0.75" bottom="0.75" header="0.3" footer="0.3"/>
  <tableParts count="1">
    <tablePart r:id="rId1"/>
  </tableParts>
</worksheet>
</file>

<file path=xl/worksheets/sheet4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8100-E5ED-40B0-973F-C44B385634C2}">
  <sheetPr codeName="Sheet470"/>
  <dimension ref="A1:J34"/>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44511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1" si="0">$G$3</f>
        <v>44511</v>
      </c>
    </row>
    <row r="7" spans="2:10" x14ac:dyDescent="0.3">
      <c r="B7" s="6" t="s">
        <v>37</v>
      </c>
      <c r="C7" s="49"/>
      <c r="D7" s="22"/>
      <c r="E7" s="22"/>
      <c r="F7" s="22"/>
      <c r="G7" s="22"/>
      <c r="H7" s="67">
        <f t="shared" si="0"/>
        <v>44511</v>
      </c>
    </row>
    <row r="8" spans="2:10" x14ac:dyDescent="0.3">
      <c r="B8" s="6" t="s">
        <v>17</v>
      </c>
      <c r="C8" s="22"/>
      <c r="D8" s="22"/>
      <c r="E8" s="22"/>
      <c r="F8" s="22"/>
      <c r="G8" s="22"/>
      <c r="H8" s="12">
        <f t="shared" si="0"/>
        <v>44511</v>
      </c>
    </row>
    <row r="9" spans="2:10" ht="15.6" x14ac:dyDescent="0.3">
      <c r="B9" s="34" t="s">
        <v>0</v>
      </c>
      <c r="C9" s="60"/>
      <c r="D9" s="60"/>
      <c r="E9" s="60"/>
      <c r="F9" s="117">
        <v>508500</v>
      </c>
      <c r="G9" s="61"/>
      <c r="H9" s="12">
        <f t="shared" si="0"/>
        <v>44511</v>
      </c>
    </row>
    <row r="10" spans="2:10" ht="16.2" customHeight="1" x14ac:dyDescent="0.3">
      <c r="B10" s="6" t="s">
        <v>25</v>
      </c>
      <c r="C10" s="22"/>
      <c r="D10" s="22"/>
      <c r="E10" s="22"/>
      <c r="F10" s="22"/>
      <c r="G10" s="22"/>
      <c r="H10" s="12">
        <f t="shared" si="0"/>
        <v>44511</v>
      </c>
    </row>
    <row r="11" spans="2:10" ht="13.5" customHeight="1" x14ac:dyDescent="0.3">
      <c r="B11" s="6" t="s">
        <v>15</v>
      </c>
      <c r="C11" s="22">
        <v>212000</v>
      </c>
      <c r="D11" s="48"/>
      <c r="E11" s="22"/>
      <c r="F11" s="48"/>
      <c r="G11" s="22"/>
      <c r="H11" s="12">
        <f t="shared" si="0"/>
        <v>44511</v>
      </c>
    </row>
    <row r="12" spans="2:10" x14ac:dyDescent="0.3">
      <c r="B12" s="6" t="s">
        <v>54</v>
      </c>
      <c r="C12" s="22">
        <v>432000</v>
      </c>
      <c r="D12" s="22"/>
      <c r="E12" s="22"/>
      <c r="F12" s="22"/>
      <c r="G12" s="22"/>
      <c r="H12" s="67">
        <f t="shared" si="0"/>
        <v>44511</v>
      </c>
    </row>
    <row r="13" spans="2:10" x14ac:dyDescent="0.3">
      <c r="B13" s="6" t="s">
        <v>26</v>
      </c>
      <c r="C13" s="22">
        <v>810000</v>
      </c>
      <c r="D13" s="22">
        <v>95000</v>
      </c>
      <c r="E13" s="22"/>
      <c r="F13" s="22"/>
      <c r="G13" s="22"/>
      <c r="H13" s="12">
        <f t="shared" si="0"/>
        <v>44511</v>
      </c>
    </row>
    <row r="14" spans="2:10" x14ac:dyDescent="0.3">
      <c r="B14" s="6" t="s">
        <v>22</v>
      </c>
      <c r="C14" s="23"/>
      <c r="D14" s="22"/>
      <c r="E14" s="23"/>
      <c r="F14" s="22"/>
      <c r="G14" s="23"/>
      <c r="H14" s="12">
        <f t="shared" si="0"/>
        <v>44511</v>
      </c>
      <c r="J14" s="4"/>
    </row>
    <row r="15" spans="2:10" x14ac:dyDescent="0.3">
      <c r="B15" s="6" t="s">
        <v>61</v>
      </c>
      <c r="C15" s="23"/>
      <c r="D15" s="22"/>
      <c r="E15" s="23"/>
      <c r="F15" s="22"/>
      <c r="G15" s="23"/>
      <c r="H15" s="67">
        <f t="shared" si="0"/>
        <v>44511</v>
      </c>
      <c r="J15" s="4"/>
    </row>
    <row r="16" spans="2:10" x14ac:dyDescent="0.3">
      <c r="B16" s="6" t="s">
        <v>19</v>
      </c>
      <c r="C16" s="22">
        <v>910000</v>
      </c>
      <c r="D16" s="22"/>
      <c r="E16" s="22"/>
      <c r="F16" s="22"/>
      <c r="G16" s="22"/>
      <c r="H16" s="12">
        <f t="shared" si="0"/>
        <v>44511</v>
      </c>
    </row>
    <row r="17" spans="1:8" x14ac:dyDescent="0.3">
      <c r="B17" s="6" t="s">
        <v>14</v>
      </c>
      <c r="C17" s="22">
        <v>378000</v>
      </c>
      <c r="D17" s="22">
        <v>324000</v>
      </c>
      <c r="E17" s="22"/>
      <c r="F17" s="22"/>
      <c r="G17" s="22"/>
      <c r="H17" s="12">
        <f t="shared" si="0"/>
        <v>44511</v>
      </c>
    </row>
    <row r="18" spans="1:8" x14ac:dyDescent="0.3">
      <c r="B18" s="6" t="s">
        <v>24</v>
      </c>
      <c r="C18" s="22"/>
      <c r="D18" s="49"/>
      <c r="E18" s="22"/>
      <c r="F18" s="49"/>
      <c r="G18" s="22"/>
      <c r="H18" s="12">
        <f t="shared" si="0"/>
        <v>44511</v>
      </c>
    </row>
    <row r="19" spans="1:8" x14ac:dyDescent="0.3">
      <c r="B19" s="6" t="s">
        <v>21</v>
      </c>
      <c r="C19" s="22"/>
      <c r="D19" s="22"/>
      <c r="E19" s="22"/>
      <c r="F19" s="22"/>
      <c r="G19" s="22"/>
      <c r="H19" s="12">
        <f t="shared" si="0"/>
        <v>44511</v>
      </c>
    </row>
    <row r="20" spans="1:8" x14ac:dyDescent="0.3">
      <c r="B20" s="6" t="s">
        <v>18</v>
      </c>
      <c r="C20" s="22">
        <v>312000</v>
      </c>
      <c r="D20" s="22"/>
      <c r="E20" s="22"/>
      <c r="F20" s="22"/>
      <c r="G20" s="22">
        <v>135000</v>
      </c>
      <c r="H20" s="12">
        <f t="shared" si="0"/>
        <v>44511</v>
      </c>
    </row>
    <row r="21" spans="1:8" x14ac:dyDescent="0.3">
      <c r="B21" s="6" t="s">
        <v>16</v>
      </c>
      <c r="C21" s="22">
        <v>101000</v>
      </c>
      <c r="D21" s="22"/>
      <c r="E21" s="22"/>
      <c r="F21" s="22"/>
      <c r="G21" s="22"/>
      <c r="H21" s="12">
        <f t="shared" si="0"/>
        <v>44511</v>
      </c>
    </row>
    <row r="22" spans="1:8" x14ac:dyDescent="0.3">
      <c r="B22" s="50" t="s">
        <v>27</v>
      </c>
      <c r="C22" s="51">
        <f>SUM(November11_2021[KSI_AGO])</f>
        <v>3155000</v>
      </c>
      <c r="D22" s="51">
        <f>SUBTOTAL(109,November11_2021[KSI_PMS])</f>
        <v>419000</v>
      </c>
      <c r="E22" s="51">
        <f>SUM(November11_2021[BUIPE_AGO])</f>
        <v>0</v>
      </c>
      <c r="F22" s="51">
        <f>SUM(November11_2021[BUIPE_PMS])</f>
        <v>508500</v>
      </c>
      <c r="G22" s="51">
        <f>SUM(November11_2021[AKOSOMBO_AGO])</f>
        <v>135000</v>
      </c>
      <c r="H22" s="52"/>
    </row>
    <row r="23" spans="1:8" x14ac:dyDescent="0.3">
      <c r="B23" s="8"/>
      <c r="C23" s="24"/>
      <c r="D23" s="24"/>
      <c r="E23" s="24"/>
      <c r="F23" s="24"/>
      <c r="G23" s="24"/>
      <c r="H23"/>
    </row>
    <row r="24" spans="1:8" x14ac:dyDescent="0.3">
      <c r="B24" s="1" t="s">
        <v>6</v>
      </c>
      <c r="C24" s="1" t="s">
        <v>4</v>
      </c>
      <c r="D24" s="5">
        <f>SUMIF(November11_2021[[#Headers],[KSI_AGO]:[AKOSOMBO_AGO]],"*"&amp;C24,November11_2021[[#Totals],[KSI_AGO]:[AKOSOMBO_AGO]])</f>
        <v>3290000</v>
      </c>
      <c r="E24" s="1" t="s">
        <v>5</v>
      </c>
      <c r="F24" s="5">
        <f>SUMIF(November11_2021[[#Headers],[KSI_AGO]:[AKOSOMBO_AGO]],"*"&amp;E24,November11_2021[[#Totals],[KSI_AGO]:[AKOSOMBO_AGO]])</f>
        <v>927500</v>
      </c>
    </row>
    <row r="27" spans="1:8" ht="18" x14ac:dyDescent="0.35">
      <c r="B27" s="107"/>
    </row>
    <row r="31" spans="1:8" x14ac:dyDescent="0.3">
      <c r="A31" s="8" t="s">
        <v>29</v>
      </c>
    </row>
    <row r="33" spans="2:7" x14ac:dyDescent="0.3">
      <c r="C33" s="11" t="s">
        <v>7</v>
      </c>
      <c r="D33" s="10"/>
      <c r="E33" s="10"/>
      <c r="F33" s="10"/>
      <c r="G33" s="10"/>
    </row>
    <row r="34" spans="2:7" x14ac:dyDescent="0.3">
      <c r="B34" s="9"/>
      <c r="C34" s="10"/>
      <c r="D34" s="10"/>
      <c r="E34" s="10"/>
      <c r="F34" s="10"/>
      <c r="G34" s="10"/>
    </row>
  </sheetData>
  <dataValidations count="1">
    <dataValidation type="list" allowBlank="1" showInputMessage="1" showErrorMessage="1" sqref="B6:B21" xr:uid="{A24D8991-AAB3-42C3-B783-28DABDA9C08F}">
      <formula1>INDIRECT("BDC_List[BDC List]")</formula1>
    </dataValidation>
  </dataValidations>
  <pageMargins left="0.7" right="0.7" top="0.75" bottom="0.75" header="0.3" footer="0.3"/>
  <legacyDrawing r:id="rId1"/>
  <tableParts count="1">
    <tablePart r:id="rId2"/>
  </tableParts>
</worksheet>
</file>

<file path=xl/worksheets/sheet4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8B03-BA73-4E99-BD34-528E7FD2CA41}">
  <sheetPr codeName="Sheet471"/>
  <dimension ref="A1:J35"/>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44512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44512</v>
      </c>
    </row>
    <row r="7" spans="2:10" x14ac:dyDescent="0.3">
      <c r="B7" s="6" t="s">
        <v>37</v>
      </c>
      <c r="C7" s="53">
        <v>477000</v>
      </c>
      <c r="D7" s="22"/>
      <c r="E7" s="22"/>
      <c r="F7" s="22"/>
      <c r="G7" s="22"/>
      <c r="H7" s="67">
        <f t="shared" si="0"/>
        <v>44512</v>
      </c>
    </row>
    <row r="8" spans="2:10" x14ac:dyDescent="0.3">
      <c r="B8" s="6" t="s">
        <v>17</v>
      </c>
      <c r="C8" s="22">
        <v>959000</v>
      </c>
      <c r="D8" s="22"/>
      <c r="E8" s="22">
        <v>185000</v>
      </c>
      <c r="F8" s="22"/>
      <c r="G8" s="22">
        <v>540000</v>
      </c>
      <c r="H8" s="12">
        <f t="shared" si="0"/>
        <v>44512</v>
      </c>
    </row>
    <row r="9" spans="2:10" ht="15.6" x14ac:dyDescent="0.3">
      <c r="B9" s="34" t="s">
        <v>0</v>
      </c>
      <c r="C9" s="60"/>
      <c r="D9" s="60"/>
      <c r="E9" s="60"/>
      <c r="F9" s="117">
        <v>508500</v>
      </c>
      <c r="G9" s="61"/>
      <c r="H9" s="12">
        <f t="shared" si="0"/>
        <v>44512</v>
      </c>
    </row>
    <row r="10" spans="2:10" ht="16.2" customHeight="1" x14ac:dyDescent="0.3">
      <c r="B10" s="6" t="s">
        <v>25</v>
      </c>
      <c r="C10" s="22">
        <v>788000</v>
      </c>
      <c r="D10" s="22"/>
      <c r="E10" s="22"/>
      <c r="F10" s="22"/>
      <c r="G10" s="22"/>
      <c r="H10" s="12">
        <f t="shared" si="0"/>
        <v>44512</v>
      </c>
    </row>
    <row r="11" spans="2:10" ht="13.5" customHeight="1" x14ac:dyDescent="0.3">
      <c r="B11" s="6" t="s">
        <v>15</v>
      </c>
      <c r="C11" s="22">
        <v>54000</v>
      </c>
      <c r="D11" s="48"/>
      <c r="E11" s="22"/>
      <c r="F11" s="48"/>
      <c r="G11" s="22"/>
      <c r="H11" s="12">
        <f t="shared" si="0"/>
        <v>44512</v>
      </c>
    </row>
    <row r="12" spans="2:10" x14ac:dyDescent="0.3">
      <c r="B12" s="6" t="s">
        <v>54</v>
      </c>
      <c r="C12" s="22"/>
      <c r="D12" s="22"/>
      <c r="E12" s="22"/>
      <c r="F12" s="22"/>
      <c r="G12" s="22"/>
      <c r="H12" s="67">
        <f t="shared" si="0"/>
        <v>44512</v>
      </c>
    </row>
    <row r="13" spans="2:10" x14ac:dyDescent="0.3">
      <c r="B13" s="6" t="s">
        <v>26</v>
      </c>
      <c r="C13" s="22">
        <v>108000</v>
      </c>
      <c r="D13" s="22"/>
      <c r="E13" s="22">
        <v>90000</v>
      </c>
      <c r="F13" s="22"/>
      <c r="G13" s="22"/>
      <c r="H13" s="12">
        <f t="shared" si="0"/>
        <v>44512</v>
      </c>
    </row>
    <row r="14" spans="2:10" x14ac:dyDescent="0.3">
      <c r="B14" s="6" t="s">
        <v>22</v>
      </c>
      <c r="C14" s="23"/>
      <c r="D14" s="22"/>
      <c r="E14" s="23"/>
      <c r="F14" s="22"/>
      <c r="G14" s="23"/>
      <c r="H14" s="12">
        <f t="shared" si="0"/>
        <v>44512</v>
      </c>
      <c r="J14" s="4"/>
    </row>
    <row r="15" spans="2:10" x14ac:dyDescent="0.3">
      <c r="B15" s="6" t="s">
        <v>61</v>
      </c>
      <c r="C15" s="23"/>
      <c r="D15" s="22"/>
      <c r="E15" s="23"/>
      <c r="F15" s="22"/>
      <c r="G15" s="23"/>
      <c r="H15" s="67">
        <f t="shared" si="0"/>
        <v>44512</v>
      </c>
      <c r="J15" s="4"/>
    </row>
    <row r="16" spans="2:10" x14ac:dyDescent="0.3">
      <c r="B16" s="6" t="s">
        <v>19</v>
      </c>
      <c r="C16" s="22">
        <v>90000</v>
      </c>
      <c r="D16" s="22"/>
      <c r="E16" s="22"/>
      <c r="F16" s="22"/>
      <c r="G16" s="22"/>
      <c r="H16" s="12">
        <f t="shared" si="0"/>
        <v>44512</v>
      </c>
    </row>
    <row r="17" spans="1:8" x14ac:dyDescent="0.3">
      <c r="B17" s="6" t="s">
        <v>14</v>
      </c>
      <c r="C17" s="22">
        <v>805500</v>
      </c>
      <c r="D17" s="22">
        <v>216000</v>
      </c>
      <c r="E17" s="22"/>
      <c r="F17" s="22"/>
      <c r="G17" s="22"/>
      <c r="H17" s="12">
        <f t="shared" si="0"/>
        <v>44512</v>
      </c>
    </row>
    <row r="18" spans="1:8" x14ac:dyDescent="0.3">
      <c r="B18" s="6" t="s">
        <v>24</v>
      </c>
      <c r="C18" s="22"/>
      <c r="D18" s="49"/>
      <c r="E18" s="22"/>
      <c r="F18" s="49"/>
      <c r="G18" s="22"/>
      <c r="H18" s="12">
        <f t="shared" si="0"/>
        <v>44512</v>
      </c>
    </row>
    <row r="19" spans="1:8" x14ac:dyDescent="0.3">
      <c r="B19" s="6" t="s">
        <v>21</v>
      </c>
      <c r="C19" s="22"/>
      <c r="D19" s="22"/>
      <c r="E19" s="22"/>
      <c r="F19" s="22"/>
      <c r="G19" s="22"/>
      <c r="H19" s="67">
        <f t="shared" si="0"/>
        <v>44512</v>
      </c>
    </row>
    <row r="20" spans="1:8" x14ac:dyDescent="0.3">
      <c r="B20" s="6" t="s">
        <v>65</v>
      </c>
      <c r="C20" s="22"/>
      <c r="D20" s="22">
        <v>590000</v>
      </c>
      <c r="E20" s="22"/>
      <c r="F20" s="22"/>
      <c r="G20" s="22"/>
      <c r="H20" s="54">
        <f t="shared" si="0"/>
        <v>44512</v>
      </c>
    </row>
    <row r="21" spans="1:8" x14ac:dyDescent="0.3">
      <c r="B21" s="6" t="s">
        <v>18</v>
      </c>
      <c r="C21" s="22"/>
      <c r="D21" s="22"/>
      <c r="E21" s="22"/>
      <c r="F21" s="22"/>
      <c r="G21" s="22"/>
      <c r="H21" s="12">
        <f t="shared" si="0"/>
        <v>44512</v>
      </c>
    </row>
    <row r="22" spans="1:8" x14ac:dyDescent="0.3">
      <c r="B22" s="6" t="s">
        <v>16</v>
      </c>
      <c r="C22" s="22"/>
      <c r="D22" s="22"/>
      <c r="E22" s="22"/>
      <c r="F22" s="22"/>
      <c r="G22" s="22"/>
      <c r="H22" s="12">
        <f t="shared" si="0"/>
        <v>44512</v>
      </c>
    </row>
    <row r="23" spans="1:8" x14ac:dyDescent="0.3">
      <c r="B23" s="50" t="s">
        <v>27</v>
      </c>
      <c r="C23" s="51">
        <f>SUM(November12_2021[KSI_AGO])</f>
        <v>3281500</v>
      </c>
      <c r="D23" s="51">
        <f>SUBTOTAL(109,November12_2021[KSI_PMS])</f>
        <v>806000</v>
      </c>
      <c r="E23" s="51">
        <f>SUM(November12_2021[BUIPE_AGO])</f>
        <v>275000</v>
      </c>
      <c r="F23" s="51">
        <f>SUM(November12_2021[BUIPE_PMS])</f>
        <v>508500</v>
      </c>
      <c r="G23" s="51">
        <f>SUM(November12_2021[AKOSOMBO_AGO])</f>
        <v>540000</v>
      </c>
      <c r="H23" s="52"/>
    </row>
    <row r="24" spans="1:8" x14ac:dyDescent="0.3">
      <c r="B24" s="8"/>
      <c r="C24" s="24"/>
      <c r="D24" s="24"/>
      <c r="E24" s="24"/>
      <c r="F24" s="24"/>
      <c r="G24" s="24"/>
      <c r="H24"/>
    </row>
    <row r="25" spans="1:8" x14ac:dyDescent="0.3">
      <c r="B25" s="1" t="s">
        <v>6</v>
      </c>
      <c r="C25" s="1" t="s">
        <v>4</v>
      </c>
      <c r="D25" s="5">
        <f>SUMIF(November12_2021[[#Headers],[KSI_AGO]:[AKOSOMBO_AGO]],"*"&amp;C25,November12_2021[[#Totals],[KSI_AGO]:[AKOSOMBO_AGO]])</f>
        <v>4096500</v>
      </c>
      <c r="E25" s="1" t="s">
        <v>5</v>
      </c>
      <c r="F25" s="5">
        <f>SUMIF(November12_2021[[#Headers],[KSI_AGO]:[AKOSOMBO_AGO]],"*"&amp;E25,November12_2021[[#Totals],[KSI_AGO]:[AKOSOMBO_AGO]])</f>
        <v>1314500</v>
      </c>
    </row>
    <row r="28" spans="1:8" ht="18" x14ac:dyDescent="0.35">
      <c r="B28" s="107" t="s">
        <v>64</v>
      </c>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EAB85151-DC86-4330-9366-987A82EF9E83}">
      <formula1>INDIRECT("BDC_List[BDC List]")</formula1>
    </dataValidation>
  </dataValidations>
  <pageMargins left="0.7" right="0.7" top="0.75" bottom="0.75" header="0.3" footer="0.3"/>
  <legacyDrawing r:id="rId1"/>
  <tableParts count="1">
    <tablePart r:id="rId2"/>
  </tableParts>
</worksheet>
</file>

<file path=xl/worksheets/sheet4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22791-31DE-4770-AE39-C2F1734CDEAE}">
  <sheetPr codeName="Sheet472"/>
  <dimension ref="A1:J35"/>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44515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44515</v>
      </c>
    </row>
    <row r="7" spans="2:10" x14ac:dyDescent="0.3">
      <c r="B7" s="6" t="s">
        <v>37</v>
      </c>
      <c r="C7" s="53"/>
      <c r="D7" s="22"/>
      <c r="E7" s="22"/>
      <c r="F7" s="22"/>
      <c r="G7" s="22"/>
      <c r="H7" s="67">
        <f t="shared" si="0"/>
        <v>44515</v>
      </c>
    </row>
    <row r="8" spans="2:10" x14ac:dyDescent="0.3">
      <c r="B8" s="6" t="s">
        <v>17</v>
      </c>
      <c r="C8" s="22">
        <v>1220500</v>
      </c>
      <c r="D8" s="22"/>
      <c r="E8" s="22"/>
      <c r="F8" s="22"/>
      <c r="G8" s="22">
        <v>540000</v>
      </c>
      <c r="H8" s="12">
        <f t="shared" si="0"/>
        <v>44515</v>
      </c>
    </row>
    <row r="9" spans="2:10" ht="15.6" x14ac:dyDescent="0.3">
      <c r="B9" s="34" t="s">
        <v>0</v>
      </c>
      <c r="C9" s="60"/>
      <c r="D9" s="60"/>
      <c r="E9" s="60"/>
      <c r="F9" s="117">
        <v>517500</v>
      </c>
      <c r="G9" s="61"/>
      <c r="H9" s="12">
        <f t="shared" si="0"/>
        <v>44515</v>
      </c>
    </row>
    <row r="10" spans="2:10" ht="16.2" customHeight="1" x14ac:dyDescent="0.3">
      <c r="B10" s="6" t="s">
        <v>25</v>
      </c>
      <c r="C10" s="22">
        <v>594000</v>
      </c>
      <c r="D10" s="22"/>
      <c r="E10" s="22"/>
      <c r="F10" s="22"/>
      <c r="G10" s="22"/>
      <c r="H10" s="12">
        <f t="shared" si="0"/>
        <v>44515</v>
      </c>
    </row>
    <row r="11" spans="2:10" ht="13.5" customHeight="1" x14ac:dyDescent="0.3">
      <c r="B11" s="6" t="s">
        <v>15</v>
      </c>
      <c r="C11" s="22"/>
      <c r="D11" s="48"/>
      <c r="E11" s="22"/>
      <c r="F11" s="48"/>
      <c r="G11" s="22"/>
      <c r="H11" s="12">
        <f t="shared" si="0"/>
        <v>44515</v>
      </c>
    </row>
    <row r="12" spans="2:10" x14ac:dyDescent="0.3">
      <c r="B12" s="6" t="s">
        <v>54</v>
      </c>
      <c r="C12" s="22"/>
      <c r="D12" s="22"/>
      <c r="E12" s="22"/>
      <c r="F12" s="22"/>
      <c r="G12" s="22"/>
      <c r="H12" s="67">
        <f t="shared" si="0"/>
        <v>44515</v>
      </c>
    </row>
    <row r="13" spans="2:10" x14ac:dyDescent="0.3">
      <c r="B13" s="6" t="s">
        <v>26</v>
      </c>
      <c r="C13" s="22"/>
      <c r="D13" s="22"/>
      <c r="E13" s="22"/>
      <c r="F13" s="22"/>
      <c r="G13" s="22"/>
      <c r="H13" s="12">
        <f t="shared" si="0"/>
        <v>44515</v>
      </c>
    </row>
    <row r="14" spans="2:10" x14ac:dyDescent="0.3">
      <c r="B14" s="6" t="s">
        <v>22</v>
      </c>
      <c r="C14" s="23"/>
      <c r="D14" s="22"/>
      <c r="E14" s="23"/>
      <c r="F14" s="22"/>
      <c r="G14" s="23"/>
      <c r="H14" s="12">
        <f t="shared" si="0"/>
        <v>44515</v>
      </c>
      <c r="J14" s="4"/>
    </row>
    <row r="15" spans="2:10" x14ac:dyDescent="0.3">
      <c r="B15" s="6" t="s">
        <v>61</v>
      </c>
      <c r="C15" s="23"/>
      <c r="D15" s="22"/>
      <c r="E15" s="23"/>
      <c r="F15" s="22"/>
      <c r="G15" s="23"/>
      <c r="H15" s="67">
        <f t="shared" si="0"/>
        <v>44515</v>
      </c>
      <c r="J15" s="4"/>
    </row>
    <row r="16" spans="2:10" x14ac:dyDescent="0.3">
      <c r="B16" s="6" t="s">
        <v>19</v>
      </c>
      <c r="C16" s="22"/>
      <c r="D16" s="22"/>
      <c r="E16" s="22"/>
      <c r="F16" s="22"/>
      <c r="G16" s="22"/>
      <c r="H16" s="12">
        <f t="shared" si="0"/>
        <v>44515</v>
      </c>
    </row>
    <row r="17" spans="1:8" x14ac:dyDescent="0.3">
      <c r="B17" s="6" t="s">
        <v>14</v>
      </c>
      <c r="C17" s="22">
        <v>702000</v>
      </c>
      <c r="D17" s="22"/>
      <c r="E17" s="22"/>
      <c r="F17" s="22"/>
      <c r="G17" s="22"/>
      <c r="H17" s="12">
        <f t="shared" si="0"/>
        <v>44515</v>
      </c>
    </row>
    <row r="18" spans="1:8" x14ac:dyDescent="0.3">
      <c r="B18" s="6" t="s">
        <v>24</v>
      </c>
      <c r="C18" s="22"/>
      <c r="D18" s="49"/>
      <c r="E18" s="22"/>
      <c r="F18" s="49"/>
      <c r="G18" s="22"/>
      <c r="H18" s="12">
        <f t="shared" si="0"/>
        <v>44515</v>
      </c>
    </row>
    <row r="19" spans="1:8" x14ac:dyDescent="0.3">
      <c r="B19" s="6" t="s">
        <v>21</v>
      </c>
      <c r="C19" s="22"/>
      <c r="D19" s="22"/>
      <c r="E19" s="22"/>
      <c r="F19" s="22"/>
      <c r="G19" s="22"/>
      <c r="H19" s="67">
        <f t="shared" si="0"/>
        <v>44515</v>
      </c>
    </row>
    <row r="20" spans="1:8" x14ac:dyDescent="0.3">
      <c r="B20" s="6" t="s">
        <v>65</v>
      </c>
      <c r="C20" s="22"/>
      <c r="D20" s="22"/>
      <c r="E20" s="22"/>
      <c r="F20" s="22"/>
      <c r="G20" s="22"/>
      <c r="H20" s="54">
        <f t="shared" si="0"/>
        <v>44515</v>
      </c>
    </row>
    <row r="21" spans="1:8" x14ac:dyDescent="0.3">
      <c r="B21" s="6" t="s">
        <v>18</v>
      </c>
      <c r="C21" s="22"/>
      <c r="D21" s="22"/>
      <c r="E21" s="22"/>
      <c r="F21" s="22"/>
      <c r="G21" s="22"/>
      <c r="H21" s="12">
        <f t="shared" si="0"/>
        <v>44515</v>
      </c>
    </row>
    <row r="22" spans="1:8" x14ac:dyDescent="0.3">
      <c r="B22" s="6" t="s">
        <v>16</v>
      </c>
      <c r="C22" s="22"/>
      <c r="D22" s="22"/>
      <c r="E22" s="22"/>
      <c r="F22" s="22"/>
      <c r="G22" s="22"/>
      <c r="H22" s="12">
        <f t="shared" si="0"/>
        <v>44515</v>
      </c>
    </row>
    <row r="23" spans="1:8" x14ac:dyDescent="0.3">
      <c r="B23" s="50" t="s">
        <v>27</v>
      </c>
      <c r="C23" s="51">
        <f>SUM(November12_202112[KSI_AGO])</f>
        <v>2516500</v>
      </c>
      <c r="D23" s="51">
        <f>SUBTOTAL(109,November12_202112[KSI_PMS])</f>
        <v>0</v>
      </c>
      <c r="E23" s="51">
        <f>SUM(November12_202112[BUIPE_AGO])</f>
        <v>0</v>
      </c>
      <c r="F23" s="51">
        <f>SUM(November12_202112[BUIPE_PMS])</f>
        <v>517500</v>
      </c>
      <c r="G23" s="51">
        <f>SUM(November12_202112[AKOSOMBO_AGO])</f>
        <v>540000</v>
      </c>
      <c r="H23" s="52"/>
    </row>
    <row r="24" spans="1:8" x14ac:dyDescent="0.3">
      <c r="B24" s="8"/>
      <c r="C24" s="24"/>
      <c r="D24" s="24"/>
      <c r="E24" s="24"/>
      <c r="F24" s="24"/>
      <c r="G24" s="24"/>
      <c r="H24"/>
    </row>
    <row r="25" spans="1:8" x14ac:dyDescent="0.3">
      <c r="B25" s="1" t="s">
        <v>6</v>
      </c>
      <c r="C25" s="1" t="s">
        <v>4</v>
      </c>
      <c r="D25" s="5">
        <f>SUMIF(November12_202112[[#Headers],[KSI_AGO]:[AKOSOMBO_AGO]],"*"&amp;C25,November12_202112[[#Totals],[KSI_AGO]:[AKOSOMBO_AGO]])</f>
        <v>3056500</v>
      </c>
      <c r="E25" s="1" t="s">
        <v>5</v>
      </c>
      <c r="F25" s="5">
        <f>SUMIF(November12_202112[[#Headers],[KSI_AGO]:[AKOSOMBO_AGO]],"*"&amp;E25,November12_202112[[#Totals],[KSI_AGO]:[AKOSOMBO_AGO]])</f>
        <v>517500</v>
      </c>
    </row>
    <row r="28" spans="1:8" ht="18" x14ac:dyDescent="0.35">
      <c r="B28" s="107" t="s">
        <v>64</v>
      </c>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8AD3CC2F-68D7-4B5F-9628-E4F79B392728}">
      <formula1>INDIRECT("BDC_List[BDC List]")</formula1>
    </dataValidation>
  </dataValidations>
  <pageMargins left="0.7" right="0.7" top="0.75" bottom="0.75" header="0.3" footer="0.3"/>
  <legacyDrawing r:id="rId1"/>
  <tableParts count="1">
    <tablePart r:id="rId2"/>
  </tableParts>
</worksheet>
</file>

<file path=xl/worksheets/sheet4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14652-682F-4A4D-B2FB-BC5930859551}">
  <sheetPr codeName="Sheet473"/>
  <dimension ref="A1:J35"/>
  <sheetViews>
    <sheetView workbookViewId="0">
      <pane xSplit="2" ySplit="5" topLeftCell="C7"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44516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44516</v>
      </c>
    </row>
    <row r="7" spans="2:10" x14ac:dyDescent="0.3">
      <c r="B7" s="6" t="s">
        <v>37</v>
      </c>
      <c r="C7" s="53"/>
      <c r="D7" s="22"/>
      <c r="E7" s="22"/>
      <c r="F7" s="22"/>
      <c r="G7" s="22"/>
      <c r="H7" s="67">
        <f t="shared" si="0"/>
        <v>44516</v>
      </c>
    </row>
    <row r="8" spans="2:10" x14ac:dyDescent="0.3">
      <c r="B8" s="6" t="s">
        <v>17</v>
      </c>
      <c r="C8" s="22">
        <v>1436000</v>
      </c>
      <c r="D8" s="22"/>
      <c r="E8" s="22"/>
      <c r="F8" s="22"/>
      <c r="G8" s="22">
        <v>216000</v>
      </c>
      <c r="H8" s="12">
        <f t="shared" si="0"/>
        <v>44516</v>
      </c>
    </row>
    <row r="9" spans="2:10" ht="15.6" x14ac:dyDescent="0.3">
      <c r="B9" s="34" t="s">
        <v>0</v>
      </c>
      <c r="C9" s="60"/>
      <c r="D9" s="60"/>
      <c r="E9" s="60"/>
      <c r="F9" s="117">
        <v>504000</v>
      </c>
      <c r="G9" s="61"/>
      <c r="H9" s="12">
        <f t="shared" si="0"/>
        <v>44516</v>
      </c>
    </row>
    <row r="10" spans="2:10" ht="16.2" customHeight="1" x14ac:dyDescent="0.3">
      <c r="B10" s="6" t="s">
        <v>25</v>
      </c>
      <c r="C10" s="22">
        <v>324000</v>
      </c>
      <c r="D10" s="22"/>
      <c r="E10" s="22"/>
      <c r="F10" s="22"/>
      <c r="G10" s="22">
        <v>324000</v>
      </c>
      <c r="H10" s="12">
        <f t="shared" si="0"/>
        <v>44516</v>
      </c>
    </row>
    <row r="11" spans="2:10" ht="13.5" customHeight="1" x14ac:dyDescent="0.3">
      <c r="B11" s="6" t="s">
        <v>15</v>
      </c>
      <c r="C11" s="22"/>
      <c r="D11" s="48">
        <v>914000</v>
      </c>
      <c r="E11" s="22"/>
      <c r="F11" s="48"/>
      <c r="G11" s="22"/>
      <c r="H11" s="12">
        <f t="shared" si="0"/>
        <v>44516</v>
      </c>
    </row>
    <row r="12" spans="2:10" x14ac:dyDescent="0.3">
      <c r="B12" s="6" t="s">
        <v>54</v>
      </c>
      <c r="C12" s="22"/>
      <c r="D12" s="22"/>
      <c r="E12" s="22"/>
      <c r="F12" s="22"/>
      <c r="G12" s="22"/>
      <c r="H12" s="67">
        <f t="shared" si="0"/>
        <v>44516</v>
      </c>
    </row>
    <row r="13" spans="2:10" x14ac:dyDescent="0.3">
      <c r="B13" s="6" t="s">
        <v>26</v>
      </c>
      <c r="C13" s="22"/>
      <c r="D13" s="22"/>
      <c r="E13" s="22"/>
      <c r="F13" s="22"/>
      <c r="G13" s="22"/>
      <c r="H13" s="12">
        <f t="shared" si="0"/>
        <v>44516</v>
      </c>
    </row>
    <row r="14" spans="2:10" x14ac:dyDescent="0.3">
      <c r="B14" s="6" t="s">
        <v>22</v>
      </c>
      <c r="C14" s="23"/>
      <c r="D14" s="22"/>
      <c r="E14" s="23"/>
      <c r="F14" s="22"/>
      <c r="G14" s="23"/>
      <c r="H14" s="12">
        <f t="shared" si="0"/>
        <v>44516</v>
      </c>
      <c r="J14" s="4"/>
    </row>
    <row r="15" spans="2:10" x14ac:dyDescent="0.3">
      <c r="B15" s="6" t="s">
        <v>61</v>
      </c>
      <c r="C15" s="23"/>
      <c r="D15" s="22"/>
      <c r="E15" s="23"/>
      <c r="F15" s="22"/>
      <c r="G15" s="23"/>
      <c r="H15" s="67">
        <f t="shared" si="0"/>
        <v>44516</v>
      </c>
      <c r="J15" s="4"/>
    </row>
    <row r="16" spans="2:10" x14ac:dyDescent="0.3">
      <c r="B16" s="6" t="s">
        <v>19</v>
      </c>
      <c r="C16" s="22"/>
      <c r="D16" s="22"/>
      <c r="E16" s="22"/>
      <c r="F16" s="22"/>
      <c r="G16" s="22"/>
      <c r="H16" s="12">
        <f t="shared" si="0"/>
        <v>44516</v>
      </c>
    </row>
    <row r="17" spans="1:8" x14ac:dyDescent="0.3">
      <c r="B17" s="6" t="s">
        <v>14</v>
      </c>
      <c r="C17" s="22">
        <v>747000</v>
      </c>
      <c r="D17" s="22"/>
      <c r="E17" s="22"/>
      <c r="F17" s="22"/>
      <c r="G17" s="22"/>
      <c r="H17" s="12">
        <f t="shared" si="0"/>
        <v>44516</v>
      </c>
    </row>
    <row r="18" spans="1:8" x14ac:dyDescent="0.3">
      <c r="B18" s="6" t="s">
        <v>24</v>
      </c>
      <c r="C18" s="22"/>
      <c r="D18" s="49"/>
      <c r="E18" s="22"/>
      <c r="F18" s="49"/>
      <c r="G18" s="22"/>
      <c r="H18" s="12">
        <f t="shared" si="0"/>
        <v>44516</v>
      </c>
    </row>
    <row r="19" spans="1:8" x14ac:dyDescent="0.3">
      <c r="B19" s="6" t="s">
        <v>21</v>
      </c>
      <c r="C19" s="22"/>
      <c r="D19" s="22"/>
      <c r="E19" s="22"/>
      <c r="F19" s="22"/>
      <c r="G19" s="22"/>
      <c r="H19" s="67">
        <f t="shared" si="0"/>
        <v>44516</v>
      </c>
    </row>
    <row r="20" spans="1:8" x14ac:dyDescent="0.3">
      <c r="B20" s="6" t="s">
        <v>65</v>
      </c>
      <c r="C20" s="22"/>
      <c r="D20" s="22"/>
      <c r="E20" s="22"/>
      <c r="F20" s="22"/>
      <c r="G20" s="22"/>
      <c r="H20" s="54">
        <f t="shared" si="0"/>
        <v>44516</v>
      </c>
    </row>
    <row r="21" spans="1:8" x14ac:dyDescent="0.3">
      <c r="B21" s="6" t="s">
        <v>18</v>
      </c>
      <c r="C21" s="22"/>
      <c r="D21" s="22"/>
      <c r="E21" s="22"/>
      <c r="F21" s="22"/>
      <c r="G21" s="22"/>
      <c r="H21" s="12">
        <f t="shared" si="0"/>
        <v>44516</v>
      </c>
    </row>
    <row r="22" spans="1:8" x14ac:dyDescent="0.3">
      <c r="B22" s="6" t="s">
        <v>16</v>
      </c>
      <c r="C22" s="22"/>
      <c r="D22" s="22"/>
      <c r="E22" s="22"/>
      <c r="F22" s="22"/>
      <c r="G22" s="22"/>
      <c r="H22" s="12">
        <f t="shared" si="0"/>
        <v>44516</v>
      </c>
    </row>
    <row r="23" spans="1:8" x14ac:dyDescent="0.3">
      <c r="B23" s="50" t="s">
        <v>27</v>
      </c>
      <c r="C23" s="51">
        <f>SUM(November16_2021[KSI_AGO])</f>
        <v>2507000</v>
      </c>
      <c r="D23" s="51">
        <f>SUBTOTAL(109,November16_2021[KSI_PMS])</f>
        <v>914000</v>
      </c>
      <c r="E23" s="51">
        <f>SUM(November16_2021[BUIPE_AGO])</f>
        <v>0</v>
      </c>
      <c r="F23" s="51">
        <f>SUM(November16_2021[BUIPE_PMS])</f>
        <v>504000</v>
      </c>
      <c r="G23" s="51">
        <f>SUM(November16_2021[AKOSOMBO_AGO])</f>
        <v>540000</v>
      </c>
      <c r="H23" s="52"/>
    </row>
    <row r="24" spans="1:8" x14ac:dyDescent="0.3">
      <c r="B24" s="8"/>
      <c r="C24" s="24"/>
      <c r="D24" s="24"/>
      <c r="E24" s="24"/>
      <c r="F24" s="24"/>
      <c r="G24" s="24"/>
      <c r="H24"/>
    </row>
    <row r="25" spans="1:8" x14ac:dyDescent="0.3">
      <c r="B25" s="1" t="s">
        <v>6</v>
      </c>
      <c r="C25" s="1" t="s">
        <v>4</v>
      </c>
      <c r="D25" s="5">
        <f>SUMIF(November16_2021[[#Headers],[KSI_AGO]:[AKOSOMBO_AGO]],"*"&amp;C25,November16_2021[[#Totals],[KSI_AGO]:[AKOSOMBO_AGO]])</f>
        <v>3047000</v>
      </c>
      <c r="E25" s="1" t="s">
        <v>5</v>
      </c>
      <c r="F25" s="5">
        <f>SUMIF(November16_2021[[#Headers],[KSI_AGO]:[AKOSOMBO_AGO]],"*"&amp;E25,November16_2021[[#Totals],[KSI_AGO]:[AKOSOMBO_AGO]])</f>
        <v>1418000</v>
      </c>
    </row>
    <row r="28" spans="1:8" ht="18" x14ac:dyDescent="0.35">
      <c r="B28" s="107" t="s">
        <v>64</v>
      </c>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BB6D064-5B63-4D3C-A9A5-86CC7D20A6BA}">
      <formula1>INDIRECT("BDC_List[BDC List]")</formula1>
    </dataValidation>
  </dataValidations>
  <pageMargins left="0.7" right="0.7" top="0.75" bottom="0.75" header="0.3" footer="0.3"/>
  <legacyDrawing r:id="rId1"/>
  <tableParts count="1">
    <tablePart r:id="rId2"/>
  </tableParts>
</worksheet>
</file>

<file path=xl/worksheets/sheet4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5563-2977-4CBB-BC4F-5D93D2C9F123}">
  <sheetPr codeName="Sheet474"/>
  <dimension ref="A1:J35"/>
  <sheetViews>
    <sheetView workbookViewId="0">
      <pane xSplit="2" ySplit="5" topLeftCell="C6" activePane="bottomRight" state="frozen"/>
      <selection activeCell="H6" sqref="H6"/>
      <selection pane="topRight" activeCell="H6" sqref="H6"/>
      <selection pane="bottomLeft" activeCell="H6" sqref="H6"/>
      <selection pane="bottomRight" activeCell="D16" sqre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44517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44517</v>
      </c>
    </row>
    <row r="7" spans="2:10" x14ac:dyDescent="0.3">
      <c r="B7" s="6" t="s">
        <v>37</v>
      </c>
      <c r="C7" s="53">
        <v>108000</v>
      </c>
      <c r="D7" s="22"/>
      <c r="E7" s="22"/>
      <c r="F7" s="22"/>
      <c r="G7" s="22"/>
      <c r="H7" s="67">
        <f t="shared" si="0"/>
        <v>44517</v>
      </c>
    </row>
    <row r="8" spans="2:10" x14ac:dyDescent="0.3">
      <c r="B8" s="6" t="s">
        <v>17</v>
      </c>
      <c r="C8" s="22">
        <v>630000</v>
      </c>
      <c r="D8" s="22"/>
      <c r="E8" s="22"/>
      <c r="F8" s="22"/>
      <c r="G8" s="22"/>
      <c r="H8" s="12">
        <f t="shared" si="0"/>
        <v>44517</v>
      </c>
    </row>
    <row r="9" spans="2:10" ht="15.6" x14ac:dyDescent="0.3">
      <c r="B9" s="34" t="s">
        <v>0</v>
      </c>
      <c r="C9" s="60">
        <v>806000</v>
      </c>
      <c r="D9" s="60"/>
      <c r="E9" s="60"/>
      <c r="F9" s="117">
        <v>571500</v>
      </c>
      <c r="G9" s="61"/>
      <c r="H9" s="12">
        <f t="shared" si="0"/>
        <v>44517</v>
      </c>
    </row>
    <row r="10" spans="2:10" ht="16.2" customHeight="1" x14ac:dyDescent="0.3">
      <c r="B10" s="6" t="s">
        <v>25</v>
      </c>
      <c r="C10" s="22"/>
      <c r="D10" s="22"/>
      <c r="E10" s="22"/>
      <c r="F10" s="22"/>
      <c r="G10" s="22">
        <v>378000</v>
      </c>
      <c r="H10" s="12">
        <f t="shared" si="0"/>
        <v>44517</v>
      </c>
    </row>
    <row r="11" spans="2:10" ht="13.5" customHeight="1" x14ac:dyDescent="0.3">
      <c r="B11" s="6" t="s">
        <v>15</v>
      </c>
      <c r="C11" s="22">
        <v>45000</v>
      </c>
      <c r="D11" s="48">
        <v>900500</v>
      </c>
      <c r="E11" s="22"/>
      <c r="F11" s="48"/>
      <c r="G11" s="22"/>
      <c r="H11" s="12">
        <f t="shared" si="0"/>
        <v>44517</v>
      </c>
    </row>
    <row r="12" spans="2:10" x14ac:dyDescent="0.3">
      <c r="B12" s="6" t="s">
        <v>54</v>
      </c>
      <c r="C12" s="22"/>
      <c r="D12" s="22"/>
      <c r="E12" s="22"/>
      <c r="F12" s="22"/>
      <c r="G12" s="22"/>
      <c r="H12" s="67">
        <f t="shared" si="0"/>
        <v>44517</v>
      </c>
    </row>
    <row r="13" spans="2:10" x14ac:dyDescent="0.3">
      <c r="B13" s="6" t="s">
        <v>26</v>
      </c>
      <c r="C13" s="22"/>
      <c r="D13" s="22"/>
      <c r="E13" s="22"/>
      <c r="F13" s="22"/>
      <c r="G13" s="22"/>
      <c r="H13" s="12">
        <f t="shared" si="0"/>
        <v>44517</v>
      </c>
    </row>
    <row r="14" spans="2:10" x14ac:dyDescent="0.3">
      <c r="B14" s="6" t="s">
        <v>22</v>
      </c>
      <c r="C14" s="23"/>
      <c r="D14" s="22"/>
      <c r="E14" s="23"/>
      <c r="F14" s="22"/>
      <c r="G14" s="23"/>
      <c r="H14" s="12">
        <f t="shared" si="0"/>
        <v>44517</v>
      </c>
      <c r="J14" s="4"/>
    </row>
    <row r="15" spans="2:10" x14ac:dyDescent="0.3">
      <c r="B15" s="6" t="s">
        <v>61</v>
      </c>
      <c r="C15" s="23"/>
      <c r="D15" s="22"/>
      <c r="E15" s="23"/>
      <c r="F15" s="22"/>
      <c r="G15" s="23"/>
      <c r="H15" s="67">
        <f t="shared" si="0"/>
        <v>44517</v>
      </c>
      <c r="J15" s="4"/>
    </row>
    <row r="16" spans="2:10" x14ac:dyDescent="0.3">
      <c r="B16" s="6" t="s">
        <v>19</v>
      </c>
      <c r="C16" s="22"/>
      <c r="D16" s="22">
        <v>486000</v>
      </c>
      <c r="E16" s="22"/>
      <c r="F16" s="22"/>
      <c r="G16" s="22"/>
      <c r="H16" s="12">
        <f t="shared" si="0"/>
        <v>44517</v>
      </c>
    </row>
    <row r="17" spans="1:8" x14ac:dyDescent="0.3">
      <c r="B17" s="6" t="s">
        <v>14</v>
      </c>
      <c r="C17" s="22">
        <v>162000</v>
      </c>
      <c r="D17" s="22"/>
      <c r="E17" s="22">
        <v>216000</v>
      </c>
      <c r="F17" s="22"/>
      <c r="G17" s="22"/>
      <c r="H17" s="12">
        <f t="shared" si="0"/>
        <v>44517</v>
      </c>
    </row>
    <row r="18" spans="1:8" x14ac:dyDescent="0.3">
      <c r="B18" s="6" t="s">
        <v>24</v>
      </c>
      <c r="C18" s="22"/>
      <c r="D18" s="49"/>
      <c r="E18" s="22"/>
      <c r="F18" s="49"/>
      <c r="G18" s="22"/>
      <c r="H18" s="12">
        <f t="shared" si="0"/>
        <v>44517</v>
      </c>
    </row>
    <row r="19" spans="1:8" x14ac:dyDescent="0.3">
      <c r="B19" s="6" t="s">
        <v>21</v>
      </c>
      <c r="C19" s="22"/>
      <c r="D19" s="22"/>
      <c r="E19" s="22"/>
      <c r="F19" s="22"/>
      <c r="G19" s="22"/>
      <c r="H19" s="67">
        <f t="shared" si="0"/>
        <v>44517</v>
      </c>
    </row>
    <row r="20" spans="1:8" x14ac:dyDescent="0.3">
      <c r="B20" s="6" t="s">
        <v>65</v>
      </c>
      <c r="C20" s="22"/>
      <c r="D20" s="22"/>
      <c r="E20" s="22"/>
      <c r="F20" s="22"/>
      <c r="G20" s="22"/>
      <c r="H20" s="54">
        <f t="shared" si="0"/>
        <v>44517</v>
      </c>
    </row>
    <row r="21" spans="1:8" x14ac:dyDescent="0.3">
      <c r="B21" s="6" t="s">
        <v>18</v>
      </c>
      <c r="C21" s="22"/>
      <c r="D21" s="22"/>
      <c r="E21" s="22"/>
      <c r="F21" s="22"/>
      <c r="G21" s="22"/>
      <c r="H21" s="12">
        <f t="shared" si="0"/>
        <v>44517</v>
      </c>
    </row>
    <row r="22" spans="1:8" x14ac:dyDescent="0.3">
      <c r="B22" s="6" t="s">
        <v>16</v>
      </c>
      <c r="C22" s="22">
        <v>540000</v>
      </c>
      <c r="D22" s="22"/>
      <c r="E22" s="22"/>
      <c r="F22" s="22"/>
      <c r="G22" s="22">
        <v>486000</v>
      </c>
      <c r="H22" s="12">
        <f t="shared" si="0"/>
        <v>44517</v>
      </c>
    </row>
    <row r="23" spans="1:8" x14ac:dyDescent="0.3">
      <c r="B23" s="50" t="s">
        <v>27</v>
      </c>
      <c r="C23" s="51">
        <f>SUM(November17_2021[KSI_AGO])</f>
        <v>2291000</v>
      </c>
      <c r="D23" s="51">
        <f>SUBTOTAL(109,November17_2021[KSI_PMS])</f>
        <v>1386500</v>
      </c>
      <c r="E23" s="51">
        <f>SUM(November17_2021[BUIPE_AGO])</f>
        <v>216000</v>
      </c>
      <c r="F23" s="51">
        <f>SUM(November17_2021[BUIPE_PMS])</f>
        <v>571500</v>
      </c>
      <c r="G23" s="51">
        <f>SUM(November17_2021[AKOSOMBO_AGO])</f>
        <v>864000</v>
      </c>
      <c r="H23" s="52"/>
    </row>
    <row r="24" spans="1:8" x14ac:dyDescent="0.3">
      <c r="B24" s="8"/>
      <c r="C24" s="24"/>
      <c r="D24" s="24"/>
      <c r="E24" s="24"/>
      <c r="F24" s="24"/>
      <c r="G24" s="24"/>
      <c r="H24"/>
    </row>
    <row r="25" spans="1:8" x14ac:dyDescent="0.3">
      <c r="B25" s="1" t="s">
        <v>6</v>
      </c>
      <c r="C25" s="1" t="s">
        <v>4</v>
      </c>
      <c r="D25" s="5">
        <f>SUMIF(November17_2021[[#Headers],[KSI_AGO]:[AKOSOMBO_AGO]],"*"&amp;C25,November17_2021[[#Totals],[KSI_AGO]:[AKOSOMBO_AGO]])</f>
        <v>3371000</v>
      </c>
      <c r="E25" s="1" t="s">
        <v>5</v>
      </c>
      <c r="F25" s="5">
        <f>SUMIF(November17_2021[[#Headers],[KSI_AGO]:[AKOSOMBO_AGO]],"*"&amp;E25,November17_2021[[#Totals],[KSI_AGO]:[AKOSOMBO_AGO]])</f>
        <v>1958000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000B41F8-C1C6-4968-9B11-15F88C883079}">
      <formula1>INDIRECT("BDC_List[BDC List]")</formula1>
    </dataValidation>
  </dataValidations>
  <pageMargins left="0.7" right="0.7" top="0.75" bottom="0.75" header="0.3" footer="0.3"/>
  <legacyDrawing r:id="rId1"/>
  <tableParts count="1">
    <tablePart r:id="rId2"/>
  </tableParts>
</worksheet>
</file>

<file path=xl/worksheets/sheet4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E291C-6BA5-48EB-AD5E-E7731ED26E25}">
  <sheetPr codeName="Sheet475"/>
  <dimension ref="A1:J35"/>
  <sheetViews>
    <sheetView workbookViewId="0">
      <pane xSplit="2" ySplit="5" topLeftCell="C6" activePane="bottomRight" state="frozen"/>
      <selection activeCell="H6" sqref="H6"/>
      <selection pane="topRight" activeCell="H6" sqref="H6"/>
      <selection pane="bottomLeft" activeCell="H6" sqref="H6"/>
      <selection pane="bottomRight" activeCell="D12" sqref="D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44518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44518</v>
      </c>
    </row>
    <row r="7" spans="2:10" x14ac:dyDescent="0.3">
      <c r="B7" s="6" t="s">
        <v>37</v>
      </c>
      <c r="C7" s="53">
        <v>162000</v>
      </c>
      <c r="D7" s="22"/>
      <c r="E7" s="22"/>
      <c r="F7" s="22"/>
      <c r="G7" s="22"/>
      <c r="H7" s="67">
        <f t="shared" si="0"/>
        <v>44518</v>
      </c>
    </row>
    <row r="8" spans="2:10" x14ac:dyDescent="0.3">
      <c r="B8" s="6" t="s">
        <v>17</v>
      </c>
      <c r="C8" s="22">
        <v>481500</v>
      </c>
      <c r="D8" s="22"/>
      <c r="E8" s="22"/>
      <c r="F8" s="22"/>
      <c r="G8" s="22">
        <v>54000</v>
      </c>
      <c r="H8" s="12">
        <f t="shared" si="0"/>
        <v>44518</v>
      </c>
    </row>
    <row r="9" spans="2:10" ht="15.6" x14ac:dyDescent="0.3">
      <c r="B9" s="34" t="s">
        <v>0</v>
      </c>
      <c r="C9" s="60">
        <v>842500</v>
      </c>
      <c r="D9" s="60"/>
      <c r="E9" s="60"/>
      <c r="F9" s="117">
        <v>198000</v>
      </c>
      <c r="G9" s="61"/>
      <c r="H9" s="12">
        <f t="shared" si="0"/>
        <v>44518</v>
      </c>
    </row>
    <row r="10" spans="2:10" ht="16.2" customHeight="1" x14ac:dyDescent="0.3">
      <c r="B10" s="6" t="s">
        <v>25</v>
      </c>
      <c r="C10" s="22">
        <v>270000</v>
      </c>
      <c r="D10" s="22"/>
      <c r="E10" s="22"/>
      <c r="F10" s="22"/>
      <c r="G10" s="22">
        <v>207000</v>
      </c>
      <c r="H10" s="12">
        <f t="shared" si="0"/>
        <v>44518</v>
      </c>
    </row>
    <row r="11" spans="2:10" ht="13.5" customHeight="1" x14ac:dyDescent="0.3">
      <c r="B11" s="6" t="s">
        <v>15</v>
      </c>
      <c r="C11" s="22"/>
      <c r="D11" s="48">
        <v>792000</v>
      </c>
      <c r="E11" s="22"/>
      <c r="F11" s="48"/>
      <c r="G11" s="22"/>
      <c r="H11" s="12">
        <f t="shared" si="0"/>
        <v>44518</v>
      </c>
    </row>
    <row r="12" spans="2:10" x14ac:dyDescent="0.3">
      <c r="B12" s="6" t="s">
        <v>54</v>
      </c>
      <c r="C12" s="22"/>
      <c r="D12" s="22"/>
      <c r="E12" s="22"/>
      <c r="F12" s="22"/>
      <c r="G12" s="22"/>
      <c r="H12" s="67">
        <f t="shared" si="0"/>
        <v>44518</v>
      </c>
    </row>
    <row r="13" spans="2:10" x14ac:dyDescent="0.3">
      <c r="B13" s="6" t="s">
        <v>26</v>
      </c>
      <c r="C13" s="22"/>
      <c r="D13" s="22"/>
      <c r="E13" s="22"/>
      <c r="F13" s="22">
        <v>216000</v>
      </c>
      <c r="G13" s="22"/>
      <c r="H13" s="12">
        <f t="shared" si="0"/>
        <v>44518</v>
      </c>
    </row>
    <row r="14" spans="2:10" x14ac:dyDescent="0.3">
      <c r="B14" s="6" t="s">
        <v>22</v>
      </c>
      <c r="C14" s="23"/>
      <c r="D14" s="22"/>
      <c r="E14" s="23"/>
      <c r="F14" s="22"/>
      <c r="G14" s="23"/>
      <c r="H14" s="12">
        <f t="shared" si="0"/>
        <v>44518</v>
      </c>
      <c r="J14" s="4"/>
    </row>
    <row r="15" spans="2:10" x14ac:dyDescent="0.3">
      <c r="B15" s="6" t="s">
        <v>61</v>
      </c>
      <c r="C15" s="23"/>
      <c r="D15" s="22"/>
      <c r="E15" s="23"/>
      <c r="F15" s="22"/>
      <c r="G15" s="23"/>
      <c r="H15" s="67">
        <f t="shared" si="0"/>
        <v>44518</v>
      </c>
      <c r="J15" s="4"/>
    </row>
    <row r="16" spans="2:10" x14ac:dyDescent="0.3">
      <c r="B16" s="6" t="s">
        <v>19</v>
      </c>
      <c r="C16" s="22"/>
      <c r="D16" s="22">
        <v>522000</v>
      </c>
      <c r="E16" s="22"/>
      <c r="F16" s="22"/>
      <c r="G16" s="22"/>
      <c r="H16" s="12">
        <f t="shared" si="0"/>
        <v>44518</v>
      </c>
    </row>
    <row r="17" spans="1:8" x14ac:dyDescent="0.3">
      <c r="B17" s="6" t="s">
        <v>14</v>
      </c>
      <c r="C17" s="22">
        <v>378000</v>
      </c>
      <c r="D17" s="22"/>
      <c r="E17" s="22">
        <v>423000</v>
      </c>
      <c r="F17" s="22"/>
      <c r="G17" s="22">
        <v>540000</v>
      </c>
      <c r="H17" s="12">
        <f t="shared" si="0"/>
        <v>44518</v>
      </c>
    </row>
    <row r="18" spans="1:8" x14ac:dyDescent="0.3">
      <c r="B18" s="6" t="s">
        <v>24</v>
      </c>
      <c r="C18" s="22"/>
      <c r="D18" s="49"/>
      <c r="E18" s="22"/>
      <c r="F18" s="49"/>
      <c r="G18" s="22"/>
      <c r="H18" s="12">
        <f t="shared" si="0"/>
        <v>44518</v>
      </c>
    </row>
    <row r="19" spans="1:8" x14ac:dyDescent="0.3">
      <c r="B19" s="6" t="s">
        <v>21</v>
      </c>
      <c r="C19" s="22"/>
      <c r="D19" s="22"/>
      <c r="E19" s="22"/>
      <c r="F19" s="22"/>
      <c r="G19" s="22"/>
      <c r="H19" s="67">
        <f t="shared" si="0"/>
        <v>44518</v>
      </c>
    </row>
    <row r="20" spans="1:8" x14ac:dyDescent="0.3">
      <c r="B20" s="6" t="s">
        <v>65</v>
      </c>
      <c r="C20" s="22"/>
      <c r="D20" s="22"/>
      <c r="E20" s="22"/>
      <c r="F20" s="22"/>
      <c r="G20" s="22"/>
      <c r="H20" s="54">
        <f t="shared" si="0"/>
        <v>44518</v>
      </c>
    </row>
    <row r="21" spans="1:8" x14ac:dyDescent="0.3">
      <c r="B21" s="6" t="s">
        <v>18</v>
      </c>
      <c r="C21" s="22"/>
      <c r="D21" s="22"/>
      <c r="E21" s="22"/>
      <c r="F21" s="22"/>
      <c r="G21" s="22"/>
      <c r="H21" s="12">
        <f t="shared" si="0"/>
        <v>44518</v>
      </c>
    </row>
    <row r="22" spans="1:8" x14ac:dyDescent="0.3">
      <c r="B22" s="6" t="s">
        <v>16</v>
      </c>
      <c r="C22" s="22">
        <v>270000</v>
      </c>
      <c r="D22" s="22"/>
      <c r="E22" s="22"/>
      <c r="F22" s="22"/>
      <c r="G22" s="22">
        <v>54000</v>
      </c>
      <c r="H22" s="12">
        <f t="shared" si="0"/>
        <v>44518</v>
      </c>
    </row>
    <row r="23" spans="1:8" x14ac:dyDescent="0.3">
      <c r="B23" s="50" t="s">
        <v>27</v>
      </c>
      <c r="C23" s="51">
        <f>SUM(November18_2021[KSI_AGO])</f>
        <v>2404000</v>
      </c>
      <c r="D23" s="51">
        <f>SUBTOTAL(109,November18_2021[KSI_PMS])</f>
        <v>1314000</v>
      </c>
      <c r="E23" s="51">
        <f>SUM(November18_2021[BUIPE_AGO])</f>
        <v>423000</v>
      </c>
      <c r="F23" s="51">
        <f>SUM(November18_2021[BUIPE_PMS])</f>
        <v>414000</v>
      </c>
      <c r="G23" s="51">
        <f>SUM(November18_2021[AKOSOMBO_AGO])</f>
        <v>855000</v>
      </c>
      <c r="H23" s="52"/>
    </row>
    <row r="24" spans="1:8" x14ac:dyDescent="0.3">
      <c r="B24" s="8"/>
      <c r="C24" s="24"/>
      <c r="D24" s="24"/>
      <c r="E24" s="24"/>
      <c r="F24" s="24"/>
      <c r="G24" s="24"/>
      <c r="H24"/>
    </row>
    <row r="25" spans="1:8" x14ac:dyDescent="0.3">
      <c r="B25" s="1" t="s">
        <v>6</v>
      </c>
      <c r="C25" s="1" t="s">
        <v>4</v>
      </c>
      <c r="D25" s="5">
        <f>SUMIF(November18_2021[[#Headers],[KSI_AGO]:[AKOSOMBO_AGO]],"*"&amp;C25,November18_2021[[#Totals],[KSI_AGO]:[AKOSOMBO_AGO]])</f>
        <v>3682000</v>
      </c>
      <c r="E25" s="1" t="s">
        <v>5</v>
      </c>
      <c r="F25" s="5">
        <f>SUMIF(November18_2021[[#Headers],[KSI_AGO]:[AKOSOMBO_AGO]],"*"&amp;E25,November18_2021[[#Totals],[KSI_AGO]:[AKOSOMBO_AGO]])</f>
        <v>1728000</v>
      </c>
    </row>
    <row r="28" spans="1:8" ht="18" x14ac:dyDescent="0.35">
      <c r="B28" s="107" t="s">
        <v>64</v>
      </c>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disablePrompts="1" count="1">
    <dataValidation type="list" allowBlank="1" showInputMessage="1" showErrorMessage="1" sqref="B6:B22" xr:uid="{72895989-9510-459B-B6A8-8067AD42F3D3}">
      <formula1>INDIRECT("BDC_List[BDC List]")</formula1>
    </dataValidation>
  </dataValidations>
  <pageMargins left="0.7" right="0.7" top="0.75" bottom="0.75" header="0.3" footer="0.3"/>
  <legacyDrawing r:id="rId1"/>
  <tableParts count="1">
    <tablePart r:id="rId2"/>
  </tableParts>
</worksheet>
</file>

<file path=xl/worksheets/sheet4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0FAC-0AC6-4AB4-B6D4-6596E9AFA68A}">
  <sheetPr codeName="Sheet476"/>
  <dimension ref="A1:J35"/>
  <sheetViews>
    <sheetView workbookViewId="0">
      <pane xSplit="2" ySplit="5" topLeftCell="C6" activePane="bottomRight" state="frozen"/>
      <selection activeCell="H6" sqref="H6"/>
      <selection pane="topRight" activeCell="H6" sqref="H6"/>
      <selection pane="bottomLeft" activeCell="H6" sqref="H6"/>
      <selection pane="bottomRight" activeCell="C19" sqref="C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44519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44519</v>
      </c>
    </row>
    <row r="7" spans="2:10" x14ac:dyDescent="0.3">
      <c r="B7" s="6" t="s">
        <v>37</v>
      </c>
      <c r="C7" s="53"/>
      <c r="D7" s="22"/>
      <c r="E7" s="22">
        <v>270000</v>
      </c>
      <c r="F7" s="22"/>
      <c r="G7" s="22"/>
      <c r="H7" s="67">
        <f t="shared" si="0"/>
        <v>44519</v>
      </c>
    </row>
    <row r="8" spans="2:10" x14ac:dyDescent="0.3">
      <c r="B8" s="6" t="s">
        <v>17</v>
      </c>
      <c r="C8" s="22">
        <v>108000</v>
      </c>
      <c r="D8" s="22"/>
      <c r="E8" s="22"/>
      <c r="F8" s="22"/>
      <c r="G8" s="22">
        <v>95000</v>
      </c>
      <c r="H8" s="12">
        <f t="shared" si="0"/>
        <v>44519</v>
      </c>
    </row>
    <row r="9" spans="2:10" ht="15.6" x14ac:dyDescent="0.3">
      <c r="B9" s="34" t="s">
        <v>0</v>
      </c>
      <c r="C9" s="60">
        <v>108000</v>
      </c>
      <c r="D9" s="60"/>
      <c r="E9" s="60"/>
      <c r="F9" s="117">
        <v>103500</v>
      </c>
      <c r="G9" s="61"/>
      <c r="H9" s="12">
        <f t="shared" si="0"/>
        <v>44519</v>
      </c>
    </row>
    <row r="10" spans="2:10" ht="16.2" customHeight="1" x14ac:dyDescent="0.3">
      <c r="B10" s="6" t="s">
        <v>25</v>
      </c>
      <c r="C10" s="22"/>
      <c r="D10" s="22"/>
      <c r="E10" s="22"/>
      <c r="F10" s="22"/>
      <c r="G10" s="22">
        <v>90000</v>
      </c>
      <c r="H10" s="12">
        <f t="shared" si="0"/>
        <v>44519</v>
      </c>
    </row>
    <row r="11" spans="2:10" ht="13.5" customHeight="1" x14ac:dyDescent="0.3">
      <c r="B11" s="6" t="s">
        <v>15</v>
      </c>
      <c r="C11" s="22"/>
      <c r="D11" s="48"/>
      <c r="E11" s="22"/>
      <c r="F11" s="48"/>
      <c r="G11" s="22"/>
      <c r="H11" s="12">
        <f t="shared" si="0"/>
        <v>44519</v>
      </c>
    </row>
    <row r="12" spans="2:10" x14ac:dyDescent="0.3">
      <c r="B12" s="6" t="s">
        <v>54</v>
      </c>
      <c r="C12" s="22"/>
      <c r="D12" s="22"/>
      <c r="E12" s="22"/>
      <c r="F12" s="22"/>
      <c r="G12" s="22"/>
      <c r="H12" s="67">
        <f t="shared" si="0"/>
        <v>44519</v>
      </c>
    </row>
    <row r="13" spans="2:10" x14ac:dyDescent="0.3">
      <c r="B13" s="6" t="s">
        <v>26</v>
      </c>
      <c r="C13" s="22"/>
      <c r="D13" s="22"/>
      <c r="E13" s="22"/>
      <c r="F13" s="22">
        <v>481500</v>
      </c>
      <c r="G13" s="22"/>
      <c r="H13" s="12">
        <f t="shared" si="0"/>
        <v>44519</v>
      </c>
    </row>
    <row r="14" spans="2:10" x14ac:dyDescent="0.3">
      <c r="B14" s="6" t="s">
        <v>22</v>
      </c>
      <c r="C14" s="23"/>
      <c r="D14" s="22"/>
      <c r="E14" s="23"/>
      <c r="F14" s="22"/>
      <c r="G14" s="23"/>
      <c r="H14" s="12">
        <f t="shared" si="0"/>
        <v>44519</v>
      </c>
      <c r="J14" s="4"/>
    </row>
    <row r="15" spans="2:10" x14ac:dyDescent="0.3">
      <c r="B15" s="6" t="s">
        <v>61</v>
      </c>
      <c r="C15" s="23"/>
      <c r="D15" s="22"/>
      <c r="E15" s="23"/>
      <c r="F15" s="22"/>
      <c r="G15" s="23"/>
      <c r="H15" s="67">
        <f t="shared" si="0"/>
        <v>44519</v>
      </c>
      <c r="J15" s="4"/>
    </row>
    <row r="16" spans="2:10" x14ac:dyDescent="0.3">
      <c r="B16" s="6" t="s">
        <v>19</v>
      </c>
      <c r="C16" s="22"/>
      <c r="D16" s="22"/>
      <c r="E16" s="22"/>
      <c r="F16" s="22"/>
      <c r="G16" s="22"/>
      <c r="H16" s="12">
        <f t="shared" si="0"/>
        <v>44519</v>
      </c>
    </row>
    <row r="17" spans="1:8" x14ac:dyDescent="0.3">
      <c r="B17" s="6" t="s">
        <v>14</v>
      </c>
      <c r="C17" s="22">
        <v>108000</v>
      </c>
      <c r="D17" s="22"/>
      <c r="E17" s="22">
        <v>99000</v>
      </c>
      <c r="F17" s="22"/>
      <c r="G17" s="22">
        <v>459000</v>
      </c>
      <c r="H17" s="12">
        <f t="shared" si="0"/>
        <v>44519</v>
      </c>
    </row>
    <row r="18" spans="1:8" x14ac:dyDescent="0.3">
      <c r="B18" s="6" t="s">
        <v>24</v>
      </c>
      <c r="C18" s="22"/>
      <c r="D18" s="49"/>
      <c r="E18" s="22"/>
      <c r="F18" s="49"/>
      <c r="G18" s="22"/>
      <c r="H18" s="12">
        <f t="shared" si="0"/>
        <v>44519</v>
      </c>
    </row>
    <row r="19" spans="1:8" x14ac:dyDescent="0.3">
      <c r="B19" s="6" t="s">
        <v>21</v>
      </c>
      <c r="C19" s="22"/>
      <c r="D19" s="22"/>
      <c r="E19" s="22"/>
      <c r="F19" s="22"/>
      <c r="G19" s="22"/>
      <c r="H19" s="67">
        <f t="shared" si="0"/>
        <v>44519</v>
      </c>
    </row>
    <row r="20" spans="1:8" x14ac:dyDescent="0.3">
      <c r="B20" s="6" t="s">
        <v>65</v>
      </c>
      <c r="C20" s="22"/>
      <c r="D20" s="22"/>
      <c r="E20" s="22"/>
      <c r="F20" s="22"/>
      <c r="G20" s="22"/>
      <c r="H20" s="54">
        <f t="shared" si="0"/>
        <v>44519</v>
      </c>
    </row>
    <row r="21" spans="1:8" x14ac:dyDescent="0.3">
      <c r="B21" s="6" t="s">
        <v>18</v>
      </c>
      <c r="C21" s="22"/>
      <c r="D21" s="22"/>
      <c r="E21" s="22"/>
      <c r="F21" s="22"/>
      <c r="G21" s="22"/>
      <c r="H21" s="12">
        <f t="shared" si="0"/>
        <v>44519</v>
      </c>
    </row>
    <row r="22" spans="1:8" x14ac:dyDescent="0.3">
      <c r="B22" s="6" t="s">
        <v>16</v>
      </c>
      <c r="C22" s="22"/>
      <c r="D22" s="22"/>
      <c r="E22" s="22"/>
      <c r="F22" s="22"/>
      <c r="G22" s="22"/>
      <c r="H22" s="12">
        <f t="shared" si="0"/>
        <v>44519</v>
      </c>
    </row>
    <row r="23" spans="1:8" x14ac:dyDescent="0.3">
      <c r="B23" s="50" t="s">
        <v>27</v>
      </c>
      <c r="C23" s="51">
        <f>SUM(November19_2021[KSI_AGO])</f>
        <v>324000</v>
      </c>
      <c r="D23" s="51">
        <f>SUBTOTAL(109,November19_2021[KSI_PMS])</f>
        <v>0</v>
      </c>
      <c r="E23" s="51">
        <f>SUM(November19_2021[BUIPE_AGO])</f>
        <v>369000</v>
      </c>
      <c r="F23" s="51">
        <f>SUM(November19_2021[BUIPE_PMS])</f>
        <v>585000</v>
      </c>
      <c r="G23" s="51">
        <f>SUM(November19_2021[AKOSOMBO_AGO])</f>
        <v>644000</v>
      </c>
      <c r="H23" s="52"/>
    </row>
    <row r="24" spans="1:8" x14ac:dyDescent="0.3">
      <c r="B24" s="8"/>
      <c r="C24" s="24"/>
      <c r="D24" s="24"/>
      <c r="E24" s="24"/>
      <c r="F24" s="24"/>
      <c r="G24" s="24"/>
      <c r="H24"/>
    </row>
    <row r="25" spans="1:8" x14ac:dyDescent="0.3">
      <c r="B25" s="1" t="s">
        <v>6</v>
      </c>
      <c r="C25" s="1" t="s">
        <v>4</v>
      </c>
      <c r="D25" s="5">
        <f>SUMIF(November19_2021[[#Headers],[KSI_AGO]:[AKOSOMBO_AGO]],"*"&amp;C25,November19_2021[[#Totals],[KSI_AGO]:[AKOSOMBO_AGO]])</f>
        <v>1337000</v>
      </c>
      <c r="E25" s="1" t="s">
        <v>5</v>
      </c>
      <c r="F25" s="5">
        <f>SUMIF(November19_2021[[#Headers],[KSI_AGO]:[AKOSOMBO_AGO]],"*"&amp;E25,November19_2021[[#Totals],[KSI_AGO]:[AKOSOMBO_AGO]])</f>
        <v>585000</v>
      </c>
    </row>
    <row r="28" spans="1:8" ht="18" x14ac:dyDescent="0.35">
      <c r="B28" s="107"/>
      <c r="G28" s="1">
        <v>54</v>
      </c>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702C82A-84E7-44ED-8473-6333D093E20D}">
      <formula1>INDIRECT("BDC_List[BDC List]")</formula1>
    </dataValidation>
  </dataValidations>
  <pageMargins left="0.7" right="0.7" top="0.75" bottom="0.75" header="0.3" footer="0.3"/>
  <legacyDrawing r:id="rId1"/>
  <tableParts count="1">
    <tablePart r:id="rId2"/>
  </tableParts>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8B681-4A6A-493A-B014-5C0ACE353FFB}">
  <sheetPr codeName="Sheet477"/>
  <dimension ref="A1:J35"/>
  <sheetViews>
    <sheetView workbookViewId="0">
      <pane xSplit="2" ySplit="5" topLeftCell="C6" activePane="bottomRight" state="frozen"/>
      <selection activeCell="H6" sqref="H6"/>
      <selection pane="topRight" activeCell="H6" sqref="H6"/>
      <selection pane="bottomLeft" activeCell="H6" sqref="H6"/>
      <selection pane="bottomRight" activeCell="H6" sqref="H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44522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44522</v>
      </c>
    </row>
    <row r="7" spans="2:10" x14ac:dyDescent="0.3">
      <c r="B7" s="6" t="s">
        <v>37</v>
      </c>
      <c r="C7" s="53"/>
      <c r="D7" s="22"/>
      <c r="E7" s="22"/>
      <c r="F7" s="22"/>
      <c r="G7" s="22"/>
      <c r="H7" s="67">
        <f t="shared" si="0"/>
        <v>44522</v>
      </c>
    </row>
    <row r="8" spans="2:10" x14ac:dyDescent="0.3">
      <c r="B8" s="6" t="s">
        <v>17</v>
      </c>
      <c r="C8" s="22"/>
      <c r="D8" s="22"/>
      <c r="E8" s="22"/>
      <c r="F8" s="22"/>
      <c r="G8" s="22"/>
      <c r="H8" s="12">
        <f t="shared" si="0"/>
        <v>44522</v>
      </c>
    </row>
    <row r="9" spans="2:10" ht="15.6" x14ac:dyDescent="0.3">
      <c r="B9" s="34" t="s">
        <v>0</v>
      </c>
      <c r="C9" s="60">
        <v>1327500</v>
      </c>
      <c r="D9" s="60"/>
      <c r="E9" s="60"/>
      <c r="F9" s="118"/>
      <c r="G9" s="61"/>
      <c r="H9" s="12">
        <f t="shared" si="0"/>
        <v>44522</v>
      </c>
    </row>
    <row r="10" spans="2:10" ht="16.2" customHeight="1" x14ac:dyDescent="0.3">
      <c r="B10" s="6" t="s">
        <v>25</v>
      </c>
      <c r="C10" s="22"/>
      <c r="D10" s="22"/>
      <c r="E10" s="22"/>
      <c r="F10" s="22"/>
      <c r="G10" s="22"/>
      <c r="H10" s="12">
        <f t="shared" si="0"/>
        <v>44522</v>
      </c>
    </row>
    <row r="11" spans="2:10" ht="13.5" customHeight="1" x14ac:dyDescent="0.3">
      <c r="B11" s="6" t="s">
        <v>15</v>
      </c>
      <c r="C11" s="22"/>
      <c r="D11" s="48"/>
      <c r="E11" s="22"/>
      <c r="F11" s="48"/>
      <c r="G11" s="22"/>
      <c r="H11" s="12">
        <f t="shared" si="0"/>
        <v>44522</v>
      </c>
    </row>
    <row r="12" spans="2:10" x14ac:dyDescent="0.3">
      <c r="B12" s="6" t="s">
        <v>54</v>
      </c>
      <c r="C12" s="22"/>
      <c r="D12" s="22"/>
      <c r="E12" s="22"/>
      <c r="F12" s="22"/>
      <c r="G12" s="22"/>
      <c r="H12" s="67">
        <f t="shared" si="0"/>
        <v>44522</v>
      </c>
    </row>
    <row r="13" spans="2:10" x14ac:dyDescent="0.3">
      <c r="B13" s="6" t="s">
        <v>26</v>
      </c>
      <c r="C13" s="22"/>
      <c r="D13" s="22"/>
      <c r="E13" s="22"/>
      <c r="F13" s="22"/>
      <c r="G13" s="22"/>
      <c r="H13" s="12">
        <f t="shared" si="0"/>
        <v>44522</v>
      </c>
    </row>
    <row r="14" spans="2:10" x14ac:dyDescent="0.3">
      <c r="B14" s="6" t="s">
        <v>22</v>
      </c>
      <c r="C14" s="23"/>
      <c r="D14" s="22"/>
      <c r="E14" s="23"/>
      <c r="F14" s="22"/>
      <c r="G14" s="23"/>
      <c r="H14" s="12">
        <f t="shared" si="0"/>
        <v>44522</v>
      </c>
      <c r="J14" s="4"/>
    </row>
    <row r="15" spans="2:10" x14ac:dyDescent="0.3">
      <c r="B15" s="6" t="s">
        <v>61</v>
      </c>
      <c r="C15" s="23"/>
      <c r="D15" s="22"/>
      <c r="E15" s="23"/>
      <c r="F15" s="22"/>
      <c r="G15" s="23"/>
      <c r="H15" s="67">
        <f t="shared" si="0"/>
        <v>44522</v>
      </c>
      <c r="J15" s="4"/>
    </row>
    <row r="16" spans="2:10" x14ac:dyDescent="0.3">
      <c r="B16" s="6" t="s">
        <v>19</v>
      </c>
      <c r="C16" s="22"/>
      <c r="D16" s="22"/>
      <c r="E16" s="22"/>
      <c r="F16" s="22"/>
      <c r="G16" s="22"/>
      <c r="H16" s="12">
        <f t="shared" si="0"/>
        <v>44522</v>
      </c>
    </row>
    <row r="17" spans="1:8" x14ac:dyDescent="0.3">
      <c r="B17" s="6" t="s">
        <v>14</v>
      </c>
      <c r="C17" s="22">
        <v>54000</v>
      </c>
      <c r="D17" s="22"/>
      <c r="E17" s="22"/>
      <c r="F17" s="22"/>
      <c r="G17" s="22"/>
      <c r="H17" s="12">
        <f t="shared" si="0"/>
        <v>44522</v>
      </c>
    </row>
    <row r="18" spans="1:8" x14ac:dyDescent="0.3">
      <c r="B18" s="6" t="s">
        <v>24</v>
      </c>
      <c r="C18" s="22"/>
      <c r="D18" s="49"/>
      <c r="E18" s="22"/>
      <c r="F18" s="49"/>
      <c r="G18" s="22"/>
      <c r="H18" s="12">
        <f t="shared" si="0"/>
        <v>44522</v>
      </c>
    </row>
    <row r="19" spans="1:8" x14ac:dyDescent="0.3">
      <c r="B19" s="6" t="s">
        <v>21</v>
      </c>
      <c r="C19" s="22"/>
      <c r="D19" s="22"/>
      <c r="E19" s="22"/>
      <c r="F19" s="22"/>
      <c r="G19" s="22"/>
      <c r="H19" s="67">
        <f t="shared" si="0"/>
        <v>44522</v>
      </c>
    </row>
    <row r="20" spans="1:8" x14ac:dyDescent="0.3">
      <c r="B20" s="6" t="s">
        <v>65</v>
      </c>
      <c r="C20" s="22"/>
      <c r="D20" s="22"/>
      <c r="E20" s="22"/>
      <c r="F20" s="22"/>
      <c r="G20" s="22"/>
      <c r="H20" s="54">
        <f t="shared" si="0"/>
        <v>44522</v>
      </c>
    </row>
    <row r="21" spans="1:8" x14ac:dyDescent="0.3">
      <c r="B21" s="6" t="s">
        <v>18</v>
      </c>
      <c r="C21" s="22"/>
      <c r="D21" s="22"/>
      <c r="E21" s="22"/>
      <c r="F21" s="22"/>
      <c r="G21" s="22"/>
      <c r="H21" s="12">
        <f t="shared" si="0"/>
        <v>44522</v>
      </c>
    </row>
    <row r="22" spans="1:8" x14ac:dyDescent="0.3">
      <c r="B22" s="6" t="s">
        <v>16</v>
      </c>
      <c r="C22" s="22"/>
      <c r="D22" s="22"/>
      <c r="E22" s="22"/>
      <c r="F22" s="22"/>
      <c r="G22" s="22"/>
      <c r="H22" s="12">
        <f t="shared" si="0"/>
        <v>44522</v>
      </c>
    </row>
    <row r="23" spans="1:8" x14ac:dyDescent="0.3">
      <c r="B23" s="50" t="s">
        <v>27</v>
      </c>
      <c r="C23" s="51">
        <f>SUM(November22_2021[KSI_AGO])</f>
        <v>1381500</v>
      </c>
      <c r="D23" s="51">
        <f>SUBTOTAL(109,November22_2021[KSI_PMS])</f>
        <v>0</v>
      </c>
      <c r="E23" s="51">
        <f>SUM(November22_2021[BUIPE_AGO])</f>
        <v>0</v>
      </c>
      <c r="F23" s="51">
        <f>SUM(November22_2021[BUIPE_PMS])</f>
        <v>0</v>
      </c>
      <c r="G23" s="51">
        <f>SUM(November22_2021[AKOSOMBO_AGO])</f>
        <v>0</v>
      </c>
      <c r="H23" s="52"/>
    </row>
    <row r="24" spans="1:8" x14ac:dyDescent="0.3">
      <c r="B24" s="8"/>
      <c r="C24" s="24"/>
      <c r="D24" s="24"/>
      <c r="E24" s="24"/>
      <c r="F24" s="24"/>
      <c r="G24" s="24"/>
      <c r="H24"/>
    </row>
    <row r="25" spans="1:8" x14ac:dyDescent="0.3">
      <c r="B25" s="1" t="s">
        <v>6</v>
      </c>
      <c r="C25" s="1" t="s">
        <v>4</v>
      </c>
      <c r="D25" s="5">
        <f>SUMIF(November22_2021[[#Headers],[KSI_AGO]:[AKOSOMBO_AGO]],"*"&amp;C25,November22_2021[[#Totals],[KSI_AGO]:[AKOSOMBO_AGO]])</f>
        <v>1381500</v>
      </c>
      <c r="E25" s="1" t="s">
        <v>5</v>
      </c>
      <c r="F25" s="5">
        <f>SUMIF(November22_2021[[#Headers],[KSI_AGO]:[AKOSOMBO_AGO]],"*"&amp;E25,November22_2021[[#Totals],[KSI_AGO]:[AKOSOMBO_AGO]])</f>
        <v>0</v>
      </c>
    </row>
    <row r="28" spans="1:8" ht="18" x14ac:dyDescent="0.35">
      <c r="B28" s="107" t="s">
        <v>64</v>
      </c>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0AE1B676-16FC-4417-8C5E-8FCA61FAFE0B}">
      <formula1>INDIRECT("BDC_List[BDC List]")</formula1>
    </dataValidation>
  </dataValidations>
  <pageMargins left="0.7" right="0.7" top="0.75" bottom="0.75" header="0.3" footer="0.3"/>
  <tableParts count="1">
    <tablePart r:id="rId1"/>
  </tableParts>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555A2-980C-406F-B452-0FF8565DDBA9}">
  <sheetPr codeName="Sheet478"/>
  <dimension ref="A1:J35"/>
  <sheetViews>
    <sheetView workbookViewId="0">
      <pane xSplit="2" ySplit="5" topLeftCell="C6" activePane="bottomRight" state="frozen"/>
      <selection activeCell="H6" sqref="H6"/>
      <selection pane="topRight" activeCell="H6" sqref="H6"/>
      <selection pane="bottomLeft" activeCell="H6" sqref="H6"/>
      <selection pane="bottomRight" activeCell="H27" sqref="H2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44523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44523</v>
      </c>
    </row>
    <row r="7" spans="2:10" x14ac:dyDescent="0.3">
      <c r="B7" s="6" t="s">
        <v>37</v>
      </c>
      <c r="C7" s="53"/>
      <c r="D7" s="22"/>
      <c r="E7" s="22">
        <v>45000</v>
      </c>
      <c r="F7" s="22"/>
      <c r="G7" s="22"/>
      <c r="H7" s="67">
        <f t="shared" si="0"/>
        <v>44523</v>
      </c>
    </row>
    <row r="8" spans="2:10" x14ac:dyDescent="0.3">
      <c r="B8" s="6" t="s">
        <v>17</v>
      </c>
      <c r="C8" s="22"/>
      <c r="D8" s="22"/>
      <c r="E8" s="22"/>
      <c r="F8" s="22"/>
      <c r="G8" s="22"/>
      <c r="H8" s="12">
        <f t="shared" si="0"/>
        <v>44523</v>
      </c>
    </row>
    <row r="9" spans="2:10" ht="15.6" x14ac:dyDescent="0.3">
      <c r="B9" s="34" t="s">
        <v>0</v>
      </c>
      <c r="C9" s="60">
        <v>158000</v>
      </c>
      <c r="D9" s="60"/>
      <c r="E9" s="60"/>
      <c r="F9" s="118"/>
      <c r="G9" s="61"/>
      <c r="H9" s="12">
        <f t="shared" si="0"/>
        <v>44523</v>
      </c>
    </row>
    <row r="10" spans="2:10" ht="16.2" customHeight="1" x14ac:dyDescent="0.3">
      <c r="B10" s="6" t="s">
        <v>25</v>
      </c>
      <c r="C10" s="22">
        <v>324000</v>
      </c>
      <c r="D10" s="22">
        <v>216000</v>
      </c>
      <c r="E10" s="22"/>
      <c r="F10" s="22">
        <v>216000</v>
      </c>
      <c r="G10" s="22"/>
      <c r="H10" s="12">
        <f t="shared" si="0"/>
        <v>44523</v>
      </c>
    </row>
    <row r="11" spans="2:10" ht="13.5" customHeight="1" x14ac:dyDescent="0.3">
      <c r="B11" s="6" t="s">
        <v>15</v>
      </c>
      <c r="C11" s="22"/>
      <c r="D11" s="48"/>
      <c r="E11" s="22"/>
      <c r="F11" s="48"/>
      <c r="G11" s="22"/>
      <c r="H11" s="12">
        <f t="shared" si="0"/>
        <v>44523</v>
      </c>
    </row>
    <row r="12" spans="2:10" x14ac:dyDescent="0.3">
      <c r="B12" s="6" t="s">
        <v>54</v>
      </c>
      <c r="C12" s="22"/>
      <c r="D12" s="22"/>
      <c r="E12" s="22"/>
      <c r="F12" s="22"/>
      <c r="G12" s="22"/>
      <c r="H12" s="67">
        <f t="shared" si="0"/>
        <v>44523</v>
      </c>
    </row>
    <row r="13" spans="2:10" x14ac:dyDescent="0.3">
      <c r="B13" s="6" t="s">
        <v>26</v>
      </c>
      <c r="C13" s="22"/>
      <c r="D13" s="22"/>
      <c r="E13" s="22"/>
      <c r="F13" s="22">
        <v>50000</v>
      </c>
      <c r="G13" s="22"/>
      <c r="H13" s="12">
        <f t="shared" si="0"/>
        <v>44523</v>
      </c>
    </row>
    <row r="14" spans="2:10" x14ac:dyDescent="0.3">
      <c r="B14" s="6" t="s">
        <v>22</v>
      </c>
      <c r="C14" s="23"/>
      <c r="D14" s="22"/>
      <c r="E14" s="23"/>
      <c r="F14" s="22"/>
      <c r="G14" s="23"/>
      <c r="H14" s="12">
        <f t="shared" si="0"/>
        <v>44523</v>
      </c>
      <c r="J14" s="4"/>
    </row>
    <row r="15" spans="2:10" x14ac:dyDescent="0.3">
      <c r="B15" s="6" t="s">
        <v>61</v>
      </c>
      <c r="C15" s="23"/>
      <c r="D15" s="22"/>
      <c r="E15" s="23"/>
      <c r="F15" s="22"/>
      <c r="G15" s="23"/>
      <c r="H15" s="67">
        <f t="shared" si="0"/>
        <v>44523</v>
      </c>
      <c r="J15" s="4"/>
    </row>
    <row r="16" spans="2:10" x14ac:dyDescent="0.3">
      <c r="B16" s="6" t="s">
        <v>19</v>
      </c>
      <c r="C16" s="22">
        <v>324000</v>
      </c>
      <c r="D16" s="22"/>
      <c r="E16" s="22"/>
      <c r="F16" s="22"/>
      <c r="G16" s="22"/>
      <c r="H16" s="12">
        <f t="shared" si="0"/>
        <v>44523</v>
      </c>
    </row>
    <row r="17" spans="1:8" x14ac:dyDescent="0.3">
      <c r="B17" s="6" t="s">
        <v>14</v>
      </c>
      <c r="C17" s="22">
        <v>162000</v>
      </c>
      <c r="D17" s="22"/>
      <c r="E17" s="22">
        <v>270000</v>
      </c>
      <c r="F17" s="22"/>
      <c r="G17" s="22"/>
      <c r="H17" s="12">
        <f t="shared" si="0"/>
        <v>44523</v>
      </c>
    </row>
    <row r="18" spans="1:8" x14ac:dyDescent="0.3">
      <c r="B18" s="6" t="s">
        <v>24</v>
      </c>
      <c r="C18" s="22"/>
      <c r="D18" s="49"/>
      <c r="E18" s="22"/>
      <c r="F18" s="49"/>
      <c r="G18" s="22"/>
      <c r="H18" s="12">
        <f t="shared" si="0"/>
        <v>44523</v>
      </c>
    </row>
    <row r="19" spans="1:8" x14ac:dyDescent="0.3">
      <c r="B19" s="6" t="s">
        <v>21</v>
      </c>
      <c r="C19" s="22"/>
      <c r="D19" s="22"/>
      <c r="E19" s="22"/>
      <c r="F19" s="22"/>
      <c r="G19" s="22"/>
      <c r="H19" s="67">
        <f t="shared" si="0"/>
        <v>44523</v>
      </c>
    </row>
    <row r="20" spans="1:8" x14ac:dyDescent="0.3">
      <c r="B20" s="6" t="s">
        <v>65</v>
      </c>
      <c r="C20" s="22"/>
      <c r="D20" s="22"/>
      <c r="E20" s="22"/>
      <c r="F20" s="22"/>
      <c r="G20" s="22"/>
      <c r="H20" s="54">
        <f t="shared" si="0"/>
        <v>44523</v>
      </c>
    </row>
    <row r="21" spans="1:8" x14ac:dyDescent="0.3">
      <c r="B21" s="6" t="s">
        <v>18</v>
      </c>
      <c r="C21" s="22">
        <v>50000</v>
      </c>
      <c r="D21" s="22"/>
      <c r="E21" s="22"/>
      <c r="F21" s="22"/>
      <c r="G21" s="22"/>
      <c r="H21" s="12">
        <f t="shared" si="0"/>
        <v>44523</v>
      </c>
    </row>
    <row r="22" spans="1:8" x14ac:dyDescent="0.3">
      <c r="B22" s="6" t="s">
        <v>16</v>
      </c>
      <c r="C22" s="22"/>
      <c r="D22" s="22"/>
      <c r="E22" s="22"/>
      <c r="F22" s="22"/>
      <c r="G22" s="22"/>
      <c r="H22" s="12">
        <f t="shared" si="0"/>
        <v>44523</v>
      </c>
    </row>
    <row r="23" spans="1:8" x14ac:dyDescent="0.3">
      <c r="B23" s="50" t="s">
        <v>27</v>
      </c>
      <c r="C23" s="51">
        <f>SUM(November23_2021[KSI_AGO])</f>
        <v>1018000</v>
      </c>
      <c r="D23" s="51">
        <f>SUBTOTAL(109,November23_2021[KSI_PMS])</f>
        <v>216000</v>
      </c>
      <c r="E23" s="51">
        <f>SUM(November23_2021[BUIPE_AGO])</f>
        <v>315000</v>
      </c>
      <c r="F23" s="51">
        <f>SUM(November23_2021[BUIPE_PMS])</f>
        <v>266000</v>
      </c>
      <c r="G23" s="51">
        <f>SUM(November23_2021[AKOSOMBO_AGO])</f>
        <v>0</v>
      </c>
      <c r="H23" s="52"/>
    </row>
    <row r="24" spans="1:8" x14ac:dyDescent="0.3">
      <c r="B24" s="8"/>
      <c r="C24" s="24"/>
      <c r="D24" s="24"/>
      <c r="E24" s="24"/>
      <c r="F24" s="24"/>
      <c r="G24" s="24"/>
      <c r="H24"/>
    </row>
    <row r="25" spans="1:8" x14ac:dyDescent="0.3">
      <c r="B25" s="1" t="s">
        <v>6</v>
      </c>
      <c r="C25" s="1" t="s">
        <v>4</v>
      </c>
      <c r="D25" s="5">
        <f>SUMIF(November23_2021[[#Headers],[KSI_AGO]:[AKOSOMBO_AGO]],"*"&amp;C25,November23_2021[[#Totals],[KSI_AGO]:[AKOSOMBO_AGO]])</f>
        <v>1333000</v>
      </c>
      <c r="E25" s="1" t="s">
        <v>5</v>
      </c>
      <c r="F25" s="5">
        <f>SUMIF(November23_2021[[#Headers],[KSI_AGO]:[AKOSOMBO_AGO]],"*"&amp;E25,November23_2021[[#Totals],[KSI_AGO]:[AKOSOMBO_AGO]])</f>
        <v>482000</v>
      </c>
    </row>
    <row r="28" spans="1:8" ht="18" x14ac:dyDescent="0.35">
      <c r="B28" s="107" t="s">
        <v>64</v>
      </c>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B67D9F9C-6C69-43FC-BDC7-B211D7437989}">
      <formula1>INDIRECT("BDC_List[BDC List]")</formula1>
    </dataValidation>
  </dataValidations>
  <pageMargins left="0.7" right="0.7" top="0.75" bottom="0.75" header="0.3" footer="0.3"/>
  <tableParts count="1">
    <tablePart r:id="rId1"/>
  </tableParts>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4860-B5FE-455F-9045-5C4EB3611911}">
  <sheetPr codeName="Sheet479"/>
  <dimension ref="A1:J35"/>
  <sheetViews>
    <sheetView workbookViewId="0">
      <pane xSplit="2" ySplit="5" topLeftCell="C6" activePane="bottomRight" state="frozen"/>
      <selection activeCell="J22" sqref="J22"/>
      <selection pane="topRight" activeCell="J22" sqref="J22"/>
      <selection pane="bottomLeft" activeCell="J22" sqref="J22"/>
      <selection pane="bottomRight" activeCell="C16" sqref="C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44524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44524</v>
      </c>
    </row>
    <row r="7" spans="2:10" x14ac:dyDescent="0.3">
      <c r="B7" s="6" t="s">
        <v>37</v>
      </c>
      <c r="C7" s="53"/>
      <c r="D7" s="22"/>
      <c r="E7" s="22"/>
      <c r="F7" s="22"/>
      <c r="G7" s="22"/>
      <c r="H7" s="67">
        <f t="shared" si="0"/>
        <v>44524</v>
      </c>
    </row>
    <row r="8" spans="2:10" x14ac:dyDescent="0.3">
      <c r="B8" s="6" t="s">
        <v>17</v>
      </c>
      <c r="C8" s="22"/>
      <c r="D8" s="22"/>
      <c r="E8" s="22"/>
      <c r="F8" s="22"/>
      <c r="G8" s="22"/>
      <c r="H8" s="12">
        <f t="shared" si="0"/>
        <v>44524</v>
      </c>
    </row>
    <row r="9" spans="2:10" ht="15.6" x14ac:dyDescent="0.3">
      <c r="B9" s="34" t="s">
        <v>0</v>
      </c>
      <c r="C9" s="60">
        <v>108000</v>
      </c>
      <c r="D9" s="60"/>
      <c r="E9" s="60"/>
      <c r="F9" s="118"/>
      <c r="G9" s="61"/>
      <c r="H9" s="12">
        <f t="shared" si="0"/>
        <v>44524</v>
      </c>
    </row>
    <row r="10" spans="2:10" ht="16.2" customHeight="1" x14ac:dyDescent="0.3">
      <c r="B10" s="6" t="s">
        <v>25</v>
      </c>
      <c r="C10" s="22"/>
      <c r="D10" s="22">
        <v>806000</v>
      </c>
      <c r="E10" s="22"/>
      <c r="F10" s="22"/>
      <c r="G10" s="22"/>
      <c r="H10" s="12">
        <f t="shared" si="0"/>
        <v>44524</v>
      </c>
    </row>
    <row r="11" spans="2:10" ht="13.5" customHeight="1" x14ac:dyDescent="0.3">
      <c r="B11" s="6" t="s">
        <v>15</v>
      </c>
      <c r="C11" s="22"/>
      <c r="D11" s="48"/>
      <c r="E11" s="22"/>
      <c r="F11" s="48"/>
      <c r="G11" s="22"/>
      <c r="H11" s="12">
        <f t="shared" si="0"/>
        <v>44524</v>
      </c>
    </row>
    <row r="12" spans="2:10" x14ac:dyDescent="0.3">
      <c r="B12" s="6" t="s">
        <v>54</v>
      </c>
      <c r="C12" s="22"/>
      <c r="D12" s="22"/>
      <c r="E12" s="22"/>
      <c r="F12" s="22"/>
      <c r="G12" s="22"/>
      <c r="H12" s="67">
        <f t="shared" si="0"/>
        <v>44524</v>
      </c>
    </row>
    <row r="13" spans="2:10" x14ac:dyDescent="0.3">
      <c r="B13" s="6" t="s">
        <v>26</v>
      </c>
      <c r="C13" s="22"/>
      <c r="D13" s="22"/>
      <c r="E13" s="22"/>
      <c r="F13" s="22"/>
      <c r="G13" s="22"/>
      <c r="H13" s="12">
        <f t="shared" si="0"/>
        <v>44524</v>
      </c>
    </row>
    <row r="14" spans="2:10" x14ac:dyDescent="0.3">
      <c r="B14" s="6" t="s">
        <v>22</v>
      </c>
      <c r="C14" s="23"/>
      <c r="D14" s="22"/>
      <c r="E14" s="23"/>
      <c r="F14" s="22"/>
      <c r="G14" s="23"/>
      <c r="H14" s="12">
        <f t="shared" si="0"/>
        <v>44524</v>
      </c>
      <c r="J14" s="4"/>
    </row>
    <row r="15" spans="2:10" x14ac:dyDescent="0.3">
      <c r="B15" s="6" t="s">
        <v>61</v>
      </c>
      <c r="C15" s="23"/>
      <c r="D15" s="22"/>
      <c r="E15" s="23"/>
      <c r="F15" s="22"/>
      <c r="G15" s="23"/>
      <c r="H15" s="67">
        <f t="shared" si="0"/>
        <v>44524</v>
      </c>
      <c r="J15" s="4"/>
    </row>
    <row r="16" spans="2:10" x14ac:dyDescent="0.3">
      <c r="B16" s="6" t="s">
        <v>19</v>
      </c>
      <c r="C16" s="22"/>
      <c r="D16" s="22"/>
      <c r="E16" s="22"/>
      <c r="F16" s="22"/>
      <c r="G16" s="22"/>
      <c r="H16" s="12">
        <f t="shared" si="0"/>
        <v>44524</v>
      </c>
    </row>
    <row r="17" spans="1:8" x14ac:dyDescent="0.3">
      <c r="B17" s="6" t="s">
        <v>14</v>
      </c>
      <c r="C17" s="22"/>
      <c r="D17" s="22"/>
      <c r="E17" s="22"/>
      <c r="F17" s="22"/>
      <c r="G17" s="22"/>
      <c r="H17" s="12">
        <f t="shared" si="0"/>
        <v>44524</v>
      </c>
    </row>
    <row r="18" spans="1:8" x14ac:dyDescent="0.3">
      <c r="B18" s="6" t="s">
        <v>24</v>
      </c>
      <c r="C18" s="22"/>
      <c r="D18" s="49"/>
      <c r="E18" s="22"/>
      <c r="F18" s="49"/>
      <c r="G18" s="22"/>
      <c r="H18" s="12">
        <f t="shared" si="0"/>
        <v>44524</v>
      </c>
    </row>
    <row r="19" spans="1:8" x14ac:dyDescent="0.3">
      <c r="B19" s="6" t="s">
        <v>21</v>
      </c>
      <c r="C19" s="22"/>
      <c r="D19" s="22"/>
      <c r="E19" s="22"/>
      <c r="F19" s="22"/>
      <c r="G19" s="22"/>
      <c r="H19" s="67">
        <f t="shared" si="0"/>
        <v>44524</v>
      </c>
    </row>
    <row r="20" spans="1:8" x14ac:dyDescent="0.3">
      <c r="B20" s="6" t="s">
        <v>65</v>
      </c>
      <c r="C20" s="22"/>
      <c r="D20" s="22"/>
      <c r="E20" s="22"/>
      <c r="F20" s="22"/>
      <c r="G20" s="22"/>
      <c r="H20" s="54">
        <f t="shared" si="0"/>
        <v>44524</v>
      </c>
    </row>
    <row r="21" spans="1:8" x14ac:dyDescent="0.3">
      <c r="B21" s="6" t="s">
        <v>18</v>
      </c>
      <c r="C21" s="22">
        <v>100000</v>
      </c>
      <c r="D21" s="22"/>
      <c r="E21" s="22"/>
      <c r="F21" s="22"/>
      <c r="G21" s="22"/>
      <c r="H21" s="12">
        <f t="shared" si="0"/>
        <v>44524</v>
      </c>
    </row>
    <row r="22" spans="1:8" x14ac:dyDescent="0.3">
      <c r="B22" s="6" t="s">
        <v>16</v>
      </c>
      <c r="C22" s="22">
        <v>216000</v>
      </c>
      <c r="D22" s="22"/>
      <c r="E22" s="22"/>
      <c r="F22" s="22"/>
      <c r="G22" s="22"/>
      <c r="H22" s="12">
        <f t="shared" si="0"/>
        <v>44524</v>
      </c>
    </row>
    <row r="23" spans="1:8" x14ac:dyDescent="0.3">
      <c r="B23" s="50" t="s">
        <v>27</v>
      </c>
      <c r="C23" s="51">
        <f>SUM(November24_2021[KSI_AGO])</f>
        <v>424000</v>
      </c>
      <c r="D23" s="51">
        <f>SUBTOTAL(109,November24_2021[KSI_PMS])</f>
        <v>806000</v>
      </c>
      <c r="E23" s="51">
        <f>SUM(November24_2021[BUIPE_AGO])</f>
        <v>0</v>
      </c>
      <c r="F23" s="51">
        <f>SUM(November24_2021[BUIPE_PMS])</f>
        <v>0</v>
      </c>
      <c r="G23" s="51">
        <f>SUM(November24_2021[AKOSOMBO_AGO])</f>
        <v>0</v>
      </c>
      <c r="H23" s="52"/>
    </row>
    <row r="24" spans="1:8" x14ac:dyDescent="0.3">
      <c r="B24" s="8"/>
      <c r="C24" s="24"/>
      <c r="D24" s="24"/>
      <c r="E24" s="24"/>
      <c r="F24" s="24"/>
      <c r="G24" s="24"/>
      <c r="H24"/>
    </row>
    <row r="25" spans="1:8" x14ac:dyDescent="0.3">
      <c r="B25" s="1" t="s">
        <v>6</v>
      </c>
      <c r="C25" s="1" t="s">
        <v>4</v>
      </c>
      <c r="D25" s="5">
        <f>SUMIF(November24_2021[[#Headers],[KSI_AGO]:[AKOSOMBO_AGO]],"*"&amp;C25,November24_2021[[#Totals],[KSI_AGO]:[AKOSOMBO_AGO]])</f>
        <v>424000</v>
      </c>
      <c r="E25" s="1" t="s">
        <v>5</v>
      </c>
      <c r="F25" s="5">
        <f>SUMIF(November24_2021[[#Headers],[KSI_AGO]:[AKOSOMBO_AGO]],"*"&amp;E25,November24_2021[[#Totals],[KSI_AGO]:[AKOSOMBO_AGO]])</f>
        <v>806000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3D59C81C-1F21-482A-805B-D3548ADD0D0F}">
      <formula1>INDIRECT("BDC_List[BDC List]")</formula1>
    </dataValidation>
  </dataValidations>
  <pageMargins left="0.7" right="0.7" top="0.75" bottom="0.75" header="0.3" footer="0.3"/>
  <tableParts count="1">
    <tablePart r:id="rId1"/>
  </tableParts>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A384-D5BE-40C8-AA89-B9740A39616A}">
  <sheetPr codeName="Sheet480"/>
  <dimension ref="A1:J35"/>
  <sheetViews>
    <sheetView workbookViewId="0">
      <pane xSplit="2" ySplit="5" topLeftCell="C6" activePane="bottomRight" state="frozen"/>
      <selection activeCell="J22" sqref="J22"/>
      <selection pane="topRight" activeCell="J22" sqref="J22"/>
      <selection pane="bottomLeft" activeCell="J22" sqref="J22"/>
      <selection pane="bottomRight" activeCell="D22" sqref="D2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44525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44525</v>
      </c>
    </row>
    <row r="7" spans="2:10" x14ac:dyDescent="0.3">
      <c r="B7" s="6" t="s">
        <v>37</v>
      </c>
      <c r="C7" s="53"/>
      <c r="D7" s="22"/>
      <c r="E7" s="22">
        <v>90000</v>
      </c>
      <c r="F7" s="22"/>
      <c r="G7" s="22"/>
      <c r="H7" s="67">
        <f t="shared" si="0"/>
        <v>44525</v>
      </c>
    </row>
    <row r="8" spans="2:10" x14ac:dyDescent="0.3">
      <c r="B8" s="6" t="s">
        <v>17</v>
      </c>
      <c r="C8" s="22"/>
      <c r="D8" s="22"/>
      <c r="E8" s="22"/>
      <c r="F8" s="22"/>
      <c r="G8" s="22"/>
      <c r="H8" s="12">
        <f t="shared" si="0"/>
        <v>44525</v>
      </c>
    </row>
    <row r="9" spans="2:10" ht="15.6" x14ac:dyDescent="0.3">
      <c r="B9" s="34" t="s">
        <v>0</v>
      </c>
      <c r="C9" s="60">
        <v>1125500</v>
      </c>
      <c r="D9" s="60"/>
      <c r="E9" s="60"/>
      <c r="F9" s="118"/>
      <c r="G9" s="61"/>
      <c r="H9" s="12">
        <f t="shared" si="0"/>
        <v>44525</v>
      </c>
    </row>
    <row r="10" spans="2:10" ht="16.2" customHeight="1" x14ac:dyDescent="0.3">
      <c r="B10" s="6" t="s">
        <v>25</v>
      </c>
      <c r="C10" s="22">
        <v>378000</v>
      </c>
      <c r="D10" s="22">
        <v>809500</v>
      </c>
      <c r="E10" s="22"/>
      <c r="F10" s="22"/>
      <c r="G10" s="22"/>
      <c r="H10" s="12">
        <f t="shared" si="0"/>
        <v>44525</v>
      </c>
    </row>
    <row r="11" spans="2:10" ht="13.5" customHeight="1" x14ac:dyDescent="0.3">
      <c r="B11" s="6" t="s">
        <v>15</v>
      </c>
      <c r="C11" s="22"/>
      <c r="D11" s="48"/>
      <c r="E11" s="22"/>
      <c r="F11" s="48"/>
      <c r="G11" s="22"/>
      <c r="H11" s="12">
        <f t="shared" si="0"/>
        <v>44525</v>
      </c>
    </row>
    <row r="12" spans="2:10" x14ac:dyDescent="0.3">
      <c r="B12" s="6" t="s">
        <v>54</v>
      </c>
      <c r="C12" s="22">
        <v>162000</v>
      </c>
      <c r="D12" s="22">
        <v>54000</v>
      </c>
      <c r="E12" s="22"/>
      <c r="F12" s="22"/>
      <c r="G12" s="22"/>
      <c r="H12" s="67">
        <f t="shared" si="0"/>
        <v>44525</v>
      </c>
    </row>
    <row r="13" spans="2:10" x14ac:dyDescent="0.3">
      <c r="B13" s="6" t="s">
        <v>26</v>
      </c>
      <c r="C13" s="22"/>
      <c r="D13" s="22"/>
      <c r="E13" s="22"/>
      <c r="F13" s="22"/>
      <c r="G13" s="22"/>
      <c r="H13" s="12">
        <f t="shared" si="0"/>
        <v>44525</v>
      </c>
    </row>
    <row r="14" spans="2:10" x14ac:dyDescent="0.3">
      <c r="B14" s="6" t="s">
        <v>22</v>
      </c>
      <c r="C14" s="23"/>
      <c r="D14" s="22"/>
      <c r="E14" s="23"/>
      <c r="F14" s="22"/>
      <c r="G14" s="23"/>
      <c r="H14" s="12">
        <f t="shared" si="0"/>
        <v>44525</v>
      </c>
      <c r="J14" s="4"/>
    </row>
    <row r="15" spans="2:10" x14ac:dyDescent="0.3">
      <c r="B15" s="6" t="s">
        <v>61</v>
      </c>
      <c r="C15" s="23"/>
      <c r="D15" s="22"/>
      <c r="E15" s="23"/>
      <c r="F15" s="22"/>
      <c r="G15" s="23"/>
      <c r="H15" s="67">
        <f t="shared" si="0"/>
        <v>44525</v>
      </c>
      <c r="J15" s="4"/>
    </row>
    <row r="16" spans="2:10" x14ac:dyDescent="0.3">
      <c r="B16" s="6" t="s">
        <v>19</v>
      </c>
      <c r="C16" s="22">
        <v>270000</v>
      </c>
      <c r="D16" s="22"/>
      <c r="E16" s="22"/>
      <c r="F16" s="22"/>
      <c r="G16" s="22"/>
      <c r="H16" s="12">
        <f t="shared" si="0"/>
        <v>44525</v>
      </c>
    </row>
    <row r="17" spans="1:8" x14ac:dyDescent="0.3">
      <c r="B17" s="6" t="s">
        <v>14</v>
      </c>
      <c r="C17" s="22">
        <v>216000</v>
      </c>
      <c r="D17" s="22"/>
      <c r="E17" s="22"/>
      <c r="F17" s="22"/>
      <c r="G17" s="22"/>
      <c r="H17" s="12">
        <f t="shared" si="0"/>
        <v>44525</v>
      </c>
    </row>
    <row r="18" spans="1:8" x14ac:dyDescent="0.3">
      <c r="B18" s="6" t="s">
        <v>24</v>
      </c>
      <c r="C18" s="22"/>
      <c r="D18" s="49"/>
      <c r="E18" s="22"/>
      <c r="F18" s="49"/>
      <c r="G18" s="22"/>
      <c r="H18" s="12">
        <f t="shared" si="0"/>
        <v>44525</v>
      </c>
    </row>
    <row r="19" spans="1:8" x14ac:dyDescent="0.3">
      <c r="B19" s="6" t="s">
        <v>21</v>
      </c>
      <c r="C19" s="22"/>
      <c r="D19" s="22"/>
      <c r="E19" s="22"/>
      <c r="F19" s="22"/>
      <c r="G19" s="22"/>
      <c r="H19" s="67">
        <f t="shared" si="0"/>
        <v>44525</v>
      </c>
    </row>
    <row r="20" spans="1:8" x14ac:dyDescent="0.3">
      <c r="B20" s="6" t="s">
        <v>65</v>
      </c>
      <c r="C20" s="22"/>
      <c r="D20" s="22"/>
      <c r="E20" s="22"/>
      <c r="F20" s="22"/>
      <c r="G20" s="22"/>
      <c r="H20" s="54">
        <f t="shared" si="0"/>
        <v>44525</v>
      </c>
    </row>
    <row r="21" spans="1:8" x14ac:dyDescent="0.3">
      <c r="B21" s="6" t="s">
        <v>18</v>
      </c>
      <c r="C21" s="22"/>
      <c r="D21" s="22">
        <v>702000</v>
      </c>
      <c r="E21" s="22"/>
      <c r="F21" s="22"/>
      <c r="G21" s="22"/>
      <c r="H21" s="12">
        <f t="shared" si="0"/>
        <v>44525</v>
      </c>
    </row>
    <row r="22" spans="1:8" x14ac:dyDescent="0.3">
      <c r="B22" s="6" t="s">
        <v>16</v>
      </c>
      <c r="C22" s="22">
        <v>209000</v>
      </c>
      <c r="D22" s="22"/>
      <c r="E22" s="22"/>
      <c r="F22" s="22"/>
      <c r="G22" s="22"/>
      <c r="H22" s="12">
        <f t="shared" si="0"/>
        <v>44525</v>
      </c>
    </row>
    <row r="23" spans="1:8" x14ac:dyDescent="0.3">
      <c r="B23" s="50" t="s">
        <v>27</v>
      </c>
      <c r="C23" s="51">
        <f>SUM(November25_2021[KSI_AGO])</f>
        <v>2360500</v>
      </c>
      <c r="D23" s="51">
        <f>SUBTOTAL(109,November25_2021[KSI_PMS])</f>
        <v>1565500</v>
      </c>
      <c r="E23" s="51">
        <f>SUM(November25_2021[BUIPE_AGO])</f>
        <v>90000</v>
      </c>
      <c r="F23" s="51">
        <f>SUM(November25_2021[BUIPE_PMS])</f>
        <v>0</v>
      </c>
      <c r="G23" s="51">
        <f>SUM(November25_2021[AKOSOMBO_AGO])</f>
        <v>0</v>
      </c>
      <c r="H23" s="52"/>
    </row>
    <row r="24" spans="1:8" x14ac:dyDescent="0.3">
      <c r="B24" s="8"/>
      <c r="C24" s="24"/>
      <c r="D24" s="24"/>
      <c r="E24" s="24"/>
      <c r="F24" s="24"/>
      <c r="G24" s="24"/>
      <c r="H24"/>
    </row>
    <row r="25" spans="1:8" x14ac:dyDescent="0.3">
      <c r="B25" s="1" t="s">
        <v>6</v>
      </c>
      <c r="C25" s="1" t="s">
        <v>4</v>
      </c>
      <c r="D25" s="5">
        <f>SUMIF(November25_2021[[#Headers],[KSI_AGO]:[AKOSOMBO_AGO]],"*"&amp;C25,November25_2021[[#Totals],[KSI_AGO]:[AKOSOMBO_AGO]])</f>
        <v>2450500</v>
      </c>
      <c r="E25" s="1" t="s">
        <v>5</v>
      </c>
      <c r="F25" s="5">
        <f>SUMIF(November25_2021[[#Headers],[KSI_AGO]:[AKOSOMBO_AGO]],"*"&amp;E25,November25_2021[[#Totals],[KSI_AGO]:[AKOSOMBO_AGO]])</f>
        <v>1565500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4E9F090A-1B07-40E2-A72F-CB183047452A}">
      <formula1>INDIRECT("BDC_List[BDC List]")</formula1>
    </dataValidation>
  </dataValidations>
  <pageMargins left="0.7" right="0.7" top="0.75" bottom="0.75" header="0.3" footer="0.3"/>
  <tableParts count="1">
    <tablePart r:id="rId1"/>
  </tableParts>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965F8-5551-4AE3-9A36-8DB80EF85DE8}">
  <sheetPr codeName="Sheet481"/>
  <dimension ref="A1:J35"/>
  <sheetViews>
    <sheetView workbookViewId="0">
      <pane xSplit="2" ySplit="5" topLeftCell="C6" activePane="bottomRight" state="frozen"/>
      <selection activeCell="J22" sqref="J22"/>
      <selection pane="topRight" activeCell="J22" sqref="J22"/>
      <selection pane="bottomLeft" activeCell="J22" sqref="J22"/>
      <selection pane="bottomRight" activeCell="D14" sqref="D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44526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44526</v>
      </c>
    </row>
    <row r="7" spans="2:10" x14ac:dyDescent="0.3">
      <c r="B7" s="6" t="s">
        <v>37</v>
      </c>
      <c r="C7" s="53"/>
      <c r="D7" s="22">
        <v>809500</v>
      </c>
      <c r="E7" s="22"/>
      <c r="F7" s="22"/>
      <c r="G7" s="22"/>
      <c r="H7" s="67">
        <f t="shared" si="0"/>
        <v>44526</v>
      </c>
    </row>
    <row r="8" spans="2:10" x14ac:dyDescent="0.3">
      <c r="B8" s="6" t="s">
        <v>17</v>
      </c>
      <c r="C8" s="22">
        <v>316000</v>
      </c>
      <c r="D8" s="57">
        <v>54000</v>
      </c>
      <c r="E8" s="22"/>
      <c r="F8" s="22"/>
      <c r="G8" s="22"/>
      <c r="H8" s="12">
        <f t="shared" si="0"/>
        <v>44526</v>
      </c>
    </row>
    <row r="9" spans="2:10" ht="15.6" x14ac:dyDescent="0.3">
      <c r="B9" s="34" t="s">
        <v>0</v>
      </c>
      <c r="C9" s="60">
        <v>1827500</v>
      </c>
      <c r="D9" s="60"/>
      <c r="E9" s="60"/>
      <c r="F9" s="118"/>
      <c r="G9" s="61"/>
      <c r="H9" s="12">
        <f t="shared" si="0"/>
        <v>44526</v>
      </c>
    </row>
    <row r="10" spans="2:10" ht="16.2" customHeight="1" x14ac:dyDescent="0.3">
      <c r="B10" s="6" t="s">
        <v>25</v>
      </c>
      <c r="C10" s="22">
        <v>266000</v>
      </c>
      <c r="D10" s="22"/>
      <c r="E10" s="22"/>
      <c r="F10" s="22"/>
      <c r="G10" s="22"/>
      <c r="H10" s="12">
        <f t="shared" si="0"/>
        <v>44526</v>
      </c>
    </row>
    <row r="11" spans="2:10" ht="13.5" customHeight="1" x14ac:dyDescent="0.3">
      <c r="B11" s="6" t="s">
        <v>15</v>
      </c>
      <c r="C11" s="22"/>
      <c r="D11" s="48"/>
      <c r="E11" s="22">
        <v>108000</v>
      </c>
      <c r="F11" s="48"/>
      <c r="G11" s="22"/>
      <c r="H11" s="12">
        <f t="shared" si="0"/>
        <v>44526</v>
      </c>
    </row>
    <row r="12" spans="2:10" x14ac:dyDescent="0.3">
      <c r="B12" s="6" t="s">
        <v>54</v>
      </c>
      <c r="C12" s="22">
        <v>324000</v>
      </c>
      <c r="D12" s="22">
        <v>1080000</v>
      </c>
      <c r="E12" s="22"/>
      <c r="F12" s="22"/>
      <c r="G12" s="22"/>
      <c r="H12" s="67">
        <f t="shared" si="0"/>
        <v>44526</v>
      </c>
    </row>
    <row r="13" spans="2:10" x14ac:dyDescent="0.3">
      <c r="B13" s="6" t="s">
        <v>26</v>
      </c>
      <c r="C13" s="22"/>
      <c r="D13" s="22"/>
      <c r="E13" s="22"/>
      <c r="F13" s="22"/>
      <c r="G13" s="22"/>
      <c r="H13" s="12">
        <f t="shared" si="0"/>
        <v>44526</v>
      </c>
    </row>
    <row r="14" spans="2:10" x14ac:dyDescent="0.3">
      <c r="B14" s="6" t="s">
        <v>22</v>
      </c>
      <c r="C14" s="23"/>
      <c r="D14" s="22"/>
      <c r="E14" s="23"/>
      <c r="F14" s="22"/>
      <c r="G14" s="23"/>
      <c r="H14" s="12">
        <f t="shared" si="0"/>
        <v>44526</v>
      </c>
      <c r="J14" s="4"/>
    </row>
    <row r="15" spans="2:10" x14ac:dyDescent="0.3">
      <c r="B15" s="6" t="s">
        <v>61</v>
      </c>
      <c r="C15" s="23"/>
      <c r="D15" s="22"/>
      <c r="E15" s="23"/>
      <c r="F15" s="22"/>
      <c r="G15" s="23"/>
      <c r="H15" s="67">
        <f t="shared" si="0"/>
        <v>44526</v>
      </c>
      <c r="J15" s="4"/>
    </row>
    <row r="16" spans="2:10" x14ac:dyDescent="0.3">
      <c r="B16" s="6" t="s">
        <v>19</v>
      </c>
      <c r="C16" s="22"/>
      <c r="D16" s="22"/>
      <c r="E16" s="22"/>
      <c r="F16" s="22"/>
      <c r="G16" s="22"/>
      <c r="H16" s="12">
        <f t="shared" si="0"/>
        <v>44526</v>
      </c>
    </row>
    <row r="17" spans="1:8" x14ac:dyDescent="0.3">
      <c r="B17" s="6" t="s">
        <v>14</v>
      </c>
      <c r="C17" s="22">
        <v>270000</v>
      </c>
      <c r="D17" s="22"/>
      <c r="E17" s="22"/>
      <c r="F17" s="22"/>
      <c r="G17" s="22"/>
      <c r="H17" s="12">
        <f t="shared" si="0"/>
        <v>44526</v>
      </c>
    </row>
    <row r="18" spans="1:8" x14ac:dyDescent="0.3">
      <c r="B18" s="6" t="s">
        <v>24</v>
      </c>
      <c r="C18" s="22"/>
      <c r="D18" s="49"/>
      <c r="E18" s="22"/>
      <c r="F18" s="49"/>
      <c r="G18" s="22"/>
      <c r="H18" s="12">
        <f t="shared" si="0"/>
        <v>44526</v>
      </c>
    </row>
    <row r="19" spans="1:8" x14ac:dyDescent="0.3">
      <c r="B19" s="6" t="s">
        <v>21</v>
      </c>
      <c r="C19" s="22"/>
      <c r="D19" s="22"/>
      <c r="E19" s="22"/>
      <c r="F19" s="22"/>
      <c r="G19" s="22"/>
      <c r="H19" s="67">
        <f t="shared" si="0"/>
        <v>44526</v>
      </c>
    </row>
    <row r="20" spans="1:8" x14ac:dyDescent="0.3">
      <c r="B20" s="6" t="s">
        <v>65</v>
      </c>
      <c r="C20" s="22"/>
      <c r="D20" s="22"/>
      <c r="E20" s="22"/>
      <c r="F20" s="22"/>
      <c r="G20" s="22"/>
      <c r="H20" s="54">
        <f t="shared" si="0"/>
        <v>44526</v>
      </c>
    </row>
    <row r="21" spans="1:8" x14ac:dyDescent="0.3">
      <c r="B21" s="6" t="s">
        <v>18</v>
      </c>
      <c r="C21" s="22"/>
      <c r="D21" s="22">
        <v>108000</v>
      </c>
      <c r="E21" s="22"/>
      <c r="F21" s="22"/>
      <c r="G21" s="22"/>
      <c r="H21" s="12">
        <f t="shared" si="0"/>
        <v>44526</v>
      </c>
    </row>
    <row r="22" spans="1:8" x14ac:dyDescent="0.3">
      <c r="B22" s="6" t="s">
        <v>16</v>
      </c>
      <c r="C22" s="22">
        <v>256500</v>
      </c>
      <c r="D22" s="22"/>
      <c r="E22" s="22"/>
      <c r="F22" s="22"/>
      <c r="G22" s="22"/>
      <c r="H22" s="12">
        <f t="shared" si="0"/>
        <v>44526</v>
      </c>
    </row>
    <row r="23" spans="1:8" x14ac:dyDescent="0.3">
      <c r="B23" s="50" t="s">
        <v>27</v>
      </c>
      <c r="C23" s="51">
        <f>SUM(November26_2021[KSI_AGO])</f>
        <v>3260000</v>
      </c>
      <c r="D23" s="51">
        <f>SUBTOTAL(109,November26_2021[KSI_PMS])</f>
        <v>2051500</v>
      </c>
      <c r="E23" s="51">
        <f>SUM(November26_2021[BUIPE_AGO])</f>
        <v>108000</v>
      </c>
      <c r="F23" s="51">
        <f>SUM(November26_2021[BUIPE_PMS])</f>
        <v>0</v>
      </c>
      <c r="G23" s="51">
        <f>SUM(November26_2021[AKOSOMBO_AGO])</f>
        <v>0</v>
      </c>
      <c r="H23" s="52"/>
    </row>
    <row r="24" spans="1:8" x14ac:dyDescent="0.3">
      <c r="B24" s="8"/>
      <c r="C24" s="24"/>
      <c r="D24" s="24"/>
      <c r="E24" s="24"/>
      <c r="F24" s="24"/>
      <c r="G24" s="24"/>
      <c r="H24"/>
    </row>
    <row r="25" spans="1:8" x14ac:dyDescent="0.3">
      <c r="B25" s="1" t="s">
        <v>6</v>
      </c>
      <c r="C25" s="1" t="s">
        <v>4</v>
      </c>
      <c r="D25" s="5">
        <f>SUMIF(November26_2021[[#Headers],[KSI_AGO]:[AKOSOMBO_AGO]],"*"&amp;C25,November26_2021[[#Totals],[KSI_AGO]:[AKOSOMBO_AGO]])</f>
        <v>3368000</v>
      </c>
      <c r="E25" s="1" t="s">
        <v>5</v>
      </c>
      <c r="F25" s="5">
        <f>SUMIF(November26_2021[[#Headers],[KSI_AGO]:[AKOSOMBO_AGO]],"*"&amp;E25,November26_2021[[#Totals],[KSI_AGO]:[AKOSOMBO_AGO]])</f>
        <v>2051500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5998956-1475-4866-84D8-85FFDB3D3A9E}">
      <formula1>INDIRECT("BDC_List[BDC List]")</formula1>
    </dataValidation>
  </dataValidations>
  <pageMargins left="0.7" right="0.7" top="0.75" bottom="0.75" header="0.3" footer="0.3"/>
  <tableParts count="1">
    <tablePart r:id="rId1"/>
  </tableParts>
</worksheet>
</file>

<file path=xl/worksheets/sheet4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5359F-93DE-4B2B-AF2D-CA015CE2458F}">
  <sheetPr codeName="Sheet482"/>
  <dimension ref="A1:J35"/>
  <sheetViews>
    <sheetView workbookViewId="0">
      <pane xSplit="2" ySplit="5" topLeftCell="C6" activePane="bottomRight" state="frozen"/>
      <selection activeCell="J22" sqref="J22"/>
      <selection pane="topRight" activeCell="J22" sqref="J22"/>
      <selection pane="bottomLeft" activeCell="J22" sqref="J22"/>
      <selection pane="bottomRight" activeCell="D11" sqref="D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44529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44529</v>
      </c>
    </row>
    <row r="7" spans="2:10" x14ac:dyDescent="0.3">
      <c r="B7" s="6" t="s">
        <v>37</v>
      </c>
      <c r="C7" s="53"/>
      <c r="D7" s="22">
        <v>162000</v>
      </c>
      <c r="E7" s="22"/>
      <c r="F7" s="22"/>
      <c r="G7" s="22"/>
      <c r="H7" s="67">
        <f t="shared" si="0"/>
        <v>44529</v>
      </c>
    </row>
    <row r="8" spans="2:10" x14ac:dyDescent="0.3">
      <c r="B8" s="6" t="s">
        <v>17</v>
      </c>
      <c r="C8" s="22">
        <v>216000</v>
      </c>
      <c r="D8" s="57"/>
      <c r="E8" s="22"/>
      <c r="F8" s="22"/>
      <c r="G8" s="22"/>
      <c r="H8" s="12">
        <f t="shared" si="0"/>
        <v>44529</v>
      </c>
    </row>
    <row r="9" spans="2:10" ht="15.6" x14ac:dyDescent="0.3">
      <c r="B9" s="34" t="s">
        <v>0</v>
      </c>
      <c r="C9" s="60">
        <v>1026000</v>
      </c>
      <c r="D9" s="60"/>
      <c r="E9" s="49"/>
      <c r="F9" s="117">
        <v>54000</v>
      </c>
      <c r="G9" s="61"/>
      <c r="H9" s="12">
        <f t="shared" si="0"/>
        <v>44529</v>
      </c>
    </row>
    <row r="10" spans="2:10" ht="16.2" customHeight="1" x14ac:dyDescent="0.3">
      <c r="B10" s="6" t="s">
        <v>25</v>
      </c>
      <c r="C10" s="22">
        <v>270000</v>
      </c>
      <c r="D10" s="22">
        <v>108000</v>
      </c>
      <c r="E10" s="49"/>
      <c r="F10" s="22"/>
      <c r="G10" s="22"/>
      <c r="H10" s="12">
        <f t="shared" si="0"/>
        <v>44529</v>
      </c>
    </row>
    <row r="11" spans="2:10" ht="13.5" customHeight="1" x14ac:dyDescent="0.3">
      <c r="B11" s="6" t="s">
        <v>15</v>
      </c>
      <c r="C11" s="22">
        <v>270000</v>
      </c>
      <c r="D11" s="48">
        <v>266000</v>
      </c>
      <c r="E11" s="49"/>
      <c r="F11" s="22"/>
      <c r="G11" s="22"/>
      <c r="H11" s="12">
        <f t="shared" si="0"/>
        <v>44529</v>
      </c>
    </row>
    <row r="12" spans="2:10" x14ac:dyDescent="0.3">
      <c r="B12" s="6" t="s">
        <v>54</v>
      </c>
      <c r="C12" s="22"/>
      <c r="D12" s="22">
        <v>162000</v>
      </c>
      <c r="E12" s="49"/>
      <c r="F12" s="22"/>
      <c r="G12" s="22"/>
      <c r="H12" s="67">
        <f t="shared" si="0"/>
        <v>44529</v>
      </c>
    </row>
    <row r="13" spans="2:10" x14ac:dyDescent="0.3">
      <c r="B13" s="6" t="s">
        <v>26</v>
      </c>
      <c r="C13" s="22"/>
      <c r="D13" s="22"/>
      <c r="E13" s="49"/>
      <c r="F13" s="22"/>
      <c r="G13" s="22"/>
      <c r="H13" s="12">
        <f t="shared" si="0"/>
        <v>44529</v>
      </c>
    </row>
    <row r="14" spans="2:10" x14ac:dyDescent="0.3">
      <c r="B14" s="6" t="s">
        <v>22</v>
      </c>
      <c r="C14" s="23"/>
      <c r="D14" s="22"/>
      <c r="E14" s="49"/>
      <c r="F14" s="23"/>
      <c r="G14" s="23"/>
      <c r="H14" s="12">
        <f t="shared" si="0"/>
        <v>44529</v>
      </c>
      <c r="J14" s="4"/>
    </row>
    <row r="15" spans="2:10" x14ac:dyDescent="0.3">
      <c r="B15" s="6" t="s">
        <v>61</v>
      </c>
      <c r="C15" s="23"/>
      <c r="D15" s="22"/>
      <c r="E15" s="49"/>
      <c r="F15" s="23"/>
      <c r="G15" s="23"/>
      <c r="H15" s="67">
        <f t="shared" si="0"/>
        <v>44529</v>
      </c>
      <c r="J15" s="4"/>
    </row>
    <row r="16" spans="2:10" x14ac:dyDescent="0.3">
      <c r="B16" s="6" t="s">
        <v>19</v>
      </c>
      <c r="C16" s="22">
        <v>216000</v>
      </c>
      <c r="D16" s="22"/>
      <c r="E16" s="49"/>
      <c r="F16" s="22"/>
      <c r="G16" s="22"/>
      <c r="H16" s="12">
        <f t="shared" si="0"/>
        <v>44529</v>
      </c>
    </row>
    <row r="17" spans="1:8" x14ac:dyDescent="0.3">
      <c r="B17" s="6" t="s">
        <v>14</v>
      </c>
      <c r="C17" s="22">
        <v>323500</v>
      </c>
      <c r="D17" s="22">
        <v>540000</v>
      </c>
      <c r="E17" s="49"/>
      <c r="F17" s="22"/>
      <c r="G17" s="22"/>
      <c r="H17" s="12">
        <f t="shared" si="0"/>
        <v>44529</v>
      </c>
    </row>
    <row r="18" spans="1:8" x14ac:dyDescent="0.3">
      <c r="B18" s="6" t="s">
        <v>24</v>
      </c>
      <c r="C18" s="22"/>
      <c r="D18" s="49"/>
      <c r="E18" s="49"/>
      <c r="F18" s="22"/>
      <c r="G18" s="22"/>
      <c r="H18" s="12">
        <f t="shared" si="0"/>
        <v>44529</v>
      </c>
    </row>
    <row r="19" spans="1:8" x14ac:dyDescent="0.3">
      <c r="B19" s="6" t="s">
        <v>21</v>
      </c>
      <c r="C19" s="22"/>
      <c r="D19" s="22"/>
      <c r="E19" s="49"/>
      <c r="F19" s="22"/>
      <c r="G19" s="22"/>
      <c r="H19" s="67">
        <f t="shared" si="0"/>
        <v>44529</v>
      </c>
    </row>
    <row r="20" spans="1:8" x14ac:dyDescent="0.3">
      <c r="B20" s="6" t="s">
        <v>65</v>
      </c>
      <c r="C20" s="22"/>
      <c r="D20" s="22"/>
      <c r="E20" s="49"/>
      <c r="F20" s="22"/>
      <c r="G20" s="22"/>
      <c r="H20" s="54">
        <f t="shared" si="0"/>
        <v>44529</v>
      </c>
    </row>
    <row r="21" spans="1:8" x14ac:dyDescent="0.3">
      <c r="B21" s="6" t="s">
        <v>18</v>
      </c>
      <c r="C21" s="22"/>
      <c r="D21" s="22">
        <v>54000</v>
      </c>
      <c r="E21" s="49"/>
      <c r="F21" s="22"/>
      <c r="G21" s="22"/>
      <c r="H21" s="12">
        <f t="shared" si="0"/>
        <v>44529</v>
      </c>
    </row>
    <row r="22" spans="1:8" x14ac:dyDescent="0.3">
      <c r="B22" s="6" t="s">
        <v>16</v>
      </c>
      <c r="C22" s="22">
        <v>252000</v>
      </c>
      <c r="D22" s="22">
        <v>270000</v>
      </c>
      <c r="E22" s="51"/>
      <c r="F22" s="22">
        <v>162000</v>
      </c>
      <c r="G22" s="22"/>
      <c r="H22" s="12">
        <f t="shared" si="0"/>
        <v>44529</v>
      </c>
    </row>
    <row r="23" spans="1:8" x14ac:dyDescent="0.3">
      <c r="B23" s="50" t="s">
        <v>27</v>
      </c>
      <c r="C23" s="51">
        <f>SUM(November26_202123[KSI_AGO])</f>
        <v>2573500</v>
      </c>
      <c r="D23" s="51">
        <f>SUBTOTAL(109,November26_202123[KSI_PMS])</f>
        <v>1562000</v>
      </c>
      <c r="E23" s="51">
        <f>SUM(November26_202123[BUIPE_AGO])</f>
        <v>0</v>
      </c>
      <c r="F23" s="51">
        <f>SUM(November26_202123[BUIPE_PMS])</f>
        <v>216000</v>
      </c>
      <c r="G23" s="51">
        <f>SUM(November26_202123[AKOSOMBO_AGO])</f>
        <v>0</v>
      </c>
      <c r="H23" s="52"/>
    </row>
    <row r="24" spans="1:8" x14ac:dyDescent="0.3">
      <c r="B24" s="8"/>
      <c r="C24" s="24"/>
      <c r="D24" s="24"/>
      <c r="E24" s="24"/>
      <c r="F24" s="24"/>
      <c r="G24" s="24"/>
      <c r="H24"/>
    </row>
    <row r="25" spans="1:8" x14ac:dyDescent="0.3">
      <c r="B25" s="1" t="s">
        <v>6</v>
      </c>
      <c r="C25" s="1" t="s">
        <v>4</v>
      </c>
      <c r="D25" s="5">
        <f>SUMIF(November26_202123[[#Headers],[KSI_AGO]:[AKOSOMBO_AGO]],"*"&amp;C25,November26_202123[[#Totals],[KSI_AGO]:[AKOSOMBO_AGO]])</f>
        <v>2573500</v>
      </c>
      <c r="E25" s="1" t="s">
        <v>5</v>
      </c>
      <c r="F25" s="5">
        <f>SUMIF(November26_202123[[#Headers],[KSI_AGO]:[AKOSOMBO_AGO]],"*"&amp;E25,November26_202123[[#Totals],[KSI_AGO]:[AKOSOMBO_AGO]])</f>
        <v>1778000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274E942-C1BE-4F7D-A664-E36A9CCB91F2}">
      <formula1>INDIRECT("BDC_List[BDC List]")</formula1>
    </dataValidation>
  </dataValidations>
  <pageMargins left="0.7" right="0.7" top="0.75" bottom="0.75" header="0.3" footer="0.3"/>
  <legacyDrawing r:id="rId1"/>
  <tableParts count="1">
    <tablePart r:id="rId2"/>
  </tableParts>
</worksheet>
</file>

<file path=xl/worksheets/sheet4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E153-6739-4F7C-8F84-A4E09D7BD7F2}">
  <sheetPr codeName="Sheet483"/>
  <dimension ref="A1:J35"/>
  <sheetViews>
    <sheetView workbookViewId="0">
      <pane xSplit="2" ySplit="5" topLeftCell="C6" activePane="bottomRight" state="frozen"/>
      <selection activeCell="J22" sqref="J22"/>
      <selection pane="topRight" activeCell="J22" sqref="J22"/>
      <selection pane="bottomLeft" activeCell="J22" sqref="J22"/>
      <selection pane="bottomRight" activeCell="D16" sqre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44530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44530</v>
      </c>
    </row>
    <row r="7" spans="2:10" x14ac:dyDescent="0.3">
      <c r="B7" s="6" t="s">
        <v>37</v>
      </c>
      <c r="C7" s="53"/>
      <c r="D7" s="22">
        <v>108000</v>
      </c>
      <c r="E7" s="22">
        <v>45000</v>
      </c>
      <c r="F7" s="22"/>
      <c r="G7" s="22"/>
      <c r="H7" s="67">
        <f t="shared" si="0"/>
        <v>44530</v>
      </c>
    </row>
    <row r="8" spans="2:10" x14ac:dyDescent="0.3">
      <c r="B8" s="6" t="s">
        <v>17</v>
      </c>
      <c r="C8" s="22">
        <v>212000</v>
      </c>
      <c r="D8" s="57"/>
      <c r="E8" s="22"/>
      <c r="F8" s="22"/>
      <c r="G8" s="22"/>
      <c r="H8" s="12">
        <f t="shared" si="0"/>
        <v>44530</v>
      </c>
    </row>
    <row r="9" spans="2:10" ht="15.6" x14ac:dyDescent="0.3">
      <c r="B9" s="34" t="s">
        <v>0</v>
      </c>
      <c r="C9" s="60">
        <v>1026000</v>
      </c>
      <c r="D9" s="60"/>
      <c r="E9" s="53"/>
      <c r="F9" s="117"/>
      <c r="G9" s="61"/>
      <c r="H9" s="12">
        <f t="shared" si="0"/>
        <v>44530</v>
      </c>
    </row>
    <row r="10" spans="2:10" ht="16.2" customHeight="1" x14ac:dyDescent="0.3">
      <c r="B10" s="6" t="s">
        <v>25</v>
      </c>
      <c r="C10" s="22">
        <v>374000</v>
      </c>
      <c r="D10" s="22"/>
      <c r="E10" s="53"/>
      <c r="F10" s="22">
        <v>270000</v>
      </c>
      <c r="G10" s="22"/>
      <c r="H10" s="12">
        <f t="shared" si="0"/>
        <v>44530</v>
      </c>
    </row>
    <row r="11" spans="2:10" ht="13.5" customHeight="1" x14ac:dyDescent="0.3">
      <c r="B11" s="6" t="s">
        <v>15</v>
      </c>
      <c r="C11" s="22">
        <v>324000</v>
      </c>
      <c r="D11" s="48">
        <v>216000</v>
      </c>
      <c r="E11" s="53">
        <v>50000</v>
      </c>
      <c r="F11" s="22"/>
      <c r="G11" s="22"/>
      <c r="H11" s="12">
        <f t="shared" si="0"/>
        <v>44530</v>
      </c>
    </row>
    <row r="12" spans="2:10" x14ac:dyDescent="0.3">
      <c r="B12" s="6" t="s">
        <v>54</v>
      </c>
      <c r="C12" s="22">
        <v>270000</v>
      </c>
      <c r="D12" s="22">
        <v>108000</v>
      </c>
      <c r="E12" s="53"/>
      <c r="F12" s="22"/>
      <c r="G12" s="22"/>
      <c r="H12" s="67">
        <f t="shared" si="0"/>
        <v>44530</v>
      </c>
    </row>
    <row r="13" spans="2:10" x14ac:dyDescent="0.3">
      <c r="B13" s="6" t="s">
        <v>26</v>
      </c>
      <c r="C13" s="22"/>
      <c r="D13" s="22"/>
      <c r="E13" s="53"/>
      <c r="F13" s="22"/>
      <c r="G13" s="22"/>
      <c r="H13" s="12">
        <f t="shared" si="0"/>
        <v>44530</v>
      </c>
    </row>
    <row r="14" spans="2:10" x14ac:dyDescent="0.3">
      <c r="B14" s="6" t="s">
        <v>22</v>
      </c>
      <c r="C14" s="23"/>
      <c r="D14" s="22"/>
      <c r="E14" s="53"/>
      <c r="F14" s="23"/>
      <c r="G14" s="23"/>
      <c r="H14" s="12">
        <f t="shared" si="0"/>
        <v>44530</v>
      </c>
      <c r="J14" s="4"/>
    </row>
    <row r="15" spans="2:10" x14ac:dyDescent="0.3">
      <c r="B15" s="6" t="s">
        <v>61</v>
      </c>
      <c r="C15" s="23"/>
      <c r="D15" s="22"/>
      <c r="E15" s="53"/>
      <c r="F15" s="23"/>
      <c r="G15" s="23"/>
      <c r="H15" s="67">
        <f t="shared" si="0"/>
        <v>44530</v>
      </c>
      <c r="J15" s="4"/>
    </row>
    <row r="16" spans="2:10" x14ac:dyDescent="0.3">
      <c r="B16" s="6" t="s">
        <v>19</v>
      </c>
      <c r="C16" s="62">
        <v>208000</v>
      </c>
      <c r="D16" s="22">
        <v>1008000</v>
      </c>
      <c r="E16" s="53">
        <v>648000</v>
      </c>
      <c r="F16" s="22"/>
      <c r="G16" s="22"/>
      <c r="H16" s="12">
        <f t="shared" si="0"/>
        <v>44530</v>
      </c>
    </row>
    <row r="17" spans="1:8" x14ac:dyDescent="0.3">
      <c r="B17" s="6" t="s">
        <v>14</v>
      </c>
      <c r="C17" s="22">
        <v>270000</v>
      </c>
      <c r="D17" s="22">
        <v>486000</v>
      </c>
      <c r="E17" s="53"/>
      <c r="F17" s="22"/>
      <c r="G17" s="22"/>
      <c r="H17" s="12">
        <f t="shared" si="0"/>
        <v>44530</v>
      </c>
    </row>
    <row r="18" spans="1:8" x14ac:dyDescent="0.3">
      <c r="B18" s="6" t="s">
        <v>24</v>
      </c>
      <c r="C18" s="22"/>
      <c r="D18" s="49"/>
      <c r="E18" s="53"/>
      <c r="F18" s="22"/>
      <c r="G18" s="22"/>
      <c r="H18" s="12">
        <f t="shared" si="0"/>
        <v>44530</v>
      </c>
    </row>
    <row r="19" spans="1:8" x14ac:dyDescent="0.3">
      <c r="B19" s="6" t="s">
        <v>21</v>
      </c>
      <c r="C19" s="22"/>
      <c r="D19" s="22"/>
      <c r="E19" s="53"/>
      <c r="F19" s="22"/>
      <c r="G19" s="22"/>
      <c r="H19" s="67">
        <f t="shared" si="0"/>
        <v>44530</v>
      </c>
    </row>
    <row r="20" spans="1:8" x14ac:dyDescent="0.3">
      <c r="B20" s="6" t="s">
        <v>65</v>
      </c>
      <c r="C20" s="22"/>
      <c r="D20" s="22"/>
      <c r="E20" s="53"/>
      <c r="F20" s="22"/>
      <c r="G20" s="22"/>
      <c r="H20" s="54">
        <f t="shared" si="0"/>
        <v>44530</v>
      </c>
    </row>
    <row r="21" spans="1:8" x14ac:dyDescent="0.3">
      <c r="B21" s="6" t="s">
        <v>18</v>
      </c>
      <c r="C21" s="22"/>
      <c r="D21" s="22"/>
      <c r="E21" s="53"/>
      <c r="F21" s="22"/>
      <c r="G21" s="22"/>
      <c r="H21" s="12">
        <f t="shared" si="0"/>
        <v>44530</v>
      </c>
    </row>
    <row r="22" spans="1:8" x14ac:dyDescent="0.3">
      <c r="B22" s="6" t="s">
        <v>16</v>
      </c>
      <c r="C22" s="22"/>
      <c r="D22" s="22">
        <v>320000</v>
      </c>
      <c r="E22" s="119"/>
      <c r="F22" s="22">
        <v>162000</v>
      </c>
      <c r="G22" s="22"/>
      <c r="H22" s="12">
        <f t="shared" si="0"/>
        <v>44530</v>
      </c>
    </row>
    <row r="23" spans="1:8" x14ac:dyDescent="0.3">
      <c r="B23" s="50" t="s">
        <v>27</v>
      </c>
      <c r="C23" s="51">
        <f>SUM(November26_20212324488[KSI_AGO])</f>
        <v>2684000</v>
      </c>
      <c r="D23" s="51">
        <f>SUBTOTAL(109,November26_20212324488[KSI_PMS])</f>
        <v>2246000</v>
      </c>
      <c r="E23" s="51">
        <f>SUM(November26_20212324488[BUIPE_AGO])</f>
        <v>743000</v>
      </c>
      <c r="F23" s="51">
        <f>SUM(November26_20212324488[BUIPE_PMS])</f>
        <v>432000</v>
      </c>
      <c r="G23" s="51">
        <f>SUM(November26_20212324488[AKOSOMBO_AGO])</f>
        <v>0</v>
      </c>
      <c r="H23" s="52"/>
    </row>
    <row r="24" spans="1:8" x14ac:dyDescent="0.3">
      <c r="B24" s="8"/>
      <c r="C24" s="24"/>
      <c r="D24" s="24"/>
      <c r="E24" s="24"/>
      <c r="F24" s="24"/>
      <c r="G24" s="24"/>
      <c r="H24"/>
    </row>
    <row r="25" spans="1:8" x14ac:dyDescent="0.3">
      <c r="B25" s="1" t="s">
        <v>6</v>
      </c>
      <c r="C25" s="1" t="s">
        <v>4</v>
      </c>
      <c r="D25" s="5">
        <f>SUMIF(November26_20212324488[[#Headers],[KSI_AGO]:[AKOSOMBO_AGO]],"*"&amp;C25,November26_20212324488[[#Totals],[KSI_AGO]:[AKOSOMBO_AGO]])</f>
        <v>3427000</v>
      </c>
      <c r="E25" s="1" t="s">
        <v>5</v>
      </c>
      <c r="F25" s="5">
        <f>SUMIF(November26_20212324488[[#Headers],[KSI_AGO]:[AKOSOMBO_AGO]],"*"&amp;E25,November26_20212324488[[#Totals],[KSI_AGO]:[AKOSOMBO_AGO]])</f>
        <v>2678000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BDA004C9-BBC7-46FE-BB25-4F41185CBB31}">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F047-4411-41D8-8110-A2B529892491}">
  <sheetPr codeName="Sheet484"/>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44532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44532</v>
      </c>
    </row>
    <row r="7" spans="2:10" x14ac:dyDescent="0.3">
      <c r="B7" s="6" t="s">
        <v>37</v>
      </c>
      <c r="C7" s="53"/>
      <c r="D7" s="22">
        <v>108000</v>
      </c>
      <c r="E7" s="22"/>
      <c r="F7" s="22"/>
      <c r="G7" s="22"/>
      <c r="H7" s="67">
        <f t="shared" si="0"/>
        <v>44532</v>
      </c>
    </row>
    <row r="8" spans="2:10" x14ac:dyDescent="0.3">
      <c r="B8" s="6" t="s">
        <v>17</v>
      </c>
      <c r="C8" s="22">
        <v>216000</v>
      </c>
      <c r="D8" s="57"/>
      <c r="E8" s="22"/>
      <c r="F8" s="22"/>
      <c r="G8" s="22"/>
      <c r="H8" s="12">
        <f t="shared" si="0"/>
        <v>44532</v>
      </c>
    </row>
    <row r="9" spans="2:10" ht="15.6" x14ac:dyDescent="0.3">
      <c r="B9" s="34" t="s">
        <v>0</v>
      </c>
      <c r="C9" s="60">
        <v>684000</v>
      </c>
      <c r="D9" s="60"/>
      <c r="E9" s="53"/>
      <c r="F9" s="117"/>
      <c r="G9" s="61"/>
      <c r="H9" s="12">
        <f t="shared" si="0"/>
        <v>44532</v>
      </c>
    </row>
    <row r="10" spans="2:10" ht="16.2" customHeight="1" x14ac:dyDescent="0.3">
      <c r="B10" s="6" t="s">
        <v>25</v>
      </c>
      <c r="C10" s="22">
        <v>270000</v>
      </c>
      <c r="D10" s="22">
        <v>536000</v>
      </c>
      <c r="E10" s="53"/>
      <c r="F10" s="22"/>
      <c r="G10" s="22"/>
      <c r="H10" s="12">
        <f t="shared" si="0"/>
        <v>44532</v>
      </c>
    </row>
    <row r="11" spans="2:10" ht="13.5" customHeight="1" x14ac:dyDescent="0.3">
      <c r="B11" s="6" t="s">
        <v>15</v>
      </c>
      <c r="C11" s="22">
        <v>756000</v>
      </c>
      <c r="D11" s="48">
        <v>432000</v>
      </c>
      <c r="E11" s="53">
        <v>54000</v>
      </c>
      <c r="F11" s="22"/>
      <c r="G11" s="22"/>
      <c r="H11" s="12">
        <f t="shared" si="0"/>
        <v>44532</v>
      </c>
    </row>
    <row r="12" spans="2:10" x14ac:dyDescent="0.3">
      <c r="B12" s="6" t="s">
        <v>54</v>
      </c>
      <c r="C12" s="22"/>
      <c r="D12" s="22">
        <v>324000</v>
      </c>
      <c r="E12" s="53"/>
      <c r="F12" s="22"/>
      <c r="G12" s="22"/>
      <c r="H12" s="67">
        <f t="shared" si="0"/>
        <v>44532</v>
      </c>
    </row>
    <row r="13" spans="2:10" x14ac:dyDescent="0.3">
      <c r="B13" s="6" t="s">
        <v>26</v>
      </c>
      <c r="C13" s="22"/>
      <c r="D13" s="22">
        <v>45000</v>
      </c>
      <c r="E13" s="53"/>
      <c r="F13" s="22"/>
      <c r="G13" s="22"/>
      <c r="H13" s="12">
        <f t="shared" si="0"/>
        <v>44532</v>
      </c>
    </row>
    <row r="14" spans="2:10" x14ac:dyDescent="0.3">
      <c r="B14" s="6" t="s">
        <v>22</v>
      </c>
      <c r="C14" s="23"/>
      <c r="D14" s="22"/>
      <c r="E14" s="53"/>
      <c r="F14" s="23"/>
      <c r="G14" s="23"/>
      <c r="H14" s="12">
        <f t="shared" si="0"/>
        <v>44532</v>
      </c>
      <c r="J14" s="4"/>
    </row>
    <row r="15" spans="2:10" x14ac:dyDescent="0.3">
      <c r="B15" s="6" t="s">
        <v>61</v>
      </c>
      <c r="C15" s="23"/>
      <c r="D15" s="22"/>
      <c r="E15" s="53"/>
      <c r="F15" s="23"/>
      <c r="G15" s="23"/>
      <c r="H15" s="67">
        <f t="shared" si="0"/>
        <v>44532</v>
      </c>
      <c r="J15" s="4"/>
    </row>
    <row r="16" spans="2:10" x14ac:dyDescent="0.3">
      <c r="B16" s="6" t="s">
        <v>19</v>
      </c>
      <c r="C16" s="62">
        <v>324000</v>
      </c>
      <c r="D16" s="22"/>
      <c r="E16" s="53"/>
      <c r="F16" s="22"/>
      <c r="G16" s="22"/>
      <c r="H16" s="12">
        <f t="shared" si="0"/>
        <v>44532</v>
      </c>
    </row>
    <row r="17" spans="1:8" x14ac:dyDescent="0.3">
      <c r="B17" s="6" t="s">
        <v>14</v>
      </c>
      <c r="C17" s="22">
        <v>756000</v>
      </c>
      <c r="D17" s="22">
        <v>482000</v>
      </c>
      <c r="E17" s="53"/>
      <c r="F17" s="22"/>
      <c r="G17" s="22"/>
      <c r="H17" s="12">
        <f t="shared" si="0"/>
        <v>44532</v>
      </c>
    </row>
    <row r="18" spans="1:8" x14ac:dyDescent="0.3">
      <c r="B18" s="6" t="s">
        <v>24</v>
      </c>
      <c r="C18" s="22"/>
      <c r="D18" s="49"/>
      <c r="E18" s="53"/>
      <c r="F18" s="22"/>
      <c r="G18" s="22"/>
      <c r="H18" s="12">
        <f t="shared" si="0"/>
        <v>44532</v>
      </c>
    </row>
    <row r="19" spans="1:8" x14ac:dyDescent="0.3">
      <c r="B19" s="6" t="s">
        <v>21</v>
      </c>
      <c r="C19" s="22"/>
      <c r="D19" s="22"/>
      <c r="E19" s="53"/>
      <c r="F19" s="22"/>
      <c r="G19" s="22"/>
      <c r="H19" s="67">
        <f t="shared" si="0"/>
        <v>44532</v>
      </c>
    </row>
    <row r="20" spans="1:8" x14ac:dyDescent="0.3">
      <c r="B20" s="6" t="s">
        <v>65</v>
      </c>
      <c r="C20" s="22"/>
      <c r="D20" s="22"/>
      <c r="E20" s="53"/>
      <c r="F20" s="22"/>
      <c r="G20" s="22"/>
      <c r="H20" s="12">
        <f t="shared" si="0"/>
        <v>44532</v>
      </c>
    </row>
    <row r="21" spans="1:8" x14ac:dyDescent="0.3">
      <c r="B21" s="6" t="s">
        <v>18</v>
      </c>
      <c r="C21" s="22"/>
      <c r="D21" s="22">
        <v>45000</v>
      </c>
      <c r="E21" s="53"/>
      <c r="F21" s="22"/>
      <c r="G21" s="22"/>
      <c r="H21" s="12">
        <f t="shared" si="0"/>
        <v>44532</v>
      </c>
    </row>
    <row r="22" spans="1:8" x14ac:dyDescent="0.3">
      <c r="B22" s="6" t="s">
        <v>16</v>
      </c>
      <c r="C22" s="22">
        <v>97000</v>
      </c>
      <c r="D22" s="22">
        <v>162000</v>
      </c>
      <c r="E22" s="119"/>
      <c r="F22" s="22"/>
      <c r="G22" s="22"/>
      <c r="H22" s="12">
        <f t="shared" si="0"/>
        <v>44532</v>
      </c>
    </row>
    <row r="23" spans="1:8" x14ac:dyDescent="0.3">
      <c r="B23" s="50" t="s">
        <v>27</v>
      </c>
      <c r="C23" s="51">
        <f>SUM(December02_2021[KSI_AGO])</f>
        <v>3103000</v>
      </c>
      <c r="D23" s="51">
        <f>SUBTOTAL(109,December02_2021[KSI_PMS])</f>
        <v>2134000</v>
      </c>
      <c r="E23" s="51">
        <f>SUM(December02_2021[BUIPE_AGO])</f>
        <v>54000</v>
      </c>
      <c r="F23" s="51">
        <f>SUM(December02_2021[BUIPE_PMS])</f>
        <v>0</v>
      </c>
      <c r="G23" s="51">
        <f>SUM(December02_2021[AKOSOMBO_AGO])</f>
        <v>0</v>
      </c>
      <c r="H23" s="52"/>
    </row>
    <row r="24" spans="1:8" x14ac:dyDescent="0.3">
      <c r="B24" s="8"/>
      <c r="C24" s="24"/>
      <c r="D24" s="24"/>
      <c r="E24" s="24"/>
      <c r="F24" s="24"/>
      <c r="G24" s="24"/>
      <c r="H24"/>
    </row>
    <row r="25" spans="1:8" x14ac:dyDescent="0.3">
      <c r="B25" s="1" t="s">
        <v>6</v>
      </c>
      <c r="C25" s="1" t="s">
        <v>4</v>
      </c>
      <c r="D25" s="5">
        <f>SUMIF(December02_2021[[#Headers],[KSI_AGO]:[AKOSOMBO_AGO]],"*"&amp;C25,December02_2021[[#Totals],[KSI_AGO]:[AKOSOMBO_AGO]])</f>
        <v>3157000</v>
      </c>
      <c r="E25" s="1" t="s">
        <v>5</v>
      </c>
      <c r="F25" s="5">
        <f>SUMIF(December02_2021[[#Headers],[KSI_AGO]:[AKOSOMBO_AGO]],"*"&amp;E25,December02_2021[[#Totals],[KSI_AGO]:[AKOSOMBO_AGO]])</f>
        <v>2134000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E92DC404-5C0A-44B3-8E23-F1EA54A4D4CE}">
      <formula1>INDIRECT("BDC_List[BDC List]")</formula1>
    </dataValidation>
  </dataValidations>
  <pageMargins left="0.7" right="0.7" top="0.75" bottom="0.75" header="0.3" footer="0.3"/>
  <pageSetup orientation="portrait" r:id="rId1"/>
  <tableParts count="1">
    <tablePart r:id="rId2"/>
  </tableParts>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CEE06-A84B-4464-8BA8-09DAEA14C9A7}">
  <sheetPr codeName="Sheet485"/>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E18" sqref="E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44536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44536</v>
      </c>
    </row>
    <row r="7" spans="2:10" x14ac:dyDescent="0.3">
      <c r="B7" s="6" t="s">
        <v>37</v>
      </c>
      <c r="C7" s="53"/>
      <c r="D7" s="22"/>
      <c r="E7" s="22"/>
      <c r="F7" s="22"/>
      <c r="G7" s="22"/>
      <c r="H7" s="67">
        <f t="shared" si="0"/>
        <v>44536</v>
      </c>
    </row>
    <row r="8" spans="2:10" x14ac:dyDescent="0.3">
      <c r="B8" s="6" t="s">
        <v>17</v>
      </c>
      <c r="C8" s="22">
        <v>486000</v>
      </c>
      <c r="D8" s="57"/>
      <c r="E8" s="22"/>
      <c r="F8" s="22"/>
      <c r="G8" s="22"/>
      <c r="H8" s="12">
        <f t="shared" si="0"/>
        <v>44536</v>
      </c>
    </row>
    <row r="9" spans="2:10" ht="15.6" x14ac:dyDescent="0.3">
      <c r="B9" s="34" t="s">
        <v>0</v>
      </c>
      <c r="C9" s="60">
        <v>585000</v>
      </c>
      <c r="D9" s="60"/>
      <c r="E9" s="53"/>
      <c r="F9" s="117"/>
      <c r="G9" s="61"/>
      <c r="H9" s="12">
        <f t="shared" si="0"/>
        <v>44536</v>
      </c>
    </row>
    <row r="10" spans="2:10" ht="16.2" customHeight="1" x14ac:dyDescent="0.3">
      <c r="B10" s="6" t="s">
        <v>25</v>
      </c>
      <c r="C10" s="22">
        <v>324000</v>
      </c>
      <c r="D10" s="22">
        <v>269500</v>
      </c>
      <c r="E10" s="53">
        <v>158000</v>
      </c>
      <c r="F10" s="22">
        <v>365000</v>
      </c>
      <c r="G10" s="22"/>
      <c r="H10" s="12">
        <f t="shared" si="0"/>
        <v>44536</v>
      </c>
    </row>
    <row r="11" spans="2:10" ht="13.5" customHeight="1" x14ac:dyDescent="0.3">
      <c r="B11" s="6" t="s">
        <v>15</v>
      </c>
      <c r="C11" s="22">
        <v>49500</v>
      </c>
      <c r="D11" s="48">
        <v>324000</v>
      </c>
      <c r="E11" s="53">
        <v>90000</v>
      </c>
      <c r="F11" s="22"/>
      <c r="G11" s="22"/>
      <c r="H11" s="12">
        <f t="shared" si="0"/>
        <v>44536</v>
      </c>
    </row>
    <row r="12" spans="2:10" x14ac:dyDescent="0.3">
      <c r="B12" s="6" t="s">
        <v>54</v>
      </c>
      <c r="C12" s="22">
        <v>216000</v>
      </c>
      <c r="D12" s="22">
        <v>216000</v>
      </c>
      <c r="E12" s="53"/>
      <c r="F12" s="22"/>
      <c r="G12" s="22"/>
      <c r="H12" s="67">
        <f t="shared" si="0"/>
        <v>44536</v>
      </c>
    </row>
    <row r="13" spans="2:10" x14ac:dyDescent="0.3">
      <c r="B13" s="6" t="s">
        <v>26</v>
      </c>
      <c r="C13" s="22">
        <v>215500</v>
      </c>
      <c r="D13" s="22">
        <v>322000</v>
      </c>
      <c r="E13" s="53">
        <v>108000</v>
      </c>
      <c r="F13" s="22"/>
      <c r="G13" s="22"/>
      <c r="H13" s="12">
        <f t="shared" si="0"/>
        <v>44536</v>
      </c>
    </row>
    <row r="14" spans="2:10" x14ac:dyDescent="0.3">
      <c r="B14" s="6" t="s">
        <v>22</v>
      </c>
      <c r="C14" s="23"/>
      <c r="D14" s="22"/>
      <c r="E14" s="53"/>
      <c r="F14" s="23"/>
      <c r="G14" s="23"/>
      <c r="H14" s="12">
        <f t="shared" si="0"/>
        <v>44536</v>
      </c>
      <c r="J14" s="4"/>
    </row>
    <row r="15" spans="2:10" x14ac:dyDescent="0.3">
      <c r="B15" s="6" t="s">
        <v>61</v>
      </c>
      <c r="C15" s="23"/>
      <c r="D15" s="22"/>
      <c r="E15" s="53"/>
      <c r="F15" s="23"/>
      <c r="G15" s="23"/>
      <c r="H15" s="67">
        <f t="shared" si="0"/>
        <v>44536</v>
      </c>
      <c r="J15" s="4"/>
    </row>
    <row r="16" spans="2:10" x14ac:dyDescent="0.3">
      <c r="B16" s="6" t="s">
        <v>19</v>
      </c>
      <c r="C16" s="62">
        <v>162000</v>
      </c>
      <c r="D16" s="22"/>
      <c r="E16" s="53">
        <v>216000</v>
      </c>
      <c r="F16" s="22"/>
      <c r="G16" s="22"/>
      <c r="H16" s="12">
        <f t="shared" si="0"/>
        <v>44536</v>
      </c>
    </row>
    <row r="17" spans="1:8" x14ac:dyDescent="0.3">
      <c r="B17" s="6" t="s">
        <v>14</v>
      </c>
      <c r="C17" s="22">
        <v>540000</v>
      </c>
      <c r="D17" s="22">
        <v>324000</v>
      </c>
      <c r="E17" s="53"/>
      <c r="F17" s="22"/>
      <c r="G17" s="22"/>
      <c r="H17" s="12">
        <f t="shared" si="0"/>
        <v>44536</v>
      </c>
    </row>
    <row r="18" spans="1:8" x14ac:dyDescent="0.3">
      <c r="B18" s="6" t="s">
        <v>24</v>
      </c>
      <c r="C18" s="22"/>
      <c r="D18" s="49"/>
      <c r="E18" s="53"/>
      <c r="F18" s="22"/>
      <c r="G18" s="22"/>
      <c r="H18" s="12">
        <f t="shared" si="0"/>
        <v>44536</v>
      </c>
    </row>
    <row r="19" spans="1:8" x14ac:dyDescent="0.3">
      <c r="B19" s="6" t="s">
        <v>21</v>
      </c>
      <c r="C19" s="22"/>
      <c r="D19" s="22">
        <v>486000</v>
      </c>
      <c r="E19" s="53"/>
      <c r="F19" s="22"/>
      <c r="G19" s="22"/>
      <c r="H19" s="67">
        <f t="shared" si="0"/>
        <v>44536</v>
      </c>
    </row>
    <row r="20" spans="1:8" x14ac:dyDescent="0.3">
      <c r="B20" s="6" t="s">
        <v>65</v>
      </c>
      <c r="C20" s="22"/>
      <c r="D20" s="22"/>
      <c r="E20" s="53"/>
      <c r="F20" s="22"/>
      <c r="G20" s="22"/>
      <c r="H20" s="12">
        <f t="shared" si="0"/>
        <v>44536</v>
      </c>
    </row>
    <row r="21" spans="1:8" x14ac:dyDescent="0.3">
      <c r="B21" s="6" t="s">
        <v>18</v>
      </c>
      <c r="C21" s="22"/>
      <c r="D21" s="22"/>
      <c r="E21" s="53"/>
      <c r="F21" s="22"/>
      <c r="G21" s="22"/>
      <c r="H21" s="12">
        <f t="shared" si="0"/>
        <v>44536</v>
      </c>
    </row>
    <row r="22" spans="1:8" x14ac:dyDescent="0.3">
      <c r="B22" s="6" t="s">
        <v>16</v>
      </c>
      <c r="C22" s="22"/>
      <c r="D22" s="22"/>
      <c r="E22" s="119"/>
      <c r="F22" s="22">
        <v>100000</v>
      </c>
      <c r="G22" s="22"/>
      <c r="H22" s="12">
        <f t="shared" si="0"/>
        <v>44536</v>
      </c>
    </row>
    <row r="23" spans="1:8" x14ac:dyDescent="0.3">
      <c r="B23" s="50" t="s">
        <v>27</v>
      </c>
      <c r="C23" s="51">
        <f>SUM(December06_2021[KSI_AGO])</f>
        <v>2578000</v>
      </c>
      <c r="D23" s="51">
        <f>SUBTOTAL(109,December06_2021[KSI_PMS])</f>
        <v>1941500</v>
      </c>
      <c r="E23" s="51">
        <f>SUM(December06_2021[BUIPE_AGO])</f>
        <v>572000</v>
      </c>
      <c r="F23" s="51">
        <f>SUM(December06_2021[BUIPE_PMS])</f>
        <v>465000</v>
      </c>
      <c r="G23" s="51">
        <f>SUM(December06_2021[AKOSOMBO_AGO])</f>
        <v>0</v>
      </c>
      <c r="H23" s="52"/>
    </row>
    <row r="24" spans="1:8" x14ac:dyDescent="0.3">
      <c r="B24" s="8"/>
      <c r="C24" s="24"/>
      <c r="D24" s="24"/>
      <c r="E24" s="24"/>
      <c r="F24" s="24"/>
      <c r="G24" s="24"/>
      <c r="H24"/>
    </row>
    <row r="25" spans="1:8" x14ac:dyDescent="0.3">
      <c r="B25" s="1" t="s">
        <v>6</v>
      </c>
      <c r="C25" s="1" t="s">
        <v>4</v>
      </c>
      <c r="D25" s="5">
        <f>SUMIF(December06_2021[[#Headers],[KSI_AGO]:[AKOSOMBO_AGO]],"*"&amp;C25,December06_2021[[#Totals],[KSI_AGO]:[AKOSOMBO_AGO]])</f>
        <v>3150000</v>
      </c>
      <c r="E25" s="1" t="s">
        <v>5</v>
      </c>
      <c r="F25" s="5">
        <f>SUMIF(December06_2021[[#Headers],[KSI_AGO]:[AKOSOMBO_AGO]],"*"&amp;E25,December06_2021[[#Totals],[KSI_AGO]:[AKOSOMBO_AGO]])</f>
        <v>2406500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F92D921F-824B-4BBD-9B04-2D83D3646E38}">
      <formula1>INDIRECT("BDC_List[BDC List]")</formula1>
    </dataValidation>
  </dataValidations>
  <pageMargins left="0.7" right="0.7" top="0.75" bottom="0.75" header="0.3" footer="0.3"/>
  <pageSetup orientation="portrait" r:id="rId1"/>
  <tableParts count="1">
    <tablePart r:id="rId2"/>
  </tableParts>
</worksheet>
</file>

<file path=xl/worksheets/sheet4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C7AB5-C380-4D78-91F9-D9B99BCA0E18}">
  <sheetPr codeName="Sheet486"/>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20" sqref="G2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44537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45"/>
      <c r="E6" s="45"/>
      <c r="F6" s="45"/>
      <c r="G6" s="45"/>
      <c r="H6" s="12">
        <f t="shared" ref="H6:H22" si="0">$G$3</f>
        <v>44537</v>
      </c>
    </row>
    <row r="7" spans="2:10" x14ac:dyDescent="0.3">
      <c r="B7" s="6" t="s">
        <v>37</v>
      </c>
      <c r="C7" s="53"/>
      <c r="D7" s="22"/>
      <c r="E7" s="22"/>
      <c r="F7" s="22"/>
      <c r="G7" s="22"/>
      <c r="H7" s="67">
        <f t="shared" si="0"/>
        <v>44537</v>
      </c>
    </row>
    <row r="8" spans="2:10" x14ac:dyDescent="0.3">
      <c r="B8" s="6" t="s">
        <v>17</v>
      </c>
      <c r="C8" s="22">
        <v>216000</v>
      </c>
      <c r="D8" s="57"/>
      <c r="E8" s="22"/>
      <c r="F8" s="22"/>
      <c r="G8" s="22"/>
      <c r="H8" s="12">
        <f t="shared" si="0"/>
        <v>44537</v>
      </c>
    </row>
    <row r="9" spans="2:10" ht="15.6" x14ac:dyDescent="0.3">
      <c r="B9" s="34" t="s">
        <v>0</v>
      </c>
      <c r="C9" s="60">
        <v>1022000</v>
      </c>
      <c r="D9" s="60">
        <v>378000</v>
      </c>
      <c r="E9" s="53"/>
      <c r="F9" s="117">
        <v>324000</v>
      </c>
      <c r="G9" s="61"/>
      <c r="H9" s="12">
        <f t="shared" si="0"/>
        <v>44537</v>
      </c>
    </row>
    <row r="10" spans="2:10" ht="16.2" customHeight="1" x14ac:dyDescent="0.3">
      <c r="B10" s="6" t="s">
        <v>25</v>
      </c>
      <c r="C10" s="22">
        <v>270000</v>
      </c>
      <c r="D10" s="22">
        <v>369000</v>
      </c>
      <c r="E10" s="53">
        <v>108000</v>
      </c>
      <c r="F10" s="22">
        <v>45000</v>
      </c>
      <c r="G10" s="22"/>
      <c r="H10" s="12">
        <f t="shared" si="0"/>
        <v>44537</v>
      </c>
    </row>
    <row r="11" spans="2:10" ht="13.5" customHeight="1" x14ac:dyDescent="0.3">
      <c r="B11" s="6" t="s">
        <v>15</v>
      </c>
      <c r="C11" s="22"/>
      <c r="D11" s="48">
        <v>108000</v>
      </c>
      <c r="E11" s="53"/>
      <c r="F11" s="22"/>
      <c r="G11" s="22"/>
      <c r="H11" s="12">
        <f t="shared" si="0"/>
        <v>44537</v>
      </c>
    </row>
    <row r="12" spans="2:10" x14ac:dyDescent="0.3">
      <c r="B12" s="6" t="s">
        <v>54</v>
      </c>
      <c r="C12" s="22"/>
      <c r="D12" s="22">
        <v>162000</v>
      </c>
      <c r="E12" s="53"/>
      <c r="F12" s="22"/>
      <c r="G12" s="22"/>
      <c r="H12" s="67">
        <f t="shared" si="0"/>
        <v>44537</v>
      </c>
    </row>
    <row r="13" spans="2:10" x14ac:dyDescent="0.3">
      <c r="B13" s="6" t="s">
        <v>26</v>
      </c>
      <c r="C13" s="22">
        <v>590000</v>
      </c>
      <c r="D13" s="22"/>
      <c r="E13" s="53">
        <v>162000</v>
      </c>
      <c r="F13" s="22"/>
      <c r="G13" s="22"/>
      <c r="H13" s="12">
        <f t="shared" si="0"/>
        <v>44537</v>
      </c>
    </row>
    <row r="14" spans="2:10" x14ac:dyDescent="0.3">
      <c r="B14" s="6" t="s">
        <v>22</v>
      </c>
      <c r="C14" s="23"/>
      <c r="D14" s="22"/>
      <c r="E14" s="53"/>
      <c r="F14" s="23"/>
      <c r="G14" s="23"/>
      <c r="H14" s="12">
        <f t="shared" si="0"/>
        <v>44537</v>
      </c>
      <c r="J14" s="4"/>
    </row>
    <row r="15" spans="2:10" x14ac:dyDescent="0.3">
      <c r="B15" s="6" t="s">
        <v>61</v>
      </c>
      <c r="C15" s="23"/>
      <c r="D15" s="22"/>
      <c r="E15" s="53"/>
      <c r="F15" s="23"/>
      <c r="G15" s="23"/>
      <c r="H15" s="67">
        <f t="shared" si="0"/>
        <v>44537</v>
      </c>
      <c r="J15" s="4"/>
    </row>
    <row r="16" spans="2:10" x14ac:dyDescent="0.3">
      <c r="B16" s="6" t="s">
        <v>19</v>
      </c>
      <c r="C16" s="62">
        <v>162000</v>
      </c>
      <c r="D16" s="22"/>
      <c r="E16" s="53">
        <v>90000</v>
      </c>
      <c r="F16" s="22"/>
      <c r="G16" s="22"/>
      <c r="H16" s="12">
        <f t="shared" si="0"/>
        <v>44537</v>
      </c>
    </row>
    <row r="17" spans="1:8" x14ac:dyDescent="0.3">
      <c r="B17" s="6" t="s">
        <v>14</v>
      </c>
      <c r="C17" s="22">
        <v>216000</v>
      </c>
      <c r="D17" s="22">
        <v>270000</v>
      </c>
      <c r="E17" s="53"/>
      <c r="F17" s="22"/>
      <c r="G17" s="22"/>
      <c r="H17" s="12">
        <f t="shared" si="0"/>
        <v>44537</v>
      </c>
    </row>
    <row r="18" spans="1:8" x14ac:dyDescent="0.3">
      <c r="B18" s="6" t="s">
        <v>24</v>
      </c>
      <c r="C18" s="22"/>
      <c r="D18" s="49"/>
      <c r="E18" s="53"/>
      <c r="F18" s="22"/>
      <c r="G18" s="22"/>
      <c r="H18" s="12">
        <f t="shared" si="0"/>
        <v>44537</v>
      </c>
    </row>
    <row r="19" spans="1:8" x14ac:dyDescent="0.3">
      <c r="B19" s="6" t="s">
        <v>21</v>
      </c>
      <c r="C19" s="22"/>
      <c r="D19" s="22">
        <v>378000</v>
      </c>
      <c r="E19" s="53"/>
      <c r="F19" s="22"/>
      <c r="G19" s="22"/>
      <c r="H19" s="67">
        <f t="shared" si="0"/>
        <v>44537</v>
      </c>
    </row>
    <row r="20" spans="1:8" x14ac:dyDescent="0.3">
      <c r="B20" s="6" t="s">
        <v>65</v>
      </c>
      <c r="C20" s="22"/>
      <c r="D20" s="22"/>
      <c r="E20" s="53"/>
      <c r="F20" s="22"/>
      <c r="G20" s="22"/>
      <c r="H20" s="12">
        <f t="shared" si="0"/>
        <v>44537</v>
      </c>
    </row>
    <row r="21" spans="1:8" x14ac:dyDescent="0.3">
      <c r="B21" s="6" t="s">
        <v>18</v>
      </c>
      <c r="C21" s="22"/>
      <c r="D21" s="22"/>
      <c r="E21" s="53"/>
      <c r="F21" s="22"/>
      <c r="G21" s="22"/>
      <c r="H21" s="12">
        <f t="shared" si="0"/>
        <v>44537</v>
      </c>
    </row>
    <row r="22" spans="1:8" x14ac:dyDescent="0.3">
      <c r="B22" s="6" t="s">
        <v>16</v>
      </c>
      <c r="C22" s="22"/>
      <c r="D22" s="22">
        <v>54000</v>
      </c>
      <c r="E22" s="119"/>
      <c r="F22" s="22"/>
      <c r="G22" s="22"/>
      <c r="H22" s="12">
        <f t="shared" si="0"/>
        <v>44537</v>
      </c>
    </row>
    <row r="23" spans="1:8" x14ac:dyDescent="0.3">
      <c r="B23" s="50" t="s">
        <v>27</v>
      </c>
      <c r="C23" s="51">
        <f>SUM(December07_2021[KSI_AGO])</f>
        <v>2476000</v>
      </c>
      <c r="D23" s="51">
        <f>SUBTOTAL(109,December07_2021[KSI_PMS])</f>
        <v>1719000</v>
      </c>
      <c r="E23" s="51">
        <f>SUM(December07_2021[BUIPE_AGO])</f>
        <v>360000</v>
      </c>
      <c r="F23" s="51">
        <f>SUM(December07_2021[BUIPE_PMS])</f>
        <v>369000</v>
      </c>
      <c r="G23" s="51">
        <f>SUM(December07_2021[AKOSOMBO_AGO])</f>
        <v>0</v>
      </c>
      <c r="H23" s="52"/>
    </row>
    <row r="24" spans="1:8" x14ac:dyDescent="0.3">
      <c r="B24" s="8"/>
      <c r="C24" s="24"/>
      <c r="D24" s="24"/>
      <c r="E24" s="24"/>
      <c r="F24" s="24"/>
      <c r="G24" s="24"/>
      <c r="H24"/>
    </row>
    <row r="25" spans="1:8" x14ac:dyDescent="0.3">
      <c r="B25" s="1" t="s">
        <v>6</v>
      </c>
      <c r="C25" s="1" t="s">
        <v>4</v>
      </c>
      <c r="D25" s="5">
        <f>SUMIF(December07_2021[[#Headers],[KSI_AGO]:[AKOSOMBO_AGO]],"*"&amp;C25,December07_2021[[#Totals],[KSI_AGO]:[AKOSOMBO_AGO]])</f>
        <v>2836000</v>
      </c>
      <c r="E25" s="1" t="s">
        <v>5</v>
      </c>
      <c r="F25" s="5">
        <f>SUMIF(December07_2021[[#Headers],[KSI_AGO]:[AKOSOMBO_AGO]],"*"&amp;E25,December07_2021[[#Totals],[KSI_AGO]:[AKOSOMBO_AGO]])</f>
        <v>2088000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5AEEA58C-6DF7-4317-93F1-E906B5284DEC}">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C20A5-2D6C-435D-BF6F-948C2ED1F43B}">
  <sheetPr codeName="Sheet487"/>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D13" sqref="D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44538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44538</v>
      </c>
    </row>
    <row r="7" spans="2:10" x14ac:dyDescent="0.3">
      <c r="B7" s="6" t="s">
        <v>37</v>
      </c>
      <c r="C7" s="57"/>
      <c r="D7" s="53"/>
      <c r="E7" s="22"/>
      <c r="F7" s="22"/>
      <c r="G7" s="22"/>
      <c r="H7" s="67">
        <f t="shared" si="0"/>
        <v>44538</v>
      </c>
    </row>
    <row r="8" spans="2:10" x14ac:dyDescent="0.3">
      <c r="B8" s="6" t="s">
        <v>17</v>
      </c>
      <c r="C8" s="22">
        <v>104000</v>
      </c>
      <c r="D8" s="22"/>
      <c r="E8" s="22"/>
      <c r="F8" s="22"/>
      <c r="G8" s="22"/>
      <c r="H8" s="12">
        <f t="shared" si="0"/>
        <v>44538</v>
      </c>
    </row>
    <row r="9" spans="2:10" ht="15.6" x14ac:dyDescent="0.3">
      <c r="B9" s="34" t="s">
        <v>0</v>
      </c>
      <c r="C9" s="57">
        <v>1022000</v>
      </c>
      <c r="D9" s="60">
        <v>428000</v>
      </c>
      <c r="E9" s="53"/>
      <c r="F9" s="117">
        <v>482000</v>
      </c>
      <c r="G9" s="61"/>
      <c r="H9" s="12">
        <f t="shared" si="0"/>
        <v>44538</v>
      </c>
    </row>
    <row r="10" spans="2:10" ht="16.2" customHeight="1" x14ac:dyDescent="0.3">
      <c r="B10" s="6" t="s">
        <v>25</v>
      </c>
      <c r="C10" s="22">
        <v>157500</v>
      </c>
      <c r="D10" s="22">
        <v>108000</v>
      </c>
      <c r="E10" s="53">
        <v>108000</v>
      </c>
      <c r="F10" s="22"/>
      <c r="G10" s="22"/>
      <c r="H10" s="12">
        <f t="shared" si="0"/>
        <v>44538</v>
      </c>
    </row>
    <row r="11" spans="2:10" ht="13.5" customHeight="1" x14ac:dyDescent="0.3">
      <c r="B11" s="6" t="s">
        <v>15</v>
      </c>
      <c r="C11" s="22"/>
      <c r="D11" s="22">
        <v>54000</v>
      </c>
      <c r="E11" s="53"/>
      <c r="F11" s="22"/>
      <c r="G11" s="22"/>
      <c r="H11" s="12">
        <f t="shared" si="0"/>
        <v>44538</v>
      </c>
    </row>
    <row r="12" spans="2:10" x14ac:dyDescent="0.3">
      <c r="B12" s="6" t="s">
        <v>54</v>
      </c>
      <c r="C12" s="22">
        <v>216000</v>
      </c>
      <c r="D12" s="22">
        <v>162000</v>
      </c>
      <c r="E12" s="53"/>
      <c r="F12" s="22"/>
      <c r="G12" s="22"/>
      <c r="H12" s="67">
        <f t="shared" si="0"/>
        <v>44538</v>
      </c>
    </row>
    <row r="13" spans="2:10" x14ac:dyDescent="0.3">
      <c r="B13" s="6" t="s">
        <v>26</v>
      </c>
      <c r="C13" s="22">
        <v>103500</v>
      </c>
      <c r="D13" s="22"/>
      <c r="E13" s="53">
        <v>158000</v>
      </c>
      <c r="F13" s="22"/>
      <c r="G13" s="22"/>
      <c r="H13" s="12">
        <f t="shared" si="0"/>
        <v>44538</v>
      </c>
    </row>
    <row r="14" spans="2:10" x14ac:dyDescent="0.3">
      <c r="B14" s="6" t="s">
        <v>22</v>
      </c>
      <c r="C14" s="22"/>
      <c r="D14" s="23"/>
      <c r="E14" s="53"/>
      <c r="F14" s="23"/>
      <c r="G14" s="23"/>
      <c r="H14" s="12">
        <f t="shared" si="0"/>
        <v>44538</v>
      </c>
      <c r="J14" s="4"/>
    </row>
    <row r="15" spans="2:10" x14ac:dyDescent="0.3">
      <c r="B15" s="6" t="s">
        <v>61</v>
      </c>
      <c r="C15" s="22"/>
      <c r="D15" s="23"/>
      <c r="E15" s="53"/>
      <c r="F15" s="23"/>
      <c r="G15" s="23"/>
      <c r="H15" s="67">
        <f t="shared" si="0"/>
        <v>44538</v>
      </c>
      <c r="J15" s="4"/>
    </row>
    <row r="16" spans="2:10" x14ac:dyDescent="0.3">
      <c r="B16" s="6" t="s">
        <v>19</v>
      </c>
      <c r="C16" s="22">
        <v>100000</v>
      </c>
      <c r="D16" s="62"/>
      <c r="E16" s="53">
        <v>45000</v>
      </c>
      <c r="F16" s="22"/>
      <c r="G16" s="22"/>
      <c r="H16" s="12">
        <f t="shared" si="0"/>
        <v>44538</v>
      </c>
    </row>
    <row r="17" spans="1:8" x14ac:dyDescent="0.3">
      <c r="B17" s="6" t="s">
        <v>14</v>
      </c>
      <c r="C17" s="22">
        <v>648000</v>
      </c>
      <c r="D17" s="22">
        <v>270000</v>
      </c>
      <c r="E17" s="53"/>
      <c r="F17" s="22"/>
      <c r="G17" s="22">
        <v>540000</v>
      </c>
      <c r="H17" s="12">
        <f t="shared" si="0"/>
        <v>44538</v>
      </c>
    </row>
    <row r="18" spans="1:8" x14ac:dyDescent="0.3">
      <c r="B18" s="6" t="s">
        <v>24</v>
      </c>
      <c r="C18" s="57"/>
      <c r="D18" s="22"/>
      <c r="E18" s="53"/>
      <c r="F18" s="22"/>
      <c r="G18" s="22"/>
      <c r="H18" s="12">
        <f t="shared" si="0"/>
        <v>44538</v>
      </c>
    </row>
    <row r="19" spans="1:8" x14ac:dyDescent="0.3">
      <c r="B19" s="6" t="s">
        <v>21</v>
      </c>
      <c r="C19" s="57"/>
      <c r="D19" s="22">
        <v>432000</v>
      </c>
      <c r="E19" s="53"/>
      <c r="F19" s="22"/>
      <c r="G19" s="22"/>
      <c r="H19" s="67">
        <f t="shared" si="0"/>
        <v>44538</v>
      </c>
    </row>
    <row r="20" spans="1:8" x14ac:dyDescent="0.3">
      <c r="B20" s="6" t="s">
        <v>65</v>
      </c>
      <c r="C20" s="57"/>
      <c r="D20" s="22"/>
      <c r="E20" s="53"/>
      <c r="F20" s="22"/>
      <c r="G20" s="22"/>
      <c r="H20" s="12">
        <f t="shared" si="0"/>
        <v>44538</v>
      </c>
    </row>
    <row r="21" spans="1:8" x14ac:dyDescent="0.3">
      <c r="B21" s="6" t="s">
        <v>18</v>
      </c>
      <c r="C21" s="57"/>
      <c r="D21" s="22">
        <v>108000</v>
      </c>
      <c r="E21" s="53"/>
      <c r="F21" s="22"/>
      <c r="G21" s="22"/>
      <c r="H21" s="12">
        <f t="shared" si="0"/>
        <v>44538</v>
      </c>
    </row>
    <row r="22" spans="1:8" x14ac:dyDescent="0.3">
      <c r="B22" s="6" t="s">
        <v>16</v>
      </c>
      <c r="C22" s="121"/>
      <c r="D22" s="22">
        <v>54000</v>
      </c>
      <c r="E22" s="119"/>
      <c r="F22" s="22"/>
      <c r="G22" s="22"/>
      <c r="H22" s="12">
        <f t="shared" si="0"/>
        <v>44538</v>
      </c>
    </row>
    <row r="23" spans="1:8" x14ac:dyDescent="0.3">
      <c r="B23" s="50" t="s">
        <v>27</v>
      </c>
      <c r="C23" s="51">
        <f>SUM(December08_2021[KSI_AGO])</f>
        <v>2351000</v>
      </c>
      <c r="D23" s="51">
        <f>SUBTOTAL(109,December08_2021[KSI_PMS])</f>
        <v>1616000</v>
      </c>
      <c r="E23" s="51">
        <f>SUM(December08_2021[BUIPE_AGO])</f>
        <v>311000</v>
      </c>
      <c r="F23" s="51">
        <f>SUM(December08_2021[BUIPE_PMS])</f>
        <v>482000</v>
      </c>
      <c r="G23" s="51">
        <f>SUM(December08_2021[AKOSOMBO_AGO])</f>
        <v>540000</v>
      </c>
      <c r="H23" s="52"/>
    </row>
    <row r="24" spans="1:8" x14ac:dyDescent="0.3">
      <c r="B24" s="8"/>
      <c r="C24" s="24"/>
      <c r="D24" s="24"/>
      <c r="E24" s="24"/>
      <c r="F24" s="24"/>
      <c r="G24" s="24"/>
      <c r="H24"/>
    </row>
    <row r="25" spans="1:8" x14ac:dyDescent="0.3">
      <c r="B25" s="1" t="s">
        <v>6</v>
      </c>
      <c r="C25" s="1" t="s">
        <v>4</v>
      </c>
      <c r="D25" s="5">
        <f>SUMIF(December08_2021[[#Headers],[KSI_AGO]:[AKOSOMBO_AGO]],"*"&amp;C25,December08_2021[[#Totals],[KSI_AGO]:[AKOSOMBO_AGO]])</f>
        <v>3202000</v>
      </c>
      <c r="E25" s="1" t="s">
        <v>5</v>
      </c>
      <c r="F25" s="5">
        <f>SUMIF(December08_2021[[#Headers],[KSI_AGO]:[AKOSOMBO_AGO]],"*"&amp;E25,December08_2021[[#Totals],[KSI_AGO]:[AKOSOMBO_AGO]])</f>
        <v>2098000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AA16F46F-6189-4C4E-9A67-54AAA1903681}">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9C075-0F01-479A-912C-BE2D8816EA50}">
  <sheetPr codeName="Sheet488"/>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D18" sqref="D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44539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44539</v>
      </c>
    </row>
    <row r="7" spans="2:10" x14ac:dyDescent="0.3">
      <c r="B7" s="6" t="s">
        <v>37</v>
      </c>
      <c r="C7" s="57"/>
      <c r="D7" s="53"/>
      <c r="E7" s="22"/>
      <c r="F7" s="22"/>
      <c r="G7" s="22"/>
      <c r="H7" s="67">
        <f t="shared" si="0"/>
        <v>44539</v>
      </c>
    </row>
    <row r="8" spans="2:10" x14ac:dyDescent="0.3">
      <c r="B8" s="6" t="s">
        <v>17</v>
      </c>
      <c r="C8" s="57"/>
      <c r="D8" s="22"/>
      <c r="E8" s="22"/>
      <c r="F8" s="22"/>
      <c r="G8" s="22"/>
      <c r="H8" s="12">
        <f t="shared" si="0"/>
        <v>44539</v>
      </c>
    </row>
    <row r="9" spans="2:10" ht="15.6" x14ac:dyDescent="0.3">
      <c r="B9" s="34" t="s">
        <v>0</v>
      </c>
      <c r="C9" s="57"/>
      <c r="D9" s="60"/>
      <c r="E9" s="53"/>
      <c r="F9" s="117">
        <v>999000</v>
      </c>
      <c r="G9" s="61"/>
      <c r="H9" s="12">
        <f t="shared" si="0"/>
        <v>44539</v>
      </c>
    </row>
    <row r="10" spans="2:10" ht="16.2" customHeight="1" x14ac:dyDescent="0.3">
      <c r="B10" s="6" t="s">
        <v>25</v>
      </c>
      <c r="C10" s="57"/>
      <c r="D10" s="22"/>
      <c r="E10" s="53"/>
      <c r="F10" s="22"/>
      <c r="G10" s="22"/>
      <c r="H10" s="12">
        <f t="shared" si="0"/>
        <v>44539</v>
      </c>
    </row>
    <row r="11" spans="2:10" ht="13.5" customHeight="1" x14ac:dyDescent="0.3">
      <c r="B11" s="6" t="s">
        <v>15</v>
      </c>
      <c r="C11" s="57"/>
      <c r="D11" s="22"/>
      <c r="E11" s="53"/>
      <c r="F11" s="22"/>
      <c r="G11" s="22"/>
      <c r="H11" s="12">
        <f t="shared" si="0"/>
        <v>44539</v>
      </c>
    </row>
    <row r="12" spans="2:10" x14ac:dyDescent="0.3">
      <c r="B12" s="6" t="s">
        <v>54</v>
      </c>
      <c r="C12" s="57"/>
      <c r="D12" s="22"/>
      <c r="E12" s="53"/>
      <c r="F12" s="22"/>
      <c r="G12" s="22"/>
      <c r="H12" s="67">
        <f t="shared" si="0"/>
        <v>44539</v>
      </c>
    </row>
    <row r="13" spans="2:10" x14ac:dyDescent="0.3">
      <c r="B13" s="6" t="s">
        <v>26</v>
      </c>
      <c r="C13" s="57"/>
      <c r="D13" s="22"/>
      <c r="E13" s="53">
        <v>162000</v>
      </c>
      <c r="F13" s="22"/>
      <c r="G13" s="22"/>
      <c r="H13" s="12">
        <f t="shared" si="0"/>
        <v>44539</v>
      </c>
    </row>
    <row r="14" spans="2:10" x14ac:dyDescent="0.3">
      <c r="B14" s="6" t="s">
        <v>22</v>
      </c>
      <c r="C14" s="57"/>
      <c r="D14" s="23"/>
      <c r="E14" s="53"/>
      <c r="F14" s="23"/>
      <c r="G14" s="23"/>
      <c r="H14" s="12">
        <f t="shared" si="0"/>
        <v>44539</v>
      </c>
      <c r="J14" s="4"/>
    </row>
    <row r="15" spans="2:10" x14ac:dyDescent="0.3">
      <c r="B15" s="6" t="s">
        <v>61</v>
      </c>
      <c r="C15" s="57"/>
      <c r="D15" s="23"/>
      <c r="E15" s="53"/>
      <c r="F15" s="23"/>
      <c r="G15" s="23"/>
      <c r="H15" s="67">
        <f t="shared" si="0"/>
        <v>44539</v>
      </c>
      <c r="J15" s="4"/>
    </row>
    <row r="16" spans="2:10" x14ac:dyDescent="0.3">
      <c r="B16" s="6" t="s">
        <v>19</v>
      </c>
      <c r="C16" s="57"/>
      <c r="D16" s="62">
        <v>486000</v>
      </c>
      <c r="E16" s="53"/>
      <c r="F16" s="22"/>
      <c r="G16" s="22"/>
      <c r="H16" s="12">
        <f t="shared" si="0"/>
        <v>44539</v>
      </c>
    </row>
    <row r="17" spans="1:8" x14ac:dyDescent="0.3">
      <c r="B17" s="6" t="s">
        <v>14</v>
      </c>
      <c r="C17" s="57"/>
      <c r="D17" s="22"/>
      <c r="E17" s="53"/>
      <c r="F17" s="22"/>
      <c r="G17" s="22">
        <v>486000</v>
      </c>
      <c r="H17" s="12">
        <f t="shared" si="0"/>
        <v>44539</v>
      </c>
    </row>
    <row r="18" spans="1:8" x14ac:dyDescent="0.3">
      <c r="B18" s="6" t="s">
        <v>24</v>
      </c>
      <c r="C18" s="57"/>
      <c r="D18" s="22"/>
      <c r="E18" s="53"/>
      <c r="F18" s="22"/>
      <c r="G18" s="22"/>
      <c r="H18" s="12">
        <f t="shared" si="0"/>
        <v>44539</v>
      </c>
    </row>
    <row r="19" spans="1:8" x14ac:dyDescent="0.3">
      <c r="B19" s="6" t="s">
        <v>21</v>
      </c>
      <c r="C19" s="57"/>
      <c r="D19" s="22"/>
      <c r="E19" s="53"/>
      <c r="F19" s="22"/>
      <c r="G19" s="22"/>
      <c r="H19" s="67">
        <f t="shared" si="0"/>
        <v>44539</v>
      </c>
    </row>
    <row r="20" spans="1:8" x14ac:dyDescent="0.3">
      <c r="B20" s="6" t="s">
        <v>65</v>
      </c>
      <c r="C20" s="57"/>
      <c r="D20" s="22"/>
      <c r="E20" s="53"/>
      <c r="F20" s="22"/>
      <c r="G20" s="22"/>
      <c r="H20" s="12">
        <f t="shared" si="0"/>
        <v>44539</v>
      </c>
    </row>
    <row r="21" spans="1:8" x14ac:dyDescent="0.3">
      <c r="B21" s="6" t="s">
        <v>18</v>
      </c>
      <c r="C21" s="57"/>
      <c r="D21" s="22"/>
      <c r="E21" s="53"/>
      <c r="F21" s="22"/>
      <c r="G21" s="22"/>
      <c r="H21" s="12">
        <f t="shared" si="0"/>
        <v>44539</v>
      </c>
    </row>
    <row r="22" spans="1:8" x14ac:dyDescent="0.3">
      <c r="B22" s="6" t="s">
        <v>16</v>
      </c>
      <c r="C22" s="121"/>
      <c r="D22" s="22"/>
      <c r="E22" s="119"/>
      <c r="F22" s="22"/>
      <c r="G22" s="22"/>
      <c r="H22" s="12">
        <f t="shared" si="0"/>
        <v>44539</v>
      </c>
    </row>
    <row r="23" spans="1:8" x14ac:dyDescent="0.3">
      <c r="B23" s="50" t="s">
        <v>27</v>
      </c>
      <c r="C23" s="51">
        <f>SUM(December09_2021[KSI_AGO])</f>
        <v>0</v>
      </c>
      <c r="D23" s="51">
        <f>SUBTOTAL(109,December09_2021[KSI_PMS])</f>
        <v>486000</v>
      </c>
      <c r="E23" s="51">
        <f>SUM(December09_2021[BUIPE_AGO])</f>
        <v>162000</v>
      </c>
      <c r="F23" s="51">
        <f>SUM(December09_2021[BUIPE_PMS])</f>
        <v>999000</v>
      </c>
      <c r="G23" s="51">
        <f>SUM(December09_2021[AKOSOMBO_AGO])</f>
        <v>486000</v>
      </c>
      <c r="H23" s="52"/>
    </row>
    <row r="24" spans="1:8" x14ac:dyDescent="0.3">
      <c r="B24" s="8"/>
      <c r="C24" s="24"/>
      <c r="D24" s="24"/>
      <c r="E24" s="24"/>
      <c r="F24" s="24"/>
      <c r="G24" s="24"/>
      <c r="H24"/>
    </row>
    <row r="25" spans="1:8" x14ac:dyDescent="0.3">
      <c r="B25" s="1" t="s">
        <v>6</v>
      </c>
      <c r="C25" s="1" t="s">
        <v>4</v>
      </c>
      <c r="D25" s="5">
        <f>SUMIF(December09_2021[[#Headers],[KSI_AGO]:[AKOSOMBO_AGO]],"*"&amp;C25,December09_2021[[#Totals],[KSI_AGO]:[AKOSOMBO_AGO]])</f>
        <v>648000</v>
      </c>
      <c r="E25" s="1" t="s">
        <v>5</v>
      </c>
      <c r="F25" s="5">
        <f>SUMIF(December09_2021[[#Headers],[KSI_AGO]:[AKOSOMBO_AGO]],"*"&amp;E25,December09_2021[[#Totals],[KSI_AGO]:[AKOSOMBO_AGO]])</f>
        <v>1485000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0662A4A2-C0ED-4BAA-A253-864D9B4C982C}">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04FF8-03BB-465F-B06D-72539CA50B51}">
  <sheetPr codeName="Sheet489"/>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9" sqref="G9:G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44540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44540</v>
      </c>
    </row>
    <row r="7" spans="2:10" x14ac:dyDescent="0.3">
      <c r="B7" s="6" t="s">
        <v>37</v>
      </c>
      <c r="C7" s="57"/>
      <c r="D7" s="53"/>
      <c r="E7" s="22"/>
      <c r="F7" s="22"/>
      <c r="G7" s="22"/>
      <c r="H7" s="67">
        <f t="shared" si="0"/>
        <v>44540</v>
      </c>
    </row>
    <row r="8" spans="2:10" x14ac:dyDescent="0.3">
      <c r="B8" s="6" t="s">
        <v>17</v>
      </c>
      <c r="C8" s="57"/>
      <c r="D8" s="22"/>
      <c r="E8" s="22"/>
      <c r="F8" s="22"/>
      <c r="G8" s="123"/>
      <c r="H8" s="12">
        <f t="shared" si="0"/>
        <v>44540</v>
      </c>
    </row>
    <row r="9" spans="2:10" ht="15.6" x14ac:dyDescent="0.3">
      <c r="B9" s="34" t="s">
        <v>0</v>
      </c>
      <c r="C9" s="57"/>
      <c r="D9" s="60"/>
      <c r="E9" s="53"/>
      <c r="F9" s="117">
        <v>1102500</v>
      </c>
      <c r="G9" s="124"/>
      <c r="H9" s="12">
        <f t="shared" si="0"/>
        <v>44540</v>
      </c>
    </row>
    <row r="10" spans="2:10" ht="16.2" customHeight="1" x14ac:dyDescent="0.3">
      <c r="B10" s="6" t="s">
        <v>25</v>
      </c>
      <c r="C10" s="57"/>
      <c r="D10" s="22"/>
      <c r="E10" s="53"/>
      <c r="F10" s="22"/>
      <c r="G10" s="94">
        <v>153000</v>
      </c>
      <c r="H10" s="12">
        <f t="shared" si="0"/>
        <v>44540</v>
      </c>
    </row>
    <row r="11" spans="2:10" ht="13.5" customHeight="1" x14ac:dyDescent="0.3">
      <c r="B11" s="6" t="s">
        <v>15</v>
      </c>
      <c r="C11" s="57"/>
      <c r="D11" s="22"/>
      <c r="E11" s="53"/>
      <c r="F11" s="22"/>
      <c r="G11" s="94"/>
      <c r="H11" s="12">
        <f t="shared" si="0"/>
        <v>44540</v>
      </c>
    </row>
    <row r="12" spans="2:10" x14ac:dyDescent="0.3">
      <c r="B12" s="6" t="s">
        <v>54</v>
      </c>
      <c r="C12" s="57"/>
      <c r="D12" s="22"/>
      <c r="E12" s="53"/>
      <c r="F12" s="22"/>
      <c r="G12" s="94"/>
      <c r="H12" s="67">
        <f t="shared" si="0"/>
        <v>44540</v>
      </c>
    </row>
    <row r="13" spans="2:10" x14ac:dyDescent="0.3">
      <c r="B13" s="6" t="s">
        <v>26</v>
      </c>
      <c r="C13" s="57"/>
      <c r="D13" s="22"/>
      <c r="E13" s="53"/>
      <c r="F13" s="22"/>
      <c r="G13" s="94"/>
      <c r="H13" s="12">
        <f t="shared" si="0"/>
        <v>44540</v>
      </c>
    </row>
    <row r="14" spans="2:10" x14ac:dyDescent="0.3">
      <c r="B14" s="6" t="s">
        <v>22</v>
      </c>
      <c r="C14" s="57"/>
      <c r="D14" s="23"/>
      <c r="E14" s="53"/>
      <c r="F14" s="23"/>
      <c r="G14" s="125"/>
      <c r="H14" s="12">
        <f t="shared" si="0"/>
        <v>44540</v>
      </c>
      <c r="J14" s="4"/>
    </row>
    <row r="15" spans="2:10" x14ac:dyDescent="0.3">
      <c r="B15" s="6" t="s">
        <v>61</v>
      </c>
      <c r="C15" s="57"/>
      <c r="D15" s="23"/>
      <c r="E15" s="53"/>
      <c r="F15" s="23"/>
      <c r="G15" s="125"/>
      <c r="H15" s="67">
        <f t="shared" si="0"/>
        <v>44540</v>
      </c>
      <c r="J15" s="4"/>
    </row>
    <row r="16" spans="2:10" x14ac:dyDescent="0.3">
      <c r="B16" s="6" t="s">
        <v>19</v>
      </c>
      <c r="C16" s="57"/>
      <c r="D16" s="62">
        <v>792000</v>
      </c>
      <c r="E16" s="53"/>
      <c r="F16" s="22"/>
      <c r="G16" s="94"/>
      <c r="H16" s="12">
        <f t="shared" si="0"/>
        <v>44540</v>
      </c>
    </row>
    <row r="17" spans="1:8" x14ac:dyDescent="0.3">
      <c r="B17" s="6" t="s">
        <v>14</v>
      </c>
      <c r="C17" s="57"/>
      <c r="D17" s="22"/>
      <c r="E17" s="53"/>
      <c r="F17" s="22"/>
      <c r="G17" s="94">
        <v>162000</v>
      </c>
      <c r="H17" s="12">
        <f t="shared" si="0"/>
        <v>44540</v>
      </c>
    </row>
    <row r="18" spans="1:8" x14ac:dyDescent="0.3">
      <c r="B18" s="6" t="s">
        <v>24</v>
      </c>
      <c r="C18" s="57"/>
      <c r="D18" s="22"/>
      <c r="E18" s="53"/>
      <c r="F18" s="22"/>
      <c r="G18" s="94"/>
      <c r="H18" s="12">
        <f t="shared" si="0"/>
        <v>44540</v>
      </c>
    </row>
    <row r="19" spans="1:8" x14ac:dyDescent="0.3">
      <c r="B19" s="6" t="s">
        <v>21</v>
      </c>
      <c r="C19" s="57"/>
      <c r="D19" s="22"/>
      <c r="E19" s="53"/>
      <c r="F19" s="22"/>
      <c r="G19" s="123"/>
      <c r="H19" s="67">
        <f t="shared" si="0"/>
        <v>44540</v>
      </c>
    </row>
    <row r="20" spans="1:8" x14ac:dyDescent="0.3">
      <c r="B20" s="6" t="s">
        <v>65</v>
      </c>
      <c r="C20" s="57"/>
      <c r="D20" s="22"/>
      <c r="E20" s="53"/>
      <c r="F20" s="22"/>
      <c r="G20" s="123"/>
      <c r="H20" s="12">
        <f t="shared" si="0"/>
        <v>44540</v>
      </c>
    </row>
    <row r="21" spans="1:8" x14ac:dyDescent="0.3">
      <c r="B21" s="6" t="s">
        <v>18</v>
      </c>
      <c r="C21" s="57"/>
      <c r="D21" s="22"/>
      <c r="E21" s="53"/>
      <c r="F21" s="22"/>
      <c r="G21" s="123"/>
      <c r="H21" s="12">
        <f t="shared" si="0"/>
        <v>44540</v>
      </c>
    </row>
    <row r="22" spans="1:8" x14ac:dyDescent="0.3">
      <c r="B22" s="6" t="s">
        <v>16</v>
      </c>
      <c r="C22" s="121"/>
      <c r="D22" s="22"/>
      <c r="E22" s="119"/>
      <c r="F22" s="22"/>
      <c r="G22" s="22"/>
      <c r="H22" s="12">
        <f t="shared" si="0"/>
        <v>44540</v>
      </c>
    </row>
    <row r="23" spans="1:8" x14ac:dyDescent="0.3">
      <c r="B23" s="50" t="s">
        <v>27</v>
      </c>
      <c r="C23" s="51">
        <f>SUM(December10_20219[KSI_AGO])</f>
        <v>0</v>
      </c>
      <c r="D23" s="51">
        <f>SUBTOTAL(109,December10_20219[KSI_PMS])</f>
        <v>792000</v>
      </c>
      <c r="E23" s="51">
        <f>SUM(December10_20219[BUIPE_AGO])</f>
        <v>0</v>
      </c>
      <c r="F23" s="51">
        <f>SUM(December10_20219[BUIPE_PMS])</f>
        <v>1102500</v>
      </c>
      <c r="G23" s="51">
        <f>SUM(December10_20219[AKOSOMBO_AGO])</f>
        <v>315000</v>
      </c>
      <c r="H23" s="52"/>
    </row>
    <row r="24" spans="1:8" x14ac:dyDescent="0.3">
      <c r="B24" s="8"/>
      <c r="C24" s="24"/>
      <c r="D24" s="24"/>
      <c r="E24" s="24"/>
      <c r="F24" s="24"/>
      <c r="G24" s="24"/>
      <c r="H24"/>
    </row>
    <row r="25" spans="1:8" x14ac:dyDescent="0.3">
      <c r="B25" s="1" t="s">
        <v>6</v>
      </c>
      <c r="C25" s="1" t="s">
        <v>4</v>
      </c>
      <c r="D25" s="5">
        <f>SUMIF(December10_20219[[#Headers],[KSI_AGO]:[AKOSOMBO_AGO]],"*"&amp;C25,December10_20219[[#Totals],[KSI_AGO]:[AKOSOMBO_AGO]])</f>
        <v>315000</v>
      </c>
      <c r="E25" s="1" t="s">
        <v>5</v>
      </c>
      <c r="F25" s="5">
        <f>SUMIF(December10_20219[[#Headers],[KSI_AGO]:[AKOSOMBO_AGO]],"*"&amp;E25,December10_20219[[#Totals],[KSI_AGO]:[AKOSOMBO_AGO]])</f>
        <v>1894500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B5CE71A7-41E4-4791-A6FE-5A7DFD68E821}">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FAE57-D935-412D-955D-962487EC33A0}">
  <sheetPr codeName="Sheet490"/>
  <dimension ref="A1:J35"/>
  <sheetViews>
    <sheetView zoomScaleNormal="100" workbookViewId="0">
      <pane xSplit="2" ySplit="5" topLeftCell="F6" activePane="bottomRight" state="frozen"/>
      <selection activeCell="J22" sqref="J22"/>
      <selection pane="topRight" activeCell="J22" sqref="J22"/>
      <selection pane="bottomLeft" activeCell="J22" sqref="J22"/>
      <selection pane="bottomRight" activeCell="G10" sqref="G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44543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44543</v>
      </c>
    </row>
    <row r="7" spans="2:10" x14ac:dyDescent="0.3">
      <c r="B7" s="6" t="s">
        <v>37</v>
      </c>
      <c r="C7" s="57"/>
      <c r="D7" s="53"/>
      <c r="E7" s="22"/>
      <c r="F7" s="22"/>
      <c r="G7" s="22"/>
      <c r="H7" s="67">
        <f t="shared" si="0"/>
        <v>44543</v>
      </c>
    </row>
    <row r="8" spans="2:10" x14ac:dyDescent="0.3">
      <c r="B8" s="6" t="s">
        <v>17</v>
      </c>
      <c r="C8" s="22">
        <v>261000</v>
      </c>
      <c r="D8" s="22">
        <v>139500</v>
      </c>
      <c r="E8" s="22"/>
      <c r="F8" s="22"/>
      <c r="G8" s="22">
        <v>108000</v>
      </c>
      <c r="H8" s="12">
        <f t="shared" si="0"/>
        <v>44543</v>
      </c>
    </row>
    <row r="9" spans="2:10" ht="15.6" x14ac:dyDescent="0.3">
      <c r="B9" s="34" t="s">
        <v>0</v>
      </c>
      <c r="C9" s="57">
        <v>270000</v>
      </c>
      <c r="D9" s="60">
        <v>270000</v>
      </c>
      <c r="E9" s="53"/>
      <c r="F9" s="117"/>
      <c r="G9" s="61"/>
      <c r="H9" s="12">
        <f t="shared" si="0"/>
        <v>44543</v>
      </c>
    </row>
    <row r="10" spans="2:10" ht="16.2" customHeight="1" x14ac:dyDescent="0.3">
      <c r="B10" s="6" t="s">
        <v>25</v>
      </c>
      <c r="C10" s="22">
        <v>103500</v>
      </c>
      <c r="D10" s="22">
        <v>270000</v>
      </c>
      <c r="E10" s="53"/>
      <c r="F10" s="22"/>
      <c r="G10" s="22">
        <v>212000</v>
      </c>
      <c r="H10" s="12">
        <f t="shared" si="0"/>
        <v>44543</v>
      </c>
    </row>
    <row r="11" spans="2:10" ht="13.5" customHeight="1" x14ac:dyDescent="0.3">
      <c r="B11" s="6" t="s">
        <v>15</v>
      </c>
      <c r="C11" s="22">
        <v>216000</v>
      </c>
      <c r="D11" s="22">
        <v>158000</v>
      </c>
      <c r="E11" s="53"/>
      <c r="F11" s="22"/>
      <c r="G11" s="22"/>
      <c r="H11" s="12">
        <f t="shared" si="0"/>
        <v>44543</v>
      </c>
    </row>
    <row r="12" spans="2:10" x14ac:dyDescent="0.3">
      <c r="B12" s="6" t="s">
        <v>54</v>
      </c>
      <c r="C12" s="22"/>
      <c r="D12" s="22">
        <v>54000</v>
      </c>
      <c r="E12" s="53"/>
      <c r="F12" s="22"/>
      <c r="G12" s="22"/>
      <c r="H12" s="67">
        <f t="shared" si="0"/>
        <v>44543</v>
      </c>
    </row>
    <row r="13" spans="2:10" x14ac:dyDescent="0.3">
      <c r="B13" s="6" t="s">
        <v>26</v>
      </c>
      <c r="C13" s="22">
        <v>90000</v>
      </c>
      <c r="D13" s="22"/>
      <c r="E13" s="53"/>
      <c r="F13" s="22"/>
      <c r="G13" s="22"/>
      <c r="H13" s="12">
        <f t="shared" si="0"/>
        <v>44543</v>
      </c>
    </row>
    <row r="14" spans="2:10" x14ac:dyDescent="0.3">
      <c r="B14" s="6" t="s">
        <v>22</v>
      </c>
      <c r="C14" s="22"/>
      <c r="D14" s="23"/>
      <c r="E14" s="53"/>
      <c r="F14" s="23"/>
      <c r="G14" s="23"/>
      <c r="H14" s="12">
        <f t="shared" si="0"/>
        <v>44543</v>
      </c>
      <c r="J14" s="4"/>
    </row>
    <row r="15" spans="2:10" x14ac:dyDescent="0.3">
      <c r="B15" s="6" t="s">
        <v>61</v>
      </c>
      <c r="C15" s="22"/>
      <c r="D15" s="23"/>
      <c r="E15" s="53"/>
      <c r="F15" s="23"/>
      <c r="G15" s="23"/>
      <c r="H15" s="67">
        <f t="shared" si="0"/>
        <v>44543</v>
      </c>
      <c r="J15" s="4"/>
    </row>
    <row r="16" spans="2:10" x14ac:dyDescent="0.3">
      <c r="B16" s="6" t="s">
        <v>19</v>
      </c>
      <c r="C16" s="22">
        <v>54000</v>
      </c>
      <c r="D16" s="62"/>
      <c r="E16" s="53"/>
      <c r="F16" s="22"/>
      <c r="G16" s="22">
        <v>216000</v>
      </c>
      <c r="H16" s="12">
        <f t="shared" si="0"/>
        <v>44543</v>
      </c>
    </row>
    <row r="17" spans="1:8" x14ac:dyDescent="0.3">
      <c r="B17" s="6" t="s">
        <v>14</v>
      </c>
      <c r="C17" s="22">
        <v>1076000</v>
      </c>
      <c r="D17" s="22">
        <v>157500</v>
      </c>
      <c r="E17" s="53"/>
      <c r="F17" s="22"/>
      <c r="G17" s="22"/>
      <c r="H17" s="12">
        <f t="shared" si="0"/>
        <v>44543</v>
      </c>
    </row>
    <row r="18" spans="1:8" x14ac:dyDescent="0.3">
      <c r="B18" s="6" t="s">
        <v>24</v>
      </c>
      <c r="C18" s="22"/>
      <c r="D18" s="22"/>
      <c r="E18" s="53"/>
      <c r="F18" s="22"/>
      <c r="G18" s="22"/>
      <c r="H18" s="12">
        <f t="shared" si="0"/>
        <v>44543</v>
      </c>
    </row>
    <row r="19" spans="1:8" x14ac:dyDescent="0.3">
      <c r="B19" s="6" t="s">
        <v>21</v>
      </c>
      <c r="C19" s="22">
        <v>162000</v>
      </c>
      <c r="D19" s="22">
        <v>162000</v>
      </c>
      <c r="E19" s="53"/>
      <c r="F19" s="22"/>
      <c r="G19" s="22"/>
      <c r="H19" s="67">
        <f t="shared" si="0"/>
        <v>44543</v>
      </c>
    </row>
    <row r="20" spans="1:8" x14ac:dyDescent="0.3">
      <c r="B20" s="6" t="s">
        <v>65</v>
      </c>
      <c r="C20" s="22"/>
      <c r="D20" s="22"/>
      <c r="E20" s="53"/>
      <c r="F20" s="22"/>
      <c r="G20" s="22"/>
      <c r="H20" s="12">
        <f t="shared" si="0"/>
        <v>44543</v>
      </c>
    </row>
    <row r="21" spans="1:8" x14ac:dyDescent="0.3">
      <c r="B21" s="6" t="s">
        <v>18</v>
      </c>
      <c r="C21" s="22"/>
      <c r="D21" s="22">
        <v>162000</v>
      </c>
      <c r="E21" s="53"/>
      <c r="F21" s="22"/>
      <c r="G21" s="22"/>
      <c r="H21" s="12">
        <f t="shared" si="0"/>
        <v>44543</v>
      </c>
    </row>
    <row r="22" spans="1:8" x14ac:dyDescent="0.3">
      <c r="B22" s="6" t="s">
        <v>16</v>
      </c>
      <c r="C22" s="55">
        <v>103500</v>
      </c>
      <c r="D22" s="22">
        <v>315000</v>
      </c>
      <c r="E22" s="119"/>
      <c r="F22" s="22"/>
      <c r="G22" s="22"/>
      <c r="H22" s="12">
        <f t="shared" si="0"/>
        <v>44543</v>
      </c>
    </row>
    <row r="23" spans="1:8" x14ac:dyDescent="0.3">
      <c r="B23" s="50" t="s">
        <v>27</v>
      </c>
      <c r="C23" s="51">
        <f>SUM(December13_2021[KSI_AGO])</f>
        <v>2336000</v>
      </c>
      <c r="D23" s="51">
        <f>SUBTOTAL(109,December13_2021[KSI_PMS])</f>
        <v>1688000</v>
      </c>
      <c r="E23" s="51">
        <f>SUM(December13_2021[BUIPE_AGO])</f>
        <v>0</v>
      </c>
      <c r="F23" s="51">
        <f>SUM(December13_2021[BUIPE_PMS])</f>
        <v>0</v>
      </c>
      <c r="G23" s="51">
        <f>SUM(December13_2021[AKOSOMBO_AGO])</f>
        <v>536000</v>
      </c>
      <c r="H23" s="52"/>
    </row>
    <row r="24" spans="1:8" x14ac:dyDescent="0.3">
      <c r="B24" s="8"/>
      <c r="C24" s="24"/>
      <c r="D24" s="24"/>
      <c r="E24" s="24"/>
      <c r="F24" s="24"/>
      <c r="G24" s="24"/>
      <c r="H24"/>
    </row>
    <row r="25" spans="1:8" x14ac:dyDescent="0.3">
      <c r="B25" s="1" t="s">
        <v>6</v>
      </c>
      <c r="C25" s="1" t="s">
        <v>4</v>
      </c>
      <c r="D25" s="5">
        <f>SUMIF(December13_2021[[#Headers],[KSI_AGO]:[AKOSOMBO_AGO]],"*"&amp;C25,December13_2021[[#Totals],[KSI_AGO]:[AKOSOMBO_AGO]])</f>
        <v>2872000</v>
      </c>
      <c r="E25" s="1" t="s">
        <v>5</v>
      </c>
      <c r="F25" s="5">
        <f>SUMIF(December13_2021[[#Headers],[KSI_AGO]:[AKOSOMBO_AGO]],"*"&amp;E25,December13_2021[[#Totals],[KSI_AGO]:[AKOSOMBO_AGO]])</f>
        <v>1688000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6724556-EA77-42E5-B3E1-C8241AA4DECB}">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4D02D-D341-4551-A194-555E4A12B9ED}">
  <sheetPr codeName="Sheet491"/>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C25" sqref="C2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44544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44544</v>
      </c>
    </row>
    <row r="7" spans="2:10" x14ac:dyDescent="0.3">
      <c r="B7" s="6" t="s">
        <v>37</v>
      </c>
      <c r="C7" s="57"/>
      <c r="D7" s="53"/>
      <c r="E7" s="22"/>
      <c r="F7" s="22"/>
      <c r="G7" s="22"/>
      <c r="H7" s="67">
        <f t="shared" si="0"/>
        <v>44544</v>
      </c>
    </row>
    <row r="8" spans="2:10" x14ac:dyDescent="0.3">
      <c r="B8" s="6" t="s">
        <v>17</v>
      </c>
      <c r="C8" s="22">
        <v>378000</v>
      </c>
      <c r="D8" s="22"/>
      <c r="E8" s="22"/>
      <c r="F8" s="22"/>
      <c r="G8" s="22">
        <v>45000</v>
      </c>
      <c r="H8" s="12">
        <f t="shared" si="0"/>
        <v>44544</v>
      </c>
    </row>
    <row r="9" spans="2:10" ht="15.6" x14ac:dyDescent="0.3">
      <c r="B9" s="34" t="s">
        <v>0</v>
      </c>
      <c r="C9" s="57">
        <v>486000</v>
      </c>
      <c r="D9" s="60">
        <v>324000</v>
      </c>
      <c r="E9" s="53"/>
      <c r="F9" s="117">
        <v>540000</v>
      </c>
      <c r="G9" s="61"/>
      <c r="H9" s="12">
        <f t="shared" si="0"/>
        <v>44544</v>
      </c>
    </row>
    <row r="10" spans="2:10" ht="16.2" customHeight="1" x14ac:dyDescent="0.3">
      <c r="B10" s="6" t="s">
        <v>25</v>
      </c>
      <c r="C10" s="22">
        <v>270000</v>
      </c>
      <c r="D10" s="22">
        <v>157500</v>
      </c>
      <c r="E10" s="53"/>
      <c r="F10" s="22"/>
      <c r="G10" s="22">
        <v>135000</v>
      </c>
      <c r="H10" s="12">
        <f t="shared" si="0"/>
        <v>44544</v>
      </c>
    </row>
    <row r="11" spans="2:10" ht="13.5" customHeight="1" x14ac:dyDescent="0.3">
      <c r="B11" s="6" t="s">
        <v>15</v>
      </c>
      <c r="C11" s="22">
        <v>324000</v>
      </c>
      <c r="D11" s="22"/>
      <c r="E11" s="53"/>
      <c r="F11" s="22"/>
      <c r="G11" s="22"/>
      <c r="H11" s="12">
        <f t="shared" si="0"/>
        <v>44544</v>
      </c>
    </row>
    <row r="12" spans="2:10" x14ac:dyDescent="0.3">
      <c r="B12" s="6" t="s">
        <v>54</v>
      </c>
      <c r="C12" s="22"/>
      <c r="D12" s="22">
        <v>54000</v>
      </c>
      <c r="E12" s="53"/>
      <c r="F12" s="22"/>
      <c r="G12" s="22"/>
      <c r="H12" s="67">
        <f t="shared" si="0"/>
        <v>44544</v>
      </c>
    </row>
    <row r="13" spans="2:10" x14ac:dyDescent="0.3">
      <c r="B13" s="6" t="s">
        <v>26</v>
      </c>
      <c r="C13" s="22"/>
      <c r="D13" s="22">
        <v>157500</v>
      </c>
      <c r="E13" s="53"/>
      <c r="F13" s="22"/>
      <c r="G13" s="22"/>
      <c r="H13" s="12">
        <f t="shared" si="0"/>
        <v>44544</v>
      </c>
    </row>
    <row r="14" spans="2:10" x14ac:dyDescent="0.3">
      <c r="B14" s="6" t="s">
        <v>22</v>
      </c>
      <c r="C14" s="22"/>
      <c r="D14" s="23"/>
      <c r="E14" s="53"/>
      <c r="F14" s="23"/>
      <c r="G14" s="23"/>
      <c r="H14" s="12">
        <f t="shared" si="0"/>
        <v>44544</v>
      </c>
      <c r="J14" s="4"/>
    </row>
    <row r="15" spans="2:10" x14ac:dyDescent="0.3">
      <c r="B15" s="6" t="s">
        <v>61</v>
      </c>
      <c r="C15" s="22"/>
      <c r="D15" s="23"/>
      <c r="E15" s="53"/>
      <c r="F15" s="23"/>
      <c r="G15" s="23"/>
      <c r="H15" s="67">
        <f t="shared" si="0"/>
        <v>44544</v>
      </c>
      <c r="J15" s="4"/>
    </row>
    <row r="16" spans="2:10" x14ac:dyDescent="0.3">
      <c r="B16" s="6" t="s">
        <v>19</v>
      </c>
      <c r="C16" s="22">
        <v>162000</v>
      </c>
      <c r="D16" s="62"/>
      <c r="E16" s="53"/>
      <c r="F16" s="22"/>
      <c r="G16" s="22">
        <v>324000</v>
      </c>
      <c r="H16" s="12">
        <f t="shared" si="0"/>
        <v>44544</v>
      </c>
    </row>
    <row r="17" spans="1:8" x14ac:dyDescent="0.3">
      <c r="B17" s="6" t="s">
        <v>14</v>
      </c>
      <c r="C17" s="22">
        <v>216000</v>
      </c>
      <c r="D17" s="22">
        <v>162000</v>
      </c>
      <c r="E17" s="53"/>
      <c r="F17" s="22"/>
      <c r="G17" s="22"/>
      <c r="H17" s="12">
        <f t="shared" si="0"/>
        <v>44544</v>
      </c>
    </row>
    <row r="18" spans="1:8" x14ac:dyDescent="0.3">
      <c r="B18" s="6" t="s">
        <v>24</v>
      </c>
      <c r="C18" s="22"/>
      <c r="D18" s="22"/>
      <c r="E18" s="53"/>
      <c r="F18" s="22"/>
      <c r="G18" s="22"/>
      <c r="H18" s="12">
        <f t="shared" si="0"/>
        <v>44544</v>
      </c>
    </row>
    <row r="19" spans="1:8" x14ac:dyDescent="0.3">
      <c r="B19" s="6" t="s">
        <v>21</v>
      </c>
      <c r="C19" s="22">
        <v>162000</v>
      </c>
      <c r="D19" s="22">
        <v>108000</v>
      </c>
      <c r="E19" s="53"/>
      <c r="F19" s="22"/>
      <c r="G19" s="22"/>
      <c r="H19" s="67">
        <f t="shared" si="0"/>
        <v>44544</v>
      </c>
    </row>
    <row r="20" spans="1:8" x14ac:dyDescent="0.3">
      <c r="B20" s="6" t="s">
        <v>65</v>
      </c>
      <c r="C20" s="22"/>
      <c r="D20" s="22"/>
      <c r="E20" s="53"/>
      <c r="F20" s="22"/>
      <c r="G20" s="22"/>
      <c r="H20" s="12">
        <f t="shared" si="0"/>
        <v>44544</v>
      </c>
    </row>
    <row r="21" spans="1:8" x14ac:dyDescent="0.3">
      <c r="B21" s="6" t="s">
        <v>18</v>
      </c>
      <c r="C21" s="22"/>
      <c r="D21" s="22">
        <v>108000</v>
      </c>
      <c r="E21" s="53"/>
      <c r="F21" s="22"/>
      <c r="G21" s="22"/>
      <c r="H21" s="12">
        <f t="shared" si="0"/>
        <v>44544</v>
      </c>
    </row>
    <row r="22" spans="1:8" x14ac:dyDescent="0.3">
      <c r="B22" s="6" t="s">
        <v>16</v>
      </c>
      <c r="C22" s="55">
        <v>270000</v>
      </c>
      <c r="D22" s="22">
        <v>211500</v>
      </c>
      <c r="E22" s="119"/>
      <c r="F22" s="22"/>
      <c r="G22" s="22"/>
      <c r="H22" s="12">
        <f t="shared" si="0"/>
        <v>44544</v>
      </c>
    </row>
    <row r="23" spans="1:8" x14ac:dyDescent="0.3">
      <c r="B23" s="50" t="s">
        <v>27</v>
      </c>
      <c r="C23" s="51">
        <f>SUM(December14_2021[KSI_AGO])</f>
        <v>2268000</v>
      </c>
      <c r="D23" s="51">
        <f>SUBTOTAL(109,December14_2021[KSI_PMS])</f>
        <v>1282500</v>
      </c>
      <c r="E23" s="51">
        <f>SUM(December14_2021[BUIPE_AGO])</f>
        <v>0</v>
      </c>
      <c r="F23" s="51">
        <f>SUM(December14_2021[BUIPE_PMS])</f>
        <v>540000</v>
      </c>
      <c r="G23" s="51">
        <f>SUM(December14_2021[AKOSOMBO_AGO])</f>
        <v>504000</v>
      </c>
      <c r="H23" s="52"/>
    </row>
    <row r="24" spans="1:8" x14ac:dyDescent="0.3">
      <c r="B24" s="8"/>
      <c r="C24" s="24"/>
      <c r="D24" s="24"/>
      <c r="E24" s="24"/>
      <c r="F24" s="24"/>
      <c r="G24" s="24"/>
      <c r="H24"/>
    </row>
    <row r="25" spans="1:8" x14ac:dyDescent="0.3">
      <c r="B25" s="1" t="s">
        <v>6</v>
      </c>
      <c r="C25" s="1" t="s">
        <v>4</v>
      </c>
      <c r="D25" s="5">
        <f>SUMIF(December14_2021[[#Headers],[KSI_AGO]:[AKOSOMBO_AGO]],"*"&amp;C25,December14_2021[[#Totals],[KSI_AGO]:[AKOSOMBO_AGO]])</f>
        <v>2772000</v>
      </c>
      <c r="E25" s="1" t="s">
        <v>5</v>
      </c>
      <c r="F25" s="5">
        <f>SUMIF(December14_2021[[#Headers],[KSI_AGO]:[AKOSOMBO_AGO]],"*"&amp;E25,December14_2021[[#Totals],[KSI_AGO]:[AKOSOMBO_AGO]])</f>
        <v>1822500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5C40D37E-E2B4-4DCF-BE04-388A805DBB97}">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8731B-E5AE-4206-9FF4-D989A448509C}">
  <sheetPr codeName="Sheet492"/>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44545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44545</v>
      </c>
    </row>
    <row r="7" spans="2:10" x14ac:dyDescent="0.3">
      <c r="B7" s="6" t="s">
        <v>37</v>
      </c>
      <c r="C7" s="57"/>
      <c r="D7" s="53"/>
      <c r="E7" s="22"/>
      <c r="F7" s="22"/>
      <c r="G7" s="22"/>
      <c r="H7" s="67">
        <f t="shared" si="0"/>
        <v>44545</v>
      </c>
    </row>
    <row r="8" spans="2:10" x14ac:dyDescent="0.3">
      <c r="B8" s="6" t="s">
        <v>17</v>
      </c>
      <c r="C8" s="22"/>
      <c r="D8" s="22">
        <v>157500</v>
      </c>
      <c r="E8" s="22"/>
      <c r="F8" s="22">
        <v>54000</v>
      </c>
      <c r="G8" s="22">
        <v>216000</v>
      </c>
      <c r="H8" s="12">
        <f t="shared" si="0"/>
        <v>44545</v>
      </c>
    </row>
    <row r="9" spans="2:10" ht="15.6" x14ac:dyDescent="0.3">
      <c r="B9" s="34" t="s">
        <v>0</v>
      </c>
      <c r="C9" s="57">
        <v>324000</v>
      </c>
      <c r="D9" s="60">
        <v>262000</v>
      </c>
      <c r="E9" s="53"/>
      <c r="F9" s="117">
        <v>540000</v>
      </c>
      <c r="G9" s="61"/>
      <c r="H9" s="12">
        <f t="shared" si="0"/>
        <v>44545</v>
      </c>
    </row>
    <row r="10" spans="2:10" ht="16.2" customHeight="1" x14ac:dyDescent="0.3">
      <c r="B10" s="6" t="s">
        <v>25</v>
      </c>
      <c r="C10" s="22">
        <v>203000</v>
      </c>
      <c r="D10" s="22">
        <v>54000</v>
      </c>
      <c r="E10" s="53"/>
      <c r="F10" s="22"/>
      <c r="G10" s="22"/>
      <c r="H10" s="12">
        <f t="shared" si="0"/>
        <v>44545</v>
      </c>
    </row>
    <row r="11" spans="2:10" ht="13.5" customHeight="1" x14ac:dyDescent="0.3">
      <c r="B11" s="6" t="s">
        <v>15</v>
      </c>
      <c r="C11" s="22">
        <v>316000</v>
      </c>
      <c r="D11" s="22">
        <v>216000</v>
      </c>
      <c r="E11" s="53">
        <v>100000</v>
      </c>
      <c r="F11" s="22">
        <v>54000</v>
      </c>
      <c r="G11" s="22"/>
      <c r="H11" s="12">
        <f t="shared" si="0"/>
        <v>44545</v>
      </c>
    </row>
    <row r="12" spans="2:10" x14ac:dyDescent="0.3">
      <c r="B12" s="6" t="s">
        <v>54</v>
      </c>
      <c r="C12" s="22"/>
      <c r="D12" s="22">
        <v>162000</v>
      </c>
      <c r="E12" s="53"/>
      <c r="F12" s="22"/>
      <c r="G12" s="22"/>
      <c r="H12" s="67">
        <f t="shared" si="0"/>
        <v>44545</v>
      </c>
    </row>
    <row r="13" spans="2:10" x14ac:dyDescent="0.3">
      <c r="B13" s="6" t="s">
        <v>26</v>
      </c>
      <c r="C13" s="22"/>
      <c r="D13" s="22">
        <v>54000</v>
      </c>
      <c r="E13" s="53"/>
      <c r="F13" s="22">
        <v>108000</v>
      </c>
      <c r="G13" s="22"/>
      <c r="H13" s="12">
        <f t="shared" si="0"/>
        <v>44545</v>
      </c>
    </row>
    <row r="14" spans="2:10" x14ac:dyDescent="0.3">
      <c r="B14" s="6" t="s">
        <v>22</v>
      </c>
      <c r="C14" s="22"/>
      <c r="D14" s="23"/>
      <c r="E14" s="53"/>
      <c r="F14" s="23"/>
      <c r="G14" s="23"/>
      <c r="H14" s="12">
        <f t="shared" si="0"/>
        <v>44545</v>
      </c>
      <c r="J14" s="4"/>
    </row>
    <row r="15" spans="2:10" x14ac:dyDescent="0.3">
      <c r="B15" s="6" t="s">
        <v>61</v>
      </c>
      <c r="C15" s="22"/>
      <c r="D15" s="23"/>
      <c r="E15" s="53"/>
      <c r="F15" s="23"/>
      <c r="G15" s="23"/>
      <c r="H15" s="67">
        <f t="shared" si="0"/>
        <v>44545</v>
      </c>
      <c r="J15" s="4"/>
    </row>
    <row r="16" spans="2:10" x14ac:dyDescent="0.3">
      <c r="B16" s="6" t="s">
        <v>19</v>
      </c>
      <c r="C16" s="22">
        <v>261000</v>
      </c>
      <c r="D16" s="62"/>
      <c r="E16" s="53"/>
      <c r="F16" s="22"/>
      <c r="G16" s="22">
        <v>324000</v>
      </c>
      <c r="H16" s="12">
        <f t="shared" si="0"/>
        <v>44545</v>
      </c>
    </row>
    <row r="17" spans="1:8" x14ac:dyDescent="0.3">
      <c r="B17" s="6" t="s">
        <v>14</v>
      </c>
      <c r="C17" s="22">
        <v>378000</v>
      </c>
      <c r="D17" s="22">
        <v>49500</v>
      </c>
      <c r="E17" s="53"/>
      <c r="F17" s="22"/>
      <c r="G17" s="22"/>
      <c r="H17" s="12">
        <f t="shared" si="0"/>
        <v>44545</v>
      </c>
    </row>
    <row r="18" spans="1:8" x14ac:dyDescent="0.3">
      <c r="B18" s="6" t="s">
        <v>24</v>
      </c>
      <c r="C18" s="22"/>
      <c r="D18" s="22"/>
      <c r="E18" s="53"/>
      <c r="F18" s="22"/>
      <c r="G18" s="22"/>
      <c r="H18" s="12">
        <f t="shared" si="0"/>
        <v>44545</v>
      </c>
    </row>
    <row r="19" spans="1:8" x14ac:dyDescent="0.3">
      <c r="B19" s="6" t="s">
        <v>21</v>
      </c>
      <c r="C19" s="22">
        <v>216000</v>
      </c>
      <c r="D19" s="22"/>
      <c r="E19" s="53"/>
      <c r="F19" s="22"/>
      <c r="G19" s="22"/>
      <c r="H19" s="67">
        <f t="shared" si="0"/>
        <v>44545</v>
      </c>
    </row>
    <row r="20" spans="1:8" x14ac:dyDescent="0.3">
      <c r="B20" s="6" t="s">
        <v>65</v>
      </c>
      <c r="C20" s="22"/>
      <c r="D20" s="22"/>
      <c r="E20" s="53"/>
      <c r="F20" s="22"/>
      <c r="G20" s="22"/>
      <c r="H20" s="12">
        <f t="shared" si="0"/>
        <v>44545</v>
      </c>
    </row>
    <row r="21" spans="1:8" x14ac:dyDescent="0.3">
      <c r="B21" s="6" t="s">
        <v>18</v>
      </c>
      <c r="C21" s="22">
        <v>50000</v>
      </c>
      <c r="D21" s="22">
        <v>108000</v>
      </c>
      <c r="E21" s="53"/>
      <c r="F21" s="22"/>
      <c r="G21" s="22"/>
      <c r="H21" s="12">
        <f t="shared" si="0"/>
        <v>44545</v>
      </c>
    </row>
    <row r="22" spans="1:8" x14ac:dyDescent="0.3">
      <c r="B22" s="6" t="s">
        <v>16</v>
      </c>
      <c r="C22" s="55">
        <v>207000</v>
      </c>
      <c r="D22" s="22">
        <v>162000</v>
      </c>
      <c r="E22" s="119"/>
      <c r="F22" s="22">
        <v>54000</v>
      </c>
      <c r="G22" s="22"/>
      <c r="H22" s="12">
        <f t="shared" si="0"/>
        <v>44545</v>
      </c>
    </row>
    <row r="23" spans="1:8" x14ac:dyDescent="0.3">
      <c r="B23" s="50" t="s">
        <v>27</v>
      </c>
      <c r="C23" s="51">
        <f>SUM(December15_2021[KSI_AGO])</f>
        <v>1955000</v>
      </c>
      <c r="D23" s="51">
        <f>SUBTOTAL(109,December15_2021[KSI_PMS])</f>
        <v>1225000</v>
      </c>
      <c r="E23" s="51">
        <f>SUM(December15_2021[BUIPE_AGO])</f>
        <v>100000</v>
      </c>
      <c r="F23" s="51">
        <f>SUM(December15_2021[BUIPE_PMS])</f>
        <v>810000</v>
      </c>
      <c r="G23" s="51">
        <f>SUM(December15_2021[AKOSOMBO_AGO])</f>
        <v>540000</v>
      </c>
      <c r="H23" s="52"/>
    </row>
    <row r="24" spans="1:8" x14ac:dyDescent="0.3">
      <c r="B24" s="8"/>
      <c r="C24" s="24"/>
      <c r="D24" s="24"/>
      <c r="E24" s="24"/>
      <c r="F24" s="24"/>
      <c r="G24" s="24"/>
      <c r="H24"/>
    </row>
    <row r="25" spans="1:8" x14ac:dyDescent="0.3">
      <c r="B25" s="1" t="s">
        <v>6</v>
      </c>
      <c r="C25" s="1" t="s">
        <v>4</v>
      </c>
      <c r="D25" s="5">
        <f>SUMIF(December15_2021[[#Headers],[KSI_AGO]:[AKOSOMBO_AGO]],"*"&amp;C25,December15_2021[[#Totals],[KSI_AGO]:[AKOSOMBO_AGO]])</f>
        <v>2595000</v>
      </c>
      <c r="E25" s="1" t="s">
        <v>5</v>
      </c>
      <c r="F25" s="5">
        <f>SUMIF(December15_2021[[#Headers],[KSI_AGO]:[AKOSOMBO_AGO]],"*"&amp;E25,December15_2021[[#Totals],[KSI_AGO]:[AKOSOMBO_AGO]])</f>
        <v>2035000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3BD07204-4F1F-40E0-9B65-37F3D00BC38F}">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3140B-4E8B-4E36-B80B-30C55FED7736}">
  <sheetPr codeName="Sheet493"/>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H11" sqref="H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44546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44546</v>
      </c>
    </row>
    <row r="7" spans="2:10" x14ac:dyDescent="0.3">
      <c r="B7" s="6" t="s">
        <v>37</v>
      </c>
      <c r="C7" s="57"/>
      <c r="D7" s="53"/>
      <c r="E7" s="22"/>
      <c r="F7" s="22"/>
      <c r="G7" s="22"/>
      <c r="H7" s="67">
        <f t="shared" si="0"/>
        <v>44546</v>
      </c>
    </row>
    <row r="8" spans="2:10" x14ac:dyDescent="0.3">
      <c r="B8" s="6" t="s">
        <v>17</v>
      </c>
      <c r="C8" s="22">
        <v>216000</v>
      </c>
      <c r="D8" s="22">
        <v>216000</v>
      </c>
      <c r="E8" s="22"/>
      <c r="F8" s="22">
        <v>108000</v>
      </c>
      <c r="G8" s="22">
        <v>320000</v>
      </c>
      <c r="H8" s="12">
        <f t="shared" si="0"/>
        <v>44546</v>
      </c>
    </row>
    <row r="9" spans="2:10" ht="15.6" x14ac:dyDescent="0.3">
      <c r="B9" s="34" t="s">
        <v>0</v>
      </c>
      <c r="C9" s="57">
        <v>432000</v>
      </c>
      <c r="D9" s="60">
        <v>108000</v>
      </c>
      <c r="E9" s="53"/>
      <c r="F9" s="117">
        <v>535500</v>
      </c>
      <c r="G9" s="61"/>
      <c r="H9" s="12">
        <f t="shared" si="0"/>
        <v>44546</v>
      </c>
    </row>
    <row r="10" spans="2:10" ht="16.2" customHeight="1" x14ac:dyDescent="0.3">
      <c r="B10" s="6" t="s">
        <v>25</v>
      </c>
      <c r="C10" s="22">
        <v>247500</v>
      </c>
      <c r="D10" s="22"/>
      <c r="E10" s="53"/>
      <c r="F10" s="22"/>
      <c r="G10" s="22"/>
      <c r="H10" s="12">
        <f t="shared" si="0"/>
        <v>44546</v>
      </c>
    </row>
    <row r="11" spans="2:10" ht="13.5" customHeight="1" x14ac:dyDescent="0.3">
      <c r="B11" s="6" t="s">
        <v>15</v>
      </c>
      <c r="C11" s="22">
        <v>162000</v>
      </c>
      <c r="D11" s="22">
        <v>216000</v>
      </c>
      <c r="E11" s="53"/>
      <c r="F11" s="22">
        <v>54000</v>
      </c>
      <c r="G11" s="22"/>
      <c r="H11" s="12">
        <f t="shared" si="0"/>
        <v>44546</v>
      </c>
    </row>
    <row r="12" spans="2:10" x14ac:dyDescent="0.3">
      <c r="B12" s="6" t="s">
        <v>54</v>
      </c>
      <c r="C12" s="22"/>
      <c r="D12" s="22"/>
      <c r="E12" s="53"/>
      <c r="F12" s="22"/>
      <c r="G12" s="22"/>
      <c r="H12" s="67">
        <f t="shared" si="0"/>
        <v>44546</v>
      </c>
    </row>
    <row r="13" spans="2:10" x14ac:dyDescent="0.3">
      <c r="B13" s="6" t="s">
        <v>26</v>
      </c>
      <c r="C13" s="22"/>
      <c r="D13" s="22">
        <v>108000</v>
      </c>
      <c r="E13" s="53"/>
      <c r="F13" s="22">
        <v>54000</v>
      </c>
      <c r="G13" s="22"/>
      <c r="H13" s="12">
        <f t="shared" si="0"/>
        <v>44546</v>
      </c>
    </row>
    <row r="14" spans="2:10" x14ac:dyDescent="0.3">
      <c r="B14" s="6" t="s">
        <v>22</v>
      </c>
      <c r="C14" s="22"/>
      <c r="D14" s="23"/>
      <c r="E14" s="53"/>
      <c r="F14" s="23"/>
      <c r="G14" s="23"/>
      <c r="H14" s="12">
        <f t="shared" si="0"/>
        <v>44546</v>
      </c>
      <c r="J14" s="4"/>
    </row>
    <row r="15" spans="2:10" x14ac:dyDescent="0.3">
      <c r="B15" s="6" t="s">
        <v>61</v>
      </c>
      <c r="C15" s="22"/>
      <c r="D15" s="23"/>
      <c r="E15" s="53"/>
      <c r="F15" s="23"/>
      <c r="G15" s="23"/>
      <c r="H15" s="67">
        <f t="shared" si="0"/>
        <v>44546</v>
      </c>
      <c r="J15" s="4"/>
    </row>
    <row r="16" spans="2:10" x14ac:dyDescent="0.3">
      <c r="B16" s="6" t="s">
        <v>19</v>
      </c>
      <c r="C16" s="22">
        <v>269500</v>
      </c>
      <c r="D16" s="62"/>
      <c r="E16" s="53"/>
      <c r="F16" s="22"/>
      <c r="G16" s="22">
        <v>216000</v>
      </c>
      <c r="H16" s="12">
        <f t="shared" si="0"/>
        <v>44546</v>
      </c>
    </row>
    <row r="17" spans="1:8" x14ac:dyDescent="0.3">
      <c r="B17" s="6" t="s">
        <v>14</v>
      </c>
      <c r="C17" s="22">
        <v>378000</v>
      </c>
      <c r="D17" s="22">
        <v>361000</v>
      </c>
      <c r="E17" s="53"/>
      <c r="F17" s="22"/>
      <c r="G17" s="22"/>
      <c r="H17" s="12">
        <f t="shared" si="0"/>
        <v>44546</v>
      </c>
    </row>
    <row r="18" spans="1:8" x14ac:dyDescent="0.3">
      <c r="B18" s="6" t="s">
        <v>24</v>
      </c>
      <c r="C18" s="22"/>
      <c r="D18" s="22"/>
      <c r="E18" s="53"/>
      <c r="F18" s="22"/>
      <c r="G18" s="22"/>
      <c r="H18" s="12">
        <f t="shared" si="0"/>
        <v>44546</v>
      </c>
    </row>
    <row r="19" spans="1:8" x14ac:dyDescent="0.3">
      <c r="B19" s="6" t="s">
        <v>21</v>
      </c>
      <c r="C19" s="22">
        <v>207000</v>
      </c>
      <c r="D19" s="22">
        <v>216000</v>
      </c>
      <c r="E19" s="53"/>
      <c r="F19" s="22"/>
      <c r="G19" s="22"/>
      <c r="H19" s="67">
        <f t="shared" si="0"/>
        <v>44546</v>
      </c>
    </row>
    <row r="20" spans="1:8" x14ac:dyDescent="0.3">
      <c r="B20" s="6" t="s">
        <v>65</v>
      </c>
      <c r="C20" s="22"/>
      <c r="D20" s="22"/>
      <c r="E20" s="53"/>
      <c r="F20" s="22"/>
      <c r="G20" s="22"/>
      <c r="H20" s="12">
        <f t="shared" si="0"/>
        <v>44546</v>
      </c>
    </row>
    <row r="21" spans="1:8" x14ac:dyDescent="0.3">
      <c r="B21" s="6" t="s">
        <v>18</v>
      </c>
      <c r="C21" s="22"/>
      <c r="D21" s="22"/>
      <c r="E21" s="53"/>
      <c r="F21" s="22"/>
      <c r="G21" s="22"/>
      <c r="H21" s="12">
        <f t="shared" si="0"/>
        <v>44546</v>
      </c>
    </row>
    <row r="22" spans="1:8" x14ac:dyDescent="0.3">
      <c r="B22" s="6" t="s">
        <v>16</v>
      </c>
      <c r="C22" s="55">
        <v>54000</v>
      </c>
      <c r="D22" s="22">
        <v>366000</v>
      </c>
      <c r="E22" s="119"/>
      <c r="F22" s="22">
        <v>54000</v>
      </c>
      <c r="G22" s="22"/>
      <c r="H22" s="12">
        <f t="shared" si="0"/>
        <v>44546</v>
      </c>
    </row>
    <row r="23" spans="1:8" x14ac:dyDescent="0.3">
      <c r="B23" s="50" t="s">
        <v>27</v>
      </c>
      <c r="C23" s="51">
        <f>SUM(December16_2021[KSI_AGO])</f>
        <v>1966000</v>
      </c>
      <c r="D23" s="51">
        <f>SUBTOTAL(109,December16_2021[KSI_PMS])</f>
        <v>1591000</v>
      </c>
      <c r="E23" s="51">
        <f>SUM(December16_2021[BUIPE_AGO])</f>
        <v>0</v>
      </c>
      <c r="F23" s="51">
        <f>SUM(December16_2021[BUIPE_PMS])</f>
        <v>805500</v>
      </c>
      <c r="G23" s="51">
        <f>SUM(December16_2021[AKOSOMBO_AGO])</f>
        <v>536000</v>
      </c>
      <c r="H23" s="52"/>
    </row>
    <row r="24" spans="1:8" x14ac:dyDescent="0.3">
      <c r="B24" s="8"/>
      <c r="C24" s="24"/>
      <c r="D24" s="24"/>
      <c r="E24" s="24"/>
      <c r="F24" s="24"/>
      <c r="G24" s="24"/>
      <c r="H24"/>
    </row>
    <row r="25" spans="1:8" x14ac:dyDescent="0.3">
      <c r="B25" s="1" t="s">
        <v>6</v>
      </c>
      <c r="C25" s="1" t="s">
        <v>4</v>
      </c>
      <c r="D25" s="5">
        <f>SUMIF(December16_2021[[#Headers],[KSI_AGO]:[AKOSOMBO_AGO]],"*"&amp;C25,December16_2021[[#Totals],[KSI_AGO]:[AKOSOMBO_AGO]])</f>
        <v>2502000</v>
      </c>
      <c r="E25" s="1" t="s">
        <v>5</v>
      </c>
      <c r="F25" s="5">
        <f>SUMIF(December16_2021[[#Headers],[KSI_AGO]:[AKOSOMBO_AGO]],"*"&amp;E25,December16_2021[[#Totals],[KSI_AGO]:[AKOSOMBO_AGO]])</f>
        <v>2396500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4F359D9E-81B4-4AF9-B248-2E3983F78AB7}">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8F14C-D20E-4D49-BDF1-71CC1C01C372}">
  <sheetPr codeName="Sheet494"/>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19" sqref="G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44547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44547</v>
      </c>
    </row>
    <row r="7" spans="2:10" x14ac:dyDescent="0.3">
      <c r="B7" s="6" t="s">
        <v>37</v>
      </c>
      <c r="C7" s="57"/>
      <c r="D7" s="53"/>
      <c r="E7" s="22"/>
      <c r="F7" s="22"/>
      <c r="G7" s="22"/>
      <c r="H7" s="67">
        <f t="shared" si="0"/>
        <v>44547</v>
      </c>
    </row>
    <row r="8" spans="2:10" x14ac:dyDescent="0.3">
      <c r="B8" s="6" t="s">
        <v>17</v>
      </c>
      <c r="C8" s="22">
        <v>315000</v>
      </c>
      <c r="D8" s="22"/>
      <c r="E8" s="22"/>
      <c r="F8" s="22"/>
      <c r="G8" s="22">
        <v>261000</v>
      </c>
      <c r="H8" s="12">
        <f t="shared" si="0"/>
        <v>44547</v>
      </c>
    </row>
    <row r="9" spans="2:10" ht="15.6" x14ac:dyDescent="0.3">
      <c r="B9" s="34" t="s">
        <v>0</v>
      </c>
      <c r="C9" s="57">
        <v>206000</v>
      </c>
      <c r="D9" s="60">
        <v>162000</v>
      </c>
      <c r="E9" s="53"/>
      <c r="F9" s="117"/>
      <c r="G9" s="61"/>
      <c r="H9" s="12">
        <f t="shared" si="0"/>
        <v>44547</v>
      </c>
    </row>
    <row r="10" spans="2:10" ht="16.2" customHeight="1" x14ac:dyDescent="0.3">
      <c r="B10" s="6" t="s">
        <v>25</v>
      </c>
      <c r="C10" s="22">
        <v>540000</v>
      </c>
      <c r="D10" s="22">
        <v>216000</v>
      </c>
      <c r="E10" s="53"/>
      <c r="F10" s="22"/>
      <c r="G10" s="22">
        <v>99500</v>
      </c>
      <c r="H10" s="12">
        <f t="shared" si="0"/>
        <v>44547</v>
      </c>
    </row>
    <row r="11" spans="2:10" ht="13.5" customHeight="1" x14ac:dyDescent="0.3">
      <c r="B11" s="6" t="s">
        <v>15</v>
      </c>
      <c r="C11" s="22">
        <v>212000</v>
      </c>
      <c r="D11" s="22">
        <v>54000</v>
      </c>
      <c r="E11" s="53"/>
      <c r="F11" s="22"/>
      <c r="G11" s="22"/>
      <c r="H11" s="12">
        <f t="shared" si="0"/>
        <v>44547</v>
      </c>
    </row>
    <row r="12" spans="2:10" x14ac:dyDescent="0.3">
      <c r="B12" s="6" t="s">
        <v>54</v>
      </c>
      <c r="C12" s="22"/>
      <c r="D12" s="22">
        <v>108000</v>
      </c>
      <c r="E12" s="53"/>
      <c r="F12" s="22"/>
      <c r="G12" s="22"/>
      <c r="H12" s="67">
        <f t="shared" si="0"/>
        <v>44547</v>
      </c>
    </row>
    <row r="13" spans="2:10" x14ac:dyDescent="0.3">
      <c r="B13" s="6" t="s">
        <v>26</v>
      </c>
      <c r="C13" s="22"/>
      <c r="D13" s="22">
        <v>108000</v>
      </c>
      <c r="E13" s="53"/>
      <c r="F13" s="22"/>
      <c r="G13" s="22"/>
      <c r="H13" s="12">
        <f t="shared" si="0"/>
        <v>44547</v>
      </c>
    </row>
    <row r="14" spans="2:10" x14ac:dyDescent="0.3">
      <c r="B14" s="6" t="s">
        <v>22</v>
      </c>
      <c r="C14" s="22"/>
      <c r="D14" s="23"/>
      <c r="E14" s="53"/>
      <c r="F14" s="23"/>
      <c r="G14" s="23"/>
      <c r="H14" s="12">
        <f t="shared" si="0"/>
        <v>44547</v>
      </c>
      <c r="J14" s="4"/>
    </row>
    <row r="15" spans="2:10" x14ac:dyDescent="0.3">
      <c r="B15" s="6" t="s">
        <v>61</v>
      </c>
      <c r="C15" s="22"/>
      <c r="D15" s="23"/>
      <c r="E15" s="53"/>
      <c r="F15" s="23"/>
      <c r="G15" s="23"/>
      <c r="H15" s="67">
        <f t="shared" si="0"/>
        <v>44547</v>
      </c>
      <c r="J15" s="4"/>
    </row>
    <row r="16" spans="2:10" x14ac:dyDescent="0.3">
      <c r="B16" s="6" t="s">
        <v>19</v>
      </c>
      <c r="C16" s="22">
        <v>54000</v>
      </c>
      <c r="D16" s="62">
        <v>1080000</v>
      </c>
      <c r="E16" s="53"/>
      <c r="F16" s="22"/>
      <c r="G16" s="22">
        <v>324000</v>
      </c>
      <c r="H16" s="12">
        <f t="shared" si="0"/>
        <v>44547</v>
      </c>
    </row>
    <row r="17" spans="1:8" x14ac:dyDescent="0.3">
      <c r="B17" s="6" t="s">
        <v>14</v>
      </c>
      <c r="C17" s="22">
        <v>378000</v>
      </c>
      <c r="D17" s="22">
        <v>158000</v>
      </c>
      <c r="E17" s="53"/>
      <c r="F17" s="22"/>
      <c r="G17" s="22"/>
      <c r="H17" s="12">
        <f t="shared" si="0"/>
        <v>44547</v>
      </c>
    </row>
    <row r="18" spans="1:8" x14ac:dyDescent="0.3">
      <c r="B18" s="6" t="s">
        <v>24</v>
      </c>
      <c r="C18" s="22"/>
      <c r="D18" s="22"/>
      <c r="E18" s="53"/>
      <c r="F18" s="22"/>
      <c r="G18" s="22"/>
      <c r="H18" s="12">
        <f t="shared" si="0"/>
        <v>44547</v>
      </c>
    </row>
    <row r="19" spans="1:8" x14ac:dyDescent="0.3">
      <c r="B19" s="6" t="s">
        <v>21</v>
      </c>
      <c r="C19" s="22">
        <v>324000</v>
      </c>
      <c r="D19" s="22">
        <v>207000</v>
      </c>
      <c r="E19" s="53"/>
      <c r="F19" s="22"/>
      <c r="G19" s="22"/>
      <c r="H19" s="67">
        <f t="shared" si="0"/>
        <v>44547</v>
      </c>
    </row>
    <row r="20" spans="1:8" x14ac:dyDescent="0.3">
      <c r="B20" s="6" t="s">
        <v>65</v>
      </c>
      <c r="C20" s="22"/>
      <c r="D20" s="22"/>
      <c r="E20" s="53"/>
      <c r="F20" s="22"/>
      <c r="G20" s="22"/>
      <c r="H20" s="12">
        <f t="shared" si="0"/>
        <v>44547</v>
      </c>
    </row>
    <row r="21" spans="1:8" x14ac:dyDescent="0.3">
      <c r="B21" s="6" t="s">
        <v>18</v>
      </c>
      <c r="C21" s="22"/>
      <c r="D21" s="22"/>
      <c r="E21" s="53"/>
      <c r="F21" s="22"/>
      <c r="G21" s="22"/>
      <c r="H21" s="12">
        <f t="shared" si="0"/>
        <v>44547</v>
      </c>
    </row>
    <row r="22" spans="1:8" x14ac:dyDescent="0.3">
      <c r="B22" s="6" t="s">
        <v>16</v>
      </c>
      <c r="C22" s="55">
        <v>54000</v>
      </c>
      <c r="D22" s="22">
        <v>207000</v>
      </c>
      <c r="E22" s="119"/>
      <c r="F22" s="22"/>
      <c r="G22" s="22"/>
      <c r="H22" s="12">
        <f t="shared" si="0"/>
        <v>44547</v>
      </c>
    </row>
    <row r="23" spans="1:8" x14ac:dyDescent="0.3">
      <c r="B23" s="50" t="s">
        <v>27</v>
      </c>
      <c r="C23" s="51">
        <f>SUM(December17_2021[KSI_AGO])</f>
        <v>2083000</v>
      </c>
      <c r="D23" s="51">
        <f>SUBTOTAL(109,December17_2021[KSI_PMS])</f>
        <v>2300000</v>
      </c>
      <c r="E23" s="51">
        <f>SUM(December17_2021[BUIPE_AGO])</f>
        <v>0</v>
      </c>
      <c r="F23" s="51">
        <f>SUM(December17_2021[BUIPE_PMS])</f>
        <v>0</v>
      </c>
      <c r="G23" s="51">
        <f>SUM(December17_2021[AKOSOMBO_AGO])</f>
        <v>684500</v>
      </c>
      <c r="H23" s="52"/>
    </row>
    <row r="24" spans="1:8" x14ac:dyDescent="0.3">
      <c r="B24" s="8"/>
      <c r="C24" s="24"/>
      <c r="D24" s="24"/>
      <c r="E24" s="24"/>
      <c r="F24" s="24"/>
      <c r="G24" s="24"/>
      <c r="H24"/>
    </row>
    <row r="25" spans="1:8" x14ac:dyDescent="0.3">
      <c r="B25" s="1" t="s">
        <v>6</v>
      </c>
      <c r="C25" s="1" t="s">
        <v>4</v>
      </c>
      <c r="D25" s="5">
        <f>SUMIF(December17_2021[[#Headers],[KSI_AGO]:[AKOSOMBO_AGO]],"*"&amp;C25,December17_2021[[#Totals],[KSI_AGO]:[AKOSOMBO_AGO]])</f>
        <v>2767500</v>
      </c>
      <c r="E25" s="1" t="s">
        <v>5</v>
      </c>
      <c r="F25" s="5">
        <f>SUMIF(December17_2021[[#Headers],[KSI_AGO]:[AKOSOMBO_AGO]],"*"&amp;E25,December17_2021[[#Totals],[KSI_AGO]:[AKOSOMBO_AGO]])</f>
        <v>2300000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4AAB6889-0742-4F00-A8A9-2DE0149FFF76}">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B917-A9B1-46D1-A0E0-571C1EAC49E1}">
  <sheetPr codeName="Sheet495"/>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20" sqref="G2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44550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44550</v>
      </c>
    </row>
    <row r="7" spans="2:10" x14ac:dyDescent="0.3">
      <c r="B7" s="6" t="s">
        <v>37</v>
      </c>
      <c r="C7" s="57"/>
      <c r="D7" s="53"/>
      <c r="E7" s="22"/>
      <c r="F7" s="22"/>
      <c r="G7" s="22"/>
      <c r="H7" s="67">
        <f t="shared" si="0"/>
        <v>44550</v>
      </c>
    </row>
    <row r="8" spans="2:10" x14ac:dyDescent="0.3">
      <c r="B8" s="6" t="s">
        <v>17</v>
      </c>
      <c r="C8" s="22">
        <v>158000</v>
      </c>
      <c r="D8" s="22">
        <v>157500</v>
      </c>
      <c r="E8" s="22"/>
      <c r="F8" s="22">
        <v>432000</v>
      </c>
      <c r="G8" s="22"/>
      <c r="H8" s="12">
        <f t="shared" si="0"/>
        <v>44550</v>
      </c>
    </row>
    <row r="9" spans="2:10" ht="15.6" x14ac:dyDescent="0.3">
      <c r="B9" s="34" t="s">
        <v>0</v>
      </c>
      <c r="C9" s="57">
        <v>45000</v>
      </c>
      <c r="D9" s="60">
        <v>54000</v>
      </c>
      <c r="E9" s="53"/>
      <c r="F9" s="117">
        <v>432000</v>
      </c>
      <c r="G9" s="61"/>
      <c r="H9" s="12">
        <f t="shared" si="0"/>
        <v>44550</v>
      </c>
    </row>
    <row r="10" spans="2:10" ht="16.2" customHeight="1" x14ac:dyDescent="0.3">
      <c r="B10" s="6" t="s">
        <v>25</v>
      </c>
      <c r="C10" s="22">
        <v>589500</v>
      </c>
      <c r="D10" s="22">
        <v>261000</v>
      </c>
      <c r="E10" s="53"/>
      <c r="F10" s="22">
        <v>45000</v>
      </c>
      <c r="G10" s="22">
        <v>100000</v>
      </c>
      <c r="H10" s="12">
        <f t="shared" si="0"/>
        <v>44550</v>
      </c>
    </row>
    <row r="11" spans="2:10" ht="13.5" customHeight="1" x14ac:dyDescent="0.3">
      <c r="B11" s="6" t="s">
        <v>15</v>
      </c>
      <c r="C11" s="22">
        <v>378000</v>
      </c>
      <c r="D11" s="22">
        <v>108000</v>
      </c>
      <c r="E11" s="53"/>
      <c r="F11" s="22">
        <v>50000</v>
      </c>
      <c r="G11" s="22">
        <v>378000</v>
      </c>
      <c r="H11" s="12">
        <f t="shared" si="0"/>
        <v>44550</v>
      </c>
    </row>
    <row r="12" spans="2:10" x14ac:dyDescent="0.3">
      <c r="B12" s="6" t="s">
        <v>54</v>
      </c>
      <c r="C12" s="22"/>
      <c r="D12" s="22">
        <v>162000</v>
      </c>
      <c r="E12" s="53"/>
      <c r="F12" s="22"/>
      <c r="G12" s="22"/>
      <c r="H12" s="67">
        <f t="shared" si="0"/>
        <v>44550</v>
      </c>
    </row>
    <row r="13" spans="2:10" x14ac:dyDescent="0.3">
      <c r="B13" s="6" t="s">
        <v>26</v>
      </c>
      <c r="C13" s="22"/>
      <c r="D13" s="22">
        <v>54000</v>
      </c>
      <c r="E13" s="53"/>
      <c r="F13" s="22">
        <v>108000</v>
      </c>
      <c r="G13" s="22"/>
      <c r="H13" s="12">
        <f t="shared" si="0"/>
        <v>44550</v>
      </c>
    </row>
    <row r="14" spans="2:10" x14ac:dyDescent="0.3">
      <c r="B14" s="6" t="s">
        <v>22</v>
      </c>
      <c r="C14" s="22"/>
      <c r="D14" s="23"/>
      <c r="E14" s="53"/>
      <c r="F14" s="23"/>
      <c r="G14" s="23"/>
      <c r="H14" s="12">
        <f t="shared" si="0"/>
        <v>44550</v>
      </c>
      <c r="J14" s="4"/>
    </row>
    <row r="15" spans="2:10" x14ac:dyDescent="0.3">
      <c r="B15" s="6" t="s">
        <v>61</v>
      </c>
      <c r="C15" s="22"/>
      <c r="D15" s="23"/>
      <c r="E15" s="53"/>
      <c r="F15" s="23"/>
      <c r="G15" s="23"/>
      <c r="H15" s="67">
        <f t="shared" si="0"/>
        <v>44550</v>
      </c>
      <c r="J15" s="4"/>
    </row>
    <row r="16" spans="2:10" x14ac:dyDescent="0.3">
      <c r="B16" s="6" t="s">
        <v>19</v>
      </c>
      <c r="C16" s="22"/>
      <c r="D16" s="62"/>
      <c r="E16" s="53"/>
      <c r="F16" s="22"/>
      <c r="G16" s="22"/>
      <c r="H16" s="12">
        <f t="shared" si="0"/>
        <v>44550</v>
      </c>
    </row>
    <row r="17" spans="1:8" x14ac:dyDescent="0.3">
      <c r="B17" s="6" t="s">
        <v>14</v>
      </c>
      <c r="C17" s="22">
        <v>756000</v>
      </c>
      <c r="D17" s="22">
        <v>162000</v>
      </c>
      <c r="E17" s="53"/>
      <c r="F17" s="22"/>
      <c r="G17" s="22"/>
      <c r="H17" s="12">
        <f t="shared" si="0"/>
        <v>44550</v>
      </c>
    </row>
    <row r="18" spans="1:8" x14ac:dyDescent="0.3">
      <c r="B18" s="6" t="s">
        <v>24</v>
      </c>
      <c r="C18" s="22"/>
      <c r="D18" s="22"/>
      <c r="E18" s="53"/>
      <c r="F18" s="22"/>
      <c r="G18" s="22"/>
      <c r="H18" s="12">
        <f t="shared" si="0"/>
        <v>44550</v>
      </c>
    </row>
    <row r="19" spans="1:8" x14ac:dyDescent="0.3">
      <c r="B19" s="6" t="s">
        <v>21</v>
      </c>
      <c r="C19" s="22">
        <v>526500</v>
      </c>
      <c r="D19" s="22">
        <v>108000</v>
      </c>
      <c r="E19" s="53"/>
      <c r="F19" s="22"/>
      <c r="G19" s="22"/>
      <c r="H19" s="67">
        <f t="shared" si="0"/>
        <v>44550</v>
      </c>
    </row>
    <row r="20" spans="1:8" x14ac:dyDescent="0.3">
      <c r="B20" s="6" t="s">
        <v>65</v>
      </c>
      <c r="C20" s="22"/>
      <c r="D20" s="22"/>
      <c r="E20" s="53"/>
      <c r="F20" s="22"/>
      <c r="G20" s="22"/>
      <c r="H20" s="12">
        <f t="shared" si="0"/>
        <v>44550</v>
      </c>
    </row>
    <row r="21" spans="1:8" x14ac:dyDescent="0.3">
      <c r="B21" s="6" t="s">
        <v>18</v>
      </c>
      <c r="C21" s="22"/>
      <c r="D21" s="22">
        <v>45000</v>
      </c>
      <c r="E21" s="53"/>
      <c r="F21" s="22"/>
      <c r="G21" s="22"/>
      <c r="H21" s="12">
        <f t="shared" si="0"/>
        <v>44550</v>
      </c>
    </row>
    <row r="22" spans="1:8" x14ac:dyDescent="0.3">
      <c r="B22" s="6" t="s">
        <v>16</v>
      </c>
      <c r="C22" s="55"/>
      <c r="D22" s="22">
        <v>108000</v>
      </c>
      <c r="E22" s="119"/>
      <c r="F22" s="22">
        <v>108000</v>
      </c>
      <c r="G22" s="22"/>
      <c r="H22" s="12">
        <f t="shared" si="0"/>
        <v>44550</v>
      </c>
    </row>
    <row r="23" spans="1:8" x14ac:dyDescent="0.3">
      <c r="B23" s="50" t="s">
        <v>27</v>
      </c>
      <c r="C23" s="51">
        <f>SUM(December20_2021[KSI_AGO])</f>
        <v>2453000</v>
      </c>
      <c r="D23" s="51">
        <f>SUBTOTAL(109,December20_2021[KSI_PMS])</f>
        <v>1219500</v>
      </c>
      <c r="E23" s="51">
        <f>SUM(December20_2021[BUIPE_AGO])</f>
        <v>0</v>
      </c>
      <c r="F23" s="51">
        <f>SUM(December20_2021[BUIPE_PMS])</f>
        <v>1175000</v>
      </c>
      <c r="G23" s="51">
        <f>SUM(December20_2021[AKOSOMBO_AGO])</f>
        <v>478000</v>
      </c>
      <c r="H23" s="52"/>
    </row>
    <row r="24" spans="1:8" x14ac:dyDescent="0.3">
      <c r="B24" s="8"/>
      <c r="C24" s="24"/>
      <c r="D24" s="24"/>
      <c r="E24" s="24"/>
      <c r="F24" s="24"/>
      <c r="G24" s="24"/>
      <c r="H24"/>
    </row>
    <row r="25" spans="1:8" x14ac:dyDescent="0.3">
      <c r="B25" s="1" t="s">
        <v>6</v>
      </c>
      <c r="C25" s="1" t="s">
        <v>4</v>
      </c>
      <c r="D25" s="5">
        <f>SUMIF(December20_2021[[#Headers],[KSI_AGO]:[AKOSOMBO_AGO]],"*"&amp;C25,December20_2021[[#Totals],[KSI_AGO]:[AKOSOMBO_AGO]])</f>
        <v>2931000</v>
      </c>
      <c r="E25" s="1" t="s">
        <v>5</v>
      </c>
      <c r="F25" s="5">
        <f>SUMIF(December20_2021[[#Headers],[KSI_AGO]:[AKOSOMBO_AGO]],"*"&amp;E25,December20_2021[[#Totals],[KSI_AGO]:[AKOSOMBO_AGO]])</f>
        <v>2394500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A2F48F6D-1921-4C07-8719-A834A2412022}">
      <formula1>INDIRECT("BDC_List[BDC List]")</formula1>
    </dataValidation>
  </dataValidations>
  <pageMargins left="0.7" right="0.7" top="0.75" bottom="0.75" header="0.3" footer="0.3"/>
  <pageSetup orientation="portrait" r:id="rId1"/>
  <tableParts count="1">
    <tablePart r:id="rId2"/>
  </tableParts>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0538-51AA-4795-856E-DEE487261B88}">
  <sheetPr codeName="Sheet496"/>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22" sqref="G2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44551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44551</v>
      </c>
    </row>
    <row r="7" spans="2:10" x14ac:dyDescent="0.3">
      <c r="B7" s="6" t="s">
        <v>37</v>
      </c>
      <c r="C7" s="22">
        <v>99000</v>
      </c>
      <c r="D7" s="53"/>
      <c r="E7" s="22">
        <v>315000</v>
      </c>
      <c r="F7" s="22"/>
      <c r="G7" s="22"/>
      <c r="H7" s="67">
        <f t="shared" si="0"/>
        <v>44551</v>
      </c>
    </row>
    <row r="8" spans="2:10" x14ac:dyDescent="0.3">
      <c r="B8" s="6" t="s">
        <v>17</v>
      </c>
      <c r="C8" s="22">
        <v>270000</v>
      </c>
      <c r="D8" s="22">
        <v>108000</v>
      </c>
      <c r="E8" s="22"/>
      <c r="F8" s="22">
        <v>270000</v>
      </c>
      <c r="G8" s="22"/>
      <c r="H8" s="12">
        <f t="shared" si="0"/>
        <v>44551</v>
      </c>
    </row>
    <row r="9" spans="2:10" ht="15.6" x14ac:dyDescent="0.3">
      <c r="B9" s="34" t="s">
        <v>0</v>
      </c>
      <c r="C9" s="57"/>
      <c r="D9" s="60"/>
      <c r="E9" s="61"/>
      <c r="F9" s="117"/>
      <c r="G9" s="61"/>
      <c r="H9" s="12">
        <f t="shared" si="0"/>
        <v>44551</v>
      </c>
    </row>
    <row r="10" spans="2:10" ht="16.2" customHeight="1" x14ac:dyDescent="0.3">
      <c r="B10" s="6" t="s">
        <v>25</v>
      </c>
      <c r="C10" s="22">
        <v>702000</v>
      </c>
      <c r="D10" s="22">
        <v>370000</v>
      </c>
      <c r="E10" s="22"/>
      <c r="F10" s="22">
        <v>45000</v>
      </c>
      <c r="G10" s="22"/>
      <c r="H10" s="12">
        <f t="shared" si="0"/>
        <v>44551</v>
      </c>
    </row>
    <row r="11" spans="2:10" ht="13.5" customHeight="1" x14ac:dyDescent="0.3">
      <c r="B11" s="6" t="s">
        <v>15</v>
      </c>
      <c r="C11" s="22">
        <v>108000</v>
      </c>
      <c r="D11" s="22">
        <v>207000</v>
      </c>
      <c r="E11" s="22"/>
      <c r="F11" s="22"/>
      <c r="G11" s="22">
        <v>200000</v>
      </c>
      <c r="H11" s="12">
        <f t="shared" si="0"/>
        <v>44551</v>
      </c>
    </row>
    <row r="12" spans="2:10" x14ac:dyDescent="0.3">
      <c r="B12" s="6" t="s">
        <v>54</v>
      </c>
      <c r="C12" s="22"/>
      <c r="D12" s="22">
        <v>216000</v>
      </c>
      <c r="E12" s="22"/>
      <c r="F12" s="22">
        <v>432000</v>
      </c>
      <c r="G12" s="22">
        <v>270000</v>
      </c>
      <c r="H12" s="67">
        <f t="shared" si="0"/>
        <v>44551</v>
      </c>
    </row>
    <row r="13" spans="2:10" x14ac:dyDescent="0.3">
      <c r="B13" s="6" t="s">
        <v>26</v>
      </c>
      <c r="C13" s="22"/>
      <c r="D13" s="22">
        <v>162000</v>
      </c>
      <c r="E13" s="22"/>
      <c r="F13" s="22"/>
      <c r="G13" s="22"/>
      <c r="H13" s="12">
        <f t="shared" si="0"/>
        <v>44551</v>
      </c>
    </row>
    <row r="14" spans="2:10" x14ac:dyDescent="0.3">
      <c r="B14" s="6" t="s">
        <v>22</v>
      </c>
      <c r="C14" s="22"/>
      <c r="D14" s="23"/>
      <c r="E14" s="23"/>
      <c r="F14" s="23"/>
      <c r="G14" s="23"/>
      <c r="H14" s="12">
        <f t="shared" si="0"/>
        <v>44551</v>
      </c>
      <c r="J14" s="4"/>
    </row>
    <row r="15" spans="2:10" x14ac:dyDescent="0.3">
      <c r="B15" s="6" t="s">
        <v>61</v>
      </c>
      <c r="C15" s="22"/>
      <c r="D15" s="23"/>
      <c r="E15" s="23"/>
      <c r="F15" s="23"/>
      <c r="G15" s="23"/>
      <c r="H15" s="67">
        <f t="shared" si="0"/>
        <v>44551</v>
      </c>
      <c r="J15" s="4"/>
    </row>
    <row r="16" spans="2:10" x14ac:dyDescent="0.3">
      <c r="B16" s="6" t="s">
        <v>19</v>
      </c>
      <c r="C16" s="22"/>
      <c r="D16" s="62"/>
      <c r="E16" s="22"/>
      <c r="F16" s="22"/>
      <c r="G16" s="22"/>
      <c r="H16" s="12">
        <f t="shared" si="0"/>
        <v>44551</v>
      </c>
    </row>
    <row r="17" spans="1:8" x14ac:dyDescent="0.3">
      <c r="B17" s="6" t="s">
        <v>14</v>
      </c>
      <c r="C17" s="22">
        <v>558500</v>
      </c>
      <c r="D17" s="22">
        <v>319500</v>
      </c>
      <c r="E17" s="22">
        <v>266000</v>
      </c>
      <c r="F17" s="22"/>
      <c r="G17" s="22"/>
      <c r="H17" s="12">
        <f t="shared" si="0"/>
        <v>44551</v>
      </c>
    </row>
    <row r="18" spans="1:8" x14ac:dyDescent="0.3">
      <c r="B18" s="6" t="s">
        <v>24</v>
      </c>
      <c r="C18" s="22"/>
      <c r="D18" s="22"/>
      <c r="E18" s="22"/>
      <c r="F18" s="22"/>
      <c r="G18" s="22"/>
      <c r="H18" s="12">
        <f t="shared" si="0"/>
        <v>44551</v>
      </c>
    </row>
    <row r="19" spans="1:8" x14ac:dyDescent="0.3">
      <c r="B19" s="6" t="s">
        <v>21</v>
      </c>
      <c r="C19" s="22">
        <v>324000</v>
      </c>
      <c r="D19" s="22">
        <v>162000</v>
      </c>
      <c r="E19" s="22"/>
      <c r="F19" s="22"/>
      <c r="G19" s="22"/>
      <c r="H19" s="67">
        <f t="shared" si="0"/>
        <v>44551</v>
      </c>
    </row>
    <row r="20" spans="1:8" x14ac:dyDescent="0.3">
      <c r="B20" s="6" t="s">
        <v>65</v>
      </c>
      <c r="C20" s="22"/>
      <c r="D20" s="22"/>
      <c r="E20" s="22"/>
      <c r="F20" s="22"/>
      <c r="G20" s="22"/>
      <c r="H20" s="12">
        <f t="shared" si="0"/>
        <v>44551</v>
      </c>
    </row>
    <row r="21" spans="1:8" x14ac:dyDescent="0.3">
      <c r="B21" s="6" t="s">
        <v>18</v>
      </c>
      <c r="C21" s="22"/>
      <c r="D21" s="22"/>
      <c r="E21" s="22"/>
      <c r="F21" s="22"/>
      <c r="G21" s="22"/>
      <c r="H21" s="12">
        <f t="shared" si="0"/>
        <v>44551</v>
      </c>
    </row>
    <row r="22" spans="1:8" x14ac:dyDescent="0.3">
      <c r="B22" s="6" t="s">
        <v>16</v>
      </c>
      <c r="C22" s="55">
        <v>162000</v>
      </c>
      <c r="D22" s="22">
        <v>216000</v>
      </c>
      <c r="E22" s="22"/>
      <c r="F22" s="22"/>
      <c r="G22" s="22"/>
      <c r="H22" s="12">
        <f t="shared" si="0"/>
        <v>44551</v>
      </c>
    </row>
    <row r="23" spans="1:8" x14ac:dyDescent="0.3">
      <c r="B23" s="50" t="s">
        <v>27</v>
      </c>
      <c r="C23" s="51">
        <f>SUM(December21_2021[KSI_AGO])</f>
        <v>2223500</v>
      </c>
      <c r="D23" s="51">
        <f>SUBTOTAL(109,December21_2021[KSI_PMS])</f>
        <v>1760500</v>
      </c>
      <c r="E23" s="51">
        <f>SUM(December21_2021[BUIPE_AGO])</f>
        <v>581000</v>
      </c>
      <c r="F23" s="51">
        <f>SUM(December21_2021[BUIPE_PMS])</f>
        <v>747000</v>
      </c>
      <c r="G23" s="51">
        <f>SUM(December21_2021[AKOSOMBO_AGO])</f>
        <v>470000</v>
      </c>
      <c r="H23" s="52"/>
    </row>
    <row r="24" spans="1:8" x14ac:dyDescent="0.3">
      <c r="B24" s="8"/>
      <c r="C24" s="24"/>
      <c r="D24" s="24"/>
      <c r="E24" s="24"/>
      <c r="F24" s="24"/>
      <c r="G24" s="24"/>
      <c r="H24"/>
    </row>
    <row r="25" spans="1:8" x14ac:dyDescent="0.3">
      <c r="B25" s="1" t="s">
        <v>6</v>
      </c>
      <c r="C25" s="1" t="s">
        <v>4</v>
      </c>
      <c r="D25" s="5">
        <f>SUMIF(December21_2021[[#Headers],[KSI_AGO]:[AKOSOMBO_AGO]],"*"&amp;C25,December21_2021[[#Totals],[KSI_AGO]:[AKOSOMBO_AGO]])</f>
        <v>3274500</v>
      </c>
      <c r="E25" s="1" t="s">
        <v>5</v>
      </c>
      <c r="F25" s="5">
        <f>SUMIF(December21_2021[[#Headers],[KSI_AGO]:[AKOSOMBO_AGO]],"*"&amp;E25,December21_2021[[#Totals],[KSI_AGO]:[AKOSOMBO_AGO]])</f>
        <v>2507500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A6EF0DDA-9A4F-4B86-8DC5-CB52AE0D91AE}">
      <formula1>INDIRECT("BDC_List[BDC List]")</formula1>
    </dataValidation>
  </dataValidations>
  <pageMargins left="0.7" right="0.7" top="0.75" bottom="0.75" header="0.3" footer="0.3"/>
  <pageSetup orientation="portrait" r:id="rId1"/>
  <tableParts count="1">
    <tablePart r:id="rId2"/>
  </tableParts>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790B5-BDCB-4F6E-A111-BBFFFDD773EA}">
  <sheetPr codeName="Sheet497"/>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19" sqref="G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44552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44552</v>
      </c>
    </row>
    <row r="7" spans="2:10" x14ac:dyDescent="0.3">
      <c r="B7" s="6" t="s">
        <v>37</v>
      </c>
      <c r="C7" s="22">
        <v>162000</v>
      </c>
      <c r="D7" s="53"/>
      <c r="E7" s="22">
        <v>54000</v>
      </c>
      <c r="F7" s="22"/>
      <c r="G7" s="22"/>
      <c r="H7" s="67">
        <f t="shared" si="0"/>
        <v>44552</v>
      </c>
    </row>
    <row r="8" spans="2:10" x14ac:dyDescent="0.3">
      <c r="B8" s="6" t="s">
        <v>17</v>
      </c>
      <c r="C8" s="22">
        <v>153000</v>
      </c>
      <c r="D8" s="22">
        <v>216000</v>
      </c>
      <c r="E8" s="22"/>
      <c r="F8" s="22"/>
      <c r="G8" s="22">
        <v>50000</v>
      </c>
      <c r="H8" s="12">
        <f t="shared" si="0"/>
        <v>44552</v>
      </c>
    </row>
    <row r="9" spans="2:10" ht="15.6" x14ac:dyDescent="0.3">
      <c r="B9" s="34" t="s">
        <v>0</v>
      </c>
      <c r="C9" s="57">
        <v>54000</v>
      </c>
      <c r="D9" s="60"/>
      <c r="E9" s="61"/>
      <c r="F9" s="117"/>
      <c r="G9" s="61"/>
      <c r="H9" s="12">
        <f t="shared" si="0"/>
        <v>44552</v>
      </c>
    </row>
    <row r="10" spans="2:10" ht="16.2" customHeight="1" x14ac:dyDescent="0.3">
      <c r="B10" s="6" t="s">
        <v>25</v>
      </c>
      <c r="C10" s="22">
        <v>324000</v>
      </c>
      <c r="D10" s="22">
        <v>594000</v>
      </c>
      <c r="E10" s="22"/>
      <c r="F10" s="22"/>
      <c r="G10" s="22"/>
      <c r="H10" s="12">
        <f t="shared" si="0"/>
        <v>44552</v>
      </c>
    </row>
    <row r="11" spans="2:10" ht="13.5" customHeight="1" x14ac:dyDescent="0.3">
      <c r="B11" s="6" t="s">
        <v>15</v>
      </c>
      <c r="C11" s="22">
        <v>216000</v>
      </c>
      <c r="D11" s="22">
        <v>162000</v>
      </c>
      <c r="E11" s="22"/>
      <c r="F11" s="22"/>
      <c r="G11" s="22"/>
      <c r="H11" s="12">
        <f t="shared" si="0"/>
        <v>44552</v>
      </c>
    </row>
    <row r="12" spans="2:10" x14ac:dyDescent="0.3">
      <c r="B12" s="6" t="s">
        <v>54</v>
      </c>
      <c r="C12" s="22">
        <v>324000</v>
      </c>
      <c r="D12" s="22">
        <v>103500</v>
      </c>
      <c r="E12" s="22"/>
      <c r="F12" s="22"/>
      <c r="G12" s="22"/>
      <c r="H12" s="67">
        <f t="shared" si="0"/>
        <v>44552</v>
      </c>
    </row>
    <row r="13" spans="2:10" x14ac:dyDescent="0.3">
      <c r="B13" s="6" t="s">
        <v>26</v>
      </c>
      <c r="C13" s="22"/>
      <c r="D13" s="22">
        <v>162000</v>
      </c>
      <c r="E13" s="22"/>
      <c r="F13" s="22"/>
      <c r="G13" s="22"/>
      <c r="H13" s="12">
        <f t="shared" si="0"/>
        <v>44552</v>
      </c>
    </row>
    <row r="14" spans="2:10" x14ac:dyDescent="0.3">
      <c r="B14" s="6" t="s">
        <v>22</v>
      </c>
      <c r="C14" s="22"/>
      <c r="D14" s="23"/>
      <c r="E14" s="23"/>
      <c r="F14" s="23"/>
      <c r="G14" s="23"/>
      <c r="H14" s="12">
        <f t="shared" si="0"/>
        <v>44552</v>
      </c>
      <c r="J14" s="4"/>
    </row>
    <row r="15" spans="2:10" x14ac:dyDescent="0.3">
      <c r="B15" s="6" t="s">
        <v>61</v>
      </c>
      <c r="C15" s="22"/>
      <c r="D15" s="23"/>
      <c r="E15" s="23"/>
      <c r="F15" s="23"/>
      <c r="G15" s="23"/>
      <c r="H15" s="67">
        <f t="shared" si="0"/>
        <v>44552</v>
      </c>
      <c r="J15" s="4"/>
    </row>
    <row r="16" spans="2:10" x14ac:dyDescent="0.3">
      <c r="B16" s="6" t="s">
        <v>19</v>
      </c>
      <c r="C16" s="22"/>
      <c r="D16" s="62"/>
      <c r="E16" s="22"/>
      <c r="F16" s="22"/>
      <c r="G16" s="22"/>
      <c r="H16" s="12">
        <f t="shared" si="0"/>
        <v>44552</v>
      </c>
    </row>
    <row r="17" spans="1:8" x14ac:dyDescent="0.3">
      <c r="B17" s="6" t="s">
        <v>14</v>
      </c>
      <c r="C17" s="22">
        <v>540000</v>
      </c>
      <c r="D17" s="22">
        <v>144000</v>
      </c>
      <c r="E17" s="22">
        <v>594000</v>
      </c>
      <c r="F17" s="22"/>
      <c r="G17" s="22"/>
      <c r="H17" s="12">
        <f t="shared" si="0"/>
        <v>44552</v>
      </c>
    </row>
    <row r="18" spans="1:8" x14ac:dyDescent="0.3">
      <c r="B18" s="6" t="s">
        <v>24</v>
      </c>
      <c r="C18" s="22"/>
      <c r="D18" s="22"/>
      <c r="E18" s="22"/>
      <c r="F18" s="22"/>
      <c r="G18" s="22"/>
      <c r="H18" s="12">
        <f t="shared" si="0"/>
        <v>44552</v>
      </c>
    </row>
    <row r="19" spans="1:8" x14ac:dyDescent="0.3">
      <c r="B19" s="6" t="s">
        <v>21</v>
      </c>
      <c r="C19" s="22">
        <v>478000</v>
      </c>
      <c r="D19" s="22">
        <v>108000</v>
      </c>
      <c r="E19" s="22"/>
      <c r="F19" s="22"/>
      <c r="G19" s="22"/>
      <c r="H19" s="67">
        <f t="shared" si="0"/>
        <v>44552</v>
      </c>
    </row>
    <row r="20" spans="1:8" x14ac:dyDescent="0.3">
      <c r="B20" s="6" t="s">
        <v>65</v>
      </c>
      <c r="C20" s="22"/>
      <c r="D20" s="22"/>
      <c r="E20" s="22"/>
      <c r="F20" s="22"/>
      <c r="G20" s="22"/>
      <c r="H20" s="12">
        <f t="shared" si="0"/>
        <v>44552</v>
      </c>
    </row>
    <row r="21" spans="1:8" x14ac:dyDescent="0.3">
      <c r="B21" s="6" t="s">
        <v>18</v>
      </c>
      <c r="C21" s="22"/>
      <c r="D21" s="22"/>
      <c r="E21" s="22"/>
      <c r="F21" s="22"/>
      <c r="G21" s="22"/>
      <c r="H21" s="12">
        <f t="shared" si="0"/>
        <v>44552</v>
      </c>
    </row>
    <row r="22" spans="1:8" x14ac:dyDescent="0.3">
      <c r="B22" s="6" t="s">
        <v>16</v>
      </c>
      <c r="C22" s="55">
        <v>108000</v>
      </c>
      <c r="D22" s="22">
        <v>53500</v>
      </c>
      <c r="E22" s="22"/>
      <c r="F22" s="22"/>
      <c r="G22" s="22"/>
      <c r="H22" s="12">
        <f t="shared" si="0"/>
        <v>44552</v>
      </c>
    </row>
    <row r="23" spans="1:8" x14ac:dyDescent="0.3">
      <c r="B23" s="50" t="s">
        <v>27</v>
      </c>
      <c r="C23" s="51">
        <f>SUM(December22_2021[KSI_AGO])</f>
        <v>2359000</v>
      </c>
      <c r="D23" s="51">
        <f>SUBTOTAL(109,December22_2021[KSI_PMS])</f>
        <v>1543000</v>
      </c>
      <c r="E23" s="51">
        <f>SUM(December22_2021[BUIPE_AGO])</f>
        <v>648000</v>
      </c>
      <c r="F23" s="51">
        <f>SUM(December22_2021[BUIPE_PMS])</f>
        <v>0</v>
      </c>
      <c r="G23" s="51">
        <f>SUM(December22_2021[AKOSOMBO_AGO])</f>
        <v>50000</v>
      </c>
      <c r="H23" s="52"/>
    </row>
    <row r="24" spans="1:8" x14ac:dyDescent="0.3">
      <c r="B24" s="8"/>
      <c r="C24" s="24"/>
      <c r="D24" s="24"/>
      <c r="E24" s="24"/>
      <c r="F24" s="24"/>
      <c r="G24" s="24"/>
      <c r="H24"/>
    </row>
    <row r="25" spans="1:8" x14ac:dyDescent="0.3">
      <c r="B25" s="1" t="s">
        <v>6</v>
      </c>
      <c r="C25" s="1" t="s">
        <v>4</v>
      </c>
      <c r="D25" s="5">
        <f>SUMIF(December22_2021[[#Headers],[KSI_AGO]:[AKOSOMBO_AGO]],"*"&amp;C25,December22_2021[[#Totals],[KSI_AGO]:[AKOSOMBO_AGO]])</f>
        <v>3057000</v>
      </c>
      <c r="E25" s="1" t="s">
        <v>5</v>
      </c>
      <c r="F25" s="5">
        <f>SUMIF(December22_2021[[#Headers],[KSI_AGO]:[AKOSOMBO_AGO]],"*"&amp;E25,December22_2021[[#Totals],[KSI_AGO]:[AKOSOMBO_AGO]])</f>
        <v>1543000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2C1412D2-C253-489E-9ACF-B595E8C841EA}">
      <formula1>INDIRECT("BDC_List[BDC List]")</formula1>
    </dataValidation>
  </dataValidations>
  <pageMargins left="0.7" right="0.7" top="0.75" bottom="0.75" header="0.3" footer="0.3"/>
  <pageSetup orientation="portrait" r:id="rId1"/>
  <tableParts count="1">
    <tablePart r:id="rId2"/>
  </tableParts>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890F-115E-42D9-B1AB-E0DB3577AC61}">
  <sheetPr codeName="Sheet498"/>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44553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44553</v>
      </c>
    </row>
    <row r="7" spans="2:10" x14ac:dyDescent="0.3">
      <c r="B7" s="6" t="s">
        <v>37</v>
      </c>
      <c r="C7" s="22">
        <v>162000</v>
      </c>
      <c r="D7" s="53"/>
      <c r="E7" s="22">
        <v>216000</v>
      </c>
      <c r="F7" s="22"/>
      <c r="G7" s="22"/>
      <c r="H7" s="67">
        <f t="shared" si="0"/>
        <v>44553</v>
      </c>
    </row>
    <row r="8" spans="2:10" x14ac:dyDescent="0.3">
      <c r="B8" s="6" t="s">
        <v>17</v>
      </c>
      <c r="C8" s="22">
        <v>374000</v>
      </c>
      <c r="D8" s="22">
        <v>54000</v>
      </c>
      <c r="E8" s="22"/>
      <c r="F8" s="22"/>
      <c r="G8" s="22"/>
      <c r="H8" s="12">
        <f t="shared" si="0"/>
        <v>44553</v>
      </c>
    </row>
    <row r="9" spans="2:10" ht="15.6" x14ac:dyDescent="0.3">
      <c r="B9" s="34" t="s">
        <v>0</v>
      </c>
      <c r="C9" s="57"/>
      <c r="D9" s="60"/>
      <c r="E9" s="61"/>
      <c r="F9" s="117"/>
      <c r="G9" s="61"/>
      <c r="H9" s="12">
        <f t="shared" si="0"/>
        <v>44553</v>
      </c>
    </row>
    <row r="10" spans="2:10" ht="16.2" customHeight="1" x14ac:dyDescent="0.3">
      <c r="B10" s="6" t="s">
        <v>25</v>
      </c>
      <c r="C10" s="22">
        <v>49500</v>
      </c>
      <c r="D10" s="22">
        <v>216000</v>
      </c>
      <c r="E10" s="22"/>
      <c r="F10" s="22"/>
      <c r="G10" s="22"/>
      <c r="H10" s="12">
        <f t="shared" si="0"/>
        <v>44553</v>
      </c>
    </row>
    <row r="11" spans="2:10" ht="13.5" customHeight="1" x14ac:dyDescent="0.3">
      <c r="B11" s="6" t="s">
        <v>15</v>
      </c>
      <c r="C11" s="22">
        <v>427500</v>
      </c>
      <c r="D11" s="22">
        <v>378000</v>
      </c>
      <c r="E11" s="22"/>
      <c r="F11" s="22">
        <v>49500</v>
      </c>
      <c r="G11" s="22"/>
      <c r="H11" s="12">
        <f t="shared" si="0"/>
        <v>44553</v>
      </c>
    </row>
    <row r="12" spans="2:10" x14ac:dyDescent="0.3">
      <c r="B12" s="6" t="s">
        <v>54</v>
      </c>
      <c r="C12" s="22">
        <v>270000</v>
      </c>
      <c r="D12" s="22">
        <v>216000</v>
      </c>
      <c r="E12" s="22"/>
      <c r="F12" s="22">
        <v>324000</v>
      </c>
      <c r="G12" s="22"/>
      <c r="H12" s="67">
        <f t="shared" si="0"/>
        <v>44553</v>
      </c>
    </row>
    <row r="13" spans="2:10" x14ac:dyDescent="0.3">
      <c r="B13" s="6" t="s">
        <v>26</v>
      </c>
      <c r="C13" s="22"/>
      <c r="D13" s="22"/>
      <c r="E13" s="22"/>
      <c r="F13" s="22">
        <v>108000</v>
      </c>
      <c r="G13" s="22"/>
      <c r="H13" s="12">
        <f t="shared" si="0"/>
        <v>44553</v>
      </c>
    </row>
    <row r="14" spans="2:10" x14ac:dyDescent="0.3">
      <c r="B14" s="6" t="s">
        <v>22</v>
      </c>
      <c r="C14" s="22"/>
      <c r="D14" s="23"/>
      <c r="E14" s="23"/>
      <c r="F14" s="23"/>
      <c r="G14" s="23"/>
      <c r="H14" s="12">
        <f t="shared" si="0"/>
        <v>44553</v>
      </c>
      <c r="J14" s="4"/>
    </row>
    <row r="15" spans="2:10" x14ac:dyDescent="0.3">
      <c r="B15" s="6" t="s">
        <v>61</v>
      </c>
      <c r="C15" s="22"/>
      <c r="D15" s="23"/>
      <c r="E15" s="23"/>
      <c r="F15" s="23"/>
      <c r="G15" s="23"/>
      <c r="H15" s="67">
        <f t="shared" si="0"/>
        <v>44553</v>
      </c>
      <c r="J15" s="4"/>
    </row>
    <row r="16" spans="2:10" x14ac:dyDescent="0.3">
      <c r="B16" s="6" t="s">
        <v>19</v>
      </c>
      <c r="C16" s="22"/>
      <c r="D16" s="62"/>
      <c r="E16" s="22"/>
      <c r="F16" s="22"/>
      <c r="G16" s="22"/>
      <c r="H16" s="12">
        <f t="shared" si="0"/>
        <v>44553</v>
      </c>
    </row>
    <row r="17" spans="1:8" x14ac:dyDescent="0.3">
      <c r="B17" s="6" t="s">
        <v>14</v>
      </c>
      <c r="C17" s="22">
        <v>702000</v>
      </c>
      <c r="D17" s="22">
        <v>265500</v>
      </c>
      <c r="E17" s="22">
        <v>50000</v>
      </c>
      <c r="F17" s="22"/>
      <c r="G17" s="22"/>
      <c r="H17" s="12">
        <f t="shared" si="0"/>
        <v>44553</v>
      </c>
    </row>
    <row r="18" spans="1:8" x14ac:dyDescent="0.3">
      <c r="B18" s="6" t="s">
        <v>24</v>
      </c>
      <c r="C18" s="22"/>
      <c r="D18" s="22"/>
      <c r="E18" s="22"/>
      <c r="F18" s="22"/>
      <c r="G18" s="22"/>
      <c r="H18" s="12">
        <f t="shared" si="0"/>
        <v>44553</v>
      </c>
    </row>
    <row r="19" spans="1:8" x14ac:dyDescent="0.3">
      <c r="B19" s="6" t="s">
        <v>21</v>
      </c>
      <c r="C19" s="22"/>
      <c r="D19" s="22">
        <v>54000</v>
      </c>
      <c r="E19" s="22"/>
      <c r="F19" s="22"/>
      <c r="G19" s="22"/>
      <c r="H19" s="67">
        <f t="shared" si="0"/>
        <v>44553</v>
      </c>
    </row>
    <row r="20" spans="1:8" x14ac:dyDescent="0.3">
      <c r="B20" s="6" t="s">
        <v>65</v>
      </c>
      <c r="C20" s="22"/>
      <c r="D20" s="22"/>
      <c r="E20" s="22"/>
      <c r="F20" s="22"/>
      <c r="G20" s="22"/>
      <c r="H20" s="12">
        <f t="shared" si="0"/>
        <v>44553</v>
      </c>
    </row>
    <row r="21" spans="1:8" x14ac:dyDescent="0.3">
      <c r="B21" s="6" t="s">
        <v>18</v>
      </c>
      <c r="C21" s="22"/>
      <c r="D21" s="22"/>
      <c r="E21" s="22"/>
      <c r="F21" s="22"/>
      <c r="G21" s="22"/>
      <c r="H21" s="12">
        <f t="shared" si="0"/>
        <v>44553</v>
      </c>
    </row>
    <row r="22" spans="1:8" x14ac:dyDescent="0.3">
      <c r="B22" s="6" t="s">
        <v>16</v>
      </c>
      <c r="C22" s="55">
        <v>158000</v>
      </c>
      <c r="D22" s="22">
        <v>355500</v>
      </c>
      <c r="E22" s="22"/>
      <c r="F22" s="22"/>
      <c r="G22" s="22"/>
      <c r="H22" s="12">
        <f t="shared" si="0"/>
        <v>44553</v>
      </c>
    </row>
    <row r="23" spans="1:8" x14ac:dyDescent="0.3">
      <c r="B23" s="50" t="s">
        <v>27</v>
      </c>
      <c r="C23" s="51">
        <f>SUM(December23_2021[KSI_AGO])</f>
        <v>2143000</v>
      </c>
      <c r="D23" s="51">
        <f>SUBTOTAL(109,December23_2021[KSI_PMS])</f>
        <v>1539000</v>
      </c>
      <c r="E23" s="51">
        <f>SUM(December23_2021[BUIPE_AGO])</f>
        <v>266000</v>
      </c>
      <c r="F23" s="51">
        <f>SUM(December23_2021[BUIPE_PMS])</f>
        <v>481500</v>
      </c>
      <c r="G23" s="51">
        <f>SUM(December23_2021[AKOSOMBO_AGO])</f>
        <v>0</v>
      </c>
      <c r="H23" s="52"/>
    </row>
    <row r="24" spans="1:8" x14ac:dyDescent="0.3">
      <c r="B24" s="8"/>
      <c r="C24" s="24"/>
      <c r="D24" s="24"/>
      <c r="E24" s="24"/>
      <c r="F24" s="24"/>
      <c r="G24" s="24"/>
      <c r="H24"/>
    </row>
    <row r="25" spans="1:8" x14ac:dyDescent="0.3">
      <c r="B25" s="1" t="s">
        <v>6</v>
      </c>
      <c r="C25" s="1" t="s">
        <v>4</v>
      </c>
      <c r="D25" s="5">
        <f>SUMIF(December23_2021[[#Headers],[KSI_AGO]:[AKOSOMBO_AGO]],"*"&amp;C25,December23_2021[[#Totals],[KSI_AGO]:[AKOSOMBO_AGO]])</f>
        <v>2409000</v>
      </c>
      <c r="E25" s="1" t="s">
        <v>5</v>
      </c>
      <c r="F25" s="5">
        <f>SUMIF(December23_2021[[#Headers],[KSI_AGO]:[AKOSOMBO_AGO]],"*"&amp;E25,December23_2021[[#Totals],[KSI_AGO]:[AKOSOMBO_AGO]])</f>
        <v>2020500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1578958-9182-44BF-BA7B-A556492B2AF2}">
      <formula1>INDIRECT("BDC_List[BDC List]")</formula1>
    </dataValidation>
  </dataValidations>
  <pageMargins left="0.7" right="0.7" top="0.75" bottom="0.75" header="0.3" footer="0.3"/>
  <pageSetup orientation="portrait" r:id="rId1"/>
  <tableParts count="1">
    <tablePart r:id="rId2"/>
  </tableParts>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C259C-39B4-4C13-A3A3-6865BFFAFDF4}">
  <sheetPr codeName="Sheet499"/>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44554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44554</v>
      </c>
    </row>
    <row r="7" spans="2:10" x14ac:dyDescent="0.3">
      <c r="B7" s="6" t="s">
        <v>37</v>
      </c>
      <c r="C7" s="22">
        <v>108000</v>
      </c>
      <c r="D7" s="53"/>
      <c r="E7" s="22"/>
      <c r="F7" s="22"/>
      <c r="G7" s="22"/>
      <c r="H7" s="67">
        <f t="shared" si="0"/>
        <v>44554</v>
      </c>
    </row>
    <row r="8" spans="2:10" x14ac:dyDescent="0.3">
      <c r="B8" s="6" t="s">
        <v>17</v>
      </c>
      <c r="C8" s="22">
        <v>324000</v>
      </c>
      <c r="D8" s="22">
        <v>108000</v>
      </c>
      <c r="E8" s="22"/>
      <c r="F8" s="22"/>
      <c r="G8" s="22"/>
      <c r="H8" s="12">
        <f t="shared" si="0"/>
        <v>44554</v>
      </c>
    </row>
    <row r="9" spans="2:10" ht="15.6" x14ac:dyDescent="0.3">
      <c r="B9" s="34" t="s">
        <v>0</v>
      </c>
      <c r="C9" s="57"/>
      <c r="D9" s="60"/>
      <c r="E9" s="61"/>
      <c r="F9" s="117"/>
      <c r="G9" s="61"/>
      <c r="H9" s="12">
        <f t="shared" si="0"/>
        <v>44554</v>
      </c>
    </row>
    <row r="10" spans="2:10" ht="16.2" customHeight="1" x14ac:dyDescent="0.3">
      <c r="B10" s="6" t="s">
        <v>25</v>
      </c>
      <c r="C10" s="22">
        <v>45000</v>
      </c>
      <c r="D10" s="22">
        <v>378000</v>
      </c>
      <c r="E10" s="22"/>
      <c r="F10" s="22"/>
      <c r="G10" s="22"/>
      <c r="H10" s="12">
        <f t="shared" si="0"/>
        <v>44554</v>
      </c>
    </row>
    <row r="11" spans="2:10" ht="13.5" customHeight="1" x14ac:dyDescent="0.3">
      <c r="B11" s="6" t="s">
        <v>15</v>
      </c>
      <c r="C11" s="22">
        <v>482000</v>
      </c>
      <c r="D11" s="22">
        <v>216000</v>
      </c>
      <c r="E11" s="22"/>
      <c r="F11" s="22"/>
      <c r="G11" s="22"/>
      <c r="H11" s="12">
        <f t="shared" si="0"/>
        <v>44554</v>
      </c>
    </row>
    <row r="12" spans="2:10" x14ac:dyDescent="0.3">
      <c r="B12" s="6" t="s">
        <v>54</v>
      </c>
      <c r="C12" s="22">
        <v>425000</v>
      </c>
      <c r="D12" s="22">
        <v>108000</v>
      </c>
      <c r="E12" s="22"/>
      <c r="F12" s="22">
        <v>108000</v>
      </c>
      <c r="G12" s="22"/>
      <c r="H12" s="67">
        <f t="shared" si="0"/>
        <v>44554</v>
      </c>
    </row>
    <row r="13" spans="2:10" x14ac:dyDescent="0.3">
      <c r="B13" s="6" t="s">
        <v>26</v>
      </c>
      <c r="C13" s="22"/>
      <c r="D13" s="22">
        <v>108000</v>
      </c>
      <c r="E13" s="22"/>
      <c r="F13" s="22">
        <v>108000</v>
      </c>
      <c r="G13" s="22"/>
      <c r="H13" s="12">
        <f t="shared" si="0"/>
        <v>44554</v>
      </c>
    </row>
    <row r="14" spans="2:10" x14ac:dyDescent="0.3">
      <c r="B14" s="6" t="s">
        <v>22</v>
      </c>
      <c r="C14" s="22"/>
      <c r="D14" s="23"/>
      <c r="E14" s="23"/>
      <c r="F14" s="23"/>
      <c r="G14" s="23"/>
      <c r="H14" s="12">
        <f t="shared" si="0"/>
        <v>44554</v>
      </c>
      <c r="J14" s="4"/>
    </row>
    <row r="15" spans="2:10" x14ac:dyDescent="0.3">
      <c r="B15" s="6" t="s">
        <v>61</v>
      </c>
      <c r="C15" s="22"/>
      <c r="D15" s="23"/>
      <c r="E15" s="23"/>
      <c r="F15" s="23"/>
      <c r="G15" s="23"/>
      <c r="H15" s="67">
        <f t="shared" si="0"/>
        <v>44554</v>
      </c>
      <c r="J15" s="4"/>
    </row>
    <row r="16" spans="2:10" x14ac:dyDescent="0.3">
      <c r="B16" s="6" t="s">
        <v>19</v>
      </c>
      <c r="C16" s="22"/>
      <c r="D16" s="62"/>
      <c r="E16" s="22"/>
      <c r="F16" s="22"/>
      <c r="G16" s="22"/>
      <c r="H16" s="12">
        <f t="shared" si="0"/>
        <v>44554</v>
      </c>
    </row>
    <row r="17" spans="1:8" x14ac:dyDescent="0.3">
      <c r="B17" s="6" t="s">
        <v>14</v>
      </c>
      <c r="C17" s="22">
        <v>756000</v>
      </c>
      <c r="D17" s="22">
        <v>153000</v>
      </c>
      <c r="E17" s="22">
        <v>90000</v>
      </c>
      <c r="F17" s="22">
        <v>324000</v>
      </c>
      <c r="G17" s="22"/>
      <c r="H17" s="12">
        <f t="shared" si="0"/>
        <v>44554</v>
      </c>
    </row>
    <row r="18" spans="1:8" x14ac:dyDescent="0.3">
      <c r="B18" s="6" t="s">
        <v>24</v>
      </c>
      <c r="C18" s="22"/>
      <c r="D18" s="22"/>
      <c r="E18" s="22"/>
      <c r="F18" s="22"/>
      <c r="G18" s="22"/>
      <c r="H18" s="12">
        <f t="shared" si="0"/>
        <v>44554</v>
      </c>
    </row>
    <row r="19" spans="1:8" x14ac:dyDescent="0.3">
      <c r="B19" s="6" t="s">
        <v>21</v>
      </c>
      <c r="C19" s="22"/>
      <c r="D19" s="22"/>
      <c r="E19" s="22"/>
      <c r="F19" s="22"/>
      <c r="G19" s="22"/>
      <c r="H19" s="67">
        <f t="shared" si="0"/>
        <v>44554</v>
      </c>
    </row>
    <row r="20" spans="1:8" x14ac:dyDescent="0.3">
      <c r="B20" s="6" t="s">
        <v>65</v>
      </c>
      <c r="C20" s="22"/>
      <c r="D20" s="22"/>
      <c r="E20" s="22"/>
      <c r="F20" s="22"/>
      <c r="G20" s="22"/>
      <c r="H20" s="12">
        <f t="shared" si="0"/>
        <v>44554</v>
      </c>
    </row>
    <row r="21" spans="1:8" x14ac:dyDescent="0.3">
      <c r="B21" s="6" t="s">
        <v>18</v>
      </c>
      <c r="C21" s="22"/>
      <c r="D21" s="22"/>
      <c r="E21" s="22"/>
      <c r="F21" s="22"/>
      <c r="G21" s="22"/>
      <c r="H21" s="12">
        <f t="shared" si="0"/>
        <v>44554</v>
      </c>
    </row>
    <row r="22" spans="1:8" x14ac:dyDescent="0.3">
      <c r="B22" s="6" t="s">
        <v>16</v>
      </c>
      <c r="C22" s="55"/>
      <c r="D22" s="22">
        <v>158000</v>
      </c>
      <c r="E22" s="22"/>
      <c r="F22" s="22"/>
      <c r="G22" s="22"/>
      <c r="H22" s="12">
        <f t="shared" si="0"/>
        <v>44554</v>
      </c>
    </row>
    <row r="23" spans="1:8" x14ac:dyDescent="0.3">
      <c r="B23" s="50" t="s">
        <v>27</v>
      </c>
      <c r="C23" s="51">
        <f>SUM(December24_2021[KSI_AGO])</f>
        <v>2140000</v>
      </c>
      <c r="D23" s="51">
        <f>SUBTOTAL(109,December24_2021[KSI_PMS])</f>
        <v>1229000</v>
      </c>
      <c r="E23" s="51">
        <f>SUM(December24_2021[BUIPE_AGO])</f>
        <v>90000</v>
      </c>
      <c r="F23" s="51">
        <f>SUM(December24_2021[BUIPE_PMS])</f>
        <v>540000</v>
      </c>
      <c r="G23" s="51">
        <f>SUM(December24_2021[AKOSOMBO_AGO])</f>
        <v>0</v>
      </c>
      <c r="H23" s="52"/>
    </row>
    <row r="24" spans="1:8" x14ac:dyDescent="0.3">
      <c r="B24" s="8"/>
      <c r="C24" s="24"/>
      <c r="D24" s="24"/>
      <c r="E24" s="24"/>
      <c r="F24" s="24"/>
      <c r="G24" s="24"/>
      <c r="H24"/>
    </row>
    <row r="25" spans="1:8" x14ac:dyDescent="0.3">
      <c r="B25" s="1" t="s">
        <v>6</v>
      </c>
      <c r="C25" s="1" t="s">
        <v>4</v>
      </c>
      <c r="D25" s="5">
        <f>SUMIF(December24_2021[[#Headers],[KSI_AGO]:[AKOSOMBO_AGO]],"*"&amp;C25,December24_2021[[#Totals],[KSI_AGO]:[AKOSOMBO_AGO]])</f>
        <v>2230000</v>
      </c>
      <c r="E25" s="1" t="s">
        <v>5</v>
      </c>
      <c r="F25" s="5">
        <f>SUMIF(December24_2021[[#Headers],[KSI_AGO]:[AKOSOMBO_AGO]],"*"&amp;E25,December24_2021[[#Totals],[KSI_AGO]:[AKOSOMBO_AGO]])</f>
        <v>1769000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C3B9C52-0BFE-4636-B006-FF2C0E64D9FE}">
      <formula1>INDIRECT("BDC_List[BDC List]")</formula1>
    </dataValidation>
  </dataValidations>
  <pageMargins left="0.7" right="0.7" top="0.75" bottom="0.75" header="0.3" footer="0.3"/>
  <pageSetup orientation="portrait" r:id="rId1"/>
  <tableParts count="1">
    <tablePart r:id="rId2"/>
  </tableParts>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59AB-4251-4793-9F1B-817CFA6E2476}">
  <sheetPr codeName="Sheet500"/>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20" sqref="G2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44559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44559</v>
      </c>
    </row>
    <row r="7" spans="2:10" x14ac:dyDescent="0.3">
      <c r="B7" s="6" t="s">
        <v>37</v>
      </c>
      <c r="C7" s="22">
        <v>54000</v>
      </c>
      <c r="D7" s="53"/>
      <c r="E7" s="22"/>
      <c r="F7" s="22"/>
      <c r="G7" s="22"/>
      <c r="H7" s="67">
        <f t="shared" si="0"/>
        <v>44559</v>
      </c>
    </row>
    <row r="8" spans="2:10" x14ac:dyDescent="0.3">
      <c r="B8" s="6" t="s">
        <v>17</v>
      </c>
      <c r="C8" s="22">
        <v>162000</v>
      </c>
      <c r="D8" s="22">
        <v>270000</v>
      </c>
      <c r="E8" s="22"/>
      <c r="F8" s="22">
        <v>45000</v>
      </c>
      <c r="G8" s="22"/>
      <c r="H8" s="12">
        <f t="shared" si="0"/>
        <v>44559</v>
      </c>
    </row>
    <row r="9" spans="2:10" ht="15.6" x14ac:dyDescent="0.3">
      <c r="B9" s="34" t="s">
        <v>0</v>
      </c>
      <c r="C9" s="57"/>
      <c r="D9" s="60"/>
      <c r="E9" s="61"/>
      <c r="F9" s="117">
        <v>517500</v>
      </c>
      <c r="G9" s="61"/>
      <c r="H9" s="12">
        <f t="shared" si="0"/>
        <v>44559</v>
      </c>
    </row>
    <row r="10" spans="2:10" ht="16.2" customHeight="1" x14ac:dyDescent="0.3">
      <c r="B10" s="6" t="s">
        <v>25</v>
      </c>
      <c r="C10" s="22"/>
      <c r="D10" s="22"/>
      <c r="E10" s="22"/>
      <c r="F10" s="22"/>
      <c r="G10" s="22"/>
      <c r="H10" s="12">
        <f t="shared" si="0"/>
        <v>44559</v>
      </c>
    </row>
    <row r="11" spans="2:10" ht="13.5" customHeight="1" x14ac:dyDescent="0.3">
      <c r="B11" s="6" t="s">
        <v>15</v>
      </c>
      <c r="C11" s="22">
        <v>540000</v>
      </c>
      <c r="D11" s="22">
        <v>270000</v>
      </c>
      <c r="E11" s="22"/>
      <c r="F11" s="22"/>
      <c r="G11" s="22"/>
      <c r="H11" s="12">
        <f t="shared" si="0"/>
        <v>44559</v>
      </c>
    </row>
    <row r="12" spans="2:10" x14ac:dyDescent="0.3">
      <c r="B12" s="6" t="s">
        <v>54</v>
      </c>
      <c r="C12" s="22">
        <v>486000</v>
      </c>
      <c r="D12" s="22">
        <v>324000</v>
      </c>
      <c r="E12" s="22"/>
      <c r="F12" s="22"/>
      <c r="G12" s="22"/>
      <c r="H12" s="67">
        <f t="shared" si="0"/>
        <v>44559</v>
      </c>
    </row>
    <row r="13" spans="2:10" x14ac:dyDescent="0.3">
      <c r="B13" s="6" t="s">
        <v>26</v>
      </c>
      <c r="C13" s="22"/>
      <c r="D13" s="22">
        <v>108000</v>
      </c>
      <c r="E13" s="22"/>
      <c r="F13" s="22">
        <v>49500</v>
      </c>
      <c r="G13" s="22"/>
      <c r="H13" s="12">
        <f t="shared" si="0"/>
        <v>44559</v>
      </c>
    </row>
    <row r="14" spans="2:10" x14ac:dyDescent="0.3">
      <c r="B14" s="6" t="s">
        <v>22</v>
      </c>
      <c r="C14" s="22"/>
      <c r="D14" s="23"/>
      <c r="E14" s="23"/>
      <c r="F14" s="23"/>
      <c r="G14" s="23"/>
      <c r="H14" s="12">
        <f t="shared" si="0"/>
        <v>44559</v>
      </c>
      <c r="J14" s="4"/>
    </row>
    <row r="15" spans="2:10" x14ac:dyDescent="0.3">
      <c r="B15" s="6" t="s">
        <v>61</v>
      </c>
      <c r="C15" s="22"/>
      <c r="D15" s="23"/>
      <c r="E15" s="23"/>
      <c r="F15" s="23"/>
      <c r="G15" s="23"/>
      <c r="H15" s="67">
        <f t="shared" si="0"/>
        <v>44559</v>
      </c>
      <c r="J15" s="4"/>
    </row>
    <row r="16" spans="2:10" x14ac:dyDescent="0.3">
      <c r="B16" s="6" t="s">
        <v>19</v>
      </c>
      <c r="C16" s="22"/>
      <c r="D16" s="62"/>
      <c r="E16" s="22"/>
      <c r="F16" s="22"/>
      <c r="G16" s="22"/>
      <c r="H16" s="12">
        <f t="shared" si="0"/>
        <v>44559</v>
      </c>
    </row>
    <row r="17" spans="1:8" x14ac:dyDescent="0.3">
      <c r="B17" s="6" t="s">
        <v>14</v>
      </c>
      <c r="C17" s="22">
        <v>962000</v>
      </c>
      <c r="D17" s="22">
        <v>378000</v>
      </c>
      <c r="E17" s="22"/>
      <c r="F17" s="22">
        <v>162000</v>
      </c>
      <c r="G17" s="22"/>
      <c r="H17" s="12">
        <f t="shared" si="0"/>
        <v>44559</v>
      </c>
    </row>
    <row r="18" spans="1:8" x14ac:dyDescent="0.3">
      <c r="B18" s="6" t="s">
        <v>24</v>
      </c>
      <c r="C18" s="22"/>
      <c r="D18" s="22"/>
      <c r="E18" s="22"/>
      <c r="F18" s="22"/>
      <c r="G18" s="22"/>
      <c r="H18" s="12">
        <f t="shared" si="0"/>
        <v>44559</v>
      </c>
    </row>
    <row r="19" spans="1:8" x14ac:dyDescent="0.3">
      <c r="B19" s="6" t="s">
        <v>21</v>
      </c>
      <c r="C19" s="22"/>
      <c r="D19" s="22"/>
      <c r="E19" s="22"/>
      <c r="F19" s="22"/>
      <c r="G19" s="22"/>
      <c r="H19" s="67">
        <f t="shared" si="0"/>
        <v>44559</v>
      </c>
    </row>
    <row r="20" spans="1:8" x14ac:dyDescent="0.3">
      <c r="B20" s="6" t="s">
        <v>65</v>
      </c>
      <c r="C20" s="22"/>
      <c r="D20" s="22"/>
      <c r="E20" s="22"/>
      <c r="F20" s="22"/>
      <c r="G20" s="22"/>
      <c r="H20" s="12">
        <f t="shared" si="0"/>
        <v>44559</v>
      </c>
    </row>
    <row r="21" spans="1:8" x14ac:dyDescent="0.3">
      <c r="B21" s="6" t="s">
        <v>18</v>
      </c>
      <c r="C21" s="22"/>
      <c r="D21" s="22">
        <v>45000</v>
      </c>
      <c r="E21" s="22"/>
      <c r="F21" s="22"/>
      <c r="G21" s="22"/>
      <c r="H21" s="12">
        <f t="shared" si="0"/>
        <v>44559</v>
      </c>
    </row>
    <row r="22" spans="1:8" x14ac:dyDescent="0.3">
      <c r="B22" s="6" t="s">
        <v>16</v>
      </c>
      <c r="C22" s="55">
        <v>135000</v>
      </c>
      <c r="D22" s="22">
        <v>216000</v>
      </c>
      <c r="E22" s="22"/>
      <c r="F22" s="22"/>
      <c r="G22" s="22"/>
      <c r="H22" s="12">
        <f t="shared" si="0"/>
        <v>44559</v>
      </c>
    </row>
    <row r="23" spans="1:8" x14ac:dyDescent="0.3">
      <c r="B23" s="50" t="s">
        <v>27</v>
      </c>
      <c r="C23" s="51">
        <f>SUM(December29_2021[KSI_AGO])</f>
        <v>2339000</v>
      </c>
      <c r="D23" s="51">
        <f>SUBTOTAL(109,December29_2021[KSI_PMS])</f>
        <v>1611000</v>
      </c>
      <c r="E23" s="51">
        <f>SUM(December29_2021[BUIPE_AGO])</f>
        <v>0</v>
      </c>
      <c r="F23" s="51">
        <f>SUM(December29_2021[BUIPE_PMS])</f>
        <v>774000</v>
      </c>
      <c r="G23" s="51">
        <f>SUM(December29_2021[AKOSOMBO_AGO])</f>
        <v>0</v>
      </c>
      <c r="H23" s="52"/>
    </row>
    <row r="24" spans="1:8" x14ac:dyDescent="0.3">
      <c r="B24" s="8"/>
      <c r="C24" s="24"/>
      <c r="D24" s="24"/>
      <c r="E24" s="24"/>
      <c r="F24" s="24"/>
      <c r="G24" s="24"/>
      <c r="H24"/>
    </row>
    <row r="25" spans="1:8" x14ac:dyDescent="0.3">
      <c r="B25" s="1" t="s">
        <v>6</v>
      </c>
      <c r="C25" s="1" t="s">
        <v>4</v>
      </c>
      <c r="D25" s="5">
        <f>SUMIF(December29_2021[[#Headers],[KSI_AGO]:[AKOSOMBO_AGO]],"*"&amp;C25,December29_2021[[#Totals],[KSI_AGO]:[AKOSOMBO_AGO]])</f>
        <v>2339000</v>
      </c>
      <c r="E25" s="1" t="s">
        <v>5</v>
      </c>
      <c r="F25" s="5">
        <f>SUMIF(December29_2021[[#Headers],[KSI_AGO]:[AKOSOMBO_AGO]],"*"&amp;E25,December29_2021[[#Totals],[KSI_AGO]:[AKOSOMBO_AGO]])</f>
        <v>2385000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41ED4CEB-AE05-4231-A278-7CFAC17A316E}">
      <formula1>INDIRECT("BDC_List[BDC List]")</formula1>
    </dataValidation>
  </dataValidations>
  <pageMargins left="0.7" right="0.7" top="0.75" bottom="0.75" header="0.3" footer="0.3"/>
  <pageSetup orientation="portrait" r:id="rId1"/>
  <tableParts count="1">
    <tablePart r:id="rId2"/>
  </tableParts>
</worksheet>
</file>

<file path=xl/worksheets/sheet5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FB25-2FCC-454F-A4B5-4BD144BCDEA7}">
  <sheetPr codeName="Sheet501"/>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C17" sqref="C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44560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44560</v>
      </c>
    </row>
    <row r="7" spans="2:10" x14ac:dyDescent="0.3">
      <c r="B7" s="6" t="s">
        <v>37</v>
      </c>
      <c r="C7" s="22"/>
      <c r="D7" s="53"/>
      <c r="E7" s="22"/>
      <c r="F7" s="22"/>
      <c r="G7" s="22"/>
      <c r="H7" s="67">
        <f t="shared" si="0"/>
        <v>44560</v>
      </c>
    </row>
    <row r="8" spans="2:10" x14ac:dyDescent="0.3">
      <c r="B8" s="6" t="s">
        <v>17</v>
      </c>
      <c r="C8" s="22"/>
      <c r="D8" s="22">
        <v>162000</v>
      </c>
      <c r="E8" s="22"/>
      <c r="F8" s="22"/>
      <c r="G8" s="22"/>
      <c r="H8" s="12">
        <f t="shared" si="0"/>
        <v>44560</v>
      </c>
    </row>
    <row r="9" spans="2:10" ht="15.6" x14ac:dyDescent="0.3">
      <c r="B9" s="34" t="s">
        <v>0</v>
      </c>
      <c r="C9" s="57"/>
      <c r="D9" s="60"/>
      <c r="E9" s="61"/>
      <c r="F9" s="117">
        <v>585000</v>
      </c>
      <c r="G9" s="61"/>
      <c r="H9" s="12">
        <f t="shared" si="0"/>
        <v>44560</v>
      </c>
    </row>
    <row r="10" spans="2:10" ht="16.2" customHeight="1" x14ac:dyDescent="0.3">
      <c r="B10" s="6" t="s">
        <v>25</v>
      </c>
      <c r="C10" s="22"/>
      <c r="D10" s="22">
        <v>108000</v>
      </c>
      <c r="E10" s="22"/>
      <c r="F10" s="22"/>
      <c r="G10" s="22"/>
      <c r="H10" s="12">
        <f t="shared" si="0"/>
        <v>44560</v>
      </c>
    </row>
    <row r="11" spans="2:10" ht="13.5" customHeight="1" x14ac:dyDescent="0.3">
      <c r="B11" s="6" t="s">
        <v>15</v>
      </c>
      <c r="C11" s="22">
        <v>482000</v>
      </c>
      <c r="D11" s="22">
        <v>54000</v>
      </c>
      <c r="E11" s="22"/>
      <c r="F11" s="22"/>
      <c r="G11" s="22"/>
      <c r="H11" s="12">
        <f t="shared" si="0"/>
        <v>44560</v>
      </c>
    </row>
    <row r="12" spans="2:10" x14ac:dyDescent="0.3">
      <c r="B12" s="6" t="s">
        <v>54</v>
      </c>
      <c r="C12" s="22">
        <v>214000</v>
      </c>
      <c r="D12" s="22">
        <v>108000</v>
      </c>
      <c r="E12" s="22"/>
      <c r="F12" s="22"/>
      <c r="G12" s="22"/>
      <c r="H12" s="67">
        <f t="shared" si="0"/>
        <v>44560</v>
      </c>
    </row>
    <row r="13" spans="2:10" x14ac:dyDescent="0.3">
      <c r="B13" s="6" t="s">
        <v>26</v>
      </c>
      <c r="C13" s="22"/>
      <c r="D13" s="62">
        <v>108000</v>
      </c>
      <c r="E13" s="22"/>
      <c r="F13" s="22"/>
      <c r="G13" s="22"/>
      <c r="H13" s="12">
        <f t="shared" si="0"/>
        <v>44560</v>
      </c>
    </row>
    <row r="14" spans="2:10" x14ac:dyDescent="0.3">
      <c r="B14" s="6" t="s">
        <v>22</v>
      </c>
      <c r="C14" s="22"/>
      <c r="D14" s="23"/>
      <c r="E14" s="23"/>
      <c r="F14" s="23"/>
      <c r="G14" s="23"/>
      <c r="H14" s="12">
        <f t="shared" si="0"/>
        <v>44560</v>
      </c>
      <c r="J14" s="4"/>
    </row>
    <row r="15" spans="2:10" x14ac:dyDescent="0.3">
      <c r="B15" s="6" t="s">
        <v>61</v>
      </c>
      <c r="C15" s="22"/>
      <c r="D15" s="23"/>
      <c r="E15" s="23"/>
      <c r="F15" s="23"/>
      <c r="G15" s="23"/>
      <c r="H15" s="67">
        <f t="shared" si="0"/>
        <v>44560</v>
      </c>
      <c r="J15" s="4"/>
    </row>
    <row r="16" spans="2:10" x14ac:dyDescent="0.3">
      <c r="B16" s="6" t="s">
        <v>19</v>
      </c>
      <c r="C16" s="22"/>
      <c r="D16" s="62">
        <v>702000</v>
      </c>
      <c r="E16" s="22"/>
      <c r="F16" s="22"/>
      <c r="G16" s="22"/>
      <c r="H16" s="12">
        <f t="shared" si="0"/>
        <v>44560</v>
      </c>
    </row>
    <row r="17" spans="1:8" x14ac:dyDescent="0.3">
      <c r="B17" s="6" t="s">
        <v>14</v>
      </c>
      <c r="C17" s="22">
        <v>1350000</v>
      </c>
      <c r="D17" s="22">
        <v>162000</v>
      </c>
      <c r="E17" s="22"/>
      <c r="F17" s="22"/>
      <c r="G17" s="22"/>
      <c r="H17" s="12">
        <f t="shared" si="0"/>
        <v>44560</v>
      </c>
    </row>
    <row r="18" spans="1:8" x14ac:dyDescent="0.3">
      <c r="B18" s="6" t="s">
        <v>24</v>
      </c>
      <c r="C18" s="22"/>
      <c r="D18" s="22"/>
      <c r="E18" s="22"/>
      <c r="F18" s="22"/>
      <c r="G18" s="22"/>
      <c r="H18" s="12">
        <f t="shared" si="0"/>
        <v>44560</v>
      </c>
    </row>
    <row r="19" spans="1:8" x14ac:dyDescent="0.3">
      <c r="B19" s="6" t="s">
        <v>21</v>
      </c>
      <c r="C19" s="22"/>
      <c r="D19" s="22">
        <v>54000</v>
      </c>
      <c r="E19" s="22"/>
      <c r="F19" s="22"/>
      <c r="G19" s="22"/>
      <c r="H19" s="67">
        <f t="shared" si="0"/>
        <v>44560</v>
      </c>
    </row>
    <row r="20" spans="1:8" x14ac:dyDescent="0.3">
      <c r="B20" s="6" t="s">
        <v>65</v>
      </c>
      <c r="C20" s="22"/>
      <c r="D20" s="22"/>
      <c r="E20" s="22"/>
      <c r="F20" s="22"/>
      <c r="G20" s="22"/>
      <c r="H20" s="12">
        <f t="shared" si="0"/>
        <v>44560</v>
      </c>
    </row>
    <row r="21" spans="1:8" x14ac:dyDescent="0.3">
      <c r="B21" s="6" t="s">
        <v>18</v>
      </c>
      <c r="C21" s="22"/>
      <c r="D21" s="22"/>
      <c r="E21" s="22"/>
      <c r="F21" s="22"/>
      <c r="G21" s="22"/>
      <c r="H21" s="12">
        <f t="shared" si="0"/>
        <v>44560</v>
      </c>
    </row>
    <row r="22" spans="1:8" x14ac:dyDescent="0.3">
      <c r="B22" s="6" t="s">
        <v>16</v>
      </c>
      <c r="C22" s="55"/>
      <c r="D22" s="22"/>
      <c r="E22" s="22"/>
      <c r="F22" s="22"/>
      <c r="G22" s="22"/>
      <c r="H22" s="12">
        <f t="shared" si="0"/>
        <v>44560</v>
      </c>
    </row>
    <row r="23" spans="1:8" x14ac:dyDescent="0.3">
      <c r="B23" s="50" t="s">
        <v>27</v>
      </c>
      <c r="C23" s="51">
        <f>SUM(December30_2021[KSI_AGO])</f>
        <v>2046000</v>
      </c>
      <c r="D23" s="51">
        <f>SUBTOTAL(109,December30_2021[KSI_PMS])</f>
        <v>1458000</v>
      </c>
      <c r="E23" s="51">
        <f>SUM(December30_2021[BUIPE_AGO])</f>
        <v>0</v>
      </c>
      <c r="F23" s="51">
        <f>SUM(December30_2021[BUIPE_PMS])</f>
        <v>585000</v>
      </c>
      <c r="G23" s="51">
        <f>SUM(December30_2021[AKOSOMBO_AGO])</f>
        <v>0</v>
      </c>
      <c r="H23" s="52"/>
    </row>
    <row r="24" spans="1:8" x14ac:dyDescent="0.3">
      <c r="B24" s="8"/>
      <c r="C24" s="24"/>
      <c r="D24" s="24"/>
      <c r="E24" s="24"/>
      <c r="F24" s="24"/>
      <c r="G24" s="24"/>
      <c r="H24"/>
    </row>
    <row r="25" spans="1:8" x14ac:dyDescent="0.3">
      <c r="B25" s="1" t="s">
        <v>6</v>
      </c>
      <c r="C25" s="1" t="s">
        <v>4</v>
      </c>
      <c r="D25" s="5">
        <f>SUMIF(December30_2021[[#Headers],[KSI_AGO]:[AKOSOMBO_AGO]],"*"&amp;C25,December30_2021[[#Totals],[KSI_AGO]:[AKOSOMBO_AGO]])</f>
        <v>2046000</v>
      </c>
      <c r="E25" s="1" t="s">
        <v>5</v>
      </c>
      <c r="F25" s="5">
        <f>SUMIF(December30_2021[[#Headers],[KSI_AGO]:[AKOSOMBO_AGO]],"*"&amp;E25,December30_2021[[#Totals],[KSI_AGO]:[AKOSOMBO_AGO]])</f>
        <v>2043000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B1B22DAF-FEE1-4B06-9DCB-211037CE8838}">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7AB1-E812-4809-A7DB-12BE01B5F64C}">
  <sheetPr codeName="Sheet502"/>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17" sqref="G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44561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44561</v>
      </c>
    </row>
    <row r="7" spans="2:10" x14ac:dyDescent="0.3">
      <c r="B7" s="6" t="s">
        <v>37</v>
      </c>
      <c r="C7" s="22"/>
      <c r="D7" s="53"/>
      <c r="E7" s="22"/>
      <c r="F7" s="22"/>
      <c r="G7" s="22"/>
      <c r="H7" s="67">
        <f t="shared" si="0"/>
        <v>44561</v>
      </c>
    </row>
    <row r="8" spans="2:10" x14ac:dyDescent="0.3">
      <c r="B8" s="6" t="s">
        <v>17</v>
      </c>
      <c r="C8" s="22">
        <v>694000</v>
      </c>
      <c r="D8" s="22">
        <v>54000</v>
      </c>
      <c r="E8" s="22"/>
      <c r="F8" s="22"/>
      <c r="G8" s="22"/>
      <c r="H8" s="12">
        <f t="shared" si="0"/>
        <v>44561</v>
      </c>
    </row>
    <row r="9" spans="2:10" ht="15.6" x14ac:dyDescent="0.3">
      <c r="B9" s="34" t="s">
        <v>0</v>
      </c>
      <c r="C9" s="57"/>
      <c r="D9" s="60"/>
      <c r="E9" s="61"/>
      <c r="F9" s="117">
        <v>644000</v>
      </c>
      <c r="G9" s="61"/>
      <c r="H9" s="12">
        <f t="shared" si="0"/>
        <v>44561</v>
      </c>
    </row>
    <row r="10" spans="2:10" ht="16.2" customHeight="1" x14ac:dyDescent="0.3">
      <c r="B10" s="6" t="s">
        <v>25</v>
      </c>
      <c r="C10" s="22"/>
      <c r="D10" s="22">
        <v>315000</v>
      </c>
      <c r="E10" s="22"/>
      <c r="F10" s="22"/>
      <c r="G10" s="22"/>
      <c r="H10" s="12">
        <f t="shared" si="0"/>
        <v>44561</v>
      </c>
    </row>
    <row r="11" spans="2:10" ht="13.5" customHeight="1" x14ac:dyDescent="0.3">
      <c r="B11" s="6" t="s">
        <v>15</v>
      </c>
      <c r="C11" s="22"/>
      <c r="D11" s="22">
        <v>162000</v>
      </c>
      <c r="E11" s="22"/>
      <c r="F11" s="22"/>
      <c r="G11" s="22"/>
      <c r="H11" s="12">
        <f t="shared" si="0"/>
        <v>44561</v>
      </c>
    </row>
    <row r="12" spans="2:10" x14ac:dyDescent="0.3">
      <c r="B12" s="6" t="s">
        <v>54</v>
      </c>
      <c r="C12" s="22">
        <v>54000</v>
      </c>
      <c r="D12" s="22">
        <v>162000</v>
      </c>
      <c r="E12" s="22"/>
      <c r="F12" s="22"/>
      <c r="G12" s="22"/>
      <c r="H12" s="67">
        <f t="shared" si="0"/>
        <v>44561</v>
      </c>
    </row>
    <row r="13" spans="2:10" x14ac:dyDescent="0.3">
      <c r="B13" s="6" t="s">
        <v>26</v>
      </c>
      <c r="C13" s="22"/>
      <c r="D13" s="22">
        <v>161500</v>
      </c>
      <c r="E13" s="22"/>
      <c r="F13" s="22"/>
      <c r="G13" s="22"/>
      <c r="H13" s="12">
        <f t="shared" si="0"/>
        <v>44561</v>
      </c>
    </row>
    <row r="14" spans="2:10" x14ac:dyDescent="0.3">
      <c r="B14" s="6" t="s">
        <v>22</v>
      </c>
      <c r="C14" s="22"/>
      <c r="D14" s="23"/>
      <c r="E14" s="23"/>
      <c r="F14" s="23"/>
      <c r="G14" s="23"/>
      <c r="H14" s="12">
        <f t="shared" si="0"/>
        <v>44561</v>
      </c>
      <c r="J14" s="4"/>
    </row>
    <row r="15" spans="2:10" x14ac:dyDescent="0.3">
      <c r="B15" s="6" t="s">
        <v>61</v>
      </c>
      <c r="C15" s="22"/>
      <c r="D15" s="23"/>
      <c r="E15" s="23"/>
      <c r="F15" s="23"/>
      <c r="G15" s="23"/>
      <c r="H15" s="67">
        <f t="shared" si="0"/>
        <v>44561</v>
      </c>
      <c r="J15" s="4"/>
    </row>
    <row r="16" spans="2:10" x14ac:dyDescent="0.3">
      <c r="B16" s="6" t="s">
        <v>19</v>
      </c>
      <c r="C16" s="22"/>
      <c r="D16" s="62"/>
      <c r="E16" s="22"/>
      <c r="F16" s="22"/>
      <c r="G16" s="22"/>
      <c r="H16" s="12">
        <f t="shared" si="0"/>
        <v>44561</v>
      </c>
    </row>
    <row r="17" spans="1:8" x14ac:dyDescent="0.3">
      <c r="B17" s="6" t="s">
        <v>14</v>
      </c>
      <c r="C17" s="22">
        <v>1179000</v>
      </c>
      <c r="D17" s="22">
        <v>266000</v>
      </c>
      <c r="E17" s="22"/>
      <c r="F17" s="22"/>
      <c r="G17" s="22"/>
      <c r="H17" s="12">
        <f t="shared" si="0"/>
        <v>44561</v>
      </c>
    </row>
    <row r="18" spans="1:8" x14ac:dyDescent="0.3">
      <c r="B18" s="6" t="s">
        <v>24</v>
      </c>
      <c r="C18" s="22"/>
      <c r="D18" s="22"/>
      <c r="E18" s="22"/>
      <c r="F18" s="22"/>
      <c r="G18" s="22"/>
      <c r="H18" s="12">
        <f t="shared" si="0"/>
        <v>44561</v>
      </c>
    </row>
    <row r="19" spans="1:8" x14ac:dyDescent="0.3">
      <c r="B19" s="6" t="s">
        <v>21</v>
      </c>
      <c r="C19" s="22"/>
      <c r="D19" s="22"/>
      <c r="E19" s="22"/>
      <c r="F19" s="22"/>
      <c r="G19" s="22"/>
      <c r="H19" s="67">
        <f t="shared" si="0"/>
        <v>44561</v>
      </c>
    </row>
    <row r="20" spans="1:8" x14ac:dyDescent="0.3">
      <c r="B20" s="6" t="s">
        <v>65</v>
      </c>
      <c r="C20" s="22"/>
      <c r="D20" s="22"/>
      <c r="E20" s="22"/>
      <c r="F20" s="22"/>
      <c r="G20" s="22"/>
      <c r="H20" s="12">
        <f t="shared" si="0"/>
        <v>44561</v>
      </c>
    </row>
    <row r="21" spans="1:8" x14ac:dyDescent="0.3">
      <c r="B21" s="6" t="s">
        <v>18</v>
      </c>
      <c r="C21" s="22"/>
      <c r="D21" s="22"/>
      <c r="E21" s="22"/>
      <c r="F21" s="22"/>
      <c r="G21" s="22"/>
      <c r="H21" s="12">
        <f t="shared" si="0"/>
        <v>44561</v>
      </c>
    </row>
    <row r="22" spans="1:8" x14ac:dyDescent="0.3">
      <c r="B22" s="6" t="s">
        <v>16</v>
      </c>
      <c r="C22" s="55"/>
      <c r="D22" s="22">
        <v>270000</v>
      </c>
      <c r="E22" s="22"/>
      <c r="F22" s="22"/>
      <c r="G22" s="22"/>
      <c r="H22" s="12">
        <f t="shared" si="0"/>
        <v>44561</v>
      </c>
    </row>
    <row r="23" spans="1:8" x14ac:dyDescent="0.3">
      <c r="B23" s="50" t="s">
        <v>27</v>
      </c>
      <c r="C23" s="51">
        <f>SUM(December31_2021[KSI_AGO])</f>
        <v>1927000</v>
      </c>
      <c r="D23" s="51">
        <f>SUBTOTAL(109,December31_2021[KSI_PMS])</f>
        <v>1390500</v>
      </c>
      <c r="E23" s="51">
        <f>SUM(December31_2021[BUIPE_AGO])</f>
        <v>0</v>
      </c>
      <c r="F23" s="51">
        <f>SUM(December31_2021[BUIPE_PMS])</f>
        <v>644000</v>
      </c>
      <c r="G23" s="51">
        <f>SUM(December31_2021[AKOSOMBO_AGO])</f>
        <v>0</v>
      </c>
      <c r="H23" s="52"/>
    </row>
    <row r="24" spans="1:8" x14ac:dyDescent="0.3">
      <c r="B24" s="8"/>
      <c r="C24" s="24"/>
      <c r="D24" s="24"/>
      <c r="E24" s="24"/>
      <c r="F24" s="24"/>
      <c r="G24" s="24"/>
      <c r="H24"/>
    </row>
    <row r="25" spans="1:8" x14ac:dyDescent="0.3">
      <c r="B25" s="1" t="s">
        <v>6</v>
      </c>
      <c r="C25" s="1" t="s">
        <v>4</v>
      </c>
      <c r="D25" s="5">
        <f>SUMIF(December31_2021[[#Headers],[KSI_AGO]:[AKOSOMBO_AGO]],"*"&amp;C25,December31_2021[[#Totals],[KSI_AGO]:[AKOSOMBO_AGO]])</f>
        <v>1927000</v>
      </c>
      <c r="E25" s="1" t="s">
        <v>5</v>
      </c>
      <c r="F25" s="5">
        <f>SUMIF(December31_2021[[#Headers],[KSI_AGO]:[AKOSOMBO_AGO]],"*"&amp;E25,December31_2021[[#Totals],[KSI_AGO]:[AKOSOMBO_AGO]])</f>
        <v>2034500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6CE26DB1-145B-41F0-AEC8-E6882B0780F0}">
      <formula1>INDIRECT("BDC_List[BDC List]")</formula1>
    </dataValidation>
  </dataValidations>
  <pageMargins left="0.7" right="0.7" top="0.75" bottom="0.75" header="0.3" footer="0.3"/>
  <pageSetup orientation="portrait" r:id="rId1"/>
  <tableParts count="1">
    <tablePart r:id="rId2"/>
  </tableParts>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A585B-FA39-4339-B1A2-5B946684989E}">
  <sheetPr codeName="Sheet503"/>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E17" sqref="E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44565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44565</v>
      </c>
    </row>
    <row r="7" spans="2:10" x14ac:dyDescent="0.3">
      <c r="B7" s="6" t="s">
        <v>37</v>
      </c>
      <c r="C7" s="22"/>
      <c r="D7" s="53"/>
      <c r="E7" s="22"/>
      <c r="F7" s="22"/>
      <c r="G7" s="22"/>
      <c r="H7" s="67">
        <f t="shared" si="0"/>
        <v>44565</v>
      </c>
    </row>
    <row r="8" spans="2:10" x14ac:dyDescent="0.3">
      <c r="B8" s="6" t="s">
        <v>17</v>
      </c>
      <c r="C8" s="22"/>
      <c r="D8" s="22"/>
      <c r="E8" s="22"/>
      <c r="F8" s="22"/>
      <c r="G8" s="22"/>
      <c r="H8" s="12">
        <f t="shared" si="0"/>
        <v>44565</v>
      </c>
    </row>
    <row r="9" spans="2:10" ht="15.6" x14ac:dyDescent="0.3">
      <c r="B9" s="34" t="s">
        <v>0</v>
      </c>
      <c r="C9" s="57"/>
      <c r="D9" s="60"/>
      <c r="E9" s="61"/>
      <c r="F9" s="117"/>
      <c r="G9" s="61"/>
      <c r="H9" s="12">
        <f t="shared" si="0"/>
        <v>44565</v>
      </c>
    </row>
    <row r="10" spans="2:10" ht="16.2" customHeight="1" x14ac:dyDescent="0.3">
      <c r="B10" s="6" t="s">
        <v>25</v>
      </c>
      <c r="C10" s="22"/>
      <c r="D10" s="22">
        <v>108000</v>
      </c>
      <c r="E10" s="22"/>
      <c r="F10" s="22"/>
      <c r="G10" s="22"/>
      <c r="H10" s="12">
        <f t="shared" si="0"/>
        <v>44565</v>
      </c>
    </row>
    <row r="11" spans="2:10" ht="13.5" customHeight="1" x14ac:dyDescent="0.3">
      <c r="B11" s="6" t="s">
        <v>15</v>
      </c>
      <c r="C11" s="22"/>
      <c r="D11" s="22">
        <v>54000</v>
      </c>
      <c r="E11" s="22"/>
      <c r="F11" s="22"/>
      <c r="G11" s="22"/>
      <c r="H11" s="12">
        <f t="shared" si="0"/>
        <v>44565</v>
      </c>
    </row>
    <row r="12" spans="2:10" x14ac:dyDescent="0.3">
      <c r="B12" s="6" t="s">
        <v>54</v>
      </c>
      <c r="C12" s="22"/>
      <c r="D12" s="22"/>
      <c r="E12" s="22"/>
      <c r="F12" s="22"/>
      <c r="G12" s="22"/>
      <c r="H12" s="67">
        <f t="shared" si="0"/>
        <v>44565</v>
      </c>
    </row>
    <row r="13" spans="2:10" x14ac:dyDescent="0.3">
      <c r="B13" s="6" t="s">
        <v>26</v>
      </c>
      <c r="C13" s="22"/>
      <c r="D13" s="22"/>
      <c r="E13" s="22"/>
      <c r="F13" s="22"/>
      <c r="G13" s="22"/>
      <c r="H13" s="12">
        <f t="shared" si="0"/>
        <v>44565</v>
      </c>
    </row>
    <row r="14" spans="2:10" x14ac:dyDescent="0.3">
      <c r="B14" s="6" t="s">
        <v>22</v>
      </c>
      <c r="C14" s="22"/>
      <c r="D14" s="23"/>
      <c r="E14" s="23"/>
      <c r="F14" s="23"/>
      <c r="G14" s="23"/>
      <c r="H14" s="12">
        <f t="shared" si="0"/>
        <v>44565</v>
      </c>
      <c r="J14" s="4"/>
    </row>
    <row r="15" spans="2:10" x14ac:dyDescent="0.3">
      <c r="B15" s="6" t="s">
        <v>61</v>
      </c>
      <c r="C15" s="22"/>
      <c r="D15" s="23"/>
      <c r="E15" s="23"/>
      <c r="F15" s="23"/>
      <c r="G15" s="23"/>
      <c r="H15" s="67">
        <f t="shared" si="0"/>
        <v>44565</v>
      </c>
      <c r="J15" s="4"/>
    </row>
    <row r="16" spans="2:10" x14ac:dyDescent="0.3">
      <c r="B16" s="6" t="s">
        <v>19</v>
      </c>
      <c r="C16" s="22"/>
      <c r="D16" s="62"/>
      <c r="E16" s="22"/>
      <c r="F16" s="22"/>
      <c r="G16" s="22"/>
      <c r="H16" s="12">
        <f t="shared" si="0"/>
        <v>44565</v>
      </c>
    </row>
    <row r="17" spans="1:8" x14ac:dyDescent="0.3">
      <c r="B17" s="6" t="s">
        <v>14</v>
      </c>
      <c r="C17" s="22"/>
      <c r="D17" s="22">
        <v>54000</v>
      </c>
      <c r="E17" s="22"/>
      <c r="F17" s="22"/>
      <c r="G17" s="22"/>
      <c r="H17" s="12">
        <f t="shared" si="0"/>
        <v>44565</v>
      </c>
    </row>
    <row r="18" spans="1:8" x14ac:dyDescent="0.3">
      <c r="B18" s="6" t="s">
        <v>24</v>
      </c>
      <c r="C18" s="22"/>
      <c r="D18" s="22"/>
      <c r="E18" s="22"/>
      <c r="F18" s="22"/>
      <c r="G18" s="22"/>
      <c r="H18" s="12">
        <f t="shared" si="0"/>
        <v>44565</v>
      </c>
    </row>
    <row r="19" spans="1:8" x14ac:dyDescent="0.3">
      <c r="B19" s="6" t="s">
        <v>21</v>
      </c>
      <c r="C19" s="22"/>
      <c r="D19" s="22"/>
      <c r="E19" s="22"/>
      <c r="F19" s="22"/>
      <c r="G19" s="22"/>
      <c r="H19" s="67">
        <f t="shared" si="0"/>
        <v>44565</v>
      </c>
    </row>
    <row r="20" spans="1:8" x14ac:dyDescent="0.3">
      <c r="B20" s="6" t="s">
        <v>65</v>
      </c>
      <c r="C20" s="22"/>
      <c r="D20" s="22"/>
      <c r="E20" s="22"/>
      <c r="F20" s="22"/>
      <c r="G20" s="22"/>
      <c r="H20" s="12">
        <f t="shared" si="0"/>
        <v>44565</v>
      </c>
    </row>
    <row r="21" spans="1:8" x14ac:dyDescent="0.3">
      <c r="B21" s="6" t="s">
        <v>18</v>
      </c>
      <c r="C21" s="22"/>
      <c r="D21" s="22"/>
      <c r="E21" s="22"/>
      <c r="F21" s="22"/>
      <c r="G21" s="22"/>
      <c r="H21" s="12">
        <f t="shared" si="0"/>
        <v>44565</v>
      </c>
    </row>
    <row r="22" spans="1:8" x14ac:dyDescent="0.3">
      <c r="B22" s="6" t="s">
        <v>16</v>
      </c>
      <c r="C22" s="55"/>
      <c r="D22" s="22">
        <v>108000</v>
      </c>
      <c r="E22" s="22"/>
      <c r="F22" s="22"/>
      <c r="G22" s="22"/>
      <c r="H22" s="12">
        <f t="shared" si="0"/>
        <v>44565</v>
      </c>
    </row>
    <row r="23" spans="1:8" x14ac:dyDescent="0.3">
      <c r="B23" s="50" t="s">
        <v>27</v>
      </c>
      <c r="C23" s="51">
        <f>SUM(January04_2022[KSI_AGO])</f>
        <v>0</v>
      </c>
      <c r="D23" s="51">
        <f>SUBTOTAL(109,January04_2022[KSI_PMS])</f>
        <v>324000</v>
      </c>
      <c r="E23" s="51">
        <f>SUM(January04_2022[BUIPE_AGO])</f>
        <v>0</v>
      </c>
      <c r="F23" s="51">
        <f>SUM(January04_2022[BUIPE_PMS])</f>
        <v>0</v>
      </c>
      <c r="G23" s="51">
        <f>SUM(January04_2022[AKOSOMBO_AGO])</f>
        <v>0</v>
      </c>
      <c r="H23" s="52"/>
    </row>
    <row r="24" spans="1:8" x14ac:dyDescent="0.3">
      <c r="B24" s="8"/>
      <c r="C24" s="24"/>
      <c r="D24" s="24"/>
      <c r="E24" s="24"/>
      <c r="F24" s="24"/>
      <c r="G24" s="24"/>
      <c r="H24"/>
    </row>
    <row r="25" spans="1:8" x14ac:dyDescent="0.3">
      <c r="B25" s="1" t="s">
        <v>6</v>
      </c>
      <c r="C25" s="1" t="s">
        <v>4</v>
      </c>
      <c r="D25" s="5">
        <f>SUMIF(January04_2022[[#Headers],[KSI_AGO]:[AKOSOMBO_AGO]],"*"&amp;C25,January04_2022[[#Totals],[KSI_AGO]:[AKOSOMBO_AGO]])</f>
        <v>0</v>
      </c>
      <c r="E25" s="1" t="s">
        <v>5</v>
      </c>
      <c r="F25" s="5">
        <f>SUMIF(January04_2022[[#Headers],[KSI_AGO]:[AKOSOMBO_AGO]],"*"&amp;E25,January04_2022[[#Totals],[KSI_AGO]:[AKOSOMBO_AGO]])</f>
        <v>324000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84EE2E97-E10D-4EB1-AE5F-ED4FC7DEE72B}">
      <formula1>INDIRECT("BDC_List[BDC List]")</formula1>
    </dataValidation>
  </dataValidations>
  <pageMargins left="0.7" right="0.7" top="0.75" bottom="0.75" header="0.3" footer="0.3"/>
  <pageSetup orientation="portrait" r:id="rId1"/>
  <tableParts count="1">
    <tablePart r:id="rId2"/>
  </tableParts>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4D79-7C6F-475A-9653-C4B024B3AF4D}">
  <sheetPr codeName="Sheet504"/>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E31" sqref="E3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44566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44566</v>
      </c>
    </row>
    <row r="7" spans="2:10" x14ac:dyDescent="0.3">
      <c r="B7" s="6" t="s">
        <v>37</v>
      </c>
      <c r="C7" s="22"/>
      <c r="D7" s="53"/>
      <c r="E7" s="22"/>
      <c r="F7" s="22"/>
      <c r="G7" s="22"/>
      <c r="H7" s="67">
        <f t="shared" si="0"/>
        <v>44566</v>
      </c>
    </row>
    <row r="8" spans="2:10" x14ac:dyDescent="0.3">
      <c r="B8" s="6" t="s">
        <v>17</v>
      </c>
      <c r="C8" s="22"/>
      <c r="D8" s="22">
        <v>157500</v>
      </c>
      <c r="E8" s="22"/>
      <c r="F8" s="22"/>
      <c r="G8" s="22"/>
      <c r="H8" s="12">
        <f t="shared" si="0"/>
        <v>44566</v>
      </c>
    </row>
    <row r="9" spans="2:10" ht="15.6" x14ac:dyDescent="0.3">
      <c r="B9" s="34" t="s">
        <v>0</v>
      </c>
      <c r="C9" s="57"/>
      <c r="D9" s="60"/>
      <c r="E9" s="61"/>
      <c r="F9" s="117">
        <v>270000</v>
      </c>
      <c r="G9" s="61"/>
      <c r="H9" s="12">
        <f t="shared" si="0"/>
        <v>44566</v>
      </c>
    </row>
    <row r="10" spans="2:10" ht="16.2" customHeight="1" x14ac:dyDescent="0.3">
      <c r="B10" s="6" t="s">
        <v>25</v>
      </c>
      <c r="C10" s="22"/>
      <c r="D10" s="22"/>
      <c r="E10" s="22"/>
      <c r="F10" s="22">
        <v>108000</v>
      </c>
      <c r="G10" s="22"/>
      <c r="H10" s="12">
        <f t="shared" si="0"/>
        <v>44566</v>
      </c>
    </row>
    <row r="11" spans="2:10" ht="13.5" customHeight="1" x14ac:dyDescent="0.3">
      <c r="B11" s="6" t="s">
        <v>15</v>
      </c>
      <c r="C11" s="22"/>
      <c r="D11" s="22">
        <v>162000</v>
      </c>
      <c r="E11" s="22"/>
      <c r="F11" s="22"/>
      <c r="G11" s="22"/>
      <c r="H11" s="12">
        <f t="shared" si="0"/>
        <v>44566</v>
      </c>
    </row>
    <row r="12" spans="2:10" x14ac:dyDescent="0.3">
      <c r="B12" s="6" t="s">
        <v>54</v>
      </c>
      <c r="C12" s="22"/>
      <c r="D12" s="22">
        <v>162000</v>
      </c>
      <c r="E12" s="22"/>
      <c r="F12" s="22"/>
      <c r="G12" s="22"/>
      <c r="H12" s="67">
        <f t="shared" si="0"/>
        <v>44566</v>
      </c>
    </row>
    <row r="13" spans="2:10" x14ac:dyDescent="0.3">
      <c r="B13" s="6" t="s">
        <v>26</v>
      </c>
      <c r="C13" s="22"/>
      <c r="D13" s="22">
        <v>54000</v>
      </c>
      <c r="E13" s="22"/>
      <c r="F13" s="22"/>
      <c r="G13" s="22"/>
      <c r="H13" s="12">
        <f t="shared" si="0"/>
        <v>44566</v>
      </c>
    </row>
    <row r="14" spans="2:10" x14ac:dyDescent="0.3">
      <c r="B14" s="6" t="s">
        <v>22</v>
      </c>
      <c r="C14" s="22"/>
      <c r="D14" s="23"/>
      <c r="E14" s="23"/>
      <c r="F14" s="23"/>
      <c r="G14" s="23"/>
      <c r="H14" s="12">
        <f t="shared" si="0"/>
        <v>44566</v>
      </c>
      <c r="J14" s="4"/>
    </row>
    <row r="15" spans="2:10" x14ac:dyDescent="0.3">
      <c r="B15" s="6" t="s">
        <v>61</v>
      </c>
      <c r="C15" s="22"/>
      <c r="D15" s="23"/>
      <c r="E15" s="23"/>
      <c r="F15" s="23"/>
      <c r="G15" s="23"/>
      <c r="H15" s="67">
        <f t="shared" si="0"/>
        <v>44566</v>
      </c>
      <c r="J15" s="4"/>
    </row>
    <row r="16" spans="2:10" x14ac:dyDescent="0.3">
      <c r="B16" s="6" t="s">
        <v>19</v>
      </c>
      <c r="C16" s="22"/>
      <c r="D16" s="62"/>
      <c r="E16" s="22"/>
      <c r="F16" s="22"/>
      <c r="G16" s="22"/>
      <c r="H16" s="12">
        <f t="shared" si="0"/>
        <v>44566</v>
      </c>
    </row>
    <row r="17" spans="1:8" x14ac:dyDescent="0.3">
      <c r="B17" s="6" t="s">
        <v>14</v>
      </c>
      <c r="C17" s="22">
        <v>355500</v>
      </c>
      <c r="D17" s="22">
        <v>153000</v>
      </c>
      <c r="E17" s="22"/>
      <c r="F17" s="22"/>
      <c r="G17" s="22"/>
      <c r="H17" s="12">
        <f t="shared" si="0"/>
        <v>44566</v>
      </c>
    </row>
    <row r="18" spans="1:8" x14ac:dyDescent="0.3">
      <c r="B18" s="6" t="s">
        <v>24</v>
      </c>
      <c r="C18" s="22"/>
      <c r="D18" s="22"/>
      <c r="E18" s="22"/>
      <c r="F18" s="22"/>
      <c r="G18" s="22"/>
      <c r="H18" s="12">
        <f t="shared" si="0"/>
        <v>44566</v>
      </c>
    </row>
    <row r="19" spans="1:8" x14ac:dyDescent="0.3">
      <c r="B19" s="6" t="s">
        <v>21</v>
      </c>
      <c r="C19" s="22"/>
      <c r="D19" s="22"/>
      <c r="E19" s="22"/>
      <c r="F19" s="22"/>
      <c r="G19" s="22"/>
      <c r="H19" s="67">
        <f t="shared" si="0"/>
        <v>44566</v>
      </c>
    </row>
    <row r="20" spans="1:8" x14ac:dyDescent="0.3">
      <c r="B20" s="6" t="s">
        <v>65</v>
      </c>
      <c r="C20" s="22"/>
      <c r="D20" s="22"/>
      <c r="E20" s="22"/>
      <c r="F20" s="22"/>
      <c r="G20" s="22"/>
      <c r="H20" s="12">
        <f t="shared" si="0"/>
        <v>44566</v>
      </c>
    </row>
    <row r="21" spans="1:8" x14ac:dyDescent="0.3">
      <c r="B21" s="6" t="s">
        <v>18</v>
      </c>
      <c r="C21" s="22"/>
      <c r="D21" s="22"/>
      <c r="E21" s="22"/>
      <c r="F21" s="22"/>
      <c r="G21" s="22"/>
      <c r="H21" s="12">
        <f t="shared" si="0"/>
        <v>44566</v>
      </c>
    </row>
    <row r="22" spans="1:8" x14ac:dyDescent="0.3">
      <c r="B22" s="6" t="s">
        <v>16</v>
      </c>
      <c r="C22" s="55"/>
      <c r="D22" s="22">
        <v>162000</v>
      </c>
      <c r="E22" s="22"/>
      <c r="F22" s="22">
        <v>108000</v>
      </c>
      <c r="G22" s="22"/>
      <c r="H22" s="12">
        <f t="shared" si="0"/>
        <v>44566</v>
      </c>
    </row>
    <row r="23" spans="1:8" x14ac:dyDescent="0.3">
      <c r="B23" s="50" t="s">
        <v>27</v>
      </c>
      <c r="C23" s="51">
        <f>SUM(January05_2022[KSI_AGO])</f>
        <v>355500</v>
      </c>
      <c r="D23" s="51">
        <f>SUBTOTAL(109,January05_2022[KSI_PMS])</f>
        <v>850500</v>
      </c>
      <c r="E23" s="51">
        <f>SUM(January05_2022[BUIPE_AGO])</f>
        <v>0</v>
      </c>
      <c r="F23" s="51">
        <f>SUM(January05_2022[BUIPE_PMS])</f>
        <v>486000</v>
      </c>
      <c r="G23" s="51">
        <f>SUM(January05_2022[AKOSOMBO_AGO])</f>
        <v>0</v>
      </c>
      <c r="H23" s="52"/>
    </row>
    <row r="24" spans="1:8" x14ac:dyDescent="0.3">
      <c r="B24" s="8"/>
      <c r="C24" s="24"/>
      <c r="D24" s="24"/>
      <c r="E24" s="24"/>
      <c r="F24" s="24"/>
      <c r="G24" s="24"/>
      <c r="H24"/>
    </row>
    <row r="25" spans="1:8" x14ac:dyDescent="0.3">
      <c r="B25" s="1" t="s">
        <v>6</v>
      </c>
      <c r="C25" s="1" t="s">
        <v>4</v>
      </c>
      <c r="D25" s="5">
        <f>SUMIF(January05_2022[[#Headers],[KSI_AGO]:[AKOSOMBO_AGO]],"*"&amp;C25,January05_2022[[#Totals],[KSI_AGO]:[AKOSOMBO_AGO]])</f>
        <v>355500</v>
      </c>
      <c r="E25" s="1" t="s">
        <v>5</v>
      </c>
      <c r="F25" s="5">
        <f>SUMIF(January05_2022[[#Headers],[KSI_AGO]:[AKOSOMBO_AGO]],"*"&amp;E25,January05_2022[[#Totals],[KSI_AGO]:[AKOSOMBO_AGO]])</f>
        <v>1336500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2B491DFC-828E-47D0-A44E-B94F761BB605}">
      <formula1>INDIRECT("BDC_List[BDC List]")</formula1>
    </dataValidation>
  </dataValidations>
  <pageMargins left="0.7" right="0.7" top="0.75" bottom="0.75" header="0.3" footer="0.3"/>
  <pageSetup orientation="portrait" r:id="rId1"/>
  <tableParts count="1">
    <tablePart r:id="rId2"/>
  </tableParts>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29A5-1CFD-4A93-82D8-34784169F711}">
  <sheetPr codeName="Sheet505"/>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F26" sqref="F2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44567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44567</v>
      </c>
    </row>
    <row r="7" spans="2:10" x14ac:dyDescent="0.3">
      <c r="B7" s="6" t="s">
        <v>37</v>
      </c>
      <c r="C7" s="22"/>
      <c r="D7" s="53"/>
      <c r="E7" s="22"/>
      <c r="F7" s="22"/>
      <c r="G7" s="22"/>
      <c r="H7" s="67">
        <f t="shared" si="0"/>
        <v>44567</v>
      </c>
    </row>
    <row r="8" spans="2:10" x14ac:dyDescent="0.3">
      <c r="B8" s="6" t="s">
        <v>17</v>
      </c>
      <c r="C8" s="22"/>
      <c r="D8" s="22">
        <v>162000</v>
      </c>
      <c r="E8" s="22"/>
      <c r="F8" s="22">
        <v>45000</v>
      </c>
      <c r="G8" s="22"/>
      <c r="H8" s="12">
        <f t="shared" si="0"/>
        <v>44567</v>
      </c>
    </row>
    <row r="9" spans="2:10" ht="15.6" x14ac:dyDescent="0.3">
      <c r="B9" s="34" t="s">
        <v>0</v>
      </c>
      <c r="C9" s="57"/>
      <c r="D9" s="60"/>
      <c r="E9" s="61"/>
      <c r="F9" s="117">
        <v>486000</v>
      </c>
      <c r="G9" s="61"/>
      <c r="H9" s="12">
        <f t="shared" si="0"/>
        <v>44567</v>
      </c>
    </row>
    <row r="10" spans="2:10" ht="16.2" customHeight="1" x14ac:dyDescent="0.3">
      <c r="B10" s="6" t="s">
        <v>25</v>
      </c>
      <c r="C10" s="22"/>
      <c r="D10" s="22">
        <v>108000</v>
      </c>
      <c r="E10" s="22"/>
      <c r="F10" s="22">
        <v>104000</v>
      </c>
      <c r="G10" s="22"/>
      <c r="H10" s="12">
        <f t="shared" si="0"/>
        <v>44567</v>
      </c>
    </row>
    <row r="11" spans="2:10" ht="13.5" customHeight="1" x14ac:dyDescent="0.3">
      <c r="B11" s="6" t="s">
        <v>15</v>
      </c>
      <c r="C11" s="22"/>
      <c r="D11" s="22">
        <v>265500</v>
      </c>
      <c r="E11" s="22"/>
      <c r="F11" s="22">
        <v>45000</v>
      </c>
      <c r="G11" s="22"/>
      <c r="H11" s="12">
        <f t="shared" si="0"/>
        <v>44567</v>
      </c>
    </row>
    <row r="12" spans="2:10" x14ac:dyDescent="0.3">
      <c r="B12" s="6" t="s">
        <v>54</v>
      </c>
      <c r="C12" s="22"/>
      <c r="D12" s="22">
        <v>261000</v>
      </c>
      <c r="E12" s="22"/>
      <c r="F12" s="22"/>
      <c r="G12" s="22"/>
      <c r="H12" s="67">
        <f t="shared" si="0"/>
        <v>44567</v>
      </c>
    </row>
    <row r="13" spans="2:10" x14ac:dyDescent="0.3">
      <c r="B13" s="6" t="s">
        <v>26</v>
      </c>
      <c r="C13" s="22"/>
      <c r="D13" s="22"/>
      <c r="E13" s="22"/>
      <c r="F13" s="22"/>
      <c r="G13" s="22"/>
      <c r="H13" s="12">
        <f t="shared" si="0"/>
        <v>44567</v>
      </c>
    </row>
    <row r="14" spans="2:10" x14ac:dyDescent="0.3">
      <c r="B14" s="6" t="s">
        <v>22</v>
      </c>
      <c r="C14" s="22"/>
      <c r="D14" s="23"/>
      <c r="E14" s="23"/>
      <c r="F14" s="23"/>
      <c r="G14" s="23"/>
      <c r="H14" s="12">
        <f t="shared" si="0"/>
        <v>44567</v>
      </c>
      <c r="J14" s="4"/>
    </row>
    <row r="15" spans="2:10" x14ac:dyDescent="0.3">
      <c r="B15" s="6" t="s">
        <v>61</v>
      </c>
      <c r="C15" s="22"/>
      <c r="D15" s="23"/>
      <c r="E15" s="23"/>
      <c r="F15" s="23"/>
      <c r="G15" s="23"/>
      <c r="H15" s="67">
        <f t="shared" si="0"/>
        <v>44567</v>
      </c>
      <c r="J15" s="4"/>
    </row>
    <row r="16" spans="2:10" x14ac:dyDescent="0.3">
      <c r="B16" s="6" t="s">
        <v>19</v>
      </c>
      <c r="C16" s="22">
        <v>486000</v>
      </c>
      <c r="D16" s="62"/>
      <c r="E16" s="22"/>
      <c r="F16" s="22"/>
      <c r="G16" s="22">
        <v>378000</v>
      </c>
      <c r="H16" s="12">
        <f t="shared" si="0"/>
        <v>44567</v>
      </c>
    </row>
    <row r="17" spans="1:8" x14ac:dyDescent="0.3">
      <c r="B17" s="6" t="s">
        <v>14</v>
      </c>
      <c r="C17" s="22">
        <v>45000</v>
      </c>
      <c r="D17" s="22">
        <v>261000</v>
      </c>
      <c r="E17" s="22"/>
      <c r="F17" s="22"/>
      <c r="G17" s="22"/>
      <c r="H17" s="12">
        <f t="shared" si="0"/>
        <v>44567</v>
      </c>
    </row>
    <row r="18" spans="1:8" x14ac:dyDescent="0.3">
      <c r="B18" s="6" t="s">
        <v>24</v>
      </c>
      <c r="C18" s="22"/>
      <c r="D18" s="22"/>
      <c r="E18" s="22"/>
      <c r="F18" s="22"/>
      <c r="G18" s="22"/>
      <c r="H18" s="12">
        <f t="shared" si="0"/>
        <v>44567</v>
      </c>
    </row>
    <row r="19" spans="1:8" x14ac:dyDescent="0.3">
      <c r="B19" s="6" t="s">
        <v>21</v>
      </c>
      <c r="C19" s="22"/>
      <c r="D19" s="22"/>
      <c r="E19" s="22"/>
      <c r="F19" s="22"/>
      <c r="G19" s="22"/>
      <c r="H19" s="67">
        <f t="shared" si="0"/>
        <v>44567</v>
      </c>
    </row>
    <row r="20" spans="1:8" x14ac:dyDescent="0.3">
      <c r="B20" s="6" t="s">
        <v>65</v>
      </c>
      <c r="C20" s="22"/>
      <c r="D20" s="22"/>
      <c r="E20" s="22"/>
      <c r="F20" s="22"/>
      <c r="G20" s="22"/>
      <c r="H20" s="12">
        <f t="shared" si="0"/>
        <v>44567</v>
      </c>
    </row>
    <row r="21" spans="1:8" x14ac:dyDescent="0.3">
      <c r="B21" s="6" t="s">
        <v>18</v>
      </c>
      <c r="C21" s="22"/>
      <c r="D21" s="22"/>
      <c r="E21" s="22"/>
      <c r="F21" s="22"/>
      <c r="G21" s="22"/>
      <c r="H21" s="12">
        <f t="shared" si="0"/>
        <v>44567</v>
      </c>
    </row>
    <row r="22" spans="1:8" x14ac:dyDescent="0.3">
      <c r="B22" s="6" t="s">
        <v>16</v>
      </c>
      <c r="C22" s="55">
        <v>432000</v>
      </c>
      <c r="D22" s="22">
        <v>162000</v>
      </c>
      <c r="E22" s="22"/>
      <c r="F22" s="22"/>
      <c r="G22" s="22"/>
      <c r="H22" s="12">
        <f t="shared" si="0"/>
        <v>44567</v>
      </c>
    </row>
    <row r="23" spans="1:8" x14ac:dyDescent="0.3">
      <c r="B23" s="50" t="s">
        <v>27</v>
      </c>
      <c r="C23" s="51">
        <f>SUM(January06_2022[KSI_AGO])</f>
        <v>963000</v>
      </c>
      <c r="D23" s="51">
        <f>SUBTOTAL(109,January06_2022[KSI_PMS])</f>
        <v>1219500</v>
      </c>
      <c r="E23" s="51">
        <f>SUM(January06_2022[BUIPE_AGO])</f>
        <v>0</v>
      </c>
      <c r="F23" s="51">
        <f>SUM(January06_2022[BUIPE_PMS])</f>
        <v>680000</v>
      </c>
      <c r="G23" s="51">
        <f>SUM(January06_2022[AKOSOMBO_AGO])</f>
        <v>378000</v>
      </c>
      <c r="H23" s="52"/>
    </row>
    <row r="24" spans="1:8" x14ac:dyDescent="0.3">
      <c r="B24" s="8"/>
      <c r="C24" s="24"/>
      <c r="D24" s="24"/>
      <c r="E24" s="24"/>
      <c r="F24" s="24"/>
      <c r="G24" s="24"/>
      <c r="H24"/>
    </row>
    <row r="25" spans="1:8" x14ac:dyDescent="0.3">
      <c r="B25" s="1" t="s">
        <v>6</v>
      </c>
      <c r="C25" s="1" t="s">
        <v>4</v>
      </c>
      <c r="D25" s="5">
        <f>SUMIF(January06_2022[[#Headers],[KSI_AGO]:[AKOSOMBO_AGO]],"*"&amp;C25,January06_2022[[#Totals],[KSI_AGO]:[AKOSOMBO_AGO]])</f>
        <v>1341000</v>
      </c>
      <c r="E25" s="1" t="s">
        <v>5</v>
      </c>
      <c r="F25" s="5">
        <f>SUMIF(January06_2022[[#Headers],[KSI_AGO]:[AKOSOMBO_AGO]],"*"&amp;E25,January06_2022[[#Totals],[KSI_AGO]:[AKOSOMBO_AGO]])</f>
        <v>1899500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DEA988D-5800-4A8B-A001-6C54543E7666}">
      <formula1>INDIRECT("BDC_List[BDC List]")</formula1>
    </dataValidation>
  </dataValidations>
  <pageMargins left="0.7" right="0.7" top="0.75" bottom="0.75" header="0.3" footer="0.3"/>
  <pageSetup orientation="portrait" r:id="rId1"/>
  <tableParts count="1">
    <tablePart r:id="rId2"/>
  </tableParts>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9945-2176-4B0C-984A-A46B5BEDDBB7}">
  <sheetPr codeName="Sheet506"/>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8" sqref="G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44571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44571</v>
      </c>
    </row>
    <row r="7" spans="2:10" x14ac:dyDescent="0.3">
      <c r="B7" s="6" t="s">
        <v>37</v>
      </c>
      <c r="C7" s="22"/>
      <c r="D7" s="53"/>
      <c r="E7" s="22"/>
      <c r="F7" s="22"/>
      <c r="G7" s="22"/>
      <c r="H7" s="67">
        <f t="shared" si="0"/>
        <v>44571</v>
      </c>
    </row>
    <row r="8" spans="2:10" x14ac:dyDescent="0.3">
      <c r="B8" s="6" t="s">
        <v>17</v>
      </c>
      <c r="C8" s="22"/>
      <c r="D8" s="22">
        <v>108000</v>
      </c>
      <c r="E8" s="22"/>
      <c r="F8" s="22"/>
      <c r="G8" s="22"/>
      <c r="H8" s="12">
        <f t="shared" si="0"/>
        <v>44571</v>
      </c>
    </row>
    <row r="9" spans="2:10" ht="15.6" x14ac:dyDescent="0.3">
      <c r="B9" s="34" t="s">
        <v>0</v>
      </c>
      <c r="C9" s="57"/>
      <c r="D9" s="60"/>
      <c r="E9" s="61"/>
      <c r="F9" s="117">
        <v>378000</v>
      </c>
      <c r="G9" s="61"/>
      <c r="H9" s="12">
        <f t="shared" si="0"/>
        <v>44571</v>
      </c>
    </row>
    <row r="10" spans="2:10" ht="16.2" customHeight="1" x14ac:dyDescent="0.3">
      <c r="B10" s="6" t="s">
        <v>25</v>
      </c>
      <c r="C10" s="22"/>
      <c r="D10" s="22">
        <v>108000</v>
      </c>
      <c r="E10" s="22"/>
      <c r="F10" s="22">
        <v>54000</v>
      </c>
      <c r="G10" s="22"/>
      <c r="H10" s="12">
        <f t="shared" si="0"/>
        <v>44571</v>
      </c>
    </row>
    <row r="11" spans="2:10" ht="13.5" customHeight="1" x14ac:dyDescent="0.3">
      <c r="B11" s="6" t="s">
        <v>15</v>
      </c>
      <c r="C11" s="22"/>
      <c r="D11" s="22">
        <v>108000</v>
      </c>
      <c r="E11" s="22"/>
      <c r="F11" s="22"/>
      <c r="G11" s="22"/>
      <c r="H11" s="12">
        <f t="shared" si="0"/>
        <v>44571</v>
      </c>
    </row>
    <row r="12" spans="2:10" x14ac:dyDescent="0.3">
      <c r="B12" s="6" t="s">
        <v>54</v>
      </c>
      <c r="C12" s="22"/>
      <c r="D12" s="22">
        <v>108000</v>
      </c>
      <c r="E12" s="22"/>
      <c r="F12" s="22"/>
      <c r="G12" s="22"/>
      <c r="H12" s="67">
        <f t="shared" si="0"/>
        <v>44571</v>
      </c>
    </row>
    <row r="13" spans="2:10" x14ac:dyDescent="0.3">
      <c r="B13" s="6" t="s">
        <v>26</v>
      </c>
      <c r="C13" s="22"/>
      <c r="D13" s="22">
        <v>162000</v>
      </c>
      <c r="E13" s="22"/>
      <c r="F13" s="22"/>
      <c r="G13" s="22"/>
      <c r="H13" s="12">
        <f t="shared" si="0"/>
        <v>44571</v>
      </c>
    </row>
    <row r="14" spans="2:10" x14ac:dyDescent="0.3">
      <c r="B14" s="6" t="s">
        <v>22</v>
      </c>
      <c r="C14" s="22"/>
      <c r="D14" s="23"/>
      <c r="E14" s="23"/>
      <c r="F14" s="23"/>
      <c r="G14" s="23"/>
      <c r="H14" s="12">
        <f t="shared" si="0"/>
        <v>44571</v>
      </c>
      <c r="J14" s="4"/>
    </row>
    <row r="15" spans="2:10" x14ac:dyDescent="0.3">
      <c r="B15" s="6" t="s">
        <v>61</v>
      </c>
      <c r="C15" s="22"/>
      <c r="D15" s="23"/>
      <c r="E15" s="23"/>
      <c r="F15" s="23"/>
      <c r="G15" s="23"/>
      <c r="H15" s="67">
        <f t="shared" si="0"/>
        <v>44571</v>
      </c>
      <c r="J15" s="4"/>
    </row>
    <row r="16" spans="2:10" x14ac:dyDescent="0.3">
      <c r="B16" s="6" t="s">
        <v>19</v>
      </c>
      <c r="C16" s="22">
        <v>810000</v>
      </c>
      <c r="D16" s="62"/>
      <c r="E16" s="22"/>
      <c r="F16" s="22"/>
      <c r="G16" s="22">
        <v>324000</v>
      </c>
      <c r="H16" s="12">
        <f t="shared" si="0"/>
        <v>44571</v>
      </c>
    </row>
    <row r="17" spans="1:8" x14ac:dyDescent="0.3">
      <c r="B17" s="6" t="s">
        <v>14</v>
      </c>
      <c r="C17" s="22"/>
      <c r="D17" s="22">
        <v>216000</v>
      </c>
      <c r="E17" s="22"/>
      <c r="F17" s="22"/>
      <c r="G17" s="22"/>
      <c r="H17" s="12">
        <f t="shared" si="0"/>
        <v>44571</v>
      </c>
    </row>
    <row r="18" spans="1:8" x14ac:dyDescent="0.3">
      <c r="B18" s="6" t="s">
        <v>24</v>
      </c>
      <c r="C18" s="22"/>
      <c r="D18" s="22"/>
      <c r="E18" s="22"/>
      <c r="F18" s="22"/>
      <c r="G18" s="22"/>
      <c r="H18" s="12">
        <f t="shared" si="0"/>
        <v>44571</v>
      </c>
    </row>
    <row r="19" spans="1:8" x14ac:dyDescent="0.3">
      <c r="B19" s="6" t="s">
        <v>21</v>
      </c>
      <c r="C19" s="22"/>
      <c r="D19" s="22"/>
      <c r="E19" s="22"/>
      <c r="F19" s="22"/>
      <c r="G19" s="22"/>
      <c r="H19" s="67">
        <f t="shared" si="0"/>
        <v>44571</v>
      </c>
    </row>
    <row r="20" spans="1:8" x14ac:dyDescent="0.3">
      <c r="B20" s="6" t="s">
        <v>65</v>
      </c>
      <c r="C20" s="22"/>
      <c r="D20" s="22"/>
      <c r="E20" s="22"/>
      <c r="F20" s="22"/>
      <c r="G20" s="22"/>
      <c r="H20" s="12">
        <f t="shared" si="0"/>
        <v>44571</v>
      </c>
    </row>
    <row r="21" spans="1:8" x14ac:dyDescent="0.3">
      <c r="B21" s="6" t="s">
        <v>18</v>
      </c>
      <c r="C21" s="22"/>
      <c r="D21" s="22"/>
      <c r="E21" s="22"/>
      <c r="F21" s="22"/>
      <c r="G21" s="22"/>
      <c r="H21" s="12">
        <f t="shared" si="0"/>
        <v>44571</v>
      </c>
    </row>
    <row r="22" spans="1:8" x14ac:dyDescent="0.3">
      <c r="B22" s="6" t="s">
        <v>16</v>
      </c>
      <c r="C22" s="55">
        <v>378000</v>
      </c>
      <c r="D22" s="22">
        <v>54000</v>
      </c>
      <c r="E22" s="22"/>
      <c r="F22" s="22">
        <v>54000</v>
      </c>
      <c r="G22" s="22"/>
      <c r="H22" s="12">
        <f t="shared" si="0"/>
        <v>44571</v>
      </c>
    </row>
    <row r="23" spans="1:8" x14ac:dyDescent="0.3">
      <c r="B23" s="50" t="s">
        <v>27</v>
      </c>
      <c r="C23" s="51">
        <f>SUM(January10_2022[KSI_AGO])</f>
        <v>1188000</v>
      </c>
      <c r="D23" s="51">
        <f>SUBTOTAL(109,January10_2022[KSI_PMS])</f>
        <v>864000</v>
      </c>
      <c r="E23" s="51">
        <f>SUM(January10_2022[BUIPE_AGO])</f>
        <v>0</v>
      </c>
      <c r="F23" s="51">
        <f>SUM(January10_2022[BUIPE_PMS])</f>
        <v>486000</v>
      </c>
      <c r="G23" s="51">
        <f>SUM(January10_2022[AKOSOMBO_AGO])</f>
        <v>324000</v>
      </c>
      <c r="H23" s="52"/>
    </row>
    <row r="24" spans="1:8" x14ac:dyDescent="0.3">
      <c r="B24" s="8"/>
      <c r="C24" s="24"/>
      <c r="D24" s="24"/>
      <c r="E24" s="24"/>
      <c r="F24" s="24"/>
      <c r="G24" s="24"/>
      <c r="H24"/>
    </row>
    <row r="25" spans="1:8" x14ac:dyDescent="0.3">
      <c r="B25" s="1" t="s">
        <v>6</v>
      </c>
      <c r="C25" s="1" t="s">
        <v>4</v>
      </c>
      <c r="D25" s="5">
        <f>SUMIF(January10_2022[[#Headers],[KSI_AGO]:[AKOSOMBO_AGO]],"*"&amp;C25,January10_2022[[#Totals],[KSI_AGO]:[AKOSOMBO_AGO]])</f>
        <v>1512000</v>
      </c>
      <c r="E25" s="1" t="s">
        <v>5</v>
      </c>
      <c r="F25" s="5">
        <f>SUMIF(January10_2022[[#Headers],[KSI_AGO]:[AKOSOMBO_AGO]],"*"&amp;E25,January10_2022[[#Totals],[KSI_AGO]:[AKOSOMBO_AGO]])</f>
        <v>1350000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E694E9E2-55A0-4685-AD97-6B90986C4087}">
      <formula1>INDIRECT("BDC_List[BDC List]")</formula1>
    </dataValidation>
  </dataValidations>
  <pageMargins left="0.7" right="0.7" top="0.75" bottom="0.75" header="0.3" footer="0.3"/>
  <pageSetup orientation="portrait" r:id="rId1"/>
  <tableParts count="1">
    <tablePart r:id="rId2"/>
  </tableParts>
</worksheet>
</file>

<file path=xl/worksheets/sheet5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F9C5-9D85-4521-8370-2AB54709912A}">
  <sheetPr codeName="Sheet507"/>
  <dimension ref="A1:J35"/>
  <sheetViews>
    <sheetView zoomScaleNormal="100" workbookViewId="0">
      <pane xSplit="2" ySplit="5" topLeftCell="D6" activePane="bottomRight" state="frozen"/>
      <selection activeCell="J22" sqref="J22"/>
      <selection pane="topRight" activeCell="J22" sqref="J22"/>
      <selection pane="bottomLeft" activeCell="J22" sqref="J22"/>
      <selection pane="bottomRight" activeCell="D23" sqref="D2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44572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44572</v>
      </c>
    </row>
    <row r="7" spans="2:10" x14ac:dyDescent="0.3">
      <c r="B7" s="6" t="s">
        <v>37</v>
      </c>
      <c r="C7" s="22"/>
      <c r="D7" s="53">
        <v>54000</v>
      </c>
      <c r="E7" s="22"/>
      <c r="F7" s="22"/>
      <c r="G7" s="22"/>
      <c r="H7" s="67">
        <f t="shared" si="0"/>
        <v>44572</v>
      </c>
    </row>
    <row r="8" spans="2:10" x14ac:dyDescent="0.3">
      <c r="B8" s="6" t="s">
        <v>17</v>
      </c>
      <c r="C8" s="22"/>
      <c r="D8" s="22"/>
      <c r="E8" s="22"/>
      <c r="F8" s="22"/>
      <c r="G8" s="22"/>
      <c r="H8" s="12">
        <f t="shared" si="0"/>
        <v>44572</v>
      </c>
    </row>
    <row r="9" spans="2:10" ht="15.6" x14ac:dyDescent="0.3">
      <c r="B9" s="34" t="s">
        <v>0</v>
      </c>
      <c r="C9" s="57"/>
      <c r="D9" s="60">
        <v>108000</v>
      </c>
      <c r="E9" s="61"/>
      <c r="F9" s="117">
        <v>162000</v>
      </c>
      <c r="G9" s="61"/>
      <c r="H9" s="12">
        <f t="shared" si="0"/>
        <v>44572</v>
      </c>
    </row>
    <row r="10" spans="2:10" ht="16.2" customHeight="1" x14ac:dyDescent="0.3">
      <c r="B10" s="6" t="s">
        <v>25</v>
      </c>
      <c r="C10" s="22"/>
      <c r="D10" s="22">
        <v>108000</v>
      </c>
      <c r="E10" s="22"/>
      <c r="F10" s="22"/>
      <c r="G10" s="22"/>
      <c r="H10" s="12">
        <f t="shared" si="0"/>
        <v>44572</v>
      </c>
    </row>
    <row r="11" spans="2:10" ht="13.5" customHeight="1" x14ac:dyDescent="0.3">
      <c r="B11" s="6" t="s">
        <v>15</v>
      </c>
      <c r="C11" s="22"/>
      <c r="D11" s="22">
        <v>162000</v>
      </c>
      <c r="E11" s="22"/>
      <c r="F11" s="22"/>
      <c r="G11" s="22"/>
      <c r="H11" s="12">
        <f t="shared" si="0"/>
        <v>44572</v>
      </c>
    </row>
    <row r="12" spans="2:10" x14ac:dyDescent="0.3">
      <c r="B12" s="6" t="s">
        <v>54</v>
      </c>
      <c r="C12" s="22"/>
      <c r="D12" s="22">
        <v>364500</v>
      </c>
      <c r="E12" s="22"/>
      <c r="F12" s="22"/>
      <c r="G12" s="22"/>
      <c r="H12" s="67">
        <f t="shared" si="0"/>
        <v>44572</v>
      </c>
    </row>
    <row r="13" spans="2:10" x14ac:dyDescent="0.3">
      <c r="B13" s="6" t="s">
        <v>26</v>
      </c>
      <c r="C13" s="22"/>
      <c r="D13" s="22"/>
      <c r="E13" s="22"/>
      <c r="F13" s="22"/>
      <c r="G13" s="22"/>
      <c r="H13" s="12">
        <f t="shared" si="0"/>
        <v>44572</v>
      </c>
    </row>
    <row r="14" spans="2:10" x14ac:dyDescent="0.3">
      <c r="B14" s="6" t="s">
        <v>22</v>
      </c>
      <c r="C14" s="22"/>
      <c r="D14" s="23"/>
      <c r="E14" s="23"/>
      <c r="F14" s="23"/>
      <c r="G14" s="23"/>
      <c r="H14" s="12">
        <f t="shared" si="0"/>
        <v>44572</v>
      </c>
      <c r="J14" s="4"/>
    </row>
    <row r="15" spans="2:10" x14ac:dyDescent="0.3">
      <c r="B15" s="6" t="s">
        <v>61</v>
      </c>
      <c r="C15" s="22"/>
      <c r="D15" s="23"/>
      <c r="E15" s="23"/>
      <c r="F15" s="23"/>
      <c r="G15" s="23"/>
      <c r="H15" s="67">
        <f t="shared" si="0"/>
        <v>44572</v>
      </c>
      <c r="J15" s="4"/>
    </row>
    <row r="16" spans="2:10" x14ac:dyDescent="0.3">
      <c r="B16" s="6" t="s">
        <v>19</v>
      </c>
      <c r="C16" s="22">
        <v>359500</v>
      </c>
      <c r="D16" s="62">
        <v>324000</v>
      </c>
      <c r="E16" s="22"/>
      <c r="F16" s="22"/>
      <c r="G16" s="22">
        <v>162000</v>
      </c>
      <c r="H16" s="12">
        <f t="shared" si="0"/>
        <v>44572</v>
      </c>
    </row>
    <row r="17" spans="1:8" x14ac:dyDescent="0.3">
      <c r="B17" s="6" t="s">
        <v>14</v>
      </c>
      <c r="C17" s="22">
        <v>54000</v>
      </c>
      <c r="D17" s="22">
        <v>162000</v>
      </c>
      <c r="E17" s="22"/>
      <c r="F17" s="22"/>
      <c r="G17" s="22"/>
      <c r="H17" s="12">
        <f t="shared" si="0"/>
        <v>44572</v>
      </c>
    </row>
    <row r="18" spans="1:8" x14ac:dyDescent="0.3">
      <c r="B18" s="6" t="s">
        <v>24</v>
      </c>
      <c r="C18" s="22"/>
      <c r="D18" s="22"/>
      <c r="E18" s="22"/>
      <c r="F18" s="22"/>
      <c r="G18" s="22"/>
      <c r="H18" s="12">
        <f t="shared" si="0"/>
        <v>44572</v>
      </c>
    </row>
    <row r="19" spans="1:8" x14ac:dyDescent="0.3">
      <c r="B19" s="6" t="s">
        <v>21</v>
      </c>
      <c r="C19" s="22"/>
      <c r="D19" s="22"/>
      <c r="E19" s="22"/>
      <c r="F19" s="22"/>
      <c r="G19" s="22"/>
      <c r="H19" s="67">
        <f t="shared" si="0"/>
        <v>44572</v>
      </c>
    </row>
    <row r="20" spans="1:8" x14ac:dyDescent="0.3">
      <c r="B20" s="6" t="s">
        <v>65</v>
      </c>
      <c r="C20" s="22"/>
      <c r="D20" s="22"/>
      <c r="E20" s="22"/>
      <c r="F20" s="22"/>
      <c r="G20" s="22"/>
      <c r="H20" s="12">
        <f t="shared" si="0"/>
        <v>44572</v>
      </c>
    </row>
    <row r="21" spans="1:8" x14ac:dyDescent="0.3">
      <c r="B21" s="6" t="s">
        <v>18</v>
      </c>
      <c r="C21" s="22">
        <v>216000</v>
      </c>
      <c r="D21" s="22">
        <v>54000</v>
      </c>
      <c r="E21" s="22"/>
      <c r="F21" s="22"/>
      <c r="G21" s="22"/>
      <c r="H21" s="12">
        <f t="shared" si="0"/>
        <v>44572</v>
      </c>
    </row>
    <row r="22" spans="1:8" x14ac:dyDescent="0.3">
      <c r="B22" s="6" t="s">
        <v>16</v>
      </c>
      <c r="C22" s="55">
        <v>324000</v>
      </c>
      <c r="D22" s="22">
        <v>108000</v>
      </c>
      <c r="E22" s="22"/>
      <c r="F22" s="22"/>
      <c r="G22" s="22">
        <v>216000</v>
      </c>
      <c r="H22" s="12">
        <f t="shared" si="0"/>
        <v>44572</v>
      </c>
    </row>
    <row r="23" spans="1:8" x14ac:dyDescent="0.3">
      <c r="B23" s="50" t="s">
        <v>27</v>
      </c>
      <c r="C23" s="51">
        <f>SUM(January11_2022[KSI_AGO])</f>
        <v>953500</v>
      </c>
      <c r="D23" s="51">
        <f>SUBTOTAL(109,January11_2022[KSI_PMS])</f>
        <v>1444500</v>
      </c>
      <c r="E23" s="51">
        <f>SUM(January11_2022[BUIPE_AGO])</f>
        <v>0</v>
      </c>
      <c r="F23" s="51">
        <f>SUM(January11_2022[BUIPE_PMS])</f>
        <v>162000</v>
      </c>
      <c r="G23" s="51">
        <f>SUM(January11_2022[AKOSOMBO_AGO])</f>
        <v>378000</v>
      </c>
      <c r="H23" s="52"/>
    </row>
    <row r="24" spans="1:8" x14ac:dyDescent="0.3">
      <c r="B24" s="8"/>
      <c r="C24" s="24"/>
      <c r="D24" s="24"/>
      <c r="E24" s="24"/>
      <c r="F24" s="24"/>
      <c r="G24" s="24"/>
      <c r="H24"/>
    </row>
    <row r="25" spans="1:8" x14ac:dyDescent="0.3">
      <c r="B25" s="1" t="s">
        <v>6</v>
      </c>
      <c r="C25" s="1" t="s">
        <v>4</v>
      </c>
      <c r="D25" s="5">
        <f>SUMIF(January11_2022[[#Headers],[KSI_AGO]:[AKOSOMBO_AGO]],"*"&amp;C25,January11_2022[[#Totals],[KSI_AGO]:[AKOSOMBO_AGO]])</f>
        <v>1331500</v>
      </c>
      <c r="E25" s="1" t="s">
        <v>5</v>
      </c>
      <c r="F25" s="5">
        <f>SUMIF(January11_2022[[#Headers],[KSI_AGO]:[AKOSOMBO_AGO]],"*"&amp;E25,January11_2022[[#Totals],[KSI_AGO]:[AKOSOMBO_AGO]])</f>
        <v>1606500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6734569F-40BF-4025-89DD-D0E9BE6122E1}">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36F2D-80D3-41BB-8171-DD6F139E61D2}">
  <sheetPr codeName="Sheet508"/>
  <dimension ref="A1:J35"/>
  <sheetViews>
    <sheetView zoomScale="85" zoomScaleNormal="85" workbookViewId="0">
      <pane xSplit="2" ySplit="5" topLeftCell="C6" activePane="bottomRight" state="frozen"/>
      <selection activeCell="J22" sqref="J22"/>
      <selection pane="topRight" activeCell="J22" sqref="J22"/>
      <selection pane="bottomLeft" activeCell="J22" sqref="J22"/>
      <selection pane="bottomRight" activeCell="E6" sqref="E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44573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44573</v>
      </c>
    </row>
    <row r="7" spans="2:10" x14ac:dyDescent="0.3">
      <c r="B7" s="6" t="s">
        <v>37</v>
      </c>
      <c r="C7" s="22"/>
      <c r="D7" s="53">
        <v>45000</v>
      </c>
      <c r="E7" s="22"/>
      <c r="F7" s="22"/>
      <c r="G7" s="22"/>
      <c r="H7" s="67">
        <f t="shared" si="0"/>
        <v>44573</v>
      </c>
    </row>
    <row r="8" spans="2:10" x14ac:dyDescent="0.3">
      <c r="B8" s="6" t="s">
        <v>17</v>
      </c>
      <c r="C8" s="22"/>
      <c r="D8" s="22">
        <v>54000</v>
      </c>
      <c r="E8" s="22"/>
      <c r="F8" s="22"/>
      <c r="G8" s="22"/>
      <c r="H8" s="12">
        <f t="shared" si="0"/>
        <v>44573</v>
      </c>
    </row>
    <row r="9" spans="2:10" ht="15.6" x14ac:dyDescent="0.3">
      <c r="B9" s="34" t="s">
        <v>0</v>
      </c>
      <c r="C9" s="57">
        <v>162000</v>
      </c>
      <c r="D9" s="60">
        <v>162000</v>
      </c>
      <c r="E9" s="61"/>
      <c r="F9" s="117"/>
      <c r="G9" s="61">
        <v>324000</v>
      </c>
      <c r="H9" s="12">
        <f t="shared" si="0"/>
        <v>44573</v>
      </c>
    </row>
    <row r="10" spans="2:10" ht="16.2" customHeight="1" x14ac:dyDescent="0.3">
      <c r="B10" s="6" t="s">
        <v>25</v>
      </c>
      <c r="C10" s="22"/>
      <c r="D10" s="22"/>
      <c r="E10" s="22"/>
      <c r="F10" s="22">
        <v>158000</v>
      </c>
      <c r="G10" s="22"/>
      <c r="H10" s="12">
        <f t="shared" si="0"/>
        <v>44573</v>
      </c>
    </row>
    <row r="11" spans="2:10" ht="13.5" customHeight="1" x14ac:dyDescent="0.3">
      <c r="B11" s="6" t="s">
        <v>15</v>
      </c>
      <c r="C11" s="22"/>
      <c r="D11" s="22">
        <v>162000</v>
      </c>
      <c r="E11" s="22"/>
      <c r="F11" s="22"/>
      <c r="G11" s="22"/>
      <c r="H11" s="12">
        <f t="shared" si="0"/>
        <v>44573</v>
      </c>
    </row>
    <row r="12" spans="2:10" x14ac:dyDescent="0.3">
      <c r="B12" s="6" t="s">
        <v>54</v>
      </c>
      <c r="C12" s="22"/>
      <c r="D12" s="22">
        <v>324000</v>
      </c>
      <c r="E12" s="22"/>
      <c r="F12" s="22"/>
      <c r="G12" s="22"/>
      <c r="H12" s="67">
        <f t="shared" si="0"/>
        <v>44573</v>
      </c>
    </row>
    <row r="13" spans="2:10" x14ac:dyDescent="0.3">
      <c r="B13" s="6" t="s">
        <v>26</v>
      </c>
      <c r="C13" s="22"/>
      <c r="D13" s="22"/>
      <c r="E13" s="22"/>
      <c r="F13" s="22"/>
      <c r="G13" s="22"/>
      <c r="H13" s="12">
        <f t="shared" si="0"/>
        <v>44573</v>
      </c>
    </row>
    <row r="14" spans="2:10" x14ac:dyDescent="0.3">
      <c r="B14" s="6" t="s">
        <v>22</v>
      </c>
      <c r="C14" s="22"/>
      <c r="D14" s="23"/>
      <c r="E14" s="23"/>
      <c r="F14" s="23"/>
      <c r="G14" s="23"/>
      <c r="H14" s="12">
        <f t="shared" si="0"/>
        <v>44573</v>
      </c>
      <c r="J14" s="4"/>
    </row>
    <row r="15" spans="2:10" x14ac:dyDescent="0.3">
      <c r="B15" s="6" t="s">
        <v>61</v>
      </c>
      <c r="C15" s="22"/>
      <c r="D15" s="23"/>
      <c r="E15" s="23"/>
      <c r="F15" s="23"/>
      <c r="G15" s="23"/>
      <c r="H15" s="67">
        <f t="shared" si="0"/>
        <v>44573</v>
      </c>
      <c r="J15" s="4"/>
    </row>
    <row r="16" spans="2:10" x14ac:dyDescent="0.3">
      <c r="B16" s="6" t="s">
        <v>19</v>
      </c>
      <c r="C16" s="22">
        <v>108000</v>
      </c>
      <c r="D16" s="62">
        <v>252000</v>
      </c>
      <c r="E16" s="22"/>
      <c r="F16" s="22"/>
      <c r="G16" s="22">
        <v>149000</v>
      </c>
      <c r="H16" s="12">
        <f t="shared" si="0"/>
        <v>44573</v>
      </c>
    </row>
    <row r="17" spans="1:8" x14ac:dyDescent="0.3">
      <c r="B17" s="6" t="s">
        <v>14</v>
      </c>
      <c r="C17" s="22">
        <v>432000</v>
      </c>
      <c r="D17" s="22">
        <v>104000</v>
      </c>
      <c r="E17" s="22"/>
      <c r="F17" s="22"/>
      <c r="G17" s="22"/>
      <c r="H17" s="12">
        <f t="shared" si="0"/>
        <v>44573</v>
      </c>
    </row>
    <row r="18" spans="1:8" x14ac:dyDescent="0.3">
      <c r="B18" s="6" t="s">
        <v>24</v>
      </c>
      <c r="C18" s="22"/>
      <c r="D18" s="22"/>
      <c r="E18" s="22"/>
      <c r="F18" s="22"/>
      <c r="G18" s="22"/>
      <c r="H18" s="12">
        <f t="shared" si="0"/>
        <v>44573</v>
      </c>
    </row>
    <row r="19" spans="1:8" x14ac:dyDescent="0.3">
      <c r="B19" s="6" t="s">
        <v>21</v>
      </c>
      <c r="C19" s="22"/>
      <c r="D19" s="22"/>
      <c r="E19" s="22"/>
      <c r="F19" s="22"/>
      <c r="G19" s="22"/>
      <c r="H19" s="67">
        <f t="shared" si="0"/>
        <v>44573</v>
      </c>
    </row>
    <row r="20" spans="1:8" x14ac:dyDescent="0.3">
      <c r="B20" s="6" t="s">
        <v>65</v>
      </c>
      <c r="C20" s="22"/>
      <c r="D20" s="22"/>
      <c r="E20" s="22"/>
      <c r="F20" s="22"/>
      <c r="G20" s="22"/>
      <c r="H20" s="12">
        <f t="shared" si="0"/>
        <v>44573</v>
      </c>
    </row>
    <row r="21" spans="1:8" x14ac:dyDescent="0.3">
      <c r="B21" s="6" t="s">
        <v>18</v>
      </c>
      <c r="C21" s="22">
        <v>54000</v>
      </c>
      <c r="D21" s="22">
        <v>108000</v>
      </c>
      <c r="E21" s="22"/>
      <c r="F21" s="22"/>
      <c r="G21" s="22"/>
      <c r="H21" s="12">
        <f t="shared" si="0"/>
        <v>44573</v>
      </c>
    </row>
    <row r="22" spans="1:8" x14ac:dyDescent="0.3">
      <c r="B22" s="6" t="s">
        <v>16</v>
      </c>
      <c r="C22" s="55"/>
      <c r="D22" s="22">
        <v>194000</v>
      </c>
      <c r="E22" s="22"/>
      <c r="F22" s="22">
        <v>108000</v>
      </c>
      <c r="G22" s="22"/>
      <c r="H22" s="12">
        <f t="shared" si="0"/>
        <v>44573</v>
      </c>
    </row>
    <row r="23" spans="1:8" x14ac:dyDescent="0.3">
      <c r="B23" s="50" t="s">
        <v>27</v>
      </c>
      <c r="C23" s="51">
        <f>SUM(January12_2022[KSI_AGO])</f>
        <v>756000</v>
      </c>
      <c r="D23" s="51">
        <f>SUBTOTAL(109,January12_2022[KSI_PMS])</f>
        <v>1405000</v>
      </c>
      <c r="E23" s="51">
        <f>SUM(January12_2022[BUIPE_AGO])</f>
        <v>0</v>
      </c>
      <c r="F23" s="51">
        <f>SUM(January12_2022[BUIPE_PMS])</f>
        <v>266000</v>
      </c>
      <c r="G23" s="51">
        <f>SUM(January12_2022[AKOSOMBO_AGO])</f>
        <v>473000</v>
      </c>
      <c r="H23" s="52"/>
    </row>
    <row r="24" spans="1:8" x14ac:dyDescent="0.3">
      <c r="B24" s="8"/>
      <c r="C24" s="24"/>
      <c r="D24" s="24"/>
      <c r="E24" s="24"/>
      <c r="F24" s="24"/>
      <c r="G24" s="24"/>
      <c r="H24"/>
    </row>
    <row r="25" spans="1:8" x14ac:dyDescent="0.3">
      <c r="B25" s="1" t="s">
        <v>6</v>
      </c>
      <c r="C25" s="1" t="s">
        <v>4</v>
      </c>
      <c r="D25" s="5">
        <f>SUMIF(January12_2022[[#Headers],[KSI_AGO]:[AKOSOMBO_AGO]],"*"&amp;C25,January12_2022[[#Totals],[KSI_AGO]:[AKOSOMBO_AGO]])</f>
        <v>1229000</v>
      </c>
      <c r="E25" s="1" t="s">
        <v>5</v>
      </c>
      <c r="F25" s="5">
        <f>SUMIF(January12_2022[[#Headers],[KSI_AGO]:[AKOSOMBO_AGO]],"*"&amp;E25,January12_2022[[#Totals],[KSI_AGO]:[AKOSOMBO_AGO]])</f>
        <v>1671000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18B7EA91-E16F-4354-8E8E-F0FF394846F9}">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97166-228E-49CD-8F1D-8DF430DE3D0B}">
  <sheetPr codeName="Sheet509"/>
  <dimension ref="A1:J35"/>
  <sheetViews>
    <sheetView zoomScale="85" zoomScaleNormal="85" workbookViewId="0">
      <pane xSplit="2" ySplit="5" topLeftCell="C6" activePane="bottomRight" state="frozen"/>
      <selection activeCell="J22" sqref="J22"/>
      <selection pane="topRight" activeCell="J22" sqref="J22"/>
      <selection pane="bottomLeft" activeCell="J22" sqref="J22"/>
      <selection pane="bottomRight" activeCell="E9" sqref="E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44574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44574</v>
      </c>
    </row>
    <row r="7" spans="2:10" x14ac:dyDescent="0.3">
      <c r="B7" s="6" t="s">
        <v>37</v>
      </c>
      <c r="C7" s="22"/>
      <c r="D7" s="53">
        <v>100000</v>
      </c>
      <c r="E7" s="22"/>
      <c r="F7" s="22"/>
      <c r="G7" s="22"/>
      <c r="H7" s="67">
        <f t="shared" si="0"/>
        <v>44574</v>
      </c>
    </row>
    <row r="8" spans="2:10" x14ac:dyDescent="0.3">
      <c r="B8" s="6" t="s">
        <v>17</v>
      </c>
      <c r="C8" s="22"/>
      <c r="D8" s="22">
        <v>108000</v>
      </c>
      <c r="E8" s="22"/>
      <c r="F8" s="22"/>
      <c r="G8" s="22"/>
      <c r="H8" s="12">
        <f t="shared" si="0"/>
        <v>44574</v>
      </c>
    </row>
    <row r="9" spans="2:10" ht="15.6" x14ac:dyDescent="0.3">
      <c r="B9" s="34" t="s">
        <v>0</v>
      </c>
      <c r="C9" s="57">
        <v>481500</v>
      </c>
      <c r="D9" s="60">
        <v>320000</v>
      </c>
      <c r="E9" s="61"/>
      <c r="F9" s="117"/>
      <c r="G9" s="61">
        <v>162000</v>
      </c>
      <c r="H9" s="12">
        <f t="shared" si="0"/>
        <v>44574</v>
      </c>
    </row>
    <row r="10" spans="2:10" ht="16.2" customHeight="1" x14ac:dyDescent="0.3">
      <c r="B10" s="6" t="s">
        <v>25</v>
      </c>
      <c r="C10" s="22"/>
      <c r="D10" s="22">
        <v>162000</v>
      </c>
      <c r="E10" s="22"/>
      <c r="F10" s="22"/>
      <c r="G10" s="22"/>
      <c r="H10" s="12">
        <f t="shared" si="0"/>
        <v>44574</v>
      </c>
    </row>
    <row r="11" spans="2:10" ht="13.5" customHeight="1" x14ac:dyDescent="0.3">
      <c r="B11" s="6" t="s">
        <v>15</v>
      </c>
      <c r="C11" s="22"/>
      <c r="D11" s="22"/>
      <c r="E11" s="22"/>
      <c r="F11" s="22"/>
      <c r="G11" s="22"/>
      <c r="H11" s="12">
        <f t="shared" si="0"/>
        <v>44574</v>
      </c>
    </row>
    <row r="12" spans="2:10" x14ac:dyDescent="0.3">
      <c r="B12" s="6" t="s">
        <v>54</v>
      </c>
      <c r="C12" s="22"/>
      <c r="D12" s="22">
        <v>54000</v>
      </c>
      <c r="E12" s="22"/>
      <c r="F12" s="22"/>
      <c r="G12" s="22"/>
      <c r="H12" s="67">
        <f t="shared" si="0"/>
        <v>44574</v>
      </c>
    </row>
    <row r="13" spans="2:10" x14ac:dyDescent="0.3">
      <c r="B13" s="6" t="s">
        <v>26</v>
      </c>
      <c r="C13" s="22"/>
      <c r="D13" s="22"/>
      <c r="E13" s="22"/>
      <c r="F13" s="22"/>
      <c r="G13" s="22"/>
      <c r="H13" s="12">
        <f t="shared" si="0"/>
        <v>44574</v>
      </c>
    </row>
    <row r="14" spans="2:10" x14ac:dyDescent="0.3">
      <c r="B14" s="6" t="s">
        <v>22</v>
      </c>
      <c r="C14" s="22"/>
      <c r="D14" s="23"/>
      <c r="E14" s="23"/>
      <c r="F14" s="23"/>
      <c r="G14" s="23"/>
      <c r="H14" s="12">
        <f t="shared" si="0"/>
        <v>44574</v>
      </c>
      <c r="J14" s="4"/>
    </row>
    <row r="15" spans="2:10" x14ac:dyDescent="0.3">
      <c r="B15" s="6" t="s">
        <v>61</v>
      </c>
      <c r="C15" s="22"/>
      <c r="D15" s="23"/>
      <c r="E15" s="23"/>
      <c r="F15" s="23"/>
      <c r="G15" s="23"/>
      <c r="H15" s="67">
        <f t="shared" si="0"/>
        <v>44574</v>
      </c>
      <c r="J15" s="4"/>
    </row>
    <row r="16" spans="2:10" x14ac:dyDescent="0.3">
      <c r="B16" s="6" t="s">
        <v>19</v>
      </c>
      <c r="C16" s="22">
        <v>162000</v>
      </c>
      <c r="D16" s="62">
        <v>324000</v>
      </c>
      <c r="E16" s="22"/>
      <c r="F16" s="22"/>
      <c r="G16" s="22"/>
      <c r="H16" s="12">
        <f t="shared" si="0"/>
        <v>44574</v>
      </c>
    </row>
    <row r="17" spans="1:8" x14ac:dyDescent="0.3">
      <c r="B17" s="6" t="s">
        <v>14</v>
      </c>
      <c r="C17" s="22">
        <v>108000</v>
      </c>
      <c r="D17" s="22">
        <v>216000</v>
      </c>
      <c r="E17" s="22"/>
      <c r="F17" s="22"/>
      <c r="G17" s="22"/>
      <c r="H17" s="12">
        <f t="shared" si="0"/>
        <v>44574</v>
      </c>
    </row>
    <row r="18" spans="1:8" x14ac:dyDescent="0.3">
      <c r="B18" s="6" t="s">
        <v>24</v>
      </c>
      <c r="C18" s="22"/>
      <c r="D18" s="22"/>
      <c r="E18" s="22"/>
      <c r="F18" s="22"/>
      <c r="G18" s="22"/>
      <c r="H18" s="12">
        <f t="shared" si="0"/>
        <v>44574</v>
      </c>
    </row>
    <row r="19" spans="1:8" x14ac:dyDescent="0.3">
      <c r="B19" s="6" t="s">
        <v>21</v>
      </c>
      <c r="C19" s="22"/>
      <c r="D19" s="22"/>
      <c r="E19" s="22"/>
      <c r="F19" s="22"/>
      <c r="G19" s="22"/>
      <c r="H19" s="67">
        <f t="shared" si="0"/>
        <v>44574</v>
      </c>
    </row>
    <row r="20" spans="1:8" x14ac:dyDescent="0.3">
      <c r="B20" s="6" t="s">
        <v>65</v>
      </c>
      <c r="C20" s="22"/>
      <c r="D20" s="22"/>
      <c r="E20" s="22"/>
      <c r="F20" s="22"/>
      <c r="G20" s="22"/>
      <c r="H20" s="12">
        <f t="shared" si="0"/>
        <v>44574</v>
      </c>
    </row>
    <row r="21" spans="1:8" x14ac:dyDescent="0.3">
      <c r="B21" s="6" t="s">
        <v>18</v>
      </c>
      <c r="C21" s="22">
        <v>54000</v>
      </c>
      <c r="D21" s="22"/>
      <c r="E21" s="22"/>
      <c r="F21" s="22"/>
      <c r="G21" s="22"/>
      <c r="H21" s="12">
        <f t="shared" si="0"/>
        <v>44574</v>
      </c>
    </row>
    <row r="22" spans="1:8" x14ac:dyDescent="0.3">
      <c r="B22" s="6" t="s">
        <v>16</v>
      </c>
      <c r="C22" s="55">
        <v>207000</v>
      </c>
      <c r="D22" s="22">
        <v>108000</v>
      </c>
      <c r="E22" s="22"/>
      <c r="F22" s="22"/>
      <c r="G22" s="22"/>
      <c r="H22" s="12">
        <f t="shared" si="0"/>
        <v>44574</v>
      </c>
    </row>
    <row r="23" spans="1:8" x14ac:dyDescent="0.3">
      <c r="B23" s="50" t="s">
        <v>27</v>
      </c>
      <c r="C23" s="51">
        <f>SUM(January13_2022[KSI_AGO])</f>
        <v>1012500</v>
      </c>
      <c r="D23" s="51">
        <f>SUBTOTAL(109,January13_2022[KSI_PMS])</f>
        <v>1392000</v>
      </c>
      <c r="E23" s="51">
        <f>SUM(January13_2022[BUIPE_AGO])</f>
        <v>0</v>
      </c>
      <c r="F23" s="51">
        <f>SUM(January13_2022[BUIPE_PMS])</f>
        <v>0</v>
      </c>
      <c r="G23" s="51">
        <f>SUM(January13_2022[AKOSOMBO_AGO])</f>
        <v>162000</v>
      </c>
      <c r="H23" s="52"/>
    </row>
    <row r="24" spans="1:8" x14ac:dyDescent="0.3">
      <c r="B24" s="8"/>
      <c r="C24" s="24"/>
      <c r="D24" s="24"/>
      <c r="E24" s="24"/>
      <c r="F24" s="24"/>
      <c r="G24" s="24"/>
      <c r="H24"/>
    </row>
    <row r="25" spans="1:8" x14ac:dyDescent="0.3">
      <c r="B25" s="1" t="s">
        <v>6</v>
      </c>
      <c r="C25" s="1" t="s">
        <v>4</v>
      </c>
      <c r="D25" s="5">
        <f>SUMIF(January13_2022[[#Headers],[KSI_AGO]:[AKOSOMBO_AGO]],"*"&amp;C25,January13_2022[[#Totals],[KSI_AGO]:[AKOSOMBO_AGO]])</f>
        <v>1174500</v>
      </c>
      <c r="E25" s="1" t="s">
        <v>5</v>
      </c>
      <c r="F25" s="5">
        <f>SUMIF(January13_2022[[#Headers],[KSI_AGO]:[AKOSOMBO_AGO]],"*"&amp;E25,January13_2022[[#Totals],[KSI_AGO]:[AKOSOMBO_AGO]])</f>
        <v>1392000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25A6C067-16FD-4573-BAEC-D0E57C575786}">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26AC-1C95-492B-B68A-3761710B065F}">
  <sheetPr codeName="Sheet510"/>
  <dimension ref="A1:J35"/>
  <sheetViews>
    <sheetView zoomScale="85" zoomScaleNormal="85" workbookViewId="0">
      <pane xSplit="2" ySplit="5" topLeftCell="C6" activePane="bottomRight" state="frozen"/>
      <selection activeCell="J22" sqref="J22"/>
      <selection pane="topRight" activeCell="J22" sqref="J22"/>
      <selection pane="bottomLeft" activeCell="J22" sqref="J22"/>
      <selection pane="bottomRight" activeCell="E31" sqref="E3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44575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44575</v>
      </c>
    </row>
    <row r="7" spans="2:10" x14ac:dyDescent="0.3">
      <c r="B7" s="6" t="s">
        <v>37</v>
      </c>
      <c r="C7" s="22"/>
      <c r="D7" s="53">
        <v>50000</v>
      </c>
      <c r="E7" s="22"/>
      <c r="F7" s="22"/>
      <c r="G7" s="22"/>
      <c r="H7" s="67">
        <f t="shared" si="0"/>
        <v>44575</v>
      </c>
    </row>
    <row r="8" spans="2:10" x14ac:dyDescent="0.3">
      <c r="B8" s="6" t="s">
        <v>17</v>
      </c>
      <c r="C8" s="22"/>
      <c r="D8" s="22">
        <v>108000</v>
      </c>
      <c r="E8" s="22"/>
      <c r="F8" s="22"/>
      <c r="G8" s="22"/>
      <c r="H8" s="12">
        <f t="shared" si="0"/>
        <v>44575</v>
      </c>
    </row>
    <row r="9" spans="2:10" ht="15.6" x14ac:dyDescent="0.3">
      <c r="B9" s="34" t="s">
        <v>0</v>
      </c>
      <c r="C9" s="57">
        <v>261000</v>
      </c>
      <c r="D9" s="60">
        <v>216000</v>
      </c>
      <c r="E9" s="61"/>
      <c r="F9" s="117"/>
      <c r="G9" s="61">
        <v>54000</v>
      </c>
      <c r="H9" s="12">
        <f t="shared" si="0"/>
        <v>44575</v>
      </c>
    </row>
    <row r="10" spans="2:10" ht="16.2" customHeight="1" x14ac:dyDescent="0.3">
      <c r="B10" s="6" t="s">
        <v>25</v>
      </c>
      <c r="C10" s="22">
        <v>432000</v>
      </c>
      <c r="D10" s="22">
        <v>468000</v>
      </c>
      <c r="E10" s="22"/>
      <c r="F10" s="22"/>
      <c r="G10" s="22">
        <v>486000</v>
      </c>
      <c r="H10" s="12">
        <f t="shared" si="0"/>
        <v>44575</v>
      </c>
    </row>
    <row r="11" spans="2:10" ht="13.5" customHeight="1" x14ac:dyDescent="0.3">
      <c r="B11" s="6" t="s">
        <v>15</v>
      </c>
      <c r="C11" s="22">
        <v>45000</v>
      </c>
      <c r="D11" s="22">
        <v>270000</v>
      </c>
      <c r="E11" s="22"/>
      <c r="F11" s="22"/>
      <c r="G11" s="22"/>
      <c r="H11" s="12">
        <f t="shared" si="0"/>
        <v>44575</v>
      </c>
    </row>
    <row r="12" spans="2:10" x14ac:dyDescent="0.3">
      <c r="B12" s="6" t="s">
        <v>54</v>
      </c>
      <c r="C12" s="22"/>
      <c r="D12" s="22">
        <v>270000</v>
      </c>
      <c r="E12" s="22"/>
      <c r="F12" s="22"/>
      <c r="G12" s="22"/>
      <c r="H12" s="67">
        <f t="shared" si="0"/>
        <v>44575</v>
      </c>
    </row>
    <row r="13" spans="2:10" x14ac:dyDescent="0.3">
      <c r="B13" s="6" t="s">
        <v>26</v>
      </c>
      <c r="C13" s="22"/>
      <c r="D13" s="22">
        <v>54000</v>
      </c>
      <c r="E13" s="22"/>
      <c r="F13" s="22"/>
      <c r="G13" s="22"/>
      <c r="H13" s="12">
        <f t="shared" si="0"/>
        <v>44575</v>
      </c>
    </row>
    <row r="14" spans="2:10" x14ac:dyDescent="0.3">
      <c r="B14" s="6" t="s">
        <v>22</v>
      </c>
      <c r="C14" s="22"/>
      <c r="D14" s="23"/>
      <c r="E14" s="23"/>
      <c r="F14" s="23"/>
      <c r="G14" s="23"/>
      <c r="H14" s="12">
        <f t="shared" si="0"/>
        <v>44575</v>
      </c>
      <c r="J14" s="4"/>
    </row>
    <row r="15" spans="2:10" x14ac:dyDescent="0.3">
      <c r="B15" s="6" t="s">
        <v>61</v>
      </c>
      <c r="C15" s="22"/>
      <c r="D15" s="23"/>
      <c r="E15" s="23"/>
      <c r="F15" s="23"/>
      <c r="G15" s="23"/>
      <c r="H15" s="67">
        <f t="shared" si="0"/>
        <v>44575</v>
      </c>
      <c r="J15" s="4"/>
    </row>
    <row r="16" spans="2:10" x14ac:dyDescent="0.3">
      <c r="B16" s="6" t="s">
        <v>19</v>
      </c>
      <c r="C16" s="22">
        <v>216000</v>
      </c>
      <c r="D16" s="62">
        <v>324000</v>
      </c>
      <c r="E16" s="22"/>
      <c r="F16" s="22"/>
      <c r="G16" s="22">
        <v>90000</v>
      </c>
      <c r="H16" s="12">
        <f t="shared" si="0"/>
        <v>44575</v>
      </c>
    </row>
    <row r="17" spans="1:8" x14ac:dyDescent="0.3">
      <c r="B17" s="6" t="s">
        <v>14</v>
      </c>
      <c r="C17" s="22">
        <v>430000</v>
      </c>
      <c r="D17" s="22">
        <v>216000</v>
      </c>
      <c r="E17" s="22"/>
      <c r="F17" s="22"/>
      <c r="G17" s="22"/>
      <c r="H17" s="12">
        <f t="shared" si="0"/>
        <v>44575</v>
      </c>
    </row>
    <row r="18" spans="1:8" x14ac:dyDescent="0.3">
      <c r="B18" s="6" t="s">
        <v>24</v>
      </c>
      <c r="C18" s="22"/>
      <c r="D18" s="22"/>
      <c r="E18" s="22"/>
      <c r="F18" s="22"/>
      <c r="G18" s="22"/>
      <c r="H18" s="12">
        <f t="shared" si="0"/>
        <v>44575</v>
      </c>
    </row>
    <row r="19" spans="1:8" x14ac:dyDescent="0.3">
      <c r="B19" s="6" t="s">
        <v>21</v>
      </c>
      <c r="C19" s="22"/>
      <c r="D19" s="22"/>
      <c r="E19" s="22"/>
      <c r="F19" s="22"/>
      <c r="G19" s="22"/>
      <c r="H19" s="67">
        <f t="shared" si="0"/>
        <v>44575</v>
      </c>
    </row>
    <row r="20" spans="1:8" x14ac:dyDescent="0.3">
      <c r="B20" s="6" t="s">
        <v>65</v>
      </c>
      <c r="C20" s="22"/>
      <c r="D20" s="22"/>
      <c r="E20" s="22"/>
      <c r="F20" s="22"/>
      <c r="G20" s="22"/>
      <c r="H20" s="12">
        <f t="shared" si="0"/>
        <v>44575</v>
      </c>
    </row>
    <row r="21" spans="1:8" x14ac:dyDescent="0.3">
      <c r="B21" s="6" t="s">
        <v>18</v>
      </c>
      <c r="C21" s="22">
        <v>158000</v>
      </c>
      <c r="D21" s="22">
        <v>149000</v>
      </c>
      <c r="E21" s="22"/>
      <c r="F21" s="22"/>
      <c r="G21" s="22"/>
      <c r="H21" s="12">
        <f t="shared" si="0"/>
        <v>44575</v>
      </c>
    </row>
    <row r="22" spans="1:8" x14ac:dyDescent="0.3">
      <c r="B22" s="6" t="s">
        <v>16</v>
      </c>
      <c r="C22" s="55">
        <v>323500</v>
      </c>
      <c r="D22" s="22">
        <v>153000</v>
      </c>
      <c r="E22" s="22"/>
      <c r="F22" s="22"/>
      <c r="G22" s="22"/>
      <c r="H22" s="12">
        <f t="shared" si="0"/>
        <v>44575</v>
      </c>
    </row>
    <row r="23" spans="1:8" x14ac:dyDescent="0.3">
      <c r="B23" s="50" t="s">
        <v>27</v>
      </c>
      <c r="C23" s="51">
        <f>SUM(January14_2022[KSI_AGO])</f>
        <v>1865500</v>
      </c>
      <c r="D23" s="51">
        <f>SUBTOTAL(109,January14_2022[KSI_PMS])</f>
        <v>2278000</v>
      </c>
      <c r="E23" s="51">
        <f>SUM(January14_2022[BUIPE_AGO])</f>
        <v>0</v>
      </c>
      <c r="F23" s="51">
        <f>SUM(January14_2022[BUIPE_PMS])</f>
        <v>0</v>
      </c>
      <c r="G23" s="51">
        <f>SUM(January14_2022[AKOSOMBO_AGO])</f>
        <v>630000</v>
      </c>
      <c r="H23" s="52"/>
    </row>
    <row r="24" spans="1:8" x14ac:dyDescent="0.3">
      <c r="B24" s="8"/>
      <c r="C24" s="24"/>
      <c r="D24" s="24"/>
      <c r="E24" s="24"/>
      <c r="F24" s="24"/>
      <c r="G24" s="24"/>
      <c r="H24"/>
    </row>
    <row r="25" spans="1:8" x14ac:dyDescent="0.3">
      <c r="B25" s="1" t="s">
        <v>6</v>
      </c>
      <c r="C25" s="1" t="s">
        <v>4</v>
      </c>
      <c r="D25" s="5">
        <f>SUMIF(January14_2022[[#Headers],[KSI_AGO]:[AKOSOMBO_AGO]],"*"&amp;C25,January14_2022[[#Totals],[KSI_AGO]:[AKOSOMBO_AGO]])</f>
        <v>2495500</v>
      </c>
      <c r="E25" s="1" t="s">
        <v>5</v>
      </c>
      <c r="F25" s="5">
        <f>SUMIF(January14_2022[[#Headers],[KSI_AGO]:[AKOSOMBO_AGO]],"*"&amp;E25,January14_2022[[#Totals],[KSI_AGO]:[AKOSOMBO_AGO]])</f>
        <v>2278000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87DB8EE7-1B4C-4016-921B-BA4339B305A4}">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C867-557E-4261-BF68-9FB2362C9319}">
  <sheetPr codeName="Sheet511"/>
  <dimension ref="A1:J35"/>
  <sheetViews>
    <sheetView zoomScaleNormal="100" workbookViewId="0">
      <pane xSplit="2" ySplit="5" topLeftCell="F6" activePane="bottomRight" state="frozen"/>
      <selection activeCell="J22" sqref="J22"/>
      <selection pane="topRight" activeCell="J22" sqref="J22"/>
      <selection pane="bottomLeft" activeCell="J22" sqref="J22"/>
      <selection pane="bottomRight" activeCell="D19" sqref="D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44578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44578</v>
      </c>
    </row>
    <row r="7" spans="2:10" x14ac:dyDescent="0.3">
      <c r="B7" s="6" t="s">
        <v>37</v>
      </c>
      <c r="C7" s="22"/>
      <c r="D7" s="53">
        <v>50000</v>
      </c>
      <c r="E7" s="22"/>
      <c r="F7" s="22"/>
      <c r="G7" s="22"/>
      <c r="H7" s="67">
        <f t="shared" si="0"/>
        <v>44578</v>
      </c>
    </row>
    <row r="8" spans="2:10" x14ac:dyDescent="0.3">
      <c r="B8" s="6" t="s">
        <v>17</v>
      </c>
      <c r="C8" s="22"/>
      <c r="D8" s="22">
        <v>158000</v>
      </c>
      <c r="E8" s="22"/>
      <c r="F8" s="22"/>
      <c r="G8" s="22"/>
      <c r="H8" s="12">
        <f t="shared" si="0"/>
        <v>44578</v>
      </c>
    </row>
    <row r="9" spans="2:10" ht="15.6" x14ac:dyDescent="0.3">
      <c r="B9" s="34" t="s">
        <v>0</v>
      </c>
      <c r="C9" s="57"/>
      <c r="D9" s="60">
        <v>265500</v>
      </c>
      <c r="E9" s="61"/>
      <c r="F9" s="117"/>
      <c r="G9" s="61"/>
      <c r="H9" s="12">
        <f t="shared" si="0"/>
        <v>44578</v>
      </c>
    </row>
    <row r="10" spans="2:10" ht="16.2" customHeight="1" x14ac:dyDescent="0.3">
      <c r="B10" s="6" t="s">
        <v>25</v>
      </c>
      <c r="C10" s="22">
        <v>756000</v>
      </c>
      <c r="D10" s="22">
        <v>108000</v>
      </c>
      <c r="E10" s="22"/>
      <c r="F10" s="22">
        <v>486000</v>
      </c>
      <c r="G10" s="22">
        <v>459000</v>
      </c>
      <c r="H10" s="12">
        <f t="shared" si="0"/>
        <v>44578</v>
      </c>
    </row>
    <row r="11" spans="2:10" ht="13.5" customHeight="1" x14ac:dyDescent="0.3">
      <c r="B11" s="6" t="s">
        <v>15</v>
      </c>
      <c r="C11" s="22">
        <v>50000</v>
      </c>
      <c r="D11" s="22">
        <v>108000</v>
      </c>
      <c r="E11" s="22"/>
      <c r="F11" s="22"/>
      <c r="G11" s="22"/>
      <c r="H11" s="12">
        <f t="shared" si="0"/>
        <v>44578</v>
      </c>
    </row>
    <row r="12" spans="2:10" x14ac:dyDescent="0.3">
      <c r="B12" s="6" t="s">
        <v>54</v>
      </c>
      <c r="C12" s="22">
        <v>108000</v>
      </c>
      <c r="D12" s="22">
        <v>108000</v>
      </c>
      <c r="E12" s="22"/>
      <c r="F12" s="22"/>
      <c r="G12" s="22"/>
      <c r="H12" s="67">
        <f t="shared" si="0"/>
        <v>44578</v>
      </c>
    </row>
    <row r="13" spans="2:10" x14ac:dyDescent="0.3">
      <c r="B13" s="6" t="s">
        <v>26</v>
      </c>
      <c r="C13" s="22"/>
      <c r="D13" s="22"/>
      <c r="E13" s="22"/>
      <c r="F13" s="22"/>
      <c r="G13" s="22"/>
      <c r="H13" s="12">
        <f t="shared" si="0"/>
        <v>44578</v>
      </c>
    </row>
    <row r="14" spans="2:10" x14ac:dyDescent="0.3">
      <c r="B14" s="6" t="s">
        <v>22</v>
      </c>
      <c r="C14" s="22"/>
      <c r="D14" s="23"/>
      <c r="E14" s="23"/>
      <c r="F14" s="23"/>
      <c r="G14" s="23"/>
      <c r="H14" s="12">
        <f t="shared" si="0"/>
        <v>44578</v>
      </c>
      <c r="J14" s="4"/>
    </row>
    <row r="15" spans="2:10" x14ac:dyDescent="0.3">
      <c r="B15" s="6" t="s">
        <v>61</v>
      </c>
      <c r="C15" s="22"/>
      <c r="D15" s="23"/>
      <c r="E15" s="23"/>
      <c r="F15" s="23"/>
      <c r="G15" s="23"/>
      <c r="H15" s="67">
        <f t="shared" si="0"/>
        <v>44578</v>
      </c>
      <c r="J15" s="4"/>
    </row>
    <row r="16" spans="2:10" x14ac:dyDescent="0.3">
      <c r="B16" s="6" t="s">
        <v>19</v>
      </c>
      <c r="C16" s="22">
        <v>265500</v>
      </c>
      <c r="D16" s="62">
        <v>216000</v>
      </c>
      <c r="E16" s="22"/>
      <c r="F16" s="22"/>
      <c r="G16" s="22"/>
      <c r="H16" s="12">
        <f t="shared" si="0"/>
        <v>44578</v>
      </c>
    </row>
    <row r="17" spans="1:8" x14ac:dyDescent="0.3">
      <c r="B17" s="6" t="s">
        <v>14</v>
      </c>
      <c r="C17" s="22">
        <v>540000</v>
      </c>
      <c r="D17" s="22">
        <v>54000</v>
      </c>
      <c r="E17" s="22"/>
      <c r="F17" s="22"/>
      <c r="G17" s="22"/>
      <c r="H17" s="12">
        <f t="shared" si="0"/>
        <v>44578</v>
      </c>
    </row>
    <row r="18" spans="1:8" x14ac:dyDescent="0.3">
      <c r="B18" s="6" t="s">
        <v>24</v>
      </c>
      <c r="C18" s="22"/>
      <c r="D18" s="22"/>
      <c r="E18" s="22"/>
      <c r="F18" s="22"/>
      <c r="G18" s="22"/>
      <c r="H18" s="12">
        <f t="shared" si="0"/>
        <v>44578</v>
      </c>
    </row>
    <row r="19" spans="1:8" x14ac:dyDescent="0.3">
      <c r="B19" s="6" t="s">
        <v>21</v>
      </c>
      <c r="C19" s="22"/>
      <c r="D19" s="22"/>
      <c r="E19" s="22"/>
      <c r="F19" s="22"/>
      <c r="G19" s="22"/>
      <c r="H19" s="67">
        <f t="shared" si="0"/>
        <v>44578</v>
      </c>
    </row>
    <row r="20" spans="1:8" x14ac:dyDescent="0.3">
      <c r="B20" s="6" t="s">
        <v>65</v>
      </c>
      <c r="C20" s="22"/>
      <c r="D20" s="22"/>
      <c r="E20" s="22"/>
      <c r="F20" s="22"/>
      <c r="G20" s="22"/>
      <c r="H20" s="12">
        <f t="shared" si="0"/>
        <v>44578</v>
      </c>
    </row>
    <row r="21" spans="1:8" x14ac:dyDescent="0.3">
      <c r="B21" s="6" t="s">
        <v>18</v>
      </c>
      <c r="C21" s="22">
        <v>54000</v>
      </c>
      <c r="D21" s="22">
        <v>162000</v>
      </c>
      <c r="E21" s="22"/>
      <c r="F21" s="22"/>
      <c r="G21" s="22"/>
      <c r="H21" s="12">
        <f t="shared" si="0"/>
        <v>44578</v>
      </c>
    </row>
    <row r="22" spans="1:8" x14ac:dyDescent="0.3">
      <c r="B22" s="6" t="s">
        <v>16</v>
      </c>
      <c r="C22" s="55">
        <v>324000</v>
      </c>
      <c r="D22" s="22"/>
      <c r="E22" s="22"/>
      <c r="F22" s="22">
        <v>108000</v>
      </c>
      <c r="G22" s="22"/>
      <c r="H22" s="12">
        <f t="shared" si="0"/>
        <v>44578</v>
      </c>
    </row>
    <row r="23" spans="1:8" x14ac:dyDescent="0.3">
      <c r="B23" s="50" t="s">
        <v>27</v>
      </c>
      <c r="C23" s="51">
        <f>SUM(January17_2022[KSI_AGO])</f>
        <v>2097500</v>
      </c>
      <c r="D23" s="51">
        <f>SUBTOTAL(109,January17_2022[KSI_PMS])</f>
        <v>1229500</v>
      </c>
      <c r="E23" s="51">
        <f>SUM(January17_2022[BUIPE_AGO])</f>
        <v>0</v>
      </c>
      <c r="F23" s="51">
        <f>SUM(January17_2022[BUIPE_PMS])</f>
        <v>594000</v>
      </c>
      <c r="G23" s="51">
        <f>SUM(January17_2022[AKOSOMBO_AGO])</f>
        <v>459000</v>
      </c>
      <c r="H23" s="52"/>
    </row>
    <row r="24" spans="1:8" x14ac:dyDescent="0.3">
      <c r="B24" s="8"/>
      <c r="C24" s="24"/>
      <c r="D24" s="24"/>
      <c r="E24" s="24"/>
      <c r="F24" s="24"/>
      <c r="G24" s="24"/>
      <c r="H24"/>
    </row>
    <row r="25" spans="1:8" x14ac:dyDescent="0.3">
      <c r="B25" s="1" t="s">
        <v>6</v>
      </c>
      <c r="C25" s="1" t="s">
        <v>4</v>
      </c>
      <c r="D25" s="5">
        <f>SUMIF(January17_2022[[#Headers],[KSI_AGO]:[AKOSOMBO_AGO]],"*"&amp;C25,January17_2022[[#Totals],[KSI_AGO]:[AKOSOMBO_AGO]])</f>
        <v>2556500</v>
      </c>
      <c r="E25" s="1" t="s">
        <v>5</v>
      </c>
      <c r="F25" s="5">
        <f>SUMIF(January17_2022[[#Headers],[KSI_AGO]:[AKOSOMBO_AGO]],"*"&amp;E25,January17_2022[[#Totals],[KSI_AGO]:[AKOSOMBO_AGO]])</f>
        <v>1823500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8BD1E1B-459A-4DCE-B3AC-A9F597CCAB44}">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9460A-3BA6-4A4E-8F39-59603DC4F809}">
  <sheetPr codeName="Sheet512"/>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J22" sqref="J2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44579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44579</v>
      </c>
    </row>
    <row r="7" spans="2:10" x14ac:dyDescent="0.3">
      <c r="B7" s="6" t="s">
        <v>37</v>
      </c>
      <c r="C7" s="22"/>
      <c r="D7" s="53"/>
      <c r="E7" s="22"/>
      <c r="F7" s="22"/>
      <c r="G7" s="22"/>
      <c r="H7" s="67">
        <f t="shared" si="0"/>
        <v>44579</v>
      </c>
    </row>
    <row r="8" spans="2:10" x14ac:dyDescent="0.3">
      <c r="B8" s="6" t="s">
        <v>17</v>
      </c>
      <c r="C8" s="22"/>
      <c r="D8" s="22"/>
      <c r="E8" s="22"/>
      <c r="F8" s="22">
        <v>45000</v>
      </c>
      <c r="G8" s="22"/>
      <c r="H8" s="12">
        <f t="shared" si="0"/>
        <v>44579</v>
      </c>
    </row>
    <row r="9" spans="2:10" ht="15.6" x14ac:dyDescent="0.3">
      <c r="B9" s="34" t="s">
        <v>0</v>
      </c>
      <c r="C9" s="57"/>
      <c r="D9" s="60">
        <v>378000</v>
      </c>
      <c r="E9" s="61"/>
      <c r="F9" s="117"/>
      <c r="G9" s="61"/>
      <c r="H9" s="12">
        <f t="shared" si="0"/>
        <v>44579</v>
      </c>
    </row>
    <row r="10" spans="2:10" ht="16.2" customHeight="1" x14ac:dyDescent="0.3">
      <c r="B10" s="6" t="s">
        <v>25</v>
      </c>
      <c r="C10" s="22">
        <v>315000</v>
      </c>
      <c r="D10" s="22">
        <v>486000</v>
      </c>
      <c r="E10" s="22"/>
      <c r="F10" s="22">
        <v>45000</v>
      </c>
      <c r="G10" s="22"/>
      <c r="H10" s="12">
        <f t="shared" si="0"/>
        <v>44579</v>
      </c>
    </row>
    <row r="11" spans="2:10" ht="13.5" customHeight="1" x14ac:dyDescent="0.3">
      <c r="B11" s="6" t="s">
        <v>15</v>
      </c>
      <c r="C11" s="22"/>
      <c r="D11" s="22">
        <v>108000</v>
      </c>
      <c r="E11" s="22"/>
      <c r="F11" s="22"/>
      <c r="G11" s="22"/>
      <c r="H11" s="12">
        <f t="shared" si="0"/>
        <v>44579</v>
      </c>
    </row>
    <row r="12" spans="2:10" x14ac:dyDescent="0.3">
      <c r="B12" s="6" t="s">
        <v>54</v>
      </c>
      <c r="C12" s="22">
        <v>481500</v>
      </c>
      <c r="D12" s="22">
        <v>369500</v>
      </c>
      <c r="E12" s="22"/>
      <c r="F12" s="22"/>
      <c r="G12" s="22">
        <v>540000</v>
      </c>
      <c r="H12" s="67">
        <f t="shared" si="0"/>
        <v>44579</v>
      </c>
    </row>
    <row r="13" spans="2:10" x14ac:dyDescent="0.3">
      <c r="B13" s="6" t="s">
        <v>26</v>
      </c>
      <c r="C13" s="22"/>
      <c r="D13" s="22">
        <v>99000</v>
      </c>
      <c r="E13" s="22"/>
      <c r="F13" s="22"/>
      <c r="G13" s="22"/>
      <c r="H13" s="12">
        <f t="shared" si="0"/>
        <v>44579</v>
      </c>
    </row>
    <row r="14" spans="2:10" x14ac:dyDescent="0.3">
      <c r="B14" s="6" t="s">
        <v>22</v>
      </c>
      <c r="C14" s="22"/>
      <c r="D14" s="23"/>
      <c r="E14" s="23"/>
      <c r="F14" s="23"/>
      <c r="G14" s="23"/>
      <c r="H14" s="12">
        <f t="shared" si="0"/>
        <v>44579</v>
      </c>
      <c r="J14" s="4"/>
    </row>
    <row r="15" spans="2:10" x14ac:dyDescent="0.3">
      <c r="B15" s="6" t="s">
        <v>61</v>
      </c>
      <c r="C15" s="22"/>
      <c r="D15" s="23"/>
      <c r="E15" s="23"/>
      <c r="F15" s="23"/>
      <c r="G15" s="23"/>
      <c r="H15" s="67">
        <f t="shared" si="0"/>
        <v>44579</v>
      </c>
      <c r="J15" s="4"/>
    </row>
    <row r="16" spans="2:10" x14ac:dyDescent="0.3">
      <c r="B16" s="6" t="s">
        <v>19</v>
      </c>
      <c r="C16" s="22">
        <v>265500</v>
      </c>
      <c r="D16" s="62"/>
      <c r="E16" s="22">
        <v>540000</v>
      </c>
      <c r="F16" s="22"/>
      <c r="G16" s="22">
        <v>97000</v>
      </c>
      <c r="H16" s="12">
        <f t="shared" si="0"/>
        <v>44579</v>
      </c>
    </row>
    <row r="17" spans="1:8" x14ac:dyDescent="0.3">
      <c r="B17" s="6" t="s">
        <v>14</v>
      </c>
      <c r="C17" s="22">
        <v>373500</v>
      </c>
      <c r="D17" s="22">
        <v>315000</v>
      </c>
      <c r="E17" s="22"/>
      <c r="F17" s="22"/>
      <c r="G17" s="22"/>
      <c r="H17" s="12">
        <f t="shared" si="0"/>
        <v>44579</v>
      </c>
    </row>
    <row r="18" spans="1:8" x14ac:dyDescent="0.3">
      <c r="B18" s="6" t="s">
        <v>24</v>
      </c>
      <c r="C18" s="22"/>
      <c r="D18" s="22"/>
      <c r="E18" s="22"/>
      <c r="F18" s="22"/>
      <c r="G18" s="22"/>
      <c r="H18" s="12">
        <f t="shared" si="0"/>
        <v>44579</v>
      </c>
    </row>
    <row r="19" spans="1:8" x14ac:dyDescent="0.3">
      <c r="B19" s="6" t="s">
        <v>21</v>
      </c>
      <c r="C19" s="22"/>
      <c r="D19" s="22"/>
      <c r="E19" s="22"/>
      <c r="F19" s="22"/>
      <c r="G19" s="22"/>
      <c r="H19" s="67">
        <f t="shared" si="0"/>
        <v>44579</v>
      </c>
    </row>
    <row r="20" spans="1:8" x14ac:dyDescent="0.3">
      <c r="B20" s="6" t="s">
        <v>65</v>
      </c>
      <c r="C20" s="22"/>
      <c r="D20" s="22"/>
      <c r="E20" s="22"/>
      <c r="F20" s="22"/>
      <c r="G20" s="22"/>
      <c r="H20" s="12">
        <f t="shared" si="0"/>
        <v>44579</v>
      </c>
    </row>
    <row r="21" spans="1:8" x14ac:dyDescent="0.3">
      <c r="B21" s="6" t="s">
        <v>18</v>
      </c>
      <c r="C21" s="22"/>
      <c r="D21" s="22">
        <v>211500</v>
      </c>
      <c r="E21" s="22"/>
      <c r="F21" s="22"/>
      <c r="G21" s="22"/>
      <c r="H21" s="12">
        <f t="shared" si="0"/>
        <v>44579</v>
      </c>
    </row>
    <row r="22" spans="1:8" x14ac:dyDescent="0.3">
      <c r="B22" s="6" t="s">
        <v>16</v>
      </c>
      <c r="C22" s="55">
        <v>270000</v>
      </c>
      <c r="D22" s="22"/>
      <c r="E22" s="22"/>
      <c r="F22" s="22"/>
      <c r="G22" s="22"/>
      <c r="H22" s="12">
        <f t="shared" si="0"/>
        <v>44579</v>
      </c>
    </row>
    <row r="23" spans="1:8" x14ac:dyDescent="0.3">
      <c r="B23" s="50" t="s">
        <v>27</v>
      </c>
      <c r="C23" s="51">
        <f>SUM(January18_2022[KSI_AGO])</f>
        <v>1705500</v>
      </c>
      <c r="D23" s="51">
        <f>SUBTOTAL(109,January18_2022[KSI_PMS])</f>
        <v>1967000</v>
      </c>
      <c r="E23" s="51">
        <f>SUM(January18_2022[BUIPE_AGO])</f>
        <v>540000</v>
      </c>
      <c r="F23" s="51">
        <f>SUM(January18_2022[BUIPE_PMS])</f>
        <v>90000</v>
      </c>
      <c r="G23" s="51">
        <f>SUM(January18_2022[AKOSOMBO_AGO])</f>
        <v>637000</v>
      </c>
      <c r="H23" s="52"/>
    </row>
    <row r="24" spans="1:8" x14ac:dyDescent="0.3">
      <c r="B24" s="8"/>
      <c r="C24" s="24"/>
      <c r="D24" s="24"/>
      <c r="E24" s="24"/>
      <c r="F24" s="24"/>
      <c r="G24" s="24"/>
      <c r="H24"/>
    </row>
    <row r="25" spans="1:8" x14ac:dyDescent="0.3">
      <c r="B25" s="1" t="s">
        <v>6</v>
      </c>
      <c r="C25" s="1" t="s">
        <v>4</v>
      </c>
      <c r="D25" s="5">
        <f>SUMIF(January18_2022[[#Headers],[KSI_AGO]:[AKOSOMBO_AGO]],"*"&amp;C25,January18_2022[[#Totals],[KSI_AGO]:[AKOSOMBO_AGO]])</f>
        <v>2882500</v>
      </c>
      <c r="E25" s="1" t="s">
        <v>5</v>
      </c>
      <c r="F25" s="5">
        <f>SUMIF(January18_2022[[#Headers],[KSI_AGO]:[AKOSOMBO_AGO]],"*"&amp;E25,January18_2022[[#Totals],[KSI_AGO]:[AKOSOMBO_AGO]])</f>
        <v>2057000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276D2749-3840-4D75-B041-45C8A4B41B30}">
      <formula1>INDIRECT("BDC_List[BDC List]")</formula1>
    </dataValidation>
  </dataValidations>
  <pageMargins left="0.7" right="0.7" top="0.75" bottom="0.75" header="0.3" footer="0.3"/>
  <pageSetup orientation="portrait" r:id="rId1"/>
  <tableParts count="1">
    <tablePart r:id="rId2"/>
  </tableParts>
</worksheet>
</file>

<file path=xl/worksheets/sheet5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4D0DB-E896-4245-BB09-A5C3BFE6BF83}">
  <sheetPr codeName="Sheet513"/>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44580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44580</v>
      </c>
    </row>
    <row r="7" spans="2:10" x14ac:dyDescent="0.3">
      <c r="B7" s="6" t="s">
        <v>37</v>
      </c>
      <c r="C7" s="22"/>
      <c r="D7" s="53"/>
      <c r="E7" s="22">
        <v>50000</v>
      </c>
      <c r="F7" s="22"/>
      <c r="G7" s="22"/>
      <c r="H7" s="67">
        <f t="shared" si="0"/>
        <v>44580</v>
      </c>
    </row>
    <row r="8" spans="2:10" x14ac:dyDescent="0.3">
      <c r="B8" s="6" t="s">
        <v>17</v>
      </c>
      <c r="C8" s="22"/>
      <c r="D8" s="22">
        <v>157500</v>
      </c>
      <c r="E8" s="22"/>
      <c r="F8" s="22"/>
      <c r="G8" s="22"/>
      <c r="H8" s="12">
        <f t="shared" si="0"/>
        <v>44580</v>
      </c>
    </row>
    <row r="9" spans="2:10" ht="15.6" x14ac:dyDescent="0.3">
      <c r="B9" s="34" t="s">
        <v>0</v>
      </c>
      <c r="C9" s="57"/>
      <c r="D9" s="60">
        <v>369000</v>
      </c>
      <c r="E9" s="61"/>
      <c r="F9" s="117"/>
      <c r="G9" s="61"/>
      <c r="H9" s="12">
        <f t="shared" si="0"/>
        <v>44580</v>
      </c>
    </row>
    <row r="10" spans="2:10" ht="16.2" customHeight="1" x14ac:dyDescent="0.3">
      <c r="B10" s="6" t="s">
        <v>25</v>
      </c>
      <c r="C10" s="22">
        <v>702000</v>
      </c>
      <c r="D10" s="22">
        <v>323500</v>
      </c>
      <c r="E10" s="22"/>
      <c r="F10" s="22">
        <v>45000</v>
      </c>
      <c r="G10" s="22"/>
      <c r="H10" s="12">
        <f t="shared" si="0"/>
        <v>44580</v>
      </c>
    </row>
    <row r="11" spans="2:10" ht="13.5" customHeight="1" x14ac:dyDescent="0.3">
      <c r="B11" s="6" t="s">
        <v>15</v>
      </c>
      <c r="C11" s="22"/>
      <c r="D11" s="22">
        <v>324000</v>
      </c>
      <c r="E11" s="22"/>
      <c r="F11" s="22">
        <v>45000</v>
      </c>
      <c r="G11" s="22"/>
      <c r="H11" s="12">
        <f t="shared" si="0"/>
        <v>44580</v>
      </c>
    </row>
    <row r="12" spans="2:10" x14ac:dyDescent="0.3">
      <c r="B12" s="6" t="s">
        <v>54</v>
      </c>
      <c r="C12" s="22">
        <v>540000</v>
      </c>
      <c r="D12" s="22">
        <v>319500</v>
      </c>
      <c r="E12" s="22"/>
      <c r="F12" s="22"/>
      <c r="G12" s="22">
        <v>432000</v>
      </c>
      <c r="H12" s="67">
        <f t="shared" si="0"/>
        <v>44580</v>
      </c>
    </row>
    <row r="13" spans="2:10" x14ac:dyDescent="0.3">
      <c r="B13" s="6" t="s">
        <v>26</v>
      </c>
      <c r="C13" s="22"/>
      <c r="D13" s="22"/>
      <c r="E13" s="22"/>
      <c r="F13" s="22"/>
      <c r="G13" s="22"/>
      <c r="H13" s="12">
        <f t="shared" si="0"/>
        <v>44580</v>
      </c>
    </row>
    <row r="14" spans="2:10" x14ac:dyDescent="0.3">
      <c r="B14" s="6" t="s">
        <v>22</v>
      </c>
      <c r="C14" s="22"/>
      <c r="D14" s="23"/>
      <c r="E14" s="23"/>
      <c r="F14" s="23"/>
      <c r="G14" s="23"/>
      <c r="H14" s="12">
        <f t="shared" si="0"/>
        <v>44580</v>
      </c>
      <c r="J14" s="4"/>
    </row>
    <row r="15" spans="2:10" x14ac:dyDescent="0.3">
      <c r="B15" s="6" t="s">
        <v>61</v>
      </c>
      <c r="C15" s="22"/>
      <c r="D15" s="23"/>
      <c r="E15" s="23"/>
      <c r="F15" s="23"/>
      <c r="G15" s="23"/>
      <c r="H15" s="67">
        <f t="shared" si="0"/>
        <v>44580</v>
      </c>
      <c r="J15" s="4"/>
    </row>
    <row r="16" spans="2:10" x14ac:dyDescent="0.3">
      <c r="B16" s="6" t="s">
        <v>19</v>
      </c>
      <c r="C16" s="22">
        <v>485500</v>
      </c>
      <c r="D16" s="62">
        <v>486000</v>
      </c>
      <c r="E16" s="22"/>
      <c r="F16" s="22"/>
      <c r="G16" s="22">
        <v>108000</v>
      </c>
      <c r="H16" s="12">
        <f t="shared" si="0"/>
        <v>44580</v>
      </c>
    </row>
    <row r="17" spans="1:8" x14ac:dyDescent="0.3">
      <c r="B17" s="6" t="s">
        <v>14</v>
      </c>
      <c r="C17" s="22">
        <v>540000</v>
      </c>
      <c r="D17" s="22">
        <v>270000</v>
      </c>
      <c r="E17" s="22"/>
      <c r="F17" s="22"/>
      <c r="G17" s="22"/>
      <c r="H17" s="12">
        <f t="shared" si="0"/>
        <v>44580</v>
      </c>
    </row>
    <row r="18" spans="1:8" x14ac:dyDescent="0.3">
      <c r="B18" s="6" t="s">
        <v>24</v>
      </c>
      <c r="C18" s="22"/>
      <c r="D18" s="22"/>
      <c r="E18" s="22"/>
      <c r="F18" s="22"/>
      <c r="G18" s="22"/>
      <c r="H18" s="12">
        <f t="shared" si="0"/>
        <v>44580</v>
      </c>
    </row>
    <row r="19" spans="1:8" x14ac:dyDescent="0.3">
      <c r="B19" s="6" t="s">
        <v>21</v>
      </c>
      <c r="C19" s="22"/>
      <c r="D19" s="22"/>
      <c r="E19" s="22"/>
      <c r="F19" s="22"/>
      <c r="G19" s="22"/>
      <c r="H19" s="67">
        <f t="shared" si="0"/>
        <v>44580</v>
      </c>
    </row>
    <row r="20" spans="1:8" x14ac:dyDescent="0.3">
      <c r="B20" s="6" t="s">
        <v>65</v>
      </c>
      <c r="C20" s="22"/>
      <c r="D20" s="22"/>
      <c r="E20" s="22"/>
      <c r="F20" s="22"/>
      <c r="G20" s="22"/>
      <c r="H20" s="12">
        <f t="shared" si="0"/>
        <v>44580</v>
      </c>
    </row>
    <row r="21" spans="1:8" x14ac:dyDescent="0.3">
      <c r="B21" s="6" t="s">
        <v>18</v>
      </c>
      <c r="C21" s="22"/>
      <c r="D21" s="22">
        <v>211500</v>
      </c>
      <c r="E21" s="22"/>
      <c r="F21" s="22"/>
      <c r="G21" s="22"/>
      <c r="H21" s="12">
        <f t="shared" si="0"/>
        <v>44580</v>
      </c>
    </row>
    <row r="22" spans="1:8" x14ac:dyDescent="0.3">
      <c r="B22" s="6" t="s">
        <v>16</v>
      </c>
      <c r="C22" s="55">
        <v>45000</v>
      </c>
      <c r="D22" s="22"/>
      <c r="E22" s="22"/>
      <c r="F22" s="22"/>
      <c r="G22" s="22"/>
      <c r="H22" s="12">
        <f t="shared" si="0"/>
        <v>44580</v>
      </c>
    </row>
    <row r="23" spans="1:8" x14ac:dyDescent="0.3">
      <c r="B23" s="50" t="s">
        <v>27</v>
      </c>
      <c r="C23" s="51">
        <f>SUM(January19_2022[KSI_AGO])</f>
        <v>2312500</v>
      </c>
      <c r="D23" s="51">
        <f>SUBTOTAL(109,January19_2022[KSI_PMS])</f>
        <v>2461000</v>
      </c>
      <c r="E23" s="51">
        <f>SUM(January19_2022[BUIPE_AGO])</f>
        <v>50000</v>
      </c>
      <c r="F23" s="51">
        <f>SUM(January19_2022[BUIPE_PMS])</f>
        <v>90000</v>
      </c>
      <c r="G23" s="51">
        <f>SUM(January19_2022[AKOSOMBO_AGO])</f>
        <v>540000</v>
      </c>
      <c r="H23" s="52"/>
    </row>
    <row r="24" spans="1:8" x14ac:dyDescent="0.3">
      <c r="B24" s="8"/>
      <c r="C24" s="24"/>
      <c r="D24" s="24"/>
      <c r="E24" s="24"/>
      <c r="F24" s="24"/>
      <c r="G24" s="24"/>
      <c r="H24"/>
    </row>
    <row r="25" spans="1:8" x14ac:dyDescent="0.3">
      <c r="B25" s="1" t="s">
        <v>6</v>
      </c>
      <c r="C25" s="1" t="s">
        <v>4</v>
      </c>
      <c r="D25" s="5">
        <f>SUMIF(January19_2022[[#Headers],[KSI_AGO]:[AKOSOMBO_AGO]],"*"&amp;C25,January19_2022[[#Totals],[KSI_AGO]:[AKOSOMBO_AGO]])</f>
        <v>2902500</v>
      </c>
      <c r="E25" s="1" t="s">
        <v>5</v>
      </c>
      <c r="F25" s="5">
        <f>SUMIF(January19_2022[[#Headers],[KSI_AGO]:[AKOSOMBO_AGO]],"*"&amp;E25,January19_2022[[#Totals],[KSI_AGO]:[AKOSOMBO_AGO]])</f>
        <v>2551000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6C7AF312-203E-476F-A1E4-38FD2A50599A}">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F280D-D302-4D27-93EB-9BD4356E672F}">
  <sheetPr codeName="Sheet514"/>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44581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44581</v>
      </c>
    </row>
    <row r="7" spans="2:10" x14ac:dyDescent="0.3">
      <c r="B7" s="6" t="s">
        <v>37</v>
      </c>
      <c r="C7" s="22"/>
      <c r="D7" s="53"/>
      <c r="E7" s="22">
        <v>50000</v>
      </c>
      <c r="F7" s="22"/>
      <c r="G7" s="22"/>
      <c r="H7" s="67">
        <f t="shared" si="0"/>
        <v>44581</v>
      </c>
    </row>
    <row r="8" spans="2:10" x14ac:dyDescent="0.3">
      <c r="B8" s="6" t="s">
        <v>17</v>
      </c>
      <c r="C8" s="22"/>
      <c r="D8" s="22">
        <v>162000</v>
      </c>
      <c r="E8" s="22"/>
      <c r="F8" s="22"/>
      <c r="G8" s="22"/>
      <c r="H8" s="12">
        <f t="shared" si="0"/>
        <v>44581</v>
      </c>
    </row>
    <row r="9" spans="2:10" ht="15.6" x14ac:dyDescent="0.3">
      <c r="B9" s="34" t="s">
        <v>0</v>
      </c>
      <c r="C9" s="57"/>
      <c r="D9" s="60">
        <v>108000</v>
      </c>
      <c r="E9" s="61"/>
      <c r="F9" s="117"/>
      <c r="G9" s="61"/>
      <c r="H9" s="12">
        <f t="shared" si="0"/>
        <v>44581</v>
      </c>
    </row>
    <row r="10" spans="2:10" ht="16.2" customHeight="1" x14ac:dyDescent="0.3">
      <c r="B10" s="6" t="s">
        <v>25</v>
      </c>
      <c r="C10" s="22">
        <v>535500</v>
      </c>
      <c r="D10" s="22">
        <v>108000</v>
      </c>
      <c r="E10" s="22"/>
      <c r="F10" s="22"/>
      <c r="G10" s="22"/>
      <c r="H10" s="12">
        <f t="shared" si="0"/>
        <v>44581</v>
      </c>
    </row>
    <row r="11" spans="2:10" ht="13.5" customHeight="1" x14ac:dyDescent="0.3">
      <c r="B11" s="6" t="s">
        <v>15</v>
      </c>
      <c r="C11" s="22"/>
      <c r="D11" s="22">
        <v>162000</v>
      </c>
      <c r="E11" s="22"/>
      <c r="F11" s="22"/>
      <c r="G11" s="22"/>
      <c r="H11" s="12">
        <f t="shared" si="0"/>
        <v>44581</v>
      </c>
    </row>
    <row r="12" spans="2:10" x14ac:dyDescent="0.3">
      <c r="B12" s="6" t="s">
        <v>54</v>
      </c>
      <c r="C12" s="22">
        <v>648000</v>
      </c>
      <c r="D12" s="22">
        <v>155500</v>
      </c>
      <c r="E12" s="22"/>
      <c r="F12" s="22"/>
      <c r="G12" s="22"/>
      <c r="H12" s="67">
        <f t="shared" si="0"/>
        <v>44581</v>
      </c>
    </row>
    <row r="13" spans="2:10" x14ac:dyDescent="0.3">
      <c r="B13" s="6" t="s">
        <v>26</v>
      </c>
      <c r="C13" s="22"/>
      <c r="D13" s="22"/>
      <c r="E13" s="22"/>
      <c r="F13" s="22"/>
      <c r="G13" s="22"/>
      <c r="H13" s="12">
        <f t="shared" si="0"/>
        <v>44581</v>
      </c>
    </row>
    <row r="14" spans="2:10" x14ac:dyDescent="0.3">
      <c r="B14" s="6" t="s">
        <v>22</v>
      </c>
      <c r="C14" s="22"/>
      <c r="D14" s="23"/>
      <c r="E14" s="23"/>
      <c r="F14" s="23"/>
      <c r="G14" s="23"/>
      <c r="H14" s="12">
        <f t="shared" si="0"/>
        <v>44581</v>
      </c>
      <c r="J14" s="4"/>
    </row>
    <row r="15" spans="2:10" x14ac:dyDescent="0.3">
      <c r="B15" s="6" t="s">
        <v>61</v>
      </c>
      <c r="C15" s="22"/>
      <c r="D15" s="23"/>
      <c r="E15" s="23"/>
      <c r="F15" s="23"/>
      <c r="G15" s="23"/>
      <c r="H15" s="67">
        <f t="shared" si="0"/>
        <v>44581</v>
      </c>
      <c r="J15" s="4"/>
    </row>
    <row r="16" spans="2:10" x14ac:dyDescent="0.3">
      <c r="B16" s="6" t="s">
        <v>19</v>
      </c>
      <c r="C16" s="22">
        <v>581000</v>
      </c>
      <c r="D16" s="62">
        <v>378000</v>
      </c>
      <c r="E16" s="22">
        <v>50000</v>
      </c>
      <c r="F16" s="22"/>
      <c r="G16" s="22">
        <v>540000</v>
      </c>
      <c r="H16" s="12">
        <f t="shared" si="0"/>
        <v>44581</v>
      </c>
    </row>
    <row r="17" spans="1:8" x14ac:dyDescent="0.3">
      <c r="B17" s="6" t="s">
        <v>14</v>
      </c>
      <c r="C17" s="22">
        <v>360000</v>
      </c>
      <c r="D17" s="22">
        <v>107000</v>
      </c>
      <c r="E17" s="22"/>
      <c r="F17" s="22"/>
      <c r="G17" s="22"/>
      <c r="H17" s="12">
        <f t="shared" si="0"/>
        <v>44581</v>
      </c>
    </row>
    <row r="18" spans="1:8" x14ac:dyDescent="0.3">
      <c r="B18" s="6" t="s">
        <v>24</v>
      </c>
      <c r="C18" s="22"/>
      <c r="D18" s="22"/>
      <c r="E18" s="22"/>
      <c r="F18" s="22"/>
      <c r="G18" s="22"/>
      <c r="H18" s="12">
        <f t="shared" si="0"/>
        <v>44581</v>
      </c>
    </row>
    <row r="19" spans="1:8" x14ac:dyDescent="0.3">
      <c r="B19" s="6" t="s">
        <v>21</v>
      </c>
      <c r="C19" s="22"/>
      <c r="D19" s="22"/>
      <c r="E19" s="22"/>
      <c r="F19" s="22"/>
      <c r="G19" s="22"/>
      <c r="H19" s="67">
        <f t="shared" si="0"/>
        <v>44581</v>
      </c>
    </row>
    <row r="20" spans="1:8" x14ac:dyDescent="0.3">
      <c r="B20" s="6" t="s">
        <v>65</v>
      </c>
      <c r="C20" s="22"/>
      <c r="D20" s="22"/>
      <c r="E20" s="22"/>
      <c r="F20" s="22"/>
      <c r="G20" s="22"/>
      <c r="H20" s="12">
        <f t="shared" si="0"/>
        <v>44581</v>
      </c>
    </row>
    <row r="21" spans="1:8" x14ac:dyDescent="0.3">
      <c r="B21" s="6" t="s">
        <v>18</v>
      </c>
      <c r="C21" s="22"/>
      <c r="D21" s="22"/>
      <c r="E21" s="22"/>
      <c r="F21" s="22"/>
      <c r="G21" s="22"/>
      <c r="H21" s="12">
        <f t="shared" si="0"/>
        <v>44581</v>
      </c>
    </row>
    <row r="22" spans="1:8" x14ac:dyDescent="0.3">
      <c r="B22" s="6" t="s">
        <v>16</v>
      </c>
      <c r="C22" s="55"/>
      <c r="D22" s="22"/>
      <c r="E22" s="22"/>
      <c r="F22" s="22"/>
      <c r="G22" s="22"/>
      <c r="H22" s="12">
        <f t="shared" si="0"/>
        <v>44581</v>
      </c>
    </row>
    <row r="23" spans="1:8" x14ac:dyDescent="0.3">
      <c r="B23" s="50" t="s">
        <v>27</v>
      </c>
      <c r="C23" s="51">
        <f>SUM(January20_2022[KSI_AGO])</f>
        <v>2124500</v>
      </c>
      <c r="D23" s="51">
        <f>SUBTOTAL(109,January20_2022[KSI_PMS])</f>
        <v>1180500</v>
      </c>
      <c r="E23" s="51">
        <f>SUM(January20_2022[BUIPE_AGO])</f>
        <v>100000</v>
      </c>
      <c r="F23" s="51">
        <f>SUM(January20_2022[BUIPE_PMS])</f>
        <v>0</v>
      </c>
      <c r="G23" s="51">
        <f>SUM(January20_2022[AKOSOMBO_AGO])</f>
        <v>540000</v>
      </c>
      <c r="H23" s="52"/>
    </row>
    <row r="24" spans="1:8" x14ac:dyDescent="0.3">
      <c r="B24" s="8"/>
      <c r="C24" s="24"/>
      <c r="D24" s="24"/>
      <c r="E24" s="24"/>
      <c r="F24" s="24"/>
      <c r="G24" s="24"/>
      <c r="H24"/>
    </row>
    <row r="25" spans="1:8" x14ac:dyDescent="0.3">
      <c r="B25" s="1" t="s">
        <v>6</v>
      </c>
      <c r="C25" s="1" t="s">
        <v>4</v>
      </c>
      <c r="D25" s="5">
        <f>SUMIF(January20_2022[[#Headers],[KSI_AGO]:[AKOSOMBO_AGO]],"*"&amp;C25,January20_2022[[#Totals],[KSI_AGO]:[AKOSOMBO_AGO]])</f>
        <v>2764500</v>
      </c>
      <c r="E25" s="1" t="s">
        <v>5</v>
      </c>
      <c r="F25" s="5">
        <f>SUMIF(January20_2022[[#Headers],[KSI_AGO]:[AKOSOMBO_AGO]],"*"&amp;E25,January20_2022[[#Totals],[KSI_AGO]:[AKOSOMBO_AGO]])</f>
        <v>1180500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C0517C76-B332-4395-9153-A88AA57356A9}">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E404-859C-405C-BCEE-E482AE8837D2}">
  <sheetPr codeName="Sheet515"/>
  <dimension ref="A1:J35"/>
  <sheetViews>
    <sheetView zoomScaleNormal="100" workbookViewId="0">
      <pane xSplit="2" ySplit="5" topLeftCell="C6" activePane="bottomRight" state="frozen"/>
      <selection activeCell="J22" sqref="J22"/>
      <selection pane="topRight" activeCell="J22" sqref="J22"/>
      <selection pane="bottomLeft" activeCell="J22" sqref="J22"/>
      <selection pane="bottomRight" activeCell="D16" sqre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44582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44582</v>
      </c>
    </row>
    <row r="7" spans="2:10" x14ac:dyDescent="0.3">
      <c r="B7" s="6" t="s">
        <v>37</v>
      </c>
      <c r="C7" s="22"/>
      <c r="D7" s="53"/>
      <c r="E7" s="22"/>
      <c r="F7" s="22"/>
      <c r="G7" s="22"/>
      <c r="H7" s="67">
        <f t="shared" si="0"/>
        <v>44582</v>
      </c>
    </row>
    <row r="8" spans="2:10" x14ac:dyDescent="0.3">
      <c r="B8" s="6" t="s">
        <v>17</v>
      </c>
      <c r="C8" s="22"/>
      <c r="D8" s="22">
        <v>211500</v>
      </c>
      <c r="E8" s="22"/>
      <c r="F8" s="22"/>
      <c r="G8" s="22"/>
      <c r="H8" s="12">
        <f t="shared" si="0"/>
        <v>44582</v>
      </c>
    </row>
    <row r="9" spans="2:10" ht="15.6" x14ac:dyDescent="0.3">
      <c r="B9" s="34" t="s">
        <v>0</v>
      </c>
      <c r="C9" s="57"/>
      <c r="D9" s="60">
        <v>324000</v>
      </c>
      <c r="E9" s="61"/>
      <c r="F9" s="117"/>
      <c r="G9" s="61"/>
      <c r="H9" s="12">
        <f t="shared" si="0"/>
        <v>44582</v>
      </c>
    </row>
    <row r="10" spans="2:10" ht="16.2" customHeight="1" x14ac:dyDescent="0.3">
      <c r="B10" s="6" t="s">
        <v>25</v>
      </c>
      <c r="C10" s="22">
        <v>1058000</v>
      </c>
      <c r="D10" s="22">
        <v>162000</v>
      </c>
      <c r="E10" s="22"/>
      <c r="F10" s="22"/>
      <c r="G10" s="22">
        <v>54000</v>
      </c>
      <c r="H10" s="12">
        <f t="shared" si="0"/>
        <v>44582</v>
      </c>
    </row>
    <row r="11" spans="2:10" ht="13.5" customHeight="1" x14ac:dyDescent="0.3">
      <c r="B11" s="6" t="s">
        <v>15</v>
      </c>
      <c r="C11" s="22"/>
      <c r="D11" s="22">
        <v>319500</v>
      </c>
      <c r="E11" s="22"/>
      <c r="F11" s="22">
        <v>756000</v>
      </c>
      <c r="G11" s="22"/>
      <c r="H11" s="12">
        <f t="shared" si="0"/>
        <v>44582</v>
      </c>
    </row>
    <row r="12" spans="2:10" x14ac:dyDescent="0.3">
      <c r="B12" s="6" t="s">
        <v>54</v>
      </c>
      <c r="C12" s="22">
        <v>216000</v>
      </c>
      <c r="D12" s="22">
        <v>162000</v>
      </c>
      <c r="E12" s="22"/>
      <c r="F12" s="22"/>
      <c r="G12" s="22"/>
      <c r="H12" s="67">
        <f t="shared" si="0"/>
        <v>44582</v>
      </c>
    </row>
    <row r="13" spans="2:10" x14ac:dyDescent="0.3">
      <c r="B13" s="6" t="s">
        <v>26</v>
      </c>
      <c r="C13" s="22"/>
      <c r="D13" s="22"/>
      <c r="E13" s="22"/>
      <c r="F13" s="22"/>
      <c r="G13" s="22"/>
      <c r="H13" s="12">
        <f t="shared" si="0"/>
        <v>44582</v>
      </c>
    </row>
    <row r="14" spans="2:10" x14ac:dyDescent="0.3">
      <c r="B14" s="6" t="s">
        <v>22</v>
      </c>
      <c r="C14" s="22"/>
      <c r="D14" s="23"/>
      <c r="E14" s="23"/>
      <c r="F14" s="23"/>
      <c r="G14" s="23"/>
      <c r="H14" s="12">
        <f t="shared" si="0"/>
        <v>44582</v>
      </c>
      <c r="J14" s="4"/>
    </row>
    <row r="15" spans="2:10" x14ac:dyDescent="0.3">
      <c r="B15" s="6" t="s">
        <v>61</v>
      </c>
      <c r="C15" s="22"/>
      <c r="D15" s="23"/>
      <c r="E15" s="23"/>
      <c r="F15" s="23"/>
      <c r="G15" s="23"/>
      <c r="H15" s="67">
        <f t="shared" si="0"/>
        <v>44582</v>
      </c>
      <c r="J15" s="4"/>
    </row>
    <row r="16" spans="2:10" x14ac:dyDescent="0.3">
      <c r="B16" s="6" t="s">
        <v>19</v>
      </c>
      <c r="C16" s="22">
        <v>864000</v>
      </c>
      <c r="D16" s="62">
        <v>158000</v>
      </c>
      <c r="E16" s="22"/>
      <c r="F16" s="22"/>
      <c r="G16" s="22">
        <v>648000</v>
      </c>
      <c r="H16" s="12">
        <f t="shared" si="0"/>
        <v>44582</v>
      </c>
    </row>
    <row r="17" spans="1:8" x14ac:dyDescent="0.3">
      <c r="B17" s="6" t="s">
        <v>14</v>
      </c>
      <c r="C17" s="22">
        <v>108000</v>
      </c>
      <c r="D17" s="22">
        <v>162000</v>
      </c>
      <c r="E17" s="22"/>
      <c r="F17" s="22"/>
      <c r="G17" s="22"/>
      <c r="H17" s="12">
        <f t="shared" si="0"/>
        <v>44582</v>
      </c>
    </row>
    <row r="18" spans="1:8" x14ac:dyDescent="0.3">
      <c r="B18" s="6" t="s">
        <v>24</v>
      </c>
      <c r="C18" s="22"/>
      <c r="D18" s="22"/>
      <c r="E18" s="22"/>
      <c r="F18" s="22"/>
      <c r="G18" s="22"/>
      <c r="H18" s="12">
        <f t="shared" si="0"/>
        <v>44582</v>
      </c>
    </row>
    <row r="19" spans="1:8" x14ac:dyDescent="0.3">
      <c r="B19" s="6" t="s">
        <v>21</v>
      </c>
      <c r="C19" s="22"/>
      <c r="D19" s="22"/>
      <c r="E19" s="22"/>
      <c r="F19" s="22"/>
      <c r="G19" s="22"/>
      <c r="H19" s="67">
        <f t="shared" si="0"/>
        <v>44582</v>
      </c>
    </row>
    <row r="20" spans="1:8" x14ac:dyDescent="0.3">
      <c r="B20" s="6" t="s">
        <v>65</v>
      </c>
      <c r="C20" s="22"/>
      <c r="D20" s="22"/>
      <c r="E20" s="22"/>
      <c r="F20" s="22"/>
      <c r="G20" s="22"/>
      <c r="H20" s="12">
        <f t="shared" si="0"/>
        <v>44582</v>
      </c>
    </row>
    <row r="21" spans="1:8" x14ac:dyDescent="0.3">
      <c r="B21" s="6" t="s">
        <v>18</v>
      </c>
      <c r="C21" s="22"/>
      <c r="D21" s="22"/>
      <c r="E21" s="22"/>
      <c r="F21" s="22"/>
      <c r="G21" s="22"/>
      <c r="H21" s="12">
        <f t="shared" si="0"/>
        <v>44582</v>
      </c>
    </row>
    <row r="22" spans="1:8" x14ac:dyDescent="0.3">
      <c r="B22" s="6" t="s">
        <v>16</v>
      </c>
      <c r="C22" s="55"/>
      <c r="D22" s="22"/>
      <c r="E22" s="22"/>
      <c r="F22" s="22"/>
      <c r="G22" s="22"/>
      <c r="H22" s="12">
        <f t="shared" si="0"/>
        <v>44582</v>
      </c>
    </row>
    <row r="23" spans="1:8" x14ac:dyDescent="0.3">
      <c r="B23" s="50" t="s">
        <v>27</v>
      </c>
      <c r="C23" s="51">
        <f>SUM(January21_2022[KSI_AGO])</f>
        <v>2246000</v>
      </c>
      <c r="D23" s="51">
        <f>SUBTOTAL(109,January21_2022[KSI_PMS])</f>
        <v>1499000</v>
      </c>
      <c r="E23" s="51">
        <f>SUM(January21_2022[BUIPE_AGO])</f>
        <v>0</v>
      </c>
      <c r="F23" s="51">
        <f>SUM(January21_2022[BUIPE_PMS])</f>
        <v>756000</v>
      </c>
      <c r="G23" s="51">
        <f>SUM(January21_2022[AKOSOMBO_AGO])</f>
        <v>702000</v>
      </c>
      <c r="H23" s="52"/>
    </row>
    <row r="24" spans="1:8" x14ac:dyDescent="0.3">
      <c r="B24" s="8"/>
      <c r="C24" s="24"/>
      <c r="D24" s="24"/>
      <c r="E24" s="24"/>
      <c r="F24" s="24"/>
      <c r="G24" s="24"/>
      <c r="H24"/>
    </row>
    <row r="25" spans="1:8" x14ac:dyDescent="0.3">
      <c r="B25" s="1" t="s">
        <v>6</v>
      </c>
      <c r="C25" s="1" t="s">
        <v>4</v>
      </c>
      <c r="D25" s="5">
        <f>SUMIF(January21_2022[[#Headers],[KSI_AGO]:[AKOSOMBO_AGO]],"*"&amp;C25,January21_2022[[#Totals],[KSI_AGO]:[AKOSOMBO_AGO]])</f>
        <v>2948000</v>
      </c>
      <c r="E25" s="1" t="s">
        <v>5</v>
      </c>
      <c r="F25" s="5">
        <f>SUMIF(January21_2022[[#Headers],[KSI_AGO]:[AKOSOMBO_AGO]],"*"&amp;E25,January21_2022[[#Totals],[KSI_AGO]:[AKOSOMBO_AGO]])</f>
        <v>2255000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C12F6AB-72E7-47EF-91C7-78E4974EC7F9}">
      <formula1>INDIRECT("BDC_List[BDC List]")</formula1>
    </dataValidation>
  </dataValidations>
  <pageMargins left="0.7" right="0.7" top="0.75" bottom="0.75" header="0.3" footer="0.3"/>
  <pageSetup orientation="portrait" r:id="rId1"/>
  <tableParts count="1">
    <tablePart r:id="rId2"/>
  </tableParts>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683F-042D-47FE-87BE-4541CC5FCE84}">
  <sheetPr codeName="Sheet516"/>
  <dimension ref="A1:J35"/>
  <sheetViews>
    <sheetView zoomScale="85" zoomScaleNormal="85" workbookViewId="0">
      <pane xSplit="2" ySplit="5" topLeftCell="C10" activePane="bottomRight" state="frozen"/>
      <selection activeCell="J22" sqref="J22"/>
      <selection pane="topRight" activeCell="J22" sqref="J22"/>
      <selection pane="bottomLeft" activeCell="J22" sqref="J22"/>
      <selection pane="bottomRight" activeCell="F29" sqref="F2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44585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44585</v>
      </c>
    </row>
    <row r="7" spans="2:10" x14ac:dyDescent="0.3">
      <c r="B7" s="6" t="s">
        <v>37</v>
      </c>
      <c r="C7" s="22">
        <v>368000</v>
      </c>
      <c r="D7" s="53"/>
      <c r="E7" s="22">
        <v>324000</v>
      </c>
      <c r="F7" s="22"/>
      <c r="G7" s="22"/>
      <c r="H7" s="67">
        <f t="shared" si="0"/>
        <v>44585</v>
      </c>
    </row>
    <row r="8" spans="2:10" x14ac:dyDescent="0.3">
      <c r="B8" s="6" t="s">
        <v>17</v>
      </c>
      <c r="C8" s="22"/>
      <c r="D8" s="22">
        <v>108000</v>
      </c>
      <c r="E8" s="22"/>
      <c r="F8" s="22"/>
      <c r="G8" s="22"/>
      <c r="H8" s="12">
        <f t="shared" si="0"/>
        <v>44585</v>
      </c>
    </row>
    <row r="9" spans="2:10" ht="15.6" x14ac:dyDescent="0.3">
      <c r="B9" s="34" t="s">
        <v>0</v>
      </c>
      <c r="C9" s="57"/>
      <c r="D9" s="60">
        <v>370000</v>
      </c>
      <c r="E9" s="61"/>
      <c r="F9" s="117"/>
      <c r="G9" s="61"/>
      <c r="H9" s="12">
        <f t="shared" si="0"/>
        <v>44585</v>
      </c>
    </row>
    <row r="10" spans="2:10" ht="16.2" customHeight="1" x14ac:dyDescent="0.3">
      <c r="B10" s="6" t="s">
        <v>25</v>
      </c>
      <c r="C10" s="22"/>
      <c r="D10" s="22">
        <v>324000</v>
      </c>
      <c r="E10" s="22"/>
      <c r="F10" s="22"/>
      <c r="G10" s="22"/>
      <c r="H10" s="12">
        <f t="shared" si="0"/>
        <v>44585</v>
      </c>
    </row>
    <row r="11" spans="2:10" ht="13.5" customHeight="1" x14ac:dyDescent="0.3">
      <c r="B11" s="6" t="s">
        <v>15</v>
      </c>
      <c r="C11" s="22"/>
      <c r="D11" s="22">
        <v>194000</v>
      </c>
      <c r="E11" s="22"/>
      <c r="F11" s="22">
        <v>648000</v>
      </c>
      <c r="G11" s="22"/>
      <c r="H11" s="12">
        <f t="shared" si="0"/>
        <v>44585</v>
      </c>
    </row>
    <row r="12" spans="2:10" x14ac:dyDescent="0.3">
      <c r="B12" s="6" t="s">
        <v>54</v>
      </c>
      <c r="C12" s="22"/>
      <c r="D12" s="22">
        <v>162000</v>
      </c>
      <c r="E12" s="22"/>
      <c r="F12" s="22"/>
      <c r="G12" s="22"/>
      <c r="H12" s="67">
        <f t="shared" si="0"/>
        <v>44585</v>
      </c>
    </row>
    <row r="13" spans="2:10" x14ac:dyDescent="0.3">
      <c r="B13" s="6" t="s">
        <v>26</v>
      </c>
      <c r="C13" s="22"/>
      <c r="D13" s="22"/>
      <c r="E13" s="22"/>
      <c r="F13" s="22"/>
      <c r="G13" s="22"/>
      <c r="H13" s="12">
        <f t="shared" si="0"/>
        <v>44585</v>
      </c>
    </row>
    <row r="14" spans="2:10" x14ac:dyDescent="0.3">
      <c r="B14" s="6" t="s">
        <v>22</v>
      </c>
      <c r="C14" s="22"/>
      <c r="D14" s="23"/>
      <c r="E14" s="23"/>
      <c r="F14" s="23"/>
      <c r="G14" s="23"/>
      <c r="H14" s="12">
        <f t="shared" si="0"/>
        <v>44585</v>
      </c>
      <c r="J14" s="4"/>
    </row>
    <row r="15" spans="2:10" x14ac:dyDescent="0.3">
      <c r="B15" s="6" t="s">
        <v>61</v>
      </c>
      <c r="C15" s="22"/>
      <c r="D15" s="23"/>
      <c r="E15" s="23"/>
      <c r="F15" s="23"/>
      <c r="G15" s="23"/>
      <c r="H15" s="67">
        <f t="shared" si="0"/>
        <v>44585</v>
      </c>
      <c r="J15" s="4"/>
    </row>
    <row r="16" spans="2:10" x14ac:dyDescent="0.3">
      <c r="B16" s="6" t="s">
        <v>19</v>
      </c>
      <c r="C16" s="22">
        <v>805000</v>
      </c>
      <c r="D16" s="62"/>
      <c r="E16" s="22">
        <v>378000</v>
      </c>
      <c r="F16" s="22"/>
      <c r="G16" s="22"/>
      <c r="H16" s="12">
        <f t="shared" si="0"/>
        <v>44585</v>
      </c>
    </row>
    <row r="17" spans="1:8" x14ac:dyDescent="0.3">
      <c r="B17" s="6" t="s">
        <v>14</v>
      </c>
      <c r="C17" s="22"/>
      <c r="D17" s="22">
        <v>378000</v>
      </c>
      <c r="E17" s="22"/>
      <c r="F17" s="22"/>
      <c r="G17" s="22"/>
      <c r="H17" s="12">
        <f t="shared" si="0"/>
        <v>44585</v>
      </c>
    </row>
    <row r="18" spans="1:8" x14ac:dyDescent="0.3">
      <c r="B18" s="6" t="s">
        <v>24</v>
      </c>
      <c r="C18" s="22"/>
      <c r="D18" s="22"/>
      <c r="E18" s="22"/>
      <c r="F18" s="22"/>
      <c r="G18" s="22"/>
      <c r="H18" s="12">
        <f t="shared" si="0"/>
        <v>44585</v>
      </c>
    </row>
    <row r="19" spans="1:8" x14ac:dyDescent="0.3">
      <c r="B19" s="6" t="s">
        <v>21</v>
      </c>
      <c r="C19" s="22"/>
      <c r="D19" s="22"/>
      <c r="E19" s="22"/>
      <c r="F19" s="22"/>
      <c r="G19" s="22"/>
      <c r="H19" s="67">
        <f t="shared" si="0"/>
        <v>44585</v>
      </c>
    </row>
    <row r="20" spans="1:8" x14ac:dyDescent="0.3">
      <c r="B20" s="6" t="s">
        <v>65</v>
      </c>
      <c r="C20" s="22"/>
      <c r="D20" s="22"/>
      <c r="E20" s="22"/>
      <c r="F20" s="22"/>
      <c r="G20" s="22"/>
      <c r="H20" s="12">
        <f t="shared" si="0"/>
        <v>44585</v>
      </c>
    </row>
    <row r="21" spans="1:8" x14ac:dyDescent="0.3">
      <c r="B21" s="6" t="s">
        <v>18</v>
      </c>
      <c r="C21" s="22">
        <v>697500</v>
      </c>
      <c r="D21" s="22"/>
      <c r="E21" s="22"/>
      <c r="F21" s="22"/>
      <c r="G21" s="22"/>
      <c r="H21" s="12">
        <f t="shared" si="0"/>
        <v>44585</v>
      </c>
    </row>
    <row r="22" spans="1:8" x14ac:dyDescent="0.3">
      <c r="B22" s="6" t="s">
        <v>16</v>
      </c>
      <c r="C22" s="55"/>
      <c r="D22" s="22"/>
      <c r="E22" s="22"/>
      <c r="F22" s="22"/>
      <c r="G22" s="22"/>
      <c r="H22" s="12">
        <f t="shared" si="0"/>
        <v>44585</v>
      </c>
    </row>
    <row r="23" spans="1:8" x14ac:dyDescent="0.3">
      <c r="B23" s="50" t="s">
        <v>27</v>
      </c>
      <c r="C23" s="51">
        <f>SUM(January24_2022[KSI_AGO])</f>
        <v>1870500</v>
      </c>
      <c r="D23" s="51">
        <f>SUBTOTAL(109,January24_2022[KSI_PMS])</f>
        <v>1536000</v>
      </c>
      <c r="E23" s="51">
        <f>SUM(January24_2022[BUIPE_AGO])</f>
        <v>702000</v>
      </c>
      <c r="F23" s="51">
        <f>SUM(January24_2022[BUIPE_PMS])</f>
        <v>648000</v>
      </c>
      <c r="G23" s="51">
        <f>SUM(January24_2022[AKOSOMBO_AGO])</f>
        <v>0</v>
      </c>
      <c r="H23" s="52"/>
    </row>
    <row r="24" spans="1:8" x14ac:dyDescent="0.3">
      <c r="B24" s="8"/>
      <c r="C24" s="24"/>
      <c r="D24" s="24"/>
      <c r="E24" s="24"/>
      <c r="F24" s="24"/>
      <c r="G24" s="24"/>
      <c r="H24"/>
    </row>
    <row r="25" spans="1:8" x14ac:dyDescent="0.3">
      <c r="B25" s="1" t="s">
        <v>6</v>
      </c>
      <c r="C25" s="1" t="s">
        <v>4</v>
      </c>
      <c r="D25" s="5">
        <f>SUMIF(January24_2022[[#Headers],[KSI_AGO]:[AKOSOMBO_AGO]],"*"&amp;C25,January24_2022[[#Totals],[KSI_AGO]:[AKOSOMBO_AGO]])</f>
        <v>2572500</v>
      </c>
      <c r="E25" s="1" t="s">
        <v>5</v>
      </c>
      <c r="F25" s="5">
        <f>SUMIF(January24_2022[[#Headers],[KSI_AGO]:[AKOSOMBO_AGO]],"*"&amp;E25,January24_2022[[#Totals],[KSI_AGO]:[AKOSOMBO_AGO]])</f>
        <v>2184000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1D821F4-3EED-4CC9-97DA-753FDC3297A0}">
      <formula1>INDIRECT("BDC_List[BDC List]")</formula1>
    </dataValidation>
  </dataValidations>
  <pageMargins left="0.7" right="0.7" top="0.75" bottom="0.75" header="0.3" footer="0.3"/>
  <pageSetup orientation="portrait" r:id="rId1"/>
  <tableParts count="1">
    <tablePart r:id="rId2"/>
  </tableParts>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ADA2A-1844-43AB-897E-40BBA01AEE4B}">
  <sheetPr codeName="Sheet517"/>
  <dimension ref="A1:J35"/>
  <sheetViews>
    <sheetView zoomScale="95" zoomScaleNormal="85" workbookViewId="0">
      <pane xSplit="2" ySplit="5" topLeftCell="D6" activePane="bottomRight" state="frozen"/>
      <selection activeCell="J22" sqref="J22"/>
      <selection pane="topRight" activeCell="J22" sqref="J22"/>
      <selection pane="bottomLeft" activeCell="J22" sqref="J22"/>
      <selection pane="bottomRight" activeCell="F13" sqref="F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44586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44586</v>
      </c>
    </row>
    <row r="7" spans="2:10" x14ac:dyDescent="0.3">
      <c r="B7" s="6" t="s">
        <v>37</v>
      </c>
      <c r="C7" s="22">
        <v>108000</v>
      </c>
      <c r="D7" s="53"/>
      <c r="E7" s="22">
        <v>373500</v>
      </c>
      <c r="F7" s="22"/>
      <c r="G7" s="22"/>
      <c r="H7" s="67">
        <f t="shared" si="0"/>
        <v>44586</v>
      </c>
    </row>
    <row r="8" spans="2:10" x14ac:dyDescent="0.3">
      <c r="B8" s="6" t="s">
        <v>17</v>
      </c>
      <c r="C8" s="22"/>
      <c r="D8" s="22">
        <v>265000</v>
      </c>
      <c r="E8" s="22"/>
      <c r="F8" s="22"/>
      <c r="G8" s="22"/>
      <c r="H8" s="12">
        <f t="shared" si="0"/>
        <v>44586</v>
      </c>
    </row>
    <row r="9" spans="2:10" ht="15.6" x14ac:dyDescent="0.3">
      <c r="B9" s="34" t="s">
        <v>0</v>
      </c>
      <c r="C9" s="57"/>
      <c r="D9" s="60">
        <v>211500</v>
      </c>
      <c r="E9" s="61"/>
      <c r="F9" s="117"/>
      <c r="G9" s="61"/>
      <c r="H9" s="12">
        <f t="shared" si="0"/>
        <v>44586</v>
      </c>
    </row>
    <row r="10" spans="2:10" ht="16.2" customHeight="1" x14ac:dyDescent="0.3">
      <c r="B10" s="6" t="s">
        <v>25</v>
      </c>
      <c r="C10" s="22"/>
      <c r="D10" s="22">
        <v>162000</v>
      </c>
      <c r="E10" s="22"/>
      <c r="F10" s="22"/>
      <c r="G10" s="22"/>
      <c r="H10" s="12">
        <f t="shared" si="0"/>
        <v>44586</v>
      </c>
    </row>
    <row r="11" spans="2:10" ht="13.5" customHeight="1" x14ac:dyDescent="0.3">
      <c r="B11" s="6" t="s">
        <v>15</v>
      </c>
      <c r="C11" s="22">
        <v>585000</v>
      </c>
      <c r="D11" s="22">
        <v>211500</v>
      </c>
      <c r="E11" s="22">
        <v>158000</v>
      </c>
      <c r="F11" s="22">
        <v>216000</v>
      </c>
      <c r="G11" s="22"/>
      <c r="H11" s="12">
        <f t="shared" si="0"/>
        <v>44586</v>
      </c>
    </row>
    <row r="12" spans="2:10" x14ac:dyDescent="0.3">
      <c r="B12" s="6" t="s">
        <v>54</v>
      </c>
      <c r="C12" s="22"/>
      <c r="D12" s="22">
        <v>162000</v>
      </c>
      <c r="E12" s="22"/>
      <c r="F12" s="22">
        <v>486000</v>
      </c>
      <c r="G12" s="22"/>
      <c r="H12" s="67">
        <f t="shared" si="0"/>
        <v>44586</v>
      </c>
    </row>
    <row r="13" spans="2:10" x14ac:dyDescent="0.3">
      <c r="B13" s="6" t="s">
        <v>26</v>
      </c>
      <c r="C13" s="22">
        <v>108000</v>
      </c>
      <c r="D13" s="22"/>
      <c r="E13" s="22"/>
      <c r="F13" s="22"/>
      <c r="G13" s="22"/>
      <c r="H13" s="12">
        <f t="shared" si="0"/>
        <v>44586</v>
      </c>
    </row>
    <row r="14" spans="2:10" x14ac:dyDescent="0.3">
      <c r="B14" s="6" t="s">
        <v>22</v>
      </c>
      <c r="C14" s="22"/>
      <c r="D14" s="23"/>
      <c r="E14" s="23"/>
      <c r="F14" s="23"/>
      <c r="G14" s="23"/>
      <c r="H14" s="12">
        <f t="shared" si="0"/>
        <v>44586</v>
      </c>
      <c r="J14" s="4"/>
    </row>
    <row r="15" spans="2:10" x14ac:dyDescent="0.3">
      <c r="B15" s="6" t="s">
        <v>61</v>
      </c>
      <c r="C15" s="22"/>
      <c r="D15" s="23"/>
      <c r="E15" s="23"/>
      <c r="F15" s="23"/>
      <c r="G15" s="23"/>
      <c r="H15" s="67">
        <f t="shared" si="0"/>
        <v>44586</v>
      </c>
      <c r="J15" s="4"/>
    </row>
    <row r="16" spans="2:10" x14ac:dyDescent="0.3">
      <c r="B16" s="6" t="s">
        <v>19</v>
      </c>
      <c r="C16" s="22">
        <v>526500</v>
      </c>
      <c r="D16" s="62"/>
      <c r="E16" s="22">
        <v>162000</v>
      </c>
      <c r="F16" s="22"/>
      <c r="G16" s="22"/>
      <c r="H16" s="12">
        <f t="shared" si="0"/>
        <v>44586</v>
      </c>
    </row>
    <row r="17" spans="1:8" x14ac:dyDescent="0.3">
      <c r="B17" s="6" t="s">
        <v>14</v>
      </c>
      <c r="C17" s="22"/>
      <c r="D17" s="22">
        <v>140000</v>
      </c>
      <c r="E17" s="22"/>
      <c r="F17" s="22"/>
      <c r="G17" s="22"/>
      <c r="H17" s="12">
        <f t="shared" si="0"/>
        <v>44586</v>
      </c>
    </row>
    <row r="18" spans="1:8" x14ac:dyDescent="0.3">
      <c r="B18" s="6" t="s">
        <v>24</v>
      </c>
      <c r="C18" s="22"/>
      <c r="D18" s="22"/>
      <c r="E18" s="22"/>
      <c r="F18" s="22"/>
      <c r="G18" s="22"/>
      <c r="H18" s="12">
        <f t="shared" si="0"/>
        <v>44586</v>
      </c>
    </row>
    <row r="19" spans="1:8" x14ac:dyDescent="0.3">
      <c r="B19" s="6" t="s">
        <v>21</v>
      </c>
      <c r="C19" s="22"/>
      <c r="D19" s="22"/>
      <c r="E19" s="22"/>
      <c r="F19" s="22"/>
      <c r="G19" s="22"/>
      <c r="H19" s="67">
        <f t="shared" si="0"/>
        <v>44586</v>
      </c>
    </row>
    <row r="20" spans="1:8" x14ac:dyDescent="0.3">
      <c r="B20" s="6" t="s">
        <v>65</v>
      </c>
      <c r="C20" s="22"/>
      <c r="D20" s="22"/>
      <c r="E20" s="22"/>
      <c r="F20" s="22"/>
      <c r="G20" s="22"/>
      <c r="H20" s="12">
        <f t="shared" si="0"/>
        <v>44586</v>
      </c>
    </row>
    <row r="21" spans="1:8" x14ac:dyDescent="0.3">
      <c r="B21" s="6" t="s">
        <v>18</v>
      </c>
      <c r="C21" s="22">
        <v>324000</v>
      </c>
      <c r="D21" s="22"/>
      <c r="E21" s="22"/>
      <c r="F21" s="22"/>
      <c r="G21" s="22"/>
      <c r="H21" s="12">
        <f t="shared" si="0"/>
        <v>44586</v>
      </c>
    </row>
    <row r="22" spans="1:8" x14ac:dyDescent="0.3">
      <c r="B22" s="6" t="s">
        <v>16</v>
      </c>
      <c r="C22" s="55"/>
      <c r="D22" s="22"/>
      <c r="E22" s="22">
        <v>207000</v>
      </c>
      <c r="F22" s="22"/>
      <c r="G22" s="22"/>
      <c r="H22" s="12">
        <f t="shared" si="0"/>
        <v>44586</v>
      </c>
    </row>
    <row r="23" spans="1:8" x14ac:dyDescent="0.3">
      <c r="B23" s="50" t="s">
        <v>27</v>
      </c>
      <c r="C23" s="51">
        <f>SUM(January25_2022[KSI_AGO])</f>
        <v>1651500</v>
      </c>
      <c r="D23" s="51">
        <f>SUBTOTAL(109,January25_2022[KSI_PMS])</f>
        <v>1152000</v>
      </c>
      <c r="E23" s="51">
        <f>SUM(January25_2022[BUIPE_AGO])</f>
        <v>900500</v>
      </c>
      <c r="F23" s="51">
        <f>SUM(January25_2022[BUIPE_PMS])</f>
        <v>702000</v>
      </c>
      <c r="G23" s="51">
        <f>SUM(January25_2022[AKOSOMBO_AGO])</f>
        <v>0</v>
      </c>
      <c r="H23" s="52"/>
    </row>
    <row r="24" spans="1:8" x14ac:dyDescent="0.3">
      <c r="B24" s="8"/>
      <c r="C24" s="24"/>
      <c r="D24" s="24"/>
      <c r="E24" s="24"/>
      <c r="F24" s="24"/>
      <c r="G24" s="24"/>
      <c r="H24"/>
    </row>
    <row r="25" spans="1:8" x14ac:dyDescent="0.3">
      <c r="B25" s="1" t="s">
        <v>6</v>
      </c>
      <c r="C25" s="1" t="s">
        <v>4</v>
      </c>
      <c r="D25" s="5">
        <f>SUMIF(January25_2022[[#Headers],[KSI_AGO]:[AKOSOMBO_AGO]],"*"&amp;C25,January25_2022[[#Totals],[KSI_AGO]:[AKOSOMBO_AGO]])</f>
        <v>2552000</v>
      </c>
      <c r="E25" s="1" t="s">
        <v>5</v>
      </c>
      <c r="F25" s="5">
        <f>SUMIF(January25_2022[[#Headers],[KSI_AGO]:[AKOSOMBO_AGO]],"*"&amp;E25,January25_2022[[#Totals],[KSI_AGO]:[AKOSOMBO_AGO]])</f>
        <v>1854000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F10DE77-66F8-4F51-9B5B-C5500449802C}">
      <formula1>INDIRECT("BDC_List[BDC List]")</formula1>
    </dataValidation>
  </dataValidations>
  <pageMargins left="0.7" right="0.7" top="0.75" bottom="0.75" header="0.3" footer="0.3"/>
  <pageSetup orientation="portrait" r:id="rId1"/>
  <tableParts count="1">
    <tablePart r:id="rId2"/>
  </tableParts>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C525A-C028-4DF7-8106-C2AA27E3E1AA}">
  <sheetPr codeName="Sheet518"/>
  <dimension ref="A1:J35"/>
  <sheetViews>
    <sheetView zoomScale="95" zoomScaleNormal="85" workbookViewId="0">
      <pane xSplit="2" ySplit="5" topLeftCell="C6" activePane="bottomRight" state="frozen"/>
      <selection activeCell="J22" sqref="J22"/>
      <selection pane="topRight" activeCell="J22" sqref="J22"/>
      <selection pane="bottomLeft" activeCell="J22" sqref="J22"/>
      <selection pane="bottomRight" activeCell="B14" sqref="B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44587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44587</v>
      </c>
    </row>
    <row r="7" spans="2:10" x14ac:dyDescent="0.3">
      <c r="B7" s="6" t="s">
        <v>37</v>
      </c>
      <c r="C7" s="22"/>
      <c r="D7" s="53"/>
      <c r="E7" s="22"/>
      <c r="F7" s="22"/>
      <c r="G7" s="22"/>
      <c r="H7" s="67">
        <f t="shared" si="0"/>
        <v>44587</v>
      </c>
    </row>
    <row r="8" spans="2:10" x14ac:dyDescent="0.3">
      <c r="B8" s="6" t="s">
        <v>17</v>
      </c>
      <c r="C8" s="22"/>
      <c r="D8" s="22">
        <v>162000</v>
      </c>
      <c r="E8" s="22"/>
      <c r="F8" s="22"/>
      <c r="G8" s="22"/>
      <c r="H8" s="12">
        <f t="shared" si="0"/>
        <v>44587</v>
      </c>
    </row>
    <row r="9" spans="2:10" ht="15.6" x14ac:dyDescent="0.3">
      <c r="B9" s="34" t="s">
        <v>0</v>
      </c>
      <c r="C9" s="57"/>
      <c r="D9" s="60">
        <v>373000</v>
      </c>
      <c r="E9" s="61"/>
      <c r="F9" s="117"/>
      <c r="G9" s="61"/>
      <c r="H9" s="12">
        <f t="shared" si="0"/>
        <v>44587</v>
      </c>
    </row>
    <row r="10" spans="2:10" ht="16.2" customHeight="1" x14ac:dyDescent="0.3">
      <c r="B10" s="6" t="s">
        <v>25</v>
      </c>
      <c r="C10" s="22"/>
      <c r="D10" s="22">
        <v>211500</v>
      </c>
      <c r="E10" s="22"/>
      <c r="F10" s="22"/>
      <c r="G10" s="22"/>
      <c r="H10" s="12">
        <f t="shared" si="0"/>
        <v>44587</v>
      </c>
    </row>
    <row r="11" spans="2:10" ht="13.5" customHeight="1" x14ac:dyDescent="0.3">
      <c r="B11" s="6" t="s">
        <v>15</v>
      </c>
      <c r="C11" s="22">
        <v>162000</v>
      </c>
      <c r="D11" s="22">
        <v>252000</v>
      </c>
      <c r="E11" s="22"/>
      <c r="F11" s="22"/>
      <c r="G11" s="22"/>
      <c r="H11" s="12">
        <f t="shared" si="0"/>
        <v>44587</v>
      </c>
    </row>
    <row r="12" spans="2:10" x14ac:dyDescent="0.3">
      <c r="B12" s="6" t="s">
        <v>54</v>
      </c>
      <c r="C12" s="22"/>
      <c r="D12" s="22">
        <v>162000</v>
      </c>
      <c r="E12" s="22"/>
      <c r="F12" s="22">
        <v>54000</v>
      </c>
      <c r="G12" s="22"/>
      <c r="H12" s="67">
        <f t="shared" si="0"/>
        <v>44587</v>
      </c>
    </row>
    <row r="13" spans="2:10" x14ac:dyDescent="0.3">
      <c r="B13" s="6" t="s">
        <v>26</v>
      </c>
      <c r="C13" s="22">
        <v>702000</v>
      </c>
      <c r="D13" s="22">
        <v>162000</v>
      </c>
      <c r="E13" s="22"/>
      <c r="F13" s="22"/>
      <c r="G13" s="22"/>
      <c r="H13" s="12">
        <f t="shared" si="0"/>
        <v>44587</v>
      </c>
    </row>
    <row r="14" spans="2:10" x14ac:dyDescent="0.3">
      <c r="B14" s="6" t="s">
        <v>22</v>
      </c>
      <c r="C14" s="22"/>
      <c r="D14" s="23"/>
      <c r="E14" s="23"/>
      <c r="F14" s="23"/>
      <c r="G14" s="23"/>
      <c r="H14" s="12">
        <f t="shared" si="0"/>
        <v>44587</v>
      </c>
      <c r="J14" s="4"/>
    </row>
    <row r="15" spans="2:10" x14ac:dyDescent="0.3">
      <c r="B15" s="6" t="s">
        <v>61</v>
      </c>
      <c r="C15" s="22"/>
      <c r="D15" s="23"/>
      <c r="E15" s="23"/>
      <c r="F15" s="23"/>
      <c r="G15" s="23"/>
      <c r="H15" s="67">
        <f t="shared" si="0"/>
        <v>44587</v>
      </c>
      <c r="J15" s="4"/>
    </row>
    <row r="16" spans="2:10" x14ac:dyDescent="0.3">
      <c r="B16" s="6" t="s">
        <v>19</v>
      </c>
      <c r="C16" s="22">
        <v>522000</v>
      </c>
      <c r="D16" s="62">
        <v>648000</v>
      </c>
      <c r="E16" s="22"/>
      <c r="F16" s="22"/>
      <c r="G16" s="22"/>
      <c r="H16" s="12">
        <f t="shared" si="0"/>
        <v>44587</v>
      </c>
    </row>
    <row r="17" spans="1:8" x14ac:dyDescent="0.3">
      <c r="B17" s="6" t="s">
        <v>14</v>
      </c>
      <c r="C17" s="22">
        <v>918000</v>
      </c>
      <c r="D17" s="22">
        <v>216000</v>
      </c>
      <c r="E17" s="22"/>
      <c r="F17" s="22"/>
      <c r="G17" s="22">
        <v>270000</v>
      </c>
      <c r="H17" s="12">
        <f t="shared" si="0"/>
        <v>44587</v>
      </c>
    </row>
    <row r="18" spans="1:8" x14ac:dyDescent="0.3">
      <c r="B18" s="6" t="s">
        <v>24</v>
      </c>
      <c r="C18" s="22"/>
      <c r="D18" s="22"/>
      <c r="E18" s="22"/>
      <c r="F18" s="22"/>
      <c r="G18" s="22"/>
      <c r="H18" s="12">
        <f t="shared" si="0"/>
        <v>44587</v>
      </c>
    </row>
    <row r="19" spans="1:8" x14ac:dyDescent="0.3">
      <c r="B19" s="6" t="s">
        <v>21</v>
      </c>
      <c r="C19" s="22"/>
      <c r="D19" s="22">
        <v>108000</v>
      </c>
      <c r="E19" s="22"/>
      <c r="F19" s="22"/>
      <c r="G19" s="22"/>
      <c r="H19" s="67">
        <f t="shared" si="0"/>
        <v>44587</v>
      </c>
    </row>
    <row r="20" spans="1:8" x14ac:dyDescent="0.3">
      <c r="B20" s="6" t="s">
        <v>65</v>
      </c>
      <c r="C20" s="22"/>
      <c r="D20" s="22"/>
      <c r="E20" s="22"/>
      <c r="F20" s="22"/>
      <c r="G20" s="22"/>
      <c r="H20" s="12">
        <f t="shared" si="0"/>
        <v>44587</v>
      </c>
    </row>
    <row r="21" spans="1:8" x14ac:dyDescent="0.3">
      <c r="B21" s="6" t="s">
        <v>18</v>
      </c>
      <c r="C21" s="22">
        <v>54000</v>
      </c>
      <c r="D21" s="22"/>
      <c r="E21" s="22"/>
      <c r="F21" s="22"/>
      <c r="G21" s="22"/>
      <c r="H21" s="12">
        <f t="shared" si="0"/>
        <v>44587</v>
      </c>
    </row>
    <row r="22" spans="1:8" x14ac:dyDescent="0.3">
      <c r="B22" s="6" t="s">
        <v>16</v>
      </c>
      <c r="C22" s="55"/>
      <c r="D22" s="22"/>
      <c r="E22" s="22"/>
      <c r="F22" s="22"/>
      <c r="G22" s="22"/>
      <c r="H22" s="12">
        <f t="shared" si="0"/>
        <v>44587</v>
      </c>
    </row>
    <row r="23" spans="1:8" x14ac:dyDescent="0.3">
      <c r="B23" s="50" t="s">
        <v>27</v>
      </c>
      <c r="C23" s="51">
        <f>SUM(January26_2022[KSI_AGO])</f>
        <v>2358000</v>
      </c>
      <c r="D23" s="51">
        <f>SUBTOTAL(109,January26_2022[KSI_PMS])</f>
        <v>2294500</v>
      </c>
      <c r="E23" s="51">
        <f>SUM(January26_2022[BUIPE_AGO])</f>
        <v>0</v>
      </c>
      <c r="F23" s="51">
        <f>SUM(January26_2022[BUIPE_PMS])</f>
        <v>54000</v>
      </c>
      <c r="G23" s="51">
        <f>SUM(January26_2022[AKOSOMBO_AGO])</f>
        <v>270000</v>
      </c>
      <c r="H23" s="52"/>
    </row>
    <row r="24" spans="1:8" x14ac:dyDescent="0.3">
      <c r="B24" s="8"/>
      <c r="C24" s="24"/>
      <c r="D24" s="24"/>
      <c r="E24" s="24"/>
      <c r="F24" s="24"/>
      <c r="G24" s="24"/>
      <c r="H24"/>
    </row>
    <row r="25" spans="1:8" x14ac:dyDescent="0.3">
      <c r="B25" s="1" t="s">
        <v>6</v>
      </c>
      <c r="C25" s="1" t="s">
        <v>4</v>
      </c>
      <c r="D25" s="5">
        <f>SUMIF(January26_2022[[#Headers],[KSI_AGO]:[AKOSOMBO_AGO]],"*"&amp;C25,January26_2022[[#Totals],[KSI_AGO]:[AKOSOMBO_AGO]])</f>
        <v>2628000</v>
      </c>
      <c r="E25" s="1" t="s">
        <v>5</v>
      </c>
      <c r="F25" s="5">
        <f>SUMIF(January26_2022[[#Headers],[KSI_AGO]:[AKOSOMBO_AGO]],"*"&amp;E25,January26_2022[[#Totals],[KSI_AGO]:[AKOSOMBO_AGO]])</f>
        <v>2348500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F47F6027-A639-44C9-8553-06C08FE00D4B}">
      <formula1>INDIRECT("BDC_List[BDC List]")</formula1>
    </dataValidation>
  </dataValidations>
  <pageMargins left="0.7" right="0.7" top="0.75" bottom="0.75" header="0.3" footer="0.3"/>
  <pageSetup orientation="portrait" r:id="rId1"/>
  <tableParts count="1">
    <tablePart r:id="rId2"/>
  </tableParts>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36D38-CBED-49D2-94D8-839D434A3ADC}">
  <sheetPr codeName="Sheet519"/>
  <dimension ref="A1:J35"/>
  <sheetViews>
    <sheetView zoomScale="95" zoomScaleNormal="85" workbookViewId="0">
      <pane xSplit="2" ySplit="5" topLeftCell="C6" activePane="bottomRight" state="frozen"/>
      <selection activeCell="J22" sqref="J22"/>
      <selection pane="topRight" activeCell="J22" sqref="J22"/>
      <selection pane="bottomLeft" activeCell="J22" sqref="J22"/>
      <selection pane="bottomRight" activeCell="D14" sqref="D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44588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44588</v>
      </c>
    </row>
    <row r="7" spans="2:10" x14ac:dyDescent="0.3">
      <c r="B7" s="6" t="s">
        <v>37</v>
      </c>
      <c r="C7" s="22"/>
      <c r="D7" s="53"/>
      <c r="E7" s="22"/>
      <c r="F7" s="22"/>
      <c r="G7" s="22"/>
      <c r="H7" s="67">
        <f t="shared" si="0"/>
        <v>44588</v>
      </c>
    </row>
    <row r="8" spans="2:10" x14ac:dyDescent="0.3">
      <c r="B8" s="6" t="s">
        <v>17</v>
      </c>
      <c r="C8" s="22"/>
      <c r="D8" s="22">
        <v>108000</v>
      </c>
      <c r="E8" s="22"/>
      <c r="F8" s="22"/>
      <c r="G8" s="22"/>
      <c r="H8" s="12">
        <f t="shared" si="0"/>
        <v>44588</v>
      </c>
    </row>
    <row r="9" spans="2:10" ht="15.6" x14ac:dyDescent="0.3">
      <c r="B9" s="34" t="s">
        <v>0</v>
      </c>
      <c r="C9" s="57"/>
      <c r="D9" s="60">
        <v>540000</v>
      </c>
      <c r="E9" s="61"/>
      <c r="F9" s="117"/>
      <c r="G9" s="61"/>
      <c r="H9" s="12">
        <f t="shared" si="0"/>
        <v>44588</v>
      </c>
    </row>
    <row r="10" spans="2:10" ht="16.2" customHeight="1" x14ac:dyDescent="0.3">
      <c r="B10" s="6" t="s">
        <v>25</v>
      </c>
      <c r="C10" s="22">
        <v>54000</v>
      </c>
      <c r="D10" s="22">
        <v>270000</v>
      </c>
      <c r="E10" s="22"/>
      <c r="F10" s="22"/>
      <c r="G10" s="22"/>
      <c r="H10" s="12">
        <f t="shared" si="0"/>
        <v>44588</v>
      </c>
    </row>
    <row r="11" spans="2:10" ht="13.5" customHeight="1" x14ac:dyDescent="0.3">
      <c r="B11" s="6" t="s">
        <v>15</v>
      </c>
      <c r="C11" s="22"/>
      <c r="D11" s="22">
        <v>157500</v>
      </c>
      <c r="E11" s="22"/>
      <c r="F11" s="22"/>
      <c r="G11" s="22"/>
      <c r="H11" s="12">
        <f t="shared" si="0"/>
        <v>44588</v>
      </c>
    </row>
    <row r="12" spans="2:10" x14ac:dyDescent="0.3">
      <c r="B12" s="6" t="s">
        <v>54</v>
      </c>
      <c r="C12" s="22"/>
      <c r="D12" s="22">
        <v>265500</v>
      </c>
      <c r="E12" s="22"/>
      <c r="F12" s="22"/>
      <c r="G12" s="22"/>
      <c r="H12" s="67">
        <f t="shared" si="0"/>
        <v>44588</v>
      </c>
    </row>
    <row r="13" spans="2:10" x14ac:dyDescent="0.3">
      <c r="B13" s="6" t="s">
        <v>26</v>
      </c>
      <c r="C13" s="22">
        <v>99000</v>
      </c>
      <c r="D13" s="22">
        <v>216000</v>
      </c>
      <c r="E13" s="22">
        <v>270000</v>
      </c>
      <c r="F13" s="22"/>
      <c r="G13" s="22"/>
      <c r="H13" s="12">
        <f t="shared" si="0"/>
        <v>44588</v>
      </c>
    </row>
    <row r="14" spans="2:10" x14ac:dyDescent="0.3">
      <c r="B14" s="6" t="s">
        <v>22</v>
      </c>
      <c r="C14" s="22"/>
      <c r="D14" s="23"/>
      <c r="E14" s="23"/>
      <c r="F14" s="23"/>
      <c r="G14" s="23"/>
      <c r="H14" s="12">
        <f t="shared" si="0"/>
        <v>44588</v>
      </c>
      <c r="J14" s="4"/>
    </row>
    <row r="15" spans="2:10" x14ac:dyDescent="0.3">
      <c r="B15" s="6" t="s">
        <v>61</v>
      </c>
      <c r="C15" s="22"/>
      <c r="D15" s="23"/>
      <c r="E15" s="23"/>
      <c r="F15" s="23"/>
      <c r="G15" s="23"/>
      <c r="H15" s="67">
        <f t="shared" si="0"/>
        <v>44588</v>
      </c>
      <c r="J15" s="4"/>
    </row>
    <row r="16" spans="2:10" x14ac:dyDescent="0.3">
      <c r="B16" s="6" t="s">
        <v>19</v>
      </c>
      <c r="C16" s="22">
        <v>211500</v>
      </c>
      <c r="D16" s="62"/>
      <c r="E16" s="22">
        <v>153000</v>
      </c>
      <c r="F16" s="22"/>
      <c r="G16" s="22"/>
      <c r="H16" s="12">
        <f t="shared" si="0"/>
        <v>44588</v>
      </c>
    </row>
    <row r="17" spans="1:8" x14ac:dyDescent="0.3">
      <c r="B17" s="6" t="s">
        <v>14</v>
      </c>
      <c r="C17" s="22">
        <v>959500</v>
      </c>
      <c r="D17" s="22">
        <v>370000</v>
      </c>
      <c r="E17" s="22"/>
      <c r="F17" s="22"/>
      <c r="G17" s="22">
        <v>324000</v>
      </c>
      <c r="H17" s="12">
        <f t="shared" si="0"/>
        <v>44588</v>
      </c>
    </row>
    <row r="18" spans="1:8" x14ac:dyDescent="0.3">
      <c r="B18" s="6" t="s">
        <v>24</v>
      </c>
      <c r="C18" s="22"/>
      <c r="D18" s="22"/>
      <c r="E18" s="22"/>
      <c r="F18" s="22"/>
      <c r="G18" s="22"/>
      <c r="H18" s="12">
        <f t="shared" si="0"/>
        <v>44588</v>
      </c>
    </row>
    <row r="19" spans="1:8" x14ac:dyDescent="0.3">
      <c r="B19" s="6" t="s">
        <v>21</v>
      </c>
      <c r="C19" s="22"/>
      <c r="D19" s="22"/>
      <c r="E19" s="22"/>
      <c r="F19" s="22"/>
      <c r="G19" s="22"/>
      <c r="H19" s="67">
        <f t="shared" si="0"/>
        <v>44588</v>
      </c>
    </row>
    <row r="20" spans="1:8" x14ac:dyDescent="0.3">
      <c r="B20" s="6" t="s">
        <v>65</v>
      </c>
      <c r="C20" s="22"/>
      <c r="D20" s="22"/>
      <c r="E20" s="22"/>
      <c r="F20" s="22"/>
      <c r="G20" s="22"/>
      <c r="H20" s="12">
        <f t="shared" si="0"/>
        <v>44588</v>
      </c>
    </row>
    <row r="21" spans="1:8" x14ac:dyDescent="0.3">
      <c r="B21" s="6" t="s">
        <v>18</v>
      </c>
      <c r="C21" s="22"/>
      <c r="D21" s="22"/>
      <c r="E21" s="22"/>
      <c r="F21" s="22"/>
      <c r="G21" s="22">
        <v>108000</v>
      </c>
      <c r="H21" s="12">
        <f t="shared" si="0"/>
        <v>44588</v>
      </c>
    </row>
    <row r="22" spans="1:8" x14ac:dyDescent="0.3">
      <c r="B22" s="6" t="s">
        <v>16</v>
      </c>
      <c r="C22" s="55"/>
      <c r="D22" s="22"/>
      <c r="E22" s="22">
        <v>108000</v>
      </c>
      <c r="F22" s="22"/>
      <c r="G22" s="22"/>
      <c r="H22" s="12">
        <f t="shared" si="0"/>
        <v>44588</v>
      </c>
    </row>
    <row r="23" spans="1:8" x14ac:dyDescent="0.3">
      <c r="B23" s="50" t="s">
        <v>27</v>
      </c>
      <c r="C23" s="51">
        <f>SUM(January27_2022[KSI_AGO])</f>
        <v>1324000</v>
      </c>
      <c r="D23" s="51">
        <f>SUBTOTAL(109,January27_2022[KSI_PMS])</f>
        <v>1927000</v>
      </c>
      <c r="E23" s="51">
        <f>SUM(January27_2022[BUIPE_AGO])</f>
        <v>531000</v>
      </c>
      <c r="F23" s="51">
        <f>SUM(January27_2022[BUIPE_PMS])</f>
        <v>0</v>
      </c>
      <c r="G23" s="51">
        <f>SUM(January27_2022[AKOSOMBO_AGO])</f>
        <v>432000</v>
      </c>
      <c r="H23" s="52"/>
    </row>
    <row r="24" spans="1:8" x14ac:dyDescent="0.3">
      <c r="B24" s="8"/>
      <c r="C24" s="24"/>
      <c r="D24" s="24"/>
      <c r="E24" s="24"/>
      <c r="F24" s="24"/>
      <c r="G24" s="24"/>
      <c r="H24"/>
    </row>
    <row r="25" spans="1:8" x14ac:dyDescent="0.3">
      <c r="B25" s="1" t="s">
        <v>6</v>
      </c>
      <c r="C25" s="1" t="s">
        <v>4</v>
      </c>
      <c r="D25" s="5">
        <f>SUMIF(January27_2022[[#Headers],[KSI_AGO]:[AKOSOMBO_AGO]],"*"&amp;C25,January27_2022[[#Totals],[KSI_AGO]:[AKOSOMBO_AGO]])</f>
        <v>2287000</v>
      </c>
      <c r="E25" s="1" t="s">
        <v>5</v>
      </c>
      <c r="F25" s="5">
        <f>SUMIF(January27_2022[[#Headers],[KSI_AGO]:[AKOSOMBO_AGO]],"*"&amp;E25,January27_2022[[#Totals],[KSI_AGO]:[AKOSOMBO_AGO]])</f>
        <v>1927000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1D813F47-A82A-457F-A02D-3D98A7D459D8}">
      <formula1>INDIRECT("BDC_List[BDC List]")</formula1>
    </dataValidation>
  </dataValidations>
  <pageMargins left="0.7" right="0.7" top="0.75" bottom="0.75" header="0.3" footer="0.3"/>
  <pageSetup orientation="portrait" r:id="rId1"/>
  <tableParts count="1">
    <tablePart r:id="rId2"/>
  </tableParts>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665D1-0696-4EEC-BB06-8F356205666E}">
  <sheetPr codeName="Sheet520"/>
  <dimension ref="A1:J35"/>
  <sheetViews>
    <sheetView zoomScale="95" zoomScaleNormal="85" workbookViewId="0">
      <pane xSplit="2" ySplit="5" topLeftCell="C6" activePane="bottomRight" state="frozen"/>
      <selection activeCell="J22" sqref="J22"/>
      <selection pane="topRight" activeCell="J22" sqref="J22"/>
      <selection pane="bottomLeft" activeCell="J22" sqref="J22"/>
      <selection pane="bottomRight" activeCell="C15" sqref="C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44589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44589</v>
      </c>
    </row>
    <row r="7" spans="2:10" x14ac:dyDescent="0.3">
      <c r="B7" s="6" t="s">
        <v>37</v>
      </c>
      <c r="C7" s="22"/>
      <c r="D7" s="53"/>
      <c r="E7" s="22"/>
      <c r="F7" s="22"/>
      <c r="G7" s="22"/>
      <c r="H7" s="67">
        <f t="shared" si="0"/>
        <v>44589</v>
      </c>
    </row>
    <row r="8" spans="2:10" x14ac:dyDescent="0.3">
      <c r="B8" s="6" t="s">
        <v>17</v>
      </c>
      <c r="C8" s="22"/>
      <c r="D8" s="22"/>
      <c r="E8" s="22"/>
      <c r="F8" s="22"/>
      <c r="G8" s="22"/>
      <c r="H8" s="12">
        <f t="shared" si="0"/>
        <v>44589</v>
      </c>
    </row>
    <row r="9" spans="2:10" ht="15.6" x14ac:dyDescent="0.3">
      <c r="B9" s="34" t="s">
        <v>0</v>
      </c>
      <c r="C9" s="57"/>
      <c r="D9" s="60">
        <v>536000</v>
      </c>
      <c r="E9" s="61"/>
      <c r="F9" s="117"/>
      <c r="G9" s="61"/>
      <c r="H9" s="12">
        <f t="shared" si="0"/>
        <v>44589</v>
      </c>
    </row>
    <row r="10" spans="2:10" ht="16.2" customHeight="1" x14ac:dyDescent="0.3">
      <c r="B10" s="6" t="s">
        <v>25</v>
      </c>
      <c r="C10" s="22"/>
      <c r="D10" s="22">
        <v>162000</v>
      </c>
      <c r="E10" s="22"/>
      <c r="F10" s="22"/>
      <c r="G10" s="22"/>
      <c r="H10" s="12">
        <f t="shared" si="0"/>
        <v>44589</v>
      </c>
    </row>
    <row r="11" spans="2:10" ht="13.5" customHeight="1" x14ac:dyDescent="0.3">
      <c r="B11" s="6" t="s">
        <v>15</v>
      </c>
      <c r="C11" s="22"/>
      <c r="D11" s="22">
        <v>270000</v>
      </c>
      <c r="E11" s="22"/>
      <c r="F11" s="22"/>
      <c r="G11" s="22"/>
      <c r="H11" s="12">
        <f t="shared" si="0"/>
        <v>44589</v>
      </c>
    </row>
    <row r="12" spans="2:10" x14ac:dyDescent="0.3">
      <c r="B12" s="6" t="s">
        <v>54</v>
      </c>
      <c r="C12" s="22"/>
      <c r="D12" s="22"/>
      <c r="E12" s="22"/>
      <c r="F12" s="22"/>
      <c r="G12" s="22"/>
      <c r="H12" s="67">
        <f t="shared" si="0"/>
        <v>44589</v>
      </c>
    </row>
    <row r="13" spans="2:10" x14ac:dyDescent="0.3">
      <c r="B13" s="6" t="s">
        <v>26</v>
      </c>
      <c r="C13" s="22"/>
      <c r="D13" s="22">
        <v>216000</v>
      </c>
      <c r="E13" s="22">
        <v>54000</v>
      </c>
      <c r="F13" s="22"/>
      <c r="G13" s="22"/>
      <c r="H13" s="12">
        <f t="shared" si="0"/>
        <v>44589</v>
      </c>
    </row>
    <row r="14" spans="2:10" x14ac:dyDescent="0.3">
      <c r="B14" s="6" t="s">
        <v>22</v>
      </c>
      <c r="C14" s="22"/>
      <c r="D14" s="23"/>
      <c r="E14" s="23"/>
      <c r="F14" s="23"/>
      <c r="G14" s="23"/>
      <c r="H14" s="12">
        <f t="shared" si="0"/>
        <v>44589</v>
      </c>
      <c r="J14" s="4"/>
    </row>
    <row r="15" spans="2:10" x14ac:dyDescent="0.3">
      <c r="B15" s="6" t="s">
        <v>61</v>
      </c>
      <c r="C15" s="22"/>
      <c r="D15" s="23"/>
      <c r="E15" s="23"/>
      <c r="F15" s="23"/>
      <c r="G15" s="23"/>
      <c r="H15" s="67">
        <f t="shared" si="0"/>
        <v>44589</v>
      </c>
      <c r="J15" s="4"/>
    </row>
    <row r="16" spans="2:10" x14ac:dyDescent="0.3">
      <c r="B16" s="6" t="s">
        <v>19</v>
      </c>
      <c r="C16" s="22">
        <v>207000</v>
      </c>
      <c r="D16" s="62"/>
      <c r="E16" s="22"/>
      <c r="F16" s="22"/>
      <c r="G16" s="22"/>
      <c r="H16" s="12">
        <f t="shared" si="0"/>
        <v>44589</v>
      </c>
    </row>
    <row r="17" spans="1:8" x14ac:dyDescent="0.3">
      <c r="B17" s="6" t="s">
        <v>14</v>
      </c>
      <c r="C17" s="22">
        <v>486000</v>
      </c>
      <c r="D17" s="22">
        <v>266000</v>
      </c>
      <c r="E17" s="22"/>
      <c r="F17" s="22"/>
      <c r="G17" s="22">
        <v>468000</v>
      </c>
      <c r="H17" s="12">
        <f t="shared" si="0"/>
        <v>44589</v>
      </c>
    </row>
    <row r="18" spans="1:8" x14ac:dyDescent="0.3">
      <c r="B18" s="6" t="s">
        <v>24</v>
      </c>
      <c r="C18" s="22"/>
      <c r="D18" s="22"/>
      <c r="E18" s="22"/>
      <c r="F18" s="22"/>
      <c r="G18" s="22"/>
      <c r="H18" s="12">
        <f t="shared" si="0"/>
        <v>44589</v>
      </c>
    </row>
    <row r="19" spans="1:8" x14ac:dyDescent="0.3">
      <c r="B19" s="6" t="s">
        <v>21</v>
      </c>
      <c r="C19" s="22"/>
      <c r="D19" s="22"/>
      <c r="E19" s="22"/>
      <c r="F19" s="22"/>
      <c r="G19" s="22"/>
      <c r="H19" s="67">
        <f t="shared" si="0"/>
        <v>44589</v>
      </c>
    </row>
    <row r="20" spans="1:8" x14ac:dyDescent="0.3">
      <c r="B20" s="6" t="s">
        <v>65</v>
      </c>
      <c r="C20" s="22"/>
      <c r="D20" s="22"/>
      <c r="E20" s="22"/>
      <c r="F20" s="22"/>
      <c r="G20" s="22"/>
      <c r="H20" s="12">
        <f t="shared" si="0"/>
        <v>44589</v>
      </c>
    </row>
    <row r="21" spans="1:8" x14ac:dyDescent="0.3">
      <c r="B21" s="6" t="s">
        <v>18</v>
      </c>
      <c r="C21" s="22"/>
      <c r="D21" s="22"/>
      <c r="E21" s="22"/>
      <c r="F21" s="22"/>
      <c r="G21" s="22"/>
      <c r="H21" s="12">
        <f t="shared" si="0"/>
        <v>44589</v>
      </c>
    </row>
    <row r="22" spans="1:8" x14ac:dyDescent="0.3">
      <c r="B22" s="6" t="s">
        <v>16</v>
      </c>
      <c r="C22" s="55">
        <v>50000</v>
      </c>
      <c r="D22" s="22">
        <v>216000</v>
      </c>
      <c r="E22" s="22"/>
      <c r="F22" s="22">
        <v>108000</v>
      </c>
      <c r="G22" s="22"/>
      <c r="H22" s="12">
        <f t="shared" si="0"/>
        <v>44589</v>
      </c>
    </row>
    <row r="23" spans="1:8" x14ac:dyDescent="0.3">
      <c r="B23" s="50" t="s">
        <v>27</v>
      </c>
      <c r="C23" s="51">
        <f>SUM(January28_2022[KSI_AGO])</f>
        <v>743000</v>
      </c>
      <c r="D23" s="51">
        <f>SUBTOTAL(109,January28_2022[KSI_PMS])</f>
        <v>1666000</v>
      </c>
      <c r="E23" s="51">
        <f>SUM(January28_2022[BUIPE_AGO])</f>
        <v>54000</v>
      </c>
      <c r="F23" s="51">
        <f>SUM(January28_2022[BUIPE_PMS])</f>
        <v>108000</v>
      </c>
      <c r="G23" s="51">
        <f>SUM(January28_2022[AKOSOMBO_AGO])</f>
        <v>468000</v>
      </c>
      <c r="H23" s="52"/>
    </row>
    <row r="24" spans="1:8" x14ac:dyDescent="0.3">
      <c r="B24" s="8"/>
      <c r="C24" s="24"/>
      <c r="D24" s="24"/>
      <c r="E24" s="24"/>
      <c r="F24" s="24"/>
      <c r="G24" s="24"/>
      <c r="H24"/>
    </row>
    <row r="25" spans="1:8" x14ac:dyDescent="0.3">
      <c r="B25" s="1" t="s">
        <v>6</v>
      </c>
      <c r="C25" s="1" t="s">
        <v>4</v>
      </c>
      <c r="D25" s="5">
        <f>SUMIF(January28_2022[[#Headers],[KSI_AGO]:[AKOSOMBO_AGO]],"*"&amp;C25,January28_2022[[#Totals],[KSI_AGO]:[AKOSOMBO_AGO]])</f>
        <v>1265000</v>
      </c>
      <c r="E25" s="1" t="s">
        <v>5</v>
      </c>
      <c r="F25" s="5">
        <f>SUMIF(January28_2022[[#Headers],[KSI_AGO]:[AKOSOMBO_AGO]],"*"&amp;E25,January28_2022[[#Totals],[KSI_AGO]:[AKOSOMBO_AGO]])</f>
        <v>1774000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46CDA95-8E59-44EC-8EEF-2F4C7B6B923E}">
      <formula1>INDIRECT("BDC_List[BDC List]")</formula1>
    </dataValidation>
  </dataValidations>
  <pageMargins left="0.7" right="0.7" top="0.75" bottom="0.75" header="0.3" footer="0.3"/>
  <pageSetup orientation="portrait" r:id="rId1"/>
  <tableParts count="1">
    <tablePart r:id="rId2"/>
  </tableParts>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E778-26FE-4EE3-A589-CEA033EE88F8}">
  <sheetPr codeName="Sheet521"/>
  <dimension ref="A1:J35"/>
  <sheetViews>
    <sheetView zoomScale="95" zoomScaleNormal="85" workbookViewId="0">
      <pane xSplit="2" ySplit="5" topLeftCell="C6" activePane="bottomRight" state="frozen"/>
      <selection activeCell="J22" sqref="J22"/>
      <selection pane="topRight" activeCell="J22" sqref="J22"/>
      <selection pane="bottomLeft" activeCell="J22" sqref="J22"/>
      <selection pane="bottomRight" activeCell="E25" sqref="E2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44592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44592</v>
      </c>
    </row>
    <row r="7" spans="2:10" x14ac:dyDescent="0.3">
      <c r="B7" s="6" t="s">
        <v>37</v>
      </c>
      <c r="C7" s="22"/>
      <c r="D7" s="53"/>
      <c r="E7" s="22"/>
      <c r="F7" s="22"/>
      <c r="G7" s="22"/>
      <c r="H7" s="67">
        <f t="shared" si="0"/>
        <v>44592</v>
      </c>
    </row>
    <row r="8" spans="2:10" x14ac:dyDescent="0.3">
      <c r="B8" s="6" t="s">
        <v>17</v>
      </c>
      <c r="C8" s="22"/>
      <c r="D8" s="22"/>
      <c r="E8" s="22"/>
      <c r="F8" s="22"/>
      <c r="G8" s="22"/>
      <c r="H8" s="12">
        <f t="shared" si="0"/>
        <v>44592</v>
      </c>
    </row>
    <row r="9" spans="2:10" ht="15.6" x14ac:dyDescent="0.3">
      <c r="B9" s="34" t="s">
        <v>0</v>
      </c>
      <c r="C9" s="57"/>
      <c r="D9" s="60">
        <v>702000</v>
      </c>
      <c r="E9" s="61"/>
      <c r="F9" s="117"/>
      <c r="G9" s="61"/>
      <c r="H9" s="12">
        <f t="shared" si="0"/>
        <v>44592</v>
      </c>
    </row>
    <row r="10" spans="2:10" ht="16.2" customHeight="1" x14ac:dyDescent="0.3">
      <c r="B10" s="6" t="s">
        <v>25</v>
      </c>
      <c r="C10" s="22"/>
      <c r="D10" s="22">
        <v>266000</v>
      </c>
      <c r="E10" s="22"/>
      <c r="F10" s="22"/>
      <c r="G10" s="22"/>
      <c r="H10" s="12">
        <f t="shared" si="0"/>
        <v>44592</v>
      </c>
    </row>
    <row r="11" spans="2:10" ht="13.5" customHeight="1" x14ac:dyDescent="0.3">
      <c r="B11" s="6" t="s">
        <v>15</v>
      </c>
      <c r="C11" s="22"/>
      <c r="D11" s="22">
        <v>54000</v>
      </c>
      <c r="E11" s="22"/>
      <c r="F11" s="22"/>
      <c r="G11" s="22"/>
      <c r="H11" s="12">
        <f t="shared" si="0"/>
        <v>44592</v>
      </c>
    </row>
    <row r="12" spans="2:10" x14ac:dyDescent="0.3">
      <c r="B12" s="6" t="s">
        <v>54</v>
      </c>
      <c r="C12" s="22"/>
      <c r="D12" s="22">
        <v>216000</v>
      </c>
      <c r="E12" s="22"/>
      <c r="F12" s="22"/>
      <c r="G12" s="22"/>
      <c r="H12" s="67">
        <f t="shared" si="0"/>
        <v>44592</v>
      </c>
    </row>
    <row r="13" spans="2:10" x14ac:dyDescent="0.3">
      <c r="B13" s="6" t="s">
        <v>26</v>
      </c>
      <c r="C13" s="22"/>
      <c r="D13" s="22">
        <v>212000</v>
      </c>
      <c r="E13" s="22">
        <v>162000</v>
      </c>
      <c r="F13" s="22"/>
      <c r="G13" s="22"/>
      <c r="H13" s="12">
        <f t="shared" si="0"/>
        <v>44592</v>
      </c>
    </row>
    <row r="14" spans="2:10" x14ac:dyDescent="0.3">
      <c r="B14" s="6" t="s">
        <v>22</v>
      </c>
      <c r="C14" s="22"/>
      <c r="D14" s="23"/>
      <c r="E14" s="23"/>
      <c r="F14" s="23"/>
      <c r="G14" s="23"/>
      <c r="H14" s="12">
        <f t="shared" si="0"/>
        <v>44592</v>
      </c>
      <c r="J14" s="4"/>
    </row>
    <row r="15" spans="2:10" x14ac:dyDescent="0.3">
      <c r="B15" s="6" t="s">
        <v>61</v>
      </c>
      <c r="C15" s="22"/>
      <c r="D15" s="23"/>
      <c r="E15" s="23"/>
      <c r="F15" s="23"/>
      <c r="G15" s="23"/>
      <c r="H15" s="67">
        <f t="shared" si="0"/>
        <v>44592</v>
      </c>
      <c r="J15" s="4"/>
    </row>
    <row r="16" spans="2:10" x14ac:dyDescent="0.3">
      <c r="B16" s="6" t="s">
        <v>19</v>
      </c>
      <c r="C16" s="22"/>
      <c r="D16" s="62"/>
      <c r="E16" s="22">
        <v>216000</v>
      </c>
      <c r="F16" s="22"/>
      <c r="G16" s="22"/>
      <c r="H16" s="12">
        <f t="shared" si="0"/>
        <v>44592</v>
      </c>
    </row>
    <row r="17" spans="1:8" x14ac:dyDescent="0.3">
      <c r="B17" s="6" t="s">
        <v>14</v>
      </c>
      <c r="C17" s="22"/>
      <c r="D17" s="22">
        <v>108000</v>
      </c>
      <c r="E17" s="22"/>
      <c r="F17" s="22"/>
      <c r="G17" s="22">
        <v>45000</v>
      </c>
      <c r="H17" s="12">
        <f t="shared" si="0"/>
        <v>44592</v>
      </c>
    </row>
    <row r="18" spans="1:8" x14ac:dyDescent="0.3">
      <c r="B18" s="6" t="s">
        <v>24</v>
      </c>
      <c r="C18" s="22"/>
      <c r="D18" s="22"/>
      <c r="E18" s="22"/>
      <c r="F18" s="22"/>
      <c r="G18" s="22"/>
      <c r="H18" s="12">
        <f t="shared" si="0"/>
        <v>44592</v>
      </c>
    </row>
    <row r="19" spans="1:8" x14ac:dyDescent="0.3">
      <c r="B19" s="6" t="s">
        <v>21</v>
      </c>
      <c r="C19" s="22"/>
      <c r="D19" s="22"/>
      <c r="E19" s="22"/>
      <c r="F19" s="22"/>
      <c r="G19" s="22"/>
      <c r="H19" s="67">
        <f t="shared" si="0"/>
        <v>44592</v>
      </c>
    </row>
    <row r="20" spans="1:8" x14ac:dyDescent="0.3">
      <c r="B20" s="6" t="s">
        <v>65</v>
      </c>
      <c r="C20" s="22"/>
      <c r="D20" s="22"/>
      <c r="E20" s="22"/>
      <c r="F20" s="22"/>
      <c r="G20" s="22"/>
      <c r="H20" s="12">
        <f t="shared" si="0"/>
        <v>44592</v>
      </c>
    </row>
    <row r="21" spans="1:8" x14ac:dyDescent="0.3">
      <c r="B21" s="6" t="s">
        <v>18</v>
      </c>
      <c r="C21" s="22"/>
      <c r="D21" s="22"/>
      <c r="E21" s="22"/>
      <c r="F21" s="22"/>
      <c r="G21" s="22"/>
      <c r="H21" s="12">
        <f t="shared" si="0"/>
        <v>44592</v>
      </c>
    </row>
    <row r="22" spans="1:8" x14ac:dyDescent="0.3">
      <c r="B22" s="6" t="s">
        <v>16</v>
      </c>
      <c r="C22" s="55"/>
      <c r="D22" s="22">
        <v>270000</v>
      </c>
      <c r="E22" s="22">
        <v>270000</v>
      </c>
      <c r="F22" s="22"/>
      <c r="G22" s="22"/>
      <c r="H22" s="12">
        <f t="shared" si="0"/>
        <v>44592</v>
      </c>
    </row>
    <row r="23" spans="1:8" x14ac:dyDescent="0.3">
      <c r="B23" s="50" t="s">
        <v>27</v>
      </c>
      <c r="C23" s="51">
        <f>SUM(January31_2022[KSI_AGO])</f>
        <v>0</v>
      </c>
      <c r="D23" s="51">
        <f>SUBTOTAL(109,January31_2022[KSI_PMS])</f>
        <v>1828000</v>
      </c>
      <c r="E23" s="51">
        <f>SUM(January31_2022[BUIPE_AGO])</f>
        <v>648000</v>
      </c>
      <c r="F23" s="51">
        <f>SUM(January31_2022[BUIPE_PMS])</f>
        <v>0</v>
      </c>
      <c r="G23" s="51">
        <f>SUM(January31_2022[AKOSOMBO_AGO])</f>
        <v>45000</v>
      </c>
      <c r="H23" s="52"/>
    </row>
    <row r="24" spans="1:8" x14ac:dyDescent="0.3">
      <c r="B24" s="8"/>
      <c r="C24" s="24"/>
      <c r="D24" s="24"/>
      <c r="E24" s="24"/>
      <c r="F24" s="24"/>
      <c r="G24" s="24"/>
      <c r="H24"/>
    </row>
    <row r="25" spans="1:8" x14ac:dyDescent="0.3">
      <c r="B25" s="1" t="s">
        <v>6</v>
      </c>
      <c r="C25" s="1" t="s">
        <v>4</v>
      </c>
      <c r="D25" s="5">
        <f>SUMIF(January31_2022[[#Headers],[KSI_AGO]:[AKOSOMBO_AGO]],"*"&amp;C25,January31_2022[[#Totals],[KSI_AGO]:[AKOSOMBO_AGO]])</f>
        <v>693000</v>
      </c>
      <c r="E25" s="1" t="s">
        <v>5</v>
      </c>
      <c r="F25" s="5">
        <f>SUMIF(January31_2022[[#Headers],[KSI_AGO]:[AKOSOMBO_AGO]],"*"&amp;E25,January31_2022[[#Totals],[KSI_AGO]:[AKOSOMBO_AGO]])</f>
        <v>1828000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37523726-91FF-49DC-8C6C-D87FB7AFA56E}">
      <formula1>INDIRECT("BDC_List[BDC List]")</formula1>
    </dataValidation>
  </dataValidations>
  <pageMargins left="0.7" right="0.7" top="0.75" bottom="0.75" header="0.3" footer="0.3"/>
  <pageSetup orientation="portrait" r:id="rId1"/>
  <tableParts count="1">
    <tablePart r:id="rId2"/>
  </tableParts>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F8DDF-9148-46D7-9DDA-08D77C1E3C35}">
  <sheetPr codeName="Sheet522"/>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D29" sqref="D2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44594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44594</v>
      </c>
    </row>
    <row r="7" spans="2:10" x14ac:dyDescent="0.3">
      <c r="B7" s="6" t="s">
        <v>37</v>
      </c>
      <c r="C7" s="22"/>
      <c r="D7" s="53"/>
      <c r="E7" s="22"/>
      <c r="F7" s="22"/>
      <c r="G7" s="22"/>
      <c r="H7" s="67">
        <f t="shared" si="0"/>
        <v>44594</v>
      </c>
    </row>
    <row r="8" spans="2:10" x14ac:dyDescent="0.3">
      <c r="B8" s="6" t="s">
        <v>17</v>
      </c>
      <c r="C8" s="22"/>
      <c r="D8" s="22"/>
      <c r="E8" s="22"/>
      <c r="F8" s="22"/>
      <c r="G8" s="22"/>
      <c r="H8" s="12">
        <f t="shared" si="0"/>
        <v>44594</v>
      </c>
    </row>
    <row r="9" spans="2:10" ht="15.6" x14ac:dyDescent="0.3">
      <c r="B9" s="34" t="s">
        <v>0</v>
      </c>
      <c r="C9" s="57"/>
      <c r="D9" s="60">
        <v>378000</v>
      </c>
      <c r="E9" s="61"/>
      <c r="F9" s="117"/>
      <c r="G9" s="61"/>
      <c r="H9" s="12">
        <f t="shared" si="0"/>
        <v>44594</v>
      </c>
    </row>
    <row r="10" spans="2:10" ht="16.2" customHeight="1" x14ac:dyDescent="0.3">
      <c r="B10" s="6" t="s">
        <v>25</v>
      </c>
      <c r="C10" s="22"/>
      <c r="D10" s="22">
        <v>212000</v>
      </c>
      <c r="E10" s="22"/>
      <c r="F10" s="22"/>
      <c r="G10" s="22"/>
      <c r="H10" s="12">
        <f t="shared" si="0"/>
        <v>44594</v>
      </c>
    </row>
    <row r="11" spans="2:10" ht="13.5" customHeight="1" x14ac:dyDescent="0.3">
      <c r="B11" s="6" t="s">
        <v>15</v>
      </c>
      <c r="C11" s="22"/>
      <c r="D11" s="22">
        <v>216000</v>
      </c>
      <c r="E11" s="22"/>
      <c r="F11" s="22"/>
      <c r="G11" s="22"/>
      <c r="H11" s="12">
        <f t="shared" si="0"/>
        <v>44594</v>
      </c>
    </row>
    <row r="12" spans="2:10" x14ac:dyDescent="0.3">
      <c r="B12" s="6" t="s">
        <v>54</v>
      </c>
      <c r="C12" s="22"/>
      <c r="D12" s="22">
        <v>216000</v>
      </c>
      <c r="E12" s="22"/>
      <c r="F12" s="22"/>
      <c r="G12" s="22"/>
      <c r="H12" s="67">
        <f t="shared" si="0"/>
        <v>44594</v>
      </c>
    </row>
    <row r="13" spans="2:10" x14ac:dyDescent="0.3">
      <c r="B13" s="6" t="s">
        <v>26</v>
      </c>
      <c r="C13" s="22">
        <v>90000</v>
      </c>
      <c r="D13" s="22">
        <v>162000</v>
      </c>
      <c r="E13" s="22"/>
      <c r="F13" s="22"/>
      <c r="G13" s="22"/>
      <c r="H13" s="12">
        <f t="shared" si="0"/>
        <v>44594</v>
      </c>
    </row>
    <row r="14" spans="2:10" x14ac:dyDescent="0.3">
      <c r="B14" s="6" t="s">
        <v>22</v>
      </c>
      <c r="C14" s="22"/>
      <c r="D14" s="23"/>
      <c r="E14" s="23"/>
      <c r="F14" s="23"/>
      <c r="G14" s="23"/>
      <c r="H14" s="12">
        <f t="shared" si="0"/>
        <v>44594</v>
      </c>
      <c r="J14" s="4"/>
    </row>
    <row r="15" spans="2:10" x14ac:dyDescent="0.3">
      <c r="B15" s="6" t="s">
        <v>61</v>
      </c>
      <c r="C15" s="22"/>
      <c r="D15" s="23"/>
      <c r="E15" s="23"/>
      <c r="F15" s="23"/>
      <c r="G15" s="23"/>
      <c r="H15" s="67">
        <f t="shared" si="0"/>
        <v>44594</v>
      </c>
      <c r="J15" s="4"/>
    </row>
    <row r="16" spans="2:10" x14ac:dyDescent="0.3">
      <c r="B16" s="6" t="s">
        <v>19</v>
      </c>
      <c r="C16" s="22"/>
      <c r="D16" s="62"/>
      <c r="E16" s="22">
        <v>203000</v>
      </c>
      <c r="F16" s="22"/>
      <c r="G16" s="22"/>
      <c r="H16" s="12">
        <f t="shared" si="0"/>
        <v>44594</v>
      </c>
    </row>
    <row r="17" spans="1:8" x14ac:dyDescent="0.3">
      <c r="B17" s="6" t="s">
        <v>14</v>
      </c>
      <c r="C17" s="22"/>
      <c r="D17" s="22">
        <v>108000</v>
      </c>
      <c r="E17" s="22"/>
      <c r="F17" s="22"/>
      <c r="G17" s="22">
        <v>90000</v>
      </c>
      <c r="H17" s="12">
        <f t="shared" si="0"/>
        <v>44594</v>
      </c>
    </row>
    <row r="18" spans="1:8" x14ac:dyDescent="0.3">
      <c r="B18" s="6" t="s">
        <v>24</v>
      </c>
      <c r="C18" s="22"/>
      <c r="D18" s="22"/>
      <c r="E18" s="22"/>
      <c r="F18" s="22"/>
      <c r="G18" s="22"/>
      <c r="H18" s="12">
        <f t="shared" si="0"/>
        <v>44594</v>
      </c>
    </row>
    <row r="19" spans="1:8" x14ac:dyDescent="0.3">
      <c r="B19" s="6" t="s">
        <v>21</v>
      </c>
      <c r="C19" s="22"/>
      <c r="D19" s="22"/>
      <c r="E19" s="22"/>
      <c r="F19" s="22"/>
      <c r="G19" s="22"/>
      <c r="H19" s="67">
        <f t="shared" si="0"/>
        <v>44594</v>
      </c>
    </row>
    <row r="20" spans="1:8" x14ac:dyDescent="0.3">
      <c r="B20" s="6" t="s">
        <v>65</v>
      </c>
      <c r="C20" s="22"/>
      <c r="D20" s="22"/>
      <c r="E20" s="22"/>
      <c r="F20" s="22"/>
      <c r="G20" s="22"/>
      <c r="H20" s="12">
        <f t="shared" si="0"/>
        <v>44594</v>
      </c>
    </row>
    <row r="21" spans="1:8" x14ac:dyDescent="0.3">
      <c r="B21" s="6" t="s">
        <v>18</v>
      </c>
      <c r="C21" s="22"/>
      <c r="D21" s="22"/>
      <c r="E21" s="22"/>
      <c r="F21" s="22"/>
      <c r="G21" s="22"/>
      <c r="H21" s="12">
        <f t="shared" si="0"/>
        <v>44594</v>
      </c>
    </row>
    <row r="22" spans="1:8" x14ac:dyDescent="0.3">
      <c r="B22" s="6" t="s">
        <v>16</v>
      </c>
      <c r="C22" s="55"/>
      <c r="D22" s="22">
        <v>54000</v>
      </c>
      <c r="E22" s="22"/>
      <c r="F22" s="22"/>
      <c r="G22" s="22"/>
      <c r="H22" s="12">
        <f t="shared" si="0"/>
        <v>44594</v>
      </c>
    </row>
    <row r="23" spans="1:8" x14ac:dyDescent="0.3">
      <c r="B23" s="50" t="s">
        <v>27</v>
      </c>
      <c r="C23" s="51">
        <f>SUM(February02_2022[KSI_AGO])</f>
        <v>90000</v>
      </c>
      <c r="D23" s="51">
        <f>SUBTOTAL(109,February02_2022[KSI_PMS])</f>
        <v>1346000</v>
      </c>
      <c r="E23" s="51">
        <f>SUM(February02_2022[BUIPE_AGO])</f>
        <v>203000</v>
      </c>
      <c r="F23" s="51">
        <f>SUM(February02_2022[BUIPE_PMS])</f>
        <v>0</v>
      </c>
      <c r="G23" s="51">
        <f>SUM(February02_2022[AKOSOMBO_AGO])</f>
        <v>90000</v>
      </c>
      <c r="H23" s="52"/>
    </row>
    <row r="24" spans="1:8" x14ac:dyDescent="0.3">
      <c r="B24" s="8"/>
      <c r="C24" s="24"/>
      <c r="D24" s="24"/>
      <c r="E24" s="24"/>
      <c r="F24" s="24"/>
      <c r="G24" s="24"/>
      <c r="H24"/>
    </row>
    <row r="25" spans="1:8" x14ac:dyDescent="0.3">
      <c r="B25" s="1" t="s">
        <v>6</v>
      </c>
      <c r="C25" s="1" t="s">
        <v>4</v>
      </c>
      <c r="D25" s="5">
        <f>SUMIF(February02_2022[[#Headers],[KSI_AGO]:[AKOSOMBO_AGO]],"*"&amp;C25,February02_2022[[#Totals],[KSI_AGO]:[AKOSOMBO_AGO]])</f>
        <v>383000</v>
      </c>
      <c r="E25" s="1" t="s">
        <v>5</v>
      </c>
      <c r="F25" s="5">
        <f>SUMIF(February02_2022[[#Headers],[KSI_AGO]:[AKOSOMBO_AGO]],"*"&amp;E25,February02_2022[[#Totals],[KSI_AGO]:[AKOSOMBO_AGO]])</f>
        <v>1346000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C4293033-9BD0-4532-98A4-F95261A796F8}">
      <formula1>INDIRECT("BDC_List[BDC List]")</formula1>
    </dataValidation>
  </dataValidations>
  <pageMargins left="0.7" right="0.7" top="0.75" bottom="0.75" header="0.3" footer="0.3"/>
  <pageSetup orientation="portrait" r:id="rId1"/>
  <tableParts count="1">
    <tablePart r:id="rId2"/>
  </tableParts>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84693-B390-4B3A-8D70-6872C431B7A2}">
  <sheetPr codeName="Sheet523"/>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D9" sqref="D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44595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44595</v>
      </c>
    </row>
    <row r="7" spans="2:10" x14ac:dyDescent="0.3">
      <c r="B7" s="6" t="s">
        <v>37</v>
      </c>
      <c r="C7" s="22"/>
      <c r="D7" s="53">
        <v>108000</v>
      </c>
      <c r="E7" s="22"/>
      <c r="F7" s="22"/>
      <c r="G7" s="22"/>
      <c r="H7" s="67">
        <f t="shared" si="0"/>
        <v>44595</v>
      </c>
    </row>
    <row r="8" spans="2:10" x14ac:dyDescent="0.3">
      <c r="B8" s="6" t="s">
        <v>17</v>
      </c>
      <c r="C8" s="22"/>
      <c r="D8" s="22"/>
      <c r="E8" s="22"/>
      <c r="F8" s="22"/>
      <c r="G8" s="22"/>
      <c r="H8" s="12">
        <f t="shared" si="0"/>
        <v>44595</v>
      </c>
    </row>
    <row r="9" spans="2:10" ht="15.6" x14ac:dyDescent="0.3">
      <c r="B9" s="34" t="s">
        <v>0</v>
      </c>
      <c r="C9" s="57"/>
      <c r="D9" s="60">
        <v>594000</v>
      </c>
      <c r="E9" s="61"/>
      <c r="F9" s="117"/>
      <c r="G9" s="61"/>
      <c r="H9" s="12">
        <f t="shared" si="0"/>
        <v>44595</v>
      </c>
    </row>
    <row r="10" spans="2:10" ht="16.2" customHeight="1" x14ac:dyDescent="0.3">
      <c r="B10" s="6" t="s">
        <v>25</v>
      </c>
      <c r="C10" s="22"/>
      <c r="D10" s="22">
        <v>162000</v>
      </c>
      <c r="E10" s="22"/>
      <c r="F10" s="22"/>
      <c r="G10" s="22"/>
      <c r="H10" s="12">
        <f t="shared" si="0"/>
        <v>44595</v>
      </c>
    </row>
    <row r="11" spans="2:10" ht="13.5" customHeight="1" x14ac:dyDescent="0.3">
      <c r="B11" s="6" t="s">
        <v>15</v>
      </c>
      <c r="C11" s="22"/>
      <c r="D11" s="22">
        <v>270000</v>
      </c>
      <c r="E11" s="22"/>
      <c r="F11" s="22"/>
      <c r="G11" s="22"/>
      <c r="H11" s="12">
        <f t="shared" si="0"/>
        <v>44595</v>
      </c>
    </row>
    <row r="12" spans="2:10" x14ac:dyDescent="0.3">
      <c r="B12" s="6" t="s">
        <v>54</v>
      </c>
      <c r="C12" s="22"/>
      <c r="D12" s="22"/>
      <c r="E12" s="22"/>
      <c r="F12" s="22"/>
      <c r="G12" s="22"/>
      <c r="H12" s="67">
        <f t="shared" si="0"/>
        <v>44595</v>
      </c>
    </row>
    <row r="13" spans="2:10" x14ac:dyDescent="0.3">
      <c r="B13" s="6" t="s">
        <v>26</v>
      </c>
      <c r="C13" s="22"/>
      <c r="D13" s="22">
        <v>54000</v>
      </c>
      <c r="E13" s="22"/>
      <c r="F13" s="22"/>
      <c r="G13" s="22"/>
      <c r="H13" s="12">
        <f t="shared" si="0"/>
        <v>44595</v>
      </c>
    </row>
    <row r="14" spans="2:10" x14ac:dyDescent="0.3">
      <c r="B14" s="6" t="s">
        <v>22</v>
      </c>
      <c r="C14" s="22"/>
      <c r="D14" s="23"/>
      <c r="E14" s="23"/>
      <c r="F14" s="23"/>
      <c r="G14" s="23"/>
      <c r="H14" s="12">
        <f t="shared" si="0"/>
        <v>44595</v>
      </c>
      <c r="J14" s="4"/>
    </row>
    <row r="15" spans="2:10" x14ac:dyDescent="0.3">
      <c r="B15" s="6" t="s">
        <v>61</v>
      </c>
      <c r="C15" s="22"/>
      <c r="D15" s="23"/>
      <c r="E15" s="23"/>
      <c r="F15" s="23"/>
      <c r="G15" s="23"/>
      <c r="H15" s="67">
        <f t="shared" si="0"/>
        <v>44595</v>
      </c>
      <c r="J15" s="4"/>
    </row>
    <row r="16" spans="2:10" x14ac:dyDescent="0.3">
      <c r="B16" s="6" t="s">
        <v>19</v>
      </c>
      <c r="C16" s="22"/>
      <c r="D16" s="62">
        <v>324000</v>
      </c>
      <c r="E16" s="22">
        <v>54000</v>
      </c>
      <c r="F16" s="22"/>
      <c r="G16" s="22"/>
      <c r="H16" s="12">
        <f t="shared" si="0"/>
        <v>44595</v>
      </c>
    </row>
    <row r="17" spans="1:8" x14ac:dyDescent="0.3">
      <c r="B17" s="6" t="s">
        <v>14</v>
      </c>
      <c r="C17" s="22">
        <v>90000</v>
      </c>
      <c r="D17" s="22">
        <v>103500</v>
      </c>
      <c r="E17" s="22"/>
      <c r="F17" s="22"/>
      <c r="G17" s="22"/>
      <c r="H17" s="12">
        <f t="shared" si="0"/>
        <v>44595</v>
      </c>
    </row>
    <row r="18" spans="1:8" x14ac:dyDescent="0.3">
      <c r="B18" s="6" t="s">
        <v>24</v>
      </c>
      <c r="C18" s="22"/>
      <c r="D18" s="22"/>
      <c r="E18" s="22"/>
      <c r="F18" s="22"/>
      <c r="G18" s="22"/>
      <c r="H18" s="12">
        <f t="shared" si="0"/>
        <v>44595</v>
      </c>
    </row>
    <row r="19" spans="1:8" x14ac:dyDescent="0.3">
      <c r="B19" s="6" t="s">
        <v>21</v>
      </c>
      <c r="C19" s="22"/>
      <c r="D19" s="22"/>
      <c r="E19" s="22"/>
      <c r="F19" s="22"/>
      <c r="G19" s="22"/>
      <c r="H19" s="67">
        <f t="shared" si="0"/>
        <v>44595</v>
      </c>
    </row>
    <row r="20" spans="1:8" x14ac:dyDescent="0.3">
      <c r="B20" s="6" t="s">
        <v>65</v>
      </c>
      <c r="C20" s="22"/>
      <c r="D20" s="22"/>
      <c r="E20" s="22"/>
      <c r="F20" s="22"/>
      <c r="G20" s="22"/>
      <c r="H20" s="12">
        <f t="shared" si="0"/>
        <v>44595</v>
      </c>
    </row>
    <row r="21" spans="1:8" x14ac:dyDescent="0.3">
      <c r="B21" s="6" t="s">
        <v>18</v>
      </c>
      <c r="C21" s="22"/>
      <c r="D21" s="22"/>
      <c r="E21" s="22"/>
      <c r="F21" s="22"/>
      <c r="G21" s="22"/>
      <c r="H21" s="12">
        <f t="shared" si="0"/>
        <v>44595</v>
      </c>
    </row>
    <row r="22" spans="1:8" x14ac:dyDescent="0.3">
      <c r="B22" s="6" t="s">
        <v>16</v>
      </c>
      <c r="C22" s="55"/>
      <c r="D22" s="22"/>
      <c r="E22" s="22"/>
      <c r="F22" s="22"/>
      <c r="G22" s="22"/>
      <c r="H22" s="12">
        <f t="shared" si="0"/>
        <v>44595</v>
      </c>
    </row>
    <row r="23" spans="1:8" x14ac:dyDescent="0.3">
      <c r="B23" s="50" t="s">
        <v>27</v>
      </c>
      <c r="C23" s="51">
        <f>SUM(February02_20222[KSI_AGO])</f>
        <v>90000</v>
      </c>
      <c r="D23" s="51">
        <f>SUBTOTAL(109,February02_20222[KSI_PMS])</f>
        <v>1615500</v>
      </c>
      <c r="E23" s="51">
        <f>SUM(February02_20222[BUIPE_AGO])</f>
        <v>54000</v>
      </c>
      <c r="F23" s="51">
        <f>SUM(February02_20222[BUIPE_PMS])</f>
        <v>0</v>
      </c>
      <c r="G23" s="51">
        <f>SUM(February02_20222[AKOSOMBO_AGO])</f>
        <v>0</v>
      </c>
      <c r="H23" s="52"/>
    </row>
    <row r="24" spans="1:8" x14ac:dyDescent="0.3">
      <c r="B24" s="8"/>
      <c r="C24" s="24"/>
      <c r="D24" s="24"/>
      <c r="E24" s="24"/>
      <c r="F24" s="24"/>
      <c r="G24" s="24"/>
      <c r="H24"/>
    </row>
    <row r="25" spans="1:8" x14ac:dyDescent="0.3">
      <c r="B25" s="1" t="s">
        <v>6</v>
      </c>
      <c r="C25" s="1" t="s">
        <v>4</v>
      </c>
      <c r="D25" s="5">
        <f>SUMIF(February02_20222[[#Headers],[KSI_AGO]:[AKOSOMBO_AGO]],"*"&amp;C25,February02_20222[[#Totals],[KSI_AGO]:[AKOSOMBO_AGO]])</f>
        <v>144000</v>
      </c>
      <c r="E25" s="1" t="s">
        <v>5</v>
      </c>
      <c r="F25" s="5">
        <f>SUMIF(February02_20222[[#Headers],[KSI_AGO]:[AKOSOMBO_AGO]],"*"&amp;E25,February02_20222[[#Totals],[KSI_AGO]:[AKOSOMBO_AGO]])</f>
        <v>1615500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2FCC7396-9370-4561-8330-DE9F5DA758E7}">
      <formula1>INDIRECT("BDC_List[BDC List]")</formula1>
    </dataValidation>
  </dataValidations>
  <pageMargins left="0.7" right="0.7" top="0.75" bottom="0.75" header="0.3" footer="0.3"/>
  <pageSetup orientation="portrait" r:id="rId1"/>
  <tableParts count="1">
    <tablePart r:id="rId2"/>
  </tableParts>
</worksheet>
</file>

<file path=xl/worksheets/sheet5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C5362-60A0-4E01-802F-64C3D31C303F}">
  <sheetPr codeName="Sheet524"/>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44596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44596</v>
      </c>
    </row>
    <row r="7" spans="2:10" x14ac:dyDescent="0.3">
      <c r="B7" s="6" t="s">
        <v>37</v>
      </c>
      <c r="C7" s="22"/>
      <c r="D7" s="53">
        <v>108000</v>
      </c>
      <c r="E7" s="22"/>
      <c r="F7" s="22"/>
      <c r="G7" s="22"/>
      <c r="H7" s="67">
        <f t="shared" si="0"/>
        <v>44596</v>
      </c>
    </row>
    <row r="8" spans="2:10" x14ac:dyDescent="0.3">
      <c r="B8" s="6" t="s">
        <v>17</v>
      </c>
      <c r="C8" s="22"/>
      <c r="D8" s="22"/>
      <c r="E8" s="22"/>
      <c r="F8" s="22"/>
      <c r="G8" s="22"/>
      <c r="H8" s="12">
        <f t="shared" si="0"/>
        <v>44596</v>
      </c>
    </row>
    <row r="9" spans="2:10" ht="15.6" x14ac:dyDescent="0.3">
      <c r="B9" s="34" t="s">
        <v>0</v>
      </c>
      <c r="C9" s="57"/>
      <c r="D9" s="60">
        <v>324000</v>
      </c>
      <c r="E9" s="61"/>
      <c r="F9" s="117"/>
      <c r="G9" s="61"/>
      <c r="H9" s="12">
        <f t="shared" si="0"/>
        <v>44596</v>
      </c>
    </row>
    <row r="10" spans="2:10" ht="16.2" customHeight="1" x14ac:dyDescent="0.3">
      <c r="B10" s="6" t="s">
        <v>25</v>
      </c>
      <c r="C10" s="22"/>
      <c r="D10" s="22">
        <v>162000</v>
      </c>
      <c r="E10" s="22"/>
      <c r="F10" s="22"/>
      <c r="G10" s="22"/>
      <c r="H10" s="12">
        <f t="shared" si="0"/>
        <v>44596</v>
      </c>
    </row>
    <row r="11" spans="2:10" ht="13.5" customHeight="1" x14ac:dyDescent="0.3">
      <c r="B11" s="6" t="s">
        <v>15</v>
      </c>
      <c r="C11" s="22"/>
      <c r="D11" s="22">
        <v>108000</v>
      </c>
      <c r="E11" s="22"/>
      <c r="F11" s="22"/>
      <c r="G11" s="22"/>
      <c r="H11" s="12">
        <f t="shared" si="0"/>
        <v>44596</v>
      </c>
    </row>
    <row r="12" spans="2:10" x14ac:dyDescent="0.3">
      <c r="B12" s="6" t="s">
        <v>54</v>
      </c>
      <c r="C12" s="22"/>
      <c r="D12" s="22">
        <v>207000</v>
      </c>
      <c r="E12" s="22"/>
      <c r="F12" s="22"/>
      <c r="G12" s="22"/>
      <c r="H12" s="67">
        <f t="shared" si="0"/>
        <v>44596</v>
      </c>
    </row>
    <row r="13" spans="2:10" x14ac:dyDescent="0.3">
      <c r="B13" s="6" t="s">
        <v>26</v>
      </c>
      <c r="C13" s="22"/>
      <c r="D13" s="22"/>
      <c r="E13" s="22"/>
      <c r="F13" s="22"/>
      <c r="G13" s="22"/>
      <c r="H13" s="12">
        <f t="shared" si="0"/>
        <v>44596</v>
      </c>
    </row>
    <row r="14" spans="2:10" x14ac:dyDescent="0.3">
      <c r="B14" s="6" t="s">
        <v>22</v>
      </c>
      <c r="C14" s="22"/>
      <c r="D14" s="23"/>
      <c r="E14" s="23"/>
      <c r="F14" s="23"/>
      <c r="G14" s="23"/>
      <c r="H14" s="12">
        <f t="shared" si="0"/>
        <v>44596</v>
      </c>
      <c r="J14" s="4"/>
    </row>
    <row r="15" spans="2:10" x14ac:dyDescent="0.3">
      <c r="B15" s="6" t="s">
        <v>61</v>
      </c>
      <c r="C15" s="22"/>
      <c r="D15" s="23"/>
      <c r="E15" s="23"/>
      <c r="F15" s="23"/>
      <c r="G15" s="23"/>
      <c r="H15" s="67">
        <f t="shared" si="0"/>
        <v>44596</v>
      </c>
      <c r="J15" s="4"/>
    </row>
    <row r="16" spans="2:10" x14ac:dyDescent="0.3">
      <c r="B16" s="6" t="s">
        <v>19</v>
      </c>
      <c r="C16" s="22"/>
      <c r="D16" s="62">
        <v>36000</v>
      </c>
      <c r="E16" s="22"/>
      <c r="F16" s="22"/>
      <c r="G16" s="22"/>
      <c r="H16" s="12">
        <f t="shared" si="0"/>
        <v>44596</v>
      </c>
    </row>
    <row r="17" spans="1:8" x14ac:dyDescent="0.3">
      <c r="B17" s="6" t="s">
        <v>14</v>
      </c>
      <c r="C17" s="22"/>
      <c r="D17" s="22">
        <v>207000</v>
      </c>
      <c r="E17" s="22"/>
      <c r="F17" s="22"/>
      <c r="G17" s="22"/>
      <c r="H17" s="12">
        <f t="shared" si="0"/>
        <v>44596</v>
      </c>
    </row>
    <row r="18" spans="1:8" x14ac:dyDescent="0.3">
      <c r="B18" s="6" t="s">
        <v>24</v>
      </c>
      <c r="C18" s="22"/>
      <c r="D18" s="22"/>
      <c r="E18" s="22"/>
      <c r="F18" s="22"/>
      <c r="G18" s="22"/>
      <c r="H18" s="12">
        <f t="shared" si="0"/>
        <v>44596</v>
      </c>
    </row>
    <row r="19" spans="1:8" x14ac:dyDescent="0.3">
      <c r="B19" s="6" t="s">
        <v>21</v>
      </c>
      <c r="C19" s="22"/>
      <c r="D19" s="22"/>
      <c r="E19" s="22"/>
      <c r="F19" s="22"/>
      <c r="G19" s="22"/>
      <c r="H19" s="67">
        <f t="shared" si="0"/>
        <v>44596</v>
      </c>
    </row>
    <row r="20" spans="1:8" x14ac:dyDescent="0.3">
      <c r="B20" s="6" t="s">
        <v>65</v>
      </c>
      <c r="C20" s="22"/>
      <c r="D20" s="22"/>
      <c r="E20" s="22"/>
      <c r="F20" s="22"/>
      <c r="G20" s="22"/>
      <c r="H20" s="12">
        <f t="shared" si="0"/>
        <v>44596</v>
      </c>
    </row>
    <row r="21" spans="1:8" x14ac:dyDescent="0.3">
      <c r="B21" s="6" t="s">
        <v>18</v>
      </c>
      <c r="C21" s="22"/>
      <c r="D21" s="22"/>
      <c r="E21" s="22"/>
      <c r="F21" s="22"/>
      <c r="G21" s="22"/>
      <c r="H21" s="12">
        <f t="shared" si="0"/>
        <v>44596</v>
      </c>
    </row>
    <row r="22" spans="1:8" x14ac:dyDescent="0.3">
      <c r="B22" s="6" t="s">
        <v>16</v>
      </c>
      <c r="C22" s="55"/>
      <c r="D22" s="22"/>
      <c r="E22" s="22"/>
      <c r="F22" s="22"/>
      <c r="G22" s="22"/>
      <c r="H22" s="12">
        <f t="shared" si="0"/>
        <v>44596</v>
      </c>
    </row>
    <row r="23" spans="1:8" x14ac:dyDescent="0.3">
      <c r="B23" s="50" t="s">
        <v>27</v>
      </c>
      <c r="C23" s="51">
        <f>SUM(February04_2022[KSI_AGO])</f>
        <v>0</v>
      </c>
      <c r="D23" s="51">
        <f>SUBTOTAL(109,February04_2022[KSI_PMS])</f>
        <v>1152000</v>
      </c>
      <c r="E23" s="51">
        <f>SUM(February04_2022[BUIPE_AGO])</f>
        <v>0</v>
      </c>
      <c r="F23" s="51">
        <f>SUM(February04_2022[BUIPE_PMS])</f>
        <v>0</v>
      </c>
      <c r="G23" s="51">
        <f>SUM(February04_2022[AKOSOMBO_AGO])</f>
        <v>0</v>
      </c>
      <c r="H23" s="52"/>
    </row>
    <row r="24" spans="1:8" x14ac:dyDescent="0.3">
      <c r="B24" s="8"/>
      <c r="C24" s="24"/>
      <c r="D24" s="24"/>
      <c r="E24" s="24"/>
      <c r="F24" s="24"/>
      <c r="G24" s="24"/>
      <c r="H24"/>
    </row>
    <row r="25" spans="1:8" x14ac:dyDescent="0.3">
      <c r="B25" s="1" t="s">
        <v>6</v>
      </c>
      <c r="C25" s="1" t="s">
        <v>4</v>
      </c>
      <c r="D25" s="5">
        <f>SUMIF(February04_2022[[#Headers],[KSI_AGO]:[AKOSOMBO_AGO]],"*"&amp;C25,February04_2022[[#Totals],[KSI_AGO]:[AKOSOMBO_AGO]])</f>
        <v>0</v>
      </c>
      <c r="E25" s="1" t="s">
        <v>5</v>
      </c>
      <c r="F25" s="5">
        <f>SUMIF(February04_2022[[#Headers],[KSI_AGO]:[AKOSOMBO_AGO]],"*"&amp;E25,February04_2022[[#Totals],[KSI_AGO]:[AKOSOMBO_AGO]])</f>
        <v>1152000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4EA59BFC-355C-4D06-9127-531468DF16AD}">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0DE0-9DEB-4C8E-B48F-EB4BC84B099F}">
  <sheetPr codeName="Sheet525"/>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D30" sqref="D3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44599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44599</v>
      </c>
    </row>
    <row r="7" spans="2:10" x14ac:dyDescent="0.3">
      <c r="B7" s="6" t="s">
        <v>37</v>
      </c>
      <c r="C7" s="22"/>
      <c r="D7" s="53">
        <v>108000</v>
      </c>
      <c r="E7" s="22"/>
      <c r="F7" s="22"/>
      <c r="G7" s="22"/>
      <c r="H7" s="67">
        <f t="shared" si="0"/>
        <v>44599</v>
      </c>
    </row>
    <row r="8" spans="2:10" x14ac:dyDescent="0.3">
      <c r="B8" s="6" t="s">
        <v>17</v>
      </c>
      <c r="C8" s="22">
        <v>1869000</v>
      </c>
      <c r="D8" s="22">
        <v>162000</v>
      </c>
      <c r="E8" s="22"/>
      <c r="F8" s="22"/>
      <c r="G8" s="22">
        <v>540000</v>
      </c>
      <c r="H8" s="12">
        <f t="shared" si="0"/>
        <v>44599</v>
      </c>
    </row>
    <row r="9" spans="2:10" ht="15.6" x14ac:dyDescent="0.3">
      <c r="B9" s="34" t="s">
        <v>0</v>
      </c>
      <c r="C9" s="57"/>
      <c r="D9" s="60">
        <v>594000</v>
      </c>
      <c r="E9" s="61"/>
      <c r="F9" s="117"/>
      <c r="G9" s="61"/>
      <c r="H9" s="12">
        <f t="shared" si="0"/>
        <v>44599</v>
      </c>
    </row>
    <row r="10" spans="2:10" ht="16.2" customHeight="1" x14ac:dyDescent="0.3">
      <c r="B10" s="6" t="s">
        <v>25</v>
      </c>
      <c r="C10" s="22"/>
      <c r="D10" s="22">
        <v>162000</v>
      </c>
      <c r="E10" s="22"/>
      <c r="F10" s="22"/>
      <c r="G10" s="22"/>
      <c r="H10" s="12">
        <f t="shared" si="0"/>
        <v>44599</v>
      </c>
    </row>
    <row r="11" spans="2:10" ht="13.5" customHeight="1" x14ac:dyDescent="0.3">
      <c r="B11" s="6" t="s">
        <v>15</v>
      </c>
      <c r="C11" s="22"/>
      <c r="D11" s="22">
        <v>157500</v>
      </c>
      <c r="E11" s="22"/>
      <c r="F11" s="22"/>
      <c r="G11" s="22"/>
      <c r="H11" s="12">
        <f t="shared" si="0"/>
        <v>44599</v>
      </c>
    </row>
    <row r="12" spans="2:10" x14ac:dyDescent="0.3">
      <c r="B12" s="6" t="s">
        <v>54</v>
      </c>
      <c r="C12" s="22"/>
      <c r="D12" s="22">
        <v>54000</v>
      </c>
      <c r="E12" s="22"/>
      <c r="F12" s="22"/>
      <c r="G12" s="22"/>
      <c r="H12" s="67">
        <f t="shared" si="0"/>
        <v>44599</v>
      </c>
    </row>
    <row r="13" spans="2:10" x14ac:dyDescent="0.3">
      <c r="B13" s="6" t="s">
        <v>26</v>
      </c>
      <c r="C13" s="22"/>
      <c r="D13" s="22">
        <v>108000</v>
      </c>
      <c r="E13" s="22"/>
      <c r="F13" s="22"/>
      <c r="G13" s="22"/>
      <c r="H13" s="12">
        <f t="shared" si="0"/>
        <v>44599</v>
      </c>
    </row>
    <row r="14" spans="2:10" x14ac:dyDescent="0.3">
      <c r="B14" s="6" t="s">
        <v>22</v>
      </c>
      <c r="C14" s="22"/>
      <c r="D14" s="23"/>
      <c r="E14" s="23"/>
      <c r="F14" s="23"/>
      <c r="G14" s="23"/>
      <c r="H14" s="12">
        <f t="shared" si="0"/>
        <v>44599</v>
      </c>
      <c r="J14" s="4"/>
    </row>
    <row r="15" spans="2:10" x14ac:dyDescent="0.3">
      <c r="B15" s="6" t="s">
        <v>61</v>
      </c>
      <c r="C15" s="22"/>
      <c r="D15" s="23"/>
      <c r="E15" s="23"/>
      <c r="F15" s="23"/>
      <c r="G15" s="23"/>
      <c r="H15" s="67">
        <f t="shared" si="0"/>
        <v>44599</v>
      </c>
      <c r="J15" s="4"/>
    </row>
    <row r="16" spans="2:10" x14ac:dyDescent="0.3">
      <c r="B16" s="6" t="s">
        <v>19</v>
      </c>
      <c r="C16" s="22"/>
      <c r="D16" s="62"/>
      <c r="E16" s="22"/>
      <c r="F16" s="22"/>
      <c r="G16" s="22"/>
      <c r="H16" s="12">
        <f t="shared" si="0"/>
        <v>44599</v>
      </c>
    </row>
    <row r="17" spans="1:8" x14ac:dyDescent="0.3">
      <c r="B17" s="6" t="s">
        <v>14</v>
      </c>
      <c r="C17" s="22"/>
      <c r="D17" s="22">
        <v>162000</v>
      </c>
      <c r="E17" s="22"/>
      <c r="F17" s="22"/>
      <c r="G17" s="22"/>
      <c r="H17" s="12">
        <f t="shared" si="0"/>
        <v>44599</v>
      </c>
    </row>
    <row r="18" spans="1:8" x14ac:dyDescent="0.3">
      <c r="B18" s="6" t="s">
        <v>24</v>
      </c>
      <c r="C18" s="22"/>
      <c r="D18" s="22"/>
      <c r="E18" s="22"/>
      <c r="F18" s="22"/>
      <c r="G18" s="22"/>
      <c r="H18" s="12">
        <f t="shared" si="0"/>
        <v>44599</v>
      </c>
    </row>
    <row r="19" spans="1:8" x14ac:dyDescent="0.3">
      <c r="B19" s="6" t="s">
        <v>21</v>
      </c>
      <c r="C19" s="22"/>
      <c r="D19" s="22"/>
      <c r="E19" s="22"/>
      <c r="F19" s="22"/>
      <c r="G19" s="22"/>
      <c r="H19" s="67">
        <f t="shared" si="0"/>
        <v>44599</v>
      </c>
    </row>
    <row r="20" spans="1:8" x14ac:dyDescent="0.3">
      <c r="B20" s="6" t="s">
        <v>65</v>
      </c>
      <c r="C20" s="22"/>
      <c r="D20" s="22"/>
      <c r="E20" s="22"/>
      <c r="F20" s="22"/>
      <c r="G20" s="22"/>
      <c r="H20" s="12">
        <f t="shared" si="0"/>
        <v>44599</v>
      </c>
    </row>
    <row r="21" spans="1:8" x14ac:dyDescent="0.3">
      <c r="B21" s="6" t="s">
        <v>18</v>
      </c>
      <c r="C21" s="22"/>
      <c r="D21" s="22"/>
      <c r="E21" s="22"/>
      <c r="F21" s="22"/>
      <c r="G21" s="22"/>
      <c r="H21" s="12">
        <f t="shared" si="0"/>
        <v>44599</v>
      </c>
    </row>
    <row r="22" spans="1:8" x14ac:dyDescent="0.3">
      <c r="B22" s="6" t="s">
        <v>16</v>
      </c>
      <c r="C22" s="55"/>
      <c r="D22" s="22"/>
      <c r="E22" s="22"/>
      <c r="F22" s="22"/>
      <c r="G22" s="22"/>
      <c r="H22" s="12">
        <f t="shared" si="0"/>
        <v>44599</v>
      </c>
    </row>
    <row r="23" spans="1:8" x14ac:dyDescent="0.3">
      <c r="B23" s="50" t="s">
        <v>27</v>
      </c>
      <c r="C23" s="51">
        <f>SUM(February07_2022[KSI_AGO])</f>
        <v>1869000</v>
      </c>
      <c r="D23" s="51">
        <f>SUBTOTAL(109,February07_2022[KSI_PMS])</f>
        <v>1507500</v>
      </c>
      <c r="E23" s="51">
        <f>SUM(February07_2022[BUIPE_AGO])</f>
        <v>0</v>
      </c>
      <c r="F23" s="51">
        <f>SUM(February07_2022[BUIPE_PMS])</f>
        <v>0</v>
      </c>
      <c r="G23" s="51">
        <f>SUM(February07_2022[AKOSOMBO_AGO])</f>
        <v>540000</v>
      </c>
      <c r="H23" s="52"/>
    </row>
    <row r="24" spans="1:8" x14ac:dyDescent="0.3">
      <c r="B24" s="8"/>
      <c r="C24" s="24"/>
      <c r="D24" s="24"/>
      <c r="E24" s="24"/>
      <c r="F24" s="24"/>
      <c r="G24" s="24"/>
      <c r="H24"/>
    </row>
    <row r="25" spans="1:8" x14ac:dyDescent="0.3">
      <c r="B25" s="1" t="s">
        <v>6</v>
      </c>
      <c r="C25" s="1" t="s">
        <v>4</v>
      </c>
      <c r="D25" s="5">
        <f>SUMIF(February07_2022[[#Headers],[KSI_AGO]:[AKOSOMBO_AGO]],"*"&amp;C25,February07_2022[[#Totals],[KSI_AGO]:[AKOSOMBO_AGO]])</f>
        <v>2409000</v>
      </c>
      <c r="E25" s="1" t="s">
        <v>5</v>
      </c>
      <c r="F25" s="5">
        <f>SUMIF(February07_2022[[#Headers],[KSI_AGO]:[AKOSOMBO_AGO]],"*"&amp;E25,February07_2022[[#Totals],[KSI_AGO]:[AKOSOMBO_AGO]])</f>
        <v>1507500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6A57BE70-B7CA-4B6A-B6CD-705A09DD3A95}">
      <formula1>INDIRECT("BDC_List[BDC List]")</formula1>
    </dataValidation>
  </dataValidations>
  <pageMargins left="0.7" right="0.7" top="0.75" bottom="0.75" header="0.3" footer="0.3"/>
  <pageSetup orientation="portrait" r:id="rId1"/>
  <tableParts count="1">
    <tablePart r:id="rId2"/>
  </tableParts>
</worksheet>
</file>

<file path=xl/worksheets/sheet5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109C-82CE-4D3D-87B5-33B21437CFDE}">
  <sheetPr codeName="Sheet526"/>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D21" sqref="D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44600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44600</v>
      </c>
    </row>
    <row r="7" spans="2:10" x14ac:dyDescent="0.3">
      <c r="B7" s="6" t="s">
        <v>37</v>
      </c>
      <c r="C7" s="22"/>
      <c r="D7" s="53">
        <v>144000</v>
      </c>
      <c r="E7" s="22"/>
      <c r="F7" s="22"/>
      <c r="G7" s="22"/>
      <c r="H7" s="67">
        <f t="shared" si="0"/>
        <v>44600</v>
      </c>
    </row>
    <row r="8" spans="2:10" x14ac:dyDescent="0.3">
      <c r="B8" s="6" t="s">
        <v>17</v>
      </c>
      <c r="C8" s="22">
        <v>1919000</v>
      </c>
      <c r="D8" s="22">
        <v>108000</v>
      </c>
      <c r="E8" s="22"/>
      <c r="F8" s="22"/>
      <c r="G8" s="22">
        <v>590000</v>
      </c>
      <c r="H8" s="12">
        <f t="shared" si="0"/>
        <v>44600</v>
      </c>
    </row>
    <row r="9" spans="2:10" ht="15.6" x14ac:dyDescent="0.3">
      <c r="B9" s="34" t="s">
        <v>0</v>
      </c>
      <c r="C9" s="57"/>
      <c r="D9" s="60">
        <v>432000</v>
      </c>
      <c r="E9" s="61"/>
      <c r="F9" s="117"/>
      <c r="G9" s="61"/>
      <c r="H9" s="12">
        <f t="shared" si="0"/>
        <v>44600</v>
      </c>
    </row>
    <row r="10" spans="2:10" ht="16.2" customHeight="1" x14ac:dyDescent="0.3">
      <c r="B10" s="6" t="s">
        <v>25</v>
      </c>
      <c r="C10" s="22"/>
      <c r="D10" s="22">
        <v>162000</v>
      </c>
      <c r="E10" s="22"/>
      <c r="F10" s="22"/>
      <c r="G10" s="22"/>
      <c r="H10" s="12">
        <f t="shared" si="0"/>
        <v>44600</v>
      </c>
    </row>
    <row r="11" spans="2:10" ht="13.5" customHeight="1" x14ac:dyDescent="0.3">
      <c r="B11" s="6" t="s">
        <v>15</v>
      </c>
      <c r="C11" s="22"/>
      <c r="D11" s="22">
        <v>432000</v>
      </c>
      <c r="E11" s="22"/>
      <c r="F11" s="22"/>
      <c r="G11" s="22"/>
      <c r="H11" s="12">
        <f t="shared" si="0"/>
        <v>44600</v>
      </c>
    </row>
    <row r="12" spans="2:10" x14ac:dyDescent="0.3">
      <c r="B12" s="6" t="s">
        <v>54</v>
      </c>
      <c r="C12" s="22"/>
      <c r="D12" s="22">
        <v>108000</v>
      </c>
      <c r="E12" s="22"/>
      <c r="F12" s="22"/>
      <c r="G12" s="22"/>
      <c r="H12" s="67">
        <f t="shared" si="0"/>
        <v>44600</v>
      </c>
    </row>
    <row r="13" spans="2:10" x14ac:dyDescent="0.3">
      <c r="B13" s="6" t="s">
        <v>26</v>
      </c>
      <c r="C13" s="22"/>
      <c r="D13" s="22"/>
      <c r="E13" s="22"/>
      <c r="F13" s="22"/>
      <c r="G13" s="22"/>
      <c r="H13" s="12">
        <f t="shared" si="0"/>
        <v>44600</v>
      </c>
    </row>
    <row r="14" spans="2:10" x14ac:dyDescent="0.3">
      <c r="B14" s="6" t="s">
        <v>22</v>
      </c>
      <c r="C14" s="22"/>
      <c r="D14" s="23"/>
      <c r="E14" s="23"/>
      <c r="F14" s="23"/>
      <c r="G14" s="23"/>
      <c r="H14" s="12">
        <f t="shared" si="0"/>
        <v>44600</v>
      </c>
      <c r="J14" s="4"/>
    </row>
    <row r="15" spans="2:10" x14ac:dyDescent="0.3">
      <c r="B15" s="6" t="s">
        <v>61</v>
      </c>
      <c r="C15" s="22"/>
      <c r="D15" s="23"/>
      <c r="E15" s="23"/>
      <c r="F15" s="23"/>
      <c r="G15" s="23"/>
      <c r="H15" s="67">
        <f t="shared" si="0"/>
        <v>44600</v>
      </c>
      <c r="J15" s="4"/>
    </row>
    <row r="16" spans="2:10" x14ac:dyDescent="0.3">
      <c r="B16" s="6" t="s">
        <v>19</v>
      </c>
      <c r="C16" s="22"/>
      <c r="D16" s="62">
        <v>324000</v>
      </c>
      <c r="E16" s="22"/>
      <c r="F16" s="22"/>
      <c r="G16" s="22"/>
      <c r="H16" s="12">
        <f t="shared" si="0"/>
        <v>44600</v>
      </c>
    </row>
    <row r="17" spans="1:8" x14ac:dyDescent="0.3">
      <c r="B17" s="6" t="s">
        <v>14</v>
      </c>
      <c r="C17" s="22"/>
      <c r="D17" s="22">
        <v>216000</v>
      </c>
      <c r="E17" s="22"/>
      <c r="F17" s="22"/>
      <c r="G17" s="22"/>
      <c r="H17" s="12">
        <f t="shared" si="0"/>
        <v>44600</v>
      </c>
    </row>
    <row r="18" spans="1:8" x14ac:dyDescent="0.3">
      <c r="B18" s="6" t="s">
        <v>24</v>
      </c>
      <c r="C18" s="22"/>
      <c r="D18" s="22"/>
      <c r="E18" s="22"/>
      <c r="F18" s="22"/>
      <c r="G18" s="22"/>
      <c r="H18" s="12">
        <f t="shared" si="0"/>
        <v>44600</v>
      </c>
    </row>
    <row r="19" spans="1:8" x14ac:dyDescent="0.3">
      <c r="B19" s="6" t="s">
        <v>21</v>
      </c>
      <c r="C19" s="22"/>
      <c r="D19" s="22"/>
      <c r="E19" s="22"/>
      <c r="F19" s="22"/>
      <c r="G19" s="22"/>
      <c r="H19" s="67">
        <f t="shared" si="0"/>
        <v>44600</v>
      </c>
    </row>
    <row r="20" spans="1:8" x14ac:dyDescent="0.3">
      <c r="B20" s="6" t="s">
        <v>65</v>
      </c>
      <c r="C20" s="22"/>
      <c r="D20" s="22"/>
      <c r="E20" s="22"/>
      <c r="F20" s="22"/>
      <c r="G20" s="22"/>
      <c r="H20" s="12">
        <f t="shared" si="0"/>
        <v>44600</v>
      </c>
    </row>
    <row r="21" spans="1:8" x14ac:dyDescent="0.3">
      <c r="B21" s="6" t="s">
        <v>18</v>
      </c>
      <c r="C21" s="22"/>
      <c r="D21" s="22"/>
      <c r="E21" s="22"/>
      <c r="F21" s="22"/>
      <c r="G21" s="22"/>
      <c r="H21" s="12">
        <f t="shared" si="0"/>
        <v>44600</v>
      </c>
    </row>
    <row r="22" spans="1:8" x14ac:dyDescent="0.3">
      <c r="B22" s="6" t="s">
        <v>16</v>
      </c>
      <c r="C22" s="55"/>
      <c r="D22" s="22"/>
      <c r="E22" s="22"/>
      <c r="F22" s="22"/>
      <c r="G22" s="22"/>
      <c r="H22" s="12">
        <f t="shared" si="0"/>
        <v>44600</v>
      </c>
    </row>
    <row r="23" spans="1:8" x14ac:dyDescent="0.3">
      <c r="B23" s="50" t="s">
        <v>27</v>
      </c>
      <c r="C23" s="51">
        <f>SUM(February08_2022[KSI_AGO])</f>
        <v>1919000</v>
      </c>
      <c r="D23" s="51">
        <f>SUBTOTAL(109,February08_2022[KSI_PMS])</f>
        <v>1926000</v>
      </c>
      <c r="E23" s="51">
        <f>SUM(February08_2022[BUIPE_AGO])</f>
        <v>0</v>
      </c>
      <c r="F23" s="51">
        <f>SUM(February08_2022[BUIPE_PMS])</f>
        <v>0</v>
      </c>
      <c r="G23" s="51">
        <f>SUM(February08_2022[AKOSOMBO_AGO])</f>
        <v>590000</v>
      </c>
      <c r="H23" s="52"/>
    </row>
    <row r="24" spans="1:8" x14ac:dyDescent="0.3">
      <c r="B24" s="8"/>
      <c r="C24" s="24"/>
      <c r="D24" s="24"/>
      <c r="E24" s="24"/>
      <c r="F24" s="24"/>
      <c r="G24" s="24"/>
      <c r="H24"/>
    </row>
    <row r="25" spans="1:8" x14ac:dyDescent="0.3">
      <c r="B25" s="1" t="s">
        <v>6</v>
      </c>
      <c r="C25" s="1" t="s">
        <v>4</v>
      </c>
      <c r="D25" s="5">
        <f>SUMIF(February08_2022[[#Headers],[KSI_AGO]:[AKOSOMBO_AGO]],"*"&amp;C25,February08_2022[[#Totals],[KSI_AGO]:[AKOSOMBO_AGO]])</f>
        <v>2509000</v>
      </c>
      <c r="E25" s="1" t="s">
        <v>5</v>
      </c>
      <c r="F25" s="5">
        <f>SUMIF(February08_2022[[#Headers],[KSI_AGO]:[AKOSOMBO_AGO]],"*"&amp;E25,February08_2022[[#Totals],[KSI_AGO]:[AKOSOMBO_AGO]])</f>
        <v>1926000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139F6B44-52C5-46EF-8AFE-23305570A76D}">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A1E43-55F0-46B1-8EDF-65D7DAD075A8}">
  <sheetPr codeName="Sheet527"/>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C8" sqref="C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44601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44601</v>
      </c>
    </row>
    <row r="7" spans="2:10" x14ac:dyDescent="0.3">
      <c r="B7" s="6" t="s">
        <v>37</v>
      </c>
      <c r="C7" s="22"/>
      <c r="D7" s="53">
        <v>162000</v>
      </c>
      <c r="E7" s="22"/>
      <c r="F7" s="22"/>
      <c r="G7" s="22"/>
      <c r="H7" s="67">
        <f t="shared" si="0"/>
        <v>44601</v>
      </c>
    </row>
    <row r="8" spans="2:10" x14ac:dyDescent="0.3">
      <c r="B8" s="6" t="s">
        <v>17</v>
      </c>
      <c r="C8" s="22">
        <v>108000</v>
      </c>
      <c r="D8" s="22">
        <v>270000</v>
      </c>
      <c r="E8" s="22"/>
      <c r="F8" s="22"/>
      <c r="G8" s="22">
        <v>270000</v>
      </c>
      <c r="H8" s="12">
        <f t="shared" si="0"/>
        <v>44601</v>
      </c>
    </row>
    <row r="9" spans="2:10" ht="15.6" x14ac:dyDescent="0.3">
      <c r="B9" s="34" t="s">
        <v>0</v>
      </c>
      <c r="C9" s="57"/>
      <c r="D9" s="60">
        <v>270000</v>
      </c>
      <c r="E9" s="61"/>
      <c r="F9" s="117"/>
      <c r="G9" s="61"/>
      <c r="H9" s="12">
        <f t="shared" si="0"/>
        <v>44601</v>
      </c>
    </row>
    <row r="10" spans="2:10" ht="16.2" customHeight="1" x14ac:dyDescent="0.3">
      <c r="B10" s="6" t="s">
        <v>25</v>
      </c>
      <c r="C10" s="22"/>
      <c r="D10" s="22">
        <v>162000</v>
      </c>
      <c r="E10" s="22"/>
      <c r="F10" s="22"/>
      <c r="G10" s="22"/>
      <c r="H10" s="12">
        <f t="shared" si="0"/>
        <v>44601</v>
      </c>
    </row>
    <row r="11" spans="2:10" ht="13.5" customHeight="1" x14ac:dyDescent="0.3">
      <c r="B11" s="6" t="s">
        <v>15</v>
      </c>
      <c r="C11" s="22"/>
      <c r="D11" s="22">
        <v>301500</v>
      </c>
      <c r="E11" s="22"/>
      <c r="F11" s="22"/>
      <c r="G11" s="22"/>
      <c r="H11" s="12">
        <f t="shared" si="0"/>
        <v>44601</v>
      </c>
    </row>
    <row r="12" spans="2:10" x14ac:dyDescent="0.3">
      <c r="B12" s="6" t="s">
        <v>54</v>
      </c>
      <c r="C12" s="22"/>
      <c r="D12" s="22">
        <v>162000</v>
      </c>
      <c r="E12" s="22"/>
      <c r="F12" s="22"/>
      <c r="G12" s="22"/>
      <c r="H12" s="67">
        <f t="shared" si="0"/>
        <v>44601</v>
      </c>
    </row>
    <row r="13" spans="2:10" x14ac:dyDescent="0.3">
      <c r="B13" s="6" t="s">
        <v>26</v>
      </c>
      <c r="C13" s="22"/>
      <c r="D13" s="22">
        <v>162000</v>
      </c>
      <c r="E13" s="22"/>
      <c r="F13" s="22"/>
      <c r="G13" s="22"/>
      <c r="H13" s="12">
        <f t="shared" si="0"/>
        <v>44601</v>
      </c>
    </row>
    <row r="14" spans="2:10" x14ac:dyDescent="0.3">
      <c r="B14" s="6" t="s">
        <v>22</v>
      </c>
      <c r="C14" s="22"/>
      <c r="D14" s="23"/>
      <c r="E14" s="23"/>
      <c r="F14" s="23"/>
      <c r="G14" s="23"/>
      <c r="H14" s="12">
        <f t="shared" si="0"/>
        <v>44601</v>
      </c>
      <c r="J14" s="4"/>
    </row>
    <row r="15" spans="2:10" x14ac:dyDescent="0.3">
      <c r="B15" s="6" t="s">
        <v>61</v>
      </c>
      <c r="C15" s="22"/>
      <c r="D15" s="23"/>
      <c r="E15" s="23"/>
      <c r="F15" s="23"/>
      <c r="G15" s="23"/>
      <c r="H15" s="67">
        <f t="shared" si="0"/>
        <v>44601</v>
      </c>
      <c r="J15" s="4"/>
    </row>
    <row r="16" spans="2:10" x14ac:dyDescent="0.3">
      <c r="B16" s="6" t="s">
        <v>19</v>
      </c>
      <c r="C16" s="22"/>
      <c r="D16" s="62"/>
      <c r="E16" s="22"/>
      <c r="F16" s="22"/>
      <c r="G16" s="22"/>
      <c r="H16" s="12">
        <f t="shared" si="0"/>
        <v>44601</v>
      </c>
    </row>
    <row r="17" spans="1:8" x14ac:dyDescent="0.3">
      <c r="B17" s="6" t="s">
        <v>14</v>
      </c>
      <c r="C17" s="22"/>
      <c r="D17" s="22">
        <v>216000</v>
      </c>
      <c r="E17" s="22"/>
      <c r="F17" s="22"/>
      <c r="G17" s="22"/>
      <c r="H17" s="12">
        <f t="shared" si="0"/>
        <v>44601</v>
      </c>
    </row>
    <row r="18" spans="1:8" x14ac:dyDescent="0.3">
      <c r="B18" s="6" t="s">
        <v>24</v>
      </c>
      <c r="C18" s="22"/>
      <c r="D18" s="22"/>
      <c r="E18" s="22"/>
      <c r="F18" s="22"/>
      <c r="G18" s="22"/>
      <c r="H18" s="12">
        <f t="shared" si="0"/>
        <v>44601</v>
      </c>
    </row>
    <row r="19" spans="1:8" x14ac:dyDescent="0.3">
      <c r="B19" s="6" t="s">
        <v>21</v>
      </c>
      <c r="C19" s="22"/>
      <c r="D19" s="22"/>
      <c r="E19" s="22"/>
      <c r="F19" s="22"/>
      <c r="G19" s="22"/>
      <c r="H19" s="67">
        <f t="shared" si="0"/>
        <v>44601</v>
      </c>
    </row>
    <row r="20" spans="1:8" x14ac:dyDescent="0.3">
      <c r="B20" s="6" t="s">
        <v>65</v>
      </c>
      <c r="C20" s="22"/>
      <c r="D20" s="22"/>
      <c r="E20" s="22"/>
      <c r="F20" s="22"/>
      <c r="G20" s="22"/>
      <c r="H20" s="12">
        <f t="shared" si="0"/>
        <v>44601</v>
      </c>
    </row>
    <row r="21" spans="1:8" x14ac:dyDescent="0.3">
      <c r="B21" s="6" t="s">
        <v>18</v>
      </c>
      <c r="C21" s="22"/>
      <c r="D21" s="22"/>
      <c r="E21" s="22"/>
      <c r="F21" s="22"/>
      <c r="G21" s="22"/>
      <c r="H21" s="12">
        <f t="shared" si="0"/>
        <v>44601</v>
      </c>
    </row>
    <row r="22" spans="1:8" x14ac:dyDescent="0.3">
      <c r="B22" s="6" t="s">
        <v>16</v>
      </c>
      <c r="C22" s="55"/>
      <c r="D22" s="22"/>
      <c r="E22" s="22"/>
      <c r="F22" s="22"/>
      <c r="G22" s="22"/>
      <c r="H22" s="12">
        <f t="shared" si="0"/>
        <v>44601</v>
      </c>
    </row>
    <row r="23" spans="1:8" x14ac:dyDescent="0.3">
      <c r="B23" s="50" t="s">
        <v>27</v>
      </c>
      <c r="C23" s="51">
        <f>SUM(February09_2022[KSI_AGO])</f>
        <v>108000</v>
      </c>
      <c r="D23" s="51">
        <f>SUBTOTAL(109,February09_2022[KSI_PMS])</f>
        <v>1705500</v>
      </c>
      <c r="E23" s="51">
        <f>SUM(February09_2022[BUIPE_AGO])</f>
        <v>0</v>
      </c>
      <c r="F23" s="51">
        <f>SUM(February09_2022[BUIPE_PMS])</f>
        <v>0</v>
      </c>
      <c r="G23" s="51">
        <f>SUM(February09_2022[AKOSOMBO_AGO])</f>
        <v>270000</v>
      </c>
      <c r="H23" s="52"/>
    </row>
    <row r="24" spans="1:8" x14ac:dyDescent="0.3">
      <c r="B24" s="8"/>
      <c r="C24" s="24"/>
      <c r="D24" s="24"/>
      <c r="E24" s="24"/>
      <c r="F24" s="24"/>
      <c r="G24" s="24"/>
      <c r="H24"/>
    </row>
    <row r="25" spans="1:8" x14ac:dyDescent="0.3">
      <c r="B25" s="1" t="s">
        <v>6</v>
      </c>
      <c r="C25" s="1" t="s">
        <v>4</v>
      </c>
      <c r="D25" s="5">
        <f>SUMIF(February09_2022[[#Headers],[KSI_AGO]:[AKOSOMBO_AGO]],"*"&amp;C25,February09_2022[[#Totals],[KSI_AGO]:[AKOSOMBO_AGO]])</f>
        <v>378000</v>
      </c>
      <c r="E25" s="1" t="s">
        <v>5</v>
      </c>
      <c r="F25" s="5">
        <f>SUMIF(February09_2022[[#Headers],[KSI_AGO]:[AKOSOMBO_AGO]],"*"&amp;E25,February09_2022[[#Totals],[KSI_AGO]:[AKOSOMBO_AGO]])</f>
        <v>1705500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2387189D-E783-496B-A9CF-BA0717916348}">
      <formula1>INDIRECT("BDC_List[BDC List]")</formula1>
    </dataValidation>
  </dataValidations>
  <pageMargins left="0.7" right="0.7" top="0.75" bottom="0.75" header="0.3" footer="0.3"/>
  <pageSetup orientation="portrait" r:id="rId1"/>
  <tableParts count="1">
    <tablePart r:id="rId2"/>
  </tableParts>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7E132-E43F-4719-925C-1018883CDF1E}">
  <sheetPr codeName="Sheet528"/>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C23" sqref="C2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44602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44602</v>
      </c>
    </row>
    <row r="7" spans="2:10" x14ac:dyDescent="0.3">
      <c r="B7" s="6" t="s">
        <v>37</v>
      </c>
      <c r="C7" s="22"/>
      <c r="D7" s="53">
        <v>108000</v>
      </c>
      <c r="E7" s="22"/>
      <c r="F7" s="22"/>
      <c r="G7" s="22"/>
      <c r="H7" s="67">
        <f t="shared" si="0"/>
        <v>44602</v>
      </c>
    </row>
    <row r="8" spans="2:10" x14ac:dyDescent="0.3">
      <c r="B8" s="6" t="s">
        <v>17</v>
      </c>
      <c r="C8" s="22">
        <v>54000</v>
      </c>
      <c r="D8" s="22">
        <v>270000</v>
      </c>
      <c r="E8" s="22"/>
      <c r="F8" s="22"/>
      <c r="G8" s="22"/>
      <c r="H8" s="12">
        <f t="shared" si="0"/>
        <v>44602</v>
      </c>
    </row>
    <row r="9" spans="2:10" ht="15.6" x14ac:dyDescent="0.3">
      <c r="B9" s="34" t="s">
        <v>0</v>
      </c>
      <c r="C9" s="57"/>
      <c r="D9" s="60">
        <v>270000</v>
      </c>
      <c r="E9" s="61"/>
      <c r="F9" s="117"/>
      <c r="G9" s="61"/>
      <c r="H9" s="12">
        <f t="shared" si="0"/>
        <v>44602</v>
      </c>
    </row>
    <row r="10" spans="2:10" ht="16.2" customHeight="1" x14ac:dyDescent="0.3">
      <c r="B10" s="6" t="s">
        <v>25</v>
      </c>
      <c r="C10" s="22"/>
      <c r="D10" s="22">
        <v>54000</v>
      </c>
      <c r="E10" s="22"/>
      <c r="F10" s="22"/>
      <c r="G10" s="22"/>
      <c r="H10" s="12">
        <f t="shared" si="0"/>
        <v>44602</v>
      </c>
    </row>
    <row r="11" spans="2:10" ht="13.5" customHeight="1" x14ac:dyDescent="0.3">
      <c r="B11" s="6" t="s">
        <v>15</v>
      </c>
      <c r="C11" s="22"/>
      <c r="D11" s="22">
        <v>49500</v>
      </c>
      <c r="E11" s="22"/>
      <c r="F11" s="22"/>
      <c r="G11" s="22"/>
      <c r="H11" s="12">
        <f t="shared" si="0"/>
        <v>44602</v>
      </c>
    </row>
    <row r="12" spans="2:10" x14ac:dyDescent="0.3">
      <c r="B12" s="6" t="s">
        <v>54</v>
      </c>
      <c r="C12" s="22"/>
      <c r="D12" s="22">
        <v>54000</v>
      </c>
      <c r="E12" s="22"/>
      <c r="F12" s="22"/>
      <c r="G12" s="22"/>
      <c r="H12" s="67">
        <f t="shared" si="0"/>
        <v>44602</v>
      </c>
    </row>
    <row r="13" spans="2:10" x14ac:dyDescent="0.3">
      <c r="B13" s="6" t="s">
        <v>26</v>
      </c>
      <c r="C13" s="22"/>
      <c r="D13" s="22">
        <v>153000</v>
      </c>
      <c r="E13" s="22"/>
      <c r="F13" s="22"/>
      <c r="G13" s="22"/>
      <c r="H13" s="12">
        <f t="shared" si="0"/>
        <v>44602</v>
      </c>
    </row>
    <row r="14" spans="2:10" x14ac:dyDescent="0.3">
      <c r="B14" s="6" t="s">
        <v>22</v>
      </c>
      <c r="C14" s="22"/>
      <c r="D14" s="23"/>
      <c r="E14" s="23"/>
      <c r="F14" s="23"/>
      <c r="G14" s="23"/>
      <c r="H14" s="12">
        <f t="shared" si="0"/>
        <v>44602</v>
      </c>
      <c r="J14" s="4"/>
    </row>
    <row r="15" spans="2:10" x14ac:dyDescent="0.3">
      <c r="B15" s="6" t="s">
        <v>61</v>
      </c>
      <c r="C15" s="22"/>
      <c r="D15" s="23"/>
      <c r="E15" s="23"/>
      <c r="F15" s="23"/>
      <c r="G15" s="23"/>
      <c r="H15" s="67">
        <f t="shared" si="0"/>
        <v>44602</v>
      </c>
      <c r="J15" s="4"/>
    </row>
    <row r="16" spans="2:10" x14ac:dyDescent="0.3">
      <c r="B16" s="6" t="s">
        <v>19</v>
      </c>
      <c r="C16" s="22"/>
      <c r="D16" s="62"/>
      <c r="E16" s="22"/>
      <c r="F16" s="22"/>
      <c r="G16" s="22"/>
      <c r="H16" s="12">
        <f t="shared" si="0"/>
        <v>44602</v>
      </c>
    </row>
    <row r="17" spans="1:8" x14ac:dyDescent="0.3">
      <c r="B17" s="6" t="s">
        <v>14</v>
      </c>
      <c r="C17" s="22"/>
      <c r="D17" s="22"/>
      <c r="E17" s="22"/>
      <c r="F17" s="22"/>
      <c r="G17" s="22"/>
      <c r="H17" s="12">
        <f t="shared" si="0"/>
        <v>44602</v>
      </c>
    </row>
    <row r="18" spans="1:8" x14ac:dyDescent="0.3">
      <c r="B18" s="6" t="s">
        <v>24</v>
      </c>
      <c r="C18" s="22"/>
      <c r="D18" s="22"/>
      <c r="E18" s="22"/>
      <c r="F18" s="22"/>
      <c r="G18" s="22"/>
      <c r="H18" s="12">
        <f t="shared" si="0"/>
        <v>44602</v>
      </c>
    </row>
    <row r="19" spans="1:8" x14ac:dyDescent="0.3">
      <c r="B19" s="6" t="s">
        <v>21</v>
      </c>
      <c r="C19" s="22"/>
      <c r="D19" s="22"/>
      <c r="E19" s="22"/>
      <c r="F19" s="22"/>
      <c r="G19" s="22"/>
      <c r="H19" s="67">
        <f t="shared" si="0"/>
        <v>44602</v>
      </c>
    </row>
    <row r="20" spans="1:8" x14ac:dyDescent="0.3">
      <c r="B20" s="6" t="s">
        <v>65</v>
      </c>
      <c r="C20" s="22"/>
      <c r="D20" s="22"/>
      <c r="E20" s="22"/>
      <c r="F20" s="22"/>
      <c r="G20" s="22"/>
      <c r="H20" s="12">
        <f t="shared" si="0"/>
        <v>44602</v>
      </c>
    </row>
    <row r="21" spans="1:8" x14ac:dyDescent="0.3">
      <c r="B21" s="6" t="s">
        <v>18</v>
      </c>
      <c r="C21" s="22"/>
      <c r="D21" s="22"/>
      <c r="E21" s="22"/>
      <c r="F21" s="22"/>
      <c r="G21" s="22"/>
      <c r="H21" s="12">
        <f t="shared" si="0"/>
        <v>44602</v>
      </c>
    </row>
    <row r="22" spans="1:8" x14ac:dyDescent="0.3">
      <c r="B22" s="6" t="s">
        <v>16</v>
      </c>
      <c r="C22" s="55"/>
      <c r="D22" s="22"/>
      <c r="E22" s="22"/>
      <c r="F22" s="22"/>
      <c r="G22" s="22"/>
      <c r="H22" s="12">
        <f t="shared" si="0"/>
        <v>44602</v>
      </c>
    </row>
    <row r="23" spans="1:8" x14ac:dyDescent="0.3">
      <c r="B23" s="50" t="s">
        <v>27</v>
      </c>
      <c r="C23" s="51">
        <f>SUM(February10_2022[KSI_AGO])</f>
        <v>54000</v>
      </c>
      <c r="D23" s="51">
        <f>SUBTOTAL(109,February10_2022[KSI_PMS])</f>
        <v>958500</v>
      </c>
      <c r="E23" s="51">
        <f>SUM(February10_2022[BUIPE_AGO])</f>
        <v>0</v>
      </c>
      <c r="F23" s="51">
        <f>SUM(February10_2022[BUIPE_PMS])</f>
        <v>0</v>
      </c>
      <c r="G23" s="51">
        <f>SUM(February10_2022[AKOSOMBO_AGO])</f>
        <v>0</v>
      </c>
      <c r="H23" s="52"/>
    </row>
    <row r="24" spans="1:8" x14ac:dyDescent="0.3">
      <c r="B24" s="8"/>
      <c r="C24" s="24"/>
      <c r="D24" s="24"/>
      <c r="E24" s="24"/>
      <c r="F24" s="24"/>
      <c r="G24" s="24"/>
      <c r="H24"/>
    </row>
    <row r="25" spans="1:8" x14ac:dyDescent="0.3">
      <c r="B25" s="1" t="s">
        <v>6</v>
      </c>
      <c r="C25" s="1" t="s">
        <v>4</v>
      </c>
      <c r="D25" s="5">
        <f>SUMIF(February10_2022[[#Headers],[KSI_AGO]:[AKOSOMBO_AGO]],"*"&amp;C25,February10_2022[[#Totals],[KSI_AGO]:[AKOSOMBO_AGO]])</f>
        <v>54000</v>
      </c>
      <c r="E25" s="1" t="s">
        <v>5</v>
      </c>
      <c r="F25" s="5">
        <f>SUMIF(February10_2022[[#Headers],[KSI_AGO]:[AKOSOMBO_AGO]],"*"&amp;E25,February10_2022[[#Totals],[KSI_AGO]:[AKOSOMBO_AGO]])</f>
        <v>958500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C37518FB-8F05-4296-A9D5-3A731B6DF637}">
      <formula1>INDIRECT("BDC_List[BDC List]")</formula1>
    </dataValidation>
  </dataValidations>
  <pageMargins left="0.7" right="0.7" top="0.75" bottom="0.75" header="0.3" footer="0.3"/>
  <pageSetup orientation="portrait" r:id="rId1"/>
  <tableParts count="1">
    <tablePart r:id="rId2"/>
  </tableParts>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F630-531C-444F-ACA9-26D369A91AFE}">
  <sheetPr codeName="Sheet529"/>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K5" sqref="K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44603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44603</v>
      </c>
    </row>
    <row r="7" spans="2:10" x14ac:dyDescent="0.3">
      <c r="B7" s="6" t="s">
        <v>37</v>
      </c>
      <c r="C7" s="22"/>
      <c r="D7" s="53">
        <v>162000</v>
      </c>
      <c r="E7" s="22"/>
      <c r="F7" s="22"/>
      <c r="G7" s="22"/>
      <c r="H7" s="67">
        <f t="shared" si="0"/>
        <v>44603</v>
      </c>
    </row>
    <row r="8" spans="2:10" x14ac:dyDescent="0.3">
      <c r="B8" s="6" t="s">
        <v>17</v>
      </c>
      <c r="C8" s="22"/>
      <c r="D8" s="22">
        <v>54000</v>
      </c>
      <c r="E8" s="22"/>
      <c r="F8" s="22"/>
      <c r="G8" s="22"/>
      <c r="H8" s="12">
        <f t="shared" si="0"/>
        <v>44603</v>
      </c>
    </row>
    <row r="9" spans="2:10" ht="15.6" x14ac:dyDescent="0.3">
      <c r="B9" s="34" t="s">
        <v>0</v>
      </c>
      <c r="C9" s="57"/>
      <c r="D9" s="60">
        <v>54000</v>
      </c>
      <c r="E9" s="61"/>
      <c r="F9" s="117"/>
      <c r="G9" s="61"/>
      <c r="H9" s="12">
        <f t="shared" si="0"/>
        <v>44603</v>
      </c>
    </row>
    <row r="10" spans="2:10" ht="16.2" customHeight="1" x14ac:dyDescent="0.3">
      <c r="B10" s="6" t="s">
        <v>25</v>
      </c>
      <c r="C10" s="22"/>
      <c r="D10" s="22">
        <v>324000</v>
      </c>
      <c r="E10" s="22"/>
      <c r="F10" s="22"/>
      <c r="G10" s="22"/>
      <c r="H10" s="12">
        <f t="shared" si="0"/>
        <v>44603</v>
      </c>
    </row>
    <row r="11" spans="2:10" ht="13.5" customHeight="1" x14ac:dyDescent="0.3">
      <c r="B11" s="6" t="s">
        <v>15</v>
      </c>
      <c r="C11" s="22"/>
      <c r="D11" s="22">
        <v>378000</v>
      </c>
      <c r="E11" s="22"/>
      <c r="F11" s="22"/>
      <c r="G11" s="22"/>
      <c r="H11" s="12">
        <f t="shared" si="0"/>
        <v>44603</v>
      </c>
    </row>
    <row r="12" spans="2:10" x14ac:dyDescent="0.3">
      <c r="B12" s="6" t="s">
        <v>54</v>
      </c>
      <c r="C12" s="22">
        <v>535500</v>
      </c>
      <c r="D12" s="22">
        <v>49500</v>
      </c>
      <c r="E12" s="22"/>
      <c r="F12" s="22"/>
      <c r="G12" s="22"/>
      <c r="H12" s="67">
        <f t="shared" si="0"/>
        <v>44603</v>
      </c>
    </row>
    <row r="13" spans="2:10" x14ac:dyDescent="0.3">
      <c r="B13" s="6" t="s">
        <v>26</v>
      </c>
      <c r="C13" s="22"/>
      <c r="D13" s="22">
        <v>108000</v>
      </c>
      <c r="E13" s="22"/>
      <c r="F13" s="22"/>
      <c r="G13" s="22"/>
      <c r="H13" s="12">
        <f t="shared" si="0"/>
        <v>44603</v>
      </c>
    </row>
    <row r="14" spans="2:10" x14ac:dyDescent="0.3">
      <c r="B14" s="6" t="s">
        <v>22</v>
      </c>
      <c r="C14" s="22"/>
      <c r="D14" s="23"/>
      <c r="E14" s="23"/>
      <c r="F14" s="23"/>
      <c r="G14" s="23"/>
      <c r="H14" s="12">
        <f t="shared" si="0"/>
        <v>44603</v>
      </c>
      <c r="J14" s="4"/>
    </row>
    <row r="15" spans="2:10" x14ac:dyDescent="0.3">
      <c r="B15" s="6" t="s">
        <v>61</v>
      </c>
      <c r="C15" s="22"/>
      <c r="D15" s="23"/>
      <c r="E15" s="23"/>
      <c r="F15" s="23"/>
      <c r="G15" s="23"/>
      <c r="H15" s="67">
        <f t="shared" si="0"/>
        <v>44603</v>
      </c>
      <c r="J15" s="4"/>
    </row>
    <row r="16" spans="2:10" x14ac:dyDescent="0.3">
      <c r="B16" s="6" t="s">
        <v>19</v>
      </c>
      <c r="C16" s="22"/>
      <c r="D16" s="62"/>
      <c r="E16" s="22"/>
      <c r="F16" s="22"/>
      <c r="G16" s="22"/>
      <c r="H16" s="12">
        <f t="shared" si="0"/>
        <v>44603</v>
      </c>
    </row>
    <row r="17" spans="1:8" x14ac:dyDescent="0.3">
      <c r="B17" s="6" t="s">
        <v>14</v>
      </c>
      <c r="C17" s="22"/>
      <c r="D17" s="22">
        <v>648000</v>
      </c>
      <c r="E17" s="22"/>
      <c r="F17" s="22"/>
      <c r="G17" s="22"/>
      <c r="H17" s="12">
        <f t="shared" si="0"/>
        <v>44603</v>
      </c>
    </row>
    <row r="18" spans="1:8" x14ac:dyDescent="0.3">
      <c r="B18" s="6" t="s">
        <v>24</v>
      </c>
      <c r="C18" s="22"/>
      <c r="D18" s="22"/>
      <c r="E18" s="22"/>
      <c r="F18" s="22"/>
      <c r="G18" s="22"/>
      <c r="H18" s="12">
        <f t="shared" si="0"/>
        <v>44603</v>
      </c>
    </row>
    <row r="19" spans="1:8" x14ac:dyDescent="0.3">
      <c r="B19" s="6" t="s">
        <v>21</v>
      </c>
      <c r="C19" s="22"/>
      <c r="D19" s="22"/>
      <c r="E19" s="22"/>
      <c r="F19" s="22"/>
      <c r="G19" s="22"/>
      <c r="H19" s="67">
        <f t="shared" si="0"/>
        <v>44603</v>
      </c>
    </row>
    <row r="20" spans="1:8" x14ac:dyDescent="0.3">
      <c r="B20" s="6" t="s">
        <v>65</v>
      </c>
      <c r="C20" s="22"/>
      <c r="D20" s="22"/>
      <c r="E20" s="22"/>
      <c r="F20" s="22"/>
      <c r="G20" s="22"/>
      <c r="H20" s="12">
        <f t="shared" si="0"/>
        <v>44603</v>
      </c>
    </row>
    <row r="21" spans="1:8" x14ac:dyDescent="0.3">
      <c r="B21" s="6" t="s">
        <v>18</v>
      </c>
      <c r="C21" s="22">
        <v>54000</v>
      </c>
      <c r="D21" s="22"/>
      <c r="E21" s="22"/>
      <c r="F21" s="22"/>
      <c r="G21" s="22"/>
      <c r="H21" s="12">
        <f t="shared" si="0"/>
        <v>44603</v>
      </c>
    </row>
    <row r="22" spans="1:8" x14ac:dyDescent="0.3">
      <c r="B22" s="6" t="s">
        <v>16</v>
      </c>
      <c r="C22" s="55"/>
      <c r="D22" s="22">
        <v>270000</v>
      </c>
      <c r="E22" s="22"/>
      <c r="F22" s="22">
        <v>108000</v>
      </c>
      <c r="G22" s="22"/>
      <c r="H22" s="12">
        <f t="shared" si="0"/>
        <v>44603</v>
      </c>
    </row>
    <row r="23" spans="1:8" x14ac:dyDescent="0.3">
      <c r="B23" s="50" t="s">
        <v>27</v>
      </c>
      <c r="C23" s="51">
        <f>SUM(February11_2022[KSI_AGO])</f>
        <v>589500</v>
      </c>
      <c r="D23" s="51">
        <f>SUBTOTAL(109,February11_2022[KSI_PMS])</f>
        <v>2047500</v>
      </c>
      <c r="E23" s="51">
        <f>SUM(February11_2022[BUIPE_AGO])</f>
        <v>0</v>
      </c>
      <c r="F23" s="51">
        <f>SUM(February11_2022[BUIPE_PMS])</f>
        <v>108000</v>
      </c>
      <c r="G23" s="51">
        <f>SUM(February11_2022[AKOSOMBO_AGO])</f>
        <v>0</v>
      </c>
      <c r="H23" s="52"/>
    </row>
    <row r="24" spans="1:8" x14ac:dyDescent="0.3">
      <c r="B24" s="8"/>
      <c r="C24" s="24"/>
      <c r="D24" s="24"/>
      <c r="E24" s="24"/>
      <c r="F24" s="24"/>
      <c r="G24" s="24"/>
      <c r="H24"/>
    </row>
    <row r="25" spans="1:8" x14ac:dyDescent="0.3">
      <c r="B25" s="1" t="s">
        <v>6</v>
      </c>
      <c r="C25" s="1" t="s">
        <v>4</v>
      </c>
      <c r="D25" s="5">
        <f>SUMIF(February11_2022[[#Headers],[KSI_AGO]:[AKOSOMBO_AGO]],"*"&amp;C25,February11_2022[[#Totals],[KSI_AGO]:[AKOSOMBO_AGO]])</f>
        <v>589500</v>
      </c>
      <c r="E25" s="1" t="s">
        <v>5</v>
      </c>
      <c r="F25" s="5">
        <f>SUMIF(February11_2022[[#Headers],[KSI_AGO]:[AKOSOMBO_AGO]],"*"&amp;E25,February11_2022[[#Totals],[KSI_AGO]:[AKOSOMBO_AGO]])</f>
        <v>2155500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E3AE3B0A-8714-4666-928E-B8B17272926D}">
      <formula1>INDIRECT("BDC_List[BDC List]")</formula1>
    </dataValidation>
  </dataValidations>
  <pageMargins left="0.7" right="0.7" top="0.75" bottom="0.75" header="0.3" footer="0.3"/>
  <pageSetup orientation="portrait" r:id="rId1"/>
  <tableParts count="1">
    <tablePart r:id="rId2"/>
  </tableParts>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B20B-8BD5-43C9-8D9B-BFE1222551B9}">
  <sheetPr codeName="Sheet530"/>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F18" sqref="F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44606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44606</v>
      </c>
    </row>
    <row r="7" spans="2:10" x14ac:dyDescent="0.3">
      <c r="B7" s="6" t="s">
        <v>37</v>
      </c>
      <c r="C7" s="22"/>
      <c r="D7" s="53">
        <v>108000</v>
      </c>
      <c r="E7" s="22"/>
      <c r="F7" s="22"/>
      <c r="G7" s="22"/>
      <c r="H7" s="67">
        <f t="shared" si="0"/>
        <v>44606</v>
      </c>
    </row>
    <row r="8" spans="2:10" x14ac:dyDescent="0.3">
      <c r="B8" s="6" t="s">
        <v>17</v>
      </c>
      <c r="C8" s="22"/>
      <c r="D8" s="22">
        <v>162000</v>
      </c>
      <c r="E8" s="22"/>
      <c r="F8" s="22"/>
      <c r="G8" s="22"/>
      <c r="H8" s="12">
        <f t="shared" si="0"/>
        <v>44606</v>
      </c>
    </row>
    <row r="9" spans="2:10" ht="15.6" x14ac:dyDescent="0.3">
      <c r="B9" s="34" t="s">
        <v>0</v>
      </c>
      <c r="C9" s="57"/>
      <c r="D9" s="60">
        <v>45000</v>
      </c>
      <c r="E9" s="61"/>
      <c r="F9" s="117"/>
      <c r="G9" s="61"/>
      <c r="H9" s="12">
        <f t="shared" si="0"/>
        <v>44606</v>
      </c>
    </row>
    <row r="10" spans="2:10" ht="16.2" customHeight="1" x14ac:dyDescent="0.3">
      <c r="B10" s="6" t="s">
        <v>25</v>
      </c>
      <c r="C10" s="22"/>
      <c r="D10" s="22">
        <v>157500</v>
      </c>
      <c r="E10" s="22"/>
      <c r="F10" s="22"/>
      <c r="G10" s="22"/>
      <c r="H10" s="12">
        <f t="shared" si="0"/>
        <v>44606</v>
      </c>
    </row>
    <row r="11" spans="2:10" ht="13.5" customHeight="1" x14ac:dyDescent="0.3">
      <c r="B11" s="6" t="s">
        <v>15</v>
      </c>
      <c r="C11" s="22"/>
      <c r="D11" s="22">
        <v>216000</v>
      </c>
      <c r="E11" s="22"/>
      <c r="F11" s="22"/>
      <c r="G11" s="22"/>
      <c r="H11" s="12">
        <f t="shared" si="0"/>
        <v>44606</v>
      </c>
    </row>
    <row r="12" spans="2:10" x14ac:dyDescent="0.3">
      <c r="B12" s="6" t="s">
        <v>54</v>
      </c>
      <c r="C12" s="22">
        <v>693000</v>
      </c>
      <c r="D12" s="22"/>
      <c r="E12" s="22"/>
      <c r="F12" s="22"/>
      <c r="G12" s="22"/>
      <c r="H12" s="67">
        <f t="shared" si="0"/>
        <v>44606</v>
      </c>
    </row>
    <row r="13" spans="2:10" x14ac:dyDescent="0.3">
      <c r="B13" s="6" t="s">
        <v>26</v>
      </c>
      <c r="C13" s="22">
        <v>324000</v>
      </c>
      <c r="D13" s="22">
        <v>162000</v>
      </c>
      <c r="E13" s="22"/>
      <c r="F13" s="22"/>
      <c r="G13" s="22">
        <v>365000</v>
      </c>
      <c r="H13" s="12">
        <f t="shared" si="0"/>
        <v>44606</v>
      </c>
    </row>
    <row r="14" spans="2:10" x14ac:dyDescent="0.3">
      <c r="B14" s="6" t="s">
        <v>22</v>
      </c>
      <c r="C14" s="22"/>
      <c r="D14" s="23"/>
      <c r="E14" s="23"/>
      <c r="F14" s="23"/>
      <c r="G14" s="23"/>
      <c r="H14" s="12">
        <f t="shared" si="0"/>
        <v>44606</v>
      </c>
      <c r="J14" s="4"/>
    </row>
    <row r="15" spans="2:10" x14ac:dyDescent="0.3">
      <c r="B15" s="6" t="s">
        <v>61</v>
      </c>
      <c r="C15" s="22"/>
      <c r="D15" s="23"/>
      <c r="E15" s="23"/>
      <c r="F15" s="23"/>
      <c r="G15" s="23"/>
      <c r="H15" s="67">
        <f t="shared" si="0"/>
        <v>44606</v>
      </c>
      <c r="J15" s="4"/>
    </row>
    <row r="16" spans="2:10" x14ac:dyDescent="0.3">
      <c r="B16" s="6" t="s">
        <v>19</v>
      </c>
      <c r="C16" s="22"/>
      <c r="D16" s="62"/>
      <c r="E16" s="22"/>
      <c r="F16" s="22"/>
      <c r="G16" s="22"/>
      <c r="H16" s="12">
        <f t="shared" si="0"/>
        <v>44606</v>
      </c>
    </row>
    <row r="17" spans="1:8" x14ac:dyDescent="0.3">
      <c r="B17" s="6" t="s">
        <v>14</v>
      </c>
      <c r="C17" s="22">
        <v>958500</v>
      </c>
      <c r="D17" s="22">
        <v>315000</v>
      </c>
      <c r="E17" s="22"/>
      <c r="F17" s="22">
        <v>319500</v>
      </c>
      <c r="G17" s="22"/>
      <c r="H17" s="12">
        <f t="shared" si="0"/>
        <v>44606</v>
      </c>
    </row>
    <row r="18" spans="1:8" x14ac:dyDescent="0.3">
      <c r="B18" s="6" t="s">
        <v>24</v>
      </c>
      <c r="C18" s="22"/>
      <c r="D18" s="22"/>
      <c r="E18" s="22"/>
      <c r="F18" s="22"/>
      <c r="G18" s="22"/>
      <c r="H18" s="12">
        <f t="shared" si="0"/>
        <v>44606</v>
      </c>
    </row>
    <row r="19" spans="1:8" x14ac:dyDescent="0.3">
      <c r="B19" s="6" t="s">
        <v>21</v>
      </c>
      <c r="C19" s="22"/>
      <c r="D19" s="22"/>
      <c r="E19" s="22"/>
      <c r="F19" s="22"/>
      <c r="G19" s="22"/>
      <c r="H19" s="67">
        <f t="shared" si="0"/>
        <v>44606</v>
      </c>
    </row>
    <row r="20" spans="1:8" x14ac:dyDescent="0.3">
      <c r="B20" s="6" t="s">
        <v>65</v>
      </c>
      <c r="C20" s="22"/>
      <c r="D20" s="22"/>
      <c r="E20" s="22"/>
      <c r="F20" s="22"/>
      <c r="G20" s="22"/>
      <c r="H20" s="12">
        <f t="shared" si="0"/>
        <v>44606</v>
      </c>
    </row>
    <row r="21" spans="1:8" x14ac:dyDescent="0.3">
      <c r="B21" s="6" t="s">
        <v>18</v>
      </c>
      <c r="C21" s="22"/>
      <c r="D21" s="22"/>
      <c r="E21" s="22"/>
      <c r="F21" s="22"/>
      <c r="G21" s="22"/>
      <c r="H21" s="12">
        <f t="shared" si="0"/>
        <v>44606</v>
      </c>
    </row>
    <row r="22" spans="1:8" x14ac:dyDescent="0.3">
      <c r="B22" s="6" t="s">
        <v>16</v>
      </c>
      <c r="C22" s="55"/>
      <c r="D22" s="22">
        <v>216000</v>
      </c>
      <c r="E22" s="22"/>
      <c r="F22" s="22">
        <v>216000</v>
      </c>
      <c r="G22" s="22"/>
      <c r="H22" s="12">
        <f t="shared" si="0"/>
        <v>44606</v>
      </c>
    </row>
    <row r="23" spans="1:8" x14ac:dyDescent="0.3">
      <c r="B23" s="50" t="s">
        <v>27</v>
      </c>
      <c r="C23" s="51">
        <f>SUM(February14_2022[KSI_AGO])</f>
        <v>1975500</v>
      </c>
      <c r="D23" s="51">
        <f>SUBTOTAL(109,February14_2022[KSI_PMS])</f>
        <v>1381500</v>
      </c>
      <c r="E23" s="51">
        <f>SUM(February14_2022[BUIPE_AGO])</f>
        <v>0</v>
      </c>
      <c r="F23" s="51">
        <f>SUM(February14_2022[BUIPE_PMS])</f>
        <v>535500</v>
      </c>
      <c r="G23" s="51">
        <f>SUM(February14_2022[AKOSOMBO_AGO])</f>
        <v>365000</v>
      </c>
      <c r="H23" s="52"/>
    </row>
    <row r="24" spans="1:8" x14ac:dyDescent="0.3">
      <c r="B24" s="8"/>
      <c r="C24" s="24"/>
      <c r="D24" s="24"/>
      <c r="E24" s="24"/>
      <c r="F24" s="24"/>
      <c r="G24" s="24"/>
      <c r="H24"/>
    </row>
    <row r="25" spans="1:8" x14ac:dyDescent="0.3">
      <c r="B25" s="1" t="s">
        <v>6</v>
      </c>
      <c r="C25" s="1" t="s">
        <v>4</v>
      </c>
      <c r="D25" s="5">
        <f>SUMIF(February14_2022[[#Headers],[KSI_AGO]:[AKOSOMBO_AGO]],"*"&amp;C25,February14_2022[[#Totals],[KSI_AGO]:[AKOSOMBO_AGO]])</f>
        <v>2340500</v>
      </c>
      <c r="E25" s="1" t="s">
        <v>5</v>
      </c>
      <c r="F25" s="5">
        <f>SUMIF(February14_2022[[#Headers],[KSI_AGO]:[AKOSOMBO_AGO]],"*"&amp;E25,February14_2022[[#Totals],[KSI_AGO]:[AKOSOMBO_AGO]])</f>
        <v>1917000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AEF7FFB0-3B31-4A4E-B9D9-47EE33B9AEE6}">
      <formula1>INDIRECT("BDC_List[BDC List]")</formula1>
    </dataValidation>
  </dataValidations>
  <pageMargins left="0.7" right="0.7" top="0.75" bottom="0.75" header="0.3" footer="0.3"/>
  <pageSetup orientation="portrait" r:id="rId1"/>
  <tableParts count="1">
    <tablePart r:id="rId2"/>
  </tableParts>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FD9D4-7ED6-4FF5-84B6-E200F0FEAF14}">
  <sheetPr codeName="Sheet531"/>
  <dimension ref="A1:J35"/>
  <sheetViews>
    <sheetView zoomScale="95" zoomScaleNormal="85" workbookViewId="0">
      <pane xSplit="2" ySplit="5" topLeftCell="C6" activePane="bottomRight" state="frozen"/>
      <selection activeCell="F32" sqref="F32"/>
      <selection pane="topRight" activeCell="F32" sqref="F32"/>
      <selection pane="bottomLeft" activeCell="F32" sqref="F32"/>
      <selection pane="bottomRight" activeCell="G9" sqref="G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44607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44607</v>
      </c>
    </row>
    <row r="7" spans="2:10" x14ac:dyDescent="0.3">
      <c r="B7" s="6" t="s">
        <v>37</v>
      </c>
      <c r="C7" s="22"/>
      <c r="D7" s="53">
        <v>50000</v>
      </c>
      <c r="E7" s="22"/>
      <c r="F7" s="22"/>
      <c r="G7" s="22"/>
      <c r="H7" s="67">
        <f t="shared" si="0"/>
        <v>44607</v>
      </c>
    </row>
    <row r="8" spans="2:10" x14ac:dyDescent="0.3">
      <c r="B8" s="6" t="s">
        <v>17</v>
      </c>
      <c r="C8" s="22"/>
      <c r="D8" s="22">
        <v>161500</v>
      </c>
      <c r="E8" s="22"/>
      <c r="F8" s="22"/>
      <c r="G8" s="22"/>
      <c r="H8" s="12">
        <f t="shared" si="0"/>
        <v>44607</v>
      </c>
    </row>
    <row r="9" spans="2:10" ht="15.6" x14ac:dyDescent="0.3">
      <c r="B9" s="34" t="s">
        <v>0</v>
      </c>
      <c r="C9" s="57"/>
      <c r="D9" s="60"/>
      <c r="E9" s="61"/>
      <c r="F9" s="117"/>
      <c r="G9" s="61"/>
      <c r="H9" s="12">
        <f t="shared" si="0"/>
        <v>44607</v>
      </c>
    </row>
    <row r="10" spans="2:10" ht="16.2" customHeight="1" x14ac:dyDescent="0.3">
      <c r="B10" s="6" t="s">
        <v>25</v>
      </c>
      <c r="C10" s="22"/>
      <c r="D10" s="22">
        <v>270000</v>
      </c>
      <c r="E10" s="22"/>
      <c r="F10" s="22"/>
      <c r="G10" s="22"/>
      <c r="H10" s="12">
        <f t="shared" si="0"/>
        <v>44607</v>
      </c>
    </row>
    <row r="11" spans="2:10" ht="13.5" customHeight="1" x14ac:dyDescent="0.3">
      <c r="B11" s="6" t="s">
        <v>15</v>
      </c>
      <c r="C11" s="22"/>
      <c r="D11" s="22">
        <v>216000</v>
      </c>
      <c r="E11" s="22"/>
      <c r="F11" s="22"/>
      <c r="G11" s="22"/>
      <c r="H11" s="12">
        <f t="shared" si="0"/>
        <v>44607</v>
      </c>
    </row>
    <row r="12" spans="2:10" x14ac:dyDescent="0.3">
      <c r="B12" s="6" t="s">
        <v>54</v>
      </c>
      <c r="C12" s="22">
        <v>589500</v>
      </c>
      <c r="D12" s="22"/>
      <c r="E12" s="22"/>
      <c r="F12" s="22"/>
      <c r="G12" s="22"/>
      <c r="H12" s="67">
        <f t="shared" si="0"/>
        <v>44607</v>
      </c>
    </row>
    <row r="13" spans="2:10" x14ac:dyDescent="0.3">
      <c r="B13" s="6" t="s">
        <v>26</v>
      </c>
      <c r="C13" s="22">
        <v>486000</v>
      </c>
      <c r="D13" s="22">
        <v>108000</v>
      </c>
      <c r="E13" s="22"/>
      <c r="F13" s="22"/>
      <c r="G13" s="22">
        <v>135000</v>
      </c>
      <c r="H13" s="12">
        <f t="shared" si="0"/>
        <v>44607</v>
      </c>
    </row>
    <row r="14" spans="2:10" x14ac:dyDescent="0.3">
      <c r="B14" s="6" t="s">
        <v>22</v>
      </c>
      <c r="C14" s="22"/>
      <c r="D14" s="23"/>
      <c r="E14" s="23"/>
      <c r="F14" s="23"/>
      <c r="G14" s="23"/>
      <c r="H14" s="12">
        <f t="shared" si="0"/>
        <v>44607</v>
      </c>
      <c r="J14" s="4"/>
    </row>
    <row r="15" spans="2:10" x14ac:dyDescent="0.3">
      <c r="B15" s="6" t="s">
        <v>61</v>
      </c>
      <c r="C15" s="22"/>
      <c r="D15" s="23"/>
      <c r="E15" s="23"/>
      <c r="F15" s="23"/>
      <c r="G15" s="23"/>
      <c r="H15" s="67">
        <f t="shared" si="0"/>
        <v>44607</v>
      </c>
      <c r="J15" s="4"/>
    </row>
    <row r="16" spans="2:10" x14ac:dyDescent="0.3">
      <c r="B16" s="6" t="s">
        <v>19</v>
      </c>
      <c r="C16" s="22"/>
      <c r="D16" s="62">
        <v>756000</v>
      </c>
      <c r="E16" s="22"/>
      <c r="F16" s="22"/>
      <c r="G16" s="22"/>
      <c r="H16" s="12">
        <f t="shared" si="0"/>
        <v>44607</v>
      </c>
    </row>
    <row r="17" spans="1:8" x14ac:dyDescent="0.3">
      <c r="B17" s="6" t="s">
        <v>14</v>
      </c>
      <c r="C17" s="22">
        <v>859500</v>
      </c>
      <c r="D17" s="22">
        <v>215500</v>
      </c>
      <c r="E17" s="22"/>
      <c r="F17" s="22"/>
      <c r="G17" s="22"/>
      <c r="H17" s="12">
        <f t="shared" si="0"/>
        <v>44607</v>
      </c>
    </row>
    <row r="18" spans="1:8" x14ac:dyDescent="0.3">
      <c r="B18" s="6" t="s">
        <v>24</v>
      </c>
      <c r="C18" s="22"/>
      <c r="D18" s="22"/>
      <c r="E18" s="22"/>
      <c r="F18" s="22"/>
      <c r="G18" s="22"/>
      <c r="H18" s="12">
        <f t="shared" si="0"/>
        <v>44607</v>
      </c>
    </row>
    <row r="19" spans="1:8" x14ac:dyDescent="0.3">
      <c r="B19" s="6" t="s">
        <v>21</v>
      </c>
      <c r="C19" s="22"/>
      <c r="D19" s="22"/>
      <c r="E19" s="22"/>
      <c r="F19" s="22"/>
      <c r="G19" s="22"/>
      <c r="H19" s="67">
        <f t="shared" si="0"/>
        <v>44607</v>
      </c>
    </row>
    <row r="20" spans="1:8" x14ac:dyDescent="0.3">
      <c r="B20" s="6" t="s">
        <v>65</v>
      </c>
      <c r="C20" s="22"/>
      <c r="D20" s="22"/>
      <c r="E20" s="22"/>
      <c r="F20" s="22"/>
      <c r="G20" s="22"/>
      <c r="H20" s="12">
        <f t="shared" si="0"/>
        <v>44607</v>
      </c>
    </row>
    <row r="21" spans="1:8" x14ac:dyDescent="0.3">
      <c r="B21" s="6" t="s">
        <v>18</v>
      </c>
      <c r="C21" s="22"/>
      <c r="D21" s="22"/>
      <c r="E21" s="22"/>
      <c r="F21" s="22"/>
      <c r="G21" s="22"/>
      <c r="H21" s="12">
        <f t="shared" si="0"/>
        <v>44607</v>
      </c>
    </row>
    <row r="22" spans="1:8" x14ac:dyDescent="0.3">
      <c r="B22" s="6" t="s">
        <v>16</v>
      </c>
      <c r="C22" s="55"/>
      <c r="D22" s="22">
        <v>261000</v>
      </c>
      <c r="E22" s="22"/>
      <c r="F22" s="22">
        <v>108000</v>
      </c>
      <c r="G22" s="22"/>
      <c r="H22" s="12">
        <f t="shared" si="0"/>
        <v>44607</v>
      </c>
    </row>
    <row r="23" spans="1:8" x14ac:dyDescent="0.3">
      <c r="B23" s="50" t="s">
        <v>27</v>
      </c>
      <c r="C23" s="51">
        <f>SUM(February15_2022[KSI_AGO])</f>
        <v>1935000</v>
      </c>
      <c r="D23" s="51">
        <f>SUBTOTAL(109,February15_2022[KSI_PMS])</f>
        <v>2038000</v>
      </c>
      <c r="E23" s="51">
        <f>SUM(February15_2022[BUIPE_AGO])</f>
        <v>0</v>
      </c>
      <c r="F23" s="51">
        <f>SUM(February15_2022[BUIPE_PMS])</f>
        <v>108000</v>
      </c>
      <c r="G23" s="51">
        <f>SUM(February15_2022[AKOSOMBO_AGO])</f>
        <v>135000</v>
      </c>
      <c r="H23" s="52"/>
    </row>
    <row r="24" spans="1:8" x14ac:dyDescent="0.3">
      <c r="B24" s="8"/>
      <c r="C24" s="24"/>
      <c r="D24" s="24"/>
      <c r="E24" s="24"/>
      <c r="F24" s="24"/>
      <c r="G24" s="24"/>
      <c r="H24"/>
    </row>
    <row r="25" spans="1:8" x14ac:dyDescent="0.3">
      <c r="B25" s="1" t="s">
        <v>6</v>
      </c>
      <c r="C25" s="1" t="s">
        <v>4</v>
      </c>
      <c r="D25" s="5">
        <f>SUMIF(February15_2022[[#Headers],[KSI_AGO]:[AKOSOMBO_AGO]],"*"&amp;C25,February15_2022[[#Totals],[KSI_AGO]:[AKOSOMBO_AGO]])</f>
        <v>2070000</v>
      </c>
      <c r="E25" s="1" t="s">
        <v>5</v>
      </c>
      <c r="F25" s="5">
        <f>SUMIF(February15_2022[[#Headers],[KSI_AGO]:[AKOSOMBO_AGO]],"*"&amp;E25,February15_2022[[#Totals],[KSI_AGO]:[AKOSOMBO_AGO]])</f>
        <v>2146000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5952A26C-C6EA-4C30-9B01-D1DD02CB3772}">
      <formula1>INDIRECT("BDC_List[BDC List]")</formula1>
    </dataValidation>
  </dataValidations>
  <pageMargins left="0.7" right="0.7" top="0.75" bottom="0.75" header="0.3" footer="0.3"/>
  <pageSetup orientation="portrait" r:id="rId1"/>
  <tableParts count="1">
    <tablePart r:id="rId2"/>
  </tableParts>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A5096-BC3E-4C86-ADC6-8ACE566223C5}">
  <sheetPr codeName="Sheet532"/>
  <dimension ref="A1:J35"/>
  <sheetViews>
    <sheetView zoomScale="115" zoomScaleNormal="115" workbookViewId="0">
      <pane xSplit="2" ySplit="5" topLeftCell="C6" activePane="bottomRight" state="frozen"/>
      <selection activeCell="F32" sqref="F32"/>
      <selection pane="topRight" activeCell="F32" sqref="F32"/>
      <selection pane="bottomLeft" activeCell="F32" sqref="F32"/>
      <selection pane="bottomRight" activeCell="D11" sqref="D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44608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44608</v>
      </c>
    </row>
    <row r="7" spans="2:10" x14ac:dyDescent="0.3">
      <c r="B7" s="6" t="s">
        <v>37</v>
      </c>
      <c r="C7" s="22"/>
      <c r="D7" s="53"/>
      <c r="E7" s="22"/>
      <c r="F7" s="22"/>
      <c r="G7" s="22"/>
      <c r="H7" s="67">
        <f t="shared" si="0"/>
        <v>44608</v>
      </c>
    </row>
    <row r="8" spans="2:10" x14ac:dyDescent="0.3">
      <c r="B8" s="6" t="s">
        <v>17</v>
      </c>
      <c r="C8" s="22"/>
      <c r="D8" s="22">
        <v>270000</v>
      </c>
      <c r="E8" s="22"/>
      <c r="F8" s="22"/>
      <c r="G8" s="22"/>
      <c r="H8" s="12">
        <f t="shared" si="0"/>
        <v>44608</v>
      </c>
    </row>
    <row r="9" spans="2:10" ht="15.6" x14ac:dyDescent="0.3">
      <c r="B9" s="34" t="s">
        <v>0</v>
      </c>
      <c r="C9" s="57"/>
      <c r="D9" s="60"/>
      <c r="E9" s="61"/>
      <c r="F9" s="117"/>
      <c r="G9" s="61"/>
      <c r="H9" s="12">
        <f t="shared" si="0"/>
        <v>44608</v>
      </c>
    </row>
    <row r="10" spans="2:10" ht="16.2" customHeight="1" x14ac:dyDescent="0.3">
      <c r="B10" s="6" t="s">
        <v>25</v>
      </c>
      <c r="C10" s="22">
        <v>144000</v>
      </c>
      <c r="D10" s="22">
        <v>54000</v>
      </c>
      <c r="E10" s="22"/>
      <c r="F10" s="22">
        <v>324000</v>
      </c>
      <c r="G10" s="22"/>
      <c r="H10" s="12">
        <f t="shared" si="0"/>
        <v>44608</v>
      </c>
    </row>
    <row r="11" spans="2:10" ht="13.5" customHeight="1" x14ac:dyDescent="0.3">
      <c r="B11" s="6" t="s">
        <v>15</v>
      </c>
      <c r="C11" s="22"/>
      <c r="D11" s="22">
        <v>216000</v>
      </c>
      <c r="E11" s="22"/>
      <c r="F11" s="22"/>
      <c r="G11" s="22"/>
      <c r="H11" s="12">
        <f t="shared" si="0"/>
        <v>44608</v>
      </c>
    </row>
    <row r="12" spans="2:10" x14ac:dyDescent="0.3">
      <c r="B12" s="6" t="s">
        <v>54</v>
      </c>
      <c r="C12" s="22"/>
      <c r="D12" s="22"/>
      <c r="E12" s="22"/>
      <c r="F12" s="22"/>
      <c r="G12" s="22"/>
      <c r="H12" s="67">
        <f t="shared" si="0"/>
        <v>44608</v>
      </c>
    </row>
    <row r="13" spans="2:10" x14ac:dyDescent="0.3">
      <c r="B13" s="6" t="s">
        <v>26</v>
      </c>
      <c r="C13" s="22">
        <v>54000</v>
      </c>
      <c r="D13" s="22">
        <v>162000</v>
      </c>
      <c r="E13" s="22"/>
      <c r="F13" s="22"/>
      <c r="G13" s="22"/>
      <c r="H13" s="12">
        <f t="shared" si="0"/>
        <v>44608</v>
      </c>
    </row>
    <row r="14" spans="2:10" x14ac:dyDescent="0.3">
      <c r="B14" s="6" t="s">
        <v>22</v>
      </c>
      <c r="C14" s="22"/>
      <c r="D14" s="23"/>
      <c r="E14" s="23"/>
      <c r="F14" s="23"/>
      <c r="G14" s="23"/>
      <c r="H14" s="12">
        <f t="shared" si="0"/>
        <v>44608</v>
      </c>
      <c r="J14" s="4"/>
    </row>
    <row r="15" spans="2:10" x14ac:dyDescent="0.3">
      <c r="B15" s="6" t="s">
        <v>61</v>
      </c>
      <c r="C15" s="22"/>
      <c r="D15" s="23"/>
      <c r="E15" s="23"/>
      <c r="F15" s="23"/>
      <c r="G15" s="23"/>
      <c r="H15" s="67">
        <f t="shared" si="0"/>
        <v>44608</v>
      </c>
      <c r="J15" s="4"/>
    </row>
    <row r="16" spans="2:10" x14ac:dyDescent="0.3">
      <c r="B16" s="6" t="s">
        <v>19</v>
      </c>
      <c r="C16" s="22"/>
      <c r="D16" s="62"/>
      <c r="E16" s="22"/>
      <c r="F16" s="22"/>
      <c r="G16" s="22"/>
      <c r="H16" s="12">
        <f t="shared" si="0"/>
        <v>44608</v>
      </c>
    </row>
    <row r="17" spans="1:8" x14ac:dyDescent="0.3">
      <c r="B17" s="6" t="s">
        <v>14</v>
      </c>
      <c r="C17" s="22">
        <v>50000</v>
      </c>
      <c r="D17" s="22">
        <v>216000</v>
      </c>
      <c r="E17" s="22"/>
      <c r="F17" s="22">
        <v>90000</v>
      </c>
      <c r="G17" s="22"/>
      <c r="H17" s="12">
        <f t="shared" si="0"/>
        <v>44608</v>
      </c>
    </row>
    <row r="18" spans="1:8" x14ac:dyDescent="0.3">
      <c r="B18" s="6" t="s">
        <v>24</v>
      </c>
      <c r="C18" s="22"/>
      <c r="D18" s="22"/>
      <c r="E18" s="22"/>
      <c r="F18" s="22"/>
      <c r="G18" s="22"/>
      <c r="H18" s="12">
        <f t="shared" si="0"/>
        <v>44608</v>
      </c>
    </row>
    <row r="19" spans="1:8" x14ac:dyDescent="0.3">
      <c r="B19" s="6" t="s">
        <v>21</v>
      </c>
      <c r="C19" s="22"/>
      <c r="D19" s="22"/>
      <c r="E19" s="22"/>
      <c r="F19" s="22"/>
      <c r="G19" s="22"/>
      <c r="H19" s="67">
        <f t="shared" si="0"/>
        <v>44608</v>
      </c>
    </row>
    <row r="20" spans="1:8" x14ac:dyDescent="0.3">
      <c r="B20" s="6" t="s">
        <v>65</v>
      </c>
      <c r="C20" s="22"/>
      <c r="D20" s="22"/>
      <c r="E20" s="22"/>
      <c r="F20" s="22"/>
      <c r="G20" s="22"/>
      <c r="H20" s="12">
        <f t="shared" si="0"/>
        <v>44608</v>
      </c>
    </row>
    <row r="21" spans="1:8" x14ac:dyDescent="0.3">
      <c r="B21" s="6" t="s">
        <v>18</v>
      </c>
      <c r="C21" s="22"/>
      <c r="D21" s="22">
        <v>216000</v>
      </c>
      <c r="E21" s="22"/>
      <c r="F21" s="22"/>
      <c r="G21" s="22"/>
      <c r="H21" s="12">
        <f t="shared" si="0"/>
        <v>44608</v>
      </c>
    </row>
    <row r="22" spans="1:8" x14ac:dyDescent="0.3">
      <c r="B22" s="6" t="s">
        <v>16</v>
      </c>
      <c r="C22" s="55"/>
      <c r="D22" s="22">
        <v>324000</v>
      </c>
      <c r="E22" s="22"/>
      <c r="F22" s="22"/>
      <c r="G22" s="22"/>
      <c r="H22" s="12">
        <f t="shared" si="0"/>
        <v>44608</v>
      </c>
    </row>
    <row r="23" spans="1:8" x14ac:dyDescent="0.3">
      <c r="B23" s="50" t="s">
        <v>27</v>
      </c>
      <c r="C23" s="51">
        <f>SUM(February16_2022[KSI_AGO])</f>
        <v>248000</v>
      </c>
      <c r="D23" s="51">
        <f>SUBTOTAL(109,February16_2022[KSI_PMS])</f>
        <v>1458000</v>
      </c>
      <c r="E23" s="51">
        <f>SUM(February16_2022[BUIPE_AGO])</f>
        <v>0</v>
      </c>
      <c r="F23" s="51">
        <f>SUM(February16_2022[BUIPE_PMS])</f>
        <v>414000</v>
      </c>
      <c r="G23" s="51">
        <f>SUM(February16_2022[AKOSOMBO_AGO])</f>
        <v>0</v>
      </c>
      <c r="H23" s="52"/>
    </row>
    <row r="24" spans="1:8" x14ac:dyDescent="0.3">
      <c r="B24" s="8"/>
      <c r="C24" s="24"/>
      <c r="D24" s="24"/>
      <c r="E24" s="24"/>
      <c r="F24" s="24"/>
      <c r="G24" s="24"/>
      <c r="H24"/>
    </row>
    <row r="25" spans="1:8" x14ac:dyDescent="0.3">
      <c r="B25" s="1" t="s">
        <v>6</v>
      </c>
      <c r="C25" s="1" t="s">
        <v>4</v>
      </c>
      <c r="D25" s="5">
        <f>SUMIF(February16_2022[[#Headers],[KSI_AGO]:[AKOSOMBO_AGO]],"*"&amp;C25,February16_2022[[#Totals],[KSI_AGO]:[AKOSOMBO_AGO]])</f>
        <v>248000</v>
      </c>
      <c r="E25" s="1" t="s">
        <v>5</v>
      </c>
      <c r="F25" s="5">
        <f>SUMIF(February16_2022[[#Headers],[KSI_AGO]:[AKOSOMBO_AGO]],"*"&amp;E25,February16_2022[[#Totals],[KSI_AGO]:[AKOSOMBO_AGO]])</f>
        <v>1872000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1B8BD53B-B482-46C7-804B-CC42113F2A73}">
      <formula1>INDIRECT("BDC_List[BDC List]")</formula1>
    </dataValidation>
  </dataValidations>
  <pageMargins left="0.7" right="0.7" top="0.75" bottom="0.75" header="0.3" footer="0.3"/>
  <pageSetup orientation="portrait" r:id="rId1"/>
  <tableParts count="1">
    <tablePart r:id="rId2"/>
  </tableParts>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2CAA-85AB-41A8-A509-6112DCA9DC89}">
  <sheetPr codeName="Sheet533"/>
  <dimension ref="A1:J35"/>
  <sheetViews>
    <sheetView zoomScale="115" zoomScaleNormal="115" workbookViewId="0">
      <pane xSplit="2" ySplit="5" topLeftCell="C6" activePane="bottomRight" state="frozen"/>
      <selection activeCell="F32" sqref="F32"/>
      <selection pane="topRight" activeCell="F32" sqref="F32"/>
      <selection pane="bottomLeft" activeCell="F32" sqref="F32"/>
      <selection pane="bottomRight" activeCell="G11" sqref="G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44609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44609</v>
      </c>
    </row>
    <row r="7" spans="2:10" x14ac:dyDescent="0.3">
      <c r="B7" s="6" t="s">
        <v>37</v>
      </c>
      <c r="C7" s="22"/>
      <c r="D7" s="53"/>
      <c r="E7" s="22"/>
      <c r="F7" s="22"/>
      <c r="G7" s="22"/>
      <c r="H7" s="67">
        <f t="shared" si="0"/>
        <v>44609</v>
      </c>
    </row>
    <row r="8" spans="2:10" x14ac:dyDescent="0.3">
      <c r="B8" s="6" t="s">
        <v>17</v>
      </c>
      <c r="C8" s="22"/>
      <c r="D8" s="22">
        <v>162000</v>
      </c>
      <c r="E8" s="22"/>
      <c r="F8" s="22"/>
      <c r="G8" s="22"/>
      <c r="H8" s="12">
        <f t="shared" si="0"/>
        <v>44609</v>
      </c>
    </row>
    <row r="9" spans="2:10" ht="15.6" x14ac:dyDescent="0.3">
      <c r="B9" s="34" t="s">
        <v>0</v>
      </c>
      <c r="C9" s="57"/>
      <c r="D9" s="60"/>
      <c r="E9" s="61"/>
      <c r="F9" s="117"/>
      <c r="G9" s="61"/>
      <c r="H9" s="12">
        <f t="shared" si="0"/>
        <v>44609</v>
      </c>
    </row>
    <row r="10" spans="2:10" ht="16.2" customHeight="1" x14ac:dyDescent="0.3">
      <c r="B10" s="6" t="s">
        <v>25</v>
      </c>
      <c r="C10" s="22"/>
      <c r="D10" s="22">
        <v>216000</v>
      </c>
      <c r="E10" s="22"/>
      <c r="F10" s="22">
        <v>270000</v>
      </c>
      <c r="G10" s="22"/>
      <c r="H10" s="12">
        <f t="shared" si="0"/>
        <v>44609</v>
      </c>
    </row>
    <row r="11" spans="2:10" ht="13.5" customHeight="1" x14ac:dyDescent="0.3">
      <c r="B11" s="6" t="s">
        <v>15</v>
      </c>
      <c r="C11" s="22"/>
      <c r="D11" s="22">
        <v>323500</v>
      </c>
      <c r="E11" s="22"/>
      <c r="F11" s="22"/>
      <c r="G11" s="22"/>
      <c r="H11" s="12">
        <f t="shared" si="0"/>
        <v>44609</v>
      </c>
    </row>
    <row r="12" spans="2:10" x14ac:dyDescent="0.3">
      <c r="B12" s="6" t="s">
        <v>54</v>
      </c>
      <c r="C12" s="22"/>
      <c r="D12" s="22"/>
      <c r="E12" s="22"/>
      <c r="F12" s="22"/>
      <c r="G12" s="22"/>
      <c r="H12" s="67">
        <f t="shared" si="0"/>
        <v>44609</v>
      </c>
    </row>
    <row r="13" spans="2:10" x14ac:dyDescent="0.3">
      <c r="B13" s="6" t="s">
        <v>26</v>
      </c>
      <c r="C13" s="22">
        <v>45000</v>
      </c>
      <c r="D13" s="22">
        <v>216000</v>
      </c>
      <c r="E13" s="22"/>
      <c r="F13" s="22"/>
      <c r="G13" s="22"/>
      <c r="H13" s="12">
        <f t="shared" si="0"/>
        <v>44609</v>
      </c>
    </row>
    <row r="14" spans="2:10" x14ac:dyDescent="0.3">
      <c r="B14" s="6" t="s">
        <v>22</v>
      </c>
      <c r="C14" s="22"/>
      <c r="D14" s="23"/>
      <c r="E14" s="23"/>
      <c r="F14" s="23"/>
      <c r="G14" s="23"/>
      <c r="H14" s="12">
        <f t="shared" si="0"/>
        <v>44609</v>
      </c>
      <c r="J14" s="4"/>
    </row>
    <row r="15" spans="2:10" x14ac:dyDescent="0.3">
      <c r="B15" s="6" t="s">
        <v>61</v>
      </c>
      <c r="C15" s="22"/>
      <c r="D15" s="23"/>
      <c r="E15" s="23"/>
      <c r="F15" s="23"/>
      <c r="G15" s="23"/>
      <c r="H15" s="67">
        <f t="shared" si="0"/>
        <v>44609</v>
      </c>
      <c r="J15" s="4"/>
    </row>
    <row r="16" spans="2:10" x14ac:dyDescent="0.3">
      <c r="B16" s="6" t="s">
        <v>19</v>
      </c>
      <c r="C16" s="22"/>
      <c r="D16" s="62"/>
      <c r="E16" s="22"/>
      <c r="F16" s="22"/>
      <c r="G16" s="22"/>
      <c r="H16" s="12">
        <f t="shared" si="0"/>
        <v>44609</v>
      </c>
    </row>
    <row r="17" spans="1:8" x14ac:dyDescent="0.3">
      <c r="B17" s="6" t="s">
        <v>14</v>
      </c>
      <c r="C17" s="22">
        <v>108000</v>
      </c>
      <c r="D17" s="22">
        <v>315000</v>
      </c>
      <c r="E17" s="22"/>
      <c r="F17" s="22"/>
      <c r="G17" s="22"/>
      <c r="H17" s="12">
        <f t="shared" si="0"/>
        <v>44609</v>
      </c>
    </row>
    <row r="18" spans="1:8" x14ac:dyDescent="0.3">
      <c r="B18" s="6" t="s">
        <v>24</v>
      </c>
      <c r="C18" s="22"/>
      <c r="D18" s="22"/>
      <c r="E18" s="22"/>
      <c r="F18" s="22"/>
      <c r="G18" s="22"/>
      <c r="H18" s="12">
        <f t="shared" si="0"/>
        <v>44609</v>
      </c>
    </row>
    <row r="19" spans="1:8" x14ac:dyDescent="0.3">
      <c r="B19" s="6" t="s">
        <v>21</v>
      </c>
      <c r="C19" s="22"/>
      <c r="D19" s="22"/>
      <c r="E19" s="22"/>
      <c r="F19" s="22"/>
      <c r="G19" s="22"/>
      <c r="H19" s="67">
        <f t="shared" si="0"/>
        <v>44609</v>
      </c>
    </row>
    <row r="20" spans="1:8" x14ac:dyDescent="0.3">
      <c r="B20" s="6" t="s">
        <v>65</v>
      </c>
      <c r="C20" s="22"/>
      <c r="D20" s="22"/>
      <c r="E20" s="22"/>
      <c r="F20" s="22"/>
      <c r="G20" s="22"/>
      <c r="H20" s="12">
        <f t="shared" si="0"/>
        <v>44609</v>
      </c>
    </row>
    <row r="21" spans="1:8" x14ac:dyDescent="0.3">
      <c r="B21" s="6" t="s">
        <v>18</v>
      </c>
      <c r="C21" s="22"/>
      <c r="D21" s="22">
        <v>216000</v>
      </c>
      <c r="E21" s="22"/>
      <c r="F21" s="22"/>
      <c r="G21" s="22"/>
      <c r="H21" s="12">
        <f t="shared" si="0"/>
        <v>44609</v>
      </c>
    </row>
    <row r="22" spans="1:8" x14ac:dyDescent="0.3">
      <c r="B22" s="6" t="s">
        <v>16</v>
      </c>
      <c r="C22" s="55"/>
      <c r="D22" s="22">
        <v>108000</v>
      </c>
      <c r="E22" s="22"/>
      <c r="F22" s="22"/>
      <c r="G22" s="22"/>
      <c r="H22" s="12">
        <f t="shared" si="0"/>
        <v>44609</v>
      </c>
    </row>
    <row r="23" spans="1:8" x14ac:dyDescent="0.3">
      <c r="B23" s="50" t="s">
        <v>27</v>
      </c>
      <c r="C23" s="51">
        <f>SUM(February17_2022[KSI_AGO])</f>
        <v>153000</v>
      </c>
      <c r="D23" s="51">
        <f>SUBTOTAL(109,February17_2022[KSI_PMS])</f>
        <v>1556500</v>
      </c>
      <c r="E23" s="51">
        <f>SUM(February17_2022[BUIPE_AGO])</f>
        <v>0</v>
      </c>
      <c r="F23" s="51">
        <f>SUM(February17_2022[BUIPE_PMS])</f>
        <v>270000</v>
      </c>
      <c r="G23" s="51">
        <f>SUM(February17_2022[AKOSOMBO_AGO])</f>
        <v>0</v>
      </c>
      <c r="H23" s="52"/>
    </row>
    <row r="24" spans="1:8" x14ac:dyDescent="0.3">
      <c r="B24" s="8"/>
      <c r="C24" s="24"/>
      <c r="D24" s="24"/>
      <c r="E24" s="24"/>
      <c r="F24" s="24"/>
      <c r="G24" s="24"/>
      <c r="H24"/>
    </row>
    <row r="25" spans="1:8" x14ac:dyDescent="0.3">
      <c r="B25" s="1" t="s">
        <v>6</v>
      </c>
      <c r="C25" s="1" t="s">
        <v>4</v>
      </c>
      <c r="D25" s="5">
        <f>SUMIF(February17_2022[[#Headers],[KSI_AGO]:[AKOSOMBO_AGO]],"*"&amp;C25,February17_2022[[#Totals],[KSI_AGO]:[AKOSOMBO_AGO]])</f>
        <v>153000</v>
      </c>
      <c r="E25" s="1" t="s">
        <v>5</v>
      </c>
      <c r="F25" s="5">
        <f>SUMIF(February17_2022[[#Headers],[KSI_AGO]:[AKOSOMBO_AGO]],"*"&amp;E25,February17_2022[[#Totals],[KSI_AGO]:[AKOSOMBO_AGO]])</f>
        <v>1826500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DBFEBFD1-2A07-42A8-BDD3-29E17E9FA523}">
      <formula1>INDIRECT("BDC_List[BDC List]")</formula1>
    </dataValidation>
  </dataValidations>
  <pageMargins left="0.7" right="0.7" top="0.75" bottom="0.75" header="0.3" footer="0.3"/>
  <pageSetup orientation="portrait" r:id="rId1"/>
  <tableParts count="1">
    <tablePart r:id="rId2"/>
  </tableParts>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0314A-1E3D-45A7-8B77-FC87591F2F05}">
  <sheetPr codeName="Sheet534"/>
  <dimension ref="A1:J35"/>
  <sheetViews>
    <sheetView zoomScale="115" zoomScaleNormal="115" workbookViewId="0">
      <pane xSplit="2" ySplit="5" topLeftCell="C6" activePane="bottomRight" state="frozen"/>
      <selection activeCell="F32" sqref="F32"/>
      <selection pane="topRight" activeCell="F32" sqref="F32"/>
      <selection pane="bottomLeft" activeCell="F32" sqref="F32"/>
      <selection pane="bottomRight" activeCell="C14" sqref="C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44610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44610</v>
      </c>
    </row>
    <row r="7" spans="2:10" x14ac:dyDescent="0.3">
      <c r="B7" s="6" t="s">
        <v>37</v>
      </c>
      <c r="C7" s="22"/>
      <c r="D7" s="53"/>
      <c r="E7" s="22"/>
      <c r="F7" s="22"/>
      <c r="G7" s="22"/>
      <c r="H7" s="67">
        <f t="shared" si="0"/>
        <v>44610</v>
      </c>
    </row>
    <row r="8" spans="2:10" x14ac:dyDescent="0.3">
      <c r="B8" s="6" t="s">
        <v>17</v>
      </c>
      <c r="C8" s="22">
        <v>50000</v>
      </c>
      <c r="D8" s="22">
        <v>216000</v>
      </c>
      <c r="E8" s="22"/>
      <c r="F8" s="22"/>
      <c r="G8" s="22"/>
      <c r="H8" s="12">
        <f t="shared" si="0"/>
        <v>44610</v>
      </c>
    </row>
    <row r="9" spans="2:10" ht="15.6" x14ac:dyDescent="0.3">
      <c r="B9" s="34" t="s">
        <v>0</v>
      </c>
      <c r="C9" s="57"/>
      <c r="D9" s="60"/>
      <c r="E9" s="61"/>
      <c r="F9" s="117"/>
      <c r="G9" s="61"/>
      <c r="H9" s="12">
        <f t="shared" si="0"/>
        <v>44610</v>
      </c>
    </row>
    <row r="10" spans="2:10" ht="16.2" customHeight="1" x14ac:dyDescent="0.3">
      <c r="B10" s="6" t="s">
        <v>25</v>
      </c>
      <c r="C10" s="22">
        <v>1179000</v>
      </c>
      <c r="D10" s="22">
        <v>162000</v>
      </c>
      <c r="E10" s="22"/>
      <c r="F10" s="22"/>
      <c r="G10" s="22">
        <v>1080000</v>
      </c>
      <c r="H10" s="12">
        <f t="shared" si="0"/>
        <v>44610</v>
      </c>
    </row>
    <row r="11" spans="2:10" ht="13.5" customHeight="1" x14ac:dyDescent="0.3">
      <c r="B11" s="6" t="s">
        <v>15</v>
      </c>
      <c r="C11" s="22"/>
      <c r="D11" s="22">
        <v>486000</v>
      </c>
      <c r="E11" s="22"/>
      <c r="F11" s="22"/>
      <c r="G11" s="22"/>
      <c r="H11" s="12">
        <f t="shared" si="0"/>
        <v>44610</v>
      </c>
    </row>
    <row r="12" spans="2:10" x14ac:dyDescent="0.3">
      <c r="B12" s="6" t="s">
        <v>54</v>
      </c>
      <c r="C12" s="22">
        <v>90000</v>
      </c>
      <c r="D12" s="22">
        <v>104000</v>
      </c>
      <c r="E12" s="22"/>
      <c r="F12" s="22"/>
      <c r="G12" s="22"/>
      <c r="H12" s="67">
        <f t="shared" si="0"/>
        <v>44610</v>
      </c>
    </row>
    <row r="13" spans="2:10" x14ac:dyDescent="0.3">
      <c r="B13" s="6" t="s">
        <v>26</v>
      </c>
      <c r="C13" s="22">
        <v>45000</v>
      </c>
      <c r="D13" s="22"/>
      <c r="E13" s="22"/>
      <c r="F13" s="22"/>
      <c r="G13" s="22"/>
      <c r="H13" s="12">
        <f t="shared" si="0"/>
        <v>44610</v>
      </c>
    </row>
    <row r="14" spans="2:10" x14ac:dyDescent="0.3">
      <c r="B14" s="6" t="s">
        <v>22</v>
      </c>
      <c r="C14" s="22"/>
      <c r="D14" s="23"/>
      <c r="E14" s="23"/>
      <c r="F14" s="23"/>
      <c r="G14" s="23"/>
      <c r="H14" s="12">
        <f t="shared" si="0"/>
        <v>44610</v>
      </c>
      <c r="J14" s="4"/>
    </row>
    <row r="15" spans="2:10" x14ac:dyDescent="0.3">
      <c r="B15" s="6" t="s">
        <v>61</v>
      </c>
      <c r="C15" s="22"/>
      <c r="D15" s="23"/>
      <c r="E15" s="23"/>
      <c r="F15" s="23"/>
      <c r="G15" s="23"/>
      <c r="H15" s="67">
        <f t="shared" si="0"/>
        <v>44610</v>
      </c>
      <c r="J15" s="4"/>
    </row>
    <row r="16" spans="2:10" x14ac:dyDescent="0.3">
      <c r="B16" s="6" t="s">
        <v>19</v>
      </c>
      <c r="C16" s="22"/>
      <c r="D16" s="62"/>
      <c r="E16" s="22"/>
      <c r="F16" s="22"/>
      <c r="G16" s="22"/>
      <c r="H16" s="12">
        <f t="shared" si="0"/>
        <v>44610</v>
      </c>
    </row>
    <row r="17" spans="1:8" x14ac:dyDescent="0.3">
      <c r="B17" s="6" t="s">
        <v>14</v>
      </c>
      <c r="C17" s="22"/>
      <c r="D17" s="22">
        <v>162000</v>
      </c>
      <c r="E17" s="22"/>
      <c r="F17" s="22"/>
      <c r="G17" s="22"/>
      <c r="H17" s="12">
        <f t="shared" si="0"/>
        <v>44610</v>
      </c>
    </row>
    <row r="18" spans="1:8" x14ac:dyDescent="0.3">
      <c r="B18" s="6" t="s">
        <v>24</v>
      </c>
      <c r="C18" s="22"/>
      <c r="D18" s="22"/>
      <c r="E18" s="22"/>
      <c r="F18" s="22"/>
      <c r="G18" s="22"/>
      <c r="H18" s="12">
        <f t="shared" si="0"/>
        <v>44610</v>
      </c>
    </row>
    <row r="19" spans="1:8" x14ac:dyDescent="0.3">
      <c r="B19" s="6" t="s">
        <v>21</v>
      </c>
      <c r="C19" s="22"/>
      <c r="D19" s="22"/>
      <c r="E19" s="22"/>
      <c r="F19" s="22"/>
      <c r="G19" s="22"/>
      <c r="H19" s="67">
        <f t="shared" si="0"/>
        <v>44610</v>
      </c>
    </row>
    <row r="20" spans="1:8" x14ac:dyDescent="0.3">
      <c r="B20" s="6" t="s">
        <v>65</v>
      </c>
      <c r="C20" s="22"/>
      <c r="D20" s="22"/>
      <c r="E20" s="22"/>
      <c r="F20" s="22"/>
      <c r="G20" s="22"/>
      <c r="H20" s="12">
        <f t="shared" si="0"/>
        <v>44610</v>
      </c>
    </row>
    <row r="21" spans="1:8" x14ac:dyDescent="0.3">
      <c r="B21" s="6" t="s">
        <v>18</v>
      </c>
      <c r="C21" s="22"/>
      <c r="D21" s="22">
        <v>216000</v>
      </c>
      <c r="E21" s="22"/>
      <c r="F21" s="22"/>
      <c r="G21" s="22"/>
      <c r="H21" s="12">
        <f t="shared" si="0"/>
        <v>44610</v>
      </c>
    </row>
    <row r="22" spans="1:8" x14ac:dyDescent="0.3">
      <c r="B22" s="6" t="s">
        <v>16</v>
      </c>
      <c r="C22" s="55"/>
      <c r="D22" s="22">
        <v>49500</v>
      </c>
      <c r="E22" s="22"/>
      <c r="F22" s="22"/>
      <c r="G22" s="22"/>
      <c r="H22" s="12">
        <f t="shared" si="0"/>
        <v>44610</v>
      </c>
    </row>
    <row r="23" spans="1:8" x14ac:dyDescent="0.3">
      <c r="B23" s="50" t="s">
        <v>27</v>
      </c>
      <c r="C23" s="51">
        <f>SUM(February18_2022[KSI_AGO])</f>
        <v>1364000</v>
      </c>
      <c r="D23" s="51">
        <f>SUBTOTAL(109,February18_2022[KSI_PMS])</f>
        <v>1395500</v>
      </c>
      <c r="E23" s="51">
        <f>SUM(February18_2022[BUIPE_AGO])</f>
        <v>0</v>
      </c>
      <c r="F23" s="51">
        <f>SUM(February18_2022[BUIPE_PMS])</f>
        <v>0</v>
      </c>
      <c r="G23" s="51">
        <f>SUM(February18_2022[AKOSOMBO_AGO])</f>
        <v>1080000</v>
      </c>
      <c r="H23" s="52"/>
    </row>
    <row r="24" spans="1:8" x14ac:dyDescent="0.3">
      <c r="B24" s="8"/>
      <c r="C24" s="24"/>
      <c r="D24" s="24"/>
      <c r="E24" s="24"/>
      <c r="F24" s="24"/>
      <c r="G24" s="24"/>
      <c r="H24"/>
    </row>
    <row r="25" spans="1:8" x14ac:dyDescent="0.3">
      <c r="B25" s="1" t="s">
        <v>6</v>
      </c>
      <c r="C25" s="1" t="s">
        <v>4</v>
      </c>
      <c r="D25" s="5">
        <f>SUMIF(February18_2022[[#Headers],[KSI_AGO]:[AKOSOMBO_AGO]],"*"&amp;C25,February18_2022[[#Totals],[KSI_AGO]:[AKOSOMBO_AGO]])</f>
        <v>2444000</v>
      </c>
      <c r="E25" s="1" t="s">
        <v>5</v>
      </c>
      <c r="F25" s="5">
        <f>SUMIF(February18_2022[[#Headers],[KSI_AGO]:[AKOSOMBO_AGO]],"*"&amp;E25,February18_2022[[#Totals],[KSI_AGO]:[AKOSOMBO_AGO]])</f>
        <v>1395500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5B130B0A-3DE1-4950-B73F-A47D88A365F1}">
      <formula1>INDIRECT("BDC_List[BDC List]")</formula1>
    </dataValidation>
  </dataValidations>
  <pageMargins left="0.7" right="0.7" top="0.75" bottom="0.75" header="0.3" footer="0.3"/>
  <pageSetup orientation="portrait" r:id="rId1"/>
  <tableParts count="1">
    <tablePart r:id="rId2"/>
  </tableParts>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416C-975B-425A-9F7E-A8B1B4655D4B}">
  <sheetPr codeName="Sheet535"/>
  <dimension ref="A1:J35"/>
  <sheetViews>
    <sheetView zoomScaleNormal="100" workbookViewId="0">
      <pane xSplit="2" ySplit="5" topLeftCell="C6" activePane="bottomRight" state="frozen"/>
      <selection activeCell="F32" sqref="F32"/>
      <selection pane="topRight" activeCell="F32" sqref="F32"/>
      <selection pane="bottomLeft" activeCell="F32" sqref="F32"/>
      <selection pane="bottomRight" activeCell="D14" sqref="D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44610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44610</v>
      </c>
    </row>
    <row r="7" spans="2:10" x14ac:dyDescent="0.3">
      <c r="B7" s="6" t="s">
        <v>37</v>
      </c>
      <c r="C7" s="22"/>
      <c r="D7" s="53">
        <v>52000</v>
      </c>
      <c r="E7" s="22"/>
      <c r="F7" s="22"/>
      <c r="G7" s="22"/>
      <c r="H7" s="67">
        <f t="shared" si="0"/>
        <v>44610</v>
      </c>
    </row>
    <row r="8" spans="2:10" x14ac:dyDescent="0.3">
      <c r="B8" s="6" t="s">
        <v>17</v>
      </c>
      <c r="C8" s="22"/>
      <c r="D8" s="22">
        <v>162000</v>
      </c>
      <c r="E8" s="22"/>
      <c r="F8" s="22"/>
      <c r="G8" s="22"/>
      <c r="H8" s="12">
        <f t="shared" si="0"/>
        <v>44610</v>
      </c>
    </row>
    <row r="9" spans="2:10" ht="15.6" x14ac:dyDescent="0.3">
      <c r="B9" s="34" t="s">
        <v>0</v>
      </c>
      <c r="C9" s="57"/>
      <c r="D9" s="60"/>
      <c r="E9" s="61"/>
      <c r="F9" s="117"/>
      <c r="G9" s="61"/>
      <c r="H9" s="12">
        <f t="shared" si="0"/>
        <v>44610</v>
      </c>
    </row>
    <row r="10" spans="2:10" ht="16.2" customHeight="1" x14ac:dyDescent="0.3">
      <c r="B10" s="6" t="s">
        <v>25</v>
      </c>
      <c r="C10" s="22">
        <v>1496000</v>
      </c>
      <c r="D10" s="22">
        <v>162000</v>
      </c>
      <c r="E10" s="22"/>
      <c r="F10" s="22"/>
      <c r="G10" s="22">
        <v>420000</v>
      </c>
      <c r="H10" s="12">
        <f t="shared" si="0"/>
        <v>44610</v>
      </c>
    </row>
    <row r="11" spans="2:10" ht="13.5" customHeight="1" x14ac:dyDescent="0.3">
      <c r="B11" s="6" t="s">
        <v>15</v>
      </c>
      <c r="C11" s="22"/>
      <c r="D11" s="22">
        <v>576000</v>
      </c>
      <c r="E11" s="22"/>
      <c r="F11" s="22"/>
      <c r="G11" s="22"/>
      <c r="H11" s="12">
        <f t="shared" si="0"/>
        <v>44610</v>
      </c>
    </row>
    <row r="12" spans="2:10" x14ac:dyDescent="0.3">
      <c r="B12" s="6" t="s">
        <v>54</v>
      </c>
      <c r="C12" s="22">
        <v>90000</v>
      </c>
      <c r="D12" s="22"/>
      <c r="E12" s="22"/>
      <c r="F12" s="22"/>
      <c r="G12" s="22"/>
      <c r="H12" s="67">
        <f t="shared" si="0"/>
        <v>44610</v>
      </c>
    </row>
    <row r="13" spans="2:10" x14ac:dyDescent="0.3">
      <c r="B13" s="6" t="s">
        <v>26</v>
      </c>
      <c r="C13" s="22"/>
      <c r="D13" s="22"/>
      <c r="E13" s="22"/>
      <c r="F13" s="22"/>
      <c r="G13" s="22"/>
      <c r="H13" s="12">
        <f t="shared" si="0"/>
        <v>44610</v>
      </c>
    </row>
    <row r="14" spans="2:10" x14ac:dyDescent="0.3">
      <c r="B14" s="6" t="s">
        <v>22</v>
      </c>
      <c r="C14" s="22"/>
      <c r="D14" s="23"/>
      <c r="E14" s="23"/>
      <c r="F14" s="23"/>
      <c r="G14" s="23"/>
      <c r="H14" s="12">
        <f t="shared" si="0"/>
        <v>44610</v>
      </c>
      <c r="J14" s="4"/>
    </row>
    <row r="15" spans="2:10" x14ac:dyDescent="0.3">
      <c r="B15" s="6" t="s">
        <v>61</v>
      </c>
      <c r="C15" s="22"/>
      <c r="D15" s="23"/>
      <c r="E15" s="23"/>
      <c r="F15" s="23"/>
      <c r="G15" s="23"/>
      <c r="H15" s="67">
        <f t="shared" si="0"/>
        <v>44610</v>
      </c>
      <c r="J15" s="4"/>
    </row>
    <row r="16" spans="2:10" x14ac:dyDescent="0.3">
      <c r="B16" s="6" t="s">
        <v>19</v>
      </c>
      <c r="C16" s="22">
        <v>432000</v>
      </c>
      <c r="D16" s="62"/>
      <c r="E16" s="22"/>
      <c r="F16" s="22"/>
      <c r="G16" s="22"/>
      <c r="H16" s="12">
        <f t="shared" si="0"/>
        <v>44610</v>
      </c>
    </row>
    <row r="17" spans="1:8" x14ac:dyDescent="0.3">
      <c r="B17" s="6" t="s">
        <v>14</v>
      </c>
      <c r="C17" s="22">
        <v>320000</v>
      </c>
      <c r="D17" s="22"/>
      <c r="E17" s="22"/>
      <c r="F17" s="22">
        <v>45000</v>
      </c>
      <c r="G17" s="22"/>
      <c r="H17" s="12">
        <f t="shared" si="0"/>
        <v>44610</v>
      </c>
    </row>
    <row r="18" spans="1:8" x14ac:dyDescent="0.3">
      <c r="B18" s="6" t="s">
        <v>24</v>
      </c>
      <c r="C18" s="22"/>
      <c r="D18" s="22"/>
      <c r="E18" s="22"/>
      <c r="F18" s="22"/>
      <c r="G18" s="22"/>
      <c r="H18" s="12">
        <f t="shared" si="0"/>
        <v>44610</v>
      </c>
    </row>
    <row r="19" spans="1:8" x14ac:dyDescent="0.3">
      <c r="B19" s="6" t="s">
        <v>21</v>
      </c>
      <c r="C19" s="22"/>
      <c r="D19" s="22"/>
      <c r="E19" s="22"/>
      <c r="F19" s="22"/>
      <c r="G19" s="22"/>
      <c r="H19" s="67">
        <f t="shared" si="0"/>
        <v>44610</v>
      </c>
    </row>
    <row r="20" spans="1:8" x14ac:dyDescent="0.3">
      <c r="B20" s="6" t="s">
        <v>65</v>
      </c>
      <c r="C20" s="22"/>
      <c r="D20" s="22"/>
      <c r="E20" s="22"/>
      <c r="F20" s="22"/>
      <c r="G20" s="22"/>
      <c r="H20" s="12">
        <f t="shared" si="0"/>
        <v>44610</v>
      </c>
    </row>
    <row r="21" spans="1:8" x14ac:dyDescent="0.3">
      <c r="B21" s="6" t="s">
        <v>18</v>
      </c>
      <c r="C21" s="22"/>
      <c r="D21" s="22">
        <v>378000</v>
      </c>
      <c r="E21" s="22"/>
      <c r="F21" s="22"/>
      <c r="G21" s="22"/>
      <c r="H21" s="12">
        <f t="shared" si="0"/>
        <v>44610</v>
      </c>
    </row>
    <row r="22" spans="1:8" x14ac:dyDescent="0.3">
      <c r="B22" s="6" t="s">
        <v>16</v>
      </c>
      <c r="C22" s="55"/>
      <c r="D22" s="22">
        <v>149000</v>
      </c>
      <c r="E22" s="22"/>
      <c r="F22" s="22"/>
      <c r="G22" s="22"/>
      <c r="H22" s="12">
        <f t="shared" si="0"/>
        <v>44610</v>
      </c>
    </row>
    <row r="23" spans="1:8" x14ac:dyDescent="0.3">
      <c r="B23" s="50" t="s">
        <v>27</v>
      </c>
      <c r="C23" s="51">
        <f>SUM(February21_2022[KSI_AGO])</f>
        <v>2338000</v>
      </c>
      <c r="D23" s="51">
        <f>SUBTOTAL(109,February21_2022[KSI_PMS])</f>
        <v>1479000</v>
      </c>
      <c r="E23" s="51">
        <f>SUM(February21_2022[BUIPE_AGO])</f>
        <v>0</v>
      </c>
      <c r="F23" s="51">
        <f>SUM(February21_2022[BUIPE_PMS])</f>
        <v>45000</v>
      </c>
      <c r="G23" s="51">
        <f>SUM(February21_2022[AKOSOMBO_AGO])</f>
        <v>420000</v>
      </c>
      <c r="H23" s="52"/>
    </row>
    <row r="24" spans="1:8" x14ac:dyDescent="0.3">
      <c r="B24" s="8"/>
      <c r="C24" s="24"/>
      <c r="D24" s="24"/>
      <c r="E24" s="24"/>
      <c r="F24" s="24"/>
      <c r="G24" s="24"/>
      <c r="H24"/>
    </row>
    <row r="25" spans="1:8" x14ac:dyDescent="0.3">
      <c r="B25" s="1" t="s">
        <v>6</v>
      </c>
      <c r="C25" s="1" t="s">
        <v>4</v>
      </c>
      <c r="D25" s="5">
        <f>SUMIF(February21_2022[[#Headers],[KSI_AGO]:[AKOSOMBO_AGO]],"*"&amp;C25,February21_2022[[#Totals],[KSI_AGO]:[AKOSOMBO_AGO]])</f>
        <v>2758000</v>
      </c>
      <c r="E25" s="1" t="s">
        <v>5</v>
      </c>
      <c r="F25" s="5">
        <f>SUMIF(February21_2022[[#Headers],[KSI_AGO]:[AKOSOMBO_AGO]],"*"&amp;E25,February21_2022[[#Totals],[KSI_AGO]:[AKOSOMBO_AGO]])</f>
        <v>1524000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E771A6C3-3388-4FA1-9E3E-B0CD84C4748C}">
      <formula1>INDIRECT("BDC_List[BDC List]")</formula1>
    </dataValidation>
  </dataValidations>
  <pageMargins left="0.7" right="0.7" top="0.75" bottom="0.75" header="0.3" footer="0.3"/>
  <pageSetup orientation="portrait" r:id="rId1"/>
  <tableParts count="1">
    <tablePart r:id="rId2"/>
  </tableParts>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1F302-A494-458C-A865-475AA7A8B967}">
  <sheetPr codeName="Sheet536"/>
  <dimension ref="A1:J35"/>
  <sheetViews>
    <sheetView zoomScale="98" zoomScaleNormal="130" workbookViewId="0">
      <pane xSplit="2" ySplit="5" topLeftCell="C6" activePane="bottomRight" state="frozen"/>
      <selection activeCell="F32" sqref="F32"/>
      <selection pane="topRight" activeCell="F32" sqref="F32"/>
      <selection pane="bottomLeft" activeCell="F32" sqref="F32"/>
      <selection pane="bottomRight" activeCell="E24" sqref="E2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44614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44614</v>
      </c>
    </row>
    <row r="7" spans="2:10" x14ac:dyDescent="0.3">
      <c r="B7" s="6" t="s">
        <v>37</v>
      </c>
      <c r="C7" s="22"/>
      <c r="D7" s="53">
        <v>90000</v>
      </c>
      <c r="E7" s="22"/>
      <c r="F7" s="22"/>
      <c r="G7" s="22"/>
      <c r="H7" s="67">
        <f t="shared" si="0"/>
        <v>44614</v>
      </c>
    </row>
    <row r="8" spans="2:10" x14ac:dyDescent="0.3">
      <c r="B8" s="6" t="s">
        <v>17</v>
      </c>
      <c r="C8" s="22"/>
      <c r="D8" s="22"/>
      <c r="E8" s="22"/>
      <c r="F8" s="22"/>
      <c r="G8" s="22"/>
      <c r="H8" s="12">
        <f t="shared" si="0"/>
        <v>44614</v>
      </c>
    </row>
    <row r="9" spans="2:10" ht="15.6" x14ac:dyDescent="0.3">
      <c r="B9" s="34" t="s">
        <v>0</v>
      </c>
      <c r="C9" s="57"/>
      <c r="D9" s="60"/>
      <c r="E9" s="61"/>
      <c r="F9" s="117"/>
      <c r="G9" s="61"/>
      <c r="H9" s="12">
        <f t="shared" si="0"/>
        <v>44614</v>
      </c>
    </row>
    <row r="10" spans="2:10" ht="16.2" customHeight="1" x14ac:dyDescent="0.3">
      <c r="B10" s="6" t="s">
        <v>25</v>
      </c>
      <c r="C10" s="22">
        <v>324000</v>
      </c>
      <c r="D10" s="22"/>
      <c r="E10" s="22"/>
      <c r="F10" s="22"/>
      <c r="G10" s="22"/>
      <c r="H10" s="12">
        <f t="shared" si="0"/>
        <v>44614</v>
      </c>
    </row>
    <row r="11" spans="2:10" ht="13.5" customHeight="1" x14ac:dyDescent="0.3">
      <c r="B11" s="6" t="s">
        <v>15</v>
      </c>
      <c r="C11" s="22"/>
      <c r="D11" s="22">
        <v>1186000</v>
      </c>
      <c r="E11" s="22"/>
      <c r="F11" s="22"/>
      <c r="G11" s="22"/>
      <c r="H11" s="12">
        <f t="shared" si="0"/>
        <v>44614</v>
      </c>
    </row>
    <row r="12" spans="2:10" x14ac:dyDescent="0.3">
      <c r="B12" s="6" t="s">
        <v>54</v>
      </c>
      <c r="C12" s="22"/>
      <c r="D12" s="22"/>
      <c r="E12" s="22">
        <v>108000</v>
      </c>
      <c r="F12" s="22"/>
      <c r="G12" s="22"/>
      <c r="H12" s="67">
        <f t="shared" si="0"/>
        <v>44614</v>
      </c>
    </row>
    <row r="13" spans="2:10" x14ac:dyDescent="0.3">
      <c r="B13" s="6" t="s">
        <v>26</v>
      </c>
      <c r="C13" s="22">
        <v>585000</v>
      </c>
      <c r="D13" s="22"/>
      <c r="E13" s="22">
        <v>216000</v>
      </c>
      <c r="F13" s="22"/>
      <c r="G13" s="22"/>
      <c r="H13" s="12">
        <f t="shared" si="0"/>
        <v>44614</v>
      </c>
    </row>
    <row r="14" spans="2:10" x14ac:dyDescent="0.3">
      <c r="B14" s="6" t="s">
        <v>22</v>
      </c>
      <c r="C14" s="22"/>
      <c r="D14" s="23"/>
      <c r="E14" s="23"/>
      <c r="F14" s="23"/>
      <c r="G14" s="23"/>
      <c r="H14" s="12">
        <f t="shared" si="0"/>
        <v>44614</v>
      </c>
      <c r="J14" s="4"/>
    </row>
    <row r="15" spans="2:10" x14ac:dyDescent="0.3">
      <c r="B15" s="6" t="s">
        <v>61</v>
      </c>
      <c r="C15" s="57"/>
      <c r="D15" s="23"/>
      <c r="E15" s="23"/>
      <c r="F15" s="23"/>
      <c r="G15" s="23"/>
      <c r="H15" s="67">
        <f t="shared" si="0"/>
        <v>44614</v>
      </c>
      <c r="J15" s="4"/>
    </row>
    <row r="16" spans="2:10" x14ac:dyDescent="0.3">
      <c r="B16" s="6" t="s">
        <v>19</v>
      </c>
      <c r="C16" s="22">
        <v>594000</v>
      </c>
      <c r="D16" s="62"/>
      <c r="E16" s="22"/>
      <c r="F16" s="22"/>
      <c r="G16" s="22">
        <v>540000</v>
      </c>
      <c r="H16" s="12">
        <f t="shared" si="0"/>
        <v>44614</v>
      </c>
    </row>
    <row r="17" spans="1:8" x14ac:dyDescent="0.3">
      <c r="B17" s="6" t="s">
        <v>14</v>
      </c>
      <c r="C17" s="22">
        <v>540000</v>
      </c>
      <c r="D17" s="22"/>
      <c r="E17" s="22"/>
      <c r="F17" s="22"/>
      <c r="G17" s="22"/>
      <c r="H17" s="12">
        <f t="shared" si="0"/>
        <v>44614</v>
      </c>
    </row>
    <row r="18" spans="1:8" x14ac:dyDescent="0.3">
      <c r="B18" s="6" t="s">
        <v>24</v>
      </c>
      <c r="C18" s="22"/>
      <c r="D18" s="22"/>
      <c r="E18" s="22"/>
      <c r="F18" s="22"/>
      <c r="G18" s="22"/>
      <c r="H18" s="12">
        <f t="shared" si="0"/>
        <v>44614</v>
      </c>
    </row>
    <row r="19" spans="1:8" x14ac:dyDescent="0.3">
      <c r="B19" s="6" t="s">
        <v>21</v>
      </c>
      <c r="C19" s="22"/>
      <c r="D19" s="22"/>
      <c r="E19" s="22"/>
      <c r="F19" s="22"/>
      <c r="G19" s="22"/>
      <c r="H19" s="67">
        <f t="shared" si="0"/>
        <v>44614</v>
      </c>
    </row>
    <row r="20" spans="1:8" x14ac:dyDescent="0.3">
      <c r="B20" s="6" t="s">
        <v>65</v>
      </c>
      <c r="C20" s="22"/>
      <c r="D20" s="22"/>
      <c r="E20" s="22"/>
      <c r="F20" s="22"/>
      <c r="G20" s="22"/>
      <c r="H20" s="12">
        <f t="shared" si="0"/>
        <v>44614</v>
      </c>
    </row>
    <row r="21" spans="1:8" x14ac:dyDescent="0.3">
      <c r="B21" s="6" t="s">
        <v>18</v>
      </c>
      <c r="C21" s="22">
        <v>432000</v>
      </c>
      <c r="D21" s="22"/>
      <c r="E21" s="22"/>
      <c r="F21" s="22"/>
      <c r="G21" s="22"/>
      <c r="H21" s="12">
        <f t="shared" si="0"/>
        <v>44614</v>
      </c>
    </row>
    <row r="22" spans="1:8" x14ac:dyDescent="0.3">
      <c r="B22" s="6" t="s">
        <v>16</v>
      </c>
      <c r="C22" s="55"/>
      <c r="D22" s="22"/>
      <c r="E22" s="22">
        <v>162000</v>
      </c>
      <c r="F22" s="22"/>
      <c r="G22" s="22"/>
      <c r="H22" s="12">
        <f t="shared" si="0"/>
        <v>44614</v>
      </c>
    </row>
    <row r="23" spans="1:8" x14ac:dyDescent="0.3">
      <c r="B23" s="50" t="s">
        <v>27</v>
      </c>
      <c r="C23" s="51">
        <f>SUM(February22_2022[KSI_AGO])</f>
        <v>2475000</v>
      </c>
      <c r="D23" s="51">
        <f>SUBTOTAL(109,February22_2022[KSI_PMS])</f>
        <v>1276000</v>
      </c>
      <c r="E23" s="51">
        <f>SUM(February22_2022[BUIPE_AGO])</f>
        <v>486000</v>
      </c>
      <c r="F23" s="51">
        <f>SUM(February22_2022[BUIPE_PMS])</f>
        <v>0</v>
      </c>
      <c r="G23" s="51">
        <f>SUM(February22_2022[AKOSOMBO_AGO])</f>
        <v>540000</v>
      </c>
      <c r="H23" s="52"/>
    </row>
    <row r="24" spans="1:8" x14ac:dyDescent="0.3">
      <c r="B24" s="8"/>
      <c r="C24" s="24"/>
      <c r="D24" s="24"/>
      <c r="E24" s="24"/>
      <c r="F24" s="24"/>
      <c r="G24" s="24"/>
      <c r="H24"/>
    </row>
    <row r="25" spans="1:8" x14ac:dyDescent="0.3">
      <c r="B25" s="1" t="s">
        <v>6</v>
      </c>
      <c r="C25" s="1" t="s">
        <v>4</v>
      </c>
      <c r="D25" s="5">
        <f>SUMIF(February22_2022[[#Headers],[KSI_AGO]:[AKOSOMBO_AGO]],"*"&amp;C25,February22_2022[[#Totals],[KSI_AGO]:[AKOSOMBO_AGO]])</f>
        <v>3501000</v>
      </c>
      <c r="E25" s="1" t="s">
        <v>5</v>
      </c>
      <c r="F25" s="5">
        <f>SUMIF(February22_2022[[#Headers],[KSI_AGO]:[AKOSOMBO_AGO]],"*"&amp;E25,February22_2022[[#Totals],[KSI_AGO]:[AKOSOMBO_AGO]])</f>
        <v>1276000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843400F-77BB-4415-B185-6A2A99D26340}">
      <formula1>INDIRECT("BDC_List[BDC List]")</formula1>
    </dataValidation>
  </dataValidations>
  <pageMargins left="0.7" right="0.7" top="0.75" bottom="0.75" header="0.3" footer="0.3"/>
  <pageSetup orientation="portrait" r:id="rId1"/>
  <tableParts count="1">
    <tablePart r:id="rId2"/>
  </tableParts>
</worksheet>
</file>

<file path=xl/worksheets/sheet5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5AFB-F7AF-409F-805B-8C8DBE8B0C92}">
  <sheetPr codeName="Sheet537"/>
  <dimension ref="A1:J35"/>
  <sheetViews>
    <sheetView zoomScale="98" zoomScaleNormal="130" workbookViewId="0">
      <pane xSplit="2" ySplit="5" topLeftCell="C6" activePane="bottomRight" state="frozen"/>
      <selection activeCell="F32" sqref="F32"/>
      <selection pane="topRight" activeCell="F32" sqref="F32"/>
      <selection pane="bottomLeft" activeCell="F32" sqref="F32"/>
      <selection pane="bottomRight" activeCell="G13" sqref="G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44615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44615</v>
      </c>
    </row>
    <row r="7" spans="2:10" x14ac:dyDescent="0.3">
      <c r="B7" s="6" t="s">
        <v>37</v>
      </c>
      <c r="C7" s="22"/>
      <c r="D7" s="53"/>
      <c r="E7" s="22"/>
      <c r="F7" s="22"/>
      <c r="G7" s="22"/>
      <c r="H7" s="67">
        <f t="shared" si="0"/>
        <v>44615</v>
      </c>
    </row>
    <row r="8" spans="2:10" x14ac:dyDescent="0.3">
      <c r="B8" s="6" t="s">
        <v>17</v>
      </c>
      <c r="C8" s="22"/>
      <c r="D8" s="22"/>
      <c r="E8" s="22"/>
      <c r="F8" s="22"/>
      <c r="G8" s="22"/>
      <c r="H8" s="12">
        <f t="shared" si="0"/>
        <v>44615</v>
      </c>
    </row>
    <row r="9" spans="2:10" ht="15.6" x14ac:dyDescent="0.3">
      <c r="B9" s="34" t="s">
        <v>0</v>
      </c>
      <c r="C9" s="57"/>
      <c r="D9" s="60"/>
      <c r="E9" s="61"/>
      <c r="F9" s="117"/>
      <c r="G9" s="61"/>
      <c r="H9" s="12">
        <f t="shared" si="0"/>
        <v>44615</v>
      </c>
    </row>
    <row r="10" spans="2:10" ht="16.2" customHeight="1" x14ac:dyDescent="0.3">
      <c r="B10" s="6" t="s">
        <v>25</v>
      </c>
      <c r="C10" s="22"/>
      <c r="D10" s="22">
        <v>54000</v>
      </c>
      <c r="E10" s="22"/>
      <c r="F10" s="22"/>
      <c r="G10" s="22"/>
      <c r="H10" s="12">
        <f t="shared" si="0"/>
        <v>44615</v>
      </c>
    </row>
    <row r="11" spans="2:10" ht="13.5" customHeight="1" x14ac:dyDescent="0.3">
      <c r="B11" s="6" t="s">
        <v>15</v>
      </c>
      <c r="C11" s="22"/>
      <c r="D11" s="22">
        <v>477000</v>
      </c>
      <c r="E11" s="22"/>
      <c r="F11" s="22"/>
      <c r="G11" s="22"/>
      <c r="H11" s="12">
        <f t="shared" si="0"/>
        <v>44615</v>
      </c>
    </row>
    <row r="12" spans="2:10" x14ac:dyDescent="0.3">
      <c r="B12" s="6" t="s">
        <v>54</v>
      </c>
      <c r="C12" s="22">
        <v>320000</v>
      </c>
      <c r="D12" s="22"/>
      <c r="E12" s="22">
        <v>270000</v>
      </c>
      <c r="F12" s="22"/>
      <c r="G12" s="22"/>
      <c r="H12" s="67">
        <f t="shared" si="0"/>
        <v>44615</v>
      </c>
    </row>
    <row r="13" spans="2:10" x14ac:dyDescent="0.3">
      <c r="B13" s="6" t="s">
        <v>26</v>
      </c>
      <c r="C13" s="22">
        <v>108000</v>
      </c>
      <c r="D13" s="22"/>
      <c r="E13" s="22">
        <v>144000</v>
      </c>
      <c r="F13" s="22"/>
      <c r="G13" s="22"/>
      <c r="H13" s="12">
        <f t="shared" si="0"/>
        <v>44615</v>
      </c>
    </row>
    <row r="14" spans="2:10" x14ac:dyDescent="0.3">
      <c r="B14" s="6" t="s">
        <v>22</v>
      </c>
      <c r="C14" s="22"/>
      <c r="D14" s="23"/>
      <c r="E14" s="23"/>
      <c r="F14" s="23"/>
      <c r="G14" s="23"/>
      <c r="H14" s="12">
        <f t="shared" si="0"/>
        <v>44615</v>
      </c>
      <c r="J14" s="4"/>
    </row>
    <row r="15" spans="2:10" x14ac:dyDescent="0.3">
      <c r="B15" s="6" t="s">
        <v>61</v>
      </c>
      <c r="C15" s="57"/>
      <c r="D15" s="23"/>
      <c r="E15" s="23"/>
      <c r="F15" s="23"/>
      <c r="G15" s="23"/>
      <c r="H15" s="67">
        <f t="shared" si="0"/>
        <v>44615</v>
      </c>
      <c r="J15" s="4"/>
    </row>
    <row r="16" spans="2:10" x14ac:dyDescent="0.3">
      <c r="B16" s="6" t="s">
        <v>19</v>
      </c>
      <c r="C16" s="22">
        <v>270000</v>
      </c>
      <c r="D16" s="62">
        <v>432000</v>
      </c>
      <c r="E16" s="22"/>
      <c r="F16" s="22"/>
      <c r="G16" s="22">
        <v>315000</v>
      </c>
      <c r="H16" s="12">
        <f t="shared" si="0"/>
        <v>44615</v>
      </c>
    </row>
    <row r="17" spans="1:8" x14ac:dyDescent="0.3">
      <c r="B17" s="6" t="s">
        <v>14</v>
      </c>
      <c r="C17" s="22">
        <v>486000</v>
      </c>
      <c r="D17" s="22">
        <v>486000</v>
      </c>
      <c r="E17" s="22"/>
      <c r="F17" s="22">
        <v>45000</v>
      </c>
      <c r="G17" s="22"/>
      <c r="H17" s="12">
        <f t="shared" si="0"/>
        <v>44615</v>
      </c>
    </row>
    <row r="18" spans="1:8" x14ac:dyDescent="0.3">
      <c r="B18" s="6" t="s">
        <v>24</v>
      </c>
      <c r="C18" s="22"/>
      <c r="D18" s="22"/>
      <c r="E18" s="22"/>
      <c r="F18" s="22"/>
      <c r="G18" s="22"/>
      <c r="H18" s="12">
        <f t="shared" si="0"/>
        <v>44615</v>
      </c>
    </row>
    <row r="19" spans="1:8" x14ac:dyDescent="0.3">
      <c r="B19" s="6" t="s">
        <v>21</v>
      </c>
      <c r="C19" s="22"/>
      <c r="D19" s="22"/>
      <c r="E19" s="22"/>
      <c r="F19" s="22"/>
      <c r="G19" s="22"/>
      <c r="H19" s="67">
        <f t="shared" si="0"/>
        <v>44615</v>
      </c>
    </row>
    <row r="20" spans="1:8" x14ac:dyDescent="0.3">
      <c r="B20" s="6" t="s">
        <v>65</v>
      </c>
      <c r="C20" s="22"/>
      <c r="D20" s="22"/>
      <c r="E20" s="22"/>
      <c r="F20" s="22"/>
      <c r="G20" s="22"/>
      <c r="H20" s="12">
        <f t="shared" si="0"/>
        <v>44615</v>
      </c>
    </row>
    <row r="21" spans="1:8" x14ac:dyDescent="0.3">
      <c r="B21" s="6" t="s">
        <v>18</v>
      </c>
      <c r="C21" s="22">
        <v>540000</v>
      </c>
      <c r="D21" s="22">
        <v>54000</v>
      </c>
      <c r="E21" s="22"/>
      <c r="F21" s="22"/>
      <c r="G21" s="22"/>
      <c r="H21" s="12">
        <f t="shared" si="0"/>
        <v>44615</v>
      </c>
    </row>
    <row r="22" spans="1:8" x14ac:dyDescent="0.3">
      <c r="B22" s="6" t="s">
        <v>16</v>
      </c>
      <c r="C22" s="55">
        <v>580500</v>
      </c>
      <c r="D22" s="22"/>
      <c r="E22" s="22">
        <v>162000</v>
      </c>
      <c r="F22" s="22"/>
      <c r="G22" s="22"/>
      <c r="H22" s="12">
        <f t="shared" si="0"/>
        <v>44615</v>
      </c>
    </row>
    <row r="23" spans="1:8" x14ac:dyDescent="0.3">
      <c r="B23" s="50" t="s">
        <v>27</v>
      </c>
      <c r="C23" s="51">
        <f>SUM(February23_2022[KSI_AGO])</f>
        <v>2304500</v>
      </c>
      <c r="D23" s="51">
        <f>SUBTOTAL(109,February23_2022[KSI_PMS])</f>
        <v>1503000</v>
      </c>
      <c r="E23" s="51">
        <f>SUM(February23_2022[BUIPE_AGO])</f>
        <v>576000</v>
      </c>
      <c r="F23" s="51">
        <f>SUM(February23_2022[BUIPE_PMS])</f>
        <v>45000</v>
      </c>
      <c r="G23" s="51">
        <f>SUM(February23_2022[AKOSOMBO_AGO])</f>
        <v>315000</v>
      </c>
      <c r="H23" s="52"/>
    </row>
    <row r="24" spans="1:8" x14ac:dyDescent="0.3">
      <c r="B24" s="8"/>
      <c r="C24" s="24"/>
      <c r="D24" s="24"/>
      <c r="E24" s="24"/>
      <c r="F24" s="24"/>
      <c r="G24" s="24"/>
      <c r="H24"/>
    </row>
    <row r="25" spans="1:8" x14ac:dyDescent="0.3">
      <c r="B25" s="1" t="s">
        <v>6</v>
      </c>
      <c r="C25" s="1" t="s">
        <v>4</v>
      </c>
      <c r="D25" s="5">
        <f>SUMIF(February23_2022[[#Headers],[KSI_AGO]:[AKOSOMBO_AGO]],"*"&amp;C25,February23_2022[[#Totals],[KSI_AGO]:[AKOSOMBO_AGO]])</f>
        <v>3195500</v>
      </c>
      <c r="E25" s="1" t="s">
        <v>5</v>
      </c>
      <c r="F25" s="5">
        <f>SUMIF(February23_2022[[#Headers],[KSI_AGO]:[AKOSOMBO_AGO]],"*"&amp;E25,February23_2022[[#Totals],[KSI_AGO]:[AKOSOMBO_AGO]])</f>
        <v>1548000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4FBEA540-FA9B-468B-B45D-74164F056504}">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D8243-CC96-4BD6-8F5E-101F507F0A27}">
  <sheetPr codeName="Sheet538">
    <tabColor theme="9" tint="0.59999389629810485"/>
  </sheetPr>
  <dimension ref="A1:J35"/>
  <sheetViews>
    <sheetView zoomScale="98" zoomScaleNormal="130" workbookViewId="0">
      <pane xSplit="2" ySplit="5" topLeftCell="C6" activePane="bottomRight" state="frozen"/>
      <selection activeCell="E29" sqref="E29:E32"/>
      <selection pane="topRight" activeCell="E29" sqref="E29:E32"/>
      <selection pane="bottomLeft" activeCell="E29" sqref="E29:E32"/>
      <selection pane="bottomRight" activeCell="E31" sqref="E3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44617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44617</v>
      </c>
    </row>
    <row r="7" spans="2:10" x14ac:dyDescent="0.3">
      <c r="B7" s="6" t="s">
        <v>37</v>
      </c>
      <c r="C7" s="22"/>
      <c r="D7" s="53"/>
      <c r="E7" s="22"/>
      <c r="F7" s="22"/>
      <c r="G7" s="22"/>
      <c r="H7" s="67">
        <f t="shared" si="0"/>
        <v>44617</v>
      </c>
    </row>
    <row r="8" spans="2:10" x14ac:dyDescent="0.3">
      <c r="B8" s="6" t="s">
        <v>17</v>
      </c>
      <c r="C8" s="22">
        <v>266000</v>
      </c>
      <c r="D8" s="22"/>
      <c r="E8" s="22"/>
      <c r="F8" s="22"/>
      <c r="G8" s="22"/>
      <c r="H8" s="12">
        <f t="shared" si="0"/>
        <v>44617</v>
      </c>
    </row>
    <row r="9" spans="2:10" ht="15.6" x14ac:dyDescent="0.3">
      <c r="B9" s="34" t="s">
        <v>0</v>
      </c>
      <c r="C9" s="57">
        <v>648000</v>
      </c>
      <c r="D9" s="60"/>
      <c r="E9" s="61">
        <v>162000</v>
      </c>
      <c r="F9" s="117"/>
      <c r="G9" s="61"/>
      <c r="H9" s="12">
        <f t="shared" si="0"/>
        <v>44617</v>
      </c>
    </row>
    <row r="10" spans="2:10" ht="16.2" customHeight="1" x14ac:dyDescent="0.3">
      <c r="B10" s="6" t="s">
        <v>25</v>
      </c>
      <c r="C10" s="22"/>
      <c r="D10" s="22"/>
      <c r="E10" s="22"/>
      <c r="F10" s="22"/>
      <c r="G10" s="22"/>
      <c r="H10" s="12">
        <f t="shared" si="0"/>
        <v>44617</v>
      </c>
    </row>
    <row r="11" spans="2:10" ht="13.5" customHeight="1" x14ac:dyDescent="0.3">
      <c r="B11" s="6" t="s">
        <v>15</v>
      </c>
      <c r="C11" s="22"/>
      <c r="D11" s="22">
        <v>378000</v>
      </c>
      <c r="E11" s="22"/>
      <c r="F11" s="22">
        <v>369000</v>
      </c>
      <c r="G11" s="22"/>
      <c r="H11" s="12">
        <f t="shared" si="0"/>
        <v>44617</v>
      </c>
    </row>
    <row r="12" spans="2:10" x14ac:dyDescent="0.3">
      <c r="B12" s="6" t="s">
        <v>54</v>
      </c>
      <c r="C12" s="22">
        <v>162000</v>
      </c>
      <c r="D12" s="22">
        <v>216000</v>
      </c>
      <c r="E12" s="22"/>
      <c r="F12" s="22"/>
      <c r="G12" s="22"/>
      <c r="H12" s="67">
        <f t="shared" si="0"/>
        <v>44617</v>
      </c>
    </row>
    <row r="13" spans="2:10" x14ac:dyDescent="0.3">
      <c r="B13" s="6" t="s">
        <v>26</v>
      </c>
      <c r="C13" s="22">
        <v>50000</v>
      </c>
      <c r="D13" s="22"/>
      <c r="E13" s="22">
        <v>140000</v>
      </c>
      <c r="F13" s="22"/>
      <c r="G13" s="22"/>
      <c r="H13" s="12">
        <f t="shared" si="0"/>
        <v>44617</v>
      </c>
    </row>
    <row r="14" spans="2:10" x14ac:dyDescent="0.3">
      <c r="B14" s="6" t="s">
        <v>22</v>
      </c>
      <c r="C14" s="22"/>
      <c r="D14" s="23"/>
      <c r="E14" s="23"/>
      <c r="F14" s="23"/>
      <c r="G14" s="23"/>
      <c r="H14" s="12">
        <f t="shared" si="0"/>
        <v>44617</v>
      </c>
      <c r="J14" s="4"/>
    </row>
    <row r="15" spans="2:10" x14ac:dyDescent="0.3">
      <c r="B15" s="6" t="s">
        <v>61</v>
      </c>
      <c r="C15" s="57"/>
      <c r="D15" s="23"/>
      <c r="E15" s="23"/>
      <c r="F15" s="23"/>
      <c r="G15" s="23"/>
      <c r="H15" s="67">
        <f t="shared" si="0"/>
        <v>44617</v>
      </c>
      <c r="J15" s="4"/>
    </row>
    <row r="16" spans="2:10" x14ac:dyDescent="0.3">
      <c r="B16" s="6" t="s">
        <v>19</v>
      </c>
      <c r="C16" s="22">
        <v>702000</v>
      </c>
      <c r="D16" s="62">
        <v>378000</v>
      </c>
      <c r="E16" s="22"/>
      <c r="F16" s="22"/>
      <c r="G16" s="22">
        <v>145000</v>
      </c>
      <c r="H16" s="12">
        <f t="shared" si="0"/>
        <v>44617</v>
      </c>
    </row>
    <row r="17" spans="1:8" x14ac:dyDescent="0.3">
      <c r="B17" s="6" t="s">
        <v>14</v>
      </c>
      <c r="C17" s="22">
        <v>154000</v>
      </c>
      <c r="D17" s="22">
        <v>54000</v>
      </c>
      <c r="E17" s="22"/>
      <c r="F17" s="22"/>
      <c r="G17" s="22"/>
      <c r="H17" s="12">
        <f t="shared" si="0"/>
        <v>44617</v>
      </c>
    </row>
    <row r="18" spans="1:8" x14ac:dyDescent="0.3">
      <c r="B18" s="6" t="s">
        <v>24</v>
      </c>
      <c r="C18" s="22"/>
      <c r="D18" s="22"/>
      <c r="E18" s="22"/>
      <c r="F18" s="22"/>
      <c r="G18" s="22"/>
      <c r="H18" s="12">
        <f t="shared" si="0"/>
        <v>44617</v>
      </c>
    </row>
    <row r="19" spans="1:8" x14ac:dyDescent="0.3">
      <c r="B19" s="6" t="s">
        <v>21</v>
      </c>
      <c r="C19" s="22"/>
      <c r="D19" s="22"/>
      <c r="E19" s="22"/>
      <c r="F19" s="22"/>
      <c r="G19" s="22"/>
      <c r="H19" s="67">
        <f t="shared" si="0"/>
        <v>44617</v>
      </c>
    </row>
    <row r="20" spans="1:8" x14ac:dyDescent="0.3">
      <c r="B20" s="6" t="s">
        <v>65</v>
      </c>
      <c r="C20" s="22"/>
      <c r="D20" s="22"/>
      <c r="E20" s="22"/>
      <c r="F20" s="22"/>
      <c r="G20" s="22"/>
      <c r="H20" s="12">
        <f t="shared" si="0"/>
        <v>44617</v>
      </c>
    </row>
    <row r="21" spans="1:8" x14ac:dyDescent="0.3">
      <c r="B21" s="6" t="s">
        <v>18</v>
      </c>
      <c r="C21" s="22">
        <v>54000</v>
      </c>
      <c r="D21" s="22"/>
      <c r="E21" s="22"/>
      <c r="F21" s="22"/>
      <c r="G21" s="22"/>
      <c r="H21" s="12">
        <f t="shared" si="0"/>
        <v>44617</v>
      </c>
    </row>
    <row r="22" spans="1:8" x14ac:dyDescent="0.3">
      <c r="B22" s="6" t="s">
        <v>16</v>
      </c>
      <c r="C22" s="55">
        <v>424000</v>
      </c>
      <c r="D22" s="22"/>
      <c r="E22" s="22"/>
      <c r="F22" s="22"/>
      <c r="G22" s="22"/>
      <c r="H22" s="12">
        <f t="shared" si="0"/>
        <v>44617</v>
      </c>
    </row>
    <row r="23" spans="1:8" x14ac:dyDescent="0.3">
      <c r="B23" s="50" t="s">
        <v>27</v>
      </c>
      <c r="C23" s="51">
        <f>SUM(February23_202219[KSI_AGO])</f>
        <v>2460000</v>
      </c>
      <c r="D23" s="51">
        <f>SUBTOTAL(109,February23_202219[KSI_PMS])</f>
        <v>1026000</v>
      </c>
      <c r="E23" s="51">
        <f>SUM(February23_202219[BUIPE_AGO])</f>
        <v>302000</v>
      </c>
      <c r="F23" s="51">
        <f>SUM(February23_202219[BUIPE_PMS])</f>
        <v>369000</v>
      </c>
      <c r="G23" s="51">
        <f>SUM(February23_202219[AKOSOMBO_AGO])</f>
        <v>145000</v>
      </c>
      <c r="H23" s="52"/>
    </row>
    <row r="24" spans="1:8" x14ac:dyDescent="0.3">
      <c r="B24" s="8"/>
      <c r="C24" s="24"/>
      <c r="D24" s="24"/>
      <c r="E24" s="24"/>
      <c r="F24" s="24"/>
      <c r="G24" s="24"/>
      <c r="H24"/>
    </row>
    <row r="25" spans="1:8" x14ac:dyDescent="0.3">
      <c r="B25" s="1" t="s">
        <v>6</v>
      </c>
      <c r="C25" s="1" t="s">
        <v>4</v>
      </c>
      <c r="D25" s="5">
        <f>SUMIF(February23_202219[[#Headers],[KSI_AGO]:[AKOSOMBO_AGO]],"*"&amp;C25,February23_202219[[#Totals],[KSI_AGO]:[AKOSOMBO_AGO]])</f>
        <v>2907000</v>
      </c>
      <c r="E25" s="1" t="s">
        <v>5</v>
      </c>
      <c r="F25" s="5">
        <f>SUMIF(February23_202219[[#Headers],[KSI_AGO]:[AKOSOMBO_AGO]],"*"&amp;E25,February23_202219[[#Totals],[KSI_AGO]:[AKOSOMBO_AGO]])</f>
        <v>1395000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4F4D74B3-1340-43B2-9D7D-D05A07E3CD4C}">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B0AD-CF63-41B9-BCB1-E44F33204D6C}">
  <sheetPr codeName="Sheet539"/>
  <dimension ref="A1:J35"/>
  <sheetViews>
    <sheetView zoomScale="98" zoomScaleNormal="130" workbookViewId="0">
      <pane xSplit="2" ySplit="5" topLeftCell="C6" activePane="bottomRight" state="frozen"/>
      <selection activeCell="F31" sqref="F31:F33"/>
      <selection pane="topRight" activeCell="F31" sqref="F31:F33"/>
      <selection pane="bottomLeft" activeCell="F31" sqref="F31:F33"/>
      <selection pane="bottomRight" activeCell="D16" sqre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44617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44617</v>
      </c>
    </row>
    <row r="7" spans="2:10" x14ac:dyDescent="0.3">
      <c r="B7" s="6" t="s">
        <v>37</v>
      </c>
      <c r="C7" s="22"/>
      <c r="D7" s="53"/>
      <c r="E7" s="22"/>
      <c r="F7" s="22"/>
      <c r="G7" s="22"/>
      <c r="H7" s="67">
        <f t="shared" si="0"/>
        <v>44617</v>
      </c>
    </row>
    <row r="8" spans="2:10" x14ac:dyDescent="0.3">
      <c r="B8" s="6" t="s">
        <v>17</v>
      </c>
      <c r="C8" s="22"/>
      <c r="D8" s="22"/>
      <c r="E8" s="22"/>
      <c r="F8" s="22"/>
      <c r="G8" s="22"/>
      <c r="H8" s="12">
        <f t="shared" si="0"/>
        <v>44617</v>
      </c>
    </row>
    <row r="9" spans="2:10" ht="15.6" x14ac:dyDescent="0.3">
      <c r="B9" s="34" t="s">
        <v>0</v>
      </c>
      <c r="C9" s="57">
        <v>1489500</v>
      </c>
      <c r="D9" s="60">
        <v>45000</v>
      </c>
      <c r="E9" s="61">
        <v>702000</v>
      </c>
      <c r="F9" s="117"/>
      <c r="G9" s="61">
        <v>486000</v>
      </c>
      <c r="H9" s="12">
        <f t="shared" si="0"/>
        <v>44617</v>
      </c>
    </row>
    <row r="10" spans="2:10" ht="16.2" customHeight="1" x14ac:dyDescent="0.3">
      <c r="B10" s="6" t="s">
        <v>25</v>
      </c>
      <c r="C10" s="22"/>
      <c r="D10" s="22"/>
      <c r="E10" s="22"/>
      <c r="F10" s="22"/>
      <c r="G10" s="22"/>
      <c r="H10" s="12">
        <f t="shared" si="0"/>
        <v>44617</v>
      </c>
    </row>
    <row r="11" spans="2:10" ht="13.5" customHeight="1" x14ac:dyDescent="0.3">
      <c r="B11" s="6" t="s">
        <v>15</v>
      </c>
      <c r="C11" s="22"/>
      <c r="D11" s="22">
        <v>639000</v>
      </c>
      <c r="E11" s="22"/>
      <c r="F11" s="22">
        <v>90000</v>
      </c>
      <c r="G11" s="22"/>
      <c r="H11" s="12">
        <f t="shared" si="0"/>
        <v>44617</v>
      </c>
    </row>
    <row r="12" spans="2:10" x14ac:dyDescent="0.3">
      <c r="B12" s="6" t="s">
        <v>54</v>
      </c>
      <c r="C12" s="22">
        <v>54000</v>
      </c>
      <c r="D12" s="22">
        <v>540000</v>
      </c>
      <c r="E12" s="22"/>
      <c r="F12" s="22"/>
      <c r="G12" s="22"/>
      <c r="H12" s="67">
        <f t="shared" si="0"/>
        <v>44617</v>
      </c>
    </row>
    <row r="13" spans="2:10" x14ac:dyDescent="0.3">
      <c r="B13" s="6" t="s">
        <v>26</v>
      </c>
      <c r="C13" s="22"/>
      <c r="D13" s="22"/>
      <c r="E13" s="22"/>
      <c r="F13" s="22"/>
      <c r="G13" s="22"/>
      <c r="H13" s="12">
        <f t="shared" si="0"/>
        <v>44617</v>
      </c>
    </row>
    <row r="14" spans="2:10" x14ac:dyDescent="0.3">
      <c r="B14" s="6" t="s">
        <v>22</v>
      </c>
      <c r="C14" s="22"/>
      <c r="D14" s="23"/>
      <c r="E14" s="23"/>
      <c r="F14" s="23"/>
      <c r="G14" s="23"/>
      <c r="H14" s="12">
        <f t="shared" si="0"/>
        <v>44617</v>
      </c>
      <c r="J14" s="4"/>
    </row>
    <row r="15" spans="2:10" x14ac:dyDescent="0.3">
      <c r="B15" s="6" t="s">
        <v>61</v>
      </c>
      <c r="C15" s="57"/>
      <c r="D15" s="23"/>
      <c r="E15" s="23"/>
      <c r="F15" s="23"/>
      <c r="G15" s="23"/>
      <c r="H15" s="67">
        <f t="shared" si="0"/>
        <v>44617</v>
      </c>
      <c r="J15" s="4"/>
    </row>
    <row r="16" spans="2:10" x14ac:dyDescent="0.3">
      <c r="B16" s="6" t="s">
        <v>19</v>
      </c>
      <c r="C16" s="22"/>
      <c r="D16" s="62"/>
      <c r="E16" s="22"/>
      <c r="F16" s="22"/>
      <c r="G16" s="22"/>
      <c r="H16" s="12">
        <f t="shared" si="0"/>
        <v>44617</v>
      </c>
    </row>
    <row r="17" spans="1:8" x14ac:dyDescent="0.3">
      <c r="B17" s="6" t="s">
        <v>14</v>
      </c>
      <c r="C17" s="22"/>
      <c r="D17" s="22">
        <v>270000</v>
      </c>
      <c r="E17" s="22"/>
      <c r="F17" s="22"/>
      <c r="G17" s="22"/>
      <c r="H17" s="12">
        <f t="shared" si="0"/>
        <v>44617</v>
      </c>
    </row>
    <row r="18" spans="1:8" x14ac:dyDescent="0.3">
      <c r="B18" s="6" t="s">
        <v>24</v>
      </c>
      <c r="C18" s="22"/>
      <c r="D18" s="22"/>
      <c r="E18" s="22"/>
      <c r="F18" s="22"/>
      <c r="G18" s="22"/>
      <c r="H18" s="12">
        <f t="shared" si="0"/>
        <v>44617</v>
      </c>
    </row>
    <row r="19" spans="1:8" x14ac:dyDescent="0.3">
      <c r="B19" s="6" t="s">
        <v>21</v>
      </c>
      <c r="C19" s="22"/>
      <c r="D19" s="22"/>
      <c r="E19" s="22"/>
      <c r="F19" s="22"/>
      <c r="G19" s="22"/>
      <c r="H19" s="67">
        <f t="shared" si="0"/>
        <v>44617</v>
      </c>
    </row>
    <row r="20" spans="1:8" x14ac:dyDescent="0.3">
      <c r="B20" s="6" t="s">
        <v>65</v>
      </c>
      <c r="C20" s="22"/>
      <c r="D20" s="22"/>
      <c r="E20" s="22"/>
      <c r="F20" s="22"/>
      <c r="G20" s="22"/>
      <c r="H20" s="12">
        <f t="shared" si="0"/>
        <v>44617</v>
      </c>
    </row>
    <row r="21" spans="1:8" x14ac:dyDescent="0.3">
      <c r="B21" s="6" t="s">
        <v>18</v>
      </c>
      <c r="C21" s="22"/>
      <c r="D21" s="22"/>
      <c r="E21" s="22"/>
      <c r="F21" s="22"/>
      <c r="G21" s="22"/>
      <c r="H21" s="12">
        <f t="shared" si="0"/>
        <v>44617</v>
      </c>
    </row>
    <row r="22" spans="1:8" x14ac:dyDescent="0.3">
      <c r="B22" s="6" t="s">
        <v>16</v>
      </c>
      <c r="C22" s="55"/>
      <c r="D22" s="22"/>
      <c r="E22" s="22"/>
      <c r="F22" s="22"/>
      <c r="G22" s="22"/>
      <c r="H22" s="12">
        <f t="shared" si="0"/>
        <v>44617</v>
      </c>
    </row>
    <row r="23" spans="1:8" x14ac:dyDescent="0.3">
      <c r="B23" s="50" t="s">
        <v>27</v>
      </c>
      <c r="C23" s="51">
        <f>SUM(February25_2022[KSI_AGO])</f>
        <v>1543500</v>
      </c>
      <c r="D23" s="51">
        <f>SUBTOTAL(109,February25_2022[KSI_PMS])</f>
        <v>1494000</v>
      </c>
      <c r="E23" s="51">
        <f>SUM(February25_2022[BUIPE_AGO])</f>
        <v>702000</v>
      </c>
      <c r="F23" s="51">
        <f>SUM(February25_2022[BUIPE_PMS])</f>
        <v>90000</v>
      </c>
      <c r="G23" s="51">
        <f>SUM(February25_2022[AKOSOMBO_AGO])</f>
        <v>486000</v>
      </c>
      <c r="H23" s="52"/>
    </row>
    <row r="24" spans="1:8" x14ac:dyDescent="0.3">
      <c r="B24" s="8"/>
      <c r="C24" s="24"/>
      <c r="D24" s="24"/>
      <c r="E24" s="24"/>
      <c r="F24" s="24"/>
      <c r="G24" s="24"/>
      <c r="H24"/>
    </row>
    <row r="25" spans="1:8" x14ac:dyDescent="0.3">
      <c r="B25" s="1" t="s">
        <v>6</v>
      </c>
      <c r="C25" s="1" t="s">
        <v>4</v>
      </c>
      <c r="D25" s="5">
        <f>SUMIF(February25_2022[[#Headers],[KSI_AGO]:[AKOSOMBO_AGO]],"*"&amp;C25,February25_2022[[#Totals],[KSI_AGO]:[AKOSOMBO_AGO]])</f>
        <v>2731500</v>
      </c>
      <c r="E25" s="1" t="s">
        <v>5</v>
      </c>
      <c r="F25" s="5">
        <f>SUMIF(February25_2022[[#Headers],[KSI_AGO]:[AKOSOMBO_AGO]],"*"&amp;E25,February25_2022[[#Totals],[KSI_AGO]:[AKOSOMBO_AGO]])</f>
        <v>1584000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8BC9D752-FC4E-4393-BD07-2F73C87DAA71}">
      <formula1>INDIRECT("BDC_List[BDC List]")</formula1>
    </dataValidation>
  </dataValidations>
  <pageMargins left="0.7" right="0.7" top="0.75" bottom="0.75" header="0.3" footer="0.3"/>
  <pageSetup orientation="portrait" r:id="rId1"/>
  <tableParts count="1">
    <tablePart r:id="rId2"/>
  </tableParts>
</worksheet>
</file>

<file path=xl/worksheets/sheet5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EAAC9-2ACE-45D5-A060-886463AD99A5}">
  <sheetPr codeName="Sheet540"/>
  <dimension ref="A1:J35"/>
  <sheetViews>
    <sheetView zoomScale="98" zoomScaleNormal="130" workbookViewId="0">
      <pane xSplit="2" ySplit="5" topLeftCell="C6" activePane="bottomRight" state="frozen"/>
      <selection activeCell="F31" sqref="F31:F33"/>
      <selection pane="topRight" activeCell="F31" sqref="F31:F33"/>
      <selection pane="bottomLeft" activeCell="F31" sqref="F31:F33"/>
      <selection pane="bottomRight" activeCell="B18" sqref="B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44620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44620</v>
      </c>
    </row>
    <row r="7" spans="2:10" x14ac:dyDescent="0.3">
      <c r="B7" s="6" t="s">
        <v>37</v>
      </c>
      <c r="C7" s="22"/>
      <c r="D7" s="53"/>
      <c r="E7" s="22"/>
      <c r="F7" s="22"/>
      <c r="G7" s="22"/>
      <c r="H7" s="67">
        <f t="shared" si="0"/>
        <v>44620</v>
      </c>
    </row>
    <row r="8" spans="2:10" x14ac:dyDescent="0.3">
      <c r="B8" s="6" t="s">
        <v>17</v>
      </c>
      <c r="C8" s="22"/>
      <c r="D8" s="22"/>
      <c r="E8" s="22"/>
      <c r="F8" s="22"/>
      <c r="G8" s="22"/>
      <c r="H8" s="12">
        <f t="shared" si="0"/>
        <v>44620</v>
      </c>
    </row>
    <row r="9" spans="2:10" ht="15.6" x14ac:dyDescent="0.3">
      <c r="B9" s="34" t="s">
        <v>0</v>
      </c>
      <c r="C9" s="57">
        <v>1935500</v>
      </c>
      <c r="D9" s="60"/>
      <c r="E9" s="61">
        <v>45000</v>
      </c>
      <c r="F9" s="117"/>
      <c r="G9" s="61">
        <v>540000</v>
      </c>
      <c r="H9" s="12">
        <f t="shared" si="0"/>
        <v>44620</v>
      </c>
    </row>
    <row r="10" spans="2:10" ht="16.2" customHeight="1" x14ac:dyDescent="0.3">
      <c r="B10" s="6" t="s">
        <v>25</v>
      </c>
      <c r="C10" s="22"/>
      <c r="D10" s="22"/>
      <c r="E10" s="22"/>
      <c r="F10" s="22"/>
      <c r="G10" s="22"/>
      <c r="H10" s="12">
        <f t="shared" si="0"/>
        <v>44620</v>
      </c>
    </row>
    <row r="11" spans="2:10" ht="13.5" customHeight="1" x14ac:dyDescent="0.3">
      <c r="B11" s="6" t="s">
        <v>15</v>
      </c>
      <c r="C11" s="22"/>
      <c r="D11" s="22">
        <v>702000</v>
      </c>
      <c r="E11" s="22">
        <v>270000</v>
      </c>
      <c r="F11" s="22"/>
      <c r="G11" s="22"/>
      <c r="H11" s="12">
        <f t="shared" si="0"/>
        <v>44620</v>
      </c>
    </row>
    <row r="12" spans="2:10" x14ac:dyDescent="0.3">
      <c r="B12" s="6" t="s">
        <v>54</v>
      </c>
      <c r="C12" s="22"/>
      <c r="D12" s="22">
        <v>684500</v>
      </c>
      <c r="E12" s="22">
        <v>54000</v>
      </c>
      <c r="F12" s="22"/>
      <c r="G12" s="22"/>
      <c r="H12" s="67">
        <f t="shared" si="0"/>
        <v>44620</v>
      </c>
    </row>
    <row r="13" spans="2:10" x14ac:dyDescent="0.3">
      <c r="B13" s="6" t="s">
        <v>26</v>
      </c>
      <c r="C13" s="22"/>
      <c r="D13" s="22"/>
      <c r="E13" s="22"/>
      <c r="F13" s="22"/>
      <c r="G13" s="22"/>
      <c r="H13" s="12">
        <f t="shared" si="0"/>
        <v>44620</v>
      </c>
    </row>
    <row r="14" spans="2:10" x14ac:dyDescent="0.3">
      <c r="B14" s="6" t="s">
        <v>22</v>
      </c>
      <c r="C14" s="22"/>
      <c r="D14" s="23"/>
      <c r="E14" s="23"/>
      <c r="F14" s="23"/>
      <c r="G14" s="23"/>
      <c r="H14" s="12">
        <f t="shared" si="0"/>
        <v>44620</v>
      </c>
      <c r="J14" s="4"/>
    </row>
    <row r="15" spans="2:10" x14ac:dyDescent="0.3">
      <c r="B15" s="6" t="s">
        <v>61</v>
      </c>
      <c r="C15" s="57"/>
      <c r="D15" s="23"/>
      <c r="E15" s="23"/>
      <c r="F15" s="23"/>
      <c r="G15" s="23"/>
      <c r="H15" s="67">
        <f t="shared" si="0"/>
        <v>44620</v>
      </c>
      <c r="J15" s="4"/>
    </row>
    <row r="16" spans="2:10" x14ac:dyDescent="0.3">
      <c r="B16" s="6" t="s">
        <v>19</v>
      </c>
      <c r="C16" s="22"/>
      <c r="D16" s="62">
        <v>306000</v>
      </c>
      <c r="E16" s="22"/>
      <c r="F16" s="22"/>
      <c r="G16" s="22"/>
      <c r="H16" s="12">
        <f t="shared" si="0"/>
        <v>44620</v>
      </c>
    </row>
    <row r="17" spans="1:8" x14ac:dyDescent="0.3">
      <c r="B17" s="6" t="s">
        <v>14</v>
      </c>
      <c r="C17" s="22"/>
      <c r="D17" s="22">
        <v>378000</v>
      </c>
      <c r="E17" s="22"/>
      <c r="F17" s="22"/>
      <c r="G17" s="22"/>
      <c r="H17" s="12">
        <f t="shared" si="0"/>
        <v>44620</v>
      </c>
    </row>
    <row r="18" spans="1:8" x14ac:dyDescent="0.3">
      <c r="B18" s="6" t="s">
        <v>24</v>
      </c>
      <c r="C18" s="22"/>
      <c r="D18" s="22"/>
      <c r="E18" s="22"/>
      <c r="F18" s="22"/>
      <c r="G18" s="22"/>
      <c r="H18" s="12">
        <f t="shared" si="0"/>
        <v>44620</v>
      </c>
    </row>
    <row r="19" spans="1:8" x14ac:dyDescent="0.3">
      <c r="B19" s="6" t="s">
        <v>21</v>
      </c>
      <c r="C19" s="22"/>
      <c r="D19" s="22"/>
      <c r="E19" s="22"/>
      <c r="F19" s="22"/>
      <c r="G19" s="22"/>
      <c r="H19" s="67">
        <f t="shared" si="0"/>
        <v>44620</v>
      </c>
    </row>
    <row r="20" spans="1:8" x14ac:dyDescent="0.3">
      <c r="B20" s="6" t="s">
        <v>65</v>
      </c>
      <c r="C20" s="22"/>
      <c r="D20" s="22"/>
      <c r="E20" s="22"/>
      <c r="F20" s="22"/>
      <c r="G20" s="22"/>
      <c r="H20" s="12">
        <f t="shared" si="0"/>
        <v>44620</v>
      </c>
    </row>
    <row r="21" spans="1:8" x14ac:dyDescent="0.3">
      <c r="B21" s="6" t="s">
        <v>18</v>
      </c>
      <c r="C21" s="22"/>
      <c r="D21" s="22"/>
      <c r="E21" s="22"/>
      <c r="F21" s="22"/>
      <c r="G21" s="22"/>
      <c r="H21" s="12">
        <f t="shared" si="0"/>
        <v>44620</v>
      </c>
    </row>
    <row r="22" spans="1:8" x14ac:dyDescent="0.3">
      <c r="B22" s="6" t="s">
        <v>16</v>
      </c>
      <c r="C22" s="55"/>
      <c r="D22" s="22"/>
      <c r="E22" s="22">
        <v>54000</v>
      </c>
      <c r="F22" s="22"/>
      <c r="G22" s="22"/>
      <c r="H22" s="12">
        <f t="shared" si="0"/>
        <v>44620</v>
      </c>
    </row>
    <row r="23" spans="1:8" x14ac:dyDescent="0.3">
      <c r="B23" s="50" t="s">
        <v>27</v>
      </c>
      <c r="C23" s="51">
        <f>SUM(February28_2022[KSI_AGO])</f>
        <v>1935500</v>
      </c>
      <c r="D23" s="51">
        <f>SUBTOTAL(109,February28_2022[KSI_PMS])</f>
        <v>2070500</v>
      </c>
      <c r="E23" s="51">
        <f>SUM(February28_2022[BUIPE_AGO])</f>
        <v>423000</v>
      </c>
      <c r="F23" s="51">
        <f>SUM(February28_2022[BUIPE_PMS])</f>
        <v>0</v>
      </c>
      <c r="G23" s="51">
        <f>SUM(February28_2022[AKOSOMBO_AGO])</f>
        <v>540000</v>
      </c>
      <c r="H23" s="52"/>
    </row>
    <row r="24" spans="1:8" x14ac:dyDescent="0.3">
      <c r="B24" s="8"/>
      <c r="C24" s="24"/>
      <c r="D24" s="24"/>
      <c r="E24" s="24"/>
      <c r="F24" s="24"/>
      <c r="G24" s="24"/>
      <c r="H24"/>
    </row>
    <row r="25" spans="1:8" x14ac:dyDescent="0.3">
      <c r="B25" s="1" t="s">
        <v>6</v>
      </c>
      <c r="C25" s="1" t="s">
        <v>4</v>
      </c>
      <c r="D25" s="5">
        <f>SUMIF(February28_2022[[#Headers],[KSI_AGO]:[AKOSOMBO_AGO]],"*"&amp;C25,February28_2022[[#Totals],[KSI_AGO]:[AKOSOMBO_AGO]])</f>
        <v>2898500</v>
      </c>
      <c r="E25" s="1" t="s">
        <v>5</v>
      </c>
      <c r="F25" s="5">
        <f>SUMIF(February28_2022[[#Headers],[KSI_AGO]:[AKOSOMBO_AGO]],"*"&amp;E25,February28_2022[[#Totals],[KSI_AGO]:[AKOSOMBO_AGO]])</f>
        <v>2070500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8B25B526-52D1-489E-BA67-61AD16C333F0}">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B4C25-F6EB-42C5-87F2-5A600D6161A7}">
  <sheetPr codeName="Sheet541"/>
  <dimension ref="A1:J35"/>
  <sheetViews>
    <sheetView zoomScale="98" zoomScaleNormal="130" workbookViewId="0">
      <pane xSplit="2" ySplit="5" topLeftCell="C10" activePane="bottomRight" state="frozen"/>
      <selection activeCell="F31" sqref="F31:F33"/>
      <selection pane="topRight" activeCell="F31" sqref="F31:F33"/>
      <selection pane="bottomLeft" activeCell="F31" sqref="F31:F33"/>
      <selection pane="bottomRight"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44621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44621</v>
      </c>
    </row>
    <row r="7" spans="2:10" x14ac:dyDescent="0.3">
      <c r="B7" s="6" t="s">
        <v>37</v>
      </c>
      <c r="C7" s="22"/>
      <c r="D7" s="53"/>
      <c r="E7" s="22"/>
      <c r="F7" s="22"/>
      <c r="G7" s="22"/>
      <c r="H7" s="67">
        <f t="shared" si="0"/>
        <v>44621</v>
      </c>
    </row>
    <row r="8" spans="2:10" x14ac:dyDescent="0.3">
      <c r="B8" s="6" t="s">
        <v>17</v>
      </c>
      <c r="C8" s="22"/>
      <c r="D8" s="22"/>
      <c r="E8" s="22"/>
      <c r="F8" s="22"/>
      <c r="G8" s="22"/>
      <c r="H8" s="12">
        <f t="shared" si="0"/>
        <v>44621</v>
      </c>
    </row>
    <row r="9" spans="2:10" ht="15.6" x14ac:dyDescent="0.3">
      <c r="B9" s="34" t="s">
        <v>0</v>
      </c>
      <c r="C9" s="57"/>
      <c r="D9" s="60"/>
      <c r="E9" s="61"/>
      <c r="F9" s="117"/>
      <c r="G9" s="61"/>
      <c r="H9" s="12">
        <f t="shared" si="0"/>
        <v>44621</v>
      </c>
    </row>
    <row r="10" spans="2:10" ht="16.2" customHeight="1" x14ac:dyDescent="0.3">
      <c r="B10" s="6" t="s">
        <v>25</v>
      </c>
      <c r="C10" s="22"/>
      <c r="D10" s="22"/>
      <c r="E10" s="22"/>
      <c r="F10" s="22"/>
      <c r="G10" s="22"/>
      <c r="H10" s="12">
        <f t="shared" si="0"/>
        <v>44621</v>
      </c>
    </row>
    <row r="11" spans="2:10" ht="13.5" customHeight="1" x14ac:dyDescent="0.3">
      <c r="B11" s="6" t="s">
        <v>15</v>
      </c>
      <c r="C11" s="22"/>
      <c r="D11" s="22">
        <v>108000</v>
      </c>
      <c r="E11" s="22"/>
      <c r="F11" s="22"/>
      <c r="G11" s="22"/>
      <c r="H11" s="12">
        <f t="shared" si="0"/>
        <v>44621</v>
      </c>
    </row>
    <row r="12" spans="2:10" x14ac:dyDescent="0.3">
      <c r="B12" s="6" t="s">
        <v>54</v>
      </c>
      <c r="C12" s="22"/>
      <c r="D12" s="22">
        <v>54000</v>
      </c>
      <c r="E12" s="22"/>
      <c r="F12" s="22"/>
      <c r="G12" s="22"/>
      <c r="H12" s="67">
        <f t="shared" si="0"/>
        <v>44621</v>
      </c>
    </row>
    <row r="13" spans="2:10" x14ac:dyDescent="0.3">
      <c r="B13" s="6" t="s">
        <v>26</v>
      </c>
      <c r="C13" s="22"/>
      <c r="D13" s="22"/>
      <c r="E13" s="22"/>
      <c r="F13" s="22"/>
      <c r="G13" s="22"/>
      <c r="H13" s="12">
        <f t="shared" si="0"/>
        <v>44621</v>
      </c>
    </row>
    <row r="14" spans="2:10" x14ac:dyDescent="0.3">
      <c r="B14" s="6" t="s">
        <v>22</v>
      </c>
      <c r="C14" s="22"/>
      <c r="D14" s="23"/>
      <c r="E14" s="23"/>
      <c r="F14" s="23"/>
      <c r="G14" s="23"/>
      <c r="H14" s="12">
        <f t="shared" si="0"/>
        <v>44621</v>
      </c>
      <c r="J14" s="4"/>
    </row>
    <row r="15" spans="2:10" x14ac:dyDescent="0.3">
      <c r="B15" s="6" t="s">
        <v>61</v>
      </c>
      <c r="C15" s="57"/>
      <c r="D15" s="23"/>
      <c r="E15" s="23"/>
      <c r="F15" s="23"/>
      <c r="G15" s="23"/>
      <c r="H15" s="67">
        <f t="shared" si="0"/>
        <v>44621</v>
      </c>
      <c r="J15" s="4"/>
    </row>
    <row r="16" spans="2:10" x14ac:dyDescent="0.3">
      <c r="B16" s="6" t="s">
        <v>19</v>
      </c>
      <c r="C16" s="22"/>
      <c r="D16" s="62"/>
      <c r="E16" s="22"/>
      <c r="F16" s="22"/>
      <c r="G16" s="22"/>
      <c r="H16" s="12">
        <f t="shared" si="0"/>
        <v>44621</v>
      </c>
    </row>
    <row r="17" spans="1:8" x14ac:dyDescent="0.3">
      <c r="B17" s="6" t="s">
        <v>14</v>
      </c>
      <c r="C17" s="22"/>
      <c r="D17" s="22"/>
      <c r="E17" s="22"/>
      <c r="F17" s="22"/>
      <c r="G17" s="22"/>
      <c r="H17" s="12">
        <f t="shared" si="0"/>
        <v>44621</v>
      </c>
    </row>
    <row r="18" spans="1:8" x14ac:dyDescent="0.3">
      <c r="B18" s="6" t="s">
        <v>24</v>
      </c>
      <c r="C18" s="22"/>
      <c r="D18" s="22"/>
      <c r="E18" s="22"/>
      <c r="F18" s="22"/>
      <c r="G18" s="22"/>
      <c r="H18" s="12">
        <f t="shared" si="0"/>
        <v>44621</v>
      </c>
    </row>
    <row r="19" spans="1:8" x14ac:dyDescent="0.3">
      <c r="B19" s="6" t="s">
        <v>21</v>
      </c>
      <c r="C19" s="22"/>
      <c r="D19" s="22"/>
      <c r="E19" s="22"/>
      <c r="F19" s="22"/>
      <c r="G19" s="22"/>
      <c r="H19" s="67">
        <f t="shared" si="0"/>
        <v>44621</v>
      </c>
    </row>
    <row r="20" spans="1:8" x14ac:dyDescent="0.3">
      <c r="B20" s="6" t="s">
        <v>65</v>
      </c>
      <c r="C20" s="22"/>
      <c r="D20" s="22"/>
      <c r="E20" s="22"/>
      <c r="F20" s="22"/>
      <c r="G20" s="22"/>
      <c r="H20" s="12">
        <f t="shared" si="0"/>
        <v>44621</v>
      </c>
    </row>
    <row r="21" spans="1:8" x14ac:dyDescent="0.3">
      <c r="B21" s="6" t="s">
        <v>18</v>
      </c>
      <c r="C21" s="22"/>
      <c r="D21" s="22"/>
      <c r="E21" s="22"/>
      <c r="F21" s="22"/>
      <c r="G21" s="22"/>
      <c r="H21" s="12">
        <f t="shared" si="0"/>
        <v>44621</v>
      </c>
    </row>
    <row r="22" spans="1:8" x14ac:dyDescent="0.3">
      <c r="B22" s="6" t="s">
        <v>16</v>
      </c>
      <c r="C22" s="55"/>
      <c r="D22" s="22"/>
      <c r="E22" s="22"/>
      <c r="F22" s="22"/>
      <c r="G22" s="22"/>
      <c r="H22" s="12">
        <f t="shared" si="0"/>
        <v>44621</v>
      </c>
    </row>
    <row r="23" spans="1:8" x14ac:dyDescent="0.3">
      <c r="B23" s="50" t="s">
        <v>27</v>
      </c>
      <c r="C23" s="51">
        <f>SUM(February28_2022543[KSI_AGO])</f>
        <v>0</v>
      </c>
      <c r="D23" s="51">
        <f>SUBTOTAL(109,February28_2022543[KSI_PMS])</f>
        <v>162000</v>
      </c>
      <c r="E23" s="51">
        <f>SUM(February28_2022543[BUIPE_AGO])</f>
        <v>0</v>
      </c>
      <c r="F23" s="51">
        <f>SUM(February28_2022543[BUIPE_PMS])</f>
        <v>0</v>
      </c>
      <c r="G23" s="51">
        <f>SUM(February28_2022543[AKOSOMBO_AGO])</f>
        <v>0</v>
      </c>
      <c r="H23" s="52"/>
    </row>
    <row r="24" spans="1:8" x14ac:dyDescent="0.3">
      <c r="B24" s="8"/>
      <c r="C24" s="24"/>
      <c r="D24" s="24"/>
      <c r="E24" s="24"/>
      <c r="F24" s="24"/>
      <c r="G24" s="24"/>
      <c r="H24"/>
    </row>
    <row r="25" spans="1:8" x14ac:dyDescent="0.3">
      <c r="B25" s="1" t="s">
        <v>6</v>
      </c>
      <c r="C25" s="1" t="s">
        <v>4</v>
      </c>
      <c r="D25" s="5">
        <f>SUMIF(February28_2022543[[#Headers],[KSI_AGO]:[AKOSOMBO_AGO]],"*"&amp;C25,February28_2022543[[#Totals],[KSI_AGO]:[AKOSOMBO_AGO]])</f>
        <v>0</v>
      </c>
      <c r="E25" s="1" t="s">
        <v>5</v>
      </c>
      <c r="F25" s="5">
        <f>SUMIF(February28_2022543[[#Headers],[KSI_AGO]:[AKOSOMBO_AGO]],"*"&amp;E25,February28_2022543[[#Totals],[KSI_AGO]:[AKOSOMBO_AGO]])</f>
        <v>162000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3EB4A81-9F64-468C-BF66-C9BE85B11BAC}">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6F5F-2BED-42DE-8602-2C58408A324C}">
  <sheetPr codeName="Sheet542"/>
  <dimension ref="A1:J35"/>
  <sheetViews>
    <sheetView zoomScale="98" zoomScaleNormal="130" workbookViewId="0">
      <pane xSplit="2" ySplit="5" topLeftCell="C6" activePane="bottomRight" state="frozen"/>
      <selection activeCell="F31" sqref="F31:F33"/>
      <selection pane="topRight" activeCell="F31" sqref="F31:F33"/>
      <selection pane="bottomLeft" activeCell="F31" sqref="F31:F33"/>
      <selection pane="bottomRight" activeCell="D17" sqref="D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44622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44622</v>
      </c>
    </row>
    <row r="7" spans="2:10" x14ac:dyDescent="0.3">
      <c r="B7" s="6" t="s">
        <v>37</v>
      </c>
      <c r="C7" s="22"/>
      <c r="D7" s="53"/>
      <c r="E7" s="22"/>
      <c r="F7" s="22"/>
      <c r="G7" s="22"/>
      <c r="H7" s="67">
        <f t="shared" si="0"/>
        <v>44622</v>
      </c>
    </row>
    <row r="8" spans="2:10" x14ac:dyDescent="0.3">
      <c r="B8" s="6" t="s">
        <v>17</v>
      </c>
      <c r="C8" s="22">
        <v>54000</v>
      </c>
      <c r="D8" s="22"/>
      <c r="E8" s="22"/>
      <c r="F8" s="22"/>
      <c r="G8" s="22"/>
      <c r="H8" s="12">
        <f t="shared" si="0"/>
        <v>44622</v>
      </c>
    </row>
    <row r="9" spans="2:10" ht="15.6" x14ac:dyDescent="0.3">
      <c r="B9" s="34" t="s">
        <v>0</v>
      </c>
      <c r="C9" s="57">
        <v>864000</v>
      </c>
      <c r="D9" s="60"/>
      <c r="E9" s="61">
        <v>90000</v>
      </c>
      <c r="F9" s="117"/>
      <c r="G9" s="22">
        <v>423000</v>
      </c>
      <c r="H9" s="12">
        <f t="shared" si="0"/>
        <v>44622</v>
      </c>
    </row>
    <row r="10" spans="2:10" ht="16.2" customHeight="1" x14ac:dyDescent="0.3">
      <c r="B10" s="6" t="s">
        <v>25</v>
      </c>
      <c r="C10" s="22">
        <v>378000</v>
      </c>
      <c r="D10" s="22"/>
      <c r="E10" s="22">
        <v>324000</v>
      </c>
      <c r="F10" s="22"/>
      <c r="G10" s="22"/>
      <c r="H10" s="12">
        <f t="shared" si="0"/>
        <v>44622</v>
      </c>
    </row>
    <row r="11" spans="2:10" ht="13.5" customHeight="1" x14ac:dyDescent="0.3">
      <c r="B11" s="6" t="s">
        <v>15</v>
      </c>
      <c r="C11" s="22">
        <v>54000</v>
      </c>
      <c r="D11" s="22">
        <v>486000</v>
      </c>
      <c r="E11" s="22"/>
      <c r="F11" s="22"/>
      <c r="G11" s="57"/>
      <c r="H11" s="12">
        <f t="shared" si="0"/>
        <v>44622</v>
      </c>
    </row>
    <row r="12" spans="2:10" x14ac:dyDescent="0.3">
      <c r="B12" s="6" t="s">
        <v>54</v>
      </c>
      <c r="C12" s="22">
        <v>54000</v>
      </c>
      <c r="D12" s="22">
        <v>1120500</v>
      </c>
      <c r="E12" s="22"/>
      <c r="F12" s="22"/>
      <c r="G12" s="22"/>
      <c r="H12" s="67">
        <f t="shared" si="0"/>
        <v>44622</v>
      </c>
    </row>
    <row r="13" spans="2:10" x14ac:dyDescent="0.3">
      <c r="B13" s="6" t="s">
        <v>26</v>
      </c>
      <c r="C13" s="22"/>
      <c r="D13" s="22"/>
      <c r="E13" s="22"/>
      <c r="F13" s="22"/>
      <c r="G13" s="22"/>
      <c r="H13" s="12">
        <f t="shared" si="0"/>
        <v>44622</v>
      </c>
    </row>
    <row r="14" spans="2:10" x14ac:dyDescent="0.3">
      <c r="B14" s="6" t="s">
        <v>22</v>
      </c>
      <c r="C14" s="22"/>
      <c r="D14" s="23"/>
      <c r="E14" s="23"/>
      <c r="F14" s="23"/>
      <c r="G14" s="23"/>
      <c r="H14" s="12">
        <f t="shared" si="0"/>
        <v>44622</v>
      </c>
      <c r="J14" s="4"/>
    </row>
    <row r="15" spans="2:10" x14ac:dyDescent="0.3">
      <c r="B15" s="6" t="s">
        <v>61</v>
      </c>
      <c r="C15" s="57"/>
      <c r="D15" s="23"/>
      <c r="E15" s="23"/>
      <c r="F15" s="23"/>
      <c r="G15" s="23"/>
      <c r="H15" s="67">
        <f t="shared" si="0"/>
        <v>44622</v>
      </c>
      <c r="J15" s="4"/>
    </row>
    <row r="16" spans="2:10" x14ac:dyDescent="0.3">
      <c r="B16" s="6" t="s">
        <v>19</v>
      </c>
      <c r="C16" s="22"/>
      <c r="D16" s="62">
        <v>378000</v>
      </c>
      <c r="E16" s="22"/>
      <c r="F16" s="22"/>
      <c r="G16" s="22"/>
      <c r="H16" s="12">
        <f t="shared" si="0"/>
        <v>44622</v>
      </c>
    </row>
    <row r="17" spans="1:8" x14ac:dyDescent="0.3">
      <c r="B17" s="6" t="s">
        <v>14</v>
      </c>
      <c r="C17" s="22"/>
      <c r="D17" s="22">
        <v>54000</v>
      </c>
      <c r="E17" s="22"/>
      <c r="F17" s="22"/>
      <c r="G17" s="22"/>
      <c r="H17" s="12">
        <f t="shared" si="0"/>
        <v>44622</v>
      </c>
    </row>
    <row r="18" spans="1:8" x14ac:dyDescent="0.3">
      <c r="B18" s="6" t="s">
        <v>24</v>
      </c>
      <c r="C18" s="22"/>
      <c r="D18" s="22"/>
      <c r="E18" s="22"/>
      <c r="F18" s="22"/>
      <c r="G18" s="22"/>
      <c r="H18" s="12">
        <f t="shared" si="0"/>
        <v>44622</v>
      </c>
    </row>
    <row r="19" spans="1:8" x14ac:dyDescent="0.3">
      <c r="B19" s="6" t="s">
        <v>21</v>
      </c>
      <c r="C19" s="22"/>
      <c r="D19" s="22"/>
      <c r="E19" s="22"/>
      <c r="F19" s="22"/>
      <c r="G19" s="22"/>
      <c r="H19" s="67">
        <f t="shared" si="0"/>
        <v>44622</v>
      </c>
    </row>
    <row r="20" spans="1:8" x14ac:dyDescent="0.3">
      <c r="B20" s="6" t="s">
        <v>65</v>
      </c>
      <c r="C20" s="22"/>
      <c r="D20" s="22"/>
      <c r="E20" s="22"/>
      <c r="F20" s="22"/>
      <c r="G20" s="22"/>
      <c r="H20" s="12">
        <f t="shared" si="0"/>
        <v>44622</v>
      </c>
    </row>
    <row r="21" spans="1:8" x14ac:dyDescent="0.3">
      <c r="B21" s="6" t="s">
        <v>18</v>
      </c>
      <c r="C21" s="22"/>
      <c r="D21" s="22"/>
      <c r="E21" s="22"/>
      <c r="F21" s="22"/>
      <c r="G21" s="22"/>
      <c r="H21" s="12">
        <f t="shared" si="0"/>
        <v>44622</v>
      </c>
    </row>
    <row r="22" spans="1:8" x14ac:dyDescent="0.3">
      <c r="B22" s="6" t="s">
        <v>16</v>
      </c>
      <c r="C22" s="55"/>
      <c r="D22" s="22"/>
      <c r="E22" s="22"/>
      <c r="F22" s="22"/>
      <c r="G22" s="22"/>
      <c r="H22" s="12">
        <f t="shared" si="0"/>
        <v>44622</v>
      </c>
    </row>
    <row r="23" spans="1:8" x14ac:dyDescent="0.3">
      <c r="B23" s="50" t="s">
        <v>27</v>
      </c>
      <c r="C23" s="51">
        <f>SUM(March02_2022[KSI_AGO])</f>
        <v>1404000</v>
      </c>
      <c r="D23" s="51">
        <f>SUBTOTAL(109,March02_2022[KSI_PMS])</f>
        <v>2038500</v>
      </c>
      <c r="E23" s="51">
        <f>SUM(March02_2022[BUIPE_AGO])</f>
        <v>414000</v>
      </c>
      <c r="F23" s="51">
        <f>SUM(March02_2022[BUIPE_PMS])</f>
        <v>0</v>
      </c>
      <c r="G23" s="51">
        <f>SUM(March02_2022[AKOSOMBO_AGO])</f>
        <v>423000</v>
      </c>
      <c r="H23" s="52"/>
    </row>
    <row r="24" spans="1:8" x14ac:dyDescent="0.3">
      <c r="B24" s="8"/>
      <c r="C24" s="24"/>
      <c r="D24" s="24"/>
      <c r="E24" s="24"/>
      <c r="F24" s="24"/>
      <c r="G24" s="24"/>
      <c r="H24"/>
    </row>
    <row r="25" spans="1:8" x14ac:dyDescent="0.3">
      <c r="B25" s="1" t="s">
        <v>6</v>
      </c>
      <c r="C25" s="1" t="s">
        <v>4</v>
      </c>
      <c r="D25" s="5">
        <f>SUMIF(March02_2022[[#Headers],[KSI_AGO]:[AKOSOMBO_AGO]],"*"&amp;C25,March02_2022[[#Totals],[KSI_AGO]:[AKOSOMBO_AGO]])</f>
        <v>2241000</v>
      </c>
      <c r="E25" s="1" t="s">
        <v>5</v>
      </c>
      <c r="F25" s="5">
        <f>SUMIF(March02_2022[[#Headers],[KSI_AGO]:[AKOSOMBO_AGO]],"*"&amp;E25,March02_2022[[#Totals],[KSI_AGO]:[AKOSOMBO_AGO]])</f>
        <v>2038500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EF52108E-6FA1-4980-B7E7-E11A294E4B95}">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2AF8C-13DF-4C25-B67A-FDC06F445360}">
  <sheetPr codeName="Sheet543"/>
  <dimension ref="A1:J35"/>
  <sheetViews>
    <sheetView zoomScale="98" zoomScaleNormal="130" workbookViewId="0">
      <pane xSplit="2" ySplit="5" topLeftCell="F6" activePane="bottomRight" state="frozen"/>
      <selection activeCell="F31" sqref="F31:F33"/>
      <selection pane="topRight" activeCell="F31" sqref="F31:F33"/>
      <selection pane="bottomLeft" activeCell="F31" sqref="F31:F33"/>
      <selection pane="bottomRight" activeCell="F19" sqref="F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44623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44623</v>
      </c>
    </row>
    <row r="7" spans="2:10" x14ac:dyDescent="0.3">
      <c r="B7" s="6" t="s">
        <v>37</v>
      </c>
      <c r="C7" s="22"/>
      <c r="D7" s="53"/>
      <c r="E7" s="22"/>
      <c r="F7" s="22"/>
      <c r="G7" s="22"/>
      <c r="H7" s="67">
        <f t="shared" si="0"/>
        <v>44623</v>
      </c>
    </row>
    <row r="8" spans="2:10" x14ac:dyDescent="0.3">
      <c r="B8" s="6" t="s">
        <v>17</v>
      </c>
      <c r="C8" s="22"/>
      <c r="D8" s="22"/>
      <c r="E8" s="22"/>
      <c r="F8" s="22"/>
      <c r="G8" s="22"/>
      <c r="H8" s="12">
        <f t="shared" si="0"/>
        <v>44623</v>
      </c>
    </row>
    <row r="9" spans="2:10" ht="15.6" x14ac:dyDescent="0.3">
      <c r="B9" s="34" t="s">
        <v>0</v>
      </c>
      <c r="C9" s="57">
        <v>157500</v>
      </c>
      <c r="D9" s="60"/>
      <c r="E9" s="61"/>
      <c r="F9" s="117"/>
      <c r="G9" s="22">
        <v>594000</v>
      </c>
      <c r="H9" s="12">
        <f t="shared" si="0"/>
        <v>44623</v>
      </c>
    </row>
    <row r="10" spans="2:10" ht="16.2" customHeight="1" x14ac:dyDescent="0.3">
      <c r="B10" s="6" t="s">
        <v>25</v>
      </c>
      <c r="C10" s="22">
        <v>270000</v>
      </c>
      <c r="D10" s="22"/>
      <c r="E10" s="22"/>
      <c r="F10" s="22"/>
      <c r="G10" s="22"/>
      <c r="H10" s="12">
        <f t="shared" si="0"/>
        <v>44623</v>
      </c>
    </row>
    <row r="11" spans="2:10" ht="13.5" customHeight="1" x14ac:dyDescent="0.3">
      <c r="B11" s="6" t="s">
        <v>15</v>
      </c>
      <c r="C11" s="22">
        <v>427500</v>
      </c>
      <c r="D11" s="22">
        <v>589500</v>
      </c>
      <c r="E11" s="22"/>
      <c r="F11" s="22"/>
      <c r="G11" s="57"/>
      <c r="H11" s="12">
        <f t="shared" si="0"/>
        <v>44623</v>
      </c>
    </row>
    <row r="12" spans="2:10" x14ac:dyDescent="0.3">
      <c r="B12" s="6" t="s">
        <v>54</v>
      </c>
      <c r="C12" s="22">
        <v>270000</v>
      </c>
      <c r="D12" s="22">
        <v>796500</v>
      </c>
      <c r="E12" s="22"/>
      <c r="F12" s="22"/>
      <c r="G12" s="22"/>
      <c r="H12" s="67">
        <f t="shared" si="0"/>
        <v>44623</v>
      </c>
    </row>
    <row r="13" spans="2:10" x14ac:dyDescent="0.3">
      <c r="B13" s="6" t="s">
        <v>26</v>
      </c>
      <c r="C13" s="22"/>
      <c r="D13" s="22">
        <v>108000</v>
      </c>
      <c r="E13" s="22"/>
      <c r="F13" s="22"/>
      <c r="G13" s="22"/>
      <c r="H13" s="12">
        <f t="shared" si="0"/>
        <v>44623</v>
      </c>
    </row>
    <row r="14" spans="2:10" x14ac:dyDescent="0.3">
      <c r="B14" s="6" t="s">
        <v>22</v>
      </c>
      <c r="C14" s="22"/>
      <c r="D14" s="23"/>
      <c r="E14" s="23"/>
      <c r="F14" s="23"/>
      <c r="G14" s="23"/>
      <c r="H14" s="12">
        <f t="shared" si="0"/>
        <v>44623</v>
      </c>
      <c r="J14" s="4"/>
    </row>
    <row r="15" spans="2:10" x14ac:dyDescent="0.3">
      <c r="B15" s="6" t="s">
        <v>61</v>
      </c>
      <c r="C15" s="57"/>
      <c r="D15" s="23"/>
      <c r="E15" s="23"/>
      <c r="F15" s="23"/>
      <c r="G15" s="23"/>
      <c r="H15" s="67">
        <f t="shared" si="0"/>
        <v>44623</v>
      </c>
      <c r="J15" s="4"/>
    </row>
    <row r="16" spans="2:10" x14ac:dyDescent="0.3">
      <c r="B16" s="6" t="s">
        <v>19</v>
      </c>
      <c r="C16" s="22"/>
      <c r="D16" s="62">
        <v>162000</v>
      </c>
      <c r="E16" s="22"/>
      <c r="F16" s="22"/>
      <c r="G16" s="22"/>
      <c r="H16" s="12">
        <f t="shared" si="0"/>
        <v>44623</v>
      </c>
    </row>
    <row r="17" spans="1:8" x14ac:dyDescent="0.3">
      <c r="B17" s="6" t="s">
        <v>14</v>
      </c>
      <c r="C17" s="22">
        <v>270000</v>
      </c>
      <c r="D17" s="22"/>
      <c r="E17" s="22"/>
      <c r="F17" s="22"/>
      <c r="G17" s="22"/>
      <c r="H17" s="12">
        <f t="shared" si="0"/>
        <v>44623</v>
      </c>
    </row>
    <row r="18" spans="1:8" x14ac:dyDescent="0.3">
      <c r="B18" s="6" t="s">
        <v>24</v>
      </c>
      <c r="C18" s="22"/>
      <c r="D18" s="22"/>
      <c r="E18" s="22"/>
      <c r="F18" s="22"/>
      <c r="G18" s="22"/>
      <c r="H18" s="12">
        <f t="shared" si="0"/>
        <v>44623</v>
      </c>
    </row>
    <row r="19" spans="1:8" x14ac:dyDescent="0.3">
      <c r="B19" s="6" t="s">
        <v>21</v>
      </c>
      <c r="C19" s="22"/>
      <c r="D19" s="22"/>
      <c r="E19" s="22"/>
      <c r="F19" s="22"/>
      <c r="G19" s="22"/>
      <c r="H19" s="67">
        <f t="shared" si="0"/>
        <v>44623</v>
      </c>
    </row>
    <row r="20" spans="1:8" x14ac:dyDescent="0.3">
      <c r="B20" s="6" t="s">
        <v>65</v>
      </c>
      <c r="C20" s="22"/>
      <c r="D20" s="22"/>
      <c r="E20" s="22"/>
      <c r="F20" s="22"/>
      <c r="G20" s="22"/>
      <c r="H20" s="12">
        <f t="shared" si="0"/>
        <v>44623</v>
      </c>
    </row>
    <row r="21" spans="1:8" x14ac:dyDescent="0.3">
      <c r="B21" s="6" t="s">
        <v>18</v>
      </c>
      <c r="C21" s="22">
        <v>378000</v>
      </c>
      <c r="D21" s="22"/>
      <c r="E21" s="22">
        <v>216000</v>
      </c>
      <c r="F21" s="22"/>
      <c r="G21" s="22"/>
      <c r="H21" s="12">
        <f t="shared" si="0"/>
        <v>44623</v>
      </c>
    </row>
    <row r="22" spans="1:8" x14ac:dyDescent="0.3">
      <c r="B22" s="6" t="s">
        <v>16</v>
      </c>
      <c r="C22" s="55">
        <v>45000</v>
      </c>
      <c r="D22" s="22"/>
      <c r="E22" s="22"/>
      <c r="F22" s="22"/>
      <c r="G22" s="22"/>
      <c r="H22" s="12">
        <f t="shared" si="0"/>
        <v>44623</v>
      </c>
    </row>
    <row r="23" spans="1:8" x14ac:dyDescent="0.3">
      <c r="B23" s="50" t="s">
        <v>27</v>
      </c>
      <c r="C23" s="51">
        <f>SUM(March03_2022[KSI_AGO])</f>
        <v>1818000</v>
      </c>
      <c r="D23" s="51">
        <f>SUBTOTAL(109,March03_2022[KSI_PMS])</f>
        <v>1656000</v>
      </c>
      <c r="E23" s="51">
        <f>SUM(March03_2022[BUIPE_AGO])</f>
        <v>216000</v>
      </c>
      <c r="F23" s="51">
        <f>SUM(March03_2022[BUIPE_PMS])</f>
        <v>0</v>
      </c>
      <c r="G23" s="51">
        <f>SUM(March03_2022[AKOSOMBO_AGO])</f>
        <v>594000</v>
      </c>
      <c r="H23" s="52"/>
    </row>
    <row r="24" spans="1:8" x14ac:dyDescent="0.3">
      <c r="B24" s="8"/>
      <c r="C24" s="24"/>
      <c r="D24" s="24"/>
      <c r="E24" s="24"/>
      <c r="F24" s="24"/>
      <c r="G24" s="24"/>
      <c r="H24"/>
    </row>
    <row r="25" spans="1:8" x14ac:dyDescent="0.3">
      <c r="B25" s="1" t="s">
        <v>6</v>
      </c>
      <c r="C25" s="1" t="s">
        <v>4</v>
      </c>
      <c r="D25" s="5">
        <f>SUMIF(March03_2022[[#Headers],[KSI_AGO]:[AKOSOMBO_AGO]],"*"&amp;C25,March03_2022[[#Totals],[KSI_AGO]:[AKOSOMBO_AGO]])</f>
        <v>2628000</v>
      </c>
      <c r="E25" s="1" t="s">
        <v>5</v>
      </c>
      <c r="F25" s="5">
        <f>SUMIF(March03_2022[[#Headers],[KSI_AGO]:[AKOSOMBO_AGO]],"*"&amp;E25,March03_2022[[#Totals],[KSI_AGO]:[AKOSOMBO_AGO]])</f>
        <v>1656000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07E03D15-40F3-4F59-9860-3446F618C439}">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F0345-719C-4E5A-B2B9-B823F4C6F195}">
  <sheetPr codeName="Sheet544"/>
  <dimension ref="A1:J35"/>
  <sheetViews>
    <sheetView zoomScale="85" zoomScaleNormal="85" workbookViewId="0">
      <pane xSplit="2" ySplit="5" topLeftCell="C20" activePane="bottomRight" state="frozen"/>
      <selection activeCell="F31" sqref="F31:F33"/>
      <selection pane="topRight" activeCell="F31" sqref="F31:F33"/>
      <selection pane="bottomLeft" activeCell="F31" sqref="F31:F33"/>
      <selection pane="bottomRight" activeCell="G23" sqref="G2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44624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44624</v>
      </c>
    </row>
    <row r="7" spans="2:10" x14ac:dyDescent="0.3">
      <c r="B7" s="6" t="s">
        <v>37</v>
      </c>
      <c r="C7" s="22">
        <v>157000</v>
      </c>
      <c r="D7" s="53"/>
      <c r="E7" s="22"/>
      <c r="F7" s="22"/>
      <c r="G7" s="22"/>
      <c r="H7" s="67">
        <f t="shared" si="0"/>
        <v>44624</v>
      </c>
    </row>
    <row r="8" spans="2:10" x14ac:dyDescent="0.3">
      <c r="B8" s="6" t="s">
        <v>17</v>
      </c>
      <c r="C8" s="22">
        <v>90000</v>
      </c>
      <c r="D8" s="22"/>
      <c r="E8" s="22"/>
      <c r="F8" s="22"/>
      <c r="G8" s="22"/>
      <c r="H8" s="12">
        <f t="shared" si="0"/>
        <v>44624</v>
      </c>
    </row>
    <row r="9" spans="2:10" ht="15.6" x14ac:dyDescent="0.3">
      <c r="B9" s="34" t="s">
        <v>0</v>
      </c>
      <c r="C9" s="57">
        <v>320000</v>
      </c>
      <c r="D9" s="60"/>
      <c r="E9" s="61"/>
      <c r="F9" s="117"/>
      <c r="G9" s="22">
        <v>311000</v>
      </c>
      <c r="H9" s="12">
        <f t="shared" si="0"/>
        <v>44624</v>
      </c>
    </row>
    <row r="10" spans="2:10" ht="16.2" customHeight="1" x14ac:dyDescent="0.3">
      <c r="B10" s="6" t="s">
        <v>25</v>
      </c>
      <c r="C10" s="22"/>
      <c r="D10" s="22">
        <v>806000</v>
      </c>
      <c r="E10" s="22"/>
      <c r="F10" s="22"/>
      <c r="G10" s="22"/>
      <c r="H10" s="12">
        <f t="shared" si="0"/>
        <v>44624</v>
      </c>
    </row>
    <row r="11" spans="2:10" ht="13.5" customHeight="1" x14ac:dyDescent="0.3">
      <c r="B11" s="6" t="s">
        <v>15</v>
      </c>
      <c r="C11" s="22"/>
      <c r="D11" s="22">
        <v>104000</v>
      </c>
      <c r="E11" s="22"/>
      <c r="F11" s="22"/>
      <c r="G11" s="57"/>
      <c r="H11" s="12">
        <f t="shared" si="0"/>
        <v>44624</v>
      </c>
    </row>
    <row r="12" spans="2:10" x14ac:dyDescent="0.3">
      <c r="B12" s="6" t="s">
        <v>54</v>
      </c>
      <c r="C12" s="22">
        <v>211500</v>
      </c>
      <c r="D12" s="22">
        <v>693000</v>
      </c>
      <c r="E12" s="22"/>
      <c r="F12" s="22"/>
      <c r="G12" s="22"/>
      <c r="H12" s="67">
        <f t="shared" si="0"/>
        <v>44624</v>
      </c>
    </row>
    <row r="13" spans="2:10" x14ac:dyDescent="0.3">
      <c r="B13" s="6" t="s">
        <v>26</v>
      </c>
      <c r="C13" s="22"/>
      <c r="D13" s="22"/>
      <c r="E13" s="22"/>
      <c r="F13" s="22"/>
      <c r="G13" s="22"/>
      <c r="H13" s="12">
        <f t="shared" si="0"/>
        <v>44624</v>
      </c>
    </row>
    <row r="14" spans="2:10" x14ac:dyDescent="0.3">
      <c r="B14" s="6" t="s">
        <v>22</v>
      </c>
      <c r="C14" s="22"/>
      <c r="D14" s="23"/>
      <c r="E14" s="23"/>
      <c r="F14" s="23"/>
      <c r="G14" s="23"/>
      <c r="H14" s="12">
        <f t="shared" si="0"/>
        <v>44624</v>
      </c>
      <c r="J14" s="4"/>
    </row>
    <row r="15" spans="2:10" x14ac:dyDescent="0.3">
      <c r="B15" s="6" t="s">
        <v>61</v>
      </c>
      <c r="C15" s="57"/>
      <c r="D15" s="23"/>
      <c r="E15" s="23"/>
      <c r="F15" s="23"/>
      <c r="G15" s="23"/>
      <c r="H15" s="67">
        <f t="shared" si="0"/>
        <v>44624</v>
      </c>
      <c r="J15" s="4"/>
    </row>
    <row r="16" spans="2:10" x14ac:dyDescent="0.3">
      <c r="B16" s="6" t="s">
        <v>19</v>
      </c>
      <c r="C16" s="22"/>
      <c r="D16" s="62"/>
      <c r="E16" s="22"/>
      <c r="F16" s="22"/>
      <c r="G16" s="22"/>
      <c r="H16" s="12">
        <f t="shared" si="0"/>
        <v>44624</v>
      </c>
    </row>
    <row r="17" spans="1:8" x14ac:dyDescent="0.3">
      <c r="B17" s="6" t="s">
        <v>14</v>
      </c>
      <c r="C17" s="22">
        <v>265500</v>
      </c>
      <c r="D17" s="22"/>
      <c r="E17" s="22"/>
      <c r="F17" s="22"/>
      <c r="G17" s="22">
        <v>108000</v>
      </c>
      <c r="H17" s="12">
        <f t="shared" si="0"/>
        <v>44624</v>
      </c>
    </row>
    <row r="18" spans="1:8" x14ac:dyDescent="0.3">
      <c r="B18" s="6" t="s">
        <v>24</v>
      </c>
      <c r="C18" s="22"/>
      <c r="D18" s="22"/>
      <c r="E18" s="22"/>
      <c r="F18" s="22"/>
      <c r="G18" s="22"/>
      <c r="H18" s="12">
        <f t="shared" si="0"/>
        <v>44624</v>
      </c>
    </row>
    <row r="19" spans="1:8" x14ac:dyDescent="0.3">
      <c r="B19" s="6" t="s">
        <v>21</v>
      </c>
      <c r="C19" s="22"/>
      <c r="D19" s="22"/>
      <c r="E19" s="22"/>
      <c r="F19" s="22"/>
      <c r="G19" s="22"/>
      <c r="H19" s="67">
        <f t="shared" si="0"/>
        <v>44624</v>
      </c>
    </row>
    <row r="20" spans="1:8" x14ac:dyDescent="0.3">
      <c r="B20" s="6" t="s">
        <v>65</v>
      </c>
      <c r="C20" s="22"/>
      <c r="D20" s="22"/>
      <c r="E20" s="22"/>
      <c r="F20" s="22"/>
      <c r="G20" s="22"/>
      <c r="H20" s="12">
        <f t="shared" si="0"/>
        <v>44624</v>
      </c>
    </row>
    <row r="21" spans="1:8" x14ac:dyDescent="0.3">
      <c r="B21" s="6" t="s">
        <v>18</v>
      </c>
      <c r="C21" s="22">
        <v>54000</v>
      </c>
      <c r="D21" s="22">
        <v>45000</v>
      </c>
      <c r="E21" s="22"/>
      <c r="F21" s="22"/>
      <c r="G21" s="22"/>
      <c r="H21" s="12">
        <f t="shared" si="0"/>
        <v>44624</v>
      </c>
    </row>
    <row r="22" spans="1:8" x14ac:dyDescent="0.3">
      <c r="B22" s="6" t="s">
        <v>16</v>
      </c>
      <c r="C22" s="55">
        <v>108000</v>
      </c>
      <c r="D22" s="22"/>
      <c r="E22" s="22"/>
      <c r="F22" s="22"/>
      <c r="G22" s="22">
        <v>162000</v>
      </c>
      <c r="H22" s="12">
        <f t="shared" si="0"/>
        <v>44624</v>
      </c>
    </row>
    <row r="23" spans="1:8" x14ac:dyDescent="0.3">
      <c r="B23" s="50" t="s">
        <v>27</v>
      </c>
      <c r="C23" s="51">
        <f>SUM(March04_2022[KSI_AGO])</f>
        <v>1206000</v>
      </c>
      <c r="D23" s="51">
        <f>SUBTOTAL(109,March04_2022[KSI_PMS])</f>
        <v>1648000</v>
      </c>
      <c r="E23" s="51">
        <f>SUM(March04_2022[BUIPE_AGO])</f>
        <v>0</v>
      </c>
      <c r="F23" s="51">
        <f>SUM(March04_2022[BUIPE_PMS])</f>
        <v>0</v>
      </c>
      <c r="G23" s="51">
        <f>SUM(March04_2022[AKOSOMBO_AGO])</f>
        <v>581000</v>
      </c>
      <c r="H23" s="52"/>
    </row>
    <row r="24" spans="1:8" x14ac:dyDescent="0.3">
      <c r="B24" s="8"/>
      <c r="C24" s="24"/>
      <c r="D24" s="24"/>
      <c r="E24" s="24"/>
      <c r="F24" s="24"/>
      <c r="G24" s="24"/>
      <c r="H24"/>
    </row>
    <row r="25" spans="1:8" x14ac:dyDescent="0.3">
      <c r="B25" s="1" t="s">
        <v>6</v>
      </c>
      <c r="C25" s="1" t="s">
        <v>4</v>
      </c>
      <c r="D25" s="5">
        <f>SUMIF(March04_2022[[#Headers],[KSI_AGO]:[AKOSOMBO_AGO]],"*"&amp;C25,March04_2022[[#Totals],[KSI_AGO]:[AKOSOMBO_AGO]])</f>
        <v>1787000</v>
      </c>
      <c r="E25" s="1" t="s">
        <v>5</v>
      </c>
      <c r="F25" s="5">
        <f>SUMIF(March04_2022[[#Headers],[KSI_AGO]:[AKOSOMBO_AGO]],"*"&amp;E25,March04_2022[[#Totals],[KSI_AGO]:[AKOSOMBO_AGO]])</f>
        <v>1648000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549B4C25-2A63-40DB-87E4-BBD23442297C}">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45D8F-A777-44B4-907C-D73E250D1A08}">
  <sheetPr codeName="Sheet545"/>
  <dimension ref="A1:J35"/>
  <sheetViews>
    <sheetView zoomScale="85" zoomScaleNormal="85" workbookViewId="0">
      <pane xSplit="2" ySplit="5" topLeftCell="C6" activePane="bottomRight" state="frozen"/>
      <selection activeCell="F31" sqref="F31:F33"/>
      <selection pane="topRight" activeCell="F31" sqref="F31:F33"/>
      <selection pane="bottomLeft" activeCell="F31" sqref="F31:F33"/>
      <selection pane="bottomRight" activeCell="D29" sqref="D2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44628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44628</v>
      </c>
    </row>
    <row r="7" spans="2:10" x14ac:dyDescent="0.3">
      <c r="B7" s="6" t="s">
        <v>37</v>
      </c>
      <c r="C7" s="22">
        <v>108000</v>
      </c>
      <c r="D7" s="53"/>
      <c r="E7" s="22"/>
      <c r="F7" s="22"/>
      <c r="G7" s="22"/>
      <c r="H7" s="67">
        <f t="shared" si="0"/>
        <v>44628</v>
      </c>
    </row>
    <row r="8" spans="2:10" x14ac:dyDescent="0.3">
      <c r="B8" s="6" t="s">
        <v>17</v>
      </c>
      <c r="C8" s="22">
        <v>90000</v>
      </c>
      <c r="D8" s="22"/>
      <c r="E8" s="22"/>
      <c r="F8" s="22"/>
      <c r="G8" s="22"/>
      <c r="H8" s="12">
        <f t="shared" si="0"/>
        <v>44628</v>
      </c>
    </row>
    <row r="9" spans="2:10" ht="15.6" x14ac:dyDescent="0.3">
      <c r="B9" s="34" t="s">
        <v>0</v>
      </c>
      <c r="C9" s="57">
        <v>378000</v>
      </c>
      <c r="D9" s="60"/>
      <c r="E9" s="61"/>
      <c r="F9" s="117"/>
      <c r="G9" s="22">
        <v>54000</v>
      </c>
      <c r="H9" s="12">
        <f t="shared" si="0"/>
        <v>44628</v>
      </c>
    </row>
    <row r="10" spans="2:10" ht="16.2" customHeight="1" x14ac:dyDescent="0.3">
      <c r="B10" s="6" t="s">
        <v>25</v>
      </c>
      <c r="C10" s="22"/>
      <c r="D10" s="22">
        <v>464500</v>
      </c>
      <c r="E10" s="22"/>
      <c r="F10" s="22"/>
      <c r="G10" s="22"/>
      <c r="H10" s="12">
        <f t="shared" si="0"/>
        <v>44628</v>
      </c>
    </row>
    <row r="11" spans="2:10" ht="13.5" customHeight="1" x14ac:dyDescent="0.3">
      <c r="B11" s="6" t="s">
        <v>15</v>
      </c>
      <c r="C11" s="22">
        <v>108000</v>
      </c>
      <c r="D11" s="22">
        <v>49500</v>
      </c>
      <c r="E11" s="22"/>
      <c r="F11" s="22"/>
      <c r="G11" s="57"/>
      <c r="H11" s="12">
        <f t="shared" si="0"/>
        <v>44628</v>
      </c>
    </row>
    <row r="12" spans="2:10" x14ac:dyDescent="0.3">
      <c r="B12" s="6" t="s">
        <v>54</v>
      </c>
      <c r="C12" s="22">
        <v>162000</v>
      </c>
      <c r="D12" s="22">
        <v>54000</v>
      </c>
      <c r="E12" s="22"/>
      <c r="F12" s="22"/>
      <c r="G12" s="22"/>
      <c r="H12" s="67">
        <f t="shared" si="0"/>
        <v>44628</v>
      </c>
    </row>
    <row r="13" spans="2:10" x14ac:dyDescent="0.3">
      <c r="B13" s="6" t="s">
        <v>26</v>
      </c>
      <c r="C13" s="22">
        <v>50000</v>
      </c>
      <c r="D13" s="22"/>
      <c r="E13" s="22"/>
      <c r="F13" s="22"/>
      <c r="G13" s="22"/>
      <c r="H13" s="12">
        <f t="shared" si="0"/>
        <v>44628</v>
      </c>
    </row>
    <row r="14" spans="2:10" x14ac:dyDescent="0.3">
      <c r="B14" s="6" t="s">
        <v>22</v>
      </c>
      <c r="C14" s="22"/>
      <c r="D14" s="23"/>
      <c r="E14" s="23"/>
      <c r="F14" s="23"/>
      <c r="G14" s="23"/>
      <c r="H14" s="12">
        <f t="shared" si="0"/>
        <v>44628</v>
      </c>
      <c r="J14" s="4"/>
    </row>
    <row r="15" spans="2:10" x14ac:dyDescent="0.3">
      <c r="B15" s="6" t="s">
        <v>61</v>
      </c>
      <c r="C15" s="57"/>
      <c r="D15" s="23"/>
      <c r="E15" s="23"/>
      <c r="F15" s="23"/>
      <c r="G15" s="23"/>
      <c r="H15" s="67">
        <f t="shared" si="0"/>
        <v>44628</v>
      </c>
      <c r="J15" s="4"/>
    </row>
    <row r="16" spans="2:10" x14ac:dyDescent="0.3">
      <c r="B16" s="6" t="s">
        <v>19</v>
      </c>
      <c r="C16" s="22"/>
      <c r="D16" s="62">
        <v>810000</v>
      </c>
      <c r="E16" s="22"/>
      <c r="F16" s="22"/>
      <c r="G16" s="22"/>
      <c r="H16" s="12">
        <f t="shared" si="0"/>
        <v>44628</v>
      </c>
    </row>
    <row r="17" spans="1:8" x14ac:dyDescent="0.3">
      <c r="B17" s="6" t="s">
        <v>14</v>
      </c>
      <c r="C17" s="22">
        <v>216000</v>
      </c>
      <c r="D17" s="22"/>
      <c r="E17" s="22"/>
      <c r="F17" s="22"/>
      <c r="G17" s="22">
        <v>162000</v>
      </c>
      <c r="H17" s="12">
        <f t="shared" si="0"/>
        <v>44628</v>
      </c>
    </row>
    <row r="18" spans="1:8" x14ac:dyDescent="0.3">
      <c r="B18" s="6" t="s">
        <v>24</v>
      </c>
      <c r="C18" s="22"/>
      <c r="D18" s="22"/>
      <c r="E18" s="22"/>
      <c r="F18" s="22"/>
      <c r="G18" s="22"/>
      <c r="H18" s="12">
        <f t="shared" si="0"/>
        <v>44628</v>
      </c>
    </row>
    <row r="19" spans="1:8" x14ac:dyDescent="0.3">
      <c r="B19" s="6" t="s">
        <v>21</v>
      </c>
      <c r="C19" s="22"/>
      <c r="D19" s="22"/>
      <c r="E19" s="22"/>
      <c r="F19" s="22"/>
      <c r="G19" s="22"/>
      <c r="H19" s="67">
        <f t="shared" si="0"/>
        <v>44628</v>
      </c>
    </row>
    <row r="20" spans="1:8" x14ac:dyDescent="0.3">
      <c r="B20" s="6" t="s">
        <v>65</v>
      </c>
      <c r="C20" s="22"/>
      <c r="D20" s="22"/>
      <c r="E20" s="22"/>
      <c r="F20" s="22"/>
      <c r="G20" s="22"/>
      <c r="H20" s="12">
        <f t="shared" si="0"/>
        <v>44628</v>
      </c>
    </row>
    <row r="21" spans="1:8" x14ac:dyDescent="0.3">
      <c r="B21" s="6" t="s">
        <v>18</v>
      </c>
      <c r="C21" s="22"/>
      <c r="D21" s="22"/>
      <c r="E21" s="22"/>
      <c r="F21" s="22"/>
      <c r="G21" s="22"/>
      <c r="H21" s="12">
        <f t="shared" si="0"/>
        <v>44628</v>
      </c>
    </row>
    <row r="22" spans="1:8" x14ac:dyDescent="0.3">
      <c r="B22" s="6" t="s">
        <v>16</v>
      </c>
      <c r="C22" s="55">
        <v>324000</v>
      </c>
      <c r="D22" s="22"/>
      <c r="E22" s="22"/>
      <c r="F22" s="22"/>
      <c r="G22" s="22">
        <v>216000</v>
      </c>
      <c r="H22" s="12">
        <f t="shared" si="0"/>
        <v>44628</v>
      </c>
    </row>
    <row r="23" spans="1:8" x14ac:dyDescent="0.3">
      <c r="B23" s="50" t="s">
        <v>27</v>
      </c>
      <c r="C23" s="51">
        <f>SUM(March08_2022[KSI_AGO])</f>
        <v>1436000</v>
      </c>
      <c r="D23" s="51">
        <f>SUBTOTAL(109,March08_2022[KSI_PMS])</f>
        <v>1378000</v>
      </c>
      <c r="E23" s="51">
        <f>SUM(March08_2022[BUIPE_AGO])</f>
        <v>0</v>
      </c>
      <c r="F23" s="51">
        <f>SUM(March08_2022[BUIPE_PMS])</f>
        <v>0</v>
      </c>
      <c r="G23" s="51">
        <f>SUM(March08_2022[AKOSOMBO_AGO])</f>
        <v>432000</v>
      </c>
      <c r="H23" s="52"/>
    </row>
    <row r="24" spans="1:8" x14ac:dyDescent="0.3">
      <c r="B24" s="8"/>
      <c r="C24" s="24"/>
      <c r="D24" s="24"/>
      <c r="E24" s="24"/>
      <c r="F24" s="24"/>
      <c r="G24" s="24"/>
      <c r="H24"/>
    </row>
    <row r="25" spans="1:8" x14ac:dyDescent="0.3">
      <c r="B25" s="1" t="s">
        <v>6</v>
      </c>
      <c r="C25" s="1" t="s">
        <v>4</v>
      </c>
      <c r="D25" s="5">
        <f>SUMIF(March08_2022[[#Headers],[KSI_AGO]:[AKOSOMBO_AGO]],"*"&amp;C25,March08_2022[[#Totals],[KSI_AGO]:[AKOSOMBO_AGO]])</f>
        <v>1868000</v>
      </c>
      <c r="E25" s="1" t="s">
        <v>5</v>
      </c>
      <c r="F25" s="5">
        <f>SUMIF(March08_2022[[#Headers],[KSI_AGO]:[AKOSOMBO_AGO]],"*"&amp;E25,March08_2022[[#Totals],[KSI_AGO]:[AKOSOMBO_AGO]])</f>
        <v>1378000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E90EC590-CC00-4E95-9FB1-969037DE92D9}">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71EF7-13C0-4C1D-8583-03D7EC5E6D59}">
  <sheetPr codeName="Sheet546"/>
  <dimension ref="A1:J35"/>
  <sheetViews>
    <sheetView zoomScale="85" zoomScaleNormal="85" workbookViewId="0">
      <pane xSplit="2" ySplit="5" topLeftCell="C6" activePane="bottomRight" state="frozen"/>
      <selection activeCell="F31" sqref="F31:F33"/>
      <selection pane="topRight" activeCell="F31" sqref="F31:F33"/>
      <selection pane="bottomLeft" activeCell="F31" sqref="F31:F33"/>
      <selection pane="bottomRight" activeCell="F31" sqref="F3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44629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44629</v>
      </c>
    </row>
    <row r="7" spans="2:10" x14ac:dyDescent="0.3">
      <c r="B7" s="6" t="s">
        <v>37</v>
      </c>
      <c r="C7" s="22"/>
      <c r="D7" s="53"/>
      <c r="E7" s="22"/>
      <c r="F7" s="22"/>
      <c r="G7" s="22"/>
      <c r="H7" s="67">
        <f t="shared" si="0"/>
        <v>44629</v>
      </c>
    </row>
    <row r="8" spans="2:10" x14ac:dyDescent="0.3">
      <c r="B8" s="6" t="s">
        <v>17</v>
      </c>
      <c r="C8" s="22"/>
      <c r="D8" s="22"/>
      <c r="E8" s="22"/>
      <c r="F8" s="22"/>
      <c r="G8" s="22"/>
      <c r="H8" s="12">
        <f t="shared" si="0"/>
        <v>44629</v>
      </c>
    </row>
    <row r="9" spans="2:10" ht="15.6" x14ac:dyDescent="0.3">
      <c r="B9" s="34" t="s">
        <v>0</v>
      </c>
      <c r="C9" s="57">
        <v>540000</v>
      </c>
      <c r="D9" s="60"/>
      <c r="E9" s="61"/>
      <c r="F9" s="117"/>
      <c r="G9" s="22"/>
      <c r="H9" s="12">
        <f t="shared" si="0"/>
        <v>44629</v>
      </c>
    </row>
    <row r="10" spans="2:10" ht="16.2" customHeight="1" x14ac:dyDescent="0.3">
      <c r="B10" s="6" t="s">
        <v>25</v>
      </c>
      <c r="C10" s="22">
        <v>54000</v>
      </c>
      <c r="D10" s="22"/>
      <c r="E10" s="22"/>
      <c r="F10" s="22"/>
      <c r="G10" s="22"/>
      <c r="H10" s="12">
        <f t="shared" si="0"/>
        <v>44629</v>
      </c>
    </row>
    <row r="11" spans="2:10" ht="13.5" customHeight="1" x14ac:dyDescent="0.3">
      <c r="B11" s="6" t="s">
        <v>15</v>
      </c>
      <c r="C11" s="22">
        <v>216000</v>
      </c>
      <c r="D11" s="22"/>
      <c r="E11" s="22"/>
      <c r="F11" s="22"/>
      <c r="G11" s="57"/>
      <c r="H11" s="12">
        <f t="shared" si="0"/>
        <v>44629</v>
      </c>
    </row>
    <row r="12" spans="2:10" x14ac:dyDescent="0.3">
      <c r="B12" s="6" t="s">
        <v>54</v>
      </c>
      <c r="C12" s="22">
        <v>522000</v>
      </c>
      <c r="D12" s="22"/>
      <c r="E12" s="22"/>
      <c r="F12" s="22"/>
      <c r="G12" s="22"/>
      <c r="H12" s="67">
        <f t="shared" si="0"/>
        <v>44629</v>
      </c>
    </row>
    <row r="13" spans="2:10" x14ac:dyDescent="0.3">
      <c r="B13" s="6" t="s">
        <v>26</v>
      </c>
      <c r="C13" s="22"/>
      <c r="D13" s="22"/>
      <c r="E13" s="22"/>
      <c r="F13" s="22"/>
      <c r="G13" s="22"/>
      <c r="H13" s="12">
        <f t="shared" si="0"/>
        <v>44629</v>
      </c>
    </row>
    <row r="14" spans="2:10" x14ac:dyDescent="0.3">
      <c r="B14" s="6" t="s">
        <v>22</v>
      </c>
      <c r="C14" s="22"/>
      <c r="D14" s="23"/>
      <c r="E14" s="23"/>
      <c r="F14" s="23"/>
      <c r="G14" s="23"/>
      <c r="H14" s="12">
        <f t="shared" si="0"/>
        <v>44629</v>
      </c>
      <c r="J14" s="4"/>
    </row>
    <row r="15" spans="2:10" x14ac:dyDescent="0.3">
      <c r="B15" s="6" t="s">
        <v>61</v>
      </c>
      <c r="C15" s="57"/>
      <c r="D15" s="23"/>
      <c r="E15" s="23"/>
      <c r="F15" s="23"/>
      <c r="G15" s="23"/>
      <c r="H15" s="67">
        <f t="shared" si="0"/>
        <v>44629</v>
      </c>
      <c r="J15" s="4"/>
    </row>
    <row r="16" spans="2:10" x14ac:dyDescent="0.3">
      <c r="B16" s="6" t="s">
        <v>19</v>
      </c>
      <c r="C16" s="22"/>
      <c r="D16" s="62">
        <v>216000</v>
      </c>
      <c r="E16" s="22"/>
      <c r="F16" s="22"/>
      <c r="G16" s="22"/>
      <c r="H16" s="12">
        <f t="shared" si="0"/>
        <v>44629</v>
      </c>
    </row>
    <row r="17" spans="1:8" x14ac:dyDescent="0.3">
      <c r="B17" s="6" t="s">
        <v>14</v>
      </c>
      <c r="C17" s="22">
        <v>431500</v>
      </c>
      <c r="D17" s="22"/>
      <c r="E17" s="22"/>
      <c r="F17" s="22"/>
      <c r="G17" s="22">
        <v>810000</v>
      </c>
      <c r="H17" s="12">
        <f t="shared" si="0"/>
        <v>44629</v>
      </c>
    </row>
    <row r="18" spans="1:8" x14ac:dyDescent="0.3">
      <c r="B18" s="6" t="s">
        <v>24</v>
      </c>
      <c r="C18" s="22"/>
      <c r="D18" s="22"/>
      <c r="E18" s="22"/>
      <c r="F18" s="22"/>
      <c r="G18" s="22"/>
      <c r="H18" s="12">
        <f t="shared" si="0"/>
        <v>44629</v>
      </c>
    </row>
    <row r="19" spans="1:8" x14ac:dyDescent="0.3">
      <c r="B19" s="6" t="s">
        <v>21</v>
      </c>
      <c r="C19" s="22"/>
      <c r="D19" s="22"/>
      <c r="E19" s="22"/>
      <c r="F19" s="22"/>
      <c r="G19" s="22"/>
      <c r="H19" s="67">
        <f t="shared" si="0"/>
        <v>44629</v>
      </c>
    </row>
    <row r="20" spans="1:8" x14ac:dyDescent="0.3">
      <c r="B20" s="6" t="s">
        <v>65</v>
      </c>
      <c r="C20" s="22"/>
      <c r="D20" s="22"/>
      <c r="E20" s="22"/>
      <c r="F20" s="22"/>
      <c r="G20" s="22"/>
      <c r="H20" s="12">
        <f t="shared" si="0"/>
        <v>44629</v>
      </c>
    </row>
    <row r="21" spans="1:8" x14ac:dyDescent="0.3">
      <c r="B21" s="6" t="s">
        <v>18</v>
      </c>
      <c r="C21" s="22"/>
      <c r="D21" s="22"/>
      <c r="E21" s="22"/>
      <c r="F21" s="22"/>
      <c r="G21" s="22"/>
      <c r="H21" s="12">
        <f t="shared" si="0"/>
        <v>44629</v>
      </c>
    </row>
    <row r="22" spans="1:8" x14ac:dyDescent="0.3">
      <c r="B22" s="6" t="s">
        <v>16</v>
      </c>
      <c r="C22" s="55">
        <v>378000</v>
      </c>
      <c r="D22" s="22"/>
      <c r="E22" s="22"/>
      <c r="F22" s="22"/>
      <c r="G22" s="22"/>
      <c r="H22" s="12">
        <f t="shared" si="0"/>
        <v>44629</v>
      </c>
    </row>
    <row r="23" spans="1:8" x14ac:dyDescent="0.3">
      <c r="B23" s="50" t="s">
        <v>27</v>
      </c>
      <c r="C23" s="51">
        <f>SUM(March09_2022[KSI_AGO])</f>
        <v>2141500</v>
      </c>
      <c r="D23" s="51">
        <f>SUBTOTAL(109,March09_2022[KSI_PMS])</f>
        <v>216000</v>
      </c>
      <c r="E23" s="51">
        <f>SUM(March09_2022[BUIPE_AGO])</f>
        <v>0</v>
      </c>
      <c r="F23" s="51">
        <f>SUM(March09_2022[BUIPE_PMS])</f>
        <v>0</v>
      </c>
      <c r="G23" s="51">
        <f>SUM(March09_2022[AKOSOMBO_AGO])</f>
        <v>810000</v>
      </c>
      <c r="H23" s="52"/>
    </row>
    <row r="24" spans="1:8" x14ac:dyDescent="0.3">
      <c r="B24" s="8"/>
      <c r="C24" s="24"/>
      <c r="D24" s="24"/>
      <c r="E24" s="24"/>
      <c r="F24" s="24"/>
      <c r="G24" s="24"/>
      <c r="H24"/>
    </row>
    <row r="25" spans="1:8" x14ac:dyDescent="0.3">
      <c r="B25" s="1" t="s">
        <v>6</v>
      </c>
      <c r="C25" s="1" t="s">
        <v>4</v>
      </c>
      <c r="D25" s="5">
        <f>SUMIF(March09_2022[[#Headers],[KSI_AGO]:[AKOSOMBO_AGO]],"*"&amp;C25,March09_2022[[#Totals],[KSI_AGO]:[AKOSOMBO_AGO]])</f>
        <v>2951500</v>
      </c>
      <c r="E25" s="1" t="s">
        <v>5</v>
      </c>
      <c r="F25" s="5">
        <f>SUMIF(March09_2022[[#Headers],[KSI_AGO]:[AKOSOMBO_AGO]],"*"&amp;E25,March09_2022[[#Totals],[KSI_AGO]:[AKOSOMBO_AGO]])</f>
        <v>216000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D87BF1A4-2C0C-4457-B28D-10E024FC3FE6}">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105D-3C57-4873-80EA-E979977CC175}">
  <sheetPr codeName="Sheet547"/>
  <dimension ref="A1:J35"/>
  <sheetViews>
    <sheetView zoomScale="85" zoomScaleNormal="85" workbookViewId="0">
      <pane xSplit="2" ySplit="5" topLeftCell="C6" activePane="bottomRight" state="frozen"/>
      <selection activeCell="F31" sqref="F31:F33"/>
      <selection pane="topRight" activeCell="F31" sqref="F31:F33"/>
      <selection pane="bottomLeft" activeCell="F31" sqref="F31:F33"/>
      <selection pane="bottomRight" activeCell="G9" sqref="G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44630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120"/>
      <c r="D6" s="22"/>
      <c r="E6" s="45"/>
      <c r="F6" s="45"/>
      <c r="G6" s="45"/>
      <c r="H6" s="12">
        <f t="shared" ref="H6:H22" si="0">$G$3</f>
        <v>44630</v>
      </c>
    </row>
    <row r="7" spans="2:10" x14ac:dyDescent="0.3">
      <c r="B7" s="6" t="s">
        <v>37</v>
      </c>
      <c r="C7" s="22"/>
      <c r="D7" s="53"/>
      <c r="E7" s="22"/>
      <c r="F7" s="22"/>
      <c r="G7" s="22">
        <v>432000</v>
      </c>
      <c r="H7" s="67">
        <f t="shared" si="0"/>
        <v>44630</v>
      </c>
    </row>
    <row r="8" spans="2:10" x14ac:dyDescent="0.3">
      <c r="B8" s="6" t="s">
        <v>17</v>
      </c>
      <c r="C8" s="22"/>
      <c r="D8" s="22"/>
      <c r="E8" s="22"/>
      <c r="F8" s="22"/>
      <c r="G8" s="22"/>
      <c r="H8" s="12">
        <f t="shared" si="0"/>
        <v>44630</v>
      </c>
    </row>
    <row r="9" spans="2:10" ht="15.6" x14ac:dyDescent="0.3">
      <c r="B9" s="34" t="s">
        <v>0</v>
      </c>
      <c r="C9" s="57">
        <v>261000</v>
      </c>
      <c r="D9" s="60"/>
      <c r="E9" s="61"/>
      <c r="F9" s="117"/>
      <c r="G9" s="22"/>
      <c r="H9" s="12">
        <f t="shared" si="0"/>
        <v>44630</v>
      </c>
    </row>
    <row r="10" spans="2:10" ht="16.2" customHeight="1" x14ac:dyDescent="0.3">
      <c r="B10" s="6" t="s">
        <v>25</v>
      </c>
      <c r="C10" s="22"/>
      <c r="D10" s="22">
        <v>972000</v>
      </c>
      <c r="E10" s="22"/>
      <c r="F10" s="22"/>
      <c r="G10" s="22"/>
      <c r="H10" s="12">
        <f t="shared" si="0"/>
        <v>44630</v>
      </c>
    </row>
    <row r="11" spans="2:10" ht="13.5" customHeight="1" x14ac:dyDescent="0.3">
      <c r="B11" s="6" t="s">
        <v>15</v>
      </c>
      <c r="C11" s="22">
        <v>162000</v>
      </c>
      <c r="D11" s="22"/>
      <c r="E11" s="22"/>
      <c r="F11" s="22"/>
      <c r="G11" s="57"/>
      <c r="H11" s="12">
        <f t="shared" si="0"/>
        <v>44630</v>
      </c>
    </row>
    <row r="12" spans="2:10" x14ac:dyDescent="0.3">
      <c r="B12" s="6" t="s">
        <v>54</v>
      </c>
      <c r="C12" s="22">
        <v>216000</v>
      </c>
      <c r="D12" s="22"/>
      <c r="E12" s="22"/>
      <c r="F12" s="22"/>
      <c r="G12" s="22"/>
      <c r="H12" s="67">
        <f t="shared" si="0"/>
        <v>44630</v>
      </c>
    </row>
    <row r="13" spans="2:10" x14ac:dyDescent="0.3">
      <c r="B13" s="6" t="s">
        <v>26</v>
      </c>
      <c r="C13" s="22"/>
      <c r="D13" s="22"/>
      <c r="E13" s="22"/>
      <c r="F13" s="22"/>
      <c r="G13" s="22"/>
      <c r="H13" s="12">
        <f t="shared" si="0"/>
        <v>44630</v>
      </c>
    </row>
    <row r="14" spans="2:10" x14ac:dyDescent="0.3">
      <c r="B14" s="6" t="s">
        <v>22</v>
      </c>
      <c r="C14" s="22"/>
      <c r="D14" s="23"/>
      <c r="E14" s="23"/>
      <c r="F14" s="23"/>
      <c r="G14" s="23"/>
      <c r="H14" s="12">
        <f t="shared" si="0"/>
        <v>44630</v>
      </c>
      <c r="J14" s="4"/>
    </row>
    <row r="15" spans="2:10" x14ac:dyDescent="0.3">
      <c r="B15" s="6" t="s">
        <v>61</v>
      </c>
      <c r="C15" s="57"/>
      <c r="D15" s="23"/>
      <c r="E15" s="23"/>
      <c r="F15" s="23"/>
      <c r="G15" s="23"/>
      <c r="H15" s="67">
        <f t="shared" si="0"/>
        <v>44630</v>
      </c>
      <c r="J15" s="4"/>
    </row>
    <row r="16" spans="2:10" x14ac:dyDescent="0.3">
      <c r="B16" s="6" t="s">
        <v>19</v>
      </c>
      <c r="C16" s="22"/>
      <c r="D16" s="62">
        <v>351000</v>
      </c>
      <c r="E16" s="22"/>
      <c r="F16" s="22"/>
      <c r="G16" s="22"/>
      <c r="H16" s="12">
        <f t="shared" si="0"/>
        <v>44630</v>
      </c>
    </row>
    <row r="17" spans="1:8" x14ac:dyDescent="0.3">
      <c r="B17" s="6" t="s">
        <v>14</v>
      </c>
      <c r="C17" s="22">
        <v>216000</v>
      </c>
      <c r="D17" s="22"/>
      <c r="E17" s="22"/>
      <c r="F17" s="22"/>
      <c r="G17" s="22">
        <v>369000</v>
      </c>
      <c r="H17" s="12">
        <f t="shared" si="0"/>
        <v>44630</v>
      </c>
    </row>
    <row r="18" spans="1:8" x14ac:dyDescent="0.3">
      <c r="B18" s="6" t="s">
        <v>24</v>
      </c>
      <c r="C18" s="22"/>
      <c r="D18" s="22"/>
      <c r="E18" s="22"/>
      <c r="F18" s="22"/>
      <c r="G18" s="22"/>
      <c r="H18" s="12">
        <f t="shared" si="0"/>
        <v>44630</v>
      </c>
    </row>
    <row r="19" spans="1:8" x14ac:dyDescent="0.3">
      <c r="B19" s="6" t="s">
        <v>21</v>
      </c>
      <c r="C19" s="22"/>
      <c r="D19" s="22"/>
      <c r="E19" s="22"/>
      <c r="F19" s="22"/>
      <c r="G19" s="22"/>
      <c r="H19" s="67">
        <f t="shared" si="0"/>
        <v>44630</v>
      </c>
    </row>
    <row r="20" spans="1:8" x14ac:dyDescent="0.3">
      <c r="B20" s="6" t="s">
        <v>65</v>
      </c>
      <c r="C20" s="22"/>
      <c r="D20" s="22"/>
      <c r="E20" s="22"/>
      <c r="F20" s="22"/>
      <c r="G20" s="22"/>
      <c r="H20" s="12">
        <f t="shared" si="0"/>
        <v>44630</v>
      </c>
    </row>
    <row r="21" spans="1:8" x14ac:dyDescent="0.3">
      <c r="B21" s="6" t="s">
        <v>18</v>
      </c>
      <c r="C21" s="22"/>
      <c r="D21" s="22"/>
      <c r="E21" s="22"/>
      <c r="F21" s="22"/>
      <c r="G21" s="22"/>
      <c r="H21" s="12">
        <f t="shared" si="0"/>
        <v>44630</v>
      </c>
    </row>
    <row r="22" spans="1:8" x14ac:dyDescent="0.3">
      <c r="B22" s="6" t="s">
        <v>16</v>
      </c>
      <c r="C22" s="55">
        <v>214000</v>
      </c>
      <c r="D22" s="22"/>
      <c r="E22" s="22"/>
      <c r="F22" s="22"/>
      <c r="G22" s="22"/>
      <c r="H22" s="12">
        <f t="shared" si="0"/>
        <v>44630</v>
      </c>
    </row>
    <row r="23" spans="1:8" x14ac:dyDescent="0.3">
      <c r="B23" s="50" t="s">
        <v>27</v>
      </c>
      <c r="C23" s="51">
        <f>SUM(March09_202210[KSI_AGO])</f>
        <v>1069000</v>
      </c>
      <c r="D23" s="51">
        <f>SUBTOTAL(109,March09_202210[KSI_PMS])</f>
        <v>1323000</v>
      </c>
      <c r="E23" s="51">
        <f>SUM(March09_202210[BUIPE_AGO])</f>
        <v>0</v>
      </c>
      <c r="F23" s="51">
        <f>SUM(March09_202210[BUIPE_PMS])</f>
        <v>0</v>
      </c>
      <c r="G23" s="51">
        <f>SUM(March09_202210[AKOSOMBO_AGO])</f>
        <v>801000</v>
      </c>
      <c r="H23" s="52"/>
    </row>
    <row r="24" spans="1:8" x14ac:dyDescent="0.3">
      <c r="B24" s="8"/>
      <c r="C24" s="24"/>
      <c r="D24" s="24"/>
      <c r="E24" s="24"/>
      <c r="F24" s="24"/>
      <c r="G24" s="24"/>
      <c r="H24"/>
    </row>
    <row r="25" spans="1:8" x14ac:dyDescent="0.3">
      <c r="B25" s="1" t="s">
        <v>6</v>
      </c>
      <c r="C25" s="1" t="s">
        <v>4</v>
      </c>
      <c r="D25" s="5">
        <f>SUMIF(March09_202210[[#Headers],[KSI_AGO]:[AKOSOMBO_AGO]],"*"&amp;C25,March09_202210[[#Totals],[KSI_AGO]:[AKOSOMBO_AGO]])</f>
        <v>1870000</v>
      </c>
      <c r="E25" s="1" t="s">
        <v>5</v>
      </c>
      <c r="F25" s="5">
        <f>SUMIF(March09_202210[[#Headers],[KSI_AGO]:[AKOSOMBO_AGO]],"*"&amp;E25,March09_202210[[#Totals],[KSI_AGO]:[AKOSOMBO_AGO]])</f>
        <v>1323000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F370659C-E813-4D71-8720-A9A809911922}">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89FF-3F92-4C0C-8028-C5DB45304024}">
  <sheetPr codeName="Sheet548"/>
  <dimension ref="A1:J35"/>
  <sheetViews>
    <sheetView zoomScale="85" zoomScaleNormal="85" workbookViewId="0">
      <pane xSplit="2" ySplit="5" topLeftCell="C6" activePane="bottomRight" state="frozen"/>
      <selection activeCell="F31" sqref="F31:F33"/>
      <selection pane="topRight" activeCell="F31" sqref="F31:F33"/>
      <selection pane="bottomLeft" activeCell="F31" sqref="F31:F33"/>
      <selection pane="bottomRight" activeCell="F33" sqref="F3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44631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44631</v>
      </c>
    </row>
    <row r="7" spans="2:10" x14ac:dyDescent="0.3">
      <c r="B7" s="6" t="s">
        <v>37</v>
      </c>
      <c r="C7" s="53">
        <v>135000</v>
      </c>
      <c r="D7" s="57"/>
      <c r="E7" s="22"/>
      <c r="F7" s="22"/>
      <c r="G7" s="22">
        <v>162000</v>
      </c>
      <c r="H7" s="67">
        <f t="shared" si="0"/>
        <v>44631</v>
      </c>
    </row>
    <row r="8" spans="2:10" x14ac:dyDescent="0.3">
      <c r="B8" s="6" t="s">
        <v>17</v>
      </c>
      <c r="C8" s="22"/>
      <c r="D8" s="57"/>
      <c r="E8" s="22"/>
      <c r="F8" s="22"/>
      <c r="G8" s="22"/>
      <c r="H8" s="12">
        <f t="shared" si="0"/>
        <v>44631</v>
      </c>
    </row>
    <row r="9" spans="2:10" ht="15.6" x14ac:dyDescent="0.3">
      <c r="B9" s="34" t="s">
        <v>0</v>
      </c>
      <c r="C9" s="60">
        <v>162000</v>
      </c>
      <c r="D9" s="57">
        <v>972000</v>
      </c>
      <c r="E9" s="61"/>
      <c r="F9" s="117">
        <v>270000</v>
      </c>
      <c r="G9" s="22"/>
      <c r="H9" s="12">
        <f t="shared" si="0"/>
        <v>44631</v>
      </c>
    </row>
    <row r="10" spans="2:10" ht="16.2" customHeight="1" x14ac:dyDescent="0.3">
      <c r="B10" s="6" t="s">
        <v>25</v>
      </c>
      <c r="C10" s="22">
        <v>594000</v>
      </c>
      <c r="D10" s="57"/>
      <c r="E10" s="22"/>
      <c r="F10" s="22"/>
      <c r="G10" s="22"/>
      <c r="H10" s="12">
        <f t="shared" si="0"/>
        <v>44631</v>
      </c>
    </row>
    <row r="11" spans="2:10" ht="13.5" customHeight="1" x14ac:dyDescent="0.3">
      <c r="B11" s="6" t="s">
        <v>15</v>
      </c>
      <c r="C11" s="22"/>
      <c r="D11" s="57"/>
      <c r="E11" s="22"/>
      <c r="F11" s="22"/>
      <c r="G11" s="57"/>
      <c r="H11" s="12">
        <f t="shared" si="0"/>
        <v>44631</v>
      </c>
    </row>
    <row r="12" spans="2:10" x14ac:dyDescent="0.3">
      <c r="B12" s="6" t="s">
        <v>54</v>
      </c>
      <c r="C12" s="22">
        <v>153000</v>
      </c>
      <c r="D12" s="57"/>
      <c r="E12" s="22"/>
      <c r="F12" s="22"/>
      <c r="G12" s="22"/>
      <c r="H12" s="67">
        <f t="shared" si="0"/>
        <v>44631</v>
      </c>
    </row>
    <row r="13" spans="2:10" x14ac:dyDescent="0.3">
      <c r="B13" s="6" t="s">
        <v>26</v>
      </c>
      <c r="C13" s="22"/>
      <c r="D13" s="22"/>
      <c r="E13" s="22"/>
      <c r="F13" s="22"/>
      <c r="G13" s="22"/>
      <c r="H13" s="12">
        <f t="shared" si="0"/>
        <v>44631</v>
      </c>
    </row>
    <row r="14" spans="2:10" x14ac:dyDescent="0.3">
      <c r="B14" s="6" t="s">
        <v>22</v>
      </c>
      <c r="C14" s="22"/>
      <c r="D14" s="23"/>
      <c r="E14" s="23"/>
      <c r="F14" s="23"/>
      <c r="G14" s="23"/>
      <c r="H14" s="12">
        <f t="shared" si="0"/>
        <v>44631</v>
      </c>
      <c r="J14" s="4"/>
    </row>
    <row r="15" spans="2:10" x14ac:dyDescent="0.3">
      <c r="B15" s="6" t="s">
        <v>61</v>
      </c>
      <c r="C15" s="57"/>
      <c r="D15" s="23"/>
      <c r="E15" s="23"/>
      <c r="F15" s="23"/>
      <c r="G15" s="23"/>
      <c r="H15" s="67">
        <f t="shared" si="0"/>
        <v>44631</v>
      </c>
      <c r="J15" s="4"/>
    </row>
    <row r="16" spans="2:10" x14ac:dyDescent="0.3">
      <c r="B16" s="6" t="s">
        <v>19</v>
      </c>
      <c r="C16" s="22">
        <v>270000</v>
      </c>
      <c r="D16" s="62">
        <v>693000</v>
      </c>
      <c r="E16" s="22"/>
      <c r="F16" s="22"/>
      <c r="G16" s="22"/>
      <c r="H16" s="12">
        <f t="shared" si="0"/>
        <v>44631</v>
      </c>
    </row>
    <row r="17" spans="1:8" x14ac:dyDescent="0.3">
      <c r="B17" s="6" t="s">
        <v>14</v>
      </c>
      <c r="C17" s="22">
        <v>216000</v>
      </c>
      <c r="D17" s="22"/>
      <c r="E17" s="22"/>
      <c r="F17" s="22"/>
      <c r="G17" s="22">
        <v>50000</v>
      </c>
      <c r="H17" s="12">
        <f t="shared" si="0"/>
        <v>44631</v>
      </c>
    </row>
    <row r="18" spans="1:8" x14ac:dyDescent="0.3">
      <c r="B18" s="6" t="s">
        <v>24</v>
      </c>
      <c r="C18" s="22"/>
      <c r="D18" s="22"/>
      <c r="E18" s="22"/>
      <c r="F18" s="22"/>
      <c r="G18" s="22"/>
      <c r="H18" s="12">
        <f t="shared" si="0"/>
        <v>44631</v>
      </c>
    </row>
    <row r="19" spans="1:8" x14ac:dyDescent="0.3">
      <c r="B19" s="6" t="s">
        <v>21</v>
      </c>
      <c r="C19" s="22"/>
      <c r="D19" s="22"/>
      <c r="E19" s="22"/>
      <c r="F19" s="22"/>
      <c r="G19" s="22"/>
      <c r="H19" s="67">
        <f t="shared" si="0"/>
        <v>44631</v>
      </c>
    </row>
    <row r="20" spans="1:8" x14ac:dyDescent="0.3">
      <c r="B20" s="6" t="s">
        <v>65</v>
      </c>
      <c r="C20" s="22"/>
      <c r="D20" s="22"/>
      <c r="E20" s="22"/>
      <c r="F20" s="22"/>
      <c r="G20" s="22"/>
      <c r="H20" s="12">
        <f t="shared" si="0"/>
        <v>44631</v>
      </c>
    </row>
    <row r="21" spans="1:8" x14ac:dyDescent="0.3">
      <c r="B21" s="6" t="s">
        <v>18</v>
      </c>
      <c r="C21" s="22"/>
      <c r="D21" s="22"/>
      <c r="E21" s="22"/>
      <c r="F21" s="22"/>
      <c r="G21" s="22"/>
      <c r="H21" s="12">
        <f t="shared" si="0"/>
        <v>44631</v>
      </c>
    </row>
    <row r="22" spans="1:8" x14ac:dyDescent="0.3">
      <c r="B22" s="6" t="s">
        <v>16</v>
      </c>
      <c r="C22" s="55">
        <v>54000</v>
      </c>
      <c r="D22" s="22"/>
      <c r="E22" s="22"/>
      <c r="F22" s="22"/>
      <c r="G22" s="22"/>
      <c r="H22" s="12">
        <f t="shared" si="0"/>
        <v>44631</v>
      </c>
    </row>
    <row r="23" spans="1:8" x14ac:dyDescent="0.3">
      <c r="B23" s="50" t="s">
        <v>27</v>
      </c>
      <c r="C23" s="51">
        <f>SUM(March11_2022[KSI_AGO])</f>
        <v>1584000</v>
      </c>
      <c r="D23" s="51">
        <f>SUBTOTAL(109,March11_2022[KSI_PMS])</f>
        <v>1665000</v>
      </c>
      <c r="E23" s="51">
        <f>SUM(March11_2022[BUIPE_AGO])</f>
        <v>0</v>
      </c>
      <c r="F23" s="51">
        <f>SUM(March11_2022[BUIPE_PMS])</f>
        <v>270000</v>
      </c>
      <c r="G23" s="51">
        <f>SUM(March11_2022[AKOSOMBO_AGO])</f>
        <v>212000</v>
      </c>
      <c r="H23" s="52"/>
    </row>
    <row r="24" spans="1:8" x14ac:dyDescent="0.3">
      <c r="B24" s="8"/>
      <c r="C24" s="24"/>
      <c r="D24" s="24"/>
      <c r="E24" s="24"/>
      <c r="F24" s="24"/>
      <c r="G24" s="24"/>
      <c r="H24"/>
    </row>
    <row r="25" spans="1:8" x14ac:dyDescent="0.3">
      <c r="B25" s="1" t="s">
        <v>6</v>
      </c>
      <c r="C25" s="1" t="s">
        <v>4</v>
      </c>
      <c r="D25" s="5">
        <f>SUMIF(March11_2022[[#Headers],[KSI_AGO]:[AKOSOMBO_AGO]],"*"&amp;C25,March11_2022[[#Totals],[KSI_AGO]:[AKOSOMBO_AGO]])</f>
        <v>1796000</v>
      </c>
      <c r="E25" s="1" t="s">
        <v>5</v>
      </c>
      <c r="F25" s="5">
        <f>SUMIF(March11_2022[[#Headers],[KSI_AGO]:[AKOSOMBO_AGO]],"*"&amp;E25,March11_2022[[#Totals],[KSI_AGO]:[AKOSOMBO_AGO]])</f>
        <v>1935000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2580BCB-923B-4C5D-8513-346AD24C7DF4}">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3A5C3-16F3-4E90-A6B7-3048D5C3861E}">
  <sheetPr codeName="Sheet549"/>
  <dimension ref="A1:J35"/>
  <sheetViews>
    <sheetView zoomScale="85" zoomScaleNormal="85" workbookViewId="0">
      <pane xSplit="2" ySplit="5" topLeftCell="D6" activePane="bottomRight" state="frozen"/>
      <selection activeCell="F31" sqref="F31:F33"/>
      <selection pane="topRight" activeCell="F31" sqref="F31:F33"/>
      <selection pane="bottomLeft" activeCell="F31" sqref="F31:F33"/>
      <selection pane="bottomRight" activeCell="L5" sqref="L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44634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44634</v>
      </c>
    </row>
    <row r="7" spans="2:10" x14ac:dyDescent="0.3">
      <c r="B7" s="6" t="s">
        <v>37</v>
      </c>
      <c r="C7" s="53">
        <v>99000</v>
      </c>
      <c r="D7" s="57"/>
      <c r="E7" s="22"/>
      <c r="F7" s="22"/>
      <c r="G7" s="22"/>
      <c r="H7" s="67">
        <f t="shared" si="0"/>
        <v>44634</v>
      </c>
    </row>
    <row r="8" spans="2:10" x14ac:dyDescent="0.3">
      <c r="B8" s="6" t="s">
        <v>17</v>
      </c>
      <c r="C8" s="22"/>
      <c r="D8" s="57"/>
      <c r="E8" s="22"/>
      <c r="F8" s="22"/>
      <c r="G8" s="22"/>
      <c r="H8" s="12">
        <f t="shared" si="0"/>
        <v>44634</v>
      </c>
    </row>
    <row r="9" spans="2:10" ht="15.6" x14ac:dyDescent="0.3">
      <c r="B9" s="34" t="s">
        <v>0</v>
      </c>
      <c r="C9" s="60"/>
      <c r="D9" s="57">
        <v>1332500</v>
      </c>
      <c r="E9" s="61"/>
      <c r="F9" s="118">
        <v>648000</v>
      </c>
      <c r="G9" s="22"/>
      <c r="H9" s="12">
        <f t="shared" si="0"/>
        <v>44634</v>
      </c>
    </row>
    <row r="10" spans="2:10" ht="16.2" customHeight="1" x14ac:dyDescent="0.3">
      <c r="B10" s="6" t="s">
        <v>25</v>
      </c>
      <c r="C10" s="22"/>
      <c r="D10" s="22">
        <v>157500</v>
      </c>
      <c r="E10" s="22"/>
      <c r="F10" s="22"/>
      <c r="G10" s="22"/>
      <c r="H10" s="12">
        <f t="shared" si="0"/>
        <v>44634</v>
      </c>
    </row>
    <row r="11" spans="2:10" ht="13.5" customHeight="1" x14ac:dyDescent="0.3">
      <c r="B11" s="6" t="s">
        <v>15</v>
      </c>
      <c r="C11" s="22">
        <v>693000</v>
      </c>
      <c r="D11" s="57"/>
      <c r="E11" s="22"/>
      <c r="F11" s="22"/>
      <c r="G11" s="57"/>
      <c r="H11" s="12">
        <f t="shared" si="0"/>
        <v>44634</v>
      </c>
    </row>
    <row r="12" spans="2:10" x14ac:dyDescent="0.3">
      <c r="B12" s="6" t="s">
        <v>54</v>
      </c>
      <c r="C12" s="22">
        <v>554000</v>
      </c>
      <c r="D12" s="57"/>
      <c r="E12" s="22"/>
      <c r="F12" s="22"/>
      <c r="G12" s="22"/>
      <c r="H12" s="67">
        <f t="shared" si="0"/>
        <v>44634</v>
      </c>
    </row>
    <row r="13" spans="2:10" x14ac:dyDescent="0.3">
      <c r="B13" s="6" t="s">
        <v>26</v>
      </c>
      <c r="C13" s="22"/>
      <c r="D13" s="22"/>
      <c r="E13" s="22"/>
      <c r="F13" s="22"/>
      <c r="G13" s="22"/>
      <c r="H13" s="12">
        <f t="shared" si="0"/>
        <v>44634</v>
      </c>
    </row>
    <row r="14" spans="2:10" x14ac:dyDescent="0.3">
      <c r="B14" s="6" t="s">
        <v>22</v>
      </c>
      <c r="C14" s="22"/>
      <c r="D14" s="23"/>
      <c r="E14" s="23"/>
      <c r="F14" s="23"/>
      <c r="G14" s="23"/>
      <c r="H14" s="12">
        <f t="shared" si="0"/>
        <v>44634</v>
      </c>
      <c r="J14" s="4"/>
    </row>
    <row r="15" spans="2:10" x14ac:dyDescent="0.3">
      <c r="B15" s="6" t="s">
        <v>61</v>
      </c>
      <c r="C15" s="57"/>
      <c r="D15" s="23"/>
      <c r="E15" s="23"/>
      <c r="F15" s="23"/>
      <c r="G15" s="23"/>
      <c r="H15" s="67">
        <f t="shared" si="0"/>
        <v>44634</v>
      </c>
      <c r="J15" s="4"/>
    </row>
    <row r="16" spans="2:10" x14ac:dyDescent="0.3">
      <c r="B16" s="6" t="s">
        <v>19</v>
      </c>
      <c r="C16" s="22"/>
      <c r="D16" s="62"/>
      <c r="E16" s="22"/>
      <c r="F16" s="22"/>
      <c r="G16" s="22"/>
      <c r="H16" s="12">
        <f t="shared" si="0"/>
        <v>44634</v>
      </c>
    </row>
    <row r="17" spans="1:8" x14ac:dyDescent="0.3">
      <c r="B17" s="6" t="s">
        <v>14</v>
      </c>
      <c r="C17" s="22">
        <v>855500</v>
      </c>
      <c r="D17" s="22"/>
      <c r="E17" s="22"/>
      <c r="F17" s="22"/>
      <c r="G17" s="22"/>
      <c r="H17" s="12">
        <f t="shared" si="0"/>
        <v>44634</v>
      </c>
    </row>
    <row r="18" spans="1:8" x14ac:dyDescent="0.3">
      <c r="B18" s="6" t="s">
        <v>24</v>
      </c>
      <c r="C18" s="22"/>
      <c r="D18" s="22"/>
      <c r="E18" s="22"/>
      <c r="F18" s="22"/>
      <c r="G18" s="22"/>
      <c r="H18" s="12">
        <f t="shared" si="0"/>
        <v>44634</v>
      </c>
    </row>
    <row r="19" spans="1:8" x14ac:dyDescent="0.3">
      <c r="B19" s="6" t="s">
        <v>21</v>
      </c>
      <c r="C19" s="22"/>
      <c r="D19" s="22"/>
      <c r="E19" s="22"/>
      <c r="F19" s="22"/>
      <c r="G19" s="22"/>
      <c r="H19" s="67">
        <f t="shared" si="0"/>
        <v>44634</v>
      </c>
    </row>
    <row r="20" spans="1:8" x14ac:dyDescent="0.3">
      <c r="B20" s="6" t="s">
        <v>65</v>
      </c>
      <c r="C20" s="22"/>
      <c r="D20" s="22"/>
      <c r="E20" s="22"/>
      <c r="F20" s="22"/>
      <c r="G20" s="22"/>
      <c r="H20" s="12">
        <f t="shared" si="0"/>
        <v>44634</v>
      </c>
    </row>
    <row r="21" spans="1:8" x14ac:dyDescent="0.3">
      <c r="B21" s="6" t="s">
        <v>18</v>
      </c>
      <c r="C21" s="22"/>
      <c r="D21" s="22"/>
      <c r="E21" s="22"/>
      <c r="F21" s="22"/>
      <c r="G21" s="22"/>
      <c r="H21" s="12">
        <f t="shared" si="0"/>
        <v>44634</v>
      </c>
    </row>
    <row r="22" spans="1:8" x14ac:dyDescent="0.3">
      <c r="B22" s="6" t="s">
        <v>16</v>
      </c>
      <c r="C22" s="55"/>
      <c r="D22" s="22"/>
      <c r="E22" s="22"/>
      <c r="F22" s="22"/>
      <c r="G22" s="22"/>
      <c r="H22" s="12">
        <f t="shared" si="0"/>
        <v>44634</v>
      </c>
    </row>
    <row r="23" spans="1:8" x14ac:dyDescent="0.3">
      <c r="B23" s="50" t="s">
        <v>27</v>
      </c>
      <c r="C23" s="51">
        <f>SUM(March14_2022[KSI_AGO])</f>
        <v>2201500</v>
      </c>
      <c r="D23" s="51">
        <f>SUBTOTAL(109,March14_2022[KSI_PMS])</f>
        <v>1490000</v>
      </c>
      <c r="E23" s="51">
        <f>SUM(March14_2022[BUIPE_AGO])</f>
        <v>0</v>
      </c>
      <c r="F23" s="51">
        <f>SUM(March14_2022[BUIPE_PMS])</f>
        <v>648000</v>
      </c>
      <c r="G23" s="51">
        <f>SUM(March14_2022[AKOSOMBO_AGO])</f>
        <v>0</v>
      </c>
      <c r="H23" s="52"/>
    </row>
    <row r="24" spans="1:8" x14ac:dyDescent="0.3">
      <c r="B24" s="8"/>
      <c r="C24" s="24"/>
      <c r="D24" s="24"/>
      <c r="E24" s="24"/>
      <c r="F24" s="24"/>
      <c r="G24" s="24"/>
      <c r="H24"/>
    </row>
    <row r="25" spans="1:8" x14ac:dyDescent="0.3">
      <c r="B25" s="1" t="s">
        <v>6</v>
      </c>
      <c r="C25" s="1" t="s">
        <v>4</v>
      </c>
      <c r="D25" s="5">
        <f>SUMIF(March14_2022[[#Headers],[KSI_AGO]:[AKOSOMBO_AGO]],"*"&amp;C25,March14_2022[[#Totals],[KSI_AGO]:[AKOSOMBO_AGO]])</f>
        <v>2201500</v>
      </c>
      <c r="E25" s="1" t="s">
        <v>5</v>
      </c>
      <c r="F25" s="5">
        <f>SUMIF(March14_2022[[#Headers],[KSI_AGO]:[AKOSOMBO_AGO]],"*"&amp;E25,March14_2022[[#Totals],[KSI_AGO]:[AKOSOMBO_AGO]])</f>
        <v>2138000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C3978EB5-0F11-43F7-91B1-25D1732D6C43}">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CA31B-CA00-48D5-BD77-9CAC6C0E9F50}">
  <sheetPr codeName="Sheet550"/>
  <dimension ref="A1:J35"/>
  <sheetViews>
    <sheetView zoomScale="85" zoomScaleNormal="85" workbookViewId="0">
      <pane xSplit="2" ySplit="5" topLeftCell="E6" activePane="bottomRight" state="frozen"/>
      <selection activeCell="F31" sqref="F31:F33"/>
      <selection pane="topRight" activeCell="F31" sqref="F31:F33"/>
      <selection pane="bottomLeft" activeCell="F31" sqref="F31:F33"/>
      <selection pane="bottomRight" activeCell="G12" sqref="G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44635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44635</v>
      </c>
    </row>
    <row r="7" spans="2:10" x14ac:dyDescent="0.3">
      <c r="B7" s="6" t="s">
        <v>37</v>
      </c>
      <c r="C7" s="53"/>
      <c r="D7" s="57"/>
      <c r="E7" s="22"/>
      <c r="F7" s="22"/>
      <c r="G7" s="22"/>
      <c r="H7" s="67">
        <f t="shared" si="0"/>
        <v>44635</v>
      </c>
    </row>
    <row r="8" spans="2:10" x14ac:dyDescent="0.3">
      <c r="B8" s="6" t="s">
        <v>17</v>
      </c>
      <c r="C8" s="22"/>
      <c r="D8" s="57"/>
      <c r="E8" s="22"/>
      <c r="F8" s="22"/>
      <c r="G8" s="22"/>
      <c r="H8" s="12">
        <f t="shared" si="0"/>
        <v>44635</v>
      </c>
    </row>
    <row r="9" spans="2:10" ht="15.6" x14ac:dyDescent="0.3">
      <c r="B9" s="34" t="s">
        <v>0</v>
      </c>
      <c r="C9" s="60">
        <v>54000</v>
      </c>
      <c r="D9" s="57">
        <v>1008000</v>
      </c>
      <c r="E9" s="61"/>
      <c r="F9" s="118">
        <v>972000</v>
      </c>
      <c r="G9" s="22"/>
      <c r="H9" s="12">
        <f t="shared" si="0"/>
        <v>44635</v>
      </c>
    </row>
    <row r="10" spans="2:10" ht="16.2" customHeight="1" x14ac:dyDescent="0.3">
      <c r="B10" s="6" t="s">
        <v>25</v>
      </c>
      <c r="C10" s="22"/>
      <c r="D10" s="22">
        <v>378000</v>
      </c>
      <c r="E10" s="22"/>
      <c r="F10" s="22"/>
      <c r="G10" s="22"/>
      <c r="H10" s="12">
        <f t="shared" si="0"/>
        <v>44635</v>
      </c>
    </row>
    <row r="11" spans="2:10" ht="13.5" customHeight="1" x14ac:dyDescent="0.3">
      <c r="B11" s="6" t="s">
        <v>15</v>
      </c>
      <c r="C11" s="22">
        <v>54000</v>
      </c>
      <c r="D11" s="22">
        <v>50000</v>
      </c>
      <c r="E11" s="22"/>
      <c r="F11" s="22"/>
      <c r="G11" s="57"/>
      <c r="H11" s="12">
        <f t="shared" si="0"/>
        <v>44635</v>
      </c>
    </row>
    <row r="12" spans="2:10" x14ac:dyDescent="0.3">
      <c r="B12" s="6" t="s">
        <v>54</v>
      </c>
      <c r="C12" s="22">
        <v>751500</v>
      </c>
      <c r="D12" s="22">
        <v>53500</v>
      </c>
      <c r="E12" s="22"/>
      <c r="F12" s="22"/>
      <c r="G12" s="22"/>
      <c r="H12" s="67">
        <f t="shared" si="0"/>
        <v>44635</v>
      </c>
    </row>
    <row r="13" spans="2:10" x14ac:dyDescent="0.3">
      <c r="B13" s="6" t="s">
        <v>26</v>
      </c>
      <c r="C13" s="22"/>
      <c r="D13" s="22"/>
      <c r="E13" s="22"/>
      <c r="F13" s="22"/>
      <c r="G13" s="22"/>
      <c r="H13" s="12">
        <f t="shared" si="0"/>
        <v>44635</v>
      </c>
    </row>
    <row r="14" spans="2:10" x14ac:dyDescent="0.3">
      <c r="B14" s="6" t="s">
        <v>22</v>
      </c>
      <c r="C14" s="22"/>
      <c r="D14" s="23"/>
      <c r="E14" s="23"/>
      <c r="F14" s="23"/>
      <c r="G14" s="23"/>
      <c r="H14" s="12">
        <f t="shared" si="0"/>
        <v>44635</v>
      </c>
      <c r="J14" s="4"/>
    </row>
    <row r="15" spans="2:10" x14ac:dyDescent="0.3">
      <c r="B15" s="6" t="s">
        <v>61</v>
      </c>
      <c r="C15" s="57"/>
      <c r="D15" s="23"/>
      <c r="E15" s="23"/>
      <c r="F15" s="23"/>
      <c r="G15" s="23"/>
      <c r="H15" s="67">
        <f t="shared" si="0"/>
        <v>44635</v>
      </c>
      <c r="J15" s="4"/>
    </row>
    <row r="16" spans="2:10" x14ac:dyDescent="0.3">
      <c r="B16" s="6" t="s">
        <v>19</v>
      </c>
      <c r="C16" s="22"/>
      <c r="D16" s="62"/>
      <c r="E16" s="22"/>
      <c r="F16" s="22"/>
      <c r="G16" s="22"/>
      <c r="H16" s="12">
        <f t="shared" si="0"/>
        <v>44635</v>
      </c>
    </row>
    <row r="17" spans="1:8" x14ac:dyDescent="0.3">
      <c r="B17" s="6" t="s">
        <v>14</v>
      </c>
      <c r="C17" s="22">
        <v>1134000</v>
      </c>
      <c r="D17" s="22"/>
      <c r="E17" s="22"/>
      <c r="F17" s="22"/>
      <c r="G17" s="22"/>
      <c r="H17" s="12">
        <f t="shared" si="0"/>
        <v>44635</v>
      </c>
    </row>
    <row r="18" spans="1:8" x14ac:dyDescent="0.3">
      <c r="B18" s="6" t="s">
        <v>24</v>
      </c>
      <c r="C18" s="22"/>
      <c r="D18" s="22"/>
      <c r="E18" s="22"/>
      <c r="F18" s="22"/>
      <c r="G18" s="22"/>
      <c r="H18" s="12">
        <f t="shared" si="0"/>
        <v>44635</v>
      </c>
    </row>
    <row r="19" spans="1:8" x14ac:dyDescent="0.3">
      <c r="B19" s="6" t="s">
        <v>21</v>
      </c>
      <c r="C19" s="22"/>
      <c r="D19" s="22"/>
      <c r="E19" s="22"/>
      <c r="F19" s="22"/>
      <c r="G19" s="22"/>
      <c r="H19" s="67">
        <f t="shared" si="0"/>
        <v>44635</v>
      </c>
    </row>
    <row r="20" spans="1:8" x14ac:dyDescent="0.3">
      <c r="B20" s="6" t="s">
        <v>65</v>
      </c>
      <c r="C20" s="22"/>
      <c r="D20" s="22"/>
      <c r="E20" s="22"/>
      <c r="F20" s="22"/>
      <c r="G20" s="22"/>
      <c r="H20" s="12">
        <f t="shared" si="0"/>
        <v>44635</v>
      </c>
    </row>
    <row r="21" spans="1:8" x14ac:dyDescent="0.3">
      <c r="B21" s="6" t="s">
        <v>18</v>
      </c>
      <c r="C21" s="22"/>
      <c r="D21" s="22">
        <v>49000</v>
      </c>
      <c r="E21" s="22"/>
      <c r="F21" s="22"/>
      <c r="G21" s="22"/>
      <c r="H21" s="12">
        <f t="shared" si="0"/>
        <v>44635</v>
      </c>
    </row>
    <row r="22" spans="1:8" x14ac:dyDescent="0.3">
      <c r="B22" s="6" t="s">
        <v>16</v>
      </c>
      <c r="C22" s="55"/>
      <c r="D22" s="22"/>
      <c r="E22" s="22"/>
      <c r="F22" s="22"/>
      <c r="G22" s="22"/>
      <c r="H22" s="12">
        <f t="shared" si="0"/>
        <v>44635</v>
      </c>
    </row>
    <row r="23" spans="1:8" x14ac:dyDescent="0.3">
      <c r="B23" s="50" t="s">
        <v>27</v>
      </c>
      <c r="C23" s="51">
        <f>SUM(March15_2022[KSI_AGO])</f>
        <v>1993500</v>
      </c>
      <c r="D23" s="51">
        <f>SUBTOTAL(109,March15_2022[KSI_PMS])</f>
        <v>1538500</v>
      </c>
      <c r="E23" s="51">
        <f>SUM(March15_2022[BUIPE_AGO])</f>
        <v>0</v>
      </c>
      <c r="F23" s="51">
        <f>SUM(March15_2022[BUIPE_PMS])</f>
        <v>972000</v>
      </c>
      <c r="G23" s="51">
        <f>SUM(March15_2022[AKOSOMBO_AGO])</f>
        <v>0</v>
      </c>
      <c r="H23" s="52"/>
    </row>
    <row r="24" spans="1:8" x14ac:dyDescent="0.3">
      <c r="B24" s="8"/>
      <c r="C24" s="24"/>
      <c r="D24" s="24"/>
      <c r="E24" s="24"/>
      <c r="F24" s="24"/>
      <c r="G24" s="24"/>
      <c r="H24"/>
    </row>
    <row r="25" spans="1:8" x14ac:dyDescent="0.3">
      <c r="B25" s="1" t="s">
        <v>6</v>
      </c>
      <c r="C25" s="1" t="s">
        <v>4</v>
      </c>
      <c r="D25" s="5">
        <f>SUMIF(March15_2022[[#Headers],[KSI_AGO]:[AKOSOMBO_AGO]],"*"&amp;C25,March15_2022[[#Totals],[KSI_AGO]:[AKOSOMBO_AGO]])</f>
        <v>1993500</v>
      </c>
      <c r="E25" s="1" t="s">
        <v>5</v>
      </c>
      <c r="F25" s="5">
        <f>SUMIF(March15_2022[[#Headers],[KSI_AGO]:[AKOSOMBO_AGO]],"*"&amp;E25,March15_2022[[#Totals],[KSI_AGO]:[AKOSOMBO_AGO]])</f>
        <v>2510500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61D32A1E-BCFC-4828-84C3-235841E76E69}">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F2B8-A54D-46B9-A729-B8E598282E73}">
  <sheetPr codeName="Sheet551"/>
  <dimension ref="A1:J35"/>
  <sheetViews>
    <sheetView zoomScale="85" zoomScaleNormal="85" workbookViewId="0">
      <pane xSplit="2" ySplit="5" topLeftCell="E6" activePane="bottomRight" state="frozen"/>
      <selection activeCell="F31" sqref="F31:F33"/>
      <selection pane="topRight" activeCell="F31" sqref="F31:F33"/>
      <selection pane="bottomLeft" activeCell="F31" sqref="F31:F33"/>
      <selection pane="bottomRight" activeCell="F21" sqref="F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44636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44636</v>
      </c>
    </row>
    <row r="7" spans="2:10" x14ac:dyDescent="0.3">
      <c r="B7" s="6" t="s">
        <v>37</v>
      </c>
      <c r="C7" s="53"/>
      <c r="D7" s="57"/>
      <c r="E7" s="22"/>
      <c r="F7" s="22"/>
      <c r="G7" s="22"/>
      <c r="H7" s="67">
        <f t="shared" si="0"/>
        <v>44636</v>
      </c>
    </row>
    <row r="8" spans="2:10" x14ac:dyDescent="0.3">
      <c r="B8" s="6" t="s">
        <v>17</v>
      </c>
      <c r="C8" s="22"/>
      <c r="D8" s="57"/>
      <c r="E8" s="22"/>
      <c r="F8" s="22"/>
      <c r="G8" s="22"/>
      <c r="H8" s="12">
        <f t="shared" si="0"/>
        <v>44636</v>
      </c>
    </row>
    <row r="9" spans="2:10" ht="15.6" x14ac:dyDescent="0.3">
      <c r="B9" s="34" t="s">
        <v>0</v>
      </c>
      <c r="C9" s="60">
        <v>54000</v>
      </c>
      <c r="D9" s="57">
        <v>540000</v>
      </c>
      <c r="E9" s="61"/>
      <c r="F9" s="118">
        <v>432000</v>
      </c>
      <c r="G9" s="22"/>
      <c r="H9" s="12">
        <f t="shared" si="0"/>
        <v>44636</v>
      </c>
    </row>
    <row r="10" spans="2:10" ht="16.2" customHeight="1" x14ac:dyDescent="0.3">
      <c r="B10" s="6" t="s">
        <v>25</v>
      </c>
      <c r="C10" s="22">
        <v>50000</v>
      </c>
      <c r="D10" s="22">
        <v>536000</v>
      </c>
      <c r="E10" s="22"/>
      <c r="F10" s="22"/>
      <c r="G10" s="22"/>
      <c r="H10" s="12">
        <f t="shared" si="0"/>
        <v>44636</v>
      </c>
    </row>
    <row r="11" spans="2:10" ht="13.5" customHeight="1" x14ac:dyDescent="0.3">
      <c r="B11" s="6" t="s">
        <v>15</v>
      </c>
      <c r="C11" s="22"/>
      <c r="D11" s="22">
        <v>99000</v>
      </c>
      <c r="E11" s="22"/>
      <c r="F11" s="22"/>
      <c r="G11" s="57"/>
      <c r="H11" s="12">
        <f t="shared" si="0"/>
        <v>44636</v>
      </c>
    </row>
    <row r="12" spans="2:10" x14ac:dyDescent="0.3">
      <c r="B12" s="6" t="s">
        <v>54</v>
      </c>
      <c r="C12" s="22"/>
      <c r="D12" s="22"/>
      <c r="E12" s="22"/>
      <c r="F12" s="22"/>
      <c r="G12" s="22"/>
      <c r="H12" s="67">
        <f t="shared" si="0"/>
        <v>44636</v>
      </c>
    </row>
    <row r="13" spans="2:10" x14ac:dyDescent="0.3">
      <c r="B13" s="6" t="s">
        <v>26</v>
      </c>
      <c r="C13" s="22">
        <v>49500</v>
      </c>
      <c r="D13" s="22"/>
      <c r="E13" s="22"/>
      <c r="F13" s="22"/>
      <c r="G13" s="22"/>
      <c r="H13" s="12">
        <f t="shared" si="0"/>
        <v>44636</v>
      </c>
    </row>
    <row r="14" spans="2:10" x14ac:dyDescent="0.3">
      <c r="B14" s="6" t="s">
        <v>22</v>
      </c>
      <c r="C14" s="22"/>
      <c r="D14" s="23"/>
      <c r="E14" s="23"/>
      <c r="F14" s="23"/>
      <c r="G14" s="23"/>
      <c r="H14" s="12">
        <f t="shared" si="0"/>
        <v>44636</v>
      </c>
      <c r="J14" s="4"/>
    </row>
    <row r="15" spans="2:10" x14ac:dyDescent="0.3">
      <c r="B15" s="6" t="s">
        <v>61</v>
      </c>
      <c r="C15" s="57"/>
      <c r="D15" s="23"/>
      <c r="E15" s="23"/>
      <c r="F15" s="23"/>
      <c r="G15" s="23"/>
      <c r="H15" s="67">
        <f t="shared" si="0"/>
        <v>44636</v>
      </c>
      <c r="J15" s="4"/>
    </row>
    <row r="16" spans="2:10" x14ac:dyDescent="0.3">
      <c r="B16" s="6" t="s">
        <v>19</v>
      </c>
      <c r="C16" s="22">
        <v>1026000</v>
      </c>
      <c r="D16" s="62"/>
      <c r="E16" s="22"/>
      <c r="F16" s="22"/>
      <c r="G16" s="22">
        <v>270000</v>
      </c>
      <c r="H16" s="12">
        <f t="shared" si="0"/>
        <v>44636</v>
      </c>
    </row>
    <row r="17" spans="1:8" x14ac:dyDescent="0.3">
      <c r="B17" s="6" t="s">
        <v>14</v>
      </c>
      <c r="C17" s="22">
        <v>569500</v>
      </c>
      <c r="D17" s="22"/>
      <c r="E17" s="22"/>
      <c r="F17" s="22"/>
      <c r="G17" s="22"/>
      <c r="H17" s="12">
        <f t="shared" si="0"/>
        <v>44636</v>
      </c>
    </row>
    <row r="18" spans="1:8" x14ac:dyDescent="0.3">
      <c r="B18" s="6" t="s">
        <v>24</v>
      </c>
      <c r="C18" s="22"/>
      <c r="D18" s="22"/>
      <c r="E18" s="22"/>
      <c r="F18" s="22"/>
      <c r="G18" s="22"/>
      <c r="H18" s="12">
        <f t="shared" si="0"/>
        <v>44636</v>
      </c>
    </row>
    <row r="19" spans="1:8" x14ac:dyDescent="0.3">
      <c r="B19" s="6" t="s">
        <v>21</v>
      </c>
      <c r="C19" s="22"/>
      <c r="D19" s="22"/>
      <c r="E19" s="22"/>
      <c r="F19" s="22"/>
      <c r="G19" s="22"/>
      <c r="H19" s="67">
        <f t="shared" si="0"/>
        <v>44636</v>
      </c>
    </row>
    <row r="20" spans="1:8" x14ac:dyDescent="0.3">
      <c r="B20" s="6" t="s">
        <v>65</v>
      </c>
      <c r="C20" s="22"/>
      <c r="D20" s="22"/>
      <c r="E20" s="22"/>
      <c r="F20" s="22"/>
      <c r="G20" s="22"/>
      <c r="H20" s="12">
        <f t="shared" si="0"/>
        <v>44636</v>
      </c>
    </row>
    <row r="21" spans="1:8" x14ac:dyDescent="0.3">
      <c r="B21" s="6" t="s">
        <v>18</v>
      </c>
      <c r="C21" s="22"/>
      <c r="D21" s="22"/>
      <c r="E21" s="22"/>
      <c r="F21" s="22"/>
      <c r="G21" s="22"/>
      <c r="H21" s="12">
        <f t="shared" si="0"/>
        <v>44636</v>
      </c>
    </row>
    <row r="22" spans="1:8" x14ac:dyDescent="0.3">
      <c r="B22" s="6" t="s">
        <v>16</v>
      </c>
      <c r="C22" s="55"/>
      <c r="D22" s="22"/>
      <c r="E22" s="22"/>
      <c r="F22" s="22"/>
      <c r="G22" s="22"/>
      <c r="H22" s="12">
        <f t="shared" si="0"/>
        <v>44636</v>
      </c>
    </row>
    <row r="23" spans="1:8" x14ac:dyDescent="0.3">
      <c r="B23" s="50" t="s">
        <v>27</v>
      </c>
      <c r="C23" s="51">
        <f>SUM(March16_2022[KSI_AGO])</f>
        <v>1749000</v>
      </c>
      <c r="D23" s="51">
        <f>SUBTOTAL(109,March16_2022[KSI_PMS])</f>
        <v>1175000</v>
      </c>
      <c r="E23" s="51">
        <f>SUM(March16_2022[BUIPE_AGO])</f>
        <v>0</v>
      </c>
      <c r="F23" s="51">
        <f>SUM(March16_2022[BUIPE_PMS])</f>
        <v>432000</v>
      </c>
      <c r="G23" s="51">
        <f>SUM(March16_2022[AKOSOMBO_AGO])</f>
        <v>270000</v>
      </c>
      <c r="H23" s="52"/>
    </row>
    <row r="24" spans="1:8" x14ac:dyDescent="0.3">
      <c r="B24" s="8"/>
      <c r="C24" s="24"/>
      <c r="D24" s="24"/>
      <c r="E24" s="24"/>
      <c r="F24" s="24"/>
      <c r="G24" s="24"/>
      <c r="H24"/>
    </row>
    <row r="25" spans="1:8" x14ac:dyDescent="0.3">
      <c r="B25" s="1" t="s">
        <v>6</v>
      </c>
      <c r="C25" s="1" t="s">
        <v>4</v>
      </c>
      <c r="D25" s="5">
        <f>SUMIF(March16_2022[[#Headers],[KSI_AGO]:[AKOSOMBO_AGO]],"*"&amp;C25,March16_2022[[#Totals],[KSI_AGO]:[AKOSOMBO_AGO]])</f>
        <v>2019000</v>
      </c>
      <c r="E25" s="1" t="s">
        <v>5</v>
      </c>
      <c r="F25" s="5">
        <f>SUMIF(March16_2022[[#Headers],[KSI_AGO]:[AKOSOMBO_AGO]],"*"&amp;E25,March16_2022[[#Totals],[KSI_AGO]:[AKOSOMBO_AGO]])</f>
        <v>1607000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0A0882D0-2EA2-4CC5-A2B6-C04222E02275}">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75EC-F291-49F1-8B22-004E4E65A1E6}">
  <sheetPr codeName="Sheet552"/>
  <dimension ref="A1:J35"/>
  <sheetViews>
    <sheetView zoomScale="85" zoomScaleNormal="85" workbookViewId="0">
      <pane xSplit="2" ySplit="5" topLeftCell="C6" activePane="bottomRight" state="frozen"/>
      <selection activeCell="F31" sqref="F31:F33"/>
      <selection pane="topRight" activeCell="F31" sqref="F31:F33"/>
      <selection pane="bottomLeft" activeCell="F31" sqref="F31:F33"/>
      <selection pane="bottomRight" activeCell="H17" sqref="H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44637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44637</v>
      </c>
    </row>
    <row r="7" spans="2:10" x14ac:dyDescent="0.3">
      <c r="B7" s="6" t="s">
        <v>37</v>
      </c>
      <c r="C7" s="53"/>
      <c r="D7" s="57"/>
      <c r="E7" s="22"/>
      <c r="F7" s="22"/>
      <c r="G7" s="22"/>
      <c r="H7" s="67">
        <f t="shared" si="0"/>
        <v>44637</v>
      </c>
    </row>
    <row r="8" spans="2:10" x14ac:dyDescent="0.3">
      <c r="B8" s="6" t="s">
        <v>17</v>
      </c>
      <c r="C8" s="22">
        <v>108000</v>
      </c>
      <c r="D8" s="57"/>
      <c r="E8" s="22"/>
      <c r="F8" s="22"/>
      <c r="G8" s="22"/>
      <c r="H8" s="12">
        <f t="shared" si="0"/>
        <v>44637</v>
      </c>
    </row>
    <row r="9" spans="2:10" ht="15.6" x14ac:dyDescent="0.3">
      <c r="B9" s="34" t="s">
        <v>0</v>
      </c>
      <c r="C9" s="60">
        <v>54000</v>
      </c>
      <c r="D9" s="57">
        <v>265500</v>
      </c>
      <c r="E9" s="61"/>
      <c r="F9" s="118"/>
      <c r="G9" s="22"/>
      <c r="H9" s="12">
        <f t="shared" si="0"/>
        <v>44637</v>
      </c>
    </row>
    <row r="10" spans="2:10" ht="16.2" customHeight="1" x14ac:dyDescent="0.3">
      <c r="B10" s="6" t="s">
        <v>25</v>
      </c>
      <c r="C10" s="22"/>
      <c r="D10" s="22">
        <v>270000</v>
      </c>
      <c r="E10" s="22"/>
      <c r="F10" s="22"/>
      <c r="G10" s="22"/>
      <c r="H10" s="12">
        <f t="shared" si="0"/>
        <v>44637</v>
      </c>
    </row>
    <row r="11" spans="2:10" ht="13.5" customHeight="1" x14ac:dyDescent="0.3">
      <c r="B11" s="6" t="s">
        <v>15</v>
      </c>
      <c r="C11" s="22"/>
      <c r="D11" s="22"/>
      <c r="E11" s="22"/>
      <c r="F11" s="22"/>
      <c r="G11" s="57"/>
      <c r="H11" s="12">
        <f t="shared" si="0"/>
        <v>44637</v>
      </c>
    </row>
    <row r="12" spans="2:10" x14ac:dyDescent="0.3">
      <c r="B12" s="6" t="s">
        <v>54</v>
      </c>
      <c r="C12" s="22"/>
      <c r="D12" s="22"/>
      <c r="E12" s="22"/>
      <c r="F12" s="22"/>
      <c r="G12" s="22"/>
      <c r="H12" s="67">
        <f t="shared" si="0"/>
        <v>44637</v>
      </c>
    </row>
    <row r="13" spans="2:10" x14ac:dyDescent="0.3">
      <c r="B13" s="6" t="s">
        <v>26</v>
      </c>
      <c r="C13" s="22"/>
      <c r="D13" s="22"/>
      <c r="E13" s="22"/>
      <c r="F13" s="22"/>
      <c r="G13" s="22"/>
      <c r="H13" s="12">
        <f t="shared" si="0"/>
        <v>44637</v>
      </c>
    </row>
    <row r="14" spans="2:10" x14ac:dyDescent="0.3">
      <c r="B14" s="6" t="s">
        <v>22</v>
      </c>
      <c r="C14" s="22"/>
      <c r="D14" s="23"/>
      <c r="E14" s="23"/>
      <c r="F14" s="23"/>
      <c r="G14" s="23"/>
      <c r="H14" s="12">
        <f t="shared" si="0"/>
        <v>44637</v>
      </c>
      <c r="J14" s="4"/>
    </row>
    <row r="15" spans="2:10" x14ac:dyDescent="0.3">
      <c r="B15" s="6" t="s">
        <v>61</v>
      </c>
      <c r="C15" s="57"/>
      <c r="D15" s="23"/>
      <c r="E15" s="23"/>
      <c r="F15" s="23"/>
      <c r="G15" s="23"/>
      <c r="H15" s="67">
        <f t="shared" si="0"/>
        <v>44637</v>
      </c>
      <c r="J15" s="4"/>
    </row>
    <row r="16" spans="2:10" x14ac:dyDescent="0.3">
      <c r="B16" s="6" t="s">
        <v>19</v>
      </c>
      <c r="C16" s="22">
        <v>1134000</v>
      </c>
      <c r="D16" s="62"/>
      <c r="E16" s="22"/>
      <c r="F16" s="22"/>
      <c r="G16" s="22">
        <v>536000</v>
      </c>
      <c r="H16" s="12">
        <f t="shared" si="0"/>
        <v>44637</v>
      </c>
    </row>
    <row r="17" spans="1:8" x14ac:dyDescent="0.3">
      <c r="B17" s="6" t="s">
        <v>14</v>
      </c>
      <c r="C17" s="22"/>
      <c r="D17" s="22"/>
      <c r="E17" s="22"/>
      <c r="F17" s="22"/>
      <c r="G17" s="22"/>
      <c r="H17" s="12">
        <f t="shared" si="0"/>
        <v>44637</v>
      </c>
    </row>
    <row r="18" spans="1:8" x14ac:dyDescent="0.3">
      <c r="B18" s="6" t="s">
        <v>24</v>
      </c>
      <c r="C18" s="22"/>
      <c r="D18" s="22"/>
      <c r="E18" s="22"/>
      <c r="F18" s="22"/>
      <c r="G18" s="22"/>
      <c r="H18" s="12">
        <f t="shared" si="0"/>
        <v>44637</v>
      </c>
    </row>
    <row r="19" spans="1:8" x14ac:dyDescent="0.3">
      <c r="B19" s="6" t="s">
        <v>21</v>
      </c>
      <c r="C19" s="22"/>
      <c r="D19" s="22"/>
      <c r="E19" s="22"/>
      <c r="F19" s="22"/>
      <c r="G19" s="22"/>
      <c r="H19" s="67">
        <f t="shared" si="0"/>
        <v>44637</v>
      </c>
    </row>
    <row r="20" spans="1:8" x14ac:dyDescent="0.3">
      <c r="B20" s="6" t="s">
        <v>65</v>
      </c>
      <c r="C20" s="22"/>
      <c r="D20" s="22"/>
      <c r="E20" s="22"/>
      <c r="F20" s="22"/>
      <c r="G20" s="22"/>
      <c r="H20" s="12">
        <f t="shared" si="0"/>
        <v>44637</v>
      </c>
    </row>
    <row r="21" spans="1:8" x14ac:dyDescent="0.3">
      <c r="B21" s="6" t="s">
        <v>18</v>
      </c>
      <c r="C21" s="22">
        <v>54000</v>
      </c>
      <c r="D21" s="22"/>
      <c r="E21" s="22"/>
      <c r="F21" s="22"/>
      <c r="G21" s="22"/>
      <c r="H21" s="12">
        <f t="shared" si="0"/>
        <v>44637</v>
      </c>
    </row>
    <row r="22" spans="1:8" x14ac:dyDescent="0.3">
      <c r="B22" s="6" t="s">
        <v>16</v>
      </c>
      <c r="C22" s="55"/>
      <c r="D22" s="22"/>
      <c r="E22" s="22"/>
      <c r="F22" s="22"/>
      <c r="G22" s="22"/>
      <c r="H22" s="12">
        <f t="shared" si="0"/>
        <v>44637</v>
      </c>
    </row>
    <row r="23" spans="1:8" x14ac:dyDescent="0.3">
      <c r="B23" s="50" t="s">
        <v>27</v>
      </c>
      <c r="C23" s="51">
        <f>SUM(March17_2022[KSI_AGO])</f>
        <v>1350000</v>
      </c>
      <c r="D23" s="51">
        <f>SUBTOTAL(109,March17_2022[KSI_PMS])</f>
        <v>535500</v>
      </c>
      <c r="E23" s="51">
        <f>SUM(March17_2022[BUIPE_AGO])</f>
        <v>0</v>
      </c>
      <c r="F23" s="51">
        <f>SUM(March17_2022[BUIPE_PMS])</f>
        <v>0</v>
      </c>
      <c r="G23" s="51">
        <f>SUM(March17_2022[AKOSOMBO_AGO])</f>
        <v>536000</v>
      </c>
      <c r="H23" s="52"/>
    </row>
    <row r="24" spans="1:8" x14ac:dyDescent="0.3">
      <c r="B24" s="8"/>
      <c r="C24" s="24"/>
      <c r="D24" s="24"/>
      <c r="E24" s="24"/>
      <c r="F24" s="24"/>
      <c r="G24" s="24"/>
      <c r="H24"/>
    </row>
    <row r="25" spans="1:8" x14ac:dyDescent="0.3">
      <c r="B25" s="1" t="s">
        <v>6</v>
      </c>
      <c r="C25" s="1" t="s">
        <v>4</v>
      </c>
      <c r="D25" s="5">
        <f>SUMIF(March17_2022[[#Headers],[KSI_AGO]:[AKOSOMBO_AGO]],"*"&amp;C25,March17_2022[[#Totals],[KSI_AGO]:[AKOSOMBO_AGO]])</f>
        <v>1886000</v>
      </c>
      <c r="E25" s="1" t="s">
        <v>5</v>
      </c>
      <c r="F25" s="5">
        <f>SUMIF(March17_2022[[#Headers],[KSI_AGO]:[AKOSOMBO_AGO]],"*"&amp;E25,March17_2022[[#Totals],[KSI_AGO]:[AKOSOMBO_AGO]])</f>
        <v>535500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18914F15-5192-453E-B47B-8488A7805C6D}">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6669-D928-4669-8476-140C25FE717E}">
  <sheetPr codeName="Sheet553"/>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E14" sqref="E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44638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44638</v>
      </c>
    </row>
    <row r="7" spans="2:10" x14ac:dyDescent="0.3">
      <c r="B7" s="6" t="s">
        <v>37</v>
      </c>
      <c r="C7" s="53"/>
      <c r="D7" s="57"/>
      <c r="E7" s="22"/>
      <c r="F7" s="22"/>
      <c r="G7" s="22"/>
      <c r="H7" s="67">
        <f t="shared" si="0"/>
        <v>44638</v>
      </c>
    </row>
    <row r="8" spans="2:10" x14ac:dyDescent="0.3">
      <c r="B8" s="6" t="s">
        <v>17</v>
      </c>
      <c r="C8" s="22">
        <v>644000</v>
      </c>
      <c r="D8" s="57"/>
      <c r="E8" s="22"/>
      <c r="F8" s="22"/>
      <c r="G8" s="22"/>
      <c r="H8" s="12">
        <f t="shared" si="0"/>
        <v>44638</v>
      </c>
    </row>
    <row r="9" spans="2:10" ht="15.6" x14ac:dyDescent="0.3">
      <c r="B9" s="34" t="s">
        <v>0</v>
      </c>
      <c r="C9" s="60">
        <v>702000</v>
      </c>
      <c r="D9" s="57"/>
      <c r="E9" s="61"/>
      <c r="F9" s="118"/>
      <c r="G9" s="22"/>
      <c r="H9" s="12">
        <f t="shared" si="0"/>
        <v>44638</v>
      </c>
    </row>
    <row r="10" spans="2:10" ht="16.2" customHeight="1" x14ac:dyDescent="0.3">
      <c r="B10" s="6" t="s">
        <v>25</v>
      </c>
      <c r="C10" s="22"/>
      <c r="D10" s="22">
        <v>810000</v>
      </c>
      <c r="E10" s="22"/>
      <c r="F10" s="22"/>
      <c r="G10" s="22"/>
      <c r="H10" s="12">
        <f t="shared" si="0"/>
        <v>44638</v>
      </c>
    </row>
    <row r="11" spans="2:10" ht="13.5" customHeight="1" x14ac:dyDescent="0.3">
      <c r="B11" s="6" t="s">
        <v>15</v>
      </c>
      <c r="C11" s="22"/>
      <c r="D11" s="22"/>
      <c r="E11" s="22"/>
      <c r="F11" s="22"/>
      <c r="G11" s="57"/>
      <c r="H11" s="12">
        <f t="shared" si="0"/>
        <v>44638</v>
      </c>
    </row>
    <row r="12" spans="2:10" x14ac:dyDescent="0.3">
      <c r="B12" s="6" t="s">
        <v>54</v>
      </c>
      <c r="C12" s="22"/>
      <c r="D12" s="22"/>
      <c r="E12" s="22"/>
      <c r="F12" s="22"/>
      <c r="G12" s="22"/>
      <c r="H12" s="67">
        <f t="shared" si="0"/>
        <v>44638</v>
      </c>
    </row>
    <row r="13" spans="2:10" x14ac:dyDescent="0.3">
      <c r="B13" s="6" t="s">
        <v>26</v>
      </c>
      <c r="C13" s="22"/>
      <c r="D13" s="22">
        <v>45000</v>
      </c>
      <c r="E13" s="22"/>
      <c r="F13" s="22"/>
      <c r="G13" s="22"/>
      <c r="H13" s="12">
        <f t="shared" si="0"/>
        <v>44638</v>
      </c>
    </row>
    <row r="14" spans="2:10" x14ac:dyDescent="0.3">
      <c r="B14" s="6" t="s">
        <v>22</v>
      </c>
      <c r="C14" s="22"/>
      <c r="D14" s="23"/>
      <c r="E14" s="23"/>
      <c r="F14" s="23"/>
      <c r="G14" s="23"/>
      <c r="H14" s="12">
        <f t="shared" si="0"/>
        <v>44638</v>
      </c>
      <c r="J14" s="4"/>
    </row>
    <row r="15" spans="2:10" x14ac:dyDescent="0.3">
      <c r="B15" s="6" t="s">
        <v>61</v>
      </c>
      <c r="C15" s="57"/>
      <c r="D15" s="23"/>
      <c r="E15" s="23"/>
      <c r="F15" s="23"/>
      <c r="G15" s="23"/>
      <c r="H15" s="67">
        <f t="shared" si="0"/>
        <v>44638</v>
      </c>
      <c r="J15" s="4"/>
    </row>
    <row r="16" spans="2:10" x14ac:dyDescent="0.3">
      <c r="B16" s="6" t="s">
        <v>19</v>
      </c>
      <c r="C16" s="22">
        <v>54000</v>
      </c>
      <c r="D16" s="62"/>
      <c r="E16" s="22"/>
      <c r="F16" s="22"/>
      <c r="G16" s="22">
        <v>428000</v>
      </c>
      <c r="H16" s="12">
        <f t="shared" si="0"/>
        <v>44638</v>
      </c>
    </row>
    <row r="17" spans="1:8" x14ac:dyDescent="0.3">
      <c r="B17" s="6" t="s">
        <v>14</v>
      </c>
      <c r="C17" s="22"/>
      <c r="D17" s="22"/>
      <c r="E17" s="22"/>
      <c r="F17" s="22"/>
      <c r="G17" s="22"/>
      <c r="H17" s="12">
        <f t="shared" si="0"/>
        <v>44638</v>
      </c>
    </row>
    <row r="18" spans="1:8" x14ac:dyDescent="0.3">
      <c r="B18" s="6" t="s">
        <v>24</v>
      </c>
      <c r="C18" s="22"/>
      <c r="D18" s="22"/>
      <c r="E18" s="22"/>
      <c r="F18" s="22"/>
      <c r="G18" s="22"/>
      <c r="H18" s="12">
        <f t="shared" si="0"/>
        <v>44638</v>
      </c>
    </row>
    <row r="19" spans="1:8" x14ac:dyDescent="0.3">
      <c r="B19" s="6" t="s">
        <v>21</v>
      </c>
      <c r="C19" s="22"/>
      <c r="D19" s="22"/>
      <c r="E19" s="22"/>
      <c r="F19" s="22"/>
      <c r="G19" s="22"/>
      <c r="H19" s="67">
        <f t="shared" si="0"/>
        <v>44638</v>
      </c>
    </row>
    <row r="20" spans="1:8" x14ac:dyDescent="0.3">
      <c r="B20" s="6" t="s">
        <v>65</v>
      </c>
      <c r="C20" s="22"/>
      <c r="D20" s="22"/>
      <c r="E20" s="22"/>
      <c r="F20" s="22"/>
      <c r="G20" s="22"/>
      <c r="H20" s="12">
        <f t="shared" si="0"/>
        <v>44638</v>
      </c>
    </row>
    <row r="21" spans="1:8" x14ac:dyDescent="0.3">
      <c r="B21" s="6" t="s">
        <v>18</v>
      </c>
      <c r="C21" s="22"/>
      <c r="D21" s="22">
        <v>45000</v>
      </c>
      <c r="E21" s="22"/>
      <c r="F21" s="22"/>
      <c r="G21" s="22"/>
      <c r="H21" s="12">
        <f t="shared" si="0"/>
        <v>44638</v>
      </c>
    </row>
    <row r="22" spans="1:8" x14ac:dyDescent="0.3">
      <c r="B22" s="6" t="s">
        <v>16</v>
      </c>
      <c r="C22" s="55">
        <v>162000</v>
      </c>
      <c r="D22" s="22"/>
      <c r="E22" s="22"/>
      <c r="F22" s="22"/>
      <c r="G22" s="22"/>
      <c r="H22" s="12">
        <f t="shared" si="0"/>
        <v>44638</v>
      </c>
    </row>
    <row r="23" spans="1:8" x14ac:dyDescent="0.3">
      <c r="B23" s="50" t="s">
        <v>27</v>
      </c>
      <c r="C23" s="51">
        <f>SUM(March18_2022[KSI_AGO])</f>
        <v>1562000</v>
      </c>
      <c r="D23" s="51">
        <f>SUBTOTAL(109,March18_2022[KSI_PMS])</f>
        <v>900000</v>
      </c>
      <c r="E23" s="51">
        <f>SUM(March18_2022[BUIPE_AGO])</f>
        <v>0</v>
      </c>
      <c r="F23" s="51">
        <f>SUM(March18_2022[BUIPE_PMS])</f>
        <v>0</v>
      </c>
      <c r="G23" s="51">
        <f>SUM(March18_2022[AKOSOMBO_AGO])</f>
        <v>428000</v>
      </c>
      <c r="H23" s="52"/>
    </row>
    <row r="24" spans="1:8" x14ac:dyDescent="0.3">
      <c r="B24" s="8"/>
      <c r="C24" s="24"/>
      <c r="D24" s="24"/>
      <c r="E24" s="24"/>
      <c r="F24" s="24"/>
      <c r="G24" s="24"/>
      <c r="H24"/>
    </row>
    <row r="25" spans="1:8" x14ac:dyDescent="0.3">
      <c r="B25" s="1" t="s">
        <v>6</v>
      </c>
      <c r="C25" s="1" t="s">
        <v>4</v>
      </c>
      <c r="D25" s="5">
        <f>SUMIF(March18_2022[[#Headers],[KSI_AGO]:[AKOSOMBO_AGO]],"*"&amp;C25,March18_2022[[#Totals],[KSI_AGO]:[AKOSOMBO_AGO]])</f>
        <v>1990000</v>
      </c>
      <c r="E25" s="1" t="s">
        <v>5</v>
      </c>
      <c r="F25" s="5">
        <f>SUMIF(March18_2022[[#Headers],[KSI_AGO]:[AKOSOMBO_AGO]],"*"&amp;E25,March18_2022[[#Totals],[KSI_AGO]:[AKOSOMBO_AGO]])</f>
        <v>900000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3CA1C23-173A-4F05-8184-CCB321777C61}">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BDD82-5265-456B-87C3-D5D20EE45CBD}">
  <sheetPr codeName="Sheet554"/>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E13" sqref="E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44641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44641</v>
      </c>
    </row>
    <row r="7" spans="2:10" x14ac:dyDescent="0.3">
      <c r="B7" s="6" t="s">
        <v>37</v>
      </c>
      <c r="C7" s="53"/>
      <c r="D7" s="57"/>
      <c r="E7" s="22"/>
      <c r="F7" s="22"/>
      <c r="G7" s="22"/>
      <c r="H7" s="67">
        <f t="shared" si="0"/>
        <v>44641</v>
      </c>
    </row>
    <row r="8" spans="2:10" x14ac:dyDescent="0.3">
      <c r="B8" s="6" t="s">
        <v>17</v>
      </c>
      <c r="C8" s="22">
        <v>270000</v>
      </c>
      <c r="D8" s="57"/>
      <c r="E8" s="22"/>
      <c r="F8" s="22"/>
      <c r="G8" s="22"/>
      <c r="H8" s="12">
        <f t="shared" si="0"/>
        <v>44641</v>
      </c>
    </row>
    <row r="9" spans="2:10" ht="15.6" x14ac:dyDescent="0.3">
      <c r="B9" s="34" t="s">
        <v>0</v>
      </c>
      <c r="C9" s="60">
        <v>540000</v>
      </c>
      <c r="D9" s="57"/>
      <c r="E9" s="61"/>
      <c r="F9" s="118"/>
      <c r="G9" s="22"/>
      <c r="H9" s="12">
        <f t="shared" si="0"/>
        <v>44641</v>
      </c>
    </row>
    <row r="10" spans="2:10" ht="16.2" customHeight="1" x14ac:dyDescent="0.3">
      <c r="B10" s="6" t="s">
        <v>25</v>
      </c>
      <c r="C10" s="22"/>
      <c r="D10" s="22">
        <v>540000</v>
      </c>
      <c r="E10" s="22"/>
      <c r="F10" s="22"/>
      <c r="G10" s="22"/>
      <c r="H10" s="12">
        <f t="shared" si="0"/>
        <v>44641</v>
      </c>
    </row>
    <row r="11" spans="2:10" ht="13.5" customHeight="1" x14ac:dyDescent="0.3">
      <c r="B11" s="6" t="s">
        <v>15</v>
      </c>
      <c r="C11" s="22"/>
      <c r="D11" s="22"/>
      <c r="E11" s="22"/>
      <c r="F11" s="22"/>
      <c r="G11" s="57"/>
      <c r="H11" s="12">
        <f t="shared" si="0"/>
        <v>44641</v>
      </c>
    </row>
    <row r="12" spans="2:10" x14ac:dyDescent="0.3">
      <c r="B12" s="6" t="s">
        <v>54</v>
      </c>
      <c r="C12" s="22"/>
      <c r="D12" s="22"/>
      <c r="E12" s="22"/>
      <c r="F12" s="22"/>
      <c r="G12" s="22"/>
      <c r="H12" s="67">
        <f t="shared" si="0"/>
        <v>44641</v>
      </c>
    </row>
    <row r="13" spans="2:10" x14ac:dyDescent="0.3">
      <c r="B13" s="6" t="s">
        <v>26</v>
      </c>
      <c r="C13" s="22"/>
      <c r="D13" s="22">
        <v>99000</v>
      </c>
      <c r="E13" s="22"/>
      <c r="F13" s="22"/>
      <c r="G13" s="22"/>
      <c r="H13" s="12">
        <f t="shared" si="0"/>
        <v>44641</v>
      </c>
    </row>
    <row r="14" spans="2:10" x14ac:dyDescent="0.3">
      <c r="B14" s="6" t="s">
        <v>22</v>
      </c>
      <c r="C14" s="22"/>
      <c r="D14" s="23"/>
      <c r="E14" s="23"/>
      <c r="F14" s="23"/>
      <c r="G14" s="23"/>
      <c r="H14" s="12">
        <f t="shared" si="0"/>
        <v>44641</v>
      </c>
      <c r="J14" s="4"/>
    </row>
    <row r="15" spans="2:10" x14ac:dyDescent="0.3">
      <c r="B15" s="6" t="s">
        <v>61</v>
      </c>
      <c r="C15" s="57"/>
      <c r="D15" s="23"/>
      <c r="E15" s="23"/>
      <c r="F15" s="23"/>
      <c r="G15" s="23"/>
      <c r="H15" s="67">
        <f t="shared" si="0"/>
        <v>44641</v>
      </c>
      <c r="J15" s="4"/>
    </row>
    <row r="16" spans="2:10" x14ac:dyDescent="0.3">
      <c r="B16" s="6" t="s">
        <v>19</v>
      </c>
      <c r="C16" s="22"/>
      <c r="D16" s="62"/>
      <c r="E16" s="22"/>
      <c r="F16" s="22"/>
      <c r="G16" s="22">
        <v>216000</v>
      </c>
      <c r="H16" s="12">
        <f t="shared" si="0"/>
        <v>44641</v>
      </c>
    </row>
    <row r="17" spans="1:8" x14ac:dyDescent="0.3">
      <c r="B17" s="6" t="s">
        <v>14</v>
      </c>
      <c r="C17" s="22">
        <v>269500</v>
      </c>
      <c r="D17" s="22">
        <v>377500</v>
      </c>
      <c r="E17" s="22"/>
      <c r="F17" s="22"/>
      <c r="G17" s="22">
        <v>54000</v>
      </c>
      <c r="H17" s="12">
        <f t="shared" si="0"/>
        <v>44641</v>
      </c>
    </row>
    <row r="18" spans="1:8" x14ac:dyDescent="0.3">
      <c r="B18" s="6" t="s">
        <v>24</v>
      </c>
      <c r="C18" s="22"/>
      <c r="D18" s="22"/>
      <c r="E18" s="22"/>
      <c r="F18" s="22"/>
      <c r="G18" s="22"/>
      <c r="H18" s="12">
        <f t="shared" si="0"/>
        <v>44641</v>
      </c>
    </row>
    <row r="19" spans="1:8" x14ac:dyDescent="0.3">
      <c r="B19" s="6" t="s">
        <v>21</v>
      </c>
      <c r="C19" s="22"/>
      <c r="D19" s="22"/>
      <c r="E19" s="22"/>
      <c r="F19" s="22"/>
      <c r="G19" s="22"/>
      <c r="H19" s="67">
        <f t="shared" si="0"/>
        <v>44641</v>
      </c>
    </row>
    <row r="20" spans="1:8" x14ac:dyDescent="0.3">
      <c r="B20" s="6" t="s">
        <v>65</v>
      </c>
      <c r="C20" s="22"/>
      <c r="D20" s="22"/>
      <c r="E20" s="22"/>
      <c r="F20" s="22"/>
      <c r="G20" s="22"/>
      <c r="H20" s="12">
        <f t="shared" si="0"/>
        <v>44641</v>
      </c>
    </row>
    <row r="21" spans="1:8" x14ac:dyDescent="0.3">
      <c r="B21" s="6" t="s">
        <v>18</v>
      </c>
      <c r="C21" s="22">
        <v>50000</v>
      </c>
      <c r="D21" s="22">
        <v>45000</v>
      </c>
      <c r="E21" s="22"/>
      <c r="F21" s="22"/>
      <c r="G21" s="22"/>
      <c r="H21" s="12">
        <f t="shared" si="0"/>
        <v>44641</v>
      </c>
    </row>
    <row r="22" spans="1:8" x14ac:dyDescent="0.3">
      <c r="B22" s="6" t="s">
        <v>16</v>
      </c>
      <c r="C22" s="55">
        <v>216000</v>
      </c>
      <c r="D22" s="22">
        <v>484000</v>
      </c>
      <c r="E22" s="22"/>
      <c r="F22" s="22"/>
      <c r="G22" s="22">
        <v>324000</v>
      </c>
      <c r="H22" s="12">
        <f t="shared" si="0"/>
        <v>44641</v>
      </c>
    </row>
    <row r="23" spans="1:8" x14ac:dyDescent="0.3">
      <c r="B23" s="50" t="s">
        <v>27</v>
      </c>
      <c r="C23" s="51">
        <f>SUM(March21_2022[KSI_AGO])</f>
        <v>1345500</v>
      </c>
      <c r="D23" s="51">
        <f>SUBTOTAL(109,March21_2022[KSI_PMS])</f>
        <v>1545500</v>
      </c>
      <c r="E23" s="51">
        <f>SUM(March21_2022[BUIPE_AGO])</f>
        <v>0</v>
      </c>
      <c r="F23" s="51">
        <f>SUM(March21_2022[BUIPE_PMS])</f>
        <v>0</v>
      </c>
      <c r="G23" s="51">
        <f>SUM(March21_2022[AKOSOMBO_AGO])</f>
        <v>594000</v>
      </c>
      <c r="H23" s="52"/>
    </row>
    <row r="24" spans="1:8" x14ac:dyDescent="0.3">
      <c r="B24" s="8"/>
      <c r="C24" s="24"/>
      <c r="D24" s="24"/>
      <c r="E24" s="24"/>
      <c r="F24" s="24"/>
      <c r="G24" s="24"/>
      <c r="H24"/>
    </row>
    <row r="25" spans="1:8" x14ac:dyDescent="0.3">
      <c r="B25" s="1" t="s">
        <v>6</v>
      </c>
      <c r="C25" s="1" t="s">
        <v>4</v>
      </c>
      <c r="D25" s="5">
        <f>SUMIF(March21_2022[[#Headers],[KSI_AGO]:[AKOSOMBO_AGO]],"*"&amp;C25,March21_2022[[#Totals],[KSI_AGO]:[AKOSOMBO_AGO]])</f>
        <v>1939500</v>
      </c>
      <c r="E25" s="1" t="s">
        <v>5</v>
      </c>
      <c r="F25" s="5">
        <f>SUMIF(March21_2022[[#Headers],[KSI_AGO]:[AKOSOMBO_AGO]],"*"&amp;E25,March21_2022[[#Totals],[KSI_AGO]:[AKOSOMBO_AGO]])</f>
        <v>1545500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FB899A8-771A-46E0-B046-102E3638A7C2}">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8BD5E-FB7C-42EF-B536-D0214F4A4549}">
  <sheetPr codeName="Sheet555"/>
  <dimension ref="A1:J35"/>
  <sheetViews>
    <sheetView zoomScale="107" zoomScaleNormal="85" workbookViewId="0">
      <pane xSplit="2" ySplit="5" topLeftCell="C7" activePane="bottomRight" state="frozen"/>
      <selection activeCell="F31" sqref="F31:F33"/>
      <selection pane="topRight" activeCell="F31" sqref="F31:F33"/>
      <selection pane="bottomLeft" activeCell="F31" sqref="F31:F33"/>
      <selection pane="bottomRight" activeCell="D2" sqref="D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44642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44642</v>
      </c>
    </row>
    <row r="7" spans="2:10" x14ac:dyDescent="0.3">
      <c r="B7" s="6" t="s">
        <v>37</v>
      </c>
      <c r="C7" s="53"/>
      <c r="D7" s="57"/>
      <c r="E7" s="22"/>
      <c r="F7" s="22"/>
      <c r="G7" s="22"/>
      <c r="H7" s="67">
        <f t="shared" si="0"/>
        <v>44642</v>
      </c>
    </row>
    <row r="8" spans="2:10" x14ac:dyDescent="0.3">
      <c r="B8" s="6" t="s">
        <v>17</v>
      </c>
      <c r="C8" s="22">
        <v>162000</v>
      </c>
      <c r="D8" s="57"/>
      <c r="E8" s="22"/>
      <c r="F8" s="22"/>
      <c r="G8" s="22"/>
      <c r="H8" s="12">
        <f t="shared" si="0"/>
        <v>44642</v>
      </c>
    </row>
    <row r="9" spans="2:10" ht="15.6" x14ac:dyDescent="0.3">
      <c r="B9" s="34" t="s">
        <v>0</v>
      </c>
      <c r="C9" s="60">
        <v>918000</v>
      </c>
      <c r="D9" s="57"/>
      <c r="E9" s="61"/>
      <c r="F9" s="118"/>
      <c r="G9" s="22"/>
      <c r="H9" s="12">
        <f t="shared" si="0"/>
        <v>44642</v>
      </c>
    </row>
    <row r="10" spans="2:10" ht="16.2" customHeight="1" x14ac:dyDescent="0.3">
      <c r="B10" s="6" t="s">
        <v>25</v>
      </c>
      <c r="C10" s="22"/>
      <c r="D10" s="22"/>
      <c r="E10" s="22"/>
      <c r="F10" s="22"/>
      <c r="G10" s="22"/>
      <c r="H10" s="12">
        <f t="shared" si="0"/>
        <v>44642</v>
      </c>
    </row>
    <row r="11" spans="2:10" ht="13.5" customHeight="1" x14ac:dyDescent="0.3">
      <c r="B11" s="6" t="s">
        <v>15</v>
      </c>
      <c r="C11" s="22"/>
      <c r="D11" s="22"/>
      <c r="E11" s="22"/>
      <c r="F11" s="22"/>
      <c r="G11" s="57"/>
      <c r="H11" s="12">
        <f t="shared" si="0"/>
        <v>44642</v>
      </c>
    </row>
    <row r="12" spans="2:10" x14ac:dyDescent="0.3">
      <c r="B12" s="6" t="s">
        <v>54</v>
      </c>
      <c r="C12" s="22"/>
      <c r="D12" s="22"/>
      <c r="E12" s="22"/>
      <c r="F12" s="22"/>
      <c r="G12" s="22"/>
      <c r="H12" s="67">
        <f t="shared" si="0"/>
        <v>44642</v>
      </c>
    </row>
    <row r="13" spans="2:10" x14ac:dyDescent="0.3">
      <c r="B13" s="6" t="s">
        <v>26</v>
      </c>
      <c r="C13" s="22">
        <v>211500</v>
      </c>
      <c r="D13" s="22">
        <v>540000</v>
      </c>
      <c r="E13" s="22"/>
      <c r="F13" s="22">
        <v>162000</v>
      </c>
      <c r="G13" s="22"/>
      <c r="H13" s="12">
        <f t="shared" si="0"/>
        <v>44642</v>
      </c>
    </row>
    <row r="14" spans="2:10" x14ac:dyDescent="0.3">
      <c r="B14" s="6" t="s">
        <v>22</v>
      </c>
      <c r="C14" s="22"/>
      <c r="D14" s="23"/>
      <c r="E14" s="23"/>
      <c r="F14" s="23"/>
      <c r="G14" s="23"/>
      <c r="H14" s="12">
        <f t="shared" si="0"/>
        <v>44642</v>
      </c>
      <c r="J14" s="4"/>
    </row>
    <row r="15" spans="2:10" x14ac:dyDescent="0.3">
      <c r="B15" s="6" t="s">
        <v>61</v>
      </c>
      <c r="C15" s="57"/>
      <c r="D15" s="23"/>
      <c r="E15" s="23"/>
      <c r="F15" s="23"/>
      <c r="G15" s="23"/>
      <c r="H15" s="67">
        <f t="shared" si="0"/>
        <v>44642</v>
      </c>
      <c r="J15" s="4"/>
    </row>
    <row r="16" spans="2:10" x14ac:dyDescent="0.3">
      <c r="B16" s="6" t="s">
        <v>19</v>
      </c>
      <c r="C16" s="22"/>
      <c r="D16" s="62"/>
      <c r="E16" s="22"/>
      <c r="F16" s="22"/>
      <c r="G16" s="22">
        <v>50000</v>
      </c>
      <c r="H16" s="12">
        <f t="shared" si="0"/>
        <v>44642</v>
      </c>
    </row>
    <row r="17" spans="1:8" x14ac:dyDescent="0.3">
      <c r="B17" s="6" t="s">
        <v>14</v>
      </c>
      <c r="C17" s="22">
        <v>162000</v>
      </c>
      <c r="D17" s="22">
        <v>805500</v>
      </c>
      <c r="E17" s="22"/>
      <c r="F17" s="22"/>
      <c r="G17" s="22"/>
      <c r="H17" s="12">
        <f t="shared" si="0"/>
        <v>44642</v>
      </c>
    </row>
    <row r="18" spans="1:8" x14ac:dyDescent="0.3">
      <c r="B18" s="6" t="s">
        <v>24</v>
      </c>
      <c r="C18" s="22"/>
      <c r="D18" s="22"/>
      <c r="E18" s="22"/>
      <c r="F18" s="22"/>
      <c r="G18" s="22">
        <v>270000</v>
      </c>
      <c r="H18" s="12">
        <f t="shared" si="0"/>
        <v>44642</v>
      </c>
    </row>
    <row r="19" spans="1:8" x14ac:dyDescent="0.3">
      <c r="B19" s="6" t="s">
        <v>21</v>
      </c>
      <c r="C19" s="22"/>
      <c r="D19" s="22"/>
      <c r="E19" s="22"/>
      <c r="F19" s="22"/>
      <c r="G19" s="22"/>
      <c r="H19" s="67">
        <f t="shared" si="0"/>
        <v>44642</v>
      </c>
    </row>
    <row r="20" spans="1:8" x14ac:dyDescent="0.3">
      <c r="B20" s="6" t="s">
        <v>65</v>
      </c>
      <c r="C20" s="22"/>
      <c r="D20" s="22"/>
      <c r="E20" s="22"/>
      <c r="F20" s="22"/>
      <c r="G20" s="22"/>
      <c r="H20" s="12">
        <f t="shared" si="0"/>
        <v>44642</v>
      </c>
    </row>
    <row r="21" spans="1:8" x14ac:dyDescent="0.3">
      <c r="B21" s="6" t="s">
        <v>18</v>
      </c>
      <c r="C21" s="22"/>
      <c r="D21" s="22"/>
      <c r="E21" s="22"/>
      <c r="F21" s="22"/>
      <c r="G21" s="22"/>
      <c r="H21" s="12">
        <f t="shared" si="0"/>
        <v>44642</v>
      </c>
    </row>
    <row r="22" spans="1:8" x14ac:dyDescent="0.3">
      <c r="B22" s="6" t="s">
        <v>16</v>
      </c>
      <c r="C22" s="55">
        <v>211500</v>
      </c>
      <c r="D22" s="22">
        <v>378000</v>
      </c>
      <c r="E22" s="22"/>
      <c r="F22" s="22">
        <v>108000</v>
      </c>
      <c r="G22" s="22">
        <v>54000</v>
      </c>
      <c r="H22" s="12">
        <f t="shared" si="0"/>
        <v>44642</v>
      </c>
    </row>
    <row r="23" spans="1:8" x14ac:dyDescent="0.3">
      <c r="B23" s="50" t="s">
        <v>27</v>
      </c>
      <c r="C23" s="51">
        <f>SUM(March22_2022[KSI_AGO])</f>
        <v>1665000</v>
      </c>
      <c r="D23" s="51">
        <f>SUBTOTAL(109,March22_2022[KSI_PMS])</f>
        <v>1723500</v>
      </c>
      <c r="E23" s="51">
        <f>SUM(March22_2022[BUIPE_AGO])</f>
        <v>0</v>
      </c>
      <c r="F23" s="51">
        <f>SUM(March22_2022[BUIPE_PMS])</f>
        <v>270000</v>
      </c>
      <c r="G23" s="51">
        <f>SUM(March22_2022[AKOSOMBO_AGO])</f>
        <v>374000</v>
      </c>
      <c r="H23" s="52"/>
    </row>
    <row r="24" spans="1:8" x14ac:dyDescent="0.3">
      <c r="B24" s="8"/>
      <c r="C24" s="24"/>
      <c r="D24" s="24"/>
      <c r="E24" s="24"/>
      <c r="F24" s="24"/>
      <c r="G24" s="24"/>
      <c r="H24"/>
    </row>
    <row r="25" spans="1:8" x14ac:dyDescent="0.3">
      <c r="B25" s="1" t="s">
        <v>6</v>
      </c>
      <c r="C25" s="1" t="s">
        <v>4</v>
      </c>
      <c r="D25" s="5">
        <f>SUMIF(March22_2022[[#Headers],[KSI_AGO]:[AKOSOMBO_AGO]],"*"&amp;C25,March22_2022[[#Totals],[KSI_AGO]:[AKOSOMBO_AGO]])</f>
        <v>2039000</v>
      </c>
      <c r="E25" s="1" t="s">
        <v>5</v>
      </c>
      <c r="F25" s="5">
        <f>SUMIF(March22_2022[[#Headers],[KSI_AGO]:[AKOSOMBO_AGO]],"*"&amp;E25,March22_2022[[#Totals],[KSI_AGO]:[AKOSOMBO_AGO]])</f>
        <v>1993500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837326F0-46BC-4953-B10F-098E0B4123D7}">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3C9F7-A4EB-48EE-B963-8ECCAA4F6D25}">
  <sheetPr codeName="Sheet556"/>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E11" sqref="E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44643</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44643</v>
      </c>
    </row>
    <row r="7" spans="2:10" x14ac:dyDescent="0.3">
      <c r="B7" s="6" t="s">
        <v>37</v>
      </c>
      <c r="C7" s="53"/>
      <c r="D7" s="57"/>
      <c r="E7" s="22"/>
      <c r="F7" s="22"/>
      <c r="G7" s="22"/>
      <c r="H7" s="67">
        <f t="shared" si="0"/>
        <v>44643</v>
      </c>
    </row>
    <row r="8" spans="2:10" x14ac:dyDescent="0.3">
      <c r="B8" s="6" t="s">
        <v>17</v>
      </c>
      <c r="C8" s="22"/>
      <c r="D8" s="57"/>
      <c r="E8" s="22"/>
      <c r="F8" s="22"/>
      <c r="G8" s="22"/>
      <c r="H8" s="12">
        <f t="shared" si="0"/>
        <v>44643</v>
      </c>
    </row>
    <row r="9" spans="2:10" ht="15.6" x14ac:dyDescent="0.3">
      <c r="B9" s="34" t="s">
        <v>0</v>
      </c>
      <c r="C9" s="60">
        <v>972000</v>
      </c>
      <c r="D9" s="57"/>
      <c r="E9" s="61"/>
      <c r="F9" s="118"/>
      <c r="G9" s="22"/>
      <c r="H9" s="12">
        <f t="shared" si="0"/>
        <v>44643</v>
      </c>
    </row>
    <row r="10" spans="2:10" ht="16.2" customHeight="1" x14ac:dyDescent="0.3">
      <c r="B10" s="6" t="s">
        <v>25</v>
      </c>
      <c r="C10" s="22">
        <v>45000</v>
      </c>
      <c r="D10" s="22">
        <v>54000</v>
      </c>
      <c r="E10" s="22"/>
      <c r="F10" s="22"/>
      <c r="G10" s="22"/>
      <c r="H10" s="12">
        <f t="shared" si="0"/>
        <v>44643</v>
      </c>
    </row>
    <row r="11" spans="2:10" ht="13.5" customHeight="1" x14ac:dyDescent="0.3">
      <c r="B11" s="6" t="s">
        <v>15</v>
      </c>
      <c r="C11" s="22"/>
      <c r="D11" s="22"/>
      <c r="E11" s="22"/>
      <c r="F11" s="22"/>
      <c r="G11" s="57"/>
      <c r="H11" s="12">
        <f t="shared" si="0"/>
        <v>44643</v>
      </c>
    </row>
    <row r="12" spans="2:10" x14ac:dyDescent="0.3">
      <c r="B12" s="6" t="s">
        <v>54</v>
      </c>
      <c r="C12" s="22">
        <v>54000</v>
      </c>
      <c r="D12" s="22"/>
      <c r="E12" s="22"/>
      <c r="F12" s="22"/>
      <c r="G12" s="22"/>
      <c r="H12" s="67">
        <f t="shared" si="0"/>
        <v>44643</v>
      </c>
    </row>
    <row r="13" spans="2:10" x14ac:dyDescent="0.3">
      <c r="B13" s="6" t="s">
        <v>26</v>
      </c>
      <c r="C13" s="22"/>
      <c r="D13" s="22">
        <v>162000</v>
      </c>
      <c r="E13" s="22"/>
      <c r="F13" s="22">
        <v>54000</v>
      </c>
      <c r="G13" s="22">
        <v>99000</v>
      </c>
      <c r="H13" s="12">
        <f t="shared" si="0"/>
        <v>44643</v>
      </c>
    </row>
    <row r="14" spans="2:10" x14ac:dyDescent="0.3">
      <c r="B14" s="6" t="s">
        <v>22</v>
      </c>
      <c r="C14" s="22"/>
      <c r="D14" s="23"/>
      <c r="E14" s="23"/>
      <c r="F14" s="23"/>
      <c r="G14" s="23"/>
      <c r="H14" s="12">
        <f t="shared" si="0"/>
        <v>44643</v>
      </c>
      <c r="J14" s="4"/>
    </row>
    <row r="15" spans="2:10" x14ac:dyDescent="0.3">
      <c r="B15" s="6" t="s">
        <v>61</v>
      </c>
      <c r="C15" s="57"/>
      <c r="D15" s="23"/>
      <c r="E15" s="23"/>
      <c r="F15" s="23"/>
      <c r="G15" s="23"/>
      <c r="H15" s="67">
        <f t="shared" si="0"/>
        <v>44643</v>
      </c>
      <c r="J15" s="4"/>
    </row>
    <row r="16" spans="2:10" x14ac:dyDescent="0.3">
      <c r="B16" s="6" t="s">
        <v>19</v>
      </c>
      <c r="C16" s="22"/>
      <c r="D16" s="62">
        <v>486000</v>
      </c>
      <c r="E16" s="22"/>
      <c r="F16" s="22"/>
      <c r="G16" s="22"/>
      <c r="H16" s="12">
        <f t="shared" si="0"/>
        <v>44643</v>
      </c>
    </row>
    <row r="17" spans="1:8" x14ac:dyDescent="0.3">
      <c r="B17" s="6" t="s">
        <v>14</v>
      </c>
      <c r="C17" s="22">
        <v>216000</v>
      </c>
      <c r="D17" s="22">
        <v>432000</v>
      </c>
      <c r="E17" s="22"/>
      <c r="F17" s="22"/>
      <c r="G17" s="22">
        <v>162000</v>
      </c>
      <c r="H17" s="12">
        <f t="shared" si="0"/>
        <v>44643</v>
      </c>
    </row>
    <row r="18" spans="1:8" x14ac:dyDescent="0.3">
      <c r="B18" s="6" t="s">
        <v>24</v>
      </c>
      <c r="C18" s="22"/>
      <c r="D18" s="22"/>
      <c r="E18" s="22"/>
      <c r="F18" s="22"/>
      <c r="G18" s="22"/>
      <c r="H18" s="12">
        <f t="shared" si="0"/>
        <v>44643</v>
      </c>
    </row>
    <row r="19" spans="1:8" x14ac:dyDescent="0.3">
      <c r="B19" s="6" t="s">
        <v>21</v>
      </c>
      <c r="C19" s="22"/>
      <c r="D19" s="22"/>
      <c r="E19" s="22"/>
      <c r="F19" s="22"/>
      <c r="G19" s="22"/>
      <c r="H19" s="67">
        <f t="shared" si="0"/>
        <v>44643</v>
      </c>
    </row>
    <row r="20" spans="1:8" x14ac:dyDescent="0.3">
      <c r="B20" s="6" t="s">
        <v>65</v>
      </c>
      <c r="C20" s="22"/>
      <c r="D20" s="22"/>
      <c r="E20" s="22"/>
      <c r="F20" s="22"/>
      <c r="G20" s="22"/>
      <c r="H20" s="12">
        <f t="shared" si="0"/>
        <v>44643</v>
      </c>
    </row>
    <row r="21" spans="1:8" x14ac:dyDescent="0.3">
      <c r="B21" s="6" t="s">
        <v>18</v>
      </c>
      <c r="C21" s="22">
        <v>45000</v>
      </c>
      <c r="D21" s="22"/>
      <c r="E21" s="22"/>
      <c r="F21" s="22"/>
      <c r="G21" s="22"/>
      <c r="H21" s="12">
        <f t="shared" si="0"/>
        <v>44643</v>
      </c>
    </row>
    <row r="22" spans="1:8" x14ac:dyDescent="0.3">
      <c r="B22" s="6" t="s">
        <v>16</v>
      </c>
      <c r="C22" s="55">
        <v>54000</v>
      </c>
      <c r="D22" s="22"/>
      <c r="E22" s="22"/>
      <c r="F22" s="22">
        <v>162000</v>
      </c>
      <c r="G22" s="22"/>
      <c r="H22" s="12">
        <f t="shared" si="0"/>
        <v>44643</v>
      </c>
    </row>
    <row r="23" spans="1:8" x14ac:dyDescent="0.3">
      <c r="B23" s="50" t="s">
        <v>27</v>
      </c>
      <c r="C23" s="51">
        <f>SUM(March22_202218[KSI_AGO])</f>
        <v>1386000</v>
      </c>
      <c r="D23" s="51">
        <f>SUBTOTAL(109,March22_202218[KSI_PMS])</f>
        <v>1134000</v>
      </c>
      <c r="E23" s="51">
        <f>SUM(March22_202218[BUIPE_AGO])</f>
        <v>0</v>
      </c>
      <c r="F23" s="51">
        <f>SUM(March22_202218[BUIPE_PMS])</f>
        <v>216000</v>
      </c>
      <c r="G23" s="51">
        <f>SUM(March22_202218[AKOSOMBO_AGO])</f>
        <v>261000</v>
      </c>
      <c r="H23" s="52"/>
    </row>
    <row r="24" spans="1:8" x14ac:dyDescent="0.3">
      <c r="B24" s="8"/>
      <c r="C24" s="24"/>
      <c r="D24" s="24"/>
      <c r="E24" s="24"/>
      <c r="F24" s="24"/>
      <c r="G24" s="24"/>
      <c r="H24"/>
    </row>
    <row r="25" spans="1:8" x14ac:dyDescent="0.3">
      <c r="B25" s="1" t="s">
        <v>6</v>
      </c>
      <c r="C25" s="1" t="s">
        <v>4</v>
      </c>
      <c r="D25" s="5">
        <f>SUMIF(March22_202218[[#Headers],[KSI_AGO]:[AKOSOMBO_AGO]],"*"&amp;C25,March22_202218[[#Totals],[KSI_AGO]:[AKOSOMBO_AGO]])</f>
        <v>1647000</v>
      </c>
      <c r="E25" s="1" t="s">
        <v>5</v>
      </c>
      <c r="F25" s="5">
        <f>SUMIF(March22_202218[[#Headers],[KSI_AGO]:[AKOSOMBO_AGO]],"*"&amp;E25,March22_202218[[#Totals],[KSI_AGO]:[AKOSOMBO_AGO]])</f>
        <v>1350000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F06593FF-F1DF-4F2F-8CFD-74934B80516F}">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D0074-81F3-4DD4-A9A3-2245919EB1E6}">
  <sheetPr codeName="Sheet557"/>
  <dimension ref="A1:J35"/>
  <sheetViews>
    <sheetView zoomScale="107" zoomScaleNormal="85" workbookViewId="0">
      <pane xSplit="2" ySplit="5" topLeftCell="G6" activePane="bottomRight" state="frozen"/>
      <selection activeCell="F31" sqref="F31:F33"/>
      <selection pane="topRight" activeCell="F31" sqref="F31:F33"/>
      <selection pane="bottomLeft" activeCell="F31" sqref="F31:F33"/>
      <selection pane="bottomRight" activeCell="G10" sqref="G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44644</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44644</v>
      </c>
    </row>
    <row r="7" spans="2:10" x14ac:dyDescent="0.3">
      <c r="B7" s="6" t="s">
        <v>37</v>
      </c>
      <c r="C7" s="53"/>
      <c r="D7" s="57"/>
      <c r="E7" s="22"/>
      <c r="F7" s="22"/>
      <c r="G7" s="22"/>
      <c r="H7" s="67">
        <f t="shared" si="0"/>
        <v>44644</v>
      </c>
    </row>
    <row r="8" spans="2:10" x14ac:dyDescent="0.3">
      <c r="B8" s="6" t="s">
        <v>17</v>
      </c>
      <c r="C8" s="22"/>
      <c r="D8" s="57"/>
      <c r="E8" s="22"/>
      <c r="F8" s="22"/>
      <c r="G8" s="22"/>
      <c r="H8" s="12">
        <f t="shared" si="0"/>
        <v>44644</v>
      </c>
    </row>
    <row r="9" spans="2:10" ht="15.6" x14ac:dyDescent="0.3">
      <c r="B9" s="34" t="s">
        <v>0</v>
      </c>
      <c r="C9" s="60">
        <v>373500</v>
      </c>
      <c r="D9" s="57"/>
      <c r="E9" s="61"/>
      <c r="F9" s="118"/>
      <c r="G9" s="22"/>
      <c r="H9" s="12">
        <f t="shared" si="0"/>
        <v>44644</v>
      </c>
    </row>
    <row r="10" spans="2:10" ht="16.2" customHeight="1" x14ac:dyDescent="0.3">
      <c r="B10" s="6" t="s">
        <v>25</v>
      </c>
      <c r="C10" s="22"/>
      <c r="D10" s="22"/>
      <c r="E10" s="22"/>
      <c r="F10" s="22"/>
      <c r="G10" s="22"/>
      <c r="H10" s="12">
        <f t="shared" si="0"/>
        <v>44644</v>
      </c>
    </row>
    <row r="11" spans="2:10" ht="13.5" customHeight="1" x14ac:dyDescent="0.3">
      <c r="B11" s="6" t="s">
        <v>15</v>
      </c>
      <c r="C11" s="22">
        <v>162000</v>
      </c>
      <c r="D11" s="22"/>
      <c r="E11" s="22"/>
      <c r="F11" s="22"/>
      <c r="G11" s="57"/>
      <c r="H11" s="12">
        <f t="shared" si="0"/>
        <v>44644</v>
      </c>
    </row>
    <row r="12" spans="2:10" x14ac:dyDescent="0.3">
      <c r="B12" s="6" t="s">
        <v>54</v>
      </c>
      <c r="C12" s="22">
        <v>54000</v>
      </c>
      <c r="D12" s="22">
        <v>54000</v>
      </c>
      <c r="E12" s="22"/>
      <c r="F12" s="22"/>
      <c r="G12" s="22"/>
      <c r="H12" s="67">
        <f t="shared" si="0"/>
        <v>44644</v>
      </c>
    </row>
    <row r="13" spans="2:10" x14ac:dyDescent="0.3">
      <c r="B13" s="6" t="s">
        <v>26</v>
      </c>
      <c r="C13" s="22">
        <v>103500</v>
      </c>
      <c r="D13" s="22">
        <v>54000</v>
      </c>
      <c r="E13" s="22"/>
      <c r="F13" s="22"/>
      <c r="G13" s="22"/>
      <c r="H13" s="12">
        <f t="shared" si="0"/>
        <v>44644</v>
      </c>
    </row>
    <row r="14" spans="2:10" x14ac:dyDescent="0.3">
      <c r="B14" s="6" t="s">
        <v>22</v>
      </c>
      <c r="C14" s="22"/>
      <c r="D14" s="23"/>
      <c r="E14" s="23"/>
      <c r="F14" s="23"/>
      <c r="G14" s="23"/>
      <c r="H14" s="12">
        <f t="shared" si="0"/>
        <v>44644</v>
      </c>
      <c r="J14" s="4"/>
    </row>
    <row r="15" spans="2:10" x14ac:dyDescent="0.3">
      <c r="B15" s="6" t="s">
        <v>61</v>
      </c>
      <c r="C15" s="57"/>
      <c r="D15" s="23"/>
      <c r="E15" s="23"/>
      <c r="F15" s="23"/>
      <c r="G15" s="23"/>
      <c r="H15" s="67">
        <f t="shared" si="0"/>
        <v>44644</v>
      </c>
      <c r="J15" s="4"/>
    </row>
    <row r="16" spans="2:10" x14ac:dyDescent="0.3">
      <c r="B16" s="6" t="s">
        <v>19</v>
      </c>
      <c r="C16" s="22"/>
      <c r="D16" s="62">
        <v>306000</v>
      </c>
      <c r="E16" s="22"/>
      <c r="F16" s="22"/>
      <c r="G16" s="22"/>
      <c r="H16" s="12">
        <f t="shared" si="0"/>
        <v>44644</v>
      </c>
    </row>
    <row r="17" spans="1:8" x14ac:dyDescent="0.3">
      <c r="B17" s="6" t="s">
        <v>14</v>
      </c>
      <c r="C17" s="22">
        <v>211500</v>
      </c>
      <c r="D17" s="22">
        <v>648000</v>
      </c>
      <c r="E17" s="22"/>
      <c r="F17" s="22"/>
      <c r="G17" s="22">
        <v>212000</v>
      </c>
      <c r="H17" s="12">
        <f t="shared" si="0"/>
        <v>44644</v>
      </c>
    </row>
    <row r="18" spans="1:8" x14ac:dyDescent="0.3">
      <c r="B18" s="6" t="s">
        <v>24</v>
      </c>
      <c r="C18" s="22"/>
      <c r="D18" s="22"/>
      <c r="E18" s="22"/>
      <c r="F18" s="22"/>
      <c r="G18" s="22"/>
      <c r="H18" s="12">
        <f t="shared" si="0"/>
        <v>44644</v>
      </c>
    </row>
    <row r="19" spans="1:8" x14ac:dyDescent="0.3">
      <c r="B19" s="6" t="s">
        <v>21</v>
      </c>
      <c r="C19" s="22"/>
      <c r="D19" s="22"/>
      <c r="E19" s="22"/>
      <c r="F19" s="22"/>
      <c r="G19" s="22"/>
      <c r="H19" s="67">
        <f t="shared" si="0"/>
        <v>44644</v>
      </c>
    </row>
    <row r="20" spans="1:8" x14ac:dyDescent="0.3">
      <c r="B20" s="6" t="s">
        <v>65</v>
      </c>
      <c r="C20" s="22"/>
      <c r="D20" s="22"/>
      <c r="E20" s="22"/>
      <c r="F20" s="22"/>
      <c r="G20" s="22"/>
      <c r="H20" s="12">
        <f t="shared" si="0"/>
        <v>44644</v>
      </c>
    </row>
    <row r="21" spans="1:8" x14ac:dyDescent="0.3">
      <c r="B21" s="6" t="s">
        <v>18</v>
      </c>
      <c r="C21" s="22"/>
      <c r="D21" s="22"/>
      <c r="E21" s="22"/>
      <c r="F21" s="22"/>
      <c r="G21" s="22"/>
      <c r="H21" s="12">
        <f t="shared" si="0"/>
        <v>44644</v>
      </c>
    </row>
    <row r="22" spans="1:8" x14ac:dyDescent="0.3">
      <c r="B22" s="6" t="s">
        <v>16</v>
      </c>
      <c r="C22" s="55">
        <v>158000</v>
      </c>
      <c r="D22" s="22">
        <v>45000</v>
      </c>
      <c r="E22" s="22"/>
      <c r="F22" s="22">
        <v>108000</v>
      </c>
      <c r="G22" s="22"/>
      <c r="H22" s="12">
        <f t="shared" si="0"/>
        <v>44644</v>
      </c>
    </row>
    <row r="23" spans="1:8" x14ac:dyDescent="0.3">
      <c r="B23" s="50" t="s">
        <v>27</v>
      </c>
      <c r="C23" s="51">
        <f>SUM(March24_2022[KSI_AGO])</f>
        <v>1062500</v>
      </c>
      <c r="D23" s="51">
        <f>SUBTOTAL(109,March24_2022[KSI_PMS])</f>
        <v>1107000</v>
      </c>
      <c r="E23" s="51">
        <f>SUM(March24_2022[BUIPE_AGO])</f>
        <v>0</v>
      </c>
      <c r="F23" s="51">
        <f>SUM(March24_2022[BUIPE_PMS])</f>
        <v>108000</v>
      </c>
      <c r="G23" s="51">
        <f>SUM(March24_2022[AKOSOMBO_AGO])</f>
        <v>212000</v>
      </c>
      <c r="H23" s="52"/>
    </row>
    <row r="24" spans="1:8" x14ac:dyDescent="0.3">
      <c r="B24" s="8"/>
      <c r="C24" s="24"/>
      <c r="D24" s="24"/>
      <c r="E24" s="24"/>
      <c r="F24" s="24"/>
      <c r="G24" s="24"/>
      <c r="H24"/>
    </row>
    <row r="25" spans="1:8" x14ac:dyDescent="0.3">
      <c r="B25" s="1" t="s">
        <v>6</v>
      </c>
      <c r="C25" s="1" t="s">
        <v>4</v>
      </c>
      <c r="D25" s="5">
        <f>SUMIF(March24_2022[[#Headers],[KSI_AGO]:[AKOSOMBO_AGO]],"*"&amp;C25,March24_2022[[#Totals],[KSI_AGO]:[AKOSOMBO_AGO]])</f>
        <v>1274500</v>
      </c>
      <c r="E25" s="1" t="s">
        <v>5</v>
      </c>
      <c r="F25" s="5">
        <f>SUMIF(March24_2022[[#Headers],[KSI_AGO]:[AKOSOMBO_AGO]],"*"&amp;E25,March24_2022[[#Totals],[KSI_AGO]:[AKOSOMBO_AGO]])</f>
        <v>1215000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F06E541-AB38-4113-8066-535248F7EA07}">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EB632-CC90-46E4-8750-0C28B2DF5DC9}">
  <sheetPr codeName="Sheet558"/>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C18" sqref="C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44645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44645</v>
      </c>
    </row>
    <row r="7" spans="2:10" x14ac:dyDescent="0.3">
      <c r="B7" s="6" t="s">
        <v>37</v>
      </c>
      <c r="C7" s="53"/>
      <c r="D7" s="57"/>
      <c r="E7" s="22"/>
      <c r="F7" s="22"/>
      <c r="G7" s="22"/>
      <c r="H7" s="67">
        <f t="shared" si="0"/>
        <v>44645</v>
      </c>
    </row>
    <row r="8" spans="2:10" x14ac:dyDescent="0.3">
      <c r="B8" s="6" t="s">
        <v>17</v>
      </c>
      <c r="C8" s="22"/>
      <c r="D8" s="57"/>
      <c r="E8" s="22"/>
      <c r="F8" s="22"/>
      <c r="G8" s="22"/>
      <c r="H8" s="12">
        <f t="shared" si="0"/>
        <v>44645</v>
      </c>
    </row>
    <row r="9" spans="2:10" ht="15.6" x14ac:dyDescent="0.3">
      <c r="B9" s="34" t="s">
        <v>0</v>
      </c>
      <c r="C9" s="60">
        <v>648000</v>
      </c>
      <c r="D9" s="57"/>
      <c r="E9" s="61"/>
      <c r="F9" s="118"/>
      <c r="G9" s="57">
        <v>90000</v>
      </c>
      <c r="H9" s="12">
        <f t="shared" si="0"/>
        <v>44645</v>
      </c>
    </row>
    <row r="10" spans="2:10" ht="16.2" customHeight="1" x14ac:dyDescent="0.3">
      <c r="B10" s="6" t="s">
        <v>25</v>
      </c>
      <c r="C10" s="22"/>
      <c r="D10" s="22"/>
      <c r="E10" s="22"/>
      <c r="F10" s="22"/>
      <c r="G10" s="22"/>
      <c r="H10" s="12">
        <f t="shared" si="0"/>
        <v>44645</v>
      </c>
    </row>
    <row r="11" spans="2:10" ht="13.5" customHeight="1" x14ac:dyDescent="0.3">
      <c r="B11" s="6" t="s">
        <v>15</v>
      </c>
      <c r="C11" s="22">
        <v>371500</v>
      </c>
      <c r="D11" s="22"/>
      <c r="E11" s="22"/>
      <c r="F11" s="22"/>
      <c r="G11" s="22">
        <v>150000</v>
      </c>
      <c r="H11" s="12">
        <f t="shared" si="0"/>
        <v>44645</v>
      </c>
    </row>
    <row r="12" spans="2:10" x14ac:dyDescent="0.3">
      <c r="B12" s="6" t="s">
        <v>54</v>
      </c>
      <c r="C12" s="22">
        <v>162000</v>
      </c>
      <c r="D12" s="22">
        <v>428000</v>
      </c>
      <c r="E12" s="22"/>
      <c r="F12" s="22"/>
      <c r="G12" s="22"/>
      <c r="H12" s="67">
        <f t="shared" si="0"/>
        <v>44645</v>
      </c>
    </row>
    <row r="13" spans="2:10" x14ac:dyDescent="0.3">
      <c r="B13" s="6" t="s">
        <v>26</v>
      </c>
      <c r="C13" s="22"/>
      <c r="D13" s="22">
        <v>54000</v>
      </c>
      <c r="E13" s="22"/>
      <c r="F13" s="22"/>
      <c r="G13" s="22"/>
      <c r="H13" s="12">
        <f t="shared" si="0"/>
        <v>44645</v>
      </c>
    </row>
    <row r="14" spans="2:10" x14ac:dyDescent="0.3">
      <c r="B14" s="6" t="s">
        <v>22</v>
      </c>
      <c r="C14" s="22"/>
      <c r="D14" s="23"/>
      <c r="E14" s="23"/>
      <c r="F14" s="23"/>
      <c r="G14" s="23"/>
      <c r="H14" s="12">
        <f t="shared" si="0"/>
        <v>44645</v>
      </c>
      <c r="J14" s="4"/>
    </row>
    <row r="15" spans="2:10" x14ac:dyDescent="0.3">
      <c r="B15" s="6" t="s">
        <v>61</v>
      </c>
      <c r="C15" s="57"/>
      <c r="D15" s="23"/>
      <c r="E15" s="23"/>
      <c r="F15" s="23"/>
      <c r="G15" s="23"/>
      <c r="H15" s="67">
        <f t="shared" si="0"/>
        <v>44645</v>
      </c>
      <c r="J15" s="4"/>
    </row>
    <row r="16" spans="2:10" x14ac:dyDescent="0.3">
      <c r="B16" s="6" t="s">
        <v>19</v>
      </c>
      <c r="C16" s="22"/>
      <c r="D16" s="62">
        <v>216000</v>
      </c>
      <c r="E16" s="22"/>
      <c r="F16" s="22"/>
      <c r="G16" s="22"/>
      <c r="H16" s="12">
        <f t="shared" si="0"/>
        <v>44645</v>
      </c>
    </row>
    <row r="17" spans="1:8" x14ac:dyDescent="0.3">
      <c r="B17" s="6" t="s">
        <v>14</v>
      </c>
      <c r="C17" s="22">
        <v>324000</v>
      </c>
      <c r="D17" s="22">
        <v>324000</v>
      </c>
      <c r="E17" s="22"/>
      <c r="F17" s="22"/>
      <c r="G17" s="22"/>
      <c r="H17" s="12">
        <f t="shared" si="0"/>
        <v>44645</v>
      </c>
    </row>
    <row r="18" spans="1:8" x14ac:dyDescent="0.3">
      <c r="B18" s="6" t="s">
        <v>24</v>
      </c>
      <c r="C18" s="22"/>
      <c r="D18" s="22"/>
      <c r="E18" s="22"/>
      <c r="F18" s="22"/>
      <c r="G18" s="22"/>
      <c r="H18" s="12">
        <f t="shared" si="0"/>
        <v>44645</v>
      </c>
    </row>
    <row r="19" spans="1:8" x14ac:dyDescent="0.3">
      <c r="B19" s="6" t="s">
        <v>21</v>
      </c>
      <c r="C19" s="22"/>
      <c r="D19" s="22"/>
      <c r="E19" s="22"/>
      <c r="F19" s="22"/>
      <c r="G19" s="22"/>
      <c r="H19" s="67">
        <f t="shared" si="0"/>
        <v>44645</v>
      </c>
    </row>
    <row r="20" spans="1:8" x14ac:dyDescent="0.3">
      <c r="B20" s="6" t="s">
        <v>65</v>
      </c>
      <c r="C20" s="22"/>
      <c r="D20" s="22"/>
      <c r="E20" s="22"/>
      <c r="F20" s="22"/>
      <c r="G20" s="22"/>
      <c r="H20" s="12">
        <f t="shared" si="0"/>
        <v>44645</v>
      </c>
    </row>
    <row r="21" spans="1:8" x14ac:dyDescent="0.3">
      <c r="B21" s="6" t="s">
        <v>18</v>
      </c>
      <c r="C21" s="22"/>
      <c r="D21" s="22"/>
      <c r="E21" s="22"/>
      <c r="F21" s="22"/>
      <c r="G21" s="22"/>
      <c r="H21" s="12">
        <f t="shared" si="0"/>
        <v>44645</v>
      </c>
    </row>
    <row r="22" spans="1:8" x14ac:dyDescent="0.3">
      <c r="B22" s="6" t="s">
        <v>16</v>
      </c>
      <c r="C22" s="55">
        <v>54000</v>
      </c>
      <c r="D22" s="22"/>
      <c r="E22" s="22"/>
      <c r="F22" s="22"/>
      <c r="G22" s="22"/>
      <c r="H22" s="12">
        <f t="shared" si="0"/>
        <v>44645</v>
      </c>
    </row>
    <row r="23" spans="1:8" x14ac:dyDescent="0.3">
      <c r="B23" s="50" t="s">
        <v>27</v>
      </c>
      <c r="C23" s="51">
        <f>SUM(March24_202220[KSI_AGO])</f>
        <v>1559500</v>
      </c>
      <c r="D23" s="51">
        <f>SUBTOTAL(109,March24_202220[KSI_PMS])</f>
        <v>1022000</v>
      </c>
      <c r="E23" s="51">
        <f>SUM(March24_202220[BUIPE_AGO])</f>
        <v>0</v>
      </c>
      <c r="F23" s="51">
        <f>SUM(March24_202220[BUIPE_PMS])</f>
        <v>0</v>
      </c>
      <c r="G23" s="51">
        <f>SUM(March24_202220[AKOSOMBO_AGO])</f>
        <v>240000</v>
      </c>
      <c r="H23" s="52"/>
    </row>
    <row r="24" spans="1:8" x14ac:dyDescent="0.3">
      <c r="B24" s="8"/>
      <c r="C24" s="24"/>
      <c r="D24" s="24"/>
      <c r="E24" s="24"/>
      <c r="F24" s="24"/>
      <c r="G24" s="24"/>
      <c r="H24"/>
    </row>
    <row r="25" spans="1:8" x14ac:dyDescent="0.3">
      <c r="B25" s="1" t="s">
        <v>6</v>
      </c>
      <c r="C25" s="1" t="s">
        <v>4</v>
      </c>
      <c r="D25" s="5">
        <f>SUMIF(March24_202220[[#Headers],[KSI_AGO]:[AKOSOMBO_AGO]],"*"&amp;C25,March24_202220[[#Totals],[KSI_AGO]:[AKOSOMBO_AGO]])</f>
        <v>1799500</v>
      </c>
      <c r="E25" s="1" t="s">
        <v>5</v>
      </c>
      <c r="F25" s="5">
        <f>SUMIF(March24_202220[[#Headers],[KSI_AGO]:[AKOSOMBO_AGO]],"*"&amp;E25,March24_202220[[#Totals],[KSI_AGO]:[AKOSOMBO_AGO]])</f>
        <v>1022000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FEAB564E-2FCA-4E26-990E-E052269BAD58}">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D73D6-8150-42B1-B1F7-FAD91C91FD15}">
  <sheetPr codeName="Sheet559"/>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G7" sqref="G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44648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44648</v>
      </c>
    </row>
    <row r="7" spans="2:10" x14ac:dyDescent="0.3">
      <c r="B7" s="6" t="s">
        <v>37</v>
      </c>
      <c r="C7" s="53"/>
      <c r="D7" s="22">
        <v>270000</v>
      </c>
      <c r="E7" s="22"/>
      <c r="F7" s="22"/>
      <c r="G7" s="22"/>
      <c r="H7" s="67">
        <f t="shared" si="0"/>
        <v>44648</v>
      </c>
    </row>
    <row r="8" spans="2:10" x14ac:dyDescent="0.3">
      <c r="B8" s="6" t="s">
        <v>17</v>
      </c>
      <c r="C8" s="22"/>
      <c r="D8" s="57"/>
      <c r="E8" s="22"/>
      <c r="F8" s="22"/>
      <c r="G8" s="22"/>
      <c r="H8" s="12">
        <f t="shared" si="0"/>
        <v>44648</v>
      </c>
    </row>
    <row r="9" spans="2:10" ht="15.6" x14ac:dyDescent="0.3">
      <c r="B9" s="34" t="s">
        <v>0</v>
      </c>
      <c r="C9" s="60">
        <v>1134000</v>
      </c>
      <c r="D9" s="57"/>
      <c r="E9" s="61"/>
      <c r="F9" s="118"/>
      <c r="G9" s="57"/>
      <c r="H9" s="12">
        <f t="shared" si="0"/>
        <v>44648</v>
      </c>
    </row>
    <row r="10" spans="2:10" ht="16.2" customHeight="1" x14ac:dyDescent="0.3">
      <c r="B10" s="6" t="s">
        <v>25</v>
      </c>
      <c r="C10" s="22"/>
      <c r="D10" s="22"/>
      <c r="E10" s="22"/>
      <c r="F10" s="22"/>
      <c r="G10" s="22"/>
      <c r="H10" s="12">
        <f t="shared" si="0"/>
        <v>44648</v>
      </c>
    </row>
    <row r="11" spans="2:10" ht="13.5" customHeight="1" x14ac:dyDescent="0.3">
      <c r="B11" s="6" t="s">
        <v>15</v>
      </c>
      <c r="C11" s="22">
        <v>958500</v>
      </c>
      <c r="D11" s="22"/>
      <c r="E11" s="22"/>
      <c r="F11" s="22"/>
      <c r="G11" s="22"/>
      <c r="H11" s="12">
        <f t="shared" si="0"/>
        <v>44648</v>
      </c>
    </row>
    <row r="12" spans="2:10" x14ac:dyDescent="0.3">
      <c r="B12" s="6" t="s">
        <v>54</v>
      </c>
      <c r="C12" s="22"/>
      <c r="D12" s="22">
        <v>324000</v>
      </c>
      <c r="E12" s="22"/>
      <c r="F12" s="22"/>
      <c r="G12" s="22"/>
      <c r="H12" s="67">
        <f t="shared" si="0"/>
        <v>44648</v>
      </c>
    </row>
    <row r="13" spans="2:10" x14ac:dyDescent="0.3">
      <c r="B13" s="6" t="s">
        <v>26</v>
      </c>
      <c r="C13" s="22"/>
      <c r="D13" s="22"/>
      <c r="E13" s="22"/>
      <c r="F13" s="22"/>
      <c r="G13" s="22">
        <v>50000</v>
      </c>
      <c r="H13" s="12">
        <f t="shared" si="0"/>
        <v>44648</v>
      </c>
    </row>
    <row r="14" spans="2:10" x14ac:dyDescent="0.3">
      <c r="B14" s="6" t="s">
        <v>22</v>
      </c>
      <c r="C14" s="22"/>
      <c r="D14" s="23"/>
      <c r="E14" s="23"/>
      <c r="F14" s="23"/>
      <c r="G14" s="23"/>
      <c r="H14" s="12">
        <f t="shared" si="0"/>
        <v>44648</v>
      </c>
      <c r="J14" s="4"/>
    </row>
    <row r="15" spans="2:10" x14ac:dyDescent="0.3">
      <c r="B15" s="6" t="s">
        <v>61</v>
      </c>
      <c r="C15" s="57"/>
      <c r="D15" s="23"/>
      <c r="E15" s="23"/>
      <c r="F15" s="23"/>
      <c r="G15" s="23"/>
      <c r="H15" s="67">
        <f t="shared" si="0"/>
        <v>44648</v>
      </c>
      <c r="J15" s="4"/>
    </row>
    <row r="16" spans="2:10" x14ac:dyDescent="0.3">
      <c r="B16" s="6" t="s">
        <v>19</v>
      </c>
      <c r="C16" s="22"/>
      <c r="D16" s="62">
        <v>162000</v>
      </c>
      <c r="E16" s="22"/>
      <c r="F16" s="22"/>
      <c r="G16" s="22"/>
      <c r="H16" s="12">
        <f t="shared" si="0"/>
        <v>44648</v>
      </c>
    </row>
    <row r="17" spans="1:8" x14ac:dyDescent="0.3">
      <c r="B17" s="6" t="s">
        <v>14</v>
      </c>
      <c r="C17" s="22"/>
      <c r="D17" s="22">
        <v>270000</v>
      </c>
      <c r="E17" s="22"/>
      <c r="F17" s="22"/>
      <c r="G17" s="22"/>
      <c r="H17" s="12">
        <f t="shared" si="0"/>
        <v>44648</v>
      </c>
    </row>
    <row r="18" spans="1:8" x14ac:dyDescent="0.3">
      <c r="B18" s="6" t="s">
        <v>24</v>
      </c>
      <c r="C18" s="22"/>
      <c r="D18" s="22"/>
      <c r="E18" s="22"/>
      <c r="F18" s="22"/>
      <c r="G18" s="22"/>
      <c r="H18" s="12">
        <f t="shared" si="0"/>
        <v>44648</v>
      </c>
    </row>
    <row r="19" spans="1:8" x14ac:dyDescent="0.3">
      <c r="B19" s="6" t="s">
        <v>21</v>
      </c>
      <c r="C19" s="22"/>
      <c r="D19" s="22"/>
      <c r="E19" s="22"/>
      <c r="F19" s="22"/>
      <c r="G19" s="22"/>
      <c r="H19" s="67">
        <f t="shared" si="0"/>
        <v>44648</v>
      </c>
    </row>
    <row r="20" spans="1:8" x14ac:dyDescent="0.3">
      <c r="B20" s="6" t="s">
        <v>65</v>
      </c>
      <c r="C20" s="22"/>
      <c r="D20" s="22"/>
      <c r="E20" s="22"/>
      <c r="F20" s="22"/>
      <c r="G20" s="22"/>
      <c r="H20" s="12">
        <f t="shared" si="0"/>
        <v>44648</v>
      </c>
    </row>
    <row r="21" spans="1:8" x14ac:dyDescent="0.3">
      <c r="B21" s="6" t="s">
        <v>18</v>
      </c>
      <c r="C21" s="22"/>
      <c r="D21" s="22"/>
      <c r="E21" s="22"/>
      <c r="F21" s="22"/>
      <c r="G21" s="22"/>
      <c r="H21" s="12">
        <f t="shared" si="0"/>
        <v>44648</v>
      </c>
    </row>
    <row r="22" spans="1:8" x14ac:dyDescent="0.3">
      <c r="B22" s="6" t="s">
        <v>16</v>
      </c>
      <c r="C22" s="55">
        <v>50000</v>
      </c>
      <c r="D22" s="22"/>
      <c r="E22" s="22"/>
      <c r="F22" s="22"/>
      <c r="G22" s="22"/>
      <c r="H22" s="12">
        <f t="shared" si="0"/>
        <v>44648</v>
      </c>
    </row>
    <row r="23" spans="1:8" x14ac:dyDescent="0.3">
      <c r="B23" s="50" t="s">
        <v>27</v>
      </c>
      <c r="C23" s="51">
        <f>SUM(March28_2022[KSI_AGO])</f>
        <v>2142500</v>
      </c>
      <c r="D23" s="51">
        <f>SUBTOTAL(109,March28_2022[KSI_PMS])</f>
        <v>1026000</v>
      </c>
      <c r="E23" s="51">
        <f>SUM(March28_2022[BUIPE_AGO])</f>
        <v>0</v>
      </c>
      <c r="F23" s="51">
        <f>SUM(March28_2022[BUIPE_PMS])</f>
        <v>0</v>
      </c>
      <c r="G23" s="51">
        <f>SUM(March28_2022[AKOSOMBO_AGO])</f>
        <v>50000</v>
      </c>
      <c r="H23" s="52"/>
    </row>
    <row r="24" spans="1:8" x14ac:dyDescent="0.3">
      <c r="B24" s="8"/>
      <c r="C24" s="24"/>
      <c r="D24" s="24"/>
      <c r="E24" s="24"/>
      <c r="F24" s="24"/>
      <c r="G24" s="24"/>
      <c r="H24"/>
    </row>
    <row r="25" spans="1:8" x14ac:dyDescent="0.3">
      <c r="B25" s="1" t="s">
        <v>6</v>
      </c>
      <c r="C25" s="1" t="s">
        <v>4</v>
      </c>
      <c r="D25" s="5">
        <f>SUMIF(March28_2022[[#Headers],[KSI_AGO]:[AKOSOMBO_AGO]],"*"&amp;C25,March28_2022[[#Totals],[KSI_AGO]:[AKOSOMBO_AGO]])</f>
        <v>2192500</v>
      </c>
      <c r="E25" s="1" t="s">
        <v>5</v>
      </c>
      <c r="F25" s="5">
        <f>SUMIF(March28_2022[[#Headers],[KSI_AGO]:[AKOSOMBO_AGO]],"*"&amp;E25,March28_2022[[#Totals],[KSI_AGO]:[AKOSOMBO_AGO]])</f>
        <v>1026000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F9DE3B8-0FED-4706-B524-A3D5B5125400}">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C30DF-6A6C-43DE-9E4A-138D4398AF7B}">
  <sheetPr codeName="Sheet560"/>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G10" sqref="G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44649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44649</v>
      </c>
    </row>
    <row r="7" spans="2:10" x14ac:dyDescent="0.3">
      <c r="B7" s="6" t="s">
        <v>37</v>
      </c>
      <c r="C7" s="53"/>
      <c r="D7" s="22">
        <v>265500</v>
      </c>
      <c r="E7" s="22"/>
      <c r="F7" s="22"/>
      <c r="G7" s="22"/>
      <c r="H7" s="67">
        <f t="shared" si="0"/>
        <v>44649</v>
      </c>
    </row>
    <row r="8" spans="2:10" x14ac:dyDescent="0.3">
      <c r="B8" s="6" t="s">
        <v>17</v>
      </c>
      <c r="C8" s="22"/>
      <c r="D8" s="57"/>
      <c r="E8" s="22"/>
      <c r="F8" s="22"/>
      <c r="G8" s="22"/>
      <c r="H8" s="12">
        <f t="shared" si="0"/>
        <v>44649</v>
      </c>
    </row>
    <row r="9" spans="2:10" ht="15.6" x14ac:dyDescent="0.3">
      <c r="B9" s="34" t="s">
        <v>0</v>
      </c>
      <c r="C9" s="60">
        <v>810000</v>
      </c>
      <c r="D9" s="57"/>
      <c r="E9" s="61"/>
      <c r="F9" s="118"/>
      <c r="G9" s="57"/>
      <c r="H9" s="12">
        <f t="shared" si="0"/>
        <v>44649</v>
      </c>
    </row>
    <row r="10" spans="2:10" ht="16.2" customHeight="1" x14ac:dyDescent="0.3">
      <c r="B10" s="6" t="s">
        <v>25</v>
      </c>
      <c r="C10" s="22"/>
      <c r="D10" s="22"/>
      <c r="E10" s="22"/>
      <c r="F10" s="22"/>
      <c r="G10" s="22"/>
      <c r="H10" s="12">
        <f t="shared" si="0"/>
        <v>44649</v>
      </c>
    </row>
    <row r="11" spans="2:10" ht="13.5" customHeight="1" x14ac:dyDescent="0.3">
      <c r="B11" s="6" t="s">
        <v>15</v>
      </c>
      <c r="C11" s="22">
        <v>360000</v>
      </c>
      <c r="D11" s="22"/>
      <c r="E11" s="22"/>
      <c r="F11" s="22"/>
      <c r="G11" s="22"/>
      <c r="H11" s="12">
        <f t="shared" si="0"/>
        <v>44649</v>
      </c>
    </row>
    <row r="12" spans="2:10" x14ac:dyDescent="0.3">
      <c r="B12" s="6" t="s">
        <v>54</v>
      </c>
      <c r="C12" s="22"/>
      <c r="D12" s="22">
        <v>432000</v>
      </c>
      <c r="E12" s="22"/>
      <c r="F12" s="22"/>
      <c r="G12" s="22"/>
      <c r="H12" s="67">
        <f t="shared" si="0"/>
        <v>44649</v>
      </c>
    </row>
    <row r="13" spans="2:10" x14ac:dyDescent="0.3">
      <c r="B13" s="6" t="s">
        <v>26</v>
      </c>
      <c r="C13" s="22">
        <v>162000</v>
      </c>
      <c r="D13" s="22"/>
      <c r="E13" s="22"/>
      <c r="F13" s="22">
        <v>54000</v>
      </c>
      <c r="G13" s="22">
        <v>150000</v>
      </c>
      <c r="H13" s="12">
        <f t="shared" si="0"/>
        <v>44649</v>
      </c>
    </row>
    <row r="14" spans="2:10" x14ac:dyDescent="0.3">
      <c r="B14" s="6" t="s">
        <v>22</v>
      </c>
      <c r="C14" s="22"/>
      <c r="D14" s="23"/>
      <c r="E14" s="23"/>
      <c r="F14" s="23"/>
      <c r="G14" s="23"/>
      <c r="H14" s="12">
        <f t="shared" si="0"/>
        <v>44649</v>
      </c>
      <c r="J14" s="4"/>
    </row>
    <row r="15" spans="2:10" x14ac:dyDescent="0.3">
      <c r="B15" s="6" t="s">
        <v>61</v>
      </c>
      <c r="C15" s="57"/>
      <c r="D15" s="23"/>
      <c r="E15" s="23"/>
      <c r="F15" s="23"/>
      <c r="G15" s="23"/>
      <c r="H15" s="67">
        <f t="shared" si="0"/>
        <v>44649</v>
      </c>
      <c r="J15" s="4"/>
    </row>
    <row r="16" spans="2:10" x14ac:dyDescent="0.3">
      <c r="B16" s="6" t="s">
        <v>19</v>
      </c>
      <c r="C16" s="22"/>
      <c r="D16" s="62"/>
      <c r="E16" s="22"/>
      <c r="F16" s="22"/>
      <c r="G16" s="22"/>
      <c r="H16" s="12">
        <f t="shared" si="0"/>
        <v>44649</v>
      </c>
    </row>
    <row r="17" spans="1:8" x14ac:dyDescent="0.3">
      <c r="B17" s="6" t="s">
        <v>14</v>
      </c>
      <c r="C17" s="22"/>
      <c r="D17" s="22">
        <v>45000</v>
      </c>
      <c r="E17" s="22"/>
      <c r="F17" s="22"/>
      <c r="G17" s="22"/>
      <c r="H17" s="12">
        <f t="shared" si="0"/>
        <v>44649</v>
      </c>
    </row>
    <row r="18" spans="1:8" x14ac:dyDescent="0.3">
      <c r="B18" s="6" t="s">
        <v>24</v>
      </c>
      <c r="C18" s="22"/>
      <c r="D18" s="22"/>
      <c r="E18" s="22"/>
      <c r="F18" s="22"/>
      <c r="G18" s="22"/>
      <c r="H18" s="12">
        <f t="shared" si="0"/>
        <v>44649</v>
      </c>
    </row>
    <row r="19" spans="1:8" x14ac:dyDescent="0.3">
      <c r="B19" s="6" t="s">
        <v>21</v>
      </c>
      <c r="C19" s="22"/>
      <c r="D19" s="22"/>
      <c r="E19" s="22"/>
      <c r="F19" s="22"/>
      <c r="G19" s="22"/>
      <c r="H19" s="67">
        <f t="shared" si="0"/>
        <v>44649</v>
      </c>
    </row>
    <row r="20" spans="1:8" x14ac:dyDescent="0.3">
      <c r="B20" s="6" t="s">
        <v>65</v>
      </c>
      <c r="C20" s="22"/>
      <c r="D20" s="22"/>
      <c r="E20" s="22"/>
      <c r="F20" s="22"/>
      <c r="G20" s="22"/>
      <c r="H20" s="12">
        <f t="shared" si="0"/>
        <v>44649</v>
      </c>
    </row>
    <row r="21" spans="1:8" x14ac:dyDescent="0.3">
      <c r="B21" s="6" t="s">
        <v>18</v>
      </c>
      <c r="C21" s="22"/>
      <c r="D21" s="22"/>
      <c r="E21" s="22"/>
      <c r="F21" s="22"/>
      <c r="G21" s="22"/>
      <c r="H21" s="12">
        <f t="shared" si="0"/>
        <v>44649</v>
      </c>
    </row>
    <row r="22" spans="1:8" x14ac:dyDescent="0.3">
      <c r="B22" s="6" t="s">
        <v>16</v>
      </c>
      <c r="C22" s="55">
        <v>54000</v>
      </c>
      <c r="D22" s="22"/>
      <c r="E22" s="22"/>
      <c r="F22" s="22"/>
      <c r="G22" s="22"/>
      <c r="H22" s="12">
        <f t="shared" si="0"/>
        <v>44649</v>
      </c>
    </row>
    <row r="23" spans="1:8" x14ac:dyDescent="0.3">
      <c r="B23" s="50" t="s">
        <v>27</v>
      </c>
      <c r="C23" s="51">
        <f>SUM(March29_2022[KSI_AGO])</f>
        <v>1386000</v>
      </c>
      <c r="D23" s="51">
        <f>SUBTOTAL(109,March29_2022[KSI_PMS])</f>
        <v>742500</v>
      </c>
      <c r="E23" s="51">
        <f>SUM(March29_2022[BUIPE_AGO])</f>
        <v>0</v>
      </c>
      <c r="F23" s="51">
        <f>SUM(March29_2022[BUIPE_PMS])</f>
        <v>54000</v>
      </c>
      <c r="G23" s="51">
        <f>SUM(March29_2022[AKOSOMBO_AGO])</f>
        <v>150000</v>
      </c>
      <c r="H23" s="52"/>
    </row>
    <row r="24" spans="1:8" x14ac:dyDescent="0.3">
      <c r="B24" s="8"/>
      <c r="C24" s="24"/>
      <c r="D24" s="24"/>
      <c r="E24" s="24"/>
      <c r="F24" s="24"/>
      <c r="G24" s="24"/>
      <c r="H24"/>
    </row>
    <row r="25" spans="1:8" x14ac:dyDescent="0.3">
      <c r="B25" s="1" t="s">
        <v>6</v>
      </c>
      <c r="C25" s="1" t="s">
        <v>4</v>
      </c>
      <c r="D25" s="5">
        <f>SUMIF(March29_2022[[#Headers],[KSI_AGO]:[AKOSOMBO_AGO]],"*"&amp;C25,March29_2022[[#Totals],[KSI_AGO]:[AKOSOMBO_AGO]])</f>
        <v>1536000</v>
      </c>
      <c r="E25" s="1" t="s">
        <v>5</v>
      </c>
      <c r="F25" s="5">
        <f>SUMIF(March29_2022[[#Headers],[KSI_AGO]:[AKOSOMBO_AGO]],"*"&amp;E25,March29_2022[[#Totals],[KSI_AGO]:[AKOSOMBO_AGO]])</f>
        <v>796500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29855044-44C7-49C6-BCB3-B6DDADC40566}">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5551-3EB6-44EB-A763-CE4718412550}">
  <sheetPr codeName="Sheet561"/>
  <dimension ref="A1:J35"/>
  <sheetViews>
    <sheetView zoomScale="107" zoomScaleNormal="85" workbookViewId="0">
      <pane xSplit="2" ySplit="5" topLeftCell="G6" activePane="bottomRight" state="frozen"/>
      <selection activeCell="F31" sqref="F31:F33"/>
      <selection pane="topRight" activeCell="F31" sqref="F31:F33"/>
      <selection pane="bottomLeft" activeCell="F31" sqref="F31:F33"/>
      <selection pane="bottomRight"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44650</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44650</v>
      </c>
    </row>
    <row r="7" spans="2:10" x14ac:dyDescent="0.3">
      <c r="B7" s="6" t="s">
        <v>37</v>
      </c>
      <c r="C7" s="53"/>
      <c r="D7" s="22">
        <v>270000</v>
      </c>
      <c r="E7" s="22"/>
      <c r="F7" s="22"/>
      <c r="G7" s="22"/>
      <c r="H7" s="67">
        <f t="shared" si="0"/>
        <v>44650</v>
      </c>
    </row>
    <row r="8" spans="2:10" x14ac:dyDescent="0.3">
      <c r="B8" s="6" t="s">
        <v>17</v>
      </c>
      <c r="C8" s="22"/>
      <c r="D8" s="57"/>
      <c r="E8" s="22"/>
      <c r="F8" s="22"/>
      <c r="G8" s="22"/>
      <c r="H8" s="12">
        <f t="shared" si="0"/>
        <v>44650</v>
      </c>
    </row>
    <row r="9" spans="2:10" ht="15.6" x14ac:dyDescent="0.3">
      <c r="B9" s="34" t="s">
        <v>0</v>
      </c>
      <c r="C9" s="60">
        <v>594000</v>
      </c>
      <c r="D9" s="57"/>
      <c r="E9" s="61"/>
      <c r="F9" s="118"/>
      <c r="G9" s="57"/>
      <c r="H9" s="12">
        <f t="shared" si="0"/>
        <v>44650</v>
      </c>
    </row>
    <row r="10" spans="2:10" ht="16.2" customHeight="1" x14ac:dyDescent="0.3">
      <c r="B10" s="6" t="s">
        <v>25</v>
      </c>
      <c r="C10" s="22"/>
      <c r="D10" s="22"/>
      <c r="E10" s="22"/>
      <c r="F10" s="22"/>
      <c r="G10" s="22"/>
      <c r="H10" s="12">
        <f t="shared" si="0"/>
        <v>44650</v>
      </c>
    </row>
    <row r="11" spans="2:10" ht="13.5" customHeight="1" x14ac:dyDescent="0.3">
      <c r="B11" s="6" t="s">
        <v>15</v>
      </c>
      <c r="C11" s="22">
        <v>45000</v>
      </c>
      <c r="D11" s="22"/>
      <c r="E11" s="22"/>
      <c r="F11" s="22"/>
      <c r="G11" s="22"/>
      <c r="H11" s="12">
        <f t="shared" si="0"/>
        <v>44650</v>
      </c>
    </row>
    <row r="12" spans="2:10" x14ac:dyDescent="0.3">
      <c r="B12" s="6" t="s">
        <v>54</v>
      </c>
      <c r="C12" s="22">
        <v>320000</v>
      </c>
      <c r="D12" s="22">
        <v>540000</v>
      </c>
      <c r="E12" s="22"/>
      <c r="F12" s="22"/>
      <c r="G12" s="22"/>
      <c r="H12" s="67">
        <f t="shared" si="0"/>
        <v>44650</v>
      </c>
    </row>
    <row r="13" spans="2:10" x14ac:dyDescent="0.3">
      <c r="B13" s="6" t="s">
        <v>26</v>
      </c>
      <c r="C13" s="22"/>
      <c r="D13" s="22"/>
      <c r="E13" s="22"/>
      <c r="F13" s="22"/>
      <c r="G13" s="22"/>
      <c r="H13" s="12">
        <f t="shared" si="0"/>
        <v>44650</v>
      </c>
    </row>
    <row r="14" spans="2:10" x14ac:dyDescent="0.3">
      <c r="B14" s="6" t="s">
        <v>22</v>
      </c>
      <c r="C14" s="22"/>
      <c r="D14" s="23"/>
      <c r="E14" s="23"/>
      <c r="F14" s="23"/>
      <c r="G14" s="23"/>
      <c r="H14" s="12">
        <f t="shared" si="0"/>
        <v>44650</v>
      </c>
      <c r="J14" s="4"/>
    </row>
    <row r="15" spans="2:10" x14ac:dyDescent="0.3">
      <c r="B15" s="6" t="s">
        <v>61</v>
      </c>
      <c r="C15" s="57"/>
      <c r="D15" s="23"/>
      <c r="E15" s="23"/>
      <c r="F15" s="23"/>
      <c r="G15" s="23"/>
      <c r="H15" s="67">
        <f t="shared" si="0"/>
        <v>44650</v>
      </c>
      <c r="J15" s="4"/>
    </row>
    <row r="16" spans="2:10" x14ac:dyDescent="0.3">
      <c r="B16" s="6" t="s">
        <v>19</v>
      </c>
      <c r="C16" s="22"/>
      <c r="D16" s="62"/>
      <c r="E16" s="22"/>
      <c r="F16" s="22"/>
      <c r="G16" s="22"/>
      <c r="H16" s="12">
        <f t="shared" si="0"/>
        <v>44650</v>
      </c>
    </row>
    <row r="17" spans="1:8" x14ac:dyDescent="0.3">
      <c r="B17" s="6" t="s">
        <v>14</v>
      </c>
      <c r="C17" s="22"/>
      <c r="D17" s="22"/>
      <c r="E17" s="22"/>
      <c r="F17" s="22"/>
      <c r="G17" s="22"/>
      <c r="H17" s="12">
        <f t="shared" si="0"/>
        <v>44650</v>
      </c>
    </row>
    <row r="18" spans="1:8" x14ac:dyDescent="0.3">
      <c r="B18" s="6" t="s">
        <v>24</v>
      </c>
      <c r="C18" s="22"/>
      <c r="D18" s="22"/>
      <c r="E18" s="22"/>
      <c r="F18" s="22"/>
      <c r="G18" s="22"/>
      <c r="H18" s="12">
        <f t="shared" si="0"/>
        <v>44650</v>
      </c>
    </row>
    <row r="19" spans="1:8" x14ac:dyDescent="0.3">
      <c r="B19" s="6" t="s">
        <v>21</v>
      </c>
      <c r="C19" s="22"/>
      <c r="D19" s="22"/>
      <c r="E19" s="22"/>
      <c r="F19" s="22"/>
      <c r="G19" s="22"/>
      <c r="H19" s="67">
        <f t="shared" si="0"/>
        <v>44650</v>
      </c>
    </row>
    <row r="20" spans="1:8" x14ac:dyDescent="0.3">
      <c r="B20" s="6" t="s">
        <v>65</v>
      </c>
      <c r="C20" s="22"/>
      <c r="D20" s="22"/>
      <c r="E20" s="22"/>
      <c r="F20" s="22"/>
      <c r="G20" s="22"/>
      <c r="H20" s="12">
        <f t="shared" si="0"/>
        <v>44650</v>
      </c>
    </row>
    <row r="21" spans="1:8" x14ac:dyDescent="0.3">
      <c r="B21" s="6" t="s">
        <v>18</v>
      </c>
      <c r="C21" s="22"/>
      <c r="D21" s="22"/>
      <c r="E21" s="22"/>
      <c r="F21" s="22"/>
      <c r="G21" s="22"/>
      <c r="H21" s="12">
        <f t="shared" si="0"/>
        <v>44650</v>
      </c>
    </row>
    <row r="22" spans="1:8" x14ac:dyDescent="0.3">
      <c r="B22" s="6" t="s">
        <v>16</v>
      </c>
      <c r="C22" s="55"/>
      <c r="D22" s="22"/>
      <c r="E22" s="22"/>
      <c r="F22" s="22">
        <v>54000</v>
      </c>
      <c r="G22" s="22"/>
      <c r="H22" s="12">
        <f t="shared" si="0"/>
        <v>44650</v>
      </c>
    </row>
    <row r="23" spans="1:8" x14ac:dyDescent="0.3">
      <c r="B23" s="50" t="s">
        <v>27</v>
      </c>
      <c r="C23" s="51">
        <f>SUM(March30_2022[KSI_AGO])</f>
        <v>959000</v>
      </c>
      <c r="D23" s="51">
        <f>SUBTOTAL(109,March30_2022[KSI_PMS])</f>
        <v>810000</v>
      </c>
      <c r="E23" s="51">
        <f>SUM(March30_2022[BUIPE_AGO])</f>
        <v>0</v>
      </c>
      <c r="F23" s="51">
        <f>SUM(March30_2022[BUIPE_PMS])</f>
        <v>54000</v>
      </c>
      <c r="G23" s="51">
        <f>SUM(March30_2022[AKOSOMBO_AGO])</f>
        <v>0</v>
      </c>
      <c r="H23" s="52"/>
    </row>
    <row r="24" spans="1:8" x14ac:dyDescent="0.3">
      <c r="B24" s="8"/>
      <c r="C24" s="24"/>
      <c r="D24" s="24"/>
      <c r="E24" s="24"/>
      <c r="F24" s="24"/>
      <c r="G24" s="24"/>
      <c r="H24"/>
    </row>
    <row r="25" spans="1:8" x14ac:dyDescent="0.3">
      <c r="B25" s="1" t="s">
        <v>6</v>
      </c>
      <c r="C25" s="1" t="s">
        <v>4</v>
      </c>
      <c r="D25" s="5">
        <f>SUMIF(March30_2022[[#Headers],[KSI_AGO]:[AKOSOMBO_AGO]],"*"&amp;C25,March30_2022[[#Totals],[KSI_AGO]:[AKOSOMBO_AGO]])</f>
        <v>959000</v>
      </c>
      <c r="E25" s="1" t="s">
        <v>5</v>
      </c>
      <c r="F25" s="5">
        <f>SUMIF(March30_2022[[#Headers],[KSI_AGO]:[AKOSOMBO_AGO]],"*"&amp;E25,March30_2022[[#Totals],[KSI_AGO]:[AKOSOMBO_AGO]])</f>
        <v>864000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B4EB1BA8-451E-4AC0-9B88-6E2C269A2067}">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428A-3CC5-4B31-B3F6-E08DA4F252B9}">
  <sheetPr codeName="Sheet562"/>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B3" sqref="B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44651</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44651</v>
      </c>
    </row>
    <row r="7" spans="2:10" x14ac:dyDescent="0.3">
      <c r="B7" s="6" t="s">
        <v>37</v>
      </c>
      <c r="C7" s="53"/>
      <c r="D7" s="22">
        <v>149000</v>
      </c>
      <c r="E7" s="22"/>
      <c r="F7" s="22"/>
      <c r="G7" s="22"/>
      <c r="H7" s="67">
        <f t="shared" si="0"/>
        <v>44651</v>
      </c>
    </row>
    <row r="8" spans="2:10" x14ac:dyDescent="0.3">
      <c r="B8" s="6" t="s">
        <v>17</v>
      </c>
      <c r="C8" s="22">
        <v>639000</v>
      </c>
      <c r="D8" s="57">
        <v>855000</v>
      </c>
      <c r="E8" s="22"/>
      <c r="F8" s="22"/>
      <c r="G8" s="22">
        <v>432000</v>
      </c>
      <c r="H8" s="12">
        <f t="shared" si="0"/>
        <v>44651</v>
      </c>
    </row>
    <row r="9" spans="2:10" ht="15.6" x14ac:dyDescent="0.3">
      <c r="B9" s="34" t="s">
        <v>0</v>
      </c>
      <c r="C9" s="60">
        <v>153000</v>
      </c>
      <c r="D9" s="57"/>
      <c r="E9" s="61"/>
      <c r="F9" s="118"/>
      <c r="G9" s="57"/>
      <c r="H9" s="12">
        <f t="shared" si="0"/>
        <v>44651</v>
      </c>
    </row>
    <row r="10" spans="2:10" ht="16.2" customHeight="1" x14ac:dyDescent="0.3">
      <c r="B10" s="6" t="s">
        <v>25</v>
      </c>
      <c r="C10" s="22"/>
      <c r="D10" s="22"/>
      <c r="E10" s="22"/>
      <c r="F10" s="22"/>
      <c r="G10" s="22"/>
      <c r="H10" s="12">
        <f t="shared" si="0"/>
        <v>44651</v>
      </c>
    </row>
    <row r="11" spans="2:10" ht="13.5" customHeight="1" x14ac:dyDescent="0.3">
      <c r="B11" s="6" t="s">
        <v>15</v>
      </c>
      <c r="C11" s="22"/>
      <c r="D11" s="22"/>
      <c r="E11" s="22"/>
      <c r="F11" s="22"/>
      <c r="G11" s="22">
        <v>50000</v>
      </c>
      <c r="H11" s="12">
        <f t="shared" si="0"/>
        <v>44651</v>
      </c>
    </row>
    <row r="12" spans="2:10" x14ac:dyDescent="0.3">
      <c r="B12" s="6" t="s">
        <v>54</v>
      </c>
      <c r="C12" s="22">
        <v>755500</v>
      </c>
      <c r="D12" s="22">
        <v>540000</v>
      </c>
      <c r="E12" s="22"/>
      <c r="F12" s="22"/>
      <c r="G12" s="22"/>
      <c r="H12" s="67">
        <f t="shared" si="0"/>
        <v>44651</v>
      </c>
    </row>
    <row r="13" spans="2:10" x14ac:dyDescent="0.3">
      <c r="B13" s="6" t="s">
        <v>26</v>
      </c>
      <c r="C13" s="22"/>
      <c r="D13" s="22">
        <v>45000</v>
      </c>
      <c r="E13" s="22"/>
      <c r="F13" s="22"/>
      <c r="G13" s="22"/>
      <c r="H13" s="12">
        <f t="shared" si="0"/>
        <v>44651</v>
      </c>
    </row>
    <row r="14" spans="2:10" x14ac:dyDescent="0.3">
      <c r="B14" s="6" t="s">
        <v>22</v>
      </c>
      <c r="C14" s="22"/>
      <c r="D14" s="23"/>
      <c r="E14" s="23"/>
      <c r="F14" s="23"/>
      <c r="G14" s="23"/>
      <c r="H14" s="12">
        <f t="shared" si="0"/>
        <v>44651</v>
      </c>
      <c r="J14" s="4"/>
    </row>
    <row r="15" spans="2:10" x14ac:dyDescent="0.3">
      <c r="B15" s="6" t="s">
        <v>61</v>
      </c>
      <c r="C15" s="57"/>
      <c r="D15" s="23"/>
      <c r="E15" s="23"/>
      <c r="F15" s="23"/>
      <c r="G15" s="23"/>
      <c r="H15" s="67">
        <f t="shared" si="0"/>
        <v>44651</v>
      </c>
      <c r="J15" s="4"/>
    </row>
    <row r="16" spans="2:10" x14ac:dyDescent="0.3">
      <c r="B16" s="6" t="s">
        <v>19</v>
      </c>
      <c r="C16" s="22"/>
      <c r="D16" s="62">
        <v>378000</v>
      </c>
      <c r="E16" s="22"/>
      <c r="F16" s="22"/>
      <c r="G16" s="22"/>
      <c r="H16" s="12">
        <f t="shared" si="0"/>
        <v>44651</v>
      </c>
    </row>
    <row r="17" spans="1:8" x14ac:dyDescent="0.3">
      <c r="B17" s="6" t="s">
        <v>14</v>
      </c>
      <c r="C17" s="22"/>
      <c r="D17" s="22"/>
      <c r="E17" s="22"/>
      <c r="F17" s="22"/>
      <c r="G17" s="22"/>
      <c r="H17" s="12">
        <f t="shared" si="0"/>
        <v>44651</v>
      </c>
    </row>
    <row r="18" spans="1:8" x14ac:dyDescent="0.3">
      <c r="B18" s="6" t="s">
        <v>24</v>
      </c>
      <c r="C18" s="22"/>
      <c r="D18" s="22"/>
      <c r="E18" s="22"/>
      <c r="F18" s="22"/>
      <c r="G18" s="22"/>
      <c r="H18" s="12">
        <f t="shared" si="0"/>
        <v>44651</v>
      </c>
    </row>
    <row r="19" spans="1:8" x14ac:dyDescent="0.3">
      <c r="B19" s="6" t="s">
        <v>21</v>
      </c>
      <c r="C19" s="22"/>
      <c r="D19" s="22"/>
      <c r="E19" s="22"/>
      <c r="F19" s="22"/>
      <c r="G19" s="22"/>
      <c r="H19" s="67">
        <f t="shared" si="0"/>
        <v>44651</v>
      </c>
    </row>
    <row r="20" spans="1:8" x14ac:dyDescent="0.3">
      <c r="B20" s="6" t="s">
        <v>65</v>
      </c>
      <c r="C20" s="22"/>
      <c r="D20" s="22"/>
      <c r="E20" s="22"/>
      <c r="F20" s="22"/>
      <c r="G20" s="22"/>
      <c r="H20" s="12">
        <f t="shared" si="0"/>
        <v>44651</v>
      </c>
    </row>
    <row r="21" spans="1:8" x14ac:dyDescent="0.3">
      <c r="B21" s="6" t="s">
        <v>18</v>
      </c>
      <c r="C21" s="22"/>
      <c r="D21" s="22"/>
      <c r="E21" s="22"/>
      <c r="F21" s="22"/>
      <c r="G21" s="22"/>
      <c r="H21" s="12">
        <f t="shared" si="0"/>
        <v>44651</v>
      </c>
    </row>
    <row r="22" spans="1:8" x14ac:dyDescent="0.3">
      <c r="B22" s="6" t="s">
        <v>16</v>
      </c>
      <c r="C22" s="55"/>
      <c r="D22" s="22"/>
      <c r="E22" s="22"/>
      <c r="F22" s="22"/>
      <c r="G22" s="22"/>
      <c r="H22" s="12">
        <f t="shared" si="0"/>
        <v>44651</v>
      </c>
    </row>
    <row r="23" spans="1:8" x14ac:dyDescent="0.3">
      <c r="B23" s="50" t="s">
        <v>27</v>
      </c>
      <c r="C23" s="51">
        <f>SUM(March31_2022[KSI_AGO])</f>
        <v>1547500</v>
      </c>
      <c r="D23" s="51">
        <f>SUBTOTAL(109,March31_2022[KSI_PMS])</f>
        <v>1967000</v>
      </c>
      <c r="E23" s="51">
        <f>SUM(March31_2022[BUIPE_AGO])</f>
        <v>0</v>
      </c>
      <c r="F23" s="51">
        <f>SUM(March31_2022[BUIPE_PMS])</f>
        <v>0</v>
      </c>
      <c r="G23" s="51">
        <f>SUM(March31_2022[AKOSOMBO_AGO])</f>
        <v>482000</v>
      </c>
      <c r="H23" s="52"/>
    </row>
    <row r="24" spans="1:8" x14ac:dyDescent="0.3">
      <c r="B24" s="8"/>
      <c r="C24" s="24"/>
      <c r="D24" s="24"/>
      <c r="E24" s="24"/>
      <c r="F24" s="24"/>
      <c r="G24" s="24"/>
      <c r="H24"/>
    </row>
    <row r="25" spans="1:8" x14ac:dyDescent="0.3">
      <c r="B25" s="1" t="s">
        <v>6</v>
      </c>
      <c r="C25" s="1" t="s">
        <v>4</v>
      </c>
      <c r="D25" s="5">
        <f>SUMIF(March31_2022[[#Headers],[KSI_AGO]:[AKOSOMBO_AGO]],"*"&amp;C25,March31_2022[[#Totals],[KSI_AGO]:[AKOSOMBO_AGO]])</f>
        <v>2029500</v>
      </c>
      <c r="E25" s="1" t="s">
        <v>5</v>
      </c>
      <c r="F25" s="5">
        <f>SUMIF(March31_2022[[#Headers],[KSI_AGO]:[AKOSOMBO_AGO]],"*"&amp;E25,March31_2022[[#Totals],[KSI_AGO]:[AKOSOMBO_AGO]])</f>
        <v>1967000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A5B8DE75-6A5C-4D5E-BD28-27589AB3F353}">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44E4E-1692-4A85-9EA9-59C900EB2DFB}">
  <sheetPr codeName="Sheet563"/>
  <dimension ref="A1:J35"/>
  <sheetViews>
    <sheetView zoomScale="107" zoomScaleNormal="85" workbookViewId="0">
      <pane xSplit="2" ySplit="5" topLeftCell="G6" activePane="bottomRight" state="frozen"/>
      <selection activeCell="F31" sqref="F31:F33"/>
      <selection pane="topRight" activeCell="F31" sqref="F31:F33"/>
      <selection pane="bottomLeft" activeCell="F31" sqref="F31:F33"/>
      <selection pane="bottomRight"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44655</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44655</v>
      </c>
    </row>
    <row r="7" spans="2:10" x14ac:dyDescent="0.3">
      <c r="B7" s="6" t="s">
        <v>37</v>
      </c>
      <c r="C7" s="53"/>
      <c r="D7" s="22"/>
      <c r="E7" s="22"/>
      <c r="F7" s="22"/>
      <c r="G7" s="22"/>
      <c r="H7" s="67">
        <f t="shared" si="0"/>
        <v>44655</v>
      </c>
    </row>
    <row r="8" spans="2:10" x14ac:dyDescent="0.3">
      <c r="B8" s="6" t="s">
        <v>17</v>
      </c>
      <c r="C8" s="22">
        <v>270000</v>
      </c>
      <c r="D8" s="57"/>
      <c r="E8" s="22"/>
      <c r="F8" s="22"/>
      <c r="G8" s="22">
        <v>432000</v>
      </c>
      <c r="H8" s="12">
        <f t="shared" si="0"/>
        <v>44655</v>
      </c>
    </row>
    <row r="9" spans="2:10" ht="15.6" x14ac:dyDescent="0.3">
      <c r="B9" s="34" t="s">
        <v>0</v>
      </c>
      <c r="C9" s="60">
        <v>50000</v>
      </c>
      <c r="D9" s="57"/>
      <c r="E9" s="61"/>
      <c r="F9" s="118"/>
      <c r="G9" s="57"/>
      <c r="H9" s="12">
        <f t="shared" si="0"/>
        <v>44655</v>
      </c>
    </row>
    <row r="10" spans="2:10" ht="16.2" customHeight="1" x14ac:dyDescent="0.3">
      <c r="B10" s="6" t="s">
        <v>25</v>
      </c>
      <c r="C10" s="22">
        <v>378000</v>
      </c>
      <c r="D10" s="22"/>
      <c r="E10" s="22"/>
      <c r="F10" s="22"/>
      <c r="G10" s="22"/>
      <c r="H10" s="12">
        <f t="shared" si="0"/>
        <v>44655</v>
      </c>
    </row>
    <row r="11" spans="2:10" ht="13.5" customHeight="1" x14ac:dyDescent="0.3">
      <c r="B11" s="6" t="s">
        <v>15</v>
      </c>
      <c r="C11" s="22"/>
      <c r="D11" s="22"/>
      <c r="E11" s="22"/>
      <c r="F11" s="22"/>
      <c r="G11" s="22"/>
      <c r="H11" s="12">
        <f t="shared" si="0"/>
        <v>44655</v>
      </c>
    </row>
    <row r="12" spans="2:10" x14ac:dyDescent="0.3">
      <c r="B12" s="6" t="s">
        <v>54</v>
      </c>
      <c r="C12" s="22">
        <v>378000</v>
      </c>
      <c r="D12" s="22">
        <v>540000</v>
      </c>
      <c r="E12" s="22"/>
      <c r="F12" s="22"/>
      <c r="G12" s="22">
        <v>270000</v>
      </c>
      <c r="H12" s="67">
        <f t="shared" si="0"/>
        <v>44655</v>
      </c>
    </row>
    <row r="13" spans="2:10" x14ac:dyDescent="0.3">
      <c r="B13" s="6" t="s">
        <v>26</v>
      </c>
      <c r="C13" s="22"/>
      <c r="D13" s="22"/>
      <c r="E13" s="22"/>
      <c r="F13" s="22"/>
      <c r="G13" s="22"/>
      <c r="H13" s="12">
        <f t="shared" si="0"/>
        <v>44655</v>
      </c>
    </row>
    <row r="14" spans="2:10" x14ac:dyDescent="0.3">
      <c r="B14" s="6" t="s">
        <v>22</v>
      </c>
      <c r="C14" s="22"/>
      <c r="D14" s="23"/>
      <c r="E14" s="23"/>
      <c r="F14" s="23"/>
      <c r="G14" s="23"/>
      <c r="H14" s="12">
        <f t="shared" si="0"/>
        <v>44655</v>
      </c>
      <c r="J14" s="4"/>
    </row>
    <row r="15" spans="2:10" x14ac:dyDescent="0.3">
      <c r="B15" s="6" t="s">
        <v>61</v>
      </c>
      <c r="C15" s="57"/>
      <c r="D15" s="23"/>
      <c r="E15" s="23"/>
      <c r="F15" s="23"/>
      <c r="G15" s="23"/>
      <c r="H15" s="67">
        <f t="shared" si="0"/>
        <v>44655</v>
      </c>
      <c r="J15" s="4"/>
    </row>
    <row r="16" spans="2:10" x14ac:dyDescent="0.3">
      <c r="B16" s="6" t="s">
        <v>19</v>
      </c>
      <c r="C16" s="22">
        <v>539500</v>
      </c>
      <c r="D16" s="62">
        <v>324000</v>
      </c>
      <c r="E16" s="22"/>
      <c r="F16" s="22"/>
      <c r="G16" s="22"/>
      <c r="H16" s="12">
        <f t="shared" si="0"/>
        <v>44655</v>
      </c>
    </row>
    <row r="17" spans="1:8" x14ac:dyDescent="0.3">
      <c r="B17" s="6" t="s">
        <v>14</v>
      </c>
      <c r="C17" s="22"/>
      <c r="D17" s="22"/>
      <c r="E17" s="22"/>
      <c r="F17" s="22"/>
      <c r="G17" s="22"/>
      <c r="H17" s="12">
        <f t="shared" si="0"/>
        <v>44655</v>
      </c>
    </row>
    <row r="18" spans="1:8" x14ac:dyDescent="0.3">
      <c r="B18" s="6" t="s">
        <v>24</v>
      </c>
      <c r="C18" s="22"/>
      <c r="D18" s="22"/>
      <c r="E18" s="22"/>
      <c r="F18" s="22"/>
      <c r="G18" s="22"/>
      <c r="H18" s="12">
        <f t="shared" si="0"/>
        <v>44655</v>
      </c>
    </row>
    <row r="19" spans="1:8" x14ac:dyDescent="0.3">
      <c r="B19" s="6" t="s">
        <v>21</v>
      </c>
      <c r="C19" s="22"/>
      <c r="D19" s="22"/>
      <c r="E19" s="22"/>
      <c r="F19" s="22"/>
      <c r="G19" s="22"/>
      <c r="H19" s="67">
        <f t="shared" si="0"/>
        <v>44655</v>
      </c>
    </row>
    <row r="20" spans="1:8" x14ac:dyDescent="0.3">
      <c r="B20" s="6" t="s">
        <v>65</v>
      </c>
      <c r="C20" s="22"/>
      <c r="D20" s="22"/>
      <c r="E20" s="22"/>
      <c r="F20" s="22"/>
      <c r="G20" s="22"/>
      <c r="H20" s="12">
        <f t="shared" si="0"/>
        <v>44655</v>
      </c>
    </row>
    <row r="21" spans="1:8" x14ac:dyDescent="0.3">
      <c r="B21" s="6" t="s">
        <v>18</v>
      </c>
      <c r="C21" s="22"/>
      <c r="D21" s="22"/>
      <c r="E21" s="22"/>
      <c r="F21" s="22"/>
      <c r="G21" s="22"/>
      <c r="H21" s="12">
        <f t="shared" si="0"/>
        <v>44655</v>
      </c>
    </row>
    <row r="22" spans="1:8" x14ac:dyDescent="0.3">
      <c r="B22" s="6" t="s">
        <v>16</v>
      </c>
      <c r="C22" s="55"/>
      <c r="D22" s="22">
        <v>270000</v>
      </c>
      <c r="E22" s="22"/>
      <c r="F22" s="22"/>
      <c r="G22" s="22"/>
      <c r="H22" s="12">
        <f t="shared" si="0"/>
        <v>44655</v>
      </c>
    </row>
    <row r="23" spans="1:8" x14ac:dyDescent="0.3">
      <c r="B23" s="50" t="s">
        <v>27</v>
      </c>
      <c r="C23" s="51">
        <f>SUM(April04_2022[KSI_AGO])</f>
        <v>1615500</v>
      </c>
      <c r="D23" s="51">
        <f>SUBTOTAL(109,April04_2022[KSI_PMS])</f>
        <v>1134000</v>
      </c>
      <c r="E23" s="51">
        <f>SUM(April04_2022[BUIPE_AGO])</f>
        <v>0</v>
      </c>
      <c r="F23" s="51">
        <f>SUM(April04_2022[BUIPE_PMS])</f>
        <v>0</v>
      </c>
      <c r="G23" s="51">
        <f>SUM(April04_2022[AKOSOMBO_AGO])</f>
        <v>702000</v>
      </c>
      <c r="H23" s="52"/>
    </row>
    <row r="24" spans="1:8" x14ac:dyDescent="0.3">
      <c r="B24" s="8"/>
      <c r="C24" s="24"/>
      <c r="D24" s="24"/>
      <c r="E24" s="24"/>
      <c r="F24" s="24"/>
      <c r="G24" s="24"/>
      <c r="H24"/>
    </row>
    <row r="25" spans="1:8" x14ac:dyDescent="0.3">
      <c r="B25" s="1" t="s">
        <v>6</v>
      </c>
      <c r="C25" s="1" t="s">
        <v>4</v>
      </c>
      <c r="D25" s="5">
        <f>SUMIF(April04_2022[[#Headers],[KSI_AGO]:[AKOSOMBO_AGO]],"*"&amp;C25,April04_2022[[#Totals],[KSI_AGO]:[AKOSOMBO_AGO]])</f>
        <v>2317500</v>
      </c>
      <c r="E25" s="1" t="s">
        <v>5</v>
      </c>
      <c r="F25" s="5">
        <f>SUMIF(April04_2022[[#Headers],[KSI_AGO]:[AKOSOMBO_AGO]],"*"&amp;E25,April04_2022[[#Totals],[KSI_AGO]:[AKOSOMBO_AGO]])</f>
        <v>1134000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F122EEAB-A81C-4834-A37B-D951EED94B45}">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B8FAC-C20D-40A6-A5C2-A0B358383678}">
  <sheetPr codeName="Sheet564"/>
  <dimension ref="A1:J35"/>
  <sheetViews>
    <sheetView zoomScale="107" zoomScaleNormal="85" workbookViewId="0">
      <pane xSplit="2" ySplit="5" topLeftCell="G6" activePane="bottomRight" state="frozen"/>
      <selection activeCell="F31" sqref="F31:F33"/>
      <selection pane="topRight" activeCell="F31" sqref="F31:F33"/>
      <selection pane="bottomLeft" activeCell="F31" sqref="F31:F33"/>
      <selection pane="bottomRight" activeCell="G17" sqref="G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44656</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44656</v>
      </c>
    </row>
    <row r="7" spans="2:10" x14ac:dyDescent="0.3">
      <c r="B7" s="6" t="s">
        <v>37</v>
      </c>
      <c r="C7" s="53"/>
      <c r="D7" s="22">
        <v>45000</v>
      </c>
      <c r="E7" s="22"/>
      <c r="F7" s="22"/>
      <c r="G7" s="22"/>
      <c r="H7" s="67">
        <f t="shared" si="0"/>
        <v>44656</v>
      </c>
    </row>
    <row r="8" spans="2:10" x14ac:dyDescent="0.3">
      <c r="B8" s="6" t="s">
        <v>17</v>
      </c>
      <c r="C8" s="22">
        <v>432000</v>
      </c>
      <c r="D8" s="57"/>
      <c r="E8" s="22"/>
      <c r="F8" s="22"/>
      <c r="G8" s="22"/>
      <c r="H8" s="12">
        <f t="shared" si="0"/>
        <v>44656</v>
      </c>
    </row>
    <row r="9" spans="2:10" ht="15.6" x14ac:dyDescent="0.3">
      <c r="B9" s="34" t="s">
        <v>0</v>
      </c>
      <c r="C9" s="60">
        <v>49500</v>
      </c>
      <c r="D9" s="57"/>
      <c r="E9" s="61"/>
      <c r="F9" s="118"/>
      <c r="G9" s="57"/>
      <c r="H9" s="12">
        <f t="shared" si="0"/>
        <v>44656</v>
      </c>
    </row>
    <row r="10" spans="2:10" ht="16.2" customHeight="1" x14ac:dyDescent="0.3">
      <c r="B10" s="6" t="s">
        <v>25</v>
      </c>
      <c r="C10" s="22">
        <v>647500</v>
      </c>
      <c r="D10" s="22"/>
      <c r="E10" s="22"/>
      <c r="F10" s="22"/>
      <c r="G10" s="22">
        <v>378000</v>
      </c>
      <c r="H10" s="12">
        <f t="shared" si="0"/>
        <v>44656</v>
      </c>
    </row>
    <row r="11" spans="2:10" ht="13.5" customHeight="1" x14ac:dyDescent="0.3">
      <c r="B11" s="6" t="s">
        <v>15</v>
      </c>
      <c r="C11" s="22"/>
      <c r="D11" s="22"/>
      <c r="E11" s="22"/>
      <c r="F11" s="22"/>
      <c r="G11" s="22"/>
      <c r="H11" s="12">
        <f t="shared" si="0"/>
        <v>44656</v>
      </c>
    </row>
    <row r="12" spans="2:10" x14ac:dyDescent="0.3">
      <c r="B12" s="6" t="s">
        <v>54</v>
      </c>
      <c r="C12" s="22">
        <v>270000</v>
      </c>
      <c r="D12" s="22">
        <v>216000</v>
      </c>
      <c r="E12" s="22"/>
      <c r="F12" s="22"/>
      <c r="G12" s="22">
        <v>270000</v>
      </c>
      <c r="H12" s="67">
        <f t="shared" si="0"/>
        <v>44656</v>
      </c>
    </row>
    <row r="13" spans="2:10" x14ac:dyDescent="0.3">
      <c r="B13" s="6" t="s">
        <v>26</v>
      </c>
      <c r="C13" s="22">
        <v>432000</v>
      </c>
      <c r="D13" s="22">
        <v>647500</v>
      </c>
      <c r="E13" s="22"/>
      <c r="F13" s="22"/>
      <c r="G13" s="22"/>
      <c r="H13" s="12">
        <f t="shared" si="0"/>
        <v>44656</v>
      </c>
    </row>
    <row r="14" spans="2:10" x14ac:dyDescent="0.3">
      <c r="B14" s="6" t="s">
        <v>22</v>
      </c>
      <c r="C14" s="22"/>
      <c r="D14" s="23"/>
      <c r="E14" s="23"/>
      <c r="F14" s="23"/>
      <c r="G14" s="23"/>
      <c r="H14" s="12">
        <f t="shared" si="0"/>
        <v>44656</v>
      </c>
      <c r="J14" s="4"/>
    </row>
    <row r="15" spans="2:10" x14ac:dyDescent="0.3">
      <c r="B15" s="6" t="s">
        <v>61</v>
      </c>
      <c r="C15" s="57"/>
      <c r="D15" s="23"/>
      <c r="E15" s="23"/>
      <c r="F15" s="23"/>
      <c r="G15" s="23"/>
      <c r="H15" s="67">
        <f t="shared" si="0"/>
        <v>44656</v>
      </c>
      <c r="J15" s="4"/>
    </row>
    <row r="16" spans="2:10" x14ac:dyDescent="0.3">
      <c r="B16" s="6" t="s">
        <v>19</v>
      </c>
      <c r="C16" s="22"/>
      <c r="D16" s="62">
        <v>270000</v>
      </c>
      <c r="E16" s="22"/>
      <c r="F16" s="22"/>
      <c r="G16" s="22"/>
      <c r="H16" s="12">
        <f t="shared" si="0"/>
        <v>44656</v>
      </c>
    </row>
    <row r="17" spans="1:8" x14ac:dyDescent="0.3">
      <c r="B17" s="6" t="s">
        <v>14</v>
      </c>
      <c r="C17" s="22">
        <v>270000</v>
      </c>
      <c r="D17" s="22"/>
      <c r="E17" s="22"/>
      <c r="F17" s="22"/>
      <c r="G17" s="22"/>
      <c r="H17" s="12">
        <f t="shared" si="0"/>
        <v>44656</v>
      </c>
    </row>
    <row r="18" spans="1:8" x14ac:dyDescent="0.3">
      <c r="B18" s="6" t="s">
        <v>24</v>
      </c>
      <c r="C18" s="22"/>
      <c r="D18" s="22"/>
      <c r="E18" s="22"/>
      <c r="F18" s="22"/>
      <c r="G18" s="22"/>
      <c r="H18" s="12">
        <f t="shared" si="0"/>
        <v>44656</v>
      </c>
    </row>
    <row r="19" spans="1:8" x14ac:dyDescent="0.3">
      <c r="B19" s="6" t="s">
        <v>21</v>
      </c>
      <c r="C19" s="22"/>
      <c r="D19" s="22"/>
      <c r="E19" s="22"/>
      <c r="F19" s="22"/>
      <c r="G19" s="22"/>
      <c r="H19" s="67">
        <f t="shared" si="0"/>
        <v>44656</v>
      </c>
    </row>
    <row r="20" spans="1:8" x14ac:dyDescent="0.3">
      <c r="B20" s="6" t="s">
        <v>65</v>
      </c>
      <c r="C20" s="22"/>
      <c r="D20" s="22"/>
      <c r="E20" s="22"/>
      <c r="F20" s="22"/>
      <c r="G20" s="22"/>
      <c r="H20" s="12">
        <f t="shared" si="0"/>
        <v>44656</v>
      </c>
    </row>
    <row r="21" spans="1:8" x14ac:dyDescent="0.3">
      <c r="B21" s="6" t="s">
        <v>18</v>
      </c>
      <c r="C21" s="22"/>
      <c r="D21" s="22"/>
      <c r="E21" s="22"/>
      <c r="F21" s="22"/>
      <c r="G21" s="22"/>
      <c r="H21" s="12">
        <f t="shared" si="0"/>
        <v>44656</v>
      </c>
    </row>
    <row r="22" spans="1:8" x14ac:dyDescent="0.3">
      <c r="B22" s="6" t="s">
        <v>16</v>
      </c>
      <c r="C22" s="55"/>
      <c r="D22" s="22">
        <v>108000</v>
      </c>
      <c r="E22" s="22"/>
      <c r="F22" s="22"/>
      <c r="G22" s="22"/>
      <c r="H22" s="12">
        <f t="shared" si="0"/>
        <v>44656</v>
      </c>
    </row>
    <row r="23" spans="1:8" x14ac:dyDescent="0.3">
      <c r="B23" s="50" t="s">
        <v>27</v>
      </c>
      <c r="C23" s="51">
        <f>SUM(April05_2022[KSI_AGO])</f>
        <v>2101000</v>
      </c>
      <c r="D23" s="51">
        <f>SUBTOTAL(109,April05_2022[KSI_PMS])</f>
        <v>1286500</v>
      </c>
      <c r="E23" s="51">
        <f>SUM(April05_2022[BUIPE_AGO])</f>
        <v>0</v>
      </c>
      <c r="F23" s="51">
        <f>SUM(April05_2022[BUIPE_PMS])</f>
        <v>0</v>
      </c>
      <c r="G23" s="51">
        <f>SUM(April05_2022[AKOSOMBO_AGO])</f>
        <v>648000</v>
      </c>
      <c r="H23" s="52"/>
    </row>
    <row r="24" spans="1:8" x14ac:dyDescent="0.3">
      <c r="B24" s="8"/>
      <c r="C24" s="24"/>
      <c r="D24" s="24"/>
      <c r="E24" s="24"/>
      <c r="F24" s="24"/>
      <c r="G24" s="24"/>
      <c r="H24"/>
    </row>
    <row r="25" spans="1:8" x14ac:dyDescent="0.3">
      <c r="B25" s="1" t="s">
        <v>6</v>
      </c>
      <c r="C25" s="1" t="s">
        <v>4</v>
      </c>
      <c r="D25" s="5">
        <f>SUMIF(April05_2022[[#Headers],[KSI_AGO]:[AKOSOMBO_AGO]],"*"&amp;C25,April05_2022[[#Totals],[KSI_AGO]:[AKOSOMBO_AGO]])</f>
        <v>2749000</v>
      </c>
      <c r="E25" s="1" t="s">
        <v>5</v>
      </c>
      <c r="F25" s="5">
        <f>SUMIF(April05_2022[[#Headers],[KSI_AGO]:[AKOSOMBO_AGO]],"*"&amp;E25,April05_2022[[#Totals],[KSI_AGO]:[AKOSOMBO_AGO]])</f>
        <v>1286500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A66753F1-801D-4BB2-A679-688B3608B012}">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9069C-6821-43A6-9E23-E6E5984FD284}">
  <sheetPr codeName="Sheet565"/>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G14" sqref="G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44657</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44657</v>
      </c>
    </row>
    <row r="7" spans="2:10" x14ac:dyDescent="0.3">
      <c r="B7" s="6" t="s">
        <v>37</v>
      </c>
      <c r="C7" s="53"/>
      <c r="D7" s="22"/>
      <c r="E7" s="22"/>
      <c r="F7" s="22"/>
      <c r="G7" s="22"/>
      <c r="H7" s="67">
        <f t="shared" si="0"/>
        <v>44657</v>
      </c>
    </row>
    <row r="8" spans="2:10" x14ac:dyDescent="0.3">
      <c r="B8" s="6" t="s">
        <v>17</v>
      </c>
      <c r="C8" s="22">
        <v>369000</v>
      </c>
      <c r="D8" s="57"/>
      <c r="E8" s="22"/>
      <c r="F8" s="22"/>
      <c r="G8" s="22"/>
      <c r="H8" s="12">
        <f t="shared" si="0"/>
        <v>44657</v>
      </c>
    </row>
    <row r="9" spans="2:10" ht="15.6" x14ac:dyDescent="0.3">
      <c r="B9" s="34" t="s">
        <v>0</v>
      </c>
      <c r="C9" s="60"/>
      <c r="D9" s="57"/>
      <c r="E9" s="61"/>
      <c r="F9" s="118"/>
      <c r="G9" s="57"/>
      <c r="H9" s="12">
        <f t="shared" si="0"/>
        <v>44657</v>
      </c>
    </row>
    <row r="10" spans="2:10" ht="16.2" customHeight="1" x14ac:dyDescent="0.3">
      <c r="B10" s="6" t="s">
        <v>25</v>
      </c>
      <c r="C10" s="22">
        <v>319500</v>
      </c>
      <c r="D10" s="22"/>
      <c r="E10" s="22"/>
      <c r="F10" s="22"/>
      <c r="G10" s="22">
        <v>270000</v>
      </c>
      <c r="H10" s="12">
        <f t="shared" si="0"/>
        <v>44657</v>
      </c>
    </row>
    <row r="11" spans="2:10" ht="13.5" customHeight="1" x14ac:dyDescent="0.3">
      <c r="B11" s="6" t="s">
        <v>15</v>
      </c>
      <c r="C11" s="22"/>
      <c r="D11" s="22"/>
      <c r="E11" s="22"/>
      <c r="F11" s="22"/>
      <c r="G11" s="22"/>
      <c r="H11" s="12">
        <f t="shared" si="0"/>
        <v>44657</v>
      </c>
    </row>
    <row r="12" spans="2:10" x14ac:dyDescent="0.3">
      <c r="B12" s="6" t="s">
        <v>54</v>
      </c>
      <c r="C12" s="22">
        <v>265500</v>
      </c>
      <c r="D12" s="22"/>
      <c r="E12" s="22"/>
      <c r="F12" s="22"/>
      <c r="G12" s="22"/>
      <c r="H12" s="67">
        <f t="shared" si="0"/>
        <v>44657</v>
      </c>
    </row>
    <row r="13" spans="2:10" x14ac:dyDescent="0.3">
      <c r="B13" s="6" t="s">
        <v>26</v>
      </c>
      <c r="C13" s="22">
        <v>319500</v>
      </c>
      <c r="D13" s="22"/>
      <c r="E13" s="22"/>
      <c r="F13" s="22"/>
      <c r="G13" s="22">
        <v>108000</v>
      </c>
      <c r="H13" s="12">
        <f t="shared" si="0"/>
        <v>44657</v>
      </c>
    </row>
    <row r="14" spans="2:10" x14ac:dyDescent="0.3">
      <c r="B14" s="6" t="s">
        <v>22</v>
      </c>
      <c r="C14" s="22"/>
      <c r="D14" s="23"/>
      <c r="E14" s="23"/>
      <c r="F14" s="23"/>
      <c r="G14" s="23"/>
      <c r="H14" s="12">
        <f t="shared" si="0"/>
        <v>44657</v>
      </c>
      <c r="J14" s="4"/>
    </row>
    <row r="15" spans="2:10" x14ac:dyDescent="0.3">
      <c r="B15" s="6" t="s">
        <v>61</v>
      </c>
      <c r="C15" s="57"/>
      <c r="D15" s="23"/>
      <c r="E15" s="23"/>
      <c r="F15" s="23"/>
      <c r="G15" s="23"/>
      <c r="H15" s="67">
        <f t="shared" si="0"/>
        <v>44657</v>
      </c>
      <c r="J15" s="4"/>
    </row>
    <row r="16" spans="2:10" x14ac:dyDescent="0.3">
      <c r="B16" s="6" t="s">
        <v>19</v>
      </c>
      <c r="C16" s="22"/>
      <c r="D16" s="62">
        <v>198000</v>
      </c>
      <c r="E16" s="22"/>
      <c r="F16" s="22"/>
      <c r="G16" s="22"/>
      <c r="H16" s="12">
        <f t="shared" si="0"/>
        <v>44657</v>
      </c>
    </row>
    <row r="17" spans="1:8" x14ac:dyDescent="0.3">
      <c r="B17" s="6" t="s">
        <v>14</v>
      </c>
      <c r="C17" s="22">
        <v>108000</v>
      </c>
      <c r="D17" s="22">
        <v>810000</v>
      </c>
      <c r="E17" s="22"/>
      <c r="F17" s="22"/>
      <c r="G17" s="22"/>
      <c r="H17" s="12">
        <f t="shared" si="0"/>
        <v>44657</v>
      </c>
    </row>
    <row r="18" spans="1:8" x14ac:dyDescent="0.3">
      <c r="B18" s="6" t="s">
        <v>24</v>
      </c>
      <c r="C18" s="22"/>
      <c r="D18" s="22"/>
      <c r="E18" s="22"/>
      <c r="F18" s="22"/>
      <c r="G18" s="22"/>
      <c r="H18" s="12">
        <f t="shared" si="0"/>
        <v>44657</v>
      </c>
    </row>
    <row r="19" spans="1:8" x14ac:dyDescent="0.3">
      <c r="B19" s="6" t="s">
        <v>21</v>
      </c>
      <c r="C19" s="22"/>
      <c r="D19" s="22"/>
      <c r="E19" s="22"/>
      <c r="F19" s="22"/>
      <c r="G19" s="22"/>
      <c r="H19" s="67">
        <f t="shared" si="0"/>
        <v>44657</v>
      </c>
    </row>
    <row r="20" spans="1:8" x14ac:dyDescent="0.3">
      <c r="B20" s="6" t="s">
        <v>65</v>
      </c>
      <c r="C20" s="22"/>
      <c r="D20" s="22"/>
      <c r="E20" s="22"/>
      <c r="F20" s="22"/>
      <c r="G20" s="22"/>
      <c r="H20" s="12">
        <f t="shared" si="0"/>
        <v>44657</v>
      </c>
    </row>
    <row r="21" spans="1:8" x14ac:dyDescent="0.3">
      <c r="B21" s="6" t="s">
        <v>18</v>
      </c>
      <c r="C21" s="22"/>
      <c r="D21" s="22"/>
      <c r="E21" s="22"/>
      <c r="F21" s="22"/>
      <c r="G21" s="22"/>
      <c r="H21" s="12">
        <f t="shared" si="0"/>
        <v>44657</v>
      </c>
    </row>
    <row r="22" spans="1:8" x14ac:dyDescent="0.3">
      <c r="B22" s="6" t="s">
        <v>16</v>
      </c>
      <c r="C22" s="55"/>
      <c r="D22" s="22"/>
      <c r="E22" s="22"/>
      <c r="F22" s="22"/>
      <c r="G22" s="22"/>
      <c r="H22" s="12">
        <f t="shared" si="0"/>
        <v>44657</v>
      </c>
    </row>
    <row r="23" spans="1:8" x14ac:dyDescent="0.3">
      <c r="B23" s="50" t="s">
        <v>27</v>
      </c>
      <c r="C23" s="51">
        <f>SUM(April06_2022[KSI_AGO])</f>
        <v>1381500</v>
      </c>
      <c r="D23" s="51">
        <f>SUBTOTAL(109,April06_2022[KSI_PMS])</f>
        <v>1008000</v>
      </c>
      <c r="E23" s="51">
        <f>SUM(April06_2022[BUIPE_AGO])</f>
        <v>0</v>
      </c>
      <c r="F23" s="51">
        <f>SUM(April06_2022[BUIPE_PMS])</f>
        <v>0</v>
      </c>
      <c r="G23" s="51">
        <f>SUM(April06_2022[AKOSOMBO_AGO])</f>
        <v>378000</v>
      </c>
      <c r="H23" s="52"/>
    </row>
    <row r="24" spans="1:8" x14ac:dyDescent="0.3">
      <c r="B24" s="8"/>
      <c r="C24" s="24"/>
      <c r="D24" s="24"/>
      <c r="E24" s="24"/>
      <c r="F24" s="24"/>
      <c r="G24" s="24"/>
      <c r="H24"/>
    </row>
    <row r="25" spans="1:8" x14ac:dyDescent="0.3">
      <c r="B25" s="1" t="s">
        <v>6</v>
      </c>
      <c r="C25" s="1" t="s">
        <v>4</v>
      </c>
      <c r="D25" s="5">
        <f>SUMIF(April06_2022[[#Headers],[KSI_AGO]:[AKOSOMBO_AGO]],"*"&amp;C25,April06_2022[[#Totals],[KSI_AGO]:[AKOSOMBO_AGO]])</f>
        <v>1759500</v>
      </c>
      <c r="E25" s="1" t="s">
        <v>5</v>
      </c>
      <c r="F25" s="5">
        <f>SUMIF(April06_2022[[#Headers],[KSI_AGO]:[AKOSOMBO_AGO]],"*"&amp;E25,April06_2022[[#Totals],[KSI_AGO]:[AKOSOMBO_AGO]])</f>
        <v>1008000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33156B57-A0BF-4AA9-8622-AE7B27288987}">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7D1E8-D83D-4335-91E7-A2449F98C8CD}">
  <sheetPr codeName="Sheet566"/>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C16" sqref="C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44658</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44658</v>
      </c>
    </row>
    <row r="7" spans="2:10" x14ac:dyDescent="0.3">
      <c r="B7" s="6" t="s">
        <v>37</v>
      </c>
      <c r="C7" s="53"/>
      <c r="D7" s="22"/>
      <c r="E7" s="22"/>
      <c r="F7" s="22"/>
      <c r="G7" s="22"/>
      <c r="H7" s="67">
        <f t="shared" si="0"/>
        <v>44658</v>
      </c>
    </row>
    <row r="8" spans="2:10" x14ac:dyDescent="0.3">
      <c r="B8" s="6" t="s">
        <v>17</v>
      </c>
      <c r="C8" s="22">
        <v>139500</v>
      </c>
      <c r="D8" s="57"/>
      <c r="E8" s="22"/>
      <c r="F8" s="22"/>
      <c r="G8" s="22"/>
      <c r="H8" s="12">
        <f t="shared" si="0"/>
        <v>44658</v>
      </c>
    </row>
    <row r="9" spans="2:10" ht="15.6" x14ac:dyDescent="0.3">
      <c r="B9" s="34" t="s">
        <v>0</v>
      </c>
      <c r="C9" s="60"/>
      <c r="D9" s="57"/>
      <c r="E9" s="61"/>
      <c r="F9" s="118"/>
      <c r="G9" s="57"/>
      <c r="H9" s="12">
        <f t="shared" si="0"/>
        <v>44658</v>
      </c>
    </row>
    <row r="10" spans="2:10" ht="16.2" customHeight="1" x14ac:dyDescent="0.3">
      <c r="B10" s="6" t="s">
        <v>25</v>
      </c>
      <c r="C10" s="22">
        <v>162000</v>
      </c>
      <c r="D10" s="22"/>
      <c r="E10" s="22"/>
      <c r="F10" s="22"/>
      <c r="G10" s="22"/>
      <c r="H10" s="12">
        <f t="shared" si="0"/>
        <v>44658</v>
      </c>
    </row>
    <row r="11" spans="2:10" ht="13.5" customHeight="1" x14ac:dyDescent="0.3">
      <c r="B11" s="6" t="s">
        <v>15</v>
      </c>
      <c r="C11" s="22">
        <v>468000</v>
      </c>
      <c r="D11" s="22">
        <v>216000</v>
      </c>
      <c r="E11" s="22"/>
      <c r="F11" s="22"/>
      <c r="G11" s="22"/>
      <c r="H11" s="12">
        <f t="shared" si="0"/>
        <v>44658</v>
      </c>
    </row>
    <row r="12" spans="2:10" x14ac:dyDescent="0.3">
      <c r="B12" s="6" t="s">
        <v>54</v>
      </c>
      <c r="C12" s="22">
        <v>216000</v>
      </c>
      <c r="D12" s="22">
        <v>54000</v>
      </c>
      <c r="E12" s="22"/>
      <c r="F12" s="22">
        <v>54000</v>
      </c>
      <c r="G12" s="22"/>
      <c r="H12" s="67">
        <f t="shared" si="0"/>
        <v>44658</v>
      </c>
    </row>
    <row r="13" spans="2:10" x14ac:dyDescent="0.3">
      <c r="B13" s="6" t="s">
        <v>26</v>
      </c>
      <c r="C13" s="22">
        <v>162000</v>
      </c>
      <c r="D13" s="22">
        <v>99000</v>
      </c>
      <c r="E13" s="22"/>
      <c r="F13" s="22">
        <v>103500</v>
      </c>
      <c r="G13" s="22"/>
      <c r="H13" s="12">
        <f t="shared" si="0"/>
        <v>44658</v>
      </c>
    </row>
    <row r="14" spans="2:10" x14ac:dyDescent="0.3">
      <c r="B14" s="6" t="s">
        <v>22</v>
      </c>
      <c r="C14" s="22"/>
      <c r="D14" s="23"/>
      <c r="E14" s="23"/>
      <c r="F14" s="23"/>
      <c r="G14" s="23"/>
      <c r="H14" s="12">
        <f t="shared" si="0"/>
        <v>44658</v>
      </c>
      <c r="J14" s="4"/>
    </row>
    <row r="15" spans="2:10" x14ac:dyDescent="0.3">
      <c r="B15" s="6" t="s">
        <v>61</v>
      </c>
      <c r="C15" s="57"/>
      <c r="D15" s="23"/>
      <c r="E15" s="23"/>
      <c r="F15" s="23"/>
      <c r="G15" s="23"/>
      <c r="H15" s="67">
        <f t="shared" si="0"/>
        <v>44658</v>
      </c>
      <c r="J15" s="4"/>
    </row>
    <row r="16" spans="2:10" x14ac:dyDescent="0.3">
      <c r="B16" s="6" t="s">
        <v>19</v>
      </c>
      <c r="C16" s="22">
        <v>432000</v>
      </c>
      <c r="D16" s="62"/>
      <c r="E16" s="22"/>
      <c r="F16" s="22"/>
      <c r="G16" s="22"/>
      <c r="H16" s="12">
        <f t="shared" si="0"/>
        <v>44658</v>
      </c>
    </row>
    <row r="17" spans="1:8" x14ac:dyDescent="0.3">
      <c r="B17" s="6" t="s">
        <v>14</v>
      </c>
      <c r="C17" s="22">
        <v>698000</v>
      </c>
      <c r="D17" s="22">
        <v>432000</v>
      </c>
      <c r="E17" s="22"/>
      <c r="F17" s="22"/>
      <c r="G17" s="22"/>
      <c r="H17" s="12">
        <f t="shared" si="0"/>
        <v>44658</v>
      </c>
    </row>
    <row r="18" spans="1:8" x14ac:dyDescent="0.3">
      <c r="B18" s="6" t="s">
        <v>24</v>
      </c>
      <c r="C18" s="22"/>
      <c r="D18" s="22"/>
      <c r="E18" s="22"/>
      <c r="F18" s="22"/>
      <c r="G18" s="22"/>
      <c r="H18" s="12">
        <f t="shared" si="0"/>
        <v>44658</v>
      </c>
    </row>
    <row r="19" spans="1:8" x14ac:dyDescent="0.3">
      <c r="B19" s="6" t="s">
        <v>21</v>
      </c>
      <c r="C19" s="22"/>
      <c r="D19" s="22"/>
      <c r="E19" s="22"/>
      <c r="F19" s="22"/>
      <c r="G19" s="22"/>
      <c r="H19" s="67">
        <f t="shared" si="0"/>
        <v>44658</v>
      </c>
    </row>
    <row r="20" spans="1:8" x14ac:dyDescent="0.3">
      <c r="B20" s="6" t="s">
        <v>65</v>
      </c>
      <c r="C20" s="22"/>
      <c r="D20" s="22"/>
      <c r="E20" s="22"/>
      <c r="F20" s="22"/>
      <c r="G20" s="22"/>
      <c r="H20" s="12">
        <f t="shared" si="0"/>
        <v>44658</v>
      </c>
    </row>
    <row r="21" spans="1:8" x14ac:dyDescent="0.3">
      <c r="B21" s="6" t="s">
        <v>18</v>
      </c>
      <c r="C21" s="22"/>
      <c r="D21" s="22"/>
      <c r="E21" s="22"/>
      <c r="F21" s="22"/>
      <c r="G21" s="22"/>
      <c r="H21" s="12">
        <f t="shared" si="0"/>
        <v>44658</v>
      </c>
    </row>
    <row r="22" spans="1:8" x14ac:dyDescent="0.3">
      <c r="B22" s="6" t="s">
        <v>16</v>
      </c>
      <c r="C22" s="55"/>
      <c r="D22" s="22"/>
      <c r="E22" s="22"/>
      <c r="F22" s="22">
        <v>54000</v>
      </c>
      <c r="G22" s="22"/>
      <c r="H22" s="12">
        <f t="shared" si="0"/>
        <v>44658</v>
      </c>
    </row>
    <row r="23" spans="1:8" x14ac:dyDescent="0.3">
      <c r="B23" s="50" t="s">
        <v>27</v>
      </c>
      <c r="C23" s="51">
        <f>SUM(April07_2022[KSI_AGO])</f>
        <v>2277500</v>
      </c>
      <c r="D23" s="51">
        <f>SUBTOTAL(109,April07_2022[KSI_PMS])</f>
        <v>801000</v>
      </c>
      <c r="E23" s="51">
        <f>SUM(April07_2022[BUIPE_AGO])</f>
        <v>0</v>
      </c>
      <c r="F23" s="51">
        <f>SUM(April07_2022[BUIPE_PMS])</f>
        <v>211500</v>
      </c>
      <c r="G23" s="51">
        <f>SUM(April07_2022[AKOSOMBO_AGO])</f>
        <v>0</v>
      </c>
      <c r="H23" s="52"/>
    </row>
    <row r="24" spans="1:8" x14ac:dyDescent="0.3">
      <c r="B24" s="8"/>
      <c r="C24" s="24"/>
      <c r="D24" s="24"/>
      <c r="E24" s="24"/>
      <c r="F24" s="24"/>
      <c r="G24" s="24"/>
      <c r="H24"/>
    </row>
    <row r="25" spans="1:8" x14ac:dyDescent="0.3">
      <c r="B25" s="1" t="s">
        <v>6</v>
      </c>
      <c r="C25" s="1" t="s">
        <v>4</v>
      </c>
      <c r="D25" s="5">
        <f>SUMIF(April07_2022[[#Headers],[KSI_AGO]:[AKOSOMBO_AGO]],"*"&amp;C25,April07_2022[[#Totals],[KSI_AGO]:[AKOSOMBO_AGO]])</f>
        <v>2277500</v>
      </c>
      <c r="E25" s="1" t="s">
        <v>5</v>
      </c>
      <c r="F25" s="5">
        <f>SUMIF(April07_2022[[#Headers],[KSI_AGO]:[AKOSOMBO_AGO]],"*"&amp;E25,April07_2022[[#Totals],[KSI_AGO]:[AKOSOMBO_AGO]])</f>
        <v>1012500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92BE28A2-A221-49FA-8AF3-12D9F8C6FB7E}">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E2D11-F706-4489-A746-22C3054A7BBB}">
  <sheetPr codeName="Sheet567"/>
  <dimension ref="A1:J35"/>
  <sheetViews>
    <sheetView zoomScale="107" zoomScaleNormal="85" workbookViewId="0">
      <pane xSplit="2" ySplit="5" topLeftCell="F6" activePane="bottomRight" state="frozen"/>
      <selection activeCell="F31" sqref="F31:F33"/>
      <selection pane="topRight" activeCell="F31" sqref="F31:F33"/>
      <selection pane="bottomLeft" activeCell="F31" sqref="F31:F33"/>
      <selection pane="bottomRight" activeCell="F15" sqref="F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44659</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44659</v>
      </c>
    </row>
    <row r="7" spans="2:10" x14ac:dyDescent="0.3">
      <c r="B7" s="6" t="s">
        <v>37</v>
      </c>
      <c r="C7" s="53"/>
      <c r="D7" s="22"/>
      <c r="E7" s="22"/>
      <c r="F7" s="22"/>
      <c r="G7" s="22"/>
      <c r="H7" s="67">
        <f t="shared" si="0"/>
        <v>44659</v>
      </c>
    </row>
    <row r="8" spans="2:10" x14ac:dyDescent="0.3">
      <c r="B8" s="6" t="s">
        <v>17</v>
      </c>
      <c r="C8" s="22">
        <v>45000</v>
      </c>
      <c r="D8" s="57"/>
      <c r="E8" s="22"/>
      <c r="F8" s="22"/>
      <c r="G8" s="22"/>
      <c r="H8" s="12">
        <f t="shared" si="0"/>
        <v>44659</v>
      </c>
    </row>
    <row r="9" spans="2:10" ht="15.6" x14ac:dyDescent="0.3">
      <c r="B9" s="34" t="s">
        <v>0</v>
      </c>
      <c r="C9" s="60">
        <v>54000</v>
      </c>
      <c r="D9" s="57"/>
      <c r="E9" s="61"/>
      <c r="F9" s="118"/>
      <c r="G9" s="57"/>
      <c r="H9" s="12">
        <f t="shared" si="0"/>
        <v>44659</v>
      </c>
    </row>
    <row r="10" spans="2:10" ht="16.2" customHeight="1" x14ac:dyDescent="0.3">
      <c r="B10" s="6" t="s">
        <v>25</v>
      </c>
      <c r="C10" s="22">
        <v>414000</v>
      </c>
      <c r="D10" s="22"/>
      <c r="E10" s="22"/>
      <c r="F10" s="22"/>
      <c r="G10" s="22"/>
      <c r="H10" s="12">
        <f t="shared" si="0"/>
        <v>44659</v>
      </c>
    </row>
    <row r="11" spans="2:10" ht="13.5" customHeight="1" x14ac:dyDescent="0.3">
      <c r="B11" s="6" t="s">
        <v>15</v>
      </c>
      <c r="C11" s="22">
        <v>477000</v>
      </c>
      <c r="D11" s="22">
        <v>1122000</v>
      </c>
      <c r="E11" s="22"/>
      <c r="F11" s="22"/>
      <c r="G11" s="22"/>
      <c r="H11" s="12">
        <f t="shared" si="0"/>
        <v>44659</v>
      </c>
    </row>
    <row r="12" spans="2:10" x14ac:dyDescent="0.3">
      <c r="B12" s="6" t="s">
        <v>54</v>
      </c>
      <c r="C12" s="22">
        <v>216000</v>
      </c>
      <c r="D12" s="22"/>
      <c r="E12" s="22"/>
      <c r="F12" s="22">
        <v>378000</v>
      </c>
      <c r="G12" s="22"/>
      <c r="H12" s="67">
        <f t="shared" si="0"/>
        <v>44659</v>
      </c>
    </row>
    <row r="13" spans="2:10" x14ac:dyDescent="0.3">
      <c r="B13" s="6" t="s">
        <v>26</v>
      </c>
      <c r="C13" s="22">
        <v>423000</v>
      </c>
      <c r="D13" s="22">
        <v>99000</v>
      </c>
      <c r="E13" s="22"/>
      <c r="F13" s="22"/>
      <c r="G13" s="22"/>
      <c r="H13" s="12">
        <f t="shared" si="0"/>
        <v>44659</v>
      </c>
    </row>
    <row r="14" spans="2:10" x14ac:dyDescent="0.3">
      <c r="B14" s="6" t="s">
        <v>22</v>
      </c>
      <c r="C14" s="22"/>
      <c r="D14" s="23"/>
      <c r="E14" s="23"/>
      <c r="F14" s="23"/>
      <c r="G14" s="23"/>
      <c r="H14" s="12">
        <f t="shared" si="0"/>
        <v>44659</v>
      </c>
      <c r="J14" s="4"/>
    </row>
    <row r="15" spans="2:10" x14ac:dyDescent="0.3">
      <c r="B15" s="6" t="s">
        <v>61</v>
      </c>
      <c r="C15" s="57"/>
      <c r="D15" s="23"/>
      <c r="E15" s="23"/>
      <c r="F15" s="23"/>
      <c r="G15" s="23"/>
      <c r="H15" s="67">
        <f t="shared" si="0"/>
        <v>44659</v>
      </c>
      <c r="J15" s="4"/>
    </row>
    <row r="16" spans="2:10" x14ac:dyDescent="0.3">
      <c r="B16" s="6" t="s">
        <v>19</v>
      </c>
      <c r="C16" s="22">
        <v>374000</v>
      </c>
      <c r="D16" s="62"/>
      <c r="E16" s="22"/>
      <c r="F16" s="22"/>
      <c r="G16" s="22"/>
      <c r="H16" s="12">
        <f t="shared" si="0"/>
        <v>44659</v>
      </c>
    </row>
    <row r="17" spans="1:8" x14ac:dyDescent="0.3">
      <c r="B17" s="6" t="s">
        <v>14</v>
      </c>
      <c r="C17" s="22">
        <v>526500</v>
      </c>
      <c r="D17" s="22">
        <v>852000</v>
      </c>
      <c r="E17" s="22"/>
      <c r="F17" s="22"/>
      <c r="G17" s="22"/>
      <c r="H17" s="12">
        <f t="shared" si="0"/>
        <v>44659</v>
      </c>
    </row>
    <row r="18" spans="1:8" x14ac:dyDescent="0.3">
      <c r="B18" s="6" t="s">
        <v>24</v>
      </c>
      <c r="C18" s="22"/>
      <c r="D18" s="22"/>
      <c r="E18" s="22"/>
      <c r="F18" s="22"/>
      <c r="G18" s="22"/>
      <c r="H18" s="12">
        <f t="shared" si="0"/>
        <v>44659</v>
      </c>
    </row>
    <row r="19" spans="1:8" x14ac:dyDescent="0.3">
      <c r="B19" s="6" t="s">
        <v>21</v>
      </c>
      <c r="C19" s="22">
        <v>108000</v>
      </c>
      <c r="D19" s="22"/>
      <c r="E19" s="22"/>
      <c r="F19" s="22"/>
      <c r="G19" s="22"/>
      <c r="H19" s="67">
        <f t="shared" si="0"/>
        <v>44659</v>
      </c>
    </row>
    <row r="20" spans="1:8" x14ac:dyDescent="0.3">
      <c r="B20" s="6" t="s">
        <v>65</v>
      </c>
      <c r="C20" s="22"/>
      <c r="D20" s="22"/>
      <c r="E20" s="22"/>
      <c r="F20" s="22"/>
      <c r="G20" s="22"/>
      <c r="H20" s="12">
        <f t="shared" si="0"/>
        <v>44659</v>
      </c>
    </row>
    <row r="21" spans="1:8" x14ac:dyDescent="0.3">
      <c r="B21" s="6" t="s">
        <v>18</v>
      </c>
      <c r="C21" s="22"/>
      <c r="D21" s="22"/>
      <c r="E21" s="22"/>
      <c r="F21" s="22"/>
      <c r="G21" s="22"/>
      <c r="H21" s="12">
        <f t="shared" si="0"/>
        <v>44659</v>
      </c>
    </row>
    <row r="22" spans="1:8" x14ac:dyDescent="0.3">
      <c r="B22" s="6" t="s">
        <v>16</v>
      </c>
      <c r="C22" s="55"/>
      <c r="D22" s="22"/>
      <c r="E22" s="22"/>
      <c r="F22" s="22"/>
      <c r="G22" s="22"/>
      <c r="H22" s="12">
        <f t="shared" si="0"/>
        <v>44659</v>
      </c>
    </row>
    <row r="23" spans="1:8" x14ac:dyDescent="0.3">
      <c r="B23" s="50" t="s">
        <v>27</v>
      </c>
      <c r="C23" s="51">
        <f>SUM(April08_2022[KSI_AGO])</f>
        <v>2637500</v>
      </c>
      <c r="D23" s="51">
        <f>SUBTOTAL(109,April08_2022[KSI_PMS])</f>
        <v>2073000</v>
      </c>
      <c r="E23" s="51">
        <f>SUM(April08_2022[BUIPE_AGO])</f>
        <v>0</v>
      </c>
      <c r="F23" s="51">
        <f>SUM(April08_2022[BUIPE_PMS])</f>
        <v>378000</v>
      </c>
      <c r="G23" s="51">
        <f>SUM(April08_2022[AKOSOMBO_AGO])</f>
        <v>0</v>
      </c>
      <c r="H23" s="52"/>
    </row>
    <row r="24" spans="1:8" x14ac:dyDescent="0.3">
      <c r="B24" s="8"/>
      <c r="C24" s="24"/>
      <c r="D24" s="24"/>
      <c r="E24" s="24"/>
      <c r="F24" s="24"/>
      <c r="G24" s="24"/>
      <c r="H24"/>
    </row>
    <row r="25" spans="1:8" x14ac:dyDescent="0.3">
      <c r="B25" s="1" t="s">
        <v>6</v>
      </c>
      <c r="C25" s="1" t="s">
        <v>4</v>
      </c>
      <c r="D25" s="5">
        <f>SUMIF(April08_2022[[#Headers],[KSI_AGO]:[AKOSOMBO_AGO]],"*"&amp;C25,April08_2022[[#Totals],[KSI_AGO]:[AKOSOMBO_AGO]])</f>
        <v>2637500</v>
      </c>
      <c r="E25" s="1" t="s">
        <v>5</v>
      </c>
      <c r="F25" s="5">
        <f>SUMIF(April08_2022[[#Headers],[KSI_AGO]:[AKOSOMBO_AGO]],"*"&amp;E25,April08_2022[[#Totals],[KSI_AGO]:[AKOSOMBO_AGO]])</f>
        <v>2451000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85F358EA-D992-4B02-BF6C-F60067CA0FDF}">
      <formula1>INDIRECT("BDC_List[BDC List]")</formula1>
    </dataValidation>
  </dataValidations>
  <pageMargins left="0.7" right="0.7" top="0.75" bottom="0.75" header="0.3" footer="0.3"/>
  <pageSetup orientation="portrait" r:id="rId1"/>
  <legacyDrawing r:id="rId2"/>
  <tableParts count="1">
    <tablePart r:id="rId3"/>
  </tableParts>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1CF0A-2692-4222-8E1B-57CE5F9A7D81}">
  <sheetPr codeName="Sheet568">
    <tabColor rgb="FFFFFF00"/>
  </sheetPr>
  <dimension ref="A1:J35"/>
  <sheetViews>
    <sheetView zoomScale="107" zoomScaleNormal="85" workbookViewId="0">
      <pane xSplit="2" ySplit="5" topLeftCell="C6" activePane="bottomRight" state="frozen"/>
      <selection activeCell="F31" sqref="F31:F33"/>
      <selection pane="topRight" activeCell="F31" sqref="F31:F33"/>
      <selection pane="bottomLeft" activeCell="F31" sqref="F31:F33"/>
      <selection pane="bottomRight"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23.88671875" style="1" customWidth="1"/>
    <col min="7" max="7" width="31.44140625" style="1" customWidth="1"/>
    <col min="8" max="8" width="14.109375" style="1" customWidth="1"/>
    <col min="9" max="9" width="9.109375" style="1"/>
    <col min="10" max="10" width="13.33203125" style="1" bestFit="1" customWidth="1"/>
    <col min="11" max="16384" width="9.109375" style="1"/>
  </cols>
  <sheetData>
    <row r="1" spans="2:10" ht="24.6" x14ac:dyDescent="0.4">
      <c r="B1" s="95" t="s">
        <v>0</v>
      </c>
      <c r="C1" s="95"/>
      <c r="D1" s="95"/>
      <c r="E1" s="95"/>
      <c r="F1" s="95"/>
      <c r="G1" s="95"/>
    </row>
    <row r="2" spans="2:10" ht="15.6" x14ac:dyDescent="0.3">
      <c r="B2" s="7" t="s">
        <v>1</v>
      </c>
      <c r="C2" s="7"/>
      <c r="D2" s="2"/>
      <c r="E2" s="2"/>
      <c r="F2" s="2"/>
      <c r="G2" s="2"/>
    </row>
    <row r="3" spans="2:10" ht="15.6" x14ac:dyDescent="0.3">
      <c r="B3" s="7" t="s">
        <v>2</v>
      </c>
      <c r="C3" s="7"/>
      <c r="D3" s="2"/>
      <c r="E3" s="2"/>
      <c r="F3" s="21" t="s">
        <v>3</v>
      </c>
      <c r="G3" s="71">
        <v>44662</v>
      </c>
    </row>
    <row r="4" spans="2:10" ht="16.2" thickBot="1" x14ac:dyDescent="0.35">
      <c r="B4" s="96"/>
      <c r="C4" s="96"/>
      <c r="D4" s="96"/>
      <c r="E4" s="96"/>
      <c r="F4" s="96"/>
      <c r="G4" s="96"/>
    </row>
    <row r="5" spans="2:10" ht="16.2" thickBot="1" x14ac:dyDescent="0.35">
      <c r="B5" s="13" t="s">
        <v>13</v>
      </c>
      <c r="C5" s="14" t="s">
        <v>8</v>
      </c>
      <c r="D5" s="14" t="s">
        <v>9</v>
      </c>
      <c r="E5" s="14" t="s">
        <v>10</v>
      </c>
      <c r="F5" s="14" t="s">
        <v>11</v>
      </c>
      <c r="G5" s="14" t="s">
        <v>12</v>
      </c>
      <c r="H5" s="15" t="s">
        <v>3</v>
      </c>
    </row>
    <row r="6" spans="2:10" x14ac:dyDescent="0.3">
      <c r="B6" s="33" t="s">
        <v>20</v>
      </c>
      <c r="C6" s="22"/>
      <c r="D6" s="120"/>
      <c r="E6" s="45"/>
      <c r="F6" s="45"/>
      <c r="G6" s="45"/>
      <c r="H6" s="12">
        <f t="shared" ref="H6:H22" si="0">$G$3</f>
        <v>44662</v>
      </c>
    </row>
    <row r="7" spans="2:10" x14ac:dyDescent="0.3">
      <c r="B7" s="6" t="s">
        <v>37</v>
      </c>
      <c r="C7" s="53"/>
      <c r="D7" s="22"/>
      <c r="E7" s="22"/>
      <c r="F7" s="22"/>
      <c r="G7" s="22"/>
      <c r="H7" s="67">
        <f t="shared" si="0"/>
        <v>44662</v>
      </c>
    </row>
    <row r="8" spans="2:10" x14ac:dyDescent="0.3">
      <c r="B8" s="6" t="s">
        <v>17</v>
      </c>
      <c r="C8" s="22"/>
      <c r="D8" s="22">
        <v>45000</v>
      </c>
      <c r="E8" s="22"/>
      <c r="F8" s="22"/>
      <c r="G8" s="22"/>
      <c r="H8" s="12">
        <f t="shared" si="0"/>
        <v>44662</v>
      </c>
    </row>
    <row r="9" spans="2:10" ht="15.6" x14ac:dyDescent="0.3">
      <c r="B9" s="34" t="s">
        <v>0</v>
      </c>
      <c r="C9" s="60"/>
      <c r="D9" s="57"/>
      <c r="E9" s="61"/>
      <c r="F9" s="118"/>
      <c r="G9" s="57"/>
      <c r="H9" s="12">
        <f t="shared" si="0"/>
        <v>44662</v>
      </c>
    </row>
    <row r="10" spans="2:10" ht="16.2" customHeight="1" x14ac:dyDescent="0.3">
      <c r="B10" s="6" t="s">
        <v>25</v>
      </c>
      <c r="C10" s="22">
        <v>270000</v>
      </c>
      <c r="D10" s="22"/>
      <c r="E10" s="22"/>
      <c r="F10" s="22"/>
      <c r="G10" s="22"/>
      <c r="H10" s="12">
        <f t="shared" si="0"/>
        <v>44662</v>
      </c>
    </row>
    <row r="11" spans="2:10" ht="13.5" customHeight="1" x14ac:dyDescent="0.3">
      <c r="B11" s="6" t="s">
        <v>15</v>
      </c>
      <c r="C11" s="22">
        <v>216000</v>
      </c>
      <c r="D11" s="22">
        <v>963000</v>
      </c>
      <c r="E11" s="22"/>
      <c r="F11" s="22"/>
      <c r="G11" s="22"/>
      <c r="H11" s="12">
        <f t="shared" si="0"/>
        <v>44662</v>
      </c>
    </row>
    <row r="12" spans="2:10" x14ac:dyDescent="0.3">
      <c r="B12" s="6" t="s">
        <v>54</v>
      </c>
      <c r="C12" s="22"/>
      <c r="D12" s="22"/>
      <c r="E12" s="22"/>
      <c r="F12" s="22">
        <v>108000</v>
      </c>
      <c r="G12" s="22"/>
      <c r="H12" s="67">
        <f t="shared" si="0"/>
        <v>44662</v>
      </c>
    </row>
    <row r="13" spans="2:10" x14ac:dyDescent="0.3">
      <c r="B13" s="6" t="s">
        <v>26</v>
      </c>
      <c r="C13" s="22">
        <v>157500</v>
      </c>
      <c r="D13" s="22"/>
      <c r="E13" s="22"/>
      <c r="F13" s="22"/>
      <c r="G13" s="22"/>
      <c r="H13" s="12">
        <f t="shared" si="0"/>
        <v>44662</v>
      </c>
    </row>
    <row r="14" spans="2:10" x14ac:dyDescent="0.3">
      <c r="B14" s="6" t="s">
        <v>22</v>
      </c>
      <c r="C14" s="22"/>
      <c r="D14" s="23"/>
      <c r="E14" s="23"/>
      <c r="F14" s="23"/>
      <c r="G14" s="23"/>
      <c r="H14" s="12">
        <f t="shared" si="0"/>
        <v>44662</v>
      </c>
      <c r="J14" s="4"/>
    </row>
    <row r="15" spans="2:10" x14ac:dyDescent="0.3">
      <c r="B15" s="6" t="s">
        <v>61</v>
      </c>
      <c r="C15" s="57"/>
      <c r="D15" s="23"/>
      <c r="E15" s="23"/>
      <c r="F15" s="23"/>
      <c r="G15" s="23"/>
      <c r="H15" s="67">
        <f t="shared" si="0"/>
        <v>44662</v>
      </c>
      <c r="J15" s="4"/>
    </row>
    <row r="16" spans="2:10" x14ac:dyDescent="0.3">
      <c r="B16" s="6" t="s">
        <v>19</v>
      </c>
      <c r="C16" s="22">
        <v>270000</v>
      </c>
      <c r="D16" s="62"/>
      <c r="E16" s="22"/>
      <c r="F16" s="22"/>
      <c r="G16" s="22"/>
      <c r="H16" s="12">
        <f t="shared" si="0"/>
        <v>44662</v>
      </c>
    </row>
    <row r="17" spans="1:8" x14ac:dyDescent="0.3">
      <c r="B17" s="6" t="s">
        <v>14</v>
      </c>
      <c r="C17" s="22">
        <v>432000</v>
      </c>
      <c r="D17" s="22">
        <v>535500</v>
      </c>
      <c r="E17" s="22"/>
      <c r="F17" s="22"/>
      <c r="G17" s="22"/>
      <c r="H17" s="12">
        <f t="shared" si="0"/>
        <v>44662</v>
      </c>
    </row>
    <row r="18" spans="1:8" x14ac:dyDescent="0.3">
      <c r="B18" s="6" t="s">
        <v>24</v>
      </c>
      <c r="C18" s="22"/>
      <c r="D18" s="22"/>
      <c r="E18" s="22"/>
      <c r="F18" s="22"/>
      <c r="G18" s="22"/>
      <c r="H18" s="12">
        <f t="shared" si="0"/>
        <v>44662</v>
      </c>
    </row>
    <row r="19" spans="1:8" x14ac:dyDescent="0.3">
      <c r="B19" s="6" t="s">
        <v>21</v>
      </c>
      <c r="C19" s="22">
        <v>216000</v>
      </c>
      <c r="D19" s="22"/>
      <c r="E19" s="22"/>
      <c r="F19" s="22"/>
      <c r="G19" s="22"/>
      <c r="H19" s="67">
        <f t="shared" si="0"/>
        <v>44662</v>
      </c>
    </row>
    <row r="20" spans="1:8" x14ac:dyDescent="0.3">
      <c r="B20" s="6" t="s">
        <v>65</v>
      </c>
      <c r="C20" s="22"/>
      <c r="D20" s="22"/>
      <c r="E20" s="22"/>
      <c r="F20" s="22"/>
      <c r="G20" s="22"/>
      <c r="H20" s="12">
        <f t="shared" si="0"/>
        <v>44662</v>
      </c>
    </row>
    <row r="21" spans="1:8" x14ac:dyDescent="0.3">
      <c r="B21" s="6" t="s">
        <v>18</v>
      </c>
      <c r="C21" s="22"/>
      <c r="D21" s="22"/>
      <c r="E21" s="22"/>
      <c r="F21" s="22"/>
      <c r="G21" s="22"/>
      <c r="H21" s="12">
        <f t="shared" si="0"/>
        <v>44662</v>
      </c>
    </row>
    <row r="22" spans="1:8" x14ac:dyDescent="0.3">
      <c r="B22" s="6" t="s">
        <v>16</v>
      </c>
      <c r="C22" s="55"/>
      <c r="D22" s="22"/>
      <c r="E22" s="22"/>
      <c r="F22" s="22"/>
      <c r="G22" s="22"/>
      <c r="H22" s="12">
        <f t="shared" si="0"/>
        <v>44662</v>
      </c>
    </row>
    <row r="23" spans="1:8" x14ac:dyDescent="0.3">
      <c r="B23" s="50" t="s">
        <v>27</v>
      </c>
      <c r="C23" s="51">
        <f>SUM(April11_2022[KSI_AGO])</f>
        <v>1561500</v>
      </c>
      <c r="D23" s="51">
        <f>SUBTOTAL(109,April11_2022[KSI_PMS])</f>
        <v>1543500</v>
      </c>
      <c r="E23" s="51">
        <f>SUM(April11_2022[BUIPE_AGO])</f>
        <v>0</v>
      </c>
      <c r="F23" s="51">
        <f>SUM(April11_2022[BUIPE_PMS])</f>
        <v>108000</v>
      </c>
      <c r="G23" s="51">
        <f>SUM(April11_2022[AKOSOMBO_AGO])</f>
        <v>0</v>
      </c>
      <c r="H23" s="52"/>
    </row>
    <row r="24" spans="1:8" x14ac:dyDescent="0.3">
      <c r="B24" s="8"/>
      <c r="C24" s="24"/>
      <c r="D24" s="24"/>
      <c r="E24" s="24"/>
      <c r="F24" s="24"/>
      <c r="G24" s="24"/>
      <c r="H24"/>
    </row>
    <row r="25" spans="1:8" x14ac:dyDescent="0.3">
      <c r="B25" s="1" t="s">
        <v>6</v>
      </c>
      <c r="C25" s="1" t="s">
        <v>4</v>
      </c>
      <c r="D25" s="5">
        <f>SUMIF(April11_2022[[#Headers],[KSI_AGO]:[AKOSOMBO_AGO]],"*"&amp;C25,April11_2022[[#Totals],[KSI_AGO]:[AKOSOMBO_AGO]])</f>
        <v>1561500</v>
      </c>
      <c r="E25" s="1" t="s">
        <v>5</v>
      </c>
      <c r="F25" s="5">
        <f>SUMIF(April11_2022[[#Headers],[KSI_AGO]:[AKOSOMBO_AGO]],"*"&amp;E25,April11_2022[[#Totals],[KSI_AGO]:[AKOSOMBO_AGO]])</f>
        <v>1651500</v>
      </c>
    </row>
    <row r="28" spans="1:8" ht="18" x14ac:dyDescent="0.35">
      <c r="B28" s="107"/>
    </row>
    <row r="32" spans="1:8" x14ac:dyDescent="0.3">
      <c r="A32" s="8" t="s">
        <v>29</v>
      </c>
    </row>
    <row r="34" spans="2:7" x14ac:dyDescent="0.3">
      <c r="C34" s="11" t="s">
        <v>7</v>
      </c>
      <c r="D34" s="10"/>
      <c r="E34" s="10"/>
      <c r="F34" s="10"/>
      <c r="G34" s="10"/>
    </row>
    <row r="35" spans="2:7" x14ac:dyDescent="0.3">
      <c r="B35" s="9"/>
      <c r="C35" s="10"/>
      <c r="D35" s="10"/>
      <c r="E35" s="10"/>
      <c r="F35" s="10"/>
      <c r="G35" s="10"/>
    </row>
  </sheetData>
  <dataValidations count="1">
    <dataValidation type="list" allowBlank="1" showInputMessage="1" showErrorMessage="1" sqref="B6:B22" xr:uid="{75E508EA-BA57-43AE-97F4-048AEB731A6E}">
      <formula1>INDIRECT("BDC_List[BDC List]")</formula1>
    </dataValidation>
  </dataValidations>
  <pageMargins left="0.7" right="0.7" top="0.75" bottom="0.75" header="0.3" footer="0.3"/>
  <pageSetup orientation="portrait" r:id="rId1"/>
  <tableParts count="1">
    <tablePart r:id="rId2"/>
  </tableParts>
</worksheet>
</file>

<file path=xl/worksheets/sheet5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F58E-46A4-4480-9EC1-D5BF0ACC424F}">
  <sheetPr codeName="Sheet569"/>
  <dimension ref="B1:K24"/>
  <sheetViews>
    <sheetView topLeftCell="D4" zoomScale="115" zoomScaleNormal="115" workbookViewId="0">
      <selection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44663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44663</v>
      </c>
    </row>
    <row r="7" spans="2:11" ht="16.5" customHeight="1" x14ac:dyDescent="0.3">
      <c r="B7" s="6" t="s">
        <v>37</v>
      </c>
      <c r="C7" s="62"/>
      <c r="D7" s="62"/>
      <c r="E7" s="62"/>
      <c r="F7" s="62"/>
      <c r="G7" s="62"/>
      <c r="H7" s="67">
        <f t="shared" si="0"/>
        <v>44663</v>
      </c>
    </row>
    <row r="8" spans="2:11" x14ac:dyDescent="0.3">
      <c r="B8" s="6" t="s">
        <v>17</v>
      </c>
      <c r="C8" s="22"/>
      <c r="D8" s="22"/>
      <c r="E8" s="22"/>
      <c r="F8" s="22">
        <v>297000</v>
      </c>
      <c r="G8" s="22"/>
      <c r="H8" s="12">
        <f t="shared" si="0"/>
        <v>44663</v>
      </c>
    </row>
    <row r="9" spans="2:11" ht="15.6" x14ac:dyDescent="0.3">
      <c r="B9" s="34" t="s">
        <v>0</v>
      </c>
      <c r="C9" s="60"/>
      <c r="D9" s="60">
        <v>319500</v>
      </c>
      <c r="E9" s="60"/>
      <c r="F9" s="60"/>
      <c r="G9" s="61"/>
      <c r="H9" s="12">
        <f t="shared" si="0"/>
        <v>44663</v>
      </c>
    </row>
    <row r="10" spans="2:11" x14ac:dyDescent="0.3">
      <c r="B10" s="6" t="s">
        <v>25</v>
      </c>
      <c r="C10" s="22">
        <v>108000</v>
      </c>
      <c r="D10" s="57"/>
      <c r="E10" s="57"/>
      <c r="F10" s="22"/>
      <c r="G10" s="22">
        <v>50000</v>
      </c>
      <c r="H10" s="12">
        <f t="shared" si="0"/>
        <v>44663</v>
      </c>
    </row>
    <row r="11" spans="2:11" x14ac:dyDescent="0.3">
      <c r="B11" s="6" t="s">
        <v>15</v>
      </c>
      <c r="C11" s="22">
        <v>324000</v>
      </c>
      <c r="D11" s="22">
        <v>54000</v>
      </c>
      <c r="E11" s="57"/>
      <c r="F11" s="22"/>
      <c r="G11" s="57"/>
      <c r="H11" s="12">
        <f t="shared" si="0"/>
        <v>44663</v>
      </c>
    </row>
    <row r="12" spans="2:11" x14ac:dyDescent="0.3">
      <c r="B12" s="6" t="s">
        <v>54</v>
      </c>
      <c r="C12" s="22"/>
      <c r="D12" s="22"/>
      <c r="E12" s="22"/>
      <c r="F12" s="22"/>
      <c r="G12" s="22"/>
      <c r="H12" s="67">
        <f t="shared" si="0"/>
        <v>44663</v>
      </c>
    </row>
    <row r="13" spans="2:11" x14ac:dyDescent="0.3">
      <c r="B13" s="6" t="s">
        <v>26</v>
      </c>
      <c r="C13" s="22">
        <v>99000</v>
      </c>
      <c r="D13" s="22"/>
      <c r="E13" s="22"/>
      <c r="F13" s="22">
        <v>49500</v>
      </c>
      <c r="G13" s="22">
        <v>153000</v>
      </c>
      <c r="H13" s="12">
        <f t="shared" si="0"/>
        <v>44663</v>
      </c>
    </row>
    <row r="14" spans="2:11" x14ac:dyDescent="0.3">
      <c r="B14" s="6" t="s">
        <v>22</v>
      </c>
      <c r="C14" s="22"/>
      <c r="D14" s="22"/>
      <c r="E14" s="22"/>
      <c r="F14" s="22"/>
      <c r="G14" s="22"/>
      <c r="H14" s="12">
        <f t="shared" si="0"/>
        <v>44663</v>
      </c>
      <c r="K14" s="4"/>
    </row>
    <row r="15" spans="2:11" x14ac:dyDescent="0.3">
      <c r="B15" s="6" t="s">
        <v>61</v>
      </c>
      <c r="C15" s="57"/>
      <c r="D15" s="22"/>
      <c r="E15" s="22"/>
      <c r="F15" s="22"/>
      <c r="G15" s="22"/>
      <c r="H15" s="67">
        <f t="shared" si="0"/>
        <v>44663</v>
      </c>
      <c r="K15" s="4"/>
    </row>
    <row r="16" spans="2:11" x14ac:dyDescent="0.3">
      <c r="B16" s="6" t="s">
        <v>19</v>
      </c>
      <c r="C16" s="23">
        <v>162000</v>
      </c>
      <c r="D16" s="23">
        <v>324000</v>
      </c>
      <c r="E16" s="23"/>
      <c r="F16" s="22"/>
      <c r="G16" s="23">
        <v>162000</v>
      </c>
      <c r="H16" s="12">
        <f t="shared" si="0"/>
        <v>44663</v>
      </c>
    </row>
    <row r="17" spans="2:10" x14ac:dyDescent="0.3">
      <c r="B17" s="6" t="s">
        <v>14</v>
      </c>
      <c r="C17" s="23">
        <v>270000</v>
      </c>
      <c r="D17" s="23">
        <v>108000</v>
      </c>
      <c r="E17" s="23"/>
      <c r="F17" s="22"/>
      <c r="G17" s="23">
        <v>162000</v>
      </c>
      <c r="H17" s="12">
        <f t="shared" si="0"/>
        <v>44663</v>
      </c>
    </row>
    <row r="18" spans="2:10" x14ac:dyDescent="0.3">
      <c r="B18" s="6" t="s">
        <v>24</v>
      </c>
      <c r="C18" s="22"/>
      <c r="D18" s="22"/>
      <c r="E18" s="22"/>
      <c r="F18" s="49"/>
      <c r="G18" s="22"/>
      <c r="H18" s="12">
        <f t="shared" si="0"/>
        <v>44663</v>
      </c>
      <c r="J18" s="1" t="s">
        <v>66</v>
      </c>
    </row>
    <row r="19" spans="2:10" x14ac:dyDescent="0.3">
      <c r="B19" s="6" t="s">
        <v>21</v>
      </c>
      <c r="C19" s="22">
        <v>158000</v>
      </c>
      <c r="D19" s="22"/>
      <c r="E19" s="22"/>
      <c r="F19" s="22"/>
      <c r="G19" s="22"/>
      <c r="H19" s="67">
        <f t="shared" si="0"/>
        <v>44663</v>
      </c>
    </row>
    <row r="20" spans="2:10" x14ac:dyDescent="0.3">
      <c r="B20" s="6" t="s">
        <v>65</v>
      </c>
      <c r="C20" s="22"/>
      <c r="D20" s="22"/>
      <c r="E20" s="22"/>
      <c r="F20" s="22"/>
      <c r="G20" s="22"/>
      <c r="H20" s="12">
        <f t="shared" si="0"/>
        <v>44663</v>
      </c>
    </row>
    <row r="21" spans="2:10" x14ac:dyDescent="0.3">
      <c r="B21" s="6" t="s">
        <v>18</v>
      </c>
      <c r="C21" s="62"/>
      <c r="D21" s="62"/>
      <c r="E21" s="62"/>
      <c r="F21" s="62"/>
      <c r="G21" s="62"/>
      <c r="H21" s="12">
        <f t="shared" si="0"/>
        <v>44663</v>
      </c>
    </row>
    <row r="22" spans="2:10" x14ac:dyDescent="0.3">
      <c r="B22" s="6" t="s">
        <v>16</v>
      </c>
      <c r="C22" s="22"/>
      <c r="D22" s="119"/>
      <c r="E22" s="62"/>
      <c r="F22" s="62"/>
      <c r="G22" s="62"/>
      <c r="H22" s="12">
        <f t="shared" si="0"/>
        <v>44663</v>
      </c>
    </row>
    <row r="23" spans="2:10" x14ac:dyDescent="0.3">
      <c r="B23" s="50" t="s">
        <v>27</v>
      </c>
      <c r="C23" s="51">
        <f>SUM(April12_2022[KSI_AGO])</f>
        <v>1121000</v>
      </c>
      <c r="D23" s="51">
        <f>SUBTOTAL(109,April12_2022[KSI_PMS])</f>
        <v>805500</v>
      </c>
      <c r="E23" s="51">
        <f>SUM(April12_2022[BUIPE_AGO])</f>
        <v>0</v>
      </c>
      <c r="F23" s="51">
        <f>SUM(April12_2022[BUIPE_PMS])</f>
        <v>346500</v>
      </c>
      <c r="G23" s="51">
        <f>SUM(April12_2022[AKOSOMBO_AGO])</f>
        <v>527000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13DA6D7D-98C0-474C-94DD-29A2F22C0A19}">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08447-F72F-4BE9-B875-0308CECA0F9D}">
  <sheetPr codeName="Sheet570"/>
  <dimension ref="B1:K24"/>
  <sheetViews>
    <sheetView topLeftCell="D10" zoomScale="115" zoomScaleNormal="115" workbookViewId="0">
      <selection activeCell="C13" sqref="C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44664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44664</v>
      </c>
    </row>
    <row r="7" spans="2:11" ht="16.5" customHeight="1" x14ac:dyDescent="0.3">
      <c r="B7" s="6" t="s">
        <v>37</v>
      </c>
      <c r="C7" s="62"/>
      <c r="D7" s="62"/>
      <c r="E7" s="62"/>
      <c r="F7" s="62"/>
      <c r="G7" s="62"/>
      <c r="H7" s="67">
        <f t="shared" si="0"/>
        <v>44664</v>
      </c>
    </row>
    <row r="8" spans="2:11" x14ac:dyDescent="0.3">
      <c r="B8" s="6" t="s">
        <v>17</v>
      </c>
      <c r="C8" s="22"/>
      <c r="D8" s="22">
        <v>99000</v>
      </c>
      <c r="E8" s="22"/>
      <c r="F8" s="22"/>
      <c r="G8" s="22"/>
      <c r="H8" s="12">
        <f t="shared" si="0"/>
        <v>44664</v>
      </c>
    </row>
    <row r="9" spans="2:11" ht="15.6" x14ac:dyDescent="0.3">
      <c r="B9" s="34" t="s">
        <v>0</v>
      </c>
      <c r="C9" s="60"/>
      <c r="D9" s="60">
        <v>216000</v>
      </c>
      <c r="E9" s="60"/>
      <c r="F9" s="60"/>
      <c r="G9" s="61"/>
      <c r="H9" s="12">
        <f t="shared" si="0"/>
        <v>44664</v>
      </c>
    </row>
    <row r="10" spans="2:11" x14ac:dyDescent="0.3">
      <c r="B10" s="6" t="s">
        <v>25</v>
      </c>
      <c r="C10" s="22">
        <v>108000</v>
      </c>
      <c r="D10" s="57"/>
      <c r="E10" s="57"/>
      <c r="F10" s="22"/>
      <c r="G10" s="22"/>
      <c r="H10" s="12">
        <f t="shared" si="0"/>
        <v>44664</v>
      </c>
    </row>
    <row r="11" spans="2:11" x14ac:dyDescent="0.3">
      <c r="B11" s="6" t="s">
        <v>15</v>
      </c>
      <c r="C11" s="22">
        <v>103500</v>
      </c>
      <c r="D11" s="22"/>
      <c r="E11" s="57"/>
      <c r="F11" s="22"/>
      <c r="G11" s="57"/>
      <c r="H11" s="12">
        <f t="shared" si="0"/>
        <v>44664</v>
      </c>
    </row>
    <row r="12" spans="2:11" x14ac:dyDescent="0.3">
      <c r="B12" s="6" t="s">
        <v>54</v>
      </c>
      <c r="C12" s="22"/>
      <c r="D12" s="22"/>
      <c r="E12" s="22"/>
      <c r="F12" s="22"/>
      <c r="G12" s="22"/>
      <c r="H12" s="67">
        <f t="shared" si="0"/>
        <v>44664</v>
      </c>
    </row>
    <row r="13" spans="2:11" x14ac:dyDescent="0.3">
      <c r="B13" s="6" t="s">
        <v>26</v>
      </c>
      <c r="C13" s="22">
        <v>162000</v>
      </c>
      <c r="D13" s="22"/>
      <c r="E13" s="22"/>
      <c r="F13" s="22"/>
      <c r="G13" s="22">
        <v>324000</v>
      </c>
      <c r="H13" s="12">
        <f t="shared" si="0"/>
        <v>44664</v>
      </c>
    </row>
    <row r="14" spans="2:11" x14ac:dyDescent="0.3">
      <c r="B14" s="6" t="s">
        <v>22</v>
      </c>
      <c r="C14" s="22"/>
      <c r="D14" s="22"/>
      <c r="E14" s="22"/>
      <c r="F14" s="22"/>
      <c r="G14" s="22"/>
      <c r="H14" s="12">
        <f t="shared" si="0"/>
        <v>44664</v>
      </c>
      <c r="K14" s="4"/>
    </row>
    <row r="15" spans="2:11" x14ac:dyDescent="0.3">
      <c r="B15" s="6" t="s">
        <v>61</v>
      </c>
      <c r="C15" s="57"/>
      <c r="D15" s="22"/>
      <c r="E15" s="22"/>
      <c r="F15" s="22"/>
      <c r="G15" s="22"/>
      <c r="H15" s="67">
        <f t="shared" si="0"/>
        <v>44664</v>
      </c>
      <c r="K15" s="4"/>
    </row>
    <row r="16" spans="2:11" x14ac:dyDescent="0.3">
      <c r="B16" s="6" t="s">
        <v>19</v>
      </c>
      <c r="C16" s="23"/>
      <c r="D16" s="23">
        <v>540000</v>
      </c>
      <c r="E16" s="23"/>
      <c r="F16" s="22"/>
      <c r="G16" s="23">
        <v>108000</v>
      </c>
      <c r="H16" s="12">
        <f t="shared" si="0"/>
        <v>44664</v>
      </c>
    </row>
    <row r="17" spans="2:10" x14ac:dyDescent="0.3">
      <c r="B17" s="6" t="s">
        <v>14</v>
      </c>
      <c r="C17" s="23">
        <v>108000</v>
      </c>
      <c r="D17" s="23">
        <v>108000</v>
      </c>
      <c r="E17" s="23"/>
      <c r="F17" s="22"/>
      <c r="G17" s="23">
        <v>54000</v>
      </c>
      <c r="H17" s="12">
        <f t="shared" si="0"/>
        <v>44664</v>
      </c>
    </row>
    <row r="18" spans="2:10" x14ac:dyDescent="0.3">
      <c r="B18" s="6" t="s">
        <v>24</v>
      </c>
      <c r="C18" s="22"/>
      <c r="D18" s="22"/>
      <c r="E18" s="22"/>
      <c r="F18" s="49"/>
      <c r="G18" s="22"/>
      <c r="H18" s="12">
        <f t="shared" si="0"/>
        <v>44664</v>
      </c>
      <c r="J18" s="1" t="s">
        <v>66</v>
      </c>
    </row>
    <row r="19" spans="2:10" x14ac:dyDescent="0.3">
      <c r="B19" s="6" t="s">
        <v>21</v>
      </c>
      <c r="C19" s="22">
        <v>54000</v>
      </c>
      <c r="D19" s="22"/>
      <c r="E19" s="22"/>
      <c r="F19" s="22"/>
      <c r="G19" s="22"/>
      <c r="H19" s="67">
        <f t="shared" si="0"/>
        <v>44664</v>
      </c>
    </row>
    <row r="20" spans="2:10" x14ac:dyDescent="0.3">
      <c r="B20" s="6" t="s">
        <v>65</v>
      </c>
      <c r="C20" s="22"/>
      <c r="D20" s="22"/>
      <c r="E20" s="22"/>
      <c r="F20" s="22"/>
      <c r="G20" s="22"/>
      <c r="H20" s="12">
        <f t="shared" si="0"/>
        <v>44664</v>
      </c>
    </row>
    <row r="21" spans="2:10" x14ac:dyDescent="0.3">
      <c r="B21" s="6" t="s">
        <v>18</v>
      </c>
      <c r="C21" s="62"/>
      <c r="D21" s="62"/>
      <c r="E21" s="62"/>
      <c r="F21" s="62"/>
      <c r="G21" s="62"/>
      <c r="H21" s="12">
        <f t="shared" si="0"/>
        <v>44664</v>
      </c>
    </row>
    <row r="22" spans="2:10" x14ac:dyDescent="0.3">
      <c r="B22" s="6" t="s">
        <v>16</v>
      </c>
      <c r="C22" s="22"/>
      <c r="D22" s="119"/>
      <c r="E22" s="62"/>
      <c r="F22" s="62"/>
      <c r="G22" s="62"/>
      <c r="H22" s="12">
        <f t="shared" si="0"/>
        <v>44664</v>
      </c>
    </row>
    <row r="23" spans="2:10" x14ac:dyDescent="0.3">
      <c r="B23" s="50" t="s">
        <v>27</v>
      </c>
      <c r="C23" s="51">
        <f>SUM(April13_2022[KSI_AGO])</f>
        <v>535500</v>
      </c>
      <c r="D23" s="51">
        <f>SUBTOTAL(109,April13_2022[KSI_PMS])</f>
        <v>963000</v>
      </c>
      <c r="E23" s="51">
        <f>SUM(April13_2022[BUIPE_AGO])</f>
        <v>0</v>
      </c>
      <c r="F23" s="51">
        <f>SUM(April13_2022[BUIPE_PMS])</f>
        <v>0</v>
      </c>
      <c r="G23" s="51">
        <f>SUM(April13_2022[AKOSOMBO_AGO])</f>
        <v>486000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71FC97AF-5099-459B-9B3B-D60EB8C9B800}">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39A4-0EDE-4234-BD1F-B7C3433AD417}">
  <sheetPr codeName="Sheet571"/>
  <dimension ref="B1:K24"/>
  <sheetViews>
    <sheetView topLeftCell="D4" zoomScale="116" zoomScaleNormal="115" workbookViewId="0">
      <selection activeCell="G11" sqref="G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44665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44665</v>
      </c>
    </row>
    <row r="7" spans="2:11" ht="16.5" customHeight="1" x14ac:dyDescent="0.3">
      <c r="B7" s="6" t="s">
        <v>37</v>
      </c>
      <c r="C7" s="62"/>
      <c r="D7" s="62"/>
      <c r="E7" s="62"/>
      <c r="F7" s="62"/>
      <c r="G7" s="62"/>
      <c r="H7" s="67">
        <f t="shared" si="0"/>
        <v>44665</v>
      </c>
    </row>
    <row r="8" spans="2:11" x14ac:dyDescent="0.3">
      <c r="B8" s="6" t="s">
        <v>17</v>
      </c>
      <c r="C8" s="22"/>
      <c r="D8" s="22">
        <v>162000</v>
      </c>
      <c r="E8" s="22"/>
      <c r="F8" s="22"/>
      <c r="G8" s="22"/>
      <c r="H8" s="12">
        <f t="shared" si="0"/>
        <v>44665</v>
      </c>
    </row>
    <row r="9" spans="2:11" ht="15.6" x14ac:dyDescent="0.3">
      <c r="B9" s="34" t="s">
        <v>0</v>
      </c>
      <c r="C9" s="60"/>
      <c r="D9" s="60">
        <v>270000</v>
      </c>
      <c r="E9" s="60"/>
      <c r="F9" s="60"/>
      <c r="G9" s="61"/>
      <c r="H9" s="12">
        <f t="shared" si="0"/>
        <v>44665</v>
      </c>
    </row>
    <row r="10" spans="2:11" x14ac:dyDescent="0.3">
      <c r="B10" s="6" t="s">
        <v>25</v>
      </c>
      <c r="C10" s="22">
        <v>162000</v>
      </c>
      <c r="D10" s="57"/>
      <c r="E10" s="57"/>
      <c r="F10" s="22"/>
      <c r="G10" s="22"/>
      <c r="H10" s="12">
        <f t="shared" si="0"/>
        <v>44665</v>
      </c>
    </row>
    <row r="11" spans="2:11" x14ac:dyDescent="0.3">
      <c r="B11" s="6" t="s">
        <v>15</v>
      </c>
      <c r="C11" s="22">
        <v>216000</v>
      </c>
      <c r="D11" s="22">
        <v>162000</v>
      </c>
      <c r="E11" s="57"/>
      <c r="F11" s="22"/>
      <c r="G11" s="57"/>
      <c r="H11" s="12">
        <f t="shared" si="0"/>
        <v>44665</v>
      </c>
    </row>
    <row r="12" spans="2:11" x14ac:dyDescent="0.3">
      <c r="B12" s="6" t="s">
        <v>54</v>
      </c>
      <c r="C12" s="22"/>
      <c r="D12" s="22"/>
      <c r="E12" s="22"/>
      <c r="F12" s="22"/>
      <c r="G12" s="22"/>
      <c r="H12" s="67">
        <f t="shared" si="0"/>
        <v>44665</v>
      </c>
    </row>
    <row r="13" spans="2:11" x14ac:dyDescent="0.3">
      <c r="B13" s="6" t="s">
        <v>26</v>
      </c>
      <c r="C13" s="22">
        <v>108000</v>
      </c>
      <c r="D13" s="22"/>
      <c r="E13" s="22"/>
      <c r="F13" s="22"/>
      <c r="G13" s="22"/>
      <c r="H13" s="12">
        <f t="shared" si="0"/>
        <v>44665</v>
      </c>
    </row>
    <row r="14" spans="2:11" x14ac:dyDescent="0.3">
      <c r="B14" s="6" t="s">
        <v>22</v>
      </c>
      <c r="C14" s="22"/>
      <c r="D14" s="22"/>
      <c r="E14" s="22"/>
      <c r="F14" s="22"/>
      <c r="G14" s="22"/>
      <c r="H14" s="12">
        <f t="shared" si="0"/>
        <v>44665</v>
      </c>
      <c r="K14" s="4"/>
    </row>
    <row r="15" spans="2:11" x14ac:dyDescent="0.3">
      <c r="B15" s="6" t="s">
        <v>61</v>
      </c>
      <c r="C15" s="57"/>
      <c r="D15" s="22"/>
      <c r="E15" s="22"/>
      <c r="F15" s="22"/>
      <c r="G15" s="22"/>
      <c r="H15" s="67">
        <f t="shared" si="0"/>
        <v>44665</v>
      </c>
      <c r="K15" s="4"/>
    </row>
    <row r="16" spans="2:11" x14ac:dyDescent="0.3">
      <c r="B16" s="6" t="s">
        <v>19</v>
      </c>
      <c r="C16" s="23">
        <v>270000</v>
      </c>
      <c r="D16" s="23">
        <v>360000</v>
      </c>
      <c r="E16" s="23"/>
      <c r="F16" s="22"/>
      <c r="G16" s="23"/>
      <c r="H16" s="12">
        <f t="shared" si="0"/>
        <v>44665</v>
      </c>
    </row>
    <row r="17" spans="2:10" x14ac:dyDescent="0.3">
      <c r="B17" s="6" t="s">
        <v>14</v>
      </c>
      <c r="C17" s="23">
        <v>270000</v>
      </c>
      <c r="D17" s="23">
        <v>54000</v>
      </c>
      <c r="E17" s="23"/>
      <c r="F17" s="22"/>
      <c r="G17" s="23"/>
      <c r="H17" s="12">
        <f t="shared" si="0"/>
        <v>44665</v>
      </c>
    </row>
    <row r="18" spans="2:10" x14ac:dyDescent="0.3">
      <c r="B18" s="6" t="s">
        <v>24</v>
      </c>
      <c r="C18" s="22"/>
      <c r="D18" s="22"/>
      <c r="E18" s="22"/>
      <c r="F18" s="49"/>
      <c r="G18" s="22"/>
      <c r="H18" s="12">
        <f t="shared" si="0"/>
        <v>44665</v>
      </c>
      <c r="J18" s="1" t="s">
        <v>66</v>
      </c>
    </row>
    <row r="19" spans="2:10" x14ac:dyDescent="0.3">
      <c r="B19" s="6" t="s">
        <v>21</v>
      </c>
      <c r="C19" s="22">
        <v>216000</v>
      </c>
      <c r="D19" s="22"/>
      <c r="E19" s="22"/>
      <c r="F19" s="22"/>
      <c r="G19" s="22"/>
      <c r="H19" s="67">
        <f t="shared" si="0"/>
        <v>44665</v>
      </c>
    </row>
    <row r="20" spans="2:10" x14ac:dyDescent="0.3">
      <c r="B20" s="6" t="s">
        <v>65</v>
      </c>
      <c r="C20" s="22"/>
      <c r="D20" s="22"/>
      <c r="E20" s="22"/>
      <c r="F20" s="22"/>
      <c r="G20" s="22"/>
      <c r="H20" s="12">
        <f t="shared" si="0"/>
        <v>44665</v>
      </c>
    </row>
    <row r="21" spans="2:10" x14ac:dyDescent="0.3">
      <c r="B21" s="6" t="s">
        <v>18</v>
      </c>
      <c r="C21" s="62"/>
      <c r="D21" s="62"/>
      <c r="E21" s="62"/>
      <c r="F21" s="62"/>
      <c r="G21" s="62"/>
      <c r="H21" s="12">
        <f t="shared" si="0"/>
        <v>44665</v>
      </c>
    </row>
    <row r="22" spans="2:10" x14ac:dyDescent="0.3">
      <c r="B22" s="6" t="s">
        <v>16</v>
      </c>
      <c r="C22" s="22"/>
      <c r="D22" s="119">
        <v>45000</v>
      </c>
      <c r="E22" s="62"/>
      <c r="F22" s="62"/>
      <c r="G22" s="62"/>
      <c r="H22" s="12">
        <f t="shared" si="0"/>
        <v>44665</v>
      </c>
    </row>
    <row r="23" spans="2:10" x14ac:dyDescent="0.3">
      <c r="B23" s="50" t="s">
        <v>27</v>
      </c>
      <c r="C23" s="51">
        <f>SUM(April14_2022[KSI_AGO])</f>
        <v>1242000</v>
      </c>
      <c r="D23" s="51">
        <f>SUBTOTAL(109,April14_2022[KSI_PMS])</f>
        <v>1053000</v>
      </c>
      <c r="E23" s="51">
        <f>SUM(April14_2022[BUIPE_AGO])</f>
        <v>0</v>
      </c>
      <c r="F23" s="51">
        <f>SUM(April14_2022[BUIPE_PMS])</f>
        <v>0</v>
      </c>
      <c r="G23" s="51">
        <f>SUM(April14_2022[AKOSOMBO_AGO])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C568C87-66CF-4051-BB6C-8BFA2FA38DD0}">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54F0-4215-40E5-B1F0-EB20F0EBCE89}">
  <sheetPr codeName="Sheet572"/>
  <dimension ref="B1:K24"/>
  <sheetViews>
    <sheetView zoomScale="116" zoomScaleNormal="115" workbookViewId="0">
      <pane xSplit="2" ySplit="5" topLeftCell="G12" activePane="bottomRight" state="frozen"/>
      <selection pane="topRight" activeCell="C1" sqref="C1"/>
      <selection pane="bottomLeft" activeCell="A6" sqref="A6"/>
      <selection pane="bottomRight"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44670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44670</v>
      </c>
    </row>
    <row r="7" spans="2:11" ht="16.5" customHeight="1" x14ac:dyDescent="0.3">
      <c r="B7" s="6" t="s">
        <v>37</v>
      </c>
      <c r="C7" s="62"/>
      <c r="D7" s="62"/>
      <c r="E7" s="62"/>
      <c r="F7" s="62"/>
      <c r="G7" s="62"/>
      <c r="H7" s="67">
        <f t="shared" si="0"/>
        <v>44670</v>
      </c>
    </row>
    <row r="8" spans="2:11" x14ac:dyDescent="0.3">
      <c r="B8" s="6" t="s">
        <v>17</v>
      </c>
      <c r="C8" s="22">
        <v>211500</v>
      </c>
      <c r="D8" s="22">
        <v>535500</v>
      </c>
      <c r="E8" s="22"/>
      <c r="F8" s="22"/>
      <c r="G8" s="22"/>
      <c r="H8" s="12">
        <f t="shared" si="0"/>
        <v>44670</v>
      </c>
    </row>
    <row r="9" spans="2:11" ht="15.6" x14ac:dyDescent="0.3">
      <c r="B9" s="34" t="s">
        <v>0</v>
      </c>
      <c r="C9" s="60"/>
      <c r="D9" s="60">
        <v>1026000</v>
      </c>
      <c r="E9" s="60"/>
      <c r="F9" s="60"/>
      <c r="G9" s="61"/>
      <c r="H9" s="12">
        <f t="shared" si="0"/>
        <v>44670</v>
      </c>
    </row>
    <row r="10" spans="2:11" x14ac:dyDescent="0.3">
      <c r="B10" s="6" t="s">
        <v>25</v>
      </c>
      <c r="C10" s="22">
        <v>481500</v>
      </c>
      <c r="D10" s="57"/>
      <c r="E10" s="57"/>
      <c r="F10" s="22"/>
      <c r="G10" s="22">
        <v>108000</v>
      </c>
      <c r="H10" s="12">
        <f t="shared" si="0"/>
        <v>44670</v>
      </c>
    </row>
    <row r="11" spans="2:11" x14ac:dyDescent="0.3">
      <c r="B11" s="6" t="s">
        <v>15</v>
      </c>
      <c r="C11" s="22">
        <v>103500</v>
      </c>
      <c r="D11" s="22">
        <v>49500</v>
      </c>
      <c r="E11" s="57"/>
      <c r="F11" s="22"/>
      <c r="G11" s="57"/>
      <c r="H11" s="12">
        <f t="shared" si="0"/>
        <v>44670</v>
      </c>
    </row>
    <row r="12" spans="2:11" x14ac:dyDescent="0.3">
      <c r="B12" s="6" t="s">
        <v>54</v>
      </c>
      <c r="C12" s="22"/>
      <c r="D12" s="22"/>
      <c r="E12" s="22"/>
      <c r="F12" s="22"/>
      <c r="G12" s="22"/>
      <c r="H12" s="67">
        <f t="shared" si="0"/>
        <v>44670</v>
      </c>
    </row>
    <row r="13" spans="2:11" x14ac:dyDescent="0.3">
      <c r="B13" s="6" t="s">
        <v>26</v>
      </c>
      <c r="C13" s="22"/>
      <c r="D13" s="22"/>
      <c r="E13" s="22"/>
      <c r="F13" s="22">
        <v>149000</v>
      </c>
      <c r="G13" s="22">
        <v>108000</v>
      </c>
      <c r="H13" s="12">
        <f t="shared" si="0"/>
        <v>44670</v>
      </c>
    </row>
    <row r="14" spans="2:11" x14ac:dyDescent="0.3">
      <c r="B14" s="6" t="s">
        <v>22</v>
      </c>
      <c r="C14" s="22"/>
      <c r="D14" s="22"/>
      <c r="E14" s="22"/>
      <c r="F14" s="22"/>
      <c r="G14" s="22"/>
      <c r="H14" s="12">
        <f t="shared" si="0"/>
        <v>44670</v>
      </c>
      <c r="K14" s="4"/>
    </row>
    <row r="15" spans="2:11" x14ac:dyDescent="0.3">
      <c r="B15" s="6" t="s">
        <v>61</v>
      </c>
      <c r="C15" s="57"/>
      <c r="D15" s="22"/>
      <c r="E15" s="22"/>
      <c r="F15" s="22"/>
      <c r="G15" s="22"/>
      <c r="H15" s="67">
        <f t="shared" si="0"/>
        <v>44670</v>
      </c>
      <c r="K15" s="4"/>
    </row>
    <row r="16" spans="2:11" x14ac:dyDescent="0.3">
      <c r="B16" s="6" t="s">
        <v>19</v>
      </c>
      <c r="C16" s="23">
        <v>324000</v>
      </c>
      <c r="D16" s="23"/>
      <c r="E16" s="23"/>
      <c r="F16" s="22"/>
      <c r="G16" s="23">
        <v>216000</v>
      </c>
      <c r="H16" s="12">
        <f t="shared" si="0"/>
        <v>44670</v>
      </c>
    </row>
    <row r="17" spans="2:10" x14ac:dyDescent="0.3">
      <c r="B17" s="6" t="s">
        <v>14</v>
      </c>
      <c r="C17" s="23">
        <v>427500</v>
      </c>
      <c r="D17" s="23">
        <v>162000</v>
      </c>
      <c r="E17" s="23"/>
      <c r="F17" s="22"/>
      <c r="G17" s="23">
        <v>162000</v>
      </c>
      <c r="H17" s="12">
        <f t="shared" si="0"/>
        <v>44670</v>
      </c>
    </row>
    <row r="18" spans="2:10" x14ac:dyDescent="0.3">
      <c r="B18" s="6" t="s">
        <v>24</v>
      </c>
      <c r="C18" s="22"/>
      <c r="D18" s="22"/>
      <c r="E18" s="22"/>
      <c r="F18" s="49"/>
      <c r="G18" s="22"/>
      <c r="H18" s="12">
        <f t="shared" si="0"/>
        <v>44670</v>
      </c>
      <c r="J18" s="1" t="s">
        <v>66</v>
      </c>
    </row>
    <row r="19" spans="2:10" x14ac:dyDescent="0.3">
      <c r="B19" s="6" t="s">
        <v>21</v>
      </c>
      <c r="C19" s="22">
        <v>265500</v>
      </c>
      <c r="D19" s="22"/>
      <c r="E19" s="22"/>
      <c r="F19" s="22"/>
      <c r="G19" s="22"/>
      <c r="H19" s="67">
        <f t="shared" si="0"/>
        <v>44670</v>
      </c>
    </row>
    <row r="20" spans="2:10" x14ac:dyDescent="0.3">
      <c r="B20" s="6" t="s">
        <v>65</v>
      </c>
      <c r="C20" s="22"/>
      <c r="D20" s="22"/>
      <c r="E20" s="22"/>
      <c r="F20" s="22"/>
      <c r="G20" s="22"/>
      <c r="H20" s="12">
        <f t="shared" si="0"/>
        <v>44670</v>
      </c>
    </row>
    <row r="21" spans="2:10" x14ac:dyDescent="0.3">
      <c r="B21" s="6" t="s">
        <v>18</v>
      </c>
      <c r="C21" s="62"/>
      <c r="D21" s="62"/>
      <c r="E21" s="62"/>
      <c r="F21" s="62"/>
      <c r="G21" s="62"/>
      <c r="H21" s="12">
        <f t="shared" si="0"/>
        <v>44670</v>
      </c>
    </row>
    <row r="22" spans="2:10" x14ac:dyDescent="0.3">
      <c r="B22" s="6" t="s">
        <v>16</v>
      </c>
      <c r="C22" s="22"/>
      <c r="D22" s="119"/>
      <c r="E22" s="62"/>
      <c r="F22" s="62"/>
      <c r="G22" s="62"/>
      <c r="H22" s="12">
        <f t="shared" si="0"/>
        <v>44670</v>
      </c>
    </row>
    <row r="23" spans="2:10" x14ac:dyDescent="0.3">
      <c r="B23" s="50" t="s">
        <v>27</v>
      </c>
      <c r="C23" s="51">
        <f>SUM(April19_2022[KSI_AGO])</f>
        <v>1813500</v>
      </c>
      <c r="D23" s="51">
        <f>SUBTOTAL(109,April19_2022[KSI_PMS])</f>
        <v>1773000</v>
      </c>
      <c r="E23" s="51">
        <f>SUM(April19_2022[BUIPE_AGO])</f>
        <v>0</v>
      </c>
      <c r="F23" s="51">
        <f>SUM(April19_2022[BUIPE_PMS])</f>
        <v>149000</v>
      </c>
      <c r="G23" s="51">
        <f>SUM(April19_2022[AKOSOMBO_AGO])</f>
        <v>594000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29E09B43-FE7E-4F0B-AF55-1FD7BC1D4420}">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6608-F686-4287-A924-6B10B99A787E}">
  <sheetPr codeName="Sheet573"/>
  <dimension ref="B1:K24"/>
  <sheetViews>
    <sheetView zoomScale="116" zoomScaleNormal="115" workbookViewId="0">
      <pane xSplit="2" ySplit="5" topLeftCell="G15" activePane="bottomRight" state="frozen"/>
      <selection pane="topRight" activeCell="C1" sqref="C1"/>
      <selection pane="bottomLeft" activeCell="A6" sqref="A6"/>
      <selection pane="bottomRight" activeCell="G17" sqref="G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44671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44671</v>
      </c>
    </row>
    <row r="7" spans="2:11" ht="16.5" customHeight="1" x14ac:dyDescent="0.3">
      <c r="B7" s="6" t="s">
        <v>37</v>
      </c>
      <c r="C7" s="62"/>
      <c r="D7" s="62"/>
      <c r="E7" s="62"/>
      <c r="F7" s="62"/>
      <c r="G7" s="62"/>
      <c r="H7" s="67">
        <f t="shared" si="0"/>
        <v>44671</v>
      </c>
    </row>
    <row r="8" spans="2:11" x14ac:dyDescent="0.3">
      <c r="B8" s="6" t="s">
        <v>17</v>
      </c>
      <c r="C8" s="22">
        <v>49500</v>
      </c>
      <c r="D8" s="22"/>
      <c r="E8" s="22"/>
      <c r="F8" s="22"/>
      <c r="G8" s="22"/>
      <c r="H8" s="12">
        <f t="shared" si="0"/>
        <v>44671</v>
      </c>
    </row>
    <row r="9" spans="2:11" ht="15.6" x14ac:dyDescent="0.3">
      <c r="B9" s="34" t="s">
        <v>0</v>
      </c>
      <c r="C9" s="60"/>
      <c r="D9" s="60">
        <v>1399500</v>
      </c>
      <c r="E9" s="60"/>
      <c r="F9" s="60"/>
      <c r="G9" s="61"/>
      <c r="H9" s="12">
        <f t="shared" si="0"/>
        <v>44671</v>
      </c>
    </row>
    <row r="10" spans="2:11" x14ac:dyDescent="0.3">
      <c r="B10" s="6" t="s">
        <v>25</v>
      </c>
      <c r="C10" s="22">
        <v>427500</v>
      </c>
      <c r="D10" s="57"/>
      <c r="E10" s="57"/>
      <c r="F10" s="22"/>
      <c r="G10" s="22">
        <v>54000</v>
      </c>
      <c r="H10" s="12">
        <f t="shared" si="0"/>
        <v>44671</v>
      </c>
    </row>
    <row r="11" spans="2:11" x14ac:dyDescent="0.3">
      <c r="B11" s="6" t="s">
        <v>15</v>
      </c>
      <c r="C11" s="22"/>
      <c r="D11" s="22">
        <v>49500</v>
      </c>
      <c r="E11" s="57"/>
      <c r="F11" s="22"/>
      <c r="G11" s="57"/>
      <c r="H11" s="12">
        <f t="shared" si="0"/>
        <v>44671</v>
      </c>
    </row>
    <row r="12" spans="2:11" x14ac:dyDescent="0.3">
      <c r="B12" s="6" t="s">
        <v>54</v>
      </c>
      <c r="C12" s="22"/>
      <c r="D12" s="22"/>
      <c r="E12" s="22"/>
      <c r="F12" s="22"/>
      <c r="G12" s="22"/>
      <c r="H12" s="67">
        <f t="shared" si="0"/>
        <v>44671</v>
      </c>
    </row>
    <row r="13" spans="2:11" x14ac:dyDescent="0.3">
      <c r="B13" s="6" t="s">
        <v>26</v>
      </c>
      <c r="C13" s="22"/>
      <c r="D13" s="22"/>
      <c r="E13" s="22"/>
      <c r="F13" s="22"/>
      <c r="G13" s="22">
        <v>54000</v>
      </c>
      <c r="H13" s="12">
        <f t="shared" si="0"/>
        <v>44671</v>
      </c>
    </row>
    <row r="14" spans="2:11" x14ac:dyDescent="0.3">
      <c r="B14" s="6" t="s">
        <v>22</v>
      </c>
      <c r="C14" s="22"/>
      <c r="D14" s="22"/>
      <c r="E14" s="22"/>
      <c r="F14" s="22"/>
      <c r="G14" s="22"/>
      <c r="H14" s="12">
        <f t="shared" si="0"/>
        <v>44671</v>
      </c>
      <c r="K14" s="4"/>
    </row>
    <row r="15" spans="2:11" x14ac:dyDescent="0.3">
      <c r="B15" s="6" t="s">
        <v>61</v>
      </c>
      <c r="C15" s="57"/>
      <c r="D15" s="22"/>
      <c r="E15" s="22"/>
      <c r="F15" s="22"/>
      <c r="G15" s="22"/>
      <c r="H15" s="67">
        <f t="shared" si="0"/>
        <v>44671</v>
      </c>
      <c r="K15" s="4"/>
    </row>
    <row r="16" spans="2:11" x14ac:dyDescent="0.3">
      <c r="B16" s="6" t="s">
        <v>19</v>
      </c>
      <c r="C16" s="23">
        <v>161500</v>
      </c>
      <c r="D16" s="23"/>
      <c r="E16" s="23"/>
      <c r="F16" s="22"/>
      <c r="G16" s="23">
        <v>108000</v>
      </c>
      <c r="H16" s="12">
        <f t="shared" si="0"/>
        <v>44671</v>
      </c>
    </row>
    <row r="17" spans="2:10" x14ac:dyDescent="0.3">
      <c r="B17" s="6" t="s">
        <v>14</v>
      </c>
      <c r="C17" s="23">
        <v>1026000</v>
      </c>
      <c r="D17" s="23"/>
      <c r="E17" s="23"/>
      <c r="F17" s="22">
        <v>54000</v>
      </c>
      <c r="G17" s="23">
        <v>54000</v>
      </c>
      <c r="H17" s="12">
        <f t="shared" si="0"/>
        <v>44671</v>
      </c>
    </row>
    <row r="18" spans="2:10" x14ac:dyDescent="0.3">
      <c r="B18" s="6" t="s">
        <v>24</v>
      </c>
      <c r="C18" s="22"/>
      <c r="D18" s="22"/>
      <c r="E18" s="22"/>
      <c r="F18" s="49"/>
      <c r="G18" s="22"/>
      <c r="H18" s="12">
        <f t="shared" si="0"/>
        <v>44671</v>
      </c>
      <c r="J18" s="1" t="s">
        <v>66</v>
      </c>
    </row>
    <row r="19" spans="2:10" x14ac:dyDescent="0.3">
      <c r="B19" s="6" t="s">
        <v>21</v>
      </c>
      <c r="C19" s="22">
        <v>324000</v>
      </c>
      <c r="D19" s="22"/>
      <c r="E19" s="22"/>
      <c r="F19" s="22"/>
      <c r="G19" s="22"/>
      <c r="H19" s="67">
        <f t="shared" si="0"/>
        <v>44671</v>
      </c>
    </row>
    <row r="20" spans="2:10" x14ac:dyDescent="0.3">
      <c r="B20" s="6" t="s">
        <v>65</v>
      </c>
      <c r="C20" s="22"/>
      <c r="D20" s="22"/>
      <c r="E20" s="22"/>
      <c r="F20" s="22"/>
      <c r="G20" s="22"/>
      <c r="H20" s="12">
        <f t="shared" si="0"/>
        <v>44671</v>
      </c>
    </row>
    <row r="21" spans="2:10" x14ac:dyDescent="0.3">
      <c r="B21" s="6" t="s">
        <v>18</v>
      </c>
      <c r="C21" s="62"/>
      <c r="D21" s="62"/>
      <c r="E21" s="62"/>
      <c r="F21" s="62"/>
      <c r="G21" s="62"/>
      <c r="H21" s="12">
        <f t="shared" si="0"/>
        <v>44671</v>
      </c>
    </row>
    <row r="22" spans="2:10" x14ac:dyDescent="0.3">
      <c r="B22" s="6" t="s">
        <v>16</v>
      </c>
      <c r="C22" s="22">
        <v>90000</v>
      </c>
      <c r="D22" s="119"/>
      <c r="E22" s="62"/>
      <c r="F22" s="62"/>
      <c r="G22" s="62"/>
      <c r="H22" s="12">
        <f t="shared" si="0"/>
        <v>44671</v>
      </c>
    </row>
    <row r="23" spans="2:10" x14ac:dyDescent="0.3">
      <c r="B23" s="50" t="s">
        <v>27</v>
      </c>
      <c r="C23" s="51">
        <f>SUM(April20_2022[KSI_AGO])</f>
        <v>2078500</v>
      </c>
      <c r="D23" s="51">
        <f>SUBTOTAL(109,April20_2022[KSI_PMS])</f>
        <v>1449000</v>
      </c>
      <c r="E23" s="51">
        <f>SUM(April20_2022[BUIPE_AGO])</f>
        <v>0</v>
      </c>
      <c r="F23" s="51">
        <f>SUM(April20_2022[BUIPE_PMS])</f>
        <v>54000</v>
      </c>
      <c r="G23" s="51">
        <f>SUM(April20_2022[AKOSOMBO_AGO])</f>
        <v>270000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E5CAB2AD-75B6-46CD-A889-FB6A49D59124}">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36B0E-C69A-4198-AD4A-CF5B13D1D7DF}">
  <sheetPr codeName="Sheet574"/>
  <dimension ref="B1:K24"/>
  <sheetViews>
    <sheetView zoomScale="116" zoomScaleNormal="115" workbookViewId="0">
      <pane xSplit="2" ySplit="5" topLeftCell="G6" activePane="bottomRight" state="frozen"/>
      <selection pane="topRight" activeCell="C1" sqref="C1"/>
      <selection pane="bottomLeft" activeCell="A6" sqref="A6"/>
      <selection pane="bottomRight"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44672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44672</v>
      </c>
    </row>
    <row r="7" spans="2:11" ht="16.5" customHeight="1" x14ac:dyDescent="0.3">
      <c r="B7" s="6" t="s">
        <v>37</v>
      </c>
      <c r="C7" s="62"/>
      <c r="D7" s="62"/>
      <c r="E7" s="62"/>
      <c r="F7" s="62"/>
      <c r="G7" s="62"/>
      <c r="H7" s="67">
        <f t="shared" si="0"/>
        <v>44672</v>
      </c>
    </row>
    <row r="8" spans="2:11" x14ac:dyDescent="0.3">
      <c r="B8" s="6" t="s">
        <v>17</v>
      </c>
      <c r="C8" s="22">
        <v>107500</v>
      </c>
      <c r="D8" s="22"/>
      <c r="E8" s="22"/>
      <c r="F8" s="22"/>
      <c r="G8" s="22"/>
      <c r="H8" s="12">
        <f t="shared" si="0"/>
        <v>44672</v>
      </c>
    </row>
    <row r="9" spans="2:11" ht="15.6" x14ac:dyDescent="0.3">
      <c r="B9" s="34" t="s">
        <v>0</v>
      </c>
      <c r="C9" s="60"/>
      <c r="D9" s="60">
        <v>702000</v>
      </c>
      <c r="E9" s="60"/>
      <c r="F9" s="60"/>
      <c r="G9" s="61"/>
      <c r="H9" s="12">
        <f t="shared" si="0"/>
        <v>44672</v>
      </c>
    </row>
    <row r="10" spans="2:11" x14ac:dyDescent="0.3">
      <c r="B10" s="6" t="s">
        <v>25</v>
      </c>
      <c r="C10" s="22">
        <v>322000</v>
      </c>
      <c r="D10" s="57"/>
      <c r="E10" s="57"/>
      <c r="F10" s="22"/>
      <c r="G10" s="22">
        <v>95000</v>
      </c>
      <c r="H10" s="12">
        <f t="shared" si="0"/>
        <v>44672</v>
      </c>
    </row>
    <row r="11" spans="2:11" x14ac:dyDescent="0.3">
      <c r="B11" s="6" t="s">
        <v>15</v>
      </c>
      <c r="C11" s="22"/>
      <c r="D11" s="22"/>
      <c r="E11" s="57"/>
      <c r="F11" s="22"/>
      <c r="G11" s="57"/>
      <c r="H11" s="12">
        <f t="shared" si="0"/>
        <v>44672</v>
      </c>
    </row>
    <row r="12" spans="2:11" x14ac:dyDescent="0.3">
      <c r="B12" s="6" t="s">
        <v>54</v>
      </c>
      <c r="C12" s="22"/>
      <c r="D12" s="22"/>
      <c r="E12" s="22"/>
      <c r="F12" s="22"/>
      <c r="G12" s="22"/>
      <c r="H12" s="67">
        <f t="shared" si="0"/>
        <v>44672</v>
      </c>
    </row>
    <row r="13" spans="2:11" x14ac:dyDescent="0.3">
      <c r="B13" s="6" t="s">
        <v>26</v>
      </c>
      <c r="C13" s="22">
        <v>90000</v>
      </c>
      <c r="D13" s="22"/>
      <c r="E13" s="22"/>
      <c r="F13" s="22"/>
      <c r="G13" s="22"/>
      <c r="H13" s="12">
        <f t="shared" si="0"/>
        <v>44672</v>
      </c>
    </row>
    <row r="14" spans="2:11" x14ac:dyDescent="0.3">
      <c r="B14" s="6" t="s">
        <v>22</v>
      </c>
      <c r="C14" s="22"/>
      <c r="D14" s="22"/>
      <c r="E14" s="22"/>
      <c r="F14" s="22"/>
      <c r="G14" s="22"/>
      <c r="H14" s="12">
        <f t="shared" si="0"/>
        <v>44672</v>
      </c>
      <c r="K14" s="4"/>
    </row>
    <row r="15" spans="2:11" x14ac:dyDescent="0.3">
      <c r="B15" s="6" t="s">
        <v>61</v>
      </c>
      <c r="C15" s="57"/>
      <c r="D15" s="22"/>
      <c r="E15" s="22"/>
      <c r="F15" s="22"/>
      <c r="G15" s="22"/>
      <c r="H15" s="67">
        <f t="shared" si="0"/>
        <v>44672</v>
      </c>
      <c r="K15" s="4"/>
    </row>
    <row r="16" spans="2:11" x14ac:dyDescent="0.3">
      <c r="B16" s="6" t="s">
        <v>19</v>
      </c>
      <c r="C16" s="23"/>
      <c r="D16" s="23">
        <v>486000</v>
      </c>
      <c r="E16" s="23"/>
      <c r="F16" s="22"/>
      <c r="G16" s="23">
        <v>648000</v>
      </c>
      <c r="H16" s="12">
        <f t="shared" si="0"/>
        <v>44672</v>
      </c>
    </row>
    <row r="17" spans="2:10" x14ac:dyDescent="0.3">
      <c r="B17" s="6" t="s">
        <v>14</v>
      </c>
      <c r="C17" s="23">
        <v>45000</v>
      </c>
      <c r="D17" s="23"/>
      <c r="E17" s="23"/>
      <c r="F17" s="22">
        <v>378000</v>
      </c>
      <c r="G17" s="23">
        <v>54000</v>
      </c>
      <c r="H17" s="12">
        <f t="shared" si="0"/>
        <v>44672</v>
      </c>
    </row>
    <row r="18" spans="2:10" x14ac:dyDescent="0.3">
      <c r="B18" s="6" t="s">
        <v>24</v>
      </c>
      <c r="C18" s="22"/>
      <c r="D18" s="22"/>
      <c r="E18" s="22"/>
      <c r="F18" s="49"/>
      <c r="G18" s="22"/>
      <c r="H18" s="12">
        <f t="shared" si="0"/>
        <v>44672</v>
      </c>
      <c r="J18" s="1" t="s">
        <v>66</v>
      </c>
    </row>
    <row r="19" spans="2:10" x14ac:dyDescent="0.3">
      <c r="B19" s="6" t="s">
        <v>21</v>
      </c>
      <c r="C19" s="22"/>
      <c r="D19" s="22"/>
      <c r="E19" s="22"/>
      <c r="F19" s="22"/>
      <c r="G19" s="22"/>
      <c r="H19" s="67">
        <f t="shared" si="0"/>
        <v>44672</v>
      </c>
    </row>
    <row r="20" spans="2:10" x14ac:dyDescent="0.3">
      <c r="B20" s="6" t="s">
        <v>65</v>
      </c>
      <c r="C20" s="22"/>
      <c r="D20" s="22"/>
      <c r="E20" s="22"/>
      <c r="F20" s="22"/>
      <c r="G20" s="22"/>
      <c r="H20" s="12">
        <f t="shared" si="0"/>
        <v>44672</v>
      </c>
    </row>
    <row r="21" spans="2:10" x14ac:dyDescent="0.3">
      <c r="B21" s="6" t="s">
        <v>18</v>
      </c>
      <c r="C21" s="62"/>
      <c r="D21" s="62"/>
      <c r="E21" s="62"/>
      <c r="F21" s="62"/>
      <c r="G21" s="62"/>
      <c r="H21" s="12">
        <f t="shared" si="0"/>
        <v>44672</v>
      </c>
    </row>
    <row r="22" spans="2:10" x14ac:dyDescent="0.3">
      <c r="B22" s="6" t="s">
        <v>16</v>
      </c>
      <c r="C22" s="22"/>
      <c r="D22" s="119"/>
      <c r="E22" s="62"/>
      <c r="F22" s="62">
        <v>54000</v>
      </c>
      <c r="G22" s="62"/>
      <c r="H22" s="12">
        <f t="shared" si="0"/>
        <v>44672</v>
      </c>
    </row>
    <row r="23" spans="2:10" x14ac:dyDescent="0.3">
      <c r="B23" s="50" t="s">
        <v>27</v>
      </c>
      <c r="C23" s="51">
        <f>SUM(April21_2022[KSI_AGO])</f>
        <v>564500</v>
      </c>
      <c r="D23" s="51">
        <f>SUBTOTAL(109,April21_2022[KSI_PMS])</f>
        <v>1188000</v>
      </c>
      <c r="E23" s="51">
        <f>SUM(April21_2022[BUIPE_AGO])</f>
        <v>0</v>
      </c>
      <c r="F23" s="51">
        <f>SUM(April21_2022[BUIPE_PMS])</f>
        <v>432000</v>
      </c>
      <c r="G23" s="51">
        <f>SUM(April21_2022[AKOSOMBO_AGO])</f>
        <v>797000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1BD1AC1-33BD-4FC5-9413-E7C28EE740FB}">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6F341-1E70-46D0-8E4E-C611CB8BBE50}">
  <sheetPr codeName="Sheet575"/>
  <dimension ref="B1:K24"/>
  <sheetViews>
    <sheetView zoomScale="116" zoomScaleNormal="115" workbookViewId="0">
      <pane xSplit="2" ySplit="5" topLeftCell="C6" activePane="bottomRight" state="frozen"/>
      <selection pane="topRight" activeCell="C1" sqref="C1"/>
      <selection pane="bottomLeft" activeCell="A6" sqref="A6"/>
      <selection pane="bottomRight" activeCell="D20" sqref="D2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44673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2" si="0">$G$3</f>
        <v>44673</v>
      </c>
    </row>
    <row r="7" spans="2:11" ht="16.5" customHeight="1" x14ac:dyDescent="0.3">
      <c r="B7" s="6" t="s">
        <v>37</v>
      </c>
      <c r="C7" s="57"/>
      <c r="D7" s="62"/>
      <c r="E7" s="62"/>
      <c r="F7" s="62"/>
      <c r="G7" s="62"/>
      <c r="H7" s="67">
        <f t="shared" si="0"/>
        <v>44673</v>
      </c>
    </row>
    <row r="8" spans="2:11" x14ac:dyDescent="0.3">
      <c r="B8" s="6" t="s">
        <v>17</v>
      </c>
      <c r="C8" s="57"/>
      <c r="D8" s="22">
        <v>45000</v>
      </c>
      <c r="E8" s="22"/>
      <c r="F8" s="22"/>
      <c r="G8" s="22"/>
      <c r="H8" s="12">
        <f t="shared" si="0"/>
        <v>44673</v>
      </c>
    </row>
    <row r="9" spans="2:11" ht="15.6" x14ac:dyDescent="0.3">
      <c r="B9" s="34" t="s">
        <v>0</v>
      </c>
      <c r="C9" s="57"/>
      <c r="D9" s="60">
        <v>162000</v>
      </c>
      <c r="E9" s="60"/>
      <c r="F9" s="60"/>
      <c r="G9" s="61"/>
      <c r="H9" s="12">
        <f t="shared" si="0"/>
        <v>44673</v>
      </c>
    </row>
    <row r="10" spans="2:11" x14ac:dyDescent="0.3">
      <c r="B10" s="6" t="s">
        <v>25</v>
      </c>
      <c r="C10" s="57"/>
      <c r="D10" s="22"/>
      <c r="E10" s="57"/>
      <c r="F10" s="22"/>
      <c r="G10" s="22"/>
      <c r="H10" s="12">
        <f t="shared" si="0"/>
        <v>44673</v>
      </c>
    </row>
    <row r="11" spans="2:11" x14ac:dyDescent="0.3">
      <c r="B11" s="6" t="s">
        <v>15</v>
      </c>
      <c r="C11" s="57"/>
      <c r="D11" s="22">
        <v>54000</v>
      </c>
      <c r="E11" s="57"/>
      <c r="F11" s="22"/>
      <c r="G11" s="57"/>
      <c r="H11" s="12">
        <f t="shared" si="0"/>
        <v>44673</v>
      </c>
    </row>
    <row r="12" spans="2:11" x14ac:dyDescent="0.3">
      <c r="B12" s="6" t="s">
        <v>54</v>
      </c>
      <c r="C12" s="57"/>
      <c r="D12" s="22"/>
      <c r="E12" s="22"/>
      <c r="F12" s="22"/>
      <c r="G12" s="22"/>
      <c r="H12" s="67">
        <f t="shared" si="0"/>
        <v>44673</v>
      </c>
    </row>
    <row r="13" spans="2:11" x14ac:dyDescent="0.3">
      <c r="B13" s="6" t="s">
        <v>26</v>
      </c>
      <c r="C13" s="22">
        <v>45000</v>
      </c>
      <c r="D13" s="22">
        <v>45000</v>
      </c>
      <c r="E13" s="22"/>
      <c r="F13" s="22"/>
      <c r="G13" s="22"/>
      <c r="H13" s="12">
        <f t="shared" si="0"/>
        <v>44673</v>
      </c>
    </row>
    <row r="14" spans="2:11" x14ac:dyDescent="0.3">
      <c r="B14" s="6" t="s">
        <v>22</v>
      </c>
      <c r="C14" s="57"/>
      <c r="D14" s="22"/>
      <c r="E14" s="22"/>
      <c r="F14" s="22"/>
      <c r="G14" s="22"/>
      <c r="H14" s="12">
        <f t="shared" si="0"/>
        <v>44673</v>
      </c>
      <c r="K14" s="4"/>
    </row>
    <row r="15" spans="2:11" x14ac:dyDescent="0.3">
      <c r="B15" s="6" t="s">
        <v>61</v>
      </c>
      <c r="C15" s="57"/>
      <c r="D15" s="57"/>
      <c r="E15" s="22"/>
      <c r="F15" s="22"/>
      <c r="G15" s="22"/>
      <c r="H15" s="67">
        <f t="shared" si="0"/>
        <v>44673</v>
      </c>
      <c r="K15" s="4"/>
    </row>
    <row r="16" spans="2:11" x14ac:dyDescent="0.3">
      <c r="B16" s="6" t="s">
        <v>19</v>
      </c>
      <c r="C16" s="57"/>
      <c r="D16" s="23">
        <v>324000</v>
      </c>
      <c r="E16" s="23"/>
      <c r="F16" s="22"/>
      <c r="G16" s="23"/>
      <c r="H16" s="12">
        <f t="shared" si="0"/>
        <v>44673</v>
      </c>
    </row>
    <row r="17" spans="2:10" x14ac:dyDescent="0.3">
      <c r="B17" s="6" t="s">
        <v>14</v>
      </c>
      <c r="C17" s="57"/>
      <c r="D17" s="23">
        <v>45000</v>
      </c>
      <c r="E17" s="23"/>
      <c r="F17" s="22">
        <v>432000</v>
      </c>
      <c r="G17" s="23">
        <v>216000</v>
      </c>
      <c r="H17" s="12">
        <f t="shared" si="0"/>
        <v>44673</v>
      </c>
    </row>
    <row r="18" spans="2:10" x14ac:dyDescent="0.3">
      <c r="B18" s="6" t="s">
        <v>24</v>
      </c>
      <c r="C18" s="57"/>
      <c r="D18" s="22"/>
      <c r="E18" s="22"/>
      <c r="F18" s="49"/>
      <c r="G18" s="22"/>
      <c r="H18" s="12">
        <f t="shared" si="0"/>
        <v>44673</v>
      </c>
      <c r="J18" s="1" t="s">
        <v>66</v>
      </c>
    </row>
    <row r="19" spans="2:10" x14ac:dyDescent="0.3">
      <c r="B19" s="6" t="s">
        <v>21</v>
      </c>
      <c r="C19" s="22"/>
      <c r="D19" s="22"/>
      <c r="E19" s="22"/>
      <c r="F19" s="22"/>
      <c r="G19" s="22"/>
      <c r="H19" s="67">
        <f t="shared" si="0"/>
        <v>44673</v>
      </c>
    </row>
    <row r="20" spans="2:10" x14ac:dyDescent="0.3">
      <c r="B20" s="6" t="s">
        <v>65</v>
      </c>
      <c r="C20" s="22"/>
      <c r="D20" s="22"/>
      <c r="E20" s="22"/>
      <c r="F20" s="22"/>
      <c r="G20" s="22"/>
      <c r="H20" s="12">
        <f t="shared" si="0"/>
        <v>44673</v>
      </c>
    </row>
    <row r="21" spans="2:10" x14ac:dyDescent="0.3">
      <c r="B21" s="6" t="s">
        <v>18</v>
      </c>
      <c r="C21" s="62"/>
      <c r="D21" s="62"/>
      <c r="E21" s="62"/>
      <c r="F21" s="62"/>
      <c r="G21" s="62"/>
      <c r="H21" s="12">
        <f t="shared" si="0"/>
        <v>44673</v>
      </c>
    </row>
    <row r="22" spans="2:10" x14ac:dyDescent="0.3">
      <c r="B22" s="6" t="s">
        <v>16</v>
      </c>
      <c r="C22" s="22"/>
      <c r="D22" s="119">
        <v>45000</v>
      </c>
      <c r="E22" s="62"/>
      <c r="F22" s="62"/>
      <c r="G22" s="62"/>
      <c r="H22" s="12">
        <f t="shared" si="0"/>
        <v>44673</v>
      </c>
    </row>
    <row r="23" spans="2:10" x14ac:dyDescent="0.3">
      <c r="B23" s="50" t="s">
        <v>27</v>
      </c>
      <c r="C23" s="51">
        <f>SUM(April22_2022[KSI_AGO])</f>
        <v>45000</v>
      </c>
      <c r="D23" s="51">
        <f>SUBTOTAL(109,April22_2022[KSI_PMS])</f>
        <v>720000</v>
      </c>
      <c r="E23" s="51">
        <f>SUM(April22_2022[BUIPE_AGO])</f>
        <v>0</v>
      </c>
      <c r="F23" s="51">
        <f>SUM(April22_2022[BUIPE_PMS])</f>
        <v>432000</v>
      </c>
      <c r="G23" s="51">
        <f>SUM(April22_2022[AKOSOMBO_AGO])</f>
        <v>216000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59124DE1-2EC3-4D60-A9EC-7B5C3916D641}">
      <formula1>INDIRECT("BDC_List[BDC List]")</formula1>
    </dataValidation>
  </dataValidations>
  <pageMargins left="0.7" right="0.7" top="0.75" bottom="0.75" header="0.3" footer="0.3"/>
  <pageSetup orientation="portrait" horizontalDpi="4294967295" verticalDpi="4294967295" r:id="rId1"/>
  <tableParts count="1">
    <tablePart r:id="rId2"/>
  </tableParts>
</worksheet>
</file>

<file path=xl/worksheets/sheet5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255E-ADCF-402C-9978-05D3244DE7E0}">
  <sheetPr codeName="Sheet576"/>
  <dimension ref="B1:K24"/>
  <sheetViews>
    <sheetView zoomScale="116" zoomScaleNormal="115" workbookViewId="0">
      <pane xSplit="2" ySplit="5" topLeftCell="C6" activePane="bottomRight" state="frozen"/>
      <selection pane="topRight" activeCell="C1" sqref="C1"/>
      <selection pane="bottomLeft" activeCell="A6" sqref="A6"/>
      <selection pane="bottomRight" activeCell="B14" sqref="B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44676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486000</v>
      </c>
      <c r="E6" s="45"/>
      <c r="F6" s="45"/>
      <c r="G6" s="45"/>
      <c r="H6" s="12">
        <f t="shared" ref="H6:H22" si="0">$G$3</f>
        <v>44676</v>
      </c>
    </row>
    <row r="7" spans="2:11" ht="16.5" customHeight="1" x14ac:dyDescent="0.3">
      <c r="B7" s="6" t="s">
        <v>37</v>
      </c>
      <c r="C7" s="62"/>
      <c r="D7" s="62"/>
      <c r="E7" s="62"/>
      <c r="F7" s="62"/>
      <c r="G7" s="62"/>
      <c r="H7" s="67">
        <f t="shared" si="0"/>
        <v>44676</v>
      </c>
    </row>
    <row r="8" spans="2:11" x14ac:dyDescent="0.3">
      <c r="B8" s="6" t="s">
        <v>17</v>
      </c>
      <c r="C8" s="22"/>
      <c r="D8" s="22"/>
      <c r="E8" s="22"/>
      <c r="F8" s="22"/>
      <c r="G8" s="22"/>
      <c r="H8" s="12">
        <f t="shared" si="0"/>
        <v>44676</v>
      </c>
    </row>
    <row r="9" spans="2:11" ht="15.6" x14ac:dyDescent="0.3">
      <c r="B9" s="34" t="s">
        <v>0</v>
      </c>
      <c r="C9" s="60"/>
      <c r="D9" s="60"/>
      <c r="E9" s="60"/>
      <c r="F9" s="60"/>
      <c r="G9" s="61"/>
      <c r="H9" s="12">
        <f t="shared" si="0"/>
        <v>44676</v>
      </c>
    </row>
    <row r="10" spans="2:11" x14ac:dyDescent="0.3">
      <c r="B10" s="6" t="s">
        <v>25</v>
      </c>
      <c r="C10" s="22"/>
      <c r="D10" s="57"/>
      <c r="E10" s="57"/>
      <c r="F10" s="22"/>
      <c r="G10" s="22"/>
      <c r="H10" s="12">
        <f t="shared" si="0"/>
        <v>44676</v>
      </c>
    </row>
    <row r="11" spans="2:11" x14ac:dyDescent="0.3">
      <c r="B11" s="6" t="s">
        <v>15</v>
      </c>
      <c r="C11" s="22"/>
      <c r="D11" s="22"/>
      <c r="E11" s="57"/>
      <c r="F11" s="22"/>
      <c r="G11" s="57"/>
      <c r="H11" s="12">
        <f t="shared" si="0"/>
        <v>44676</v>
      </c>
    </row>
    <row r="12" spans="2:11" x14ac:dyDescent="0.3">
      <c r="B12" s="6" t="s">
        <v>54</v>
      </c>
      <c r="C12" s="22"/>
      <c r="D12" s="22"/>
      <c r="E12" s="22"/>
      <c r="F12" s="22"/>
      <c r="G12" s="22"/>
      <c r="H12" s="67">
        <f t="shared" si="0"/>
        <v>44676</v>
      </c>
    </row>
    <row r="13" spans="2:11" x14ac:dyDescent="0.3">
      <c r="B13" s="6" t="s">
        <v>26</v>
      </c>
      <c r="C13" s="22"/>
      <c r="D13" s="22"/>
      <c r="E13" s="22"/>
      <c r="F13" s="22"/>
      <c r="G13" s="22"/>
      <c r="H13" s="12">
        <f t="shared" si="0"/>
        <v>44676</v>
      </c>
    </row>
    <row r="14" spans="2:11" x14ac:dyDescent="0.3">
      <c r="B14" s="6" t="s">
        <v>22</v>
      </c>
      <c r="C14" s="22"/>
      <c r="D14" s="22"/>
      <c r="E14" s="22"/>
      <c r="F14" s="22"/>
      <c r="G14" s="22"/>
      <c r="H14" s="12">
        <f t="shared" si="0"/>
        <v>44676</v>
      </c>
      <c r="K14" s="4"/>
    </row>
    <row r="15" spans="2:11" x14ac:dyDescent="0.3">
      <c r="B15" s="6" t="s">
        <v>61</v>
      </c>
      <c r="C15" s="57"/>
      <c r="D15" s="22"/>
      <c r="E15" s="22"/>
      <c r="F15" s="22"/>
      <c r="G15" s="22"/>
      <c r="H15" s="67">
        <f t="shared" si="0"/>
        <v>44676</v>
      </c>
      <c r="K15" s="4"/>
    </row>
    <row r="16" spans="2:11" x14ac:dyDescent="0.3">
      <c r="B16" s="6" t="s">
        <v>19</v>
      </c>
      <c r="C16" s="23"/>
      <c r="D16" s="23">
        <v>162000</v>
      </c>
      <c r="E16" s="23"/>
      <c r="F16" s="22"/>
      <c r="G16" s="23"/>
      <c r="H16" s="12">
        <f t="shared" si="0"/>
        <v>44676</v>
      </c>
    </row>
    <row r="17" spans="2:10" x14ac:dyDescent="0.3">
      <c r="B17" s="6" t="s">
        <v>14</v>
      </c>
      <c r="C17" s="23"/>
      <c r="D17" s="23"/>
      <c r="E17" s="23"/>
      <c r="F17" s="22"/>
      <c r="G17" s="23"/>
      <c r="H17" s="12">
        <f t="shared" si="0"/>
        <v>44676</v>
      </c>
    </row>
    <row r="18" spans="2:10" x14ac:dyDescent="0.3">
      <c r="B18" s="6" t="s">
        <v>24</v>
      </c>
      <c r="C18" s="22"/>
      <c r="D18" s="22"/>
      <c r="E18" s="22"/>
      <c r="F18" s="49"/>
      <c r="G18" s="22"/>
      <c r="H18" s="12">
        <f t="shared" si="0"/>
        <v>44676</v>
      </c>
      <c r="J18" s="1" t="s">
        <v>66</v>
      </c>
    </row>
    <row r="19" spans="2:10" x14ac:dyDescent="0.3">
      <c r="B19" s="6" t="s">
        <v>21</v>
      </c>
      <c r="C19" s="22"/>
      <c r="D19" s="22"/>
      <c r="E19" s="22"/>
      <c r="F19" s="22"/>
      <c r="G19" s="22"/>
      <c r="H19" s="67">
        <f t="shared" si="0"/>
        <v>44676</v>
      </c>
    </row>
    <row r="20" spans="2:10" x14ac:dyDescent="0.3">
      <c r="B20" s="6" t="s">
        <v>65</v>
      </c>
      <c r="C20" s="22"/>
      <c r="D20" s="22"/>
      <c r="E20" s="22"/>
      <c r="F20" s="22"/>
      <c r="G20" s="22"/>
      <c r="H20" s="12">
        <f t="shared" si="0"/>
        <v>44676</v>
      </c>
    </row>
    <row r="21" spans="2:10" x14ac:dyDescent="0.3">
      <c r="B21" s="6" t="s">
        <v>18</v>
      </c>
      <c r="C21" s="62"/>
      <c r="D21" s="62"/>
      <c r="E21" s="62"/>
      <c r="F21" s="62"/>
      <c r="G21" s="62"/>
      <c r="H21" s="12">
        <f t="shared" si="0"/>
        <v>44676</v>
      </c>
    </row>
    <row r="22" spans="2:10" x14ac:dyDescent="0.3">
      <c r="B22" s="6" t="s">
        <v>16</v>
      </c>
      <c r="C22" s="22"/>
      <c r="D22" s="119"/>
      <c r="E22" s="62"/>
      <c r="F22" s="62"/>
      <c r="G22" s="62"/>
      <c r="H22" s="12">
        <f t="shared" si="0"/>
        <v>44676</v>
      </c>
    </row>
    <row r="23" spans="2:10" x14ac:dyDescent="0.3">
      <c r="B23" s="50" t="s">
        <v>27</v>
      </c>
      <c r="C23" s="51">
        <f>SUM(April25_2022[KSI_AGO])</f>
        <v>0</v>
      </c>
      <c r="D23" s="51">
        <f>SUBTOTAL(109,April25_2022[KSI_PMS])</f>
        <v>648000</v>
      </c>
      <c r="E23" s="51">
        <f>SUM(April25_2022[BUIPE_AGO])</f>
        <v>0</v>
      </c>
      <c r="F23" s="51">
        <f>SUM(April25_2022[BUIPE_PMS])</f>
        <v>0</v>
      </c>
      <c r="G23" s="51">
        <f>SUM(April25_2022[AKOSOMBO_AGO])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CD300D9-233E-4E60-B20A-ABD04E43EA2E}">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E7E0A-B906-4E92-92EE-E6B8059EC08E}">
  <sheetPr codeName="Sheet577"/>
  <dimension ref="B1:K24"/>
  <sheetViews>
    <sheetView zoomScale="116" zoomScaleNormal="115" workbookViewId="0">
      <pane xSplit="2" ySplit="5" topLeftCell="C6" activePane="bottomRight" state="frozen"/>
      <selection pane="topRight" activeCell="C1" sqref="C1"/>
      <selection pane="bottomLeft" activeCell="A6" sqref="A6"/>
      <selection pane="bottomRight" activeCell="G13" sqref="G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25.1093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44677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44677</v>
      </c>
    </row>
    <row r="7" spans="2:11" ht="16.5" customHeight="1" x14ac:dyDescent="0.3">
      <c r="B7" s="6" t="s">
        <v>37</v>
      </c>
      <c r="C7" s="62"/>
      <c r="D7" s="62"/>
      <c r="E7" s="62"/>
      <c r="F7" s="62"/>
      <c r="G7" s="62"/>
      <c r="H7" s="67">
        <f t="shared" si="0"/>
        <v>44677</v>
      </c>
    </row>
    <row r="8" spans="2:11" x14ac:dyDescent="0.3">
      <c r="B8" s="6" t="s">
        <v>17</v>
      </c>
      <c r="C8" s="22"/>
      <c r="D8" s="22"/>
      <c r="E8" s="22"/>
      <c r="F8" s="22"/>
      <c r="G8" s="22"/>
      <c r="H8" s="12">
        <f t="shared" si="0"/>
        <v>44677</v>
      </c>
    </row>
    <row r="9" spans="2:11" ht="15.6" x14ac:dyDescent="0.3">
      <c r="B9" s="34" t="s">
        <v>0</v>
      </c>
      <c r="C9" s="60"/>
      <c r="D9" s="60"/>
      <c r="E9" s="60"/>
      <c r="F9" s="60"/>
      <c r="G9" s="61"/>
      <c r="H9" s="12">
        <f t="shared" si="0"/>
        <v>44677</v>
      </c>
    </row>
    <row r="10" spans="2:11" x14ac:dyDescent="0.3">
      <c r="B10" s="6" t="s">
        <v>25</v>
      </c>
      <c r="C10" s="22"/>
      <c r="D10" s="57"/>
      <c r="E10" s="57"/>
      <c r="F10" s="22"/>
      <c r="G10" s="22"/>
      <c r="H10" s="12">
        <f t="shared" si="0"/>
        <v>44677</v>
      </c>
    </row>
    <row r="11" spans="2:11" x14ac:dyDescent="0.3">
      <c r="B11" s="6" t="s">
        <v>15</v>
      </c>
      <c r="C11" s="22"/>
      <c r="D11" s="22"/>
      <c r="E11" s="57"/>
      <c r="F11" s="22"/>
      <c r="G11" s="57"/>
      <c r="H11" s="12">
        <f t="shared" si="0"/>
        <v>44677</v>
      </c>
    </row>
    <row r="12" spans="2:11" x14ac:dyDescent="0.3">
      <c r="B12" s="6" t="s">
        <v>54</v>
      </c>
      <c r="C12" s="22"/>
      <c r="D12" s="22"/>
      <c r="E12" s="22"/>
      <c r="F12" s="22"/>
      <c r="G12" s="22"/>
      <c r="H12" s="67">
        <f t="shared" si="0"/>
        <v>44677</v>
      </c>
    </row>
    <row r="13" spans="2:11" x14ac:dyDescent="0.3">
      <c r="B13" s="6" t="s">
        <v>26</v>
      </c>
      <c r="C13" s="22"/>
      <c r="D13" s="22"/>
      <c r="E13" s="22"/>
      <c r="F13" s="22"/>
      <c r="G13" s="22"/>
      <c r="H13" s="12">
        <f t="shared" si="0"/>
        <v>44677</v>
      </c>
    </row>
    <row r="14" spans="2:11" x14ac:dyDescent="0.3">
      <c r="B14" s="6" t="s">
        <v>22</v>
      </c>
      <c r="C14" s="22"/>
      <c r="D14" s="22"/>
      <c r="E14" s="22"/>
      <c r="F14" s="22"/>
      <c r="G14" s="22"/>
      <c r="H14" s="12">
        <f t="shared" si="0"/>
        <v>44677</v>
      </c>
      <c r="K14" s="4"/>
    </row>
    <row r="15" spans="2:11" x14ac:dyDescent="0.3">
      <c r="B15" s="6" t="s">
        <v>61</v>
      </c>
      <c r="C15" s="57"/>
      <c r="D15" s="22"/>
      <c r="E15" s="22"/>
      <c r="F15" s="22"/>
      <c r="G15" s="22"/>
      <c r="H15" s="67">
        <f t="shared" si="0"/>
        <v>44677</v>
      </c>
      <c r="K15" s="4"/>
    </row>
    <row r="16" spans="2:11" x14ac:dyDescent="0.3">
      <c r="B16" s="6" t="s">
        <v>19</v>
      </c>
      <c r="C16" s="23"/>
      <c r="D16" s="23">
        <v>306000</v>
      </c>
      <c r="E16" s="23"/>
      <c r="F16" s="22"/>
      <c r="G16" s="23"/>
      <c r="H16" s="12">
        <f t="shared" si="0"/>
        <v>44677</v>
      </c>
    </row>
    <row r="17" spans="2:10" x14ac:dyDescent="0.3">
      <c r="B17" s="6" t="s">
        <v>14</v>
      </c>
      <c r="C17" s="23"/>
      <c r="D17" s="23"/>
      <c r="E17" s="23"/>
      <c r="F17" s="22">
        <v>135000</v>
      </c>
      <c r="G17" s="23"/>
      <c r="H17" s="12">
        <f t="shared" si="0"/>
        <v>44677</v>
      </c>
    </row>
    <row r="18" spans="2:10" x14ac:dyDescent="0.3">
      <c r="B18" s="6" t="s">
        <v>24</v>
      </c>
      <c r="C18" s="22"/>
      <c r="D18" s="22"/>
      <c r="E18" s="22"/>
      <c r="F18" s="49"/>
      <c r="G18" s="22"/>
      <c r="H18" s="12">
        <f t="shared" si="0"/>
        <v>44677</v>
      </c>
      <c r="J18" s="1" t="s">
        <v>66</v>
      </c>
    </row>
    <row r="19" spans="2:10" x14ac:dyDescent="0.3">
      <c r="B19" s="6" t="s">
        <v>21</v>
      </c>
      <c r="C19" s="22"/>
      <c r="D19" s="22"/>
      <c r="E19" s="22"/>
      <c r="F19" s="22"/>
      <c r="G19" s="22"/>
      <c r="H19" s="67">
        <f t="shared" si="0"/>
        <v>44677</v>
      </c>
    </row>
    <row r="20" spans="2:10" x14ac:dyDescent="0.3">
      <c r="B20" s="6" t="s">
        <v>65</v>
      </c>
      <c r="C20" s="22"/>
      <c r="D20" s="22"/>
      <c r="E20" s="22"/>
      <c r="F20" s="22"/>
      <c r="G20" s="22"/>
      <c r="H20" s="12">
        <f t="shared" si="0"/>
        <v>44677</v>
      </c>
    </row>
    <row r="21" spans="2:10" x14ac:dyDescent="0.3">
      <c r="B21" s="6" t="s">
        <v>18</v>
      </c>
      <c r="C21" s="62"/>
      <c r="D21" s="62"/>
      <c r="E21" s="62"/>
      <c r="F21" s="62"/>
      <c r="G21" s="62"/>
      <c r="H21" s="12">
        <f t="shared" si="0"/>
        <v>44677</v>
      </c>
    </row>
    <row r="22" spans="2:10" x14ac:dyDescent="0.3">
      <c r="B22" s="6" t="s">
        <v>16</v>
      </c>
      <c r="C22" s="22"/>
      <c r="D22" s="119"/>
      <c r="E22" s="62"/>
      <c r="F22" s="62"/>
      <c r="G22" s="62"/>
      <c r="H22" s="12">
        <f t="shared" si="0"/>
        <v>44677</v>
      </c>
    </row>
    <row r="23" spans="2:10" x14ac:dyDescent="0.3">
      <c r="B23" s="50" t="s">
        <v>27</v>
      </c>
      <c r="C23" s="51">
        <f>SUM(April26_2022[KSI_AGO])</f>
        <v>0</v>
      </c>
      <c r="D23" s="51">
        <f>SUBTOTAL(109,April26_2022[KSI_PMS])</f>
        <v>306000</v>
      </c>
      <c r="E23" s="51">
        <f>SUM(April26_2022[BUIPE_AGO])</f>
        <v>0</v>
      </c>
      <c r="F23" s="51">
        <f>SUM(April26_2022[BUIPE_PMS])</f>
        <v>135000</v>
      </c>
      <c r="G23" s="51">
        <f>SUM(April26_2022[AKOSOMBO_AGO])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CB247406-BE20-4B85-B2FC-3BAEF875891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FC785-6A3D-4D42-9534-82ACF65B911A}">
  <sheetPr codeName="Sheet578"/>
  <dimension ref="B1:K24"/>
  <sheetViews>
    <sheetView zoomScale="116" zoomScaleNormal="115" workbookViewId="0">
      <pane xSplit="2" ySplit="5" topLeftCell="C6" activePane="bottomRight" state="frozen"/>
      <selection pane="topRight" activeCell="C1" sqref="C1"/>
      <selection pane="bottomLeft" activeCell="A6" sqref="A6"/>
      <selection pane="bottomRight" activeCell="B27" sqref="B2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44678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44678</v>
      </c>
    </row>
    <row r="7" spans="2:11" ht="16.5" customHeight="1" x14ac:dyDescent="0.3">
      <c r="B7" s="6" t="s">
        <v>37</v>
      </c>
      <c r="C7" s="62">
        <v>158000</v>
      </c>
      <c r="D7" s="62"/>
      <c r="E7" s="62"/>
      <c r="F7" s="62"/>
      <c r="G7" s="62"/>
      <c r="H7" s="67">
        <f t="shared" si="0"/>
        <v>44678</v>
      </c>
    </row>
    <row r="8" spans="2:11" x14ac:dyDescent="0.3">
      <c r="B8" s="6" t="s">
        <v>17</v>
      </c>
      <c r="C8" s="22"/>
      <c r="D8" s="22"/>
      <c r="E8" s="22"/>
      <c r="F8" s="22"/>
      <c r="G8" s="22"/>
      <c r="H8" s="12">
        <f t="shared" si="0"/>
        <v>44678</v>
      </c>
    </row>
    <row r="9" spans="2:11" ht="15.6" x14ac:dyDescent="0.3">
      <c r="B9" s="34" t="s">
        <v>0</v>
      </c>
      <c r="C9" s="60">
        <v>540000</v>
      </c>
      <c r="D9" s="60"/>
      <c r="E9" s="60"/>
      <c r="F9" s="22"/>
      <c r="G9" s="61"/>
      <c r="H9" s="12">
        <f t="shared" si="0"/>
        <v>44678</v>
      </c>
    </row>
    <row r="10" spans="2:11" x14ac:dyDescent="0.3">
      <c r="B10" s="6" t="s">
        <v>25</v>
      </c>
      <c r="C10" s="22"/>
      <c r="D10" s="57"/>
      <c r="E10" s="22"/>
      <c r="F10" s="22"/>
      <c r="G10" s="22"/>
      <c r="H10" s="12">
        <f t="shared" si="0"/>
        <v>44678</v>
      </c>
    </row>
    <row r="11" spans="2:11" x14ac:dyDescent="0.3">
      <c r="B11" s="6" t="s">
        <v>15</v>
      </c>
      <c r="C11" s="22"/>
      <c r="D11" s="22"/>
      <c r="E11" s="22">
        <v>162000</v>
      </c>
      <c r="F11" s="22"/>
      <c r="G11" s="57"/>
      <c r="H11" s="12">
        <f t="shared" si="0"/>
        <v>44678</v>
      </c>
    </row>
    <row r="12" spans="2:11" x14ac:dyDescent="0.3">
      <c r="B12" s="6" t="s">
        <v>54</v>
      </c>
      <c r="C12" s="22">
        <v>54000</v>
      </c>
      <c r="D12" s="22"/>
      <c r="E12" s="22"/>
      <c r="F12" s="22"/>
      <c r="G12" s="22"/>
      <c r="H12" s="67">
        <f t="shared" si="0"/>
        <v>44678</v>
      </c>
    </row>
    <row r="13" spans="2:11" x14ac:dyDescent="0.3">
      <c r="B13" s="6" t="s">
        <v>26</v>
      </c>
      <c r="C13" s="22"/>
      <c r="D13" s="22"/>
      <c r="E13" s="22"/>
      <c r="F13" s="22"/>
      <c r="G13" s="22"/>
      <c r="H13" s="12">
        <f t="shared" si="0"/>
        <v>44678</v>
      </c>
    </row>
    <row r="14" spans="2:11" x14ac:dyDescent="0.3">
      <c r="B14" s="6" t="s">
        <v>22</v>
      </c>
      <c r="C14" s="22"/>
      <c r="D14" s="22"/>
      <c r="E14" s="22"/>
      <c r="F14" s="22"/>
      <c r="G14" s="22"/>
      <c r="H14" s="12">
        <f t="shared" si="0"/>
        <v>44678</v>
      </c>
      <c r="K14" s="4"/>
    </row>
    <row r="15" spans="2:11" x14ac:dyDescent="0.3">
      <c r="B15" s="6" t="s">
        <v>61</v>
      </c>
      <c r="C15" s="57"/>
      <c r="D15" s="22"/>
      <c r="E15" s="22"/>
      <c r="F15" s="22"/>
      <c r="G15" s="22"/>
      <c r="H15" s="67">
        <f t="shared" si="0"/>
        <v>44678</v>
      </c>
      <c r="K15" s="4"/>
    </row>
    <row r="16" spans="2:11" x14ac:dyDescent="0.3">
      <c r="B16" s="6" t="s">
        <v>19</v>
      </c>
      <c r="C16" s="23"/>
      <c r="D16" s="23"/>
      <c r="E16" s="22">
        <v>54000</v>
      </c>
      <c r="F16" s="22"/>
      <c r="G16" s="23"/>
      <c r="H16" s="12">
        <f t="shared" si="0"/>
        <v>44678</v>
      </c>
    </row>
    <row r="17" spans="2:10" x14ac:dyDescent="0.3">
      <c r="B17" s="6" t="s">
        <v>14</v>
      </c>
      <c r="C17" s="23"/>
      <c r="D17" s="23"/>
      <c r="E17" s="22">
        <v>54000</v>
      </c>
      <c r="F17" s="22"/>
      <c r="G17" s="23"/>
      <c r="H17" s="12">
        <f t="shared" si="0"/>
        <v>44678</v>
      </c>
    </row>
    <row r="18" spans="2:10" x14ac:dyDescent="0.3">
      <c r="B18" s="6" t="s">
        <v>24</v>
      </c>
      <c r="C18" s="22"/>
      <c r="D18" s="22"/>
      <c r="E18" s="49"/>
      <c r="F18" s="22"/>
      <c r="G18" s="22"/>
      <c r="H18" s="12">
        <f t="shared" si="0"/>
        <v>44678</v>
      </c>
      <c r="J18" s="1" t="s">
        <v>66</v>
      </c>
    </row>
    <row r="19" spans="2:10" x14ac:dyDescent="0.3">
      <c r="B19" s="6" t="s">
        <v>21</v>
      </c>
      <c r="C19" s="22"/>
      <c r="D19" s="22"/>
      <c r="E19" s="22"/>
      <c r="F19" s="22"/>
      <c r="G19" s="22"/>
      <c r="H19" s="67">
        <f t="shared" si="0"/>
        <v>44678</v>
      </c>
    </row>
    <row r="20" spans="2:10" x14ac:dyDescent="0.3">
      <c r="B20" s="6" t="s">
        <v>65</v>
      </c>
      <c r="C20" s="22"/>
      <c r="D20" s="22"/>
      <c r="E20" s="22"/>
      <c r="F20" s="22"/>
      <c r="G20" s="22"/>
      <c r="H20" s="12">
        <f t="shared" si="0"/>
        <v>44678</v>
      </c>
    </row>
    <row r="21" spans="2:10" x14ac:dyDescent="0.3">
      <c r="B21" s="6" t="s">
        <v>18</v>
      </c>
      <c r="C21" s="62"/>
      <c r="D21" s="62"/>
      <c r="E21" s="62"/>
      <c r="F21" s="62"/>
      <c r="G21" s="62"/>
      <c r="H21" s="12">
        <f t="shared" si="0"/>
        <v>44678</v>
      </c>
    </row>
    <row r="22" spans="2:10" x14ac:dyDescent="0.3">
      <c r="B22" s="6" t="s">
        <v>16</v>
      </c>
      <c r="C22" s="22">
        <v>108000</v>
      </c>
      <c r="D22" s="119"/>
      <c r="E22" s="62"/>
      <c r="F22" s="62"/>
      <c r="G22" s="62"/>
      <c r="H22" s="12">
        <f t="shared" si="0"/>
        <v>44678</v>
      </c>
    </row>
    <row r="23" spans="2:10" x14ac:dyDescent="0.3">
      <c r="B23" s="50" t="s">
        <v>27</v>
      </c>
      <c r="C23" s="51">
        <f>SUM(April27_2022[KSI_AGO])</f>
        <v>860000</v>
      </c>
      <c r="D23" s="51">
        <f>SUBTOTAL(109,April27_2022[KSI_PMS])</f>
        <v>0</v>
      </c>
      <c r="E23" s="51">
        <f>SUM(April27_2022[BUIPE_AGO])</f>
        <v>270000</v>
      </c>
      <c r="F23" s="51">
        <f>SUM(April27_2022[BUIPE_PMS])</f>
        <v>0</v>
      </c>
      <c r="G23" s="51">
        <f>SUM(April27_2022[AKOSOMBO_AGO])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2FAB2E0E-7DAB-49B2-B1E8-F22F437FCF43}">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EA3C-7132-492F-A436-93CD6EDF2DB8}">
  <sheetPr codeName="Sheet579"/>
  <dimension ref="B1:K24"/>
  <sheetViews>
    <sheetView zoomScale="116" zoomScaleNormal="115" workbookViewId="0">
      <pane xSplit="2" ySplit="5" topLeftCell="C6" activePane="bottomRight" state="frozen"/>
      <selection pane="topRight" activeCell="C1" sqref="C1"/>
      <selection pane="bottomLeft" activeCell="A6" sqref="A6"/>
      <selection pane="bottomRight" activeCell="G13" sqref="G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44679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44679</v>
      </c>
    </row>
    <row r="7" spans="2:11" ht="16.5" customHeight="1" x14ac:dyDescent="0.3">
      <c r="B7" s="6" t="s">
        <v>37</v>
      </c>
      <c r="C7" s="62"/>
      <c r="D7" s="62"/>
      <c r="E7" s="62"/>
      <c r="F7" s="62"/>
      <c r="G7" s="62"/>
      <c r="H7" s="67">
        <f t="shared" si="0"/>
        <v>44679</v>
      </c>
    </row>
    <row r="8" spans="2:11" x14ac:dyDescent="0.3">
      <c r="B8" s="6" t="s">
        <v>17</v>
      </c>
      <c r="C8" s="22"/>
      <c r="D8" s="22"/>
      <c r="E8" s="22"/>
      <c r="F8" s="22"/>
      <c r="G8" s="22"/>
      <c r="H8" s="12">
        <f t="shared" si="0"/>
        <v>44679</v>
      </c>
    </row>
    <row r="9" spans="2:11" ht="15.6" x14ac:dyDescent="0.3">
      <c r="B9" s="34" t="s">
        <v>0</v>
      </c>
      <c r="C9" s="60"/>
      <c r="D9" s="60"/>
      <c r="E9" s="60"/>
      <c r="F9" s="60"/>
      <c r="G9" s="61"/>
      <c r="H9" s="12">
        <f t="shared" si="0"/>
        <v>44679</v>
      </c>
    </row>
    <row r="10" spans="2:11" x14ac:dyDescent="0.3">
      <c r="B10" s="6" t="s">
        <v>25</v>
      </c>
      <c r="C10" s="22">
        <v>162000</v>
      </c>
      <c r="D10" s="57"/>
      <c r="E10" s="22">
        <v>270000</v>
      </c>
      <c r="F10" s="22"/>
      <c r="G10" s="22"/>
      <c r="H10" s="12">
        <f t="shared" si="0"/>
        <v>44679</v>
      </c>
    </row>
    <row r="11" spans="2:11" x14ac:dyDescent="0.3">
      <c r="B11" s="6" t="s">
        <v>15</v>
      </c>
      <c r="C11" s="22">
        <v>486000</v>
      </c>
      <c r="D11" s="22"/>
      <c r="E11" s="57"/>
      <c r="F11" s="22"/>
      <c r="G11" s="57"/>
      <c r="H11" s="12">
        <f t="shared" si="0"/>
        <v>44679</v>
      </c>
    </row>
    <row r="12" spans="2:11" x14ac:dyDescent="0.3">
      <c r="B12" s="6" t="s">
        <v>54</v>
      </c>
      <c r="C12" s="22">
        <v>594000</v>
      </c>
      <c r="D12" s="22"/>
      <c r="E12" s="22">
        <v>108000</v>
      </c>
      <c r="F12" s="22"/>
      <c r="G12" s="22"/>
      <c r="H12" s="67">
        <f t="shared" si="0"/>
        <v>44679</v>
      </c>
    </row>
    <row r="13" spans="2:11" x14ac:dyDescent="0.3">
      <c r="B13" s="6" t="s">
        <v>26</v>
      </c>
      <c r="C13" s="22"/>
      <c r="D13" s="22"/>
      <c r="E13" s="22"/>
      <c r="F13" s="22"/>
      <c r="G13" s="22"/>
      <c r="H13" s="12">
        <f t="shared" si="0"/>
        <v>44679</v>
      </c>
    </row>
    <row r="14" spans="2:11" x14ac:dyDescent="0.3">
      <c r="B14" s="6" t="s">
        <v>22</v>
      </c>
      <c r="C14" s="22"/>
      <c r="D14" s="22"/>
      <c r="E14" s="22"/>
      <c r="F14" s="22"/>
      <c r="G14" s="22"/>
      <c r="H14" s="12">
        <f t="shared" si="0"/>
        <v>44679</v>
      </c>
      <c r="K14" s="4"/>
    </row>
    <row r="15" spans="2:11" x14ac:dyDescent="0.3">
      <c r="B15" s="6" t="s">
        <v>61</v>
      </c>
      <c r="C15" s="57"/>
      <c r="D15" s="22"/>
      <c r="E15" s="22"/>
      <c r="F15" s="22"/>
      <c r="G15" s="22"/>
      <c r="H15" s="67">
        <f t="shared" si="0"/>
        <v>44679</v>
      </c>
      <c r="K15" s="4"/>
    </row>
    <row r="16" spans="2:11" x14ac:dyDescent="0.3">
      <c r="B16" s="6" t="s">
        <v>19</v>
      </c>
      <c r="C16" s="23">
        <v>540000</v>
      </c>
      <c r="D16" s="23">
        <v>162000</v>
      </c>
      <c r="E16" s="23">
        <v>108000</v>
      </c>
      <c r="F16" s="22"/>
      <c r="G16" s="23"/>
      <c r="H16" s="12">
        <f t="shared" si="0"/>
        <v>44679</v>
      </c>
    </row>
    <row r="17" spans="2:10" x14ac:dyDescent="0.3">
      <c r="B17" s="6" t="s">
        <v>14</v>
      </c>
      <c r="C17" s="23">
        <v>756000</v>
      </c>
      <c r="D17" s="23">
        <v>1242000</v>
      </c>
      <c r="E17" s="23">
        <v>108000</v>
      </c>
      <c r="F17" s="22"/>
      <c r="G17" s="23"/>
      <c r="H17" s="12">
        <f t="shared" si="0"/>
        <v>44679</v>
      </c>
    </row>
    <row r="18" spans="2:10" x14ac:dyDescent="0.3">
      <c r="B18" s="6" t="s">
        <v>24</v>
      </c>
      <c r="C18" s="22"/>
      <c r="D18" s="22"/>
      <c r="E18" s="22"/>
      <c r="F18" s="49"/>
      <c r="G18" s="22"/>
      <c r="H18" s="12">
        <f t="shared" si="0"/>
        <v>44679</v>
      </c>
      <c r="J18" s="1" t="s">
        <v>66</v>
      </c>
    </row>
    <row r="19" spans="2:10" x14ac:dyDescent="0.3">
      <c r="B19" s="6" t="s">
        <v>21</v>
      </c>
      <c r="C19" s="22"/>
      <c r="D19" s="22"/>
      <c r="E19" s="22"/>
      <c r="F19" s="22"/>
      <c r="G19" s="22"/>
      <c r="H19" s="67">
        <f t="shared" si="0"/>
        <v>44679</v>
      </c>
    </row>
    <row r="20" spans="2:10" x14ac:dyDescent="0.3">
      <c r="B20" s="6" t="s">
        <v>65</v>
      </c>
      <c r="C20" s="22"/>
      <c r="D20" s="22"/>
      <c r="E20" s="22"/>
      <c r="F20" s="22"/>
      <c r="G20" s="22"/>
      <c r="H20" s="12">
        <f t="shared" si="0"/>
        <v>44679</v>
      </c>
    </row>
    <row r="21" spans="2:10" x14ac:dyDescent="0.3">
      <c r="B21" s="6" t="s">
        <v>18</v>
      </c>
      <c r="C21" s="62"/>
      <c r="D21" s="62"/>
      <c r="E21" s="62"/>
      <c r="F21" s="62"/>
      <c r="G21" s="62"/>
      <c r="H21" s="12">
        <f t="shared" si="0"/>
        <v>44679</v>
      </c>
    </row>
    <row r="22" spans="2:10" x14ac:dyDescent="0.3">
      <c r="B22" s="6" t="s">
        <v>16</v>
      </c>
      <c r="C22" s="22"/>
      <c r="D22" s="119"/>
      <c r="E22" s="62"/>
      <c r="F22" s="62"/>
      <c r="G22" s="62"/>
      <c r="H22" s="12">
        <f t="shared" si="0"/>
        <v>44679</v>
      </c>
    </row>
    <row r="23" spans="2:10" x14ac:dyDescent="0.3">
      <c r="B23" s="50" t="s">
        <v>27</v>
      </c>
      <c r="C23" s="51">
        <f>SUM(April28_2022[KSI_AGO])</f>
        <v>2538000</v>
      </c>
      <c r="D23" s="51">
        <f>SUBTOTAL(109,April28_2022[KSI_PMS])</f>
        <v>1404000</v>
      </c>
      <c r="E23" s="51">
        <f>SUM(April28_2022[BUIPE_AGO])</f>
        <v>594000</v>
      </c>
      <c r="F23" s="51">
        <f>SUM(April28_2022[BUIPE_PMS])</f>
        <v>0</v>
      </c>
      <c r="G23" s="51">
        <f>SUM(April28_2022[AKOSOMBO_AGO])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510144B-617A-482E-BF5A-241B0CF58DCA}">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2CFC-5E83-4C99-BDFA-82849C7B4097}">
  <sheetPr codeName="Sheet580"/>
  <dimension ref="B1:K24"/>
  <sheetViews>
    <sheetView zoomScale="116" zoomScaleNormal="115" workbookViewId="0">
      <pane xSplit="2" ySplit="5" topLeftCell="C6" activePane="bottomRight" state="frozen"/>
      <selection pane="topRight" activeCell="C1" sqref="C1"/>
      <selection pane="bottomLeft" activeCell="A6" sqref="A6"/>
      <selection pane="bottomRight" activeCell="G13" sqref="G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44680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44680</v>
      </c>
    </row>
    <row r="7" spans="2:11" ht="16.5" customHeight="1" x14ac:dyDescent="0.3">
      <c r="B7" s="6" t="s">
        <v>37</v>
      </c>
      <c r="C7" s="62"/>
      <c r="D7" s="62"/>
      <c r="E7" s="62"/>
      <c r="F7" s="62"/>
      <c r="G7" s="62"/>
      <c r="H7" s="67">
        <f t="shared" si="0"/>
        <v>44680</v>
      </c>
    </row>
    <row r="8" spans="2:11" x14ac:dyDescent="0.3">
      <c r="B8" s="6" t="s">
        <v>17</v>
      </c>
      <c r="C8" s="22"/>
      <c r="D8" s="22"/>
      <c r="E8" s="22"/>
      <c r="F8" s="22"/>
      <c r="G8" s="22"/>
      <c r="H8" s="12">
        <f t="shared" si="0"/>
        <v>44680</v>
      </c>
    </row>
    <row r="9" spans="2:11" ht="15.6" x14ac:dyDescent="0.3">
      <c r="B9" s="34" t="s">
        <v>0</v>
      </c>
      <c r="C9" s="60"/>
      <c r="D9" s="60"/>
      <c r="E9" s="60"/>
      <c r="F9" s="60"/>
      <c r="G9" s="61"/>
      <c r="H9" s="12">
        <f t="shared" si="0"/>
        <v>44680</v>
      </c>
    </row>
    <row r="10" spans="2:11" x14ac:dyDescent="0.3">
      <c r="B10" s="6" t="s">
        <v>25</v>
      </c>
      <c r="C10" s="22">
        <v>639000</v>
      </c>
      <c r="D10" s="57"/>
      <c r="E10" s="22">
        <v>216000</v>
      </c>
      <c r="F10" s="22"/>
      <c r="G10" s="22"/>
      <c r="H10" s="12">
        <f t="shared" si="0"/>
        <v>44680</v>
      </c>
    </row>
    <row r="11" spans="2:11" x14ac:dyDescent="0.3">
      <c r="B11" s="6" t="s">
        <v>15</v>
      </c>
      <c r="C11" s="22">
        <v>482000</v>
      </c>
      <c r="D11" s="22"/>
      <c r="E11" s="22">
        <v>162000</v>
      </c>
      <c r="F11" s="22"/>
      <c r="G11" s="57"/>
      <c r="H11" s="12">
        <f t="shared" si="0"/>
        <v>44680</v>
      </c>
    </row>
    <row r="12" spans="2:11" x14ac:dyDescent="0.3">
      <c r="B12" s="6" t="s">
        <v>54</v>
      </c>
      <c r="C12" s="22">
        <v>536000</v>
      </c>
      <c r="D12" s="22"/>
      <c r="E12" s="22">
        <v>270000</v>
      </c>
      <c r="F12" s="22"/>
      <c r="G12" s="22"/>
      <c r="H12" s="67">
        <f t="shared" si="0"/>
        <v>44680</v>
      </c>
    </row>
    <row r="13" spans="2:11" x14ac:dyDescent="0.3">
      <c r="B13" s="6" t="s">
        <v>26</v>
      </c>
      <c r="C13" s="22"/>
      <c r="D13" s="22">
        <v>756000</v>
      </c>
      <c r="E13" s="22"/>
      <c r="F13" s="22"/>
      <c r="G13" s="22"/>
      <c r="H13" s="12">
        <f t="shared" si="0"/>
        <v>44680</v>
      </c>
    </row>
    <row r="14" spans="2:11" x14ac:dyDescent="0.3">
      <c r="B14" s="6" t="s">
        <v>22</v>
      </c>
      <c r="C14" s="22"/>
      <c r="D14" s="22"/>
      <c r="E14" s="22"/>
      <c r="F14" s="22"/>
      <c r="G14" s="22"/>
      <c r="H14" s="12">
        <f t="shared" si="0"/>
        <v>44680</v>
      </c>
      <c r="K14" s="4"/>
    </row>
    <row r="15" spans="2:11" x14ac:dyDescent="0.3">
      <c r="B15" s="6" t="s">
        <v>61</v>
      </c>
      <c r="C15" s="57"/>
      <c r="D15" s="22"/>
      <c r="E15" s="22"/>
      <c r="F15" s="22"/>
      <c r="G15" s="22"/>
      <c r="H15" s="67">
        <f t="shared" si="0"/>
        <v>44680</v>
      </c>
      <c r="K15" s="4"/>
    </row>
    <row r="16" spans="2:11" x14ac:dyDescent="0.3">
      <c r="B16" s="6" t="s">
        <v>19</v>
      </c>
      <c r="C16" s="23">
        <v>540000</v>
      </c>
      <c r="D16" s="23">
        <v>540000</v>
      </c>
      <c r="E16" s="23">
        <v>212000</v>
      </c>
      <c r="F16" s="22"/>
      <c r="G16" s="23"/>
      <c r="H16" s="12">
        <f t="shared" si="0"/>
        <v>44680</v>
      </c>
    </row>
    <row r="17" spans="2:10" x14ac:dyDescent="0.3">
      <c r="B17" s="6" t="s">
        <v>14</v>
      </c>
      <c r="C17" s="23">
        <v>486000</v>
      </c>
      <c r="D17" s="23">
        <v>432000</v>
      </c>
      <c r="E17" s="23">
        <v>216000</v>
      </c>
      <c r="F17" s="22"/>
      <c r="G17" s="23"/>
      <c r="H17" s="12">
        <f t="shared" si="0"/>
        <v>44680</v>
      </c>
    </row>
    <row r="18" spans="2:10" x14ac:dyDescent="0.3">
      <c r="B18" s="6" t="s">
        <v>24</v>
      </c>
      <c r="C18" s="22"/>
      <c r="D18" s="22"/>
      <c r="E18" s="22"/>
      <c r="F18" s="49"/>
      <c r="G18" s="22"/>
      <c r="H18" s="12">
        <f t="shared" si="0"/>
        <v>44680</v>
      </c>
      <c r="J18" s="1" t="s">
        <v>66</v>
      </c>
    </row>
    <row r="19" spans="2:10" x14ac:dyDescent="0.3">
      <c r="B19" s="6" t="s">
        <v>21</v>
      </c>
      <c r="C19" s="22"/>
      <c r="D19" s="22"/>
      <c r="E19" s="22"/>
      <c r="F19" s="22"/>
      <c r="G19" s="22"/>
      <c r="H19" s="67">
        <f t="shared" si="0"/>
        <v>44680</v>
      </c>
    </row>
    <row r="20" spans="2:10" x14ac:dyDescent="0.3">
      <c r="B20" s="6" t="s">
        <v>65</v>
      </c>
      <c r="C20" s="22"/>
      <c r="D20" s="22"/>
      <c r="E20" s="22"/>
      <c r="F20" s="22"/>
      <c r="G20" s="22"/>
      <c r="H20" s="12">
        <f t="shared" si="0"/>
        <v>44680</v>
      </c>
    </row>
    <row r="21" spans="2:10" x14ac:dyDescent="0.3">
      <c r="B21" s="6" t="s">
        <v>18</v>
      </c>
      <c r="C21" s="62"/>
      <c r="D21" s="62"/>
      <c r="E21" s="62"/>
      <c r="F21" s="62"/>
      <c r="G21" s="62"/>
      <c r="H21" s="12">
        <f t="shared" si="0"/>
        <v>44680</v>
      </c>
    </row>
    <row r="22" spans="2:10" x14ac:dyDescent="0.3">
      <c r="B22" s="6" t="s">
        <v>16</v>
      </c>
      <c r="C22" s="22"/>
      <c r="D22" s="119"/>
      <c r="E22" s="62"/>
      <c r="F22" s="62"/>
      <c r="G22" s="62"/>
      <c r="H22" s="12">
        <f t="shared" si="0"/>
        <v>44680</v>
      </c>
    </row>
    <row r="23" spans="2:10" x14ac:dyDescent="0.3">
      <c r="B23" s="50" t="s">
        <v>27</v>
      </c>
      <c r="C23" s="51">
        <f>SUM(April29_2022[KSI_AGO])</f>
        <v>2683000</v>
      </c>
      <c r="D23" s="51">
        <f>SUBTOTAL(109,April29_2022[KSI_PMS])</f>
        <v>1728000</v>
      </c>
      <c r="E23" s="51">
        <f>SUM(April29_2022[BUIPE_AGO])</f>
        <v>1076000</v>
      </c>
      <c r="F23" s="51">
        <f>SUM(April29_2022[BUIPE_PMS])</f>
        <v>0</v>
      </c>
      <c r="G23" s="51">
        <f>SUM(April29_2022[AKOSOMBO_AGO])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B83C83F-8CED-436B-9816-209582D973F3}">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84EA9-8EB8-4B06-86FC-92F721158F1F}">
  <sheetPr codeName="Sheet581"/>
  <dimension ref="B1:K24"/>
  <sheetViews>
    <sheetView zoomScale="85" zoomScaleNormal="85" workbookViewId="0">
      <pane xSplit="2" ySplit="5" topLeftCell="C6" activePane="bottomRight" state="frozen"/>
      <selection pane="topRight" activeCell="C1" sqref="C1"/>
      <selection pane="bottomLeft" activeCell="A6" sqref="A6"/>
      <selection pane="bottomRight" activeCell="F14" sqref="F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44685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44685</v>
      </c>
    </row>
    <row r="7" spans="2:11" ht="16.5" customHeight="1" x14ac:dyDescent="0.3">
      <c r="B7" s="6" t="s">
        <v>37</v>
      </c>
      <c r="C7" s="62"/>
      <c r="D7" s="62"/>
      <c r="E7" s="62"/>
      <c r="F7" s="62"/>
      <c r="G7" s="62"/>
      <c r="H7" s="67">
        <f t="shared" si="0"/>
        <v>44685</v>
      </c>
    </row>
    <row r="8" spans="2:11" x14ac:dyDescent="0.3">
      <c r="B8" s="6" t="s">
        <v>17</v>
      </c>
      <c r="C8" s="22"/>
      <c r="D8" s="22"/>
      <c r="E8" s="22"/>
      <c r="F8" s="22"/>
      <c r="G8" s="22"/>
      <c r="H8" s="12">
        <f t="shared" si="0"/>
        <v>44685</v>
      </c>
    </row>
    <row r="9" spans="2:11" ht="15.6" x14ac:dyDescent="0.3">
      <c r="B9" s="34" t="s">
        <v>0</v>
      </c>
      <c r="C9" s="60"/>
      <c r="D9" s="60"/>
      <c r="E9" s="60"/>
      <c r="F9" s="60"/>
      <c r="G9" s="61"/>
      <c r="H9" s="12">
        <f t="shared" si="0"/>
        <v>44685</v>
      </c>
    </row>
    <row r="10" spans="2:11" x14ac:dyDescent="0.3">
      <c r="B10" s="6" t="s">
        <v>25</v>
      </c>
      <c r="C10" s="22">
        <v>216000</v>
      </c>
      <c r="D10" s="57"/>
      <c r="E10" s="22"/>
      <c r="F10" s="22"/>
      <c r="G10" s="22"/>
      <c r="H10" s="12">
        <f t="shared" si="0"/>
        <v>44685</v>
      </c>
    </row>
    <row r="11" spans="2:11" x14ac:dyDescent="0.3">
      <c r="B11" s="6" t="s">
        <v>15</v>
      </c>
      <c r="C11" s="22"/>
      <c r="D11" s="22"/>
      <c r="E11" s="22"/>
      <c r="F11" s="22"/>
      <c r="G11" s="57"/>
      <c r="H11" s="12">
        <f t="shared" si="0"/>
        <v>44685</v>
      </c>
    </row>
    <row r="12" spans="2:11" x14ac:dyDescent="0.3">
      <c r="B12" s="6" t="s">
        <v>54</v>
      </c>
      <c r="C12" s="22">
        <v>270000</v>
      </c>
      <c r="D12" s="22"/>
      <c r="E12" s="22"/>
      <c r="F12" s="22"/>
      <c r="G12" s="22"/>
      <c r="H12" s="67">
        <f t="shared" si="0"/>
        <v>44685</v>
      </c>
    </row>
    <row r="13" spans="2:11" x14ac:dyDescent="0.3">
      <c r="B13" s="6" t="s">
        <v>26</v>
      </c>
      <c r="C13" s="22"/>
      <c r="D13" s="22"/>
      <c r="E13" s="22"/>
      <c r="F13" s="22"/>
      <c r="G13" s="22"/>
      <c r="H13" s="12">
        <f t="shared" si="0"/>
        <v>44685</v>
      </c>
    </row>
    <row r="14" spans="2:11" x14ac:dyDescent="0.3">
      <c r="B14" s="6" t="s">
        <v>22</v>
      </c>
      <c r="C14" s="22"/>
      <c r="D14" s="22"/>
      <c r="E14" s="22"/>
      <c r="F14" s="22"/>
      <c r="G14" s="22"/>
      <c r="H14" s="12">
        <f t="shared" si="0"/>
        <v>44685</v>
      </c>
      <c r="K14" s="4"/>
    </row>
    <row r="15" spans="2:11" x14ac:dyDescent="0.3">
      <c r="B15" s="6" t="s">
        <v>61</v>
      </c>
      <c r="C15" s="57"/>
      <c r="D15" s="22"/>
      <c r="E15" s="22"/>
      <c r="F15" s="22"/>
      <c r="G15" s="22"/>
      <c r="H15" s="67">
        <f t="shared" si="0"/>
        <v>44685</v>
      </c>
      <c r="K15" s="4"/>
    </row>
    <row r="16" spans="2:11" x14ac:dyDescent="0.3">
      <c r="B16" s="6" t="s">
        <v>19</v>
      </c>
      <c r="C16" s="23">
        <v>108000</v>
      </c>
      <c r="D16" s="23"/>
      <c r="E16" s="23"/>
      <c r="F16" s="22"/>
      <c r="G16" s="23"/>
      <c r="H16" s="12">
        <f t="shared" si="0"/>
        <v>44685</v>
      </c>
    </row>
    <row r="17" spans="2:10" x14ac:dyDescent="0.3">
      <c r="B17" s="6" t="s">
        <v>14</v>
      </c>
      <c r="C17" s="23">
        <v>104000</v>
      </c>
      <c r="D17" s="23"/>
      <c r="E17" s="23"/>
      <c r="F17" s="22"/>
      <c r="G17" s="23"/>
      <c r="H17" s="12">
        <f t="shared" si="0"/>
        <v>44685</v>
      </c>
    </row>
    <row r="18" spans="2:10" x14ac:dyDescent="0.3">
      <c r="B18" s="6" t="s">
        <v>24</v>
      </c>
      <c r="C18" s="22"/>
      <c r="D18" s="22"/>
      <c r="E18" s="22"/>
      <c r="F18" s="49"/>
      <c r="G18" s="22"/>
      <c r="H18" s="12">
        <f t="shared" si="0"/>
        <v>44685</v>
      </c>
      <c r="J18" s="1" t="s">
        <v>66</v>
      </c>
    </row>
    <row r="19" spans="2:10" x14ac:dyDescent="0.3">
      <c r="B19" s="6" t="s">
        <v>21</v>
      </c>
      <c r="C19" s="22"/>
      <c r="D19" s="22"/>
      <c r="E19" s="22"/>
      <c r="F19" s="22"/>
      <c r="G19" s="22"/>
      <c r="H19" s="67">
        <f t="shared" si="0"/>
        <v>44685</v>
      </c>
    </row>
    <row r="20" spans="2:10" x14ac:dyDescent="0.3">
      <c r="B20" s="6" t="s">
        <v>65</v>
      </c>
      <c r="C20" s="22"/>
      <c r="D20" s="22"/>
      <c r="E20" s="22"/>
      <c r="F20" s="22"/>
      <c r="G20" s="22"/>
      <c r="H20" s="12">
        <f t="shared" si="0"/>
        <v>44685</v>
      </c>
    </row>
    <row r="21" spans="2:10" x14ac:dyDescent="0.3">
      <c r="B21" s="6" t="s">
        <v>18</v>
      </c>
      <c r="C21" s="62"/>
      <c r="D21" s="62"/>
      <c r="E21" s="62"/>
      <c r="F21" s="62"/>
      <c r="G21" s="62"/>
      <c r="H21" s="12">
        <f t="shared" si="0"/>
        <v>44685</v>
      </c>
    </row>
    <row r="22" spans="2:10" x14ac:dyDescent="0.3">
      <c r="B22" s="6" t="s">
        <v>16</v>
      </c>
      <c r="C22" s="22"/>
      <c r="D22" s="119"/>
      <c r="E22" s="62"/>
      <c r="F22" s="62"/>
      <c r="G22" s="62"/>
      <c r="H22" s="12">
        <f t="shared" si="0"/>
        <v>44685</v>
      </c>
    </row>
    <row r="23" spans="2:10" x14ac:dyDescent="0.3">
      <c r="B23" s="50" t="s">
        <v>27</v>
      </c>
      <c r="C23" s="51">
        <f>SUM(May04_2022[KSI_AGO])</f>
        <v>698000</v>
      </c>
      <c r="D23" s="51">
        <f>SUBTOTAL(109,May04_2022[KSI_PMS])</f>
        <v>0</v>
      </c>
      <c r="E23" s="51">
        <f>SUM(May04_2022[BUIPE_AGO])</f>
        <v>0</v>
      </c>
      <c r="F23" s="51">
        <f>SUM(May04_2022[BUIPE_PMS])</f>
        <v>0</v>
      </c>
      <c r="G23" s="51">
        <f>SUM(May04_2022[AKOSOMBO_AGO])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7F1AF89E-0FE0-4E95-B00F-9792D9AFD6CB}">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B222D-1765-48F9-B47F-4D35B5BEDF47}">
  <sheetPr codeName="Sheet582"/>
  <dimension ref="B1:K24"/>
  <sheetViews>
    <sheetView zoomScale="116" zoomScaleNormal="115" workbookViewId="0">
      <pane xSplit="2" ySplit="5" topLeftCell="C6" activePane="bottomRight" state="frozen"/>
      <selection pane="topRight" activeCell="C1" sqref="C1"/>
      <selection pane="bottomLeft" activeCell="A6" sqref="A6"/>
      <selection pane="bottomRight" activeCell="G13" sqref="G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44686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44686</v>
      </c>
    </row>
    <row r="7" spans="2:11" ht="16.5" customHeight="1" x14ac:dyDescent="0.3">
      <c r="B7" s="6" t="s">
        <v>37</v>
      </c>
      <c r="C7" s="57"/>
      <c r="D7" s="62"/>
      <c r="E7" s="62"/>
      <c r="F7" s="62"/>
      <c r="G7" s="62"/>
      <c r="H7" s="67">
        <f t="shared" si="0"/>
        <v>44686</v>
      </c>
    </row>
    <row r="8" spans="2:11" x14ac:dyDescent="0.3">
      <c r="B8" s="6" t="s">
        <v>17</v>
      </c>
      <c r="C8" s="22"/>
      <c r="D8" s="22"/>
      <c r="E8" s="22"/>
      <c r="F8" s="22"/>
      <c r="G8" s="22"/>
      <c r="H8" s="12">
        <f t="shared" si="0"/>
        <v>44686</v>
      </c>
    </row>
    <row r="9" spans="2:11" ht="15.6" x14ac:dyDescent="0.3">
      <c r="B9" s="34" t="s">
        <v>0</v>
      </c>
      <c r="C9" s="60"/>
      <c r="D9" s="60"/>
      <c r="E9" s="60"/>
      <c r="F9" s="60"/>
      <c r="G9" s="61"/>
      <c r="H9" s="12">
        <f t="shared" si="0"/>
        <v>44686</v>
      </c>
    </row>
    <row r="10" spans="2:11" x14ac:dyDescent="0.3">
      <c r="B10" s="6" t="s">
        <v>25</v>
      </c>
      <c r="C10" s="62">
        <v>756000</v>
      </c>
      <c r="D10" s="57"/>
      <c r="E10" s="22"/>
      <c r="F10" s="22"/>
      <c r="G10" s="22"/>
      <c r="H10" s="12">
        <f t="shared" si="0"/>
        <v>44686</v>
      </c>
    </row>
    <row r="11" spans="2:11" x14ac:dyDescent="0.3">
      <c r="B11" s="6" t="s">
        <v>15</v>
      </c>
      <c r="C11" s="22"/>
      <c r="D11" s="22">
        <v>580500</v>
      </c>
      <c r="E11" s="22"/>
      <c r="F11" s="22"/>
      <c r="G11" s="57"/>
      <c r="H11" s="12">
        <f t="shared" si="0"/>
        <v>44686</v>
      </c>
    </row>
    <row r="12" spans="2:11" x14ac:dyDescent="0.3">
      <c r="B12" s="6" t="s">
        <v>54</v>
      </c>
      <c r="C12" s="22">
        <v>427500</v>
      </c>
      <c r="D12" s="22"/>
      <c r="E12" s="22"/>
      <c r="F12" s="22"/>
      <c r="G12" s="22"/>
      <c r="H12" s="67">
        <f t="shared" si="0"/>
        <v>44686</v>
      </c>
    </row>
    <row r="13" spans="2:11" x14ac:dyDescent="0.3">
      <c r="B13" s="6" t="s">
        <v>26</v>
      </c>
      <c r="C13" s="22"/>
      <c r="D13" s="22">
        <v>589500</v>
      </c>
      <c r="E13" s="22"/>
      <c r="F13" s="22"/>
      <c r="G13" s="22"/>
      <c r="H13" s="12">
        <f t="shared" si="0"/>
        <v>44686</v>
      </c>
    </row>
    <row r="14" spans="2:11" x14ac:dyDescent="0.3">
      <c r="B14" s="6" t="s">
        <v>22</v>
      </c>
      <c r="C14" s="22"/>
      <c r="D14" s="22"/>
      <c r="E14" s="22"/>
      <c r="F14" s="22"/>
      <c r="G14" s="22"/>
      <c r="H14" s="12">
        <f t="shared" si="0"/>
        <v>44686</v>
      </c>
      <c r="K14" s="4"/>
    </row>
    <row r="15" spans="2:11" x14ac:dyDescent="0.3">
      <c r="B15" s="6" t="s">
        <v>61</v>
      </c>
      <c r="C15" s="57"/>
      <c r="D15" s="22"/>
      <c r="E15" s="22"/>
      <c r="F15" s="22"/>
      <c r="G15" s="22"/>
      <c r="H15" s="67">
        <f t="shared" si="0"/>
        <v>44686</v>
      </c>
      <c r="K15" s="4"/>
    </row>
    <row r="16" spans="2:11" x14ac:dyDescent="0.3">
      <c r="B16" s="6" t="s">
        <v>19</v>
      </c>
      <c r="C16" s="23">
        <v>742500</v>
      </c>
      <c r="D16" s="23">
        <v>306000</v>
      </c>
      <c r="E16" s="23"/>
      <c r="F16" s="22"/>
      <c r="G16" s="23"/>
      <c r="H16" s="12">
        <f t="shared" si="0"/>
        <v>44686</v>
      </c>
    </row>
    <row r="17" spans="2:10" x14ac:dyDescent="0.3">
      <c r="B17" s="6" t="s">
        <v>14</v>
      </c>
      <c r="C17" s="23">
        <v>378000</v>
      </c>
      <c r="D17" s="23">
        <v>270000</v>
      </c>
      <c r="E17" s="23"/>
      <c r="F17" s="22"/>
      <c r="G17" s="23"/>
      <c r="H17" s="12">
        <f t="shared" si="0"/>
        <v>44686</v>
      </c>
    </row>
    <row r="18" spans="2:10" x14ac:dyDescent="0.3">
      <c r="B18" s="6" t="s">
        <v>24</v>
      </c>
      <c r="C18" s="22"/>
      <c r="D18" s="22"/>
      <c r="E18" s="22"/>
      <c r="F18" s="49"/>
      <c r="G18" s="22"/>
      <c r="H18" s="12">
        <f t="shared" si="0"/>
        <v>44686</v>
      </c>
      <c r="J18" s="1" t="s">
        <v>66</v>
      </c>
    </row>
    <row r="19" spans="2:10" x14ac:dyDescent="0.3">
      <c r="B19" s="6" t="s">
        <v>21</v>
      </c>
      <c r="C19" s="22"/>
      <c r="D19" s="22"/>
      <c r="E19" s="22"/>
      <c r="F19" s="22"/>
      <c r="G19" s="22"/>
      <c r="H19" s="67">
        <f t="shared" si="0"/>
        <v>44686</v>
      </c>
    </row>
    <row r="20" spans="2:10" x14ac:dyDescent="0.3">
      <c r="B20" s="6" t="s">
        <v>65</v>
      </c>
      <c r="C20" s="22"/>
      <c r="D20" s="22"/>
      <c r="E20" s="22"/>
      <c r="F20" s="22"/>
      <c r="G20" s="22"/>
      <c r="H20" s="12">
        <f t="shared" si="0"/>
        <v>44686</v>
      </c>
    </row>
    <row r="21" spans="2:10" x14ac:dyDescent="0.3">
      <c r="B21" s="6" t="s">
        <v>18</v>
      </c>
      <c r="C21" s="62"/>
      <c r="D21" s="62"/>
      <c r="E21" s="62"/>
      <c r="F21" s="62"/>
      <c r="G21" s="62"/>
      <c r="H21" s="12">
        <f t="shared" si="0"/>
        <v>44686</v>
      </c>
    </row>
    <row r="22" spans="2:10" x14ac:dyDescent="0.3">
      <c r="B22" s="6" t="s">
        <v>16</v>
      </c>
      <c r="C22" s="22"/>
      <c r="D22" s="119">
        <v>45000</v>
      </c>
      <c r="E22" s="62"/>
      <c r="F22" s="62">
        <v>162000</v>
      </c>
      <c r="G22" s="62"/>
      <c r="H22" s="12">
        <f t="shared" si="0"/>
        <v>44686</v>
      </c>
    </row>
    <row r="23" spans="2:10" x14ac:dyDescent="0.3">
      <c r="B23" s="50" t="s">
        <v>27</v>
      </c>
      <c r="C23" s="51">
        <f>SUM(May05_2022[KSI_AGO])</f>
        <v>2304000</v>
      </c>
      <c r="D23" s="51">
        <f>SUBTOTAL(109,May05_2022[KSI_PMS])</f>
        <v>1791000</v>
      </c>
      <c r="E23" s="51">
        <f>SUM(May05_2022[BUIPE_AGO])</f>
        <v>0</v>
      </c>
      <c r="F23" s="51">
        <f>SUM(May05_2022[BUIPE_PMS])</f>
        <v>162000</v>
      </c>
      <c r="G23" s="51">
        <f>SUM(May05_2022[AKOSOMBO_AGO])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9DEF234-E637-4B8E-8F1B-EFDDF3C57F52}">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1068-AE1C-4DC6-BAA9-B6843DB7046D}">
  <sheetPr codeName="Sheet583"/>
  <dimension ref="B1:K24"/>
  <sheetViews>
    <sheetView zoomScale="116" zoomScaleNormal="115" workbookViewId="0">
      <pane xSplit="2" ySplit="5" topLeftCell="H9" activePane="bottomRight" state="frozen"/>
      <selection pane="topRight" activeCell="C1" sqref="C1"/>
      <selection pane="bottomLeft" activeCell="A6" sqref="A6"/>
      <selection pane="bottomRight" activeCell="H18" sqref="H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44687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44687</v>
      </c>
    </row>
    <row r="7" spans="2:11" ht="16.5" customHeight="1" x14ac:dyDescent="0.3">
      <c r="B7" s="6" t="s">
        <v>37</v>
      </c>
      <c r="C7" s="57"/>
      <c r="D7" s="62"/>
      <c r="E7" s="62"/>
      <c r="F7" s="62"/>
      <c r="G7" s="62"/>
      <c r="H7" s="67">
        <f t="shared" si="0"/>
        <v>44687</v>
      </c>
    </row>
    <row r="8" spans="2:11" x14ac:dyDescent="0.3">
      <c r="B8" s="6" t="s">
        <v>17</v>
      </c>
      <c r="C8" s="22"/>
      <c r="D8" s="22"/>
      <c r="E8" s="22"/>
      <c r="F8" s="22"/>
      <c r="G8" s="22"/>
      <c r="H8" s="12">
        <f t="shared" si="0"/>
        <v>44687</v>
      </c>
    </row>
    <row r="9" spans="2:11" ht="15.6" x14ac:dyDescent="0.3">
      <c r="B9" s="34" t="s">
        <v>0</v>
      </c>
      <c r="C9" s="60"/>
      <c r="D9" s="60"/>
      <c r="E9" s="60"/>
      <c r="F9" s="60"/>
      <c r="G9" s="61"/>
      <c r="H9" s="12">
        <f t="shared" si="0"/>
        <v>44687</v>
      </c>
    </row>
    <row r="10" spans="2:11" x14ac:dyDescent="0.3">
      <c r="B10" s="6" t="s">
        <v>25</v>
      </c>
      <c r="C10" s="62">
        <v>108000</v>
      </c>
      <c r="D10" s="57"/>
      <c r="E10" s="22">
        <v>108000</v>
      </c>
      <c r="F10" s="22"/>
      <c r="G10" s="22"/>
      <c r="H10" s="12">
        <f t="shared" si="0"/>
        <v>44687</v>
      </c>
    </row>
    <row r="11" spans="2:11" x14ac:dyDescent="0.3">
      <c r="B11" s="6" t="s">
        <v>15</v>
      </c>
      <c r="C11" s="22">
        <v>1026000</v>
      </c>
      <c r="D11" s="22">
        <v>688500</v>
      </c>
      <c r="E11" s="22">
        <v>108000</v>
      </c>
      <c r="F11" s="22"/>
      <c r="G11" s="57"/>
      <c r="H11" s="12">
        <f t="shared" si="0"/>
        <v>44687</v>
      </c>
    </row>
    <row r="12" spans="2:11" x14ac:dyDescent="0.3">
      <c r="B12" s="6" t="s">
        <v>54</v>
      </c>
      <c r="C12" s="22"/>
      <c r="D12" s="22"/>
      <c r="E12" s="22">
        <v>108000</v>
      </c>
      <c r="F12" s="22"/>
      <c r="G12" s="22"/>
      <c r="H12" s="67">
        <f t="shared" si="0"/>
        <v>44687</v>
      </c>
    </row>
    <row r="13" spans="2:11" x14ac:dyDescent="0.3">
      <c r="B13" s="6" t="s">
        <v>26</v>
      </c>
      <c r="C13" s="22"/>
      <c r="D13" s="22">
        <v>540000</v>
      </c>
      <c r="E13" s="22"/>
      <c r="F13" s="22"/>
      <c r="G13" s="22"/>
      <c r="H13" s="12">
        <f t="shared" si="0"/>
        <v>44687</v>
      </c>
    </row>
    <row r="14" spans="2:11" x14ac:dyDescent="0.3">
      <c r="B14" s="6" t="s">
        <v>22</v>
      </c>
      <c r="C14" s="22"/>
      <c r="D14" s="22"/>
      <c r="E14" s="22"/>
      <c r="F14" s="22"/>
      <c r="G14" s="22"/>
      <c r="H14" s="12">
        <f t="shared" si="0"/>
        <v>44687</v>
      </c>
      <c r="K14" s="4"/>
    </row>
    <row r="15" spans="2:11" x14ac:dyDescent="0.3">
      <c r="B15" s="6" t="s">
        <v>61</v>
      </c>
      <c r="C15" s="57"/>
      <c r="D15" s="22"/>
      <c r="E15" s="22"/>
      <c r="F15" s="22"/>
      <c r="G15" s="22"/>
      <c r="H15" s="67">
        <f t="shared" si="0"/>
        <v>44687</v>
      </c>
      <c r="K15" s="4"/>
    </row>
    <row r="16" spans="2:11" x14ac:dyDescent="0.3">
      <c r="B16" s="6" t="s">
        <v>19</v>
      </c>
      <c r="C16" s="23">
        <v>54000</v>
      </c>
      <c r="D16" s="23"/>
      <c r="E16" s="23">
        <v>216000</v>
      </c>
      <c r="F16" s="22"/>
      <c r="G16" s="23"/>
      <c r="H16" s="12">
        <f t="shared" si="0"/>
        <v>44687</v>
      </c>
    </row>
    <row r="17" spans="2:10" x14ac:dyDescent="0.3">
      <c r="B17" s="6" t="s">
        <v>14</v>
      </c>
      <c r="C17" s="23">
        <v>103500</v>
      </c>
      <c r="D17" s="23">
        <v>108000</v>
      </c>
      <c r="E17" s="23">
        <v>103500</v>
      </c>
      <c r="F17" s="22"/>
      <c r="G17" s="23"/>
      <c r="H17" s="12">
        <f t="shared" si="0"/>
        <v>44687</v>
      </c>
    </row>
    <row r="18" spans="2:10" x14ac:dyDescent="0.3">
      <c r="B18" s="6" t="s">
        <v>24</v>
      </c>
      <c r="C18" s="22"/>
      <c r="D18" s="22"/>
      <c r="E18" s="22"/>
      <c r="F18" s="49"/>
      <c r="G18" s="22"/>
      <c r="H18" s="12">
        <f t="shared" si="0"/>
        <v>44687</v>
      </c>
      <c r="J18" s="1" t="s">
        <v>66</v>
      </c>
    </row>
    <row r="19" spans="2:10" x14ac:dyDescent="0.3">
      <c r="B19" s="6" t="s">
        <v>21</v>
      </c>
      <c r="C19" s="22"/>
      <c r="D19" s="22"/>
      <c r="E19" s="22"/>
      <c r="F19" s="22"/>
      <c r="G19" s="22"/>
      <c r="H19" s="67">
        <f t="shared" si="0"/>
        <v>44687</v>
      </c>
    </row>
    <row r="20" spans="2:10" x14ac:dyDescent="0.3">
      <c r="B20" s="6" t="s">
        <v>65</v>
      </c>
      <c r="C20" s="22"/>
      <c r="D20" s="22"/>
      <c r="E20" s="22"/>
      <c r="F20" s="22"/>
      <c r="G20" s="22"/>
      <c r="H20" s="12">
        <f t="shared" si="0"/>
        <v>44687</v>
      </c>
    </row>
    <row r="21" spans="2:10" x14ac:dyDescent="0.3">
      <c r="B21" s="6" t="s">
        <v>18</v>
      </c>
      <c r="C21" s="62"/>
      <c r="D21" s="62"/>
      <c r="E21" s="62"/>
      <c r="F21" s="62"/>
      <c r="G21" s="62"/>
      <c r="H21" s="12">
        <f t="shared" si="0"/>
        <v>44687</v>
      </c>
    </row>
    <row r="22" spans="2:10" x14ac:dyDescent="0.3">
      <c r="B22" s="6" t="s">
        <v>16</v>
      </c>
      <c r="C22" s="22"/>
      <c r="D22" s="119"/>
      <c r="E22" s="62"/>
      <c r="F22" s="62"/>
      <c r="G22" s="62"/>
      <c r="H22" s="12">
        <f t="shared" si="0"/>
        <v>44687</v>
      </c>
    </row>
    <row r="23" spans="2:10" x14ac:dyDescent="0.3">
      <c r="B23" s="50" t="s">
        <v>27</v>
      </c>
      <c r="C23" s="51">
        <f>SUM(May06_2022[KSI_AGO])</f>
        <v>1291500</v>
      </c>
      <c r="D23" s="51">
        <f>SUBTOTAL(109,May06_2022[KSI_PMS])</f>
        <v>1336500</v>
      </c>
      <c r="E23" s="51">
        <f>SUM(May06_2022[BUIPE_AGO])</f>
        <v>643500</v>
      </c>
      <c r="F23" s="51">
        <f>SUM(May06_2022[BUIPE_PMS])</f>
        <v>0</v>
      </c>
      <c r="G23" s="51">
        <f>SUM(May06_2022[AKOSOMBO_AGO])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FE43B22D-EBFC-4200-A9F7-FD34E02971C5}">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5A22-7AB1-42C1-8E2D-89034BFC3ADB}">
  <sheetPr codeName="Sheet584"/>
  <dimension ref="B1:K24"/>
  <sheetViews>
    <sheetView zoomScaleNormal="100" workbookViewId="0">
      <pane xSplit="2" ySplit="5" topLeftCell="C6" activePane="bottomRight" state="frozen"/>
      <selection pane="topRight" activeCell="C1" sqref="C1"/>
      <selection pane="bottomLeft" activeCell="A6" sqref="A6"/>
      <selection pane="bottomRight" activeCell="D11" sqref="D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44690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44690</v>
      </c>
    </row>
    <row r="7" spans="2:11" ht="16.5" customHeight="1" x14ac:dyDescent="0.3">
      <c r="B7" s="6" t="s">
        <v>37</v>
      </c>
      <c r="C7" s="57"/>
      <c r="D7" s="62"/>
      <c r="E7" s="62"/>
      <c r="F7" s="62"/>
      <c r="G7" s="62"/>
      <c r="H7" s="67">
        <f t="shared" si="0"/>
        <v>44690</v>
      </c>
    </row>
    <row r="8" spans="2:11" x14ac:dyDescent="0.3">
      <c r="B8" s="6" t="s">
        <v>17</v>
      </c>
      <c r="C8" s="22"/>
      <c r="D8" s="22"/>
      <c r="E8" s="22"/>
      <c r="F8" s="22"/>
      <c r="G8" s="22"/>
      <c r="H8" s="12">
        <f t="shared" si="0"/>
        <v>44690</v>
      </c>
    </row>
    <row r="9" spans="2:11" ht="15.6" x14ac:dyDescent="0.3">
      <c r="B9" s="34" t="s">
        <v>0</v>
      </c>
      <c r="C9" s="60">
        <v>1134000</v>
      </c>
      <c r="D9" s="60"/>
      <c r="E9" s="60">
        <v>108000</v>
      </c>
      <c r="F9" s="60"/>
      <c r="G9" s="61"/>
      <c r="H9" s="12">
        <f t="shared" si="0"/>
        <v>44690</v>
      </c>
    </row>
    <row r="10" spans="2:11" x14ac:dyDescent="0.3">
      <c r="B10" s="6" t="s">
        <v>25</v>
      </c>
      <c r="C10" s="62">
        <v>108000</v>
      </c>
      <c r="D10" s="57"/>
      <c r="E10" s="22">
        <v>54000</v>
      </c>
      <c r="F10" s="22"/>
      <c r="G10" s="22"/>
      <c r="H10" s="12">
        <f t="shared" si="0"/>
        <v>44690</v>
      </c>
    </row>
    <row r="11" spans="2:11" x14ac:dyDescent="0.3">
      <c r="B11" s="6" t="s">
        <v>15</v>
      </c>
      <c r="C11" s="22">
        <v>540000</v>
      </c>
      <c r="D11" s="22">
        <v>756000</v>
      </c>
      <c r="E11" s="22">
        <v>54000</v>
      </c>
      <c r="F11" s="22"/>
      <c r="G11" s="57"/>
      <c r="H11" s="12">
        <f t="shared" si="0"/>
        <v>44690</v>
      </c>
    </row>
    <row r="12" spans="2:11" x14ac:dyDescent="0.3">
      <c r="B12" s="6" t="s">
        <v>54</v>
      </c>
      <c r="C12" s="22"/>
      <c r="D12" s="22"/>
      <c r="E12" s="22"/>
      <c r="F12" s="22"/>
      <c r="G12" s="22"/>
      <c r="H12" s="67">
        <f t="shared" si="0"/>
        <v>44690</v>
      </c>
    </row>
    <row r="13" spans="2:11" x14ac:dyDescent="0.3">
      <c r="B13" s="6" t="s">
        <v>26</v>
      </c>
      <c r="C13" s="22">
        <v>265500</v>
      </c>
      <c r="D13" s="22">
        <v>306000</v>
      </c>
      <c r="E13" s="22"/>
      <c r="F13" s="22"/>
      <c r="G13" s="22"/>
      <c r="H13" s="12">
        <f t="shared" si="0"/>
        <v>44690</v>
      </c>
    </row>
    <row r="14" spans="2:11" x14ac:dyDescent="0.3">
      <c r="B14" s="6" t="s">
        <v>22</v>
      </c>
      <c r="C14" s="22"/>
      <c r="D14" s="22"/>
      <c r="E14" s="22"/>
      <c r="F14" s="22"/>
      <c r="G14" s="22"/>
      <c r="H14" s="12">
        <f t="shared" si="0"/>
        <v>44690</v>
      </c>
      <c r="K14" s="4"/>
    </row>
    <row r="15" spans="2:11" x14ac:dyDescent="0.3">
      <c r="B15" s="6" t="s">
        <v>61</v>
      </c>
      <c r="C15" s="57"/>
      <c r="D15" s="22"/>
      <c r="E15" s="22"/>
      <c r="F15" s="22"/>
      <c r="G15" s="22"/>
      <c r="H15" s="67">
        <f t="shared" si="0"/>
        <v>44690</v>
      </c>
      <c r="K15" s="4"/>
    </row>
    <row r="16" spans="2:11" x14ac:dyDescent="0.3">
      <c r="B16" s="6" t="s">
        <v>19</v>
      </c>
      <c r="C16" s="23">
        <v>162000</v>
      </c>
      <c r="D16" s="23"/>
      <c r="E16" s="23"/>
      <c r="F16" s="22"/>
      <c r="G16" s="23"/>
      <c r="H16" s="12">
        <f t="shared" si="0"/>
        <v>44690</v>
      </c>
    </row>
    <row r="17" spans="2:10" x14ac:dyDescent="0.3">
      <c r="B17" s="6" t="s">
        <v>14</v>
      </c>
      <c r="C17" s="23">
        <v>270000</v>
      </c>
      <c r="D17" s="23"/>
      <c r="E17" s="23">
        <v>54000</v>
      </c>
      <c r="F17" s="22"/>
      <c r="G17" s="23"/>
      <c r="H17" s="12">
        <f t="shared" si="0"/>
        <v>44690</v>
      </c>
    </row>
    <row r="18" spans="2:10" x14ac:dyDescent="0.3">
      <c r="B18" s="6" t="s">
        <v>24</v>
      </c>
      <c r="C18" s="22"/>
      <c r="D18" s="22"/>
      <c r="E18" s="22"/>
      <c r="F18" s="49"/>
      <c r="G18" s="22"/>
      <c r="H18" s="12">
        <f t="shared" si="0"/>
        <v>44690</v>
      </c>
      <c r="J18" s="1" t="s">
        <v>66</v>
      </c>
    </row>
    <row r="19" spans="2:10" x14ac:dyDescent="0.3">
      <c r="B19" s="6" t="s">
        <v>21</v>
      </c>
      <c r="C19" s="22"/>
      <c r="D19" s="22"/>
      <c r="E19" s="22"/>
      <c r="F19" s="22"/>
      <c r="G19" s="22"/>
      <c r="H19" s="67">
        <f t="shared" si="0"/>
        <v>44690</v>
      </c>
    </row>
    <row r="20" spans="2:10" x14ac:dyDescent="0.3">
      <c r="B20" s="6" t="s">
        <v>65</v>
      </c>
      <c r="C20" s="22"/>
      <c r="D20" s="22"/>
      <c r="E20" s="22"/>
      <c r="F20" s="22"/>
      <c r="G20" s="22"/>
      <c r="H20" s="12">
        <f t="shared" si="0"/>
        <v>44690</v>
      </c>
    </row>
    <row r="21" spans="2:10" x14ac:dyDescent="0.3">
      <c r="B21" s="6" t="s">
        <v>18</v>
      </c>
      <c r="C21" s="62"/>
      <c r="D21" s="62"/>
      <c r="E21" s="62"/>
      <c r="F21" s="62"/>
      <c r="G21" s="62"/>
      <c r="H21" s="12">
        <f t="shared" si="0"/>
        <v>44690</v>
      </c>
    </row>
    <row r="22" spans="2:10" x14ac:dyDescent="0.3">
      <c r="B22" s="6" t="s">
        <v>16</v>
      </c>
      <c r="C22" s="22"/>
      <c r="D22" s="119"/>
      <c r="E22" s="62"/>
      <c r="F22" s="62"/>
      <c r="G22" s="62"/>
      <c r="H22" s="12">
        <f t="shared" si="0"/>
        <v>44690</v>
      </c>
    </row>
    <row r="23" spans="2:10" x14ac:dyDescent="0.3">
      <c r="B23" s="50" t="s">
        <v>27</v>
      </c>
      <c r="C23" s="51">
        <f>SUM(May09_2022[KSI_AGO])</f>
        <v>2479500</v>
      </c>
      <c r="D23" s="51">
        <f>SUBTOTAL(109,May09_2022[KSI_PMS])</f>
        <v>1062000</v>
      </c>
      <c r="E23" s="51">
        <f>SUM(May09_2022[BUIPE_AGO])</f>
        <v>270000</v>
      </c>
      <c r="F23" s="51">
        <f>SUM(May09_2022[BUIPE_PMS])</f>
        <v>0</v>
      </c>
      <c r="G23" s="51">
        <f>SUM(May09_2022[AKOSOMBO_AGO])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CC2A22AB-ADB2-496C-B1F5-85EC52561385}">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58996-B572-49CB-BA12-04835FDB1EE3}">
  <sheetPr codeName="Sheet585"/>
  <dimension ref="B1:K24"/>
  <sheetViews>
    <sheetView zoomScaleNormal="100" workbookViewId="0">
      <pane xSplit="2" ySplit="5" topLeftCell="C6" activePane="bottomRight" state="frozen"/>
      <selection pane="topRight" activeCell="C1" sqref="C1"/>
      <selection pane="bottomLeft" activeCell="A6" sqref="A6"/>
      <selection pane="bottomRight" activeCell="C16" sqref="C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44691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44691</v>
      </c>
    </row>
    <row r="7" spans="2:11" ht="16.5" customHeight="1" x14ac:dyDescent="0.3">
      <c r="B7" s="6" t="s">
        <v>37</v>
      </c>
      <c r="C7" s="57"/>
      <c r="D7" s="62"/>
      <c r="E7" s="62"/>
      <c r="F7" s="62"/>
      <c r="G7" s="62"/>
      <c r="H7" s="67">
        <f t="shared" si="0"/>
        <v>44691</v>
      </c>
    </row>
    <row r="8" spans="2:11" x14ac:dyDescent="0.3">
      <c r="B8" s="6" t="s">
        <v>17</v>
      </c>
      <c r="C8" s="22"/>
      <c r="D8" s="22">
        <v>54000</v>
      </c>
      <c r="E8" s="22"/>
      <c r="F8" s="22"/>
      <c r="G8" s="22"/>
      <c r="H8" s="12">
        <f t="shared" si="0"/>
        <v>44691</v>
      </c>
    </row>
    <row r="9" spans="2:11" ht="15.6" x14ac:dyDescent="0.3">
      <c r="B9" s="34" t="s">
        <v>0</v>
      </c>
      <c r="C9" s="60">
        <v>216000</v>
      </c>
      <c r="D9" s="60"/>
      <c r="E9" s="60"/>
      <c r="F9" s="60"/>
      <c r="G9" s="61"/>
      <c r="H9" s="12">
        <f t="shared" si="0"/>
        <v>44691</v>
      </c>
    </row>
    <row r="10" spans="2:11" x14ac:dyDescent="0.3">
      <c r="B10" s="6" t="s">
        <v>25</v>
      </c>
      <c r="C10" s="62"/>
      <c r="D10" s="57"/>
      <c r="E10" s="22">
        <v>54000</v>
      </c>
      <c r="F10" s="22"/>
      <c r="G10" s="22"/>
      <c r="H10" s="12">
        <f t="shared" si="0"/>
        <v>44691</v>
      </c>
    </row>
    <row r="11" spans="2:11" x14ac:dyDescent="0.3">
      <c r="B11" s="6" t="s">
        <v>15</v>
      </c>
      <c r="C11" s="22">
        <v>589500</v>
      </c>
      <c r="D11" s="22">
        <v>963000</v>
      </c>
      <c r="E11" s="22"/>
      <c r="F11" s="22"/>
      <c r="G11" s="57"/>
      <c r="H11" s="12">
        <f t="shared" si="0"/>
        <v>44691</v>
      </c>
    </row>
    <row r="12" spans="2:11" x14ac:dyDescent="0.3">
      <c r="B12" s="6" t="s">
        <v>54</v>
      </c>
      <c r="C12" s="22"/>
      <c r="D12" s="22"/>
      <c r="E12" s="22"/>
      <c r="F12" s="22">
        <v>216000</v>
      </c>
      <c r="G12" s="22"/>
      <c r="H12" s="67">
        <f t="shared" si="0"/>
        <v>44691</v>
      </c>
    </row>
    <row r="13" spans="2:11" x14ac:dyDescent="0.3">
      <c r="B13" s="6" t="s">
        <v>26</v>
      </c>
      <c r="C13" s="22">
        <v>139500</v>
      </c>
      <c r="D13" s="22">
        <v>216000</v>
      </c>
      <c r="E13" s="22"/>
      <c r="F13" s="22"/>
      <c r="G13" s="22"/>
      <c r="H13" s="12">
        <f t="shared" si="0"/>
        <v>44691</v>
      </c>
    </row>
    <row r="14" spans="2:11" x14ac:dyDescent="0.3">
      <c r="B14" s="6" t="s">
        <v>22</v>
      </c>
      <c r="C14" s="22"/>
      <c r="D14" s="22"/>
      <c r="E14" s="22"/>
      <c r="F14" s="22"/>
      <c r="G14" s="22"/>
      <c r="H14" s="12">
        <f t="shared" si="0"/>
        <v>44691</v>
      </c>
      <c r="K14" s="4"/>
    </row>
    <row r="15" spans="2:11" x14ac:dyDescent="0.3">
      <c r="B15" s="6" t="s">
        <v>61</v>
      </c>
      <c r="C15" s="57"/>
      <c r="D15" s="22"/>
      <c r="E15" s="22"/>
      <c r="F15" s="22"/>
      <c r="G15" s="22"/>
      <c r="H15" s="67">
        <f t="shared" si="0"/>
        <v>44691</v>
      </c>
      <c r="K15" s="4"/>
    </row>
    <row r="16" spans="2:11" x14ac:dyDescent="0.3">
      <c r="B16" s="6" t="s">
        <v>19</v>
      </c>
      <c r="C16" s="23"/>
      <c r="D16" s="23">
        <v>216000</v>
      </c>
      <c r="E16" s="23">
        <v>54000</v>
      </c>
      <c r="F16" s="22"/>
      <c r="G16" s="23"/>
      <c r="H16" s="12">
        <f t="shared" si="0"/>
        <v>44691</v>
      </c>
    </row>
    <row r="17" spans="2:10" x14ac:dyDescent="0.3">
      <c r="B17" s="6" t="s">
        <v>14</v>
      </c>
      <c r="C17" s="23">
        <v>1399500</v>
      </c>
      <c r="D17" s="23"/>
      <c r="E17" s="23">
        <v>54000</v>
      </c>
      <c r="F17" s="22"/>
      <c r="G17" s="23"/>
      <c r="H17" s="12">
        <f t="shared" si="0"/>
        <v>44691</v>
      </c>
    </row>
    <row r="18" spans="2:10" x14ac:dyDescent="0.3">
      <c r="B18" s="6" t="s">
        <v>24</v>
      </c>
      <c r="C18" s="22"/>
      <c r="D18" s="22"/>
      <c r="E18" s="22"/>
      <c r="F18" s="49"/>
      <c r="G18" s="22"/>
      <c r="H18" s="12">
        <f t="shared" si="0"/>
        <v>44691</v>
      </c>
      <c r="J18" s="1" t="s">
        <v>66</v>
      </c>
    </row>
    <row r="19" spans="2:10" x14ac:dyDescent="0.3">
      <c r="B19" s="6" t="s">
        <v>21</v>
      </c>
      <c r="C19" s="22"/>
      <c r="D19" s="22"/>
      <c r="E19" s="22"/>
      <c r="F19" s="22"/>
      <c r="G19" s="22"/>
      <c r="H19" s="67">
        <f t="shared" si="0"/>
        <v>44691</v>
      </c>
    </row>
    <row r="20" spans="2:10" x14ac:dyDescent="0.3">
      <c r="B20" s="6" t="s">
        <v>65</v>
      </c>
      <c r="C20" s="22"/>
      <c r="D20" s="22"/>
      <c r="E20" s="22"/>
      <c r="F20" s="22"/>
      <c r="G20" s="22"/>
      <c r="H20" s="12">
        <f t="shared" si="0"/>
        <v>44691</v>
      </c>
    </row>
    <row r="21" spans="2:10" x14ac:dyDescent="0.3">
      <c r="B21" s="6" t="s">
        <v>18</v>
      </c>
      <c r="C21" s="62"/>
      <c r="D21" s="62"/>
      <c r="E21" s="62"/>
      <c r="F21" s="62"/>
      <c r="G21" s="62"/>
      <c r="H21" s="12">
        <f t="shared" si="0"/>
        <v>44691</v>
      </c>
    </row>
    <row r="22" spans="2:10" x14ac:dyDescent="0.3">
      <c r="B22" s="6" t="s">
        <v>16</v>
      </c>
      <c r="C22" s="22"/>
      <c r="D22" s="119"/>
      <c r="E22" s="62"/>
      <c r="F22" s="62"/>
      <c r="G22" s="62"/>
      <c r="H22" s="12">
        <f t="shared" si="0"/>
        <v>44691</v>
      </c>
    </row>
    <row r="23" spans="2:10" x14ac:dyDescent="0.3">
      <c r="B23" s="50" t="s">
        <v>27</v>
      </c>
      <c r="C23" s="51">
        <f>SUM(May10_2022[KSI_AGO])</f>
        <v>2344500</v>
      </c>
      <c r="D23" s="51">
        <f>SUBTOTAL(109,May10_2022[KSI_PMS])</f>
        <v>1449000</v>
      </c>
      <c r="E23" s="51">
        <f>SUM(May10_2022[BUIPE_AGO])</f>
        <v>162000</v>
      </c>
      <c r="F23" s="51">
        <f>SUM(May10_2022[BUIPE_PMS])</f>
        <v>216000</v>
      </c>
      <c r="G23" s="51">
        <f>SUM(May10_2022[AKOSOMBO_AGO])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CB9D47B5-4E91-4712-91A8-13C16BDA57BC}">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E46A-97D1-4BB5-9CAF-0A5771EC4131}">
  <sheetPr codeName="Sheet586"/>
  <dimension ref="B1:K24"/>
  <sheetViews>
    <sheetView zoomScale="115" zoomScaleNormal="115" workbookViewId="0">
      <pane xSplit="2" ySplit="5" topLeftCell="C6" activePane="bottomRight" state="frozen"/>
      <selection pane="topRight" activeCell="C1" sqref="C1"/>
      <selection pane="bottomLeft" activeCell="A6" sqref="A6"/>
      <selection pane="bottomRight" activeCell="G7" sqref="G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44692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44692</v>
      </c>
    </row>
    <row r="7" spans="2:11" ht="16.5" customHeight="1" x14ac:dyDescent="0.3">
      <c r="B7" s="6" t="s">
        <v>37</v>
      </c>
      <c r="C7" s="57"/>
      <c r="D7" s="62"/>
      <c r="E7" s="62"/>
      <c r="F7" s="62"/>
      <c r="G7" s="62"/>
      <c r="H7" s="67">
        <f t="shared" si="0"/>
        <v>44692</v>
      </c>
    </row>
    <row r="8" spans="2:11" x14ac:dyDescent="0.3">
      <c r="B8" s="6" t="s">
        <v>17</v>
      </c>
      <c r="C8" s="22"/>
      <c r="D8" s="22"/>
      <c r="E8" s="22"/>
      <c r="F8" s="22"/>
      <c r="G8" s="22"/>
      <c r="H8" s="12">
        <f t="shared" si="0"/>
        <v>44692</v>
      </c>
    </row>
    <row r="9" spans="2:11" ht="15.6" x14ac:dyDescent="0.3">
      <c r="B9" s="34" t="s">
        <v>0</v>
      </c>
      <c r="C9" s="60">
        <v>162000</v>
      </c>
      <c r="D9" s="60"/>
      <c r="E9" s="60"/>
      <c r="F9" s="60"/>
      <c r="G9" s="61"/>
      <c r="H9" s="12">
        <f t="shared" si="0"/>
        <v>44692</v>
      </c>
    </row>
    <row r="10" spans="2:11" x14ac:dyDescent="0.3">
      <c r="B10" s="6" t="s">
        <v>25</v>
      </c>
      <c r="C10" s="62"/>
      <c r="D10" s="57"/>
      <c r="E10" s="22">
        <v>54000</v>
      </c>
      <c r="F10" s="22"/>
      <c r="G10" s="22"/>
      <c r="H10" s="12">
        <f t="shared" si="0"/>
        <v>44692</v>
      </c>
    </row>
    <row r="11" spans="2:11" x14ac:dyDescent="0.3">
      <c r="B11" s="6" t="s">
        <v>15</v>
      </c>
      <c r="C11" s="22">
        <v>214000</v>
      </c>
      <c r="D11" s="22">
        <v>1076000</v>
      </c>
      <c r="E11" s="22">
        <v>108000</v>
      </c>
      <c r="F11" s="22"/>
      <c r="G11" s="57"/>
      <c r="H11" s="12">
        <f t="shared" si="0"/>
        <v>44692</v>
      </c>
    </row>
    <row r="12" spans="2:11" x14ac:dyDescent="0.3">
      <c r="B12" s="6" t="s">
        <v>54</v>
      </c>
      <c r="C12" s="22"/>
      <c r="D12" s="22"/>
      <c r="E12" s="22">
        <v>54000</v>
      </c>
      <c r="F12" s="22">
        <v>432000</v>
      </c>
      <c r="G12" s="22"/>
      <c r="H12" s="67">
        <f t="shared" si="0"/>
        <v>44692</v>
      </c>
    </row>
    <row r="13" spans="2:11" x14ac:dyDescent="0.3">
      <c r="B13" s="6" t="s">
        <v>26</v>
      </c>
      <c r="C13" s="22">
        <v>49500</v>
      </c>
      <c r="D13" s="22">
        <v>45000</v>
      </c>
      <c r="E13" s="22"/>
      <c r="F13" s="22"/>
      <c r="G13" s="22"/>
      <c r="H13" s="12">
        <f t="shared" si="0"/>
        <v>44692</v>
      </c>
    </row>
    <row r="14" spans="2:11" x14ac:dyDescent="0.3">
      <c r="B14" s="6" t="s">
        <v>22</v>
      </c>
      <c r="C14" s="22"/>
      <c r="D14" s="22"/>
      <c r="E14" s="22"/>
      <c r="F14" s="22"/>
      <c r="G14" s="22"/>
      <c r="H14" s="12">
        <f t="shared" si="0"/>
        <v>44692</v>
      </c>
      <c r="K14" s="4"/>
    </row>
    <row r="15" spans="2:11" x14ac:dyDescent="0.3">
      <c r="B15" s="6" t="s">
        <v>61</v>
      </c>
      <c r="C15" s="57"/>
      <c r="D15" s="22"/>
      <c r="E15" s="22"/>
      <c r="F15" s="22"/>
      <c r="G15" s="22"/>
      <c r="H15" s="67">
        <f t="shared" si="0"/>
        <v>44692</v>
      </c>
      <c r="K15" s="4"/>
    </row>
    <row r="16" spans="2:11" x14ac:dyDescent="0.3">
      <c r="B16" s="6" t="s">
        <v>19</v>
      </c>
      <c r="C16" s="23"/>
      <c r="D16" s="23">
        <v>108000</v>
      </c>
      <c r="E16" s="23">
        <v>108000</v>
      </c>
      <c r="F16" s="22"/>
      <c r="G16" s="23"/>
      <c r="H16" s="12">
        <f t="shared" si="0"/>
        <v>44692</v>
      </c>
    </row>
    <row r="17" spans="2:10" x14ac:dyDescent="0.3">
      <c r="B17" s="6" t="s">
        <v>14</v>
      </c>
      <c r="C17" s="23">
        <v>1287000</v>
      </c>
      <c r="D17" s="23"/>
      <c r="E17" s="23">
        <v>54000</v>
      </c>
      <c r="F17" s="22"/>
      <c r="G17" s="23"/>
      <c r="H17" s="12">
        <f t="shared" si="0"/>
        <v>44692</v>
      </c>
    </row>
    <row r="18" spans="2:10" x14ac:dyDescent="0.3">
      <c r="B18" s="6" t="s">
        <v>24</v>
      </c>
      <c r="C18" s="22"/>
      <c r="D18" s="22"/>
      <c r="E18" s="22"/>
      <c r="F18" s="49"/>
      <c r="G18" s="22"/>
      <c r="H18" s="12">
        <f t="shared" si="0"/>
        <v>44692</v>
      </c>
      <c r="J18" s="1" t="s">
        <v>66</v>
      </c>
    </row>
    <row r="19" spans="2:10" x14ac:dyDescent="0.3">
      <c r="B19" s="6" t="s">
        <v>21</v>
      </c>
      <c r="C19" s="22"/>
      <c r="D19" s="22"/>
      <c r="E19" s="22"/>
      <c r="F19" s="22"/>
      <c r="G19" s="22"/>
      <c r="H19" s="67">
        <f t="shared" si="0"/>
        <v>44692</v>
      </c>
    </row>
    <row r="20" spans="2:10" x14ac:dyDescent="0.3">
      <c r="B20" s="6" t="s">
        <v>65</v>
      </c>
      <c r="C20" s="22"/>
      <c r="D20" s="22"/>
      <c r="E20" s="22"/>
      <c r="F20" s="22"/>
      <c r="G20" s="22"/>
      <c r="H20" s="12">
        <f t="shared" si="0"/>
        <v>44692</v>
      </c>
    </row>
    <row r="21" spans="2:10" x14ac:dyDescent="0.3">
      <c r="B21" s="6" t="s">
        <v>18</v>
      </c>
      <c r="C21" s="62"/>
      <c r="D21" s="62"/>
      <c r="E21" s="62"/>
      <c r="F21" s="62"/>
      <c r="G21" s="62"/>
      <c r="H21" s="12">
        <f t="shared" si="0"/>
        <v>44692</v>
      </c>
    </row>
    <row r="22" spans="2:10" x14ac:dyDescent="0.3">
      <c r="B22" s="6" t="s">
        <v>16</v>
      </c>
      <c r="C22" s="22">
        <v>432000</v>
      </c>
      <c r="D22" s="119"/>
      <c r="E22" s="62"/>
      <c r="F22" s="62"/>
      <c r="G22" s="62"/>
      <c r="H22" s="12">
        <f t="shared" si="0"/>
        <v>44692</v>
      </c>
    </row>
    <row r="23" spans="2:10" x14ac:dyDescent="0.3">
      <c r="B23" s="50" t="s">
        <v>27</v>
      </c>
      <c r="C23" s="51">
        <f>SUM(May11_2022[KSI_AGO])</f>
        <v>2144500</v>
      </c>
      <c r="D23" s="51">
        <f>SUBTOTAL(109,May11_2022[KSI_PMS])</f>
        <v>1229000</v>
      </c>
      <c r="E23" s="51">
        <f>SUM(May11_2022[BUIPE_AGO])</f>
        <v>378000</v>
      </c>
      <c r="F23" s="51">
        <f>SUM(May11_2022[BUIPE_PMS])</f>
        <v>432000</v>
      </c>
      <c r="G23" s="51">
        <f>SUM(May11_2022[AKOSOMBO_AGO])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7AC9FB44-1BBB-4D36-9D31-025D5B258613}">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0988-40A9-456A-818F-FC0807B7A75C}">
  <sheetPr codeName="Sheet587"/>
  <dimension ref="B1:K24"/>
  <sheetViews>
    <sheetView zoomScale="115" zoomScaleNormal="115" workbookViewId="0">
      <pane xSplit="2" ySplit="5" topLeftCell="E18" activePane="bottomRight" state="frozen"/>
      <selection pane="topRight" activeCell="C1" sqref="C1"/>
      <selection pane="bottomLeft" activeCell="A6" sqref="A6"/>
      <selection pane="bottomRight" activeCell="F27" sqref="F2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44693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44693</v>
      </c>
    </row>
    <row r="7" spans="2:11" ht="16.5" customHeight="1" x14ac:dyDescent="0.3">
      <c r="B7" s="6" t="s">
        <v>37</v>
      </c>
      <c r="C7" s="57"/>
      <c r="D7" s="62"/>
      <c r="E7" s="62"/>
      <c r="F7" s="62"/>
      <c r="G7" s="62"/>
      <c r="H7" s="67">
        <f t="shared" si="0"/>
        <v>44693</v>
      </c>
    </row>
    <row r="8" spans="2:11" x14ac:dyDescent="0.3">
      <c r="B8" s="6" t="s">
        <v>17</v>
      </c>
      <c r="C8" s="22"/>
      <c r="D8" s="22"/>
      <c r="E8" s="22"/>
      <c r="F8" s="22"/>
      <c r="G8" s="22"/>
      <c r="H8" s="12">
        <f t="shared" si="0"/>
        <v>44693</v>
      </c>
    </row>
    <row r="9" spans="2:11" ht="15.6" x14ac:dyDescent="0.3">
      <c r="B9" s="34" t="s">
        <v>0</v>
      </c>
      <c r="C9" s="60"/>
      <c r="D9" s="60"/>
      <c r="E9" s="60"/>
      <c r="F9" s="60"/>
      <c r="G9" s="61"/>
      <c r="H9" s="12">
        <f t="shared" si="0"/>
        <v>44693</v>
      </c>
    </row>
    <row r="10" spans="2:11" x14ac:dyDescent="0.3">
      <c r="B10" s="6" t="s">
        <v>25</v>
      </c>
      <c r="C10" s="62"/>
      <c r="D10" s="57"/>
      <c r="E10" s="22">
        <v>54000</v>
      </c>
      <c r="F10" s="22"/>
      <c r="G10" s="22"/>
      <c r="H10" s="12">
        <f t="shared" si="0"/>
        <v>44693</v>
      </c>
    </row>
    <row r="11" spans="2:11" x14ac:dyDescent="0.3">
      <c r="B11" s="6" t="s">
        <v>15</v>
      </c>
      <c r="C11" s="22"/>
      <c r="D11" s="22">
        <v>54000</v>
      </c>
      <c r="E11" s="22"/>
      <c r="F11" s="22"/>
      <c r="G11" s="57"/>
      <c r="H11" s="12">
        <f t="shared" si="0"/>
        <v>44693</v>
      </c>
    </row>
    <row r="12" spans="2:11" x14ac:dyDescent="0.3">
      <c r="B12" s="6" t="s">
        <v>54</v>
      </c>
      <c r="C12" s="22"/>
      <c r="D12" s="22">
        <v>1200000</v>
      </c>
      <c r="E12" s="22"/>
      <c r="F12" s="22">
        <v>432000</v>
      </c>
      <c r="G12" s="22"/>
      <c r="H12" s="67">
        <f t="shared" si="0"/>
        <v>44693</v>
      </c>
    </row>
    <row r="13" spans="2:11" x14ac:dyDescent="0.3">
      <c r="B13" s="6" t="s">
        <v>26</v>
      </c>
      <c r="C13" s="22"/>
      <c r="D13" s="22">
        <v>45000</v>
      </c>
      <c r="E13" s="22"/>
      <c r="F13" s="22"/>
      <c r="G13" s="22"/>
      <c r="H13" s="12">
        <f t="shared" si="0"/>
        <v>44693</v>
      </c>
    </row>
    <row r="14" spans="2:11" x14ac:dyDescent="0.3">
      <c r="B14" s="6" t="s">
        <v>22</v>
      </c>
      <c r="C14" s="22"/>
      <c r="D14" s="22"/>
      <c r="E14" s="22"/>
      <c r="F14" s="22"/>
      <c r="G14" s="22"/>
      <c r="H14" s="12">
        <f t="shared" si="0"/>
        <v>44693</v>
      </c>
      <c r="K14" s="4"/>
    </row>
    <row r="15" spans="2:11" x14ac:dyDescent="0.3">
      <c r="B15" s="6" t="s">
        <v>61</v>
      </c>
      <c r="C15" s="57"/>
      <c r="D15" s="22"/>
      <c r="E15" s="22"/>
      <c r="F15" s="22"/>
      <c r="G15" s="22"/>
      <c r="H15" s="67">
        <f t="shared" si="0"/>
        <v>44693</v>
      </c>
      <c r="K15" s="4"/>
    </row>
    <row r="16" spans="2:11" x14ac:dyDescent="0.3">
      <c r="B16" s="6" t="s">
        <v>19</v>
      </c>
      <c r="C16" s="23">
        <v>2322000</v>
      </c>
      <c r="D16" s="23">
        <v>216000</v>
      </c>
      <c r="E16" s="23">
        <v>162000</v>
      </c>
      <c r="F16" s="22"/>
      <c r="G16" s="23"/>
      <c r="H16" s="12">
        <f t="shared" si="0"/>
        <v>44693</v>
      </c>
    </row>
    <row r="17" spans="2:10" x14ac:dyDescent="0.3">
      <c r="B17" s="6" t="s">
        <v>14</v>
      </c>
      <c r="C17" s="23"/>
      <c r="D17" s="23"/>
      <c r="E17" s="23">
        <v>54000</v>
      </c>
      <c r="F17" s="22"/>
      <c r="G17" s="23"/>
      <c r="H17" s="12">
        <f t="shared" si="0"/>
        <v>44693</v>
      </c>
    </row>
    <row r="18" spans="2:10" x14ac:dyDescent="0.3">
      <c r="B18" s="6" t="s">
        <v>24</v>
      </c>
      <c r="C18" s="22"/>
      <c r="D18" s="22"/>
      <c r="E18" s="22"/>
      <c r="F18" s="49"/>
      <c r="G18" s="22"/>
      <c r="H18" s="12">
        <f t="shared" si="0"/>
        <v>44693</v>
      </c>
      <c r="J18" s="1" t="s">
        <v>66</v>
      </c>
    </row>
    <row r="19" spans="2:10" x14ac:dyDescent="0.3">
      <c r="B19" s="6" t="s">
        <v>21</v>
      </c>
      <c r="C19" s="22"/>
      <c r="D19" s="22"/>
      <c r="E19" s="22"/>
      <c r="F19" s="22"/>
      <c r="G19" s="22"/>
      <c r="H19" s="67">
        <f t="shared" si="0"/>
        <v>44693</v>
      </c>
    </row>
    <row r="20" spans="2:10" x14ac:dyDescent="0.3">
      <c r="B20" s="6" t="s">
        <v>65</v>
      </c>
      <c r="C20" s="22"/>
      <c r="D20" s="22"/>
      <c r="E20" s="22"/>
      <c r="F20" s="22"/>
      <c r="G20" s="22"/>
      <c r="H20" s="12">
        <f t="shared" si="0"/>
        <v>44693</v>
      </c>
    </row>
    <row r="21" spans="2:10" x14ac:dyDescent="0.3">
      <c r="B21" s="6" t="s">
        <v>18</v>
      </c>
      <c r="C21" s="62"/>
      <c r="D21" s="62"/>
      <c r="E21" s="62"/>
      <c r="F21" s="62"/>
      <c r="G21" s="62"/>
      <c r="H21" s="12">
        <f t="shared" si="0"/>
        <v>44693</v>
      </c>
    </row>
    <row r="22" spans="2:10" x14ac:dyDescent="0.3">
      <c r="B22" s="6" t="s">
        <v>16</v>
      </c>
      <c r="C22" s="22"/>
      <c r="D22" s="119"/>
      <c r="E22" s="62">
        <v>54000</v>
      </c>
      <c r="F22" s="62"/>
      <c r="G22" s="62"/>
      <c r="H22" s="12">
        <f t="shared" si="0"/>
        <v>44693</v>
      </c>
    </row>
    <row r="23" spans="2:10" x14ac:dyDescent="0.3">
      <c r="B23" s="50" t="s">
        <v>27</v>
      </c>
      <c r="C23" s="51">
        <f>SUM(May12_2022[KSI_AGO])</f>
        <v>2322000</v>
      </c>
      <c r="D23" s="51">
        <f>SUBTOTAL(109,May12_2022[KSI_PMS])</f>
        <v>1515000</v>
      </c>
      <c r="E23" s="51">
        <f>SUM(May12_2022[BUIPE_AGO])</f>
        <v>324000</v>
      </c>
      <c r="F23" s="51">
        <f>SUM(May12_2022[BUIPE_PMS])</f>
        <v>432000</v>
      </c>
      <c r="G23" s="51">
        <f>SUM(May12_2022[AKOSOMBO_AGO])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44B8F81E-F0DD-455F-870F-8E6672C4B88C}">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B8211-9FD0-45B0-BCA2-044A0D4538AF}">
  <sheetPr codeName="Sheet588"/>
  <dimension ref="B1:K24"/>
  <sheetViews>
    <sheetView zoomScale="115" zoomScaleNormal="115" workbookViewId="0">
      <pane xSplit="2" ySplit="5" topLeftCell="D6" activePane="bottomRight" state="frozen"/>
      <selection pane="topRight" activeCell="C1" sqref="C1"/>
      <selection pane="bottomLeft" activeCell="A6" sqref="A6"/>
      <selection pane="bottomRight" activeCell="E19" sqref="E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44694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44694</v>
      </c>
    </row>
    <row r="7" spans="2:11" ht="16.5" customHeight="1" x14ac:dyDescent="0.3">
      <c r="B7" s="6" t="s">
        <v>37</v>
      </c>
      <c r="C7" s="57"/>
      <c r="D7" s="62"/>
      <c r="E7" s="62"/>
      <c r="F7" s="62"/>
      <c r="G7" s="62"/>
      <c r="H7" s="67">
        <f t="shared" si="0"/>
        <v>44694</v>
      </c>
    </row>
    <row r="8" spans="2:11" x14ac:dyDescent="0.3">
      <c r="B8" s="6" t="s">
        <v>17</v>
      </c>
      <c r="C8" s="22"/>
      <c r="D8" s="22"/>
      <c r="E8" s="22"/>
      <c r="F8" s="22"/>
      <c r="G8" s="22"/>
      <c r="H8" s="12">
        <f t="shared" si="0"/>
        <v>44694</v>
      </c>
    </row>
    <row r="9" spans="2:11" ht="15.6" x14ac:dyDescent="0.3">
      <c r="B9" s="34" t="s">
        <v>0</v>
      </c>
      <c r="C9" s="60"/>
      <c r="D9" s="60"/>
      <c r="E9" s="60"/>
      <c r="F9" s="60"/>
      <c r="G9" s="61"/>
      <c r="H9" s="12">
        <f t="shared" si="0"/>
        <v>44694</v>
      </c>
    </row>
    <row r="10" spans="2:11" x14ac:dyDescent="0.3">
      <c r="B10" s="6" t="s">
        <v>25</v>
      </c>
      <c r="C10" s="62"/>
      <c r="D10" s="57"/>
      <c r="E10" s="22">
        <v>50000</v>
      </c>
      <c r="F10" s="22"/>
      <c r="G10" s="22"/>
      <c r="H10" s="12">
        <f t="shared" si="0"/>
        <v>44694</v>
      </c>
    </row>
    <row r="11" spans="2:11" x14ac:dyDescent="0.3">
      <c r="B11" s="6" t="s">
        <v>15</v>
      </c>
      <c r="C11" s="22"/>
      <c r="D11" s="22">
        <v>90000</v>
      </c>
      <c r="E11" s="22"/>
      <c r="F11" s="22"/>
      <c r="G11" s="57"/>
      <c r="H11" s="12">
        <f t="shared" si="0"/>
        <v>44694</v>
      </c>
    </row>
    <row r="12" spans="2:11" x14ac:dyDescent="0.3">
      <c r="B12" s="6" t="s">
        <v>54</v>
      </c>
      <c r="C12" s="22"/>
      <c r="D12" s="22">
        <v>1337000</v>
      </c>
      <c r="E12" s="22"/>
      <c r="F12" s="22"/>
      <c r="G12" s="22"/>
      <c r="H12" s="67">
        <f t="shared" si="0"/>
        <v>44694</v>
      </c>
    </row>
    <row r="13" spans="2:11" x14ac:dyDescent="0.3">
      <c r="B13" s="6" t="s">
        <v>26</v>
      </c>
      <c r="C13" s="22"/>
      <c r="D13" s="22"/>
      <c r="E13" s="22"/>
      <c r="F13" s="22"/>
      <c r="G13" s="22"/>
      <c r="H13" s="12">
        <f t="shared" si="0"/>
        <v>44694</v>
      </c>
    </row>
    <row r="14" spans="2:11" x14ac:dyDescent="0.3">
      <c r="B14" s="6" t="s">
        <v>22</v>
      </c>
      <c r="C14" s="22"/>
      <c r="D14" s="22"/>
      <c r="E14" s="22"/>
      <c r="F14" s="22"/>
      <c r="G14" s="22"/>
      <c r="H14" s="12">
        <f t="shared" si="0"/>
        <v>44694</v>
      </c>
      <c r="K14" s="4"/>
    </row>
    <row r="15" spans="2:11" x14ac:dyDescent="0.3">
      <c r="B15" s="6" t="s">
        <v>61</v>
      </c>
      <c r="C15" s="57"/>
      <c r="D15" s="22"/>
      <c r="E15" s="22"/>
      <c r="F15" s="22"/>
      <c r="G15" s="22"/>
      <c r="H15" s="67">
        <f t="shared" si="0"/>
        <v>44694</v>
      </c>
      <c r="K15" s="4"/>
    </row>
    <row r="16" spans="2:11" x14ac:dyDescent="0.3">
      <c r="B16" s="6" t="s">
        <v>19</v>
      </c>
      <c r="C16" s="23">
        <v>162000</v>
      </c>
      <c r="D16" s="23">
        <v>162000</v>
      </c>
      <c r="E16" s="23">
        <v>378000</v>
      </c>
      <c r="F16" s="22"/>
      <c r="G16" s="23"/>
      <c r="H16" s="12">
        <f t="shared" si="0"/>
        <v>44694</v>
      </c>
    </row>
    <row r="17" spans="2:10" x14ac:dyDescent="0.3">
      <c r="B17" s="6" t="s">
        <v>14</v>
      </c>
      <c r="C17" s="23">
        <v>501000</v>
      </c>
      <c r="D17" s="23">
        <v>216000</v>
      </c>
      <c r="E17" s="23">
        <v>594000</v>
      </c>
      <c r="F17" s="22"/>
      <c r="G17" s="23"/>
      <c r="H17" s="12">
        <f t="shared" si="0"/>
        <v>44694</v>
      </c>
    </row>
    <row r="18" spans="2:10" x14ac:dyDescent="0.3">
      <c r="B18" s="6" t="s">
        <v>24</v>
      </c>
      <c r="C18" s="22"/>
      <c r="D18" s="22"/>
      <c r="E18" s="22"/>
      <c r="F18" s="49"/>
      <c r="G18" s="22"/>
      <c r="H18" s="12">
        <f t="shared" si="0"/>
        <v>44694</v>
      </c>
      <c r="J18" s="1" t="s">
        <v>66</v>
      </c>
    </row>
    <row r="19" spans="2:10" x14ac:dyDescent="0.3">
      <c r="B19" s="6" t="s">
        <v>21</v>
      </c>
      <c r="C19" s="22"/>
      <c r="D19" s="22"/>
      <c r="E19" s="22"/>
      <c r="F19" s="22"/>
      <c r="G19" s="22"/>
      <c r="H19" s="67">
        <f t="shared" si="0"/>
        <v>44694</v>
      </c>
    </row>
    <row r="20" spans="2:10" x14ac:dyDescent="0.3">
      <c r="B20" s="6" t="s">
        <v>65</v>
      </c>
      <c r="C20" s="22"/>
      <c r="D20" s="22"/>
      <c r="E20" s="22"/>
      <c r="F20" s="22"/>
      <c r="G20" s="22"/>
      <c r="H20" s="12">
        <f t="shared" si="0"/>
        <v>44694</v>
      </c>
    </row>
    <row r="21" spans="2:10" x14ac:dyDescent="0.3">
      <c r="B21" s="6" t="s">
        <v>18</v>
      </c>
      <c r="C21" s="62"/>
      <c r="D21" s="62"/>
      <c r="E21" s="62"/>
      <c r="F21" s="62"/>
      <c r="G21" s="62"/>
      <c r="H21" s="12">
        <f t="shared" si="0"/>
        <v>44694</v>
      </c>
    </row>
    <row r="22" spans="2:10" x14ac:dyDescent="0.3">
      <c r="B22" s="6" t="s">
        <v>16</v>
      </c>
      <c r="C22" s="22"/>
      <c r="D22" s="119"/>
      <c r="E22" s="62">
        <v>54000</v>
      </c>
      <c r="F22" s="62"/>
      <c r="G22" s="62"/>
      <c r="H22" s="12">
        <f t="shared" si="0"/>
        <v>44694</v>
      </c>
    </row>
    <row r="23" spans="2:10" x14ac:dyDescent="0.3">
      <c r="B23" s="50" t="s">
        <v>27</v>
      </c>
      <c r="C23" s="51">
        <f>SUM(May13_2022[KSI_AGO])</f>
        <v>663000</v>
      </c>
      <c r="D23" s="51">
        <f>SUBTOTAL(109,May13_2022[KSI_PMS])</f>
        <v>1805000</v>
      </c>
      <c r="E23" s="51">
        <f>SUM(May13_2022[BUIPE_AGO])</f>
        <v>1076000</v>
      </c>
      <c r="F23" s="51">
        <f>SUM(May13_2022[BUIPE_PMS])</f>
        <v>0</v>
      </c>
      <c r="G23" s="51">
        <f>SUM(May13_2022[AKOSOMBO_AGO])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C203FF7-8544-40F7-83A6-3FDD89986BFA}">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32FCA-3F07-486C-8F81-3CA9FAA2277F}">
  <sheetPr codeName="Sheet589"/>
  <dimension ref="B1:K24"/>
  <sheetViews>
    <sheetView zoomScale="115" zoomScaleNormal="115" workbookViewId="0">
      <pane xSplit="2" ySplit="5" topLeftCell="E8" activePane="bottomRight" state="frozen"/>
      <selection pane="topRight" activeCell="C1" sqref="C1"/>
      <selection pane="bottomLeft" activeCell="A6" sqref="A6"/>
      <selection pane="bottomRight" activeCell="F2" sqref="F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44697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44697</v>
      </c>
    </row>
    <row r="7" spans="2:11" ht="16.5" customHeight="1" x14ac:dyDescent="0.3">
      <c r="B7" s="6" t="s">
        <v>37</v>
      </c>
      <c r="C7" s="57"/>
      <c r="D7" s="62"/>
      <c r="E7" s="62"/>
      <c r="F7" s="62"/>
      <c r="G7" s="62"/>
      <c r="H7" s="67">
        <f t="shared" si="0"/>
        <v>44697</v>
      </c>
    </row>
    <row r="8" spans="2:11" x14ac:dyDescent="0.3">
      <c r="B8" s="6" t="s">
        <v>17</v>
      </c>
      <c r="C8" s="22"/>
      <c r="D8" s="22"/>
      <c r="E8" s="22"/>
      <c r="F8" s="22"/>
      <c r="G8" s="22"/>
      <c r="H8" s="12">
        <f t="shared" si="0"/>
        <v>44697</v>
      </c>
    </row>
    <row r="9" spans="2:11" ht="15.6" x14ac:dyDescent="0.3">
      <c r="B9" s="34" t="s">
        <v>0</v>
      </c>
      <c r="C9" s="60"/>
      <c r="D9" s="60"/>
      <c r="E9" s="60"/>
      <c r="F9" s="60"/>
      <c r="G9" s="61"/>
      <c r="H9" s="12">
        <f t="shared" si="0"/>
        <v>44697</v>
      </c>
    </row>
    <row r="10" spans="2:11" x14ac:dyDescent="0.3">
      <c r="B10" s="6" t="s">
        <v>25</v>
      </c>
      <c r="C10" s="62"/>
      <c r="D10" s="57"/>
      <c r="E10" s="22">
        <v>50000</v>
      </c>
      <c r="F10" s="22"/>
      <c r="G10" s="22"/>
      <c r="H10" s="12">
        <f t="shared" si="0"/>
        <v>44697</v>
      </c>
    </row>
    <row r="11" spans="2:11" x14ac:dyDescent="0.3">
      <c r="B11" s="6" t="s">
        <v>15</v>
      </c>
      <c r="C11" s="22"/>
      <c r="D11" s="22">
        <v>54000</v>
      </c>
      <c r="E11" s="22"/>
      <c r="F11" s="22"/>
      <c r="G11" s="57"/>
      <c r="H11" s="12">
        <f t="shared" si="0"/>
        <v>44697</v>
      </c>
    </row>
    <row r="12" spans="2:11" x14ac:dyDescent="0.3">
      <c r="B12" s="6" t="s">
        <v>54</v>
      </c>
      <c r="C12" s="22"/>
      <c r="D12" s="22">
        <v>108000</v>
      </c>
      <c r="E12" s="22"/>
      <c r="F12" s="22"/>
      <c r="G12" s="22"/>
      <c r="H12" s="67">
        <f t="shared" si="0"/>
        <v>44697</v>
      </c>
    </row>
    <row r="13" spans="2:11" x14ac:dyDescent="0.3">
      <c r="B13" s="6" t="s">
        <v>26</v>
      </c>
      <c r="C13" s="22"/>
      <c r="D13" s="22"/>
      <c r="E13" s="22"/>
      <c r="F13" s="22"/>
      <c r="G13" s="22"/>
      <c r="H13" s="12">
        <f t="shared" si="0"/>
        <v>44697</v>
      </c>
    </row>
    <row r="14" spans="2:11" x14ac:dyDescent="0.3">
      <c r="B14" s="6" t="s">
        <v>22</v>
      </c>
      <c r="C14" s="22"/>
      <c r="D14" s="22"/>
      <c r="E14" s="22"/>
      <c r="F14" s="22"/>
      <c r="G14" s="22"/>
      <c r="H14" s="12">
        <f t="shared" si="0"/>
        <v>44697</v>
      </c>
      <c r="K14" s="4"/>
    </row>
    <row r="15" spans="2:11" x14ac:dyDescent="0.3">
      <c r="B15" s="6" t="s">
        <v>61</v>
      </c>
      <c r="C15" s="57"/>
      <c r="D15" s="22"/>
      <c r="E15" s="22"/>
      <c r="F15" s="22"/>
      <c r="G15" s="22"/>
      <c r="H15" s="67">
        <f t="shared" si="0"/>
        <v>44697</v>
      </c>
      <c r="K15" s="4"/>
    </row>
    <row r="16" spans="2:11" x14ac:dyDescent="0.3">
      <c r="B16" s="6" t="s">
        <v>19</v>
      </c>
      <c r="C16" s="23"/>
      <c r="D16" s="23"/>
      <c r="E16" s="23">
        <v>162000</v>
      </c>
      <c r="F16" s="22"/>
      <c r="G16" s="23"/>
      <c r="H16" s="12">
        <f t="shared" si="0"/>
        <v>44697</v>
      </c>
    </row>
    <row r="17" spans="2:10" x14ac:dyDescent="0.3">
      <c r="B17" s="6" t="s">
        <v>14</v>
      </c>
      <c r="C17" s="23">
        <v>2377000</v>
      </c>
      <c r="D17" s="23">
        <v>428000</v>
      </c>
      <c r="E17" s="23">
        <v>108000</v>
      </c>
      <c r="F17" s="22"/>
      <c r="G17" s="23"/>
      <c r="H17" s="12">
        <f t="shared" si="0"/>
        <v>44697</v>
      </c>
    </row>
    <row r="18" spans="2:10" x14ac:dyDescent="0.3">
      <c r="B18" s="6" t="s">
        <v>24</v>
      </c>
      <c r="C18" s="22"/>
      <c r="D18" s="22"/>
      <c r="E18" s="22"/>
      <c r="F18" s="49"/>
      <c r="G18" s="22"/>
      <c r="H18" s="12">
        <f t="shared" si="0"/>
        <v>44697</v>
      </c>
      <c r="J18" s="1" t="s">
        <v>66</v>
      </c>
    </row>
    <row r="19" spans="2:10" x14ac:dyDescent="0.3">
      <c r="B19" s="6" t="s">
        <v>21</v>
      </c>
      <c r="C19" s="22"/>
      <c r="D19" s="22"/>
      <c r="E19" s="22"/>
      <c r="F19" s="22"/>
      <c r="G19" s="22"/>
      <c r="H19" s="67">
        <f t="shared" si="0"/>
        <v>44697</v>
      </c>
    </row>
    <row r="20" spans="2:10" x14ac:dyDescent="0.3">
      <c r="B20" s="6" t="s">
        <v>65</v>
      </c>
      <c r="C20" s="22"/>
      <c r="D20" s="22"/>
      <c r="E20" s="22"/>
      <c r="F20" s="22"/>
      <c r="G20" s="22"/>
      <c r="H20" s="12">
        <f t="shared" si="0"/>
        <v>44697</v>
      </c>
    </row>
    <row r="21" spans="2:10" x14ac:dyDescent="0.3">
      <c r="B21" s="6" t="s">
        <v>18</v>
      </c>
      <c r="C21" s="62"/>
      <c r="D21" s="62"/>
      <c r="E21" s="62"/>
      <c r="F21" s="62"/>
      <c r="G21" s="62"/>
      <c r="H21" s="12">
        <f t="shared" si="0"/>
        <v>44697</v>
      </c>
    </row>
    <row r="22" spans="2:10" x14ac:dyDescent="0.3">
      <c r="B22" s="6" t="s">
        <v>16</v>
      </c>
      <c r="C22" s="22"/>
      <c r="D22" s="119"/>
      <c r="E22" s="62"/>
      <c r="F22" s="62"/>
      <c r="G22" s="62"/>
      <c r="H22" s="12">
        <f t="shared" si="0"/>
        <v>44697</v>
      </c>
    </row>
    <row r="23" spans="2:10" x14ac:dyDescent="0.3">
      <c r="B23" s="50" t="s">
        <v>27</v>
      </c>
      <c r="C23" s="51">
        <f>SUM(May16_2022[KSI_AGO])</f>
        <v>2377000</v>
      </c>
      <c r="D23" s="51">
        <f>SUBTOTAL(109,May16_2022[KSI_PMS])</f>
        <v>590000</v>
      </c>
      <c r="E23" s="51">
        <f>SUM(May16_2022[BUIPE_AGO])</f>
        <v>320000</v>
      </c>
      <c r="F23" s="51">
        <f>SUM(May16_2022[BUIPE_PMS])</f>
        <v>0</v>
      </c>
      <c r="G23" s="51">
        <f>SUM(May16_2022[AKOSOMBO_AGO])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15050A11-4CA4-44DB-9D8C-B51F2BFF1711}">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6CBF-A731-4639-A1B4-B1B5DBC0E281}">
  <sheetPr codeName="Sheet590"/>
  <dimension ref="B1:K24"/>
  <sheetViews>
    <sheetView zoomScale="115" zoomScaleNormal="115" workbookViewId="0">
      <pane xSplit="2" ySplit="5" topLeftCell="D6" activePane="bottomRight" state="frozen"/>
      <selection pane="topRight" activeCell="C1" sqref="C1"/>
      <selection pane="bottomLeft" activeCell="A6" sqref="A6"/>
      <selection pane="bottomRight" activeCell="G14" sqref="G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44698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44698</v>
      </c>
    </row>
    <row r="7" spans="2:11" ht="16.5" customHeight="1" x14ac:dyDescent="0.3">
      <c r="B7" s="6" t="s">
        <v>37</v>
      </c>
      <c r="C7" s="57"/>
      <c r="D7" s="62"/>
      <c r="E7" s="62"/>
      <c r="F7" s="62"/>
      <c r="G7" s="62"/>
      <c r="H7" s="67">
        <f t="shared" si="0"/>
        <v>44698</v>
      </c>
    </row>
    <row r="8" spans="2:11" x14ac:dyDescent="0.3">
      <c r="B8" s="6" t="s">
        <v>17</v>
      </c>
      <c r="C8" s="22"/>
      <c r="D8" s="22"/>
      <c r="E8" s="22"/>
      <c r="F8" s="22"/>
      <c r="G8" s="22"/>
      <c r="H8" s="12">
        <f t="shared" si="0"/>
        <v>44698</v>
      </c>
    </row>
    <row r="9" spans="2:11" ht="15.6" x14ac:dyDescent="0.3">
      <c r="B9" s="34" t="s">
        <v>0</v>
      </c>
      <c r="C9" s="60"/>
      <c r="D9" s="60"/>
      <c r="E9" s="60"/>
      <c r="F9" s="60"/>
      <c r="G9" s="61"/>
      <c r="H9" s="12">
        <f t="shared" si="0"/>
        <v>44698</v>
      </c>
    </row>
    <row r="10" spans="2:11" x14ac:dyDescent="0.3">
      <c r="B10" s="6" t="s">
        <v>25</v>
      </c>
      <c r="C10" s="62"/>
      <c r="D10" s="57"/>
      <c r="E10" s="22">
        <v>90000</v>
      </c>
      <c r="F10" s="22"/>
      <c r="G10" s="22"/>
      <c r="H10" s="12">
        <f t="shared" si="0"/>
        <v>44698</v>
      </c>
    </row>
    <row r="11" spans="2:11" x14ac:dyDescent="0.3">
      <c r="B11" s="6" t="s">
        <v>15</v>
      </c>
      <c r="C11" s="22"/>
      <c r="D11" s="22"/>
      <c r="E11" s="22"/>
      <c r="F11" s="22"/>
      <c r="G11" s="57"/>
      <c r="H11" s="12">
        <f t="shared" si="0"/>
        <v>44698</v>
      </c>
    </row>
    <row r="12" spans="2:11" x14ac:dyDescent="0.3">
      <c r="B12" s="6" t="s">
        <v>54</v>
      </c>
      <c r="C12" s="22"/>
      <c r="D12" s="22"/>
      <c r="E12" s="22"/>
      <c r="F12" s="22"/>
      <c r="G12" s="22"/>
      <c r="H12" s="67">
        <f t="shared" si="0"/>
        <v>44698</v>
      </c>
    </row>
    <row r="13" spans="2:11" x14ac:dyDescent="0.3">
      <c r="B13" s="6" t="s">
        <v>26</v>
      </c>
      <c r="C13" s="22"/>
      <c r="D13" s="22"/>
      <c r="E13" s="22"/>
      <c r="F13" s="22"/>
      <c r="G13" s="22"/>
      <c r="H13" s="12">
        <f t="shared" si="0"/>
        <v>44698</v>
      </c>
    </row>
    <row r="14" spans="2:11" x14ac:dyDescent="0.3">
      <c r="B14" s="6" t="s">
        <v>22</v>
      </c>
      <c r="C14" s="22"/>
      <c r="D14" s="22"/>
      <c r="E14" s="22"/>
      <c r="F14" s="22"/>
      <c r="G14" s="22"/>
      <c r="H14" s="12">
        <f t="shared" si="0"/>
        <v>44698</v>
      </c>
      <c r="K14" s="4"/>
    </row>
    <row r="15" spans="2:11" x14ac:dyDescent="0.3">
      <c r="B15" s="6" t="s">
        <v>61</v>
      </c>
      <c r="C15" s="57"/>
      <c r="D15" s="22"/>
      <c r="E15" s="22"/>
      <c r="F15" s="22"/>
      <c r="G15" s="22"/>
      <c r="H15" s="67">
        <f t="shared" si="0"/>
        <v>44698</v>
      </c>
      <c r="K15" s="4"/>
    </row>
    <row r="16" spans="2:11" x14ac:dyDescent="0.3">
      <c r="B16" s="6" t="s">
        <v>19</v>
      </c>
      <c r="C16" s="23"/>
      <c r="D16" s="23">
        <v>432000</v>
      </c>
      <c r="E16" s="23">
        <v>486000</v>
      </c>
      <c r="F16" s="22"/>
      <c r="G16" s="23"/>
      <c r="H16" s="12">
        <f t="shared" si="0"/>
        <v>44698</v>
      </c>
    </row>
    <row r="17" spans="2:10" x14ac:dyDescent="0.3">
      <c r="B17" s="6" t="s">
        <v>14</v>
      </c>
      <c r="C17" s="23">
        <v>216000</v>
      </c>
      <c r="D17" s="23"/>
      <c r="E17" s="23">
        <v>423500</v>
      </c>
      <c r="F17" s="22"/>
      <c r="G17" s="23"/>
      <c r="H17" s="12">
        <f t="shared" si="0"/>
        <v>44698</v>
      </c>
    </row>
    <row r="18" spans="2:10" x14ac:dyDescent="0.3">
      <c r="B18" s="6" t="s">
        <v>24</v>
      </c>
      <c r="C18" s="22"/>
      <c r="D18" s="22"/>
      <c r="E18" s="22"/>
      <c r="F18" s="49"/>
      <c r="G18" s="22"/>
      <c r="H18" s="12">
        <f t="shared" si="0"/>
        <v>44698</v>
      </c>
      <c r="J18" s="1" t="s">
        <v>66</v>
      </c>
    </row>
    <row r="19" spans="2:10" x14ac:dyDescent="0.3">
      <c r="B19" s="6" t="s">
        <v>21</v>
      </c>
      <c r="C19" s="22"/>
      <c r="D19" s="22"/>
      <c r="E19" s="22"/>
      <c r="F19" s="22"/>
      <c r="G19" s="22"/>
      <c r="H19" s="67">
        <f t="shared" si="0"/>
        <v>44698</v>
      </c>
    </row>
    <row r="20" spans="2:10" x14ac:dyDescent="0.3">
      <c r="B20" s="6" t="s">
        <v>65</v>
      </c>
      <c r="C20" s="22"/>
      <c r="D20" s="22"/>
      <c r="E20" s="22"/>
      <c r="F20" s="22"/>
      <c r="G20" s="22"/>
      <c r="H20" s="12">
        <f t="shared" si="0"/>
        <v>44698</v>
      </c>
    </row>
    <row r="21" spans="2:10" x14ac:dyDescent="0.3">
      <c r="B21" s="6" t="s">
        <v>18</v>
      </c>
      <c r="C21" s="62"/>
      <c r="D21" s="62"/>
      <c r="E21" s="62"/>
      <c r="F21" s="62"/>
      <c r="G21" s="62"/>
      <c r="H21" s="12">
        <f t="shared" si="0"/>
        <v>44698</v>
      </c>
    </row>
    <row r="22" spans="2:10" x14ac:dyDescent="0.3">
      <c r="B22" s="6" t="s">
        <v>16</v>
      </c>
      <c r="C22" s="22"/>
      <c r="D22" s="119">
        <v>994000</v>
      </c>
      <c r="E22" s="62"/>
      <c r="F22" s="62"/>
      <c r="G22" s="62"/>
      <c r="H22" s="12">
        <f t="shared" si="0"/>
        <v>44698</v>
      </c>
    </row>
    <row r="23" spans="2:10" x14ac:dyDescent="0.3">
      <c r="B23" s="50" t="s">
        <v>27</v>
      </c>
      <c r="C23" s="51">
        <f>SUM(May17_2022[KSI_AGO])</f>
        <v>216000</v>
      </c>
      <c r="D23" s="51">
        <f>SUBTOTAL(109,May17_2022[KSI_PMS])</f>
        <v>1426000</v>
      </c>
      <c r="E23" s="51">
        <f>SUM(May17_2022[BUIPE_AGO])</f>
        <v>999500</v>
      </c>
      <c r="F23" s="51">
        <f>SUM(May17_2022[BUIPE_PMS])</f>
        <v>0</v>
      </c>
      <c r="G23" s="51">
        <f>SUM(May17_2022[AKOSOMBO_AGO])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2094135-2977-49BF-97F9-3377CCCDA623}">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FED2-80E7-4036-A557-FDBD2DE8A256}">
  <sheetPr codeName="Sheet591"/>
  <dimension ref="B1:K24"/>
  <sheetViews>
    <sheetView zoomScale="115" zoomScaleNormal="115" workbookViewId="0">
      <pane xSplit="2" ySplit="5" topLeftCell="C6" activePane="bottomRight" state="frozen"/>
      <selection pane="topRight" activeCell="C1" sqref="C1"/>
      <selection pane="bottomLeft" activeCell="A6" sqref="A6"/>
      <selection pane="bottomRight" activeCell="D13" sqref="D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44699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44699</v>
      </c>
    </row>
    <row r="7" spans="2:11" ht="16.5" customHeight="1" x14ac:dyDescent="0.3">
      <c r="B7" s="6" t="s">
        <v>37</v>
      </c>
      <c r="C7" s="57"/>
      <c r="D7" s="62"/>
      <c r="E7" s="62"/>
      <c r="F7" s="62"/>
      <c r="G7" s="62"/>
      <c r="H7" s="67">
        <f t="shared" si="0"/>
        <v>44699</v>
      </c>
    </row>
    <row r="8" spans="2:11" x14ac:dyDescent="0.3">
      <c r="B8" s="6" t="s">
        <v>17</v>
      </c>
      <c r="C8" s="22"/>
      <c r="D8" s="22"/>
      <c r="E8" s="22"/>
      <c r="F8" s="22"/>
      <c r="G8" s="22"/>
      <c r="H8" s="12">
        <f t="shared" si="0"/>
        <v>44699</v>
      </c>
    </row>
    <row r="9" spans="2:11" ht="15.6" x14ac:dyDescent="0.3">
      <c r="B9" s="34" t="s">
        <v>0</v>
      </c>
      <c r="C9" s="60"/>
      <c r="D9" s="60">
        <v>1188000</v>
      </c>
      <c r="E9" s="60"/>
      <c r="F9" s="60"/>
      <c r="G9" s="61"/>
      <c r="H9" s="12">
        <f t="shared" si="0"/>
        <v>44699</v>
      </c>
    </row>
    <row r="10" spans="2:11" x14ac:dyDescent="0.3">
      <c r="B10" s="6" t="s">
        <v>25</v>
      </c>
      <c r="C10" s="62"/>
      <c r="D10" s="57"/>
      <c r="E10" s="22"/>
      <c r="F10" s="22"/>
      <c r="G10" s="22"/>
      <c r="H10" s="12">
        <f t="shared" si="0"/>
        <v>44699</v>
      </c>
    </row>
    <row r="11" spans="2:11" x14ac:dyDescent="0.3">
      <c r="B11" s="6" t="s">
        <v>15</v>
      </c>
      <c r="C11" s="22"/>
      <c r="D11" s="22"/>
      <c r="E11" s="22"/>
      <c r="F11" s="22"/>
      <c r="G11" s="57"/>
      <c r="H11" s="12">
        <f t="shared" si="0"/>
        <v>44699</v>
      </c>
    </row>
    <row r="12" spans="2:11" x14ac:dyDescent="0.3">
      <c r="B12" s="6" t="s">
        <v>54</v>
      </c>
      <c r="C12" s="22"/>
      <c r="D12" s="22"/>
      <c r="E12" s="22"/>
      <c r="F12" s="22"/>
      <c r="G12" s="22"/>
      <c r="H12" s="67">
        <f t="shared" si="0"/>
        <v>44699</v>
      </c>
    </row>
    <row r="13" spans="2:11" x14ac:dyDescent="0.3">
      <c r="B13" s="6" t="s">
        <v>26</v>
      </c>
      <c r="C13" s="22"/>
      <c r="D13" s="22">
        <v>314500</v>
      </c>
      <c r="E13" s="22"/>
      <c r="F13" s="22">
        <v>432000</v>
      </c>
      <c r="G13" s="22"/>
      <c r="H13" s="12">
        <f t="shared" si="0"/>
        <v>44699</v>
      </c>
    </row>
    <row r="14" spans="2:11" x14ac:dyDescent="0.3">
      <c r="B14" s="6" t="s">
        <v>22</v>
      </c>
      <c r="C14" s="22"/>
      <c r="D14" s="22"/>
      <c r="E14" s="22"/>
      <c r="F14" s="22"/>
      <c r="G14" s="22"/>
      <c r="H14" s="12">
        <f t="shared" si="0"/>
        <v>44699</v>
      </c>
      <c r="K14" s="4"/>
    </row>
    <row r="15" spans="2:11" x14ac:dyDescent="0.3">
      <c r="B15" s="6" t="s">
        <v>61</v>
      </c>
      <c r="C15" s="57"/>
      <c r="D15" s="22"/>
      <c r="E15" s="22"/>
      <c r="F15" s="22"/>
      <c r="G15" s="22"/>
      <c r="H15" s="67">
        <f t="shared" si="0"/>
        <v>44699</v>
      </c>
      <c r="K15" s="4"/>
    </row>
    <row r="16" spans="2:11" x14ac:dyDescent="0.3">
      <c r="B16" s="6" t="s">
        <v>19</v>
      </c>
      <c r="C16" s="23"/>
      <c r="D16" s="23"/>
      <c r="E16" s="23">
        <v>162000</v>
      </c>
      <c r="F16" s="22"/>
      <c r="G16" s="23"/>
      <c r="H16" s="12">
        <f t="shared" si="0"/>
        <v>44699</v>
      </c>
    </row>
    <row r="17" spans="2:10" x14ac:dyDescent="0.3">
      <c r="B17" s="6" t="s">
        <v>14</v>
      </c>
      <c r="C17" s="23"/>
      <c r="D17" s="23">
        <v>54000</v>
      </c>
      <c r="E17" s="23">
        <v>108000</v>
      </c>
      <c r="F17" s="22"/>
      <c r="G17" s="23"/>
      <c r="H17" s="12">
        <f t="shared" si="0"/>
        <v>44699</v>
      </c>
    </row>
    <row r="18" spans="2:10" x14ac:dyDescent="0.3">
      <c r="B18" s="6" t="s">
        <v>24</v>
      </c>
      <c r="C18" s="22"/>
      <c r="D18" s="22"/>
      <c r="E18" s="22"/>
      <c r="F18" s="49"/>
      <c r="G18" s="22"/>
      <c r="H18" s="12">
        <f t="shared" si="0"/>
        <v>44699</v>
      </c>
      <c r="J18" s="1" t="s">
        <v>66</v>
      </c>
    </row>
    <row r="19" spans="2:10" x14ac:dyDescent="0.3">
      <c r="B19" s="6" t="s">
        <v>21</v>
      </c>
      <c r="C19" s="22"/>
      <c r="D19" s="22"/>
      <c r="E19" s="22"/>
      <c r="F19" s="22"/>
      <c r="G19" s="22"/>
      <c r="H19" s="67">
        <f t="shared" si="0"/>
        <v>44699</v>
      </c>
    </row>
    <row r="20" spans="2:10" x14ac:dyDescent="0.3">
      <c r="B20" s="6" t="s">
        <v>65</v>
      </c>
      <c r="C20" s="22"/>
      <c r="D20" s="22"/>
      <c r="E20" s="22"/>
      <c r="F20" s="22"/>
      <c r="G20" s="22"/>
      <c r="H20" s="12">
        <f t="shared" si="0"/>
        <v>44699</v>
      </c>
    </row>
    <row r="21" spans="2:10" x14ac:dyDescent="0.3">
      <c r="B21" s="6" t="s">
        <v>18</v>
      </c>
      <c r="C21" s="62"/>
      <c r="D21" s="62"/>
      <c r="E21" s="62"/>
      <c r="F21" s="62"/>
      <c r="G21" s="62"/>
      <c r="H21" s="12">
        <f t="shared" si="0"/>
        <v>44699</v>
      </c>
    </row>
    <row r="22" spans="2:10" x14ac:dyDescent="0.3">
      <c r="B22" s="6" t="s">
        <v>16</v>
      </c>
      <c r="C22" s="22"/>
      <c r="D22" s="119"/>
      <c r="E22" s="62"/>
      <c r="F22" s="62"/>
      <c r="G22" s="62"/>
      <c r="H22" s="12">
        <f t="shared" si="0"/>
        <v>44699</v>
      </c>
    </row>
    <row r="23" spans="2:10" x14ac:dyDescent="0.3">
      <c r="B23" s="50" t="s">
        <v>27</v>
      </c>
      <c r="C23" s="51">
        <f>SUM(May18_2022[KSI_AGO])</f>
        <v>0</v>
      </c>
      <c r="D23" s="51">
        <f>SUBTOTAL(109,May18_2022[KSI_PMS])</f>
        <v>1556500</v>
      </c>
      <c r="E23" s="51">
        <f>SUM(May18_2022[BUIPE_AGO])</f>
        <v>270000</v>
      </c>
      <c r="F23" s="51">
        <f>SUM(May18_2022[BUIPE_PMS])</f>
        <v>432000</v>
      </c>
      <c r="G23" s="51">
        <f>SUM(May18_2022[AKOSOMBO_AGO])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5E360C4-979F-4156-BEE5-D96CE471B527}">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D9E70-94E8-41BB-91E2-75A90A762411}">
  <sheetPr codeName="Sheet592"/>
  <dimension ref="B1:K24"/>
  <sheetViews>
    <sheetView zoomScale="115" zoomScaleNormal="115" workbookViewId="0">
      <pane xSplit="2" ySplit="5" topLeftCell="G9" activePane="bottomRight" state="frozen"/>
      <selection pane="topRight" activeCell="C1" sqref="C1"/>
      <selection pane="bottomLeft" activeCell="A6" sqref="A6"/>
      <selection pane="bottomRight"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44700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44700</v>
      </c>
    </row>
    <row r="7" spans="2:11" ht="16.5" customHeight="1" x14ac:dyDescent="0.3">
      <c r="B7" s="6" t="s">
        <v>37</v>
      </c>
      <c r="C7" s="57"/>
      <c r="D7" s="62"/>
      <c r="E7" s="62"/>
      <c r="F7" s="62"/>
      <c r="G7" s="62"/>
      <c r="H7" s="67">
        <f t="shared" si="0"/>
        <v>44700</v>
      </c>
    </row>
    <row r="8" spans="2:11" x14ac:dyDescent="0.3">
      <c r="B8" s="6" t="s">
        <v>17</v>
      </c>
      <c r="C8" s="22"/>
      <c r="D8" s="22"/>
      <c r="E8" s="22"/>
      <c r="F8" s="22"/>
      <c r="G8" s="22"/>
      <c r="H8" s="12">
        <f t="shared" si="0"/>
        <v>44700</v>
      </c>
    </row>
    <row r="9" spans="2:11" ht="15.6" x14ac:dyDescent="0.3">
      <c r="B9" s="34" t="s">
        <v>0</v>
      </c>
      <c r="C9" s="60"/>
      <c r="D9" s="60">
        <v>1026000</v>
      </c>
      <c r="E9" s="60"/>
      <c r="F9" s="60"/>
      <c r="G9" s="61"/>
      <c r="H9" s="12">
        <f t="shared" si="0"/>
        <v>44700</v>
      </c>
    </row>
    <row r="10" spans="2:11" x14ac:dyDescent="0.3">
      <c r="B10" s="6" t="s">
        <v>25</v>
      </c>
      <c r="C10" s="62"/>
      <c r="D10" s="57"/>
      <c r="E10" s="22"/>
      <c r="F10" s="22"/>
      <c r="G10" s="22"/>
      <c r="H10" s="12">
        <f t="shared" si="0"/>
        <v>44700</v>
      </c>
    </row>
    <row r="11" spans="2:11" x14ac:dyDescent="0.3">
      <c r="B11" s="6" t="s">
        <v>15</v>
      </c>
      <c r="C11" s="22"/>
      <c r="D11" s="22"/>
      <c r="E11" s="22"/>
      <c r="F11" s="22"/>
      <c r="G11" s="57"/>
      <c r="H11" s="12">
        <f t="shared" si="0"/>
        <v>44700</v>
      </c>
    </row>
    <row r="12" spans="2:11" x14ac:dyDescent="0.3">
      <c r="B12" s="6" t="s">
        <v>54</v>
      </c>
      <c r="C12" s="22"/>
      <c r="D12" s="22"/>
      <c r="E12" s="22"/>
      <c r="F12" s="22"/>
      <c r="G12" s="22"/>
      <c r="H12" s="67">
        <f t="shared" si="0"/>
        <v>44700</v>
      </c>
    </row>
    <row r="13" spans="2:11" x14ac:dyDescent="0.3">
      <c r="B13" s="6" t="s">
        <v>26</v>
      </c>
      <c r="C13" s="22"/>
      <c r="D13" s="22">
        <v>270000</v>
      </c>
      <c r="E13" s="22"/>
      <c r="F13" s="22">
        <v>54000</v>
      </c>
      <c r="G13" s="22"/>
      <c r="H13" s="12">
        <f t="shared" si="0"/>
        <v>44700</v>
      </c>
    </row>
    <row r="14" spans="2:11" x14ac:dyDescent="0.3">
      <c r="B14" s="6" t="s">
        <v>22</v>
      </c>
      <c r="C14" s="22"/>
      <c r="D14" s="22"/>
      <c r="E14" s="22"/>
      <c r="F14" s="22"/>
      <c r="G14" s="22"/>
      <c r="H14" s="12">
        <f t="shared" si="0"/>
        <v>44700</v>
      </c>
      <c r="K14" s="4"/>
    </row>
    <row r="15" spans="2:11" x14ac:dyDescent="0.3">
      <c r="B15" s="6" t="s">
        <v>61</v>
      </c>
      <c r="C15" s="57"/>
      <c r="D15" s="22"/>
      <c r="E15" s="22"/>
      <c r="F15" s="22"/>
      <c r="G15" s="22"/>
      <c r="H15" s="67">
        <f t="shared" si="0"/>
        <v>44700</v>
      </c>
      <c r="K15" s="4"/>
    </row>
    <row r="16" spans="2:11" x14ac:dyDescent="0.3">
      <c r="B16" s="6" t="s">
        <v>19</v>
      </c>
      <c r="C16" s="23"/>
      <c r="D16" s="23"/>
      <c r="E16" s="23">
        <v>270000</v>
      </c>
      <c r="F16" s="22"/>
      <c r="G16" s="23"/>
      <c r="H16" s="12">
        <f t="shared" si="0"/>
        <v>44700</v>
      </c>
    </row>
    <row r="17" spans="2:10" x14ac:dyDescent="0.3">
      <c r="B17" s="6" t="s">
        <v>14</v>
      </c>
      <c r="C17" s="23"/>
      <c r="D17" s="23"/>
      <c r="E17" s="23"/>
      <c r="F17" s="22"/>
      <c r="G17" s="23"/>
      <c r="H17" s="12">
        <f t="shared" si="0"/>
        <v>44700</v>
      </c>
    </row>
    <row r="18" spans="2:10" x14ac:dyDescent="0.3">
      <c r="B18" s="6" t="s">
        <v>24</v>
      </c>
      <c r="C18" s="22"/>
      <c r="D18" s="22"/>
      <c r="E18" s="22"/>
      <c r="F18" s="49"/>
      <c r="G18" s="22"/>
      <c r="H18" s="12">
        <f t="shared" si="0"/>
        <v>44700</v>
      </c>
      <c r="J18" s="1" t="s">
        <v>66</v>
      </c>
    </row>
    <row r="19" spans="2:10" x14ac:dyDescent="0.3">
      <c r="B19" s="6" t="s">
        <v>21</v>
      </c>
      <c r="C19" s="22"/>
      <c r="D19" s="22"/>
      <c r="E19" s="22"/>
      <c r="F19" s="22"/>
      <c r="G19" s="22"/>
      <c r="H19" s="67">
        <f t="shared" si="0"/>
        <v>44700</v>
      </c>
    </row>
    <row r="20" spans="2:10" x14ac:dyDescent="0.3">
      <c r="B20" s="6" t="s">
        <v>65</v>
      </c>
      <c r="C20" s="22"/>
      <c r="D20" s="22"/>
      <c r="E20" s="22"/>
      <c r="F20" s="22"/>
      <c r="G20" s="22"/>
      <c r="H20" s="12">
        <f t="shared" si="0"/>
        <v>44700</v>
      </c>
    </row>
    <row r="21" spans="2:10" x14ac:dyDescent="0.3">
      <c r="B21" s="6" t="s">
        <v>18</v>
      </c>
      <c r="C21" s="62"/>
      <c r="D21" s="62"/>
      <c r="E21" s="62"/>
      <c r="F21" s="62"/>
      <c r="G21" s="62"/>
      <c r="H21" s="12">
        <f t="shared" si="0"/>
        <v>44700</v>
      </c>
    </row>
    <row r="22" spans="2:10" x14ac:dyDescent="0.3">
      <c r="B22" s="6" t="s">
        <v>16</v>
      </c>
      <c r="C22" s="22"/>
      <c r="D22" s="119">
        <v>104000</v>
      </c>
      <c r="E22" s="62"/>
      <c r="F22" s="62"/>
      <c r="G22" s="62"/>
      <c r="H22" s="12">
        <f t="shared" si="0"/>
        <v>44700</v>
      </c>
    </row>
    <row r="23" spans="2:10" x14ac:dyDescent="0.3">
      <c r="B23" s="50" t="s">
        <v>27</v>
      </c>
      <c r="C23" s="51">
        <f>SUM(May19_2022[KSI_AGO])</f>
        <v>0</v>
      </c>
      <c r="D23" s="51">
        <f>SUBTOTAL(109,May19_2022[KSI_PMS])</f>
        <v>1400000</v>
      </c>
      <c r="E23" s="51">
        <f>SUM(May19_2022[BUIPE_AGO])</f>
        <v>270000</v>
      </c>
      <c r="F23" s="51">
        <f>SUM(May19_2022[BUIPE_PMS])</f>
        <v>54000</v>
      </c>
      <c r="G23" s="51">
        <f>SUM(May19_2022[AKOSOMBO_AGO])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9050C0C7-0B6F-4B97-9BD7-DEFBA90B4007}">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25BF-2D0B-48BF-9C5F-1F30F7592EBD}">
  <sheetPr codeName="Sheet593"/>
  <dimension ref="B1:K24"/>
  <sheetViews>
    <sheetView zoomScale="115" zoomScaleNormal="115" workbookViewId="0">
      <pane xSplit="2" ySplit="5" topLeftCell="G6" activePane="bottomRight" state="frozen"/>
      <selection pane="topRight" activeCell="C1" sqref="C1"/>
      <selection pane="bottomLeft" activeCell="A6" sqref="A6"/>
      <selection pane="bottomRight"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44701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44701</v>
      </c>
    </row>
    <row r="7" spans="2:11" ht="16.5" customHeight="1" x14ac:dyDescent="0.3">
      <c r="B7" s="6" t="s">
        <v>37</v>
      </c>
      <c r="C7" s="57"/>
      <c r="D7" s="62"/>
      <c r="E7" s="62"/>
      <c r="F7" s="62"/>
      <c r="G7" s="62"/>
      <c r="H7" s="67">
        <f t="shared" si="0"/>
        <v>44701</v>
      </c>
    </row>
    <row r="8" spans="2:11" x14ac:dyDescent="0.3">
      <c r="B8" s="6" t="s">
        <v>17</v>
      </c>
      <c r="C8" s="22"/>
      <c r="D8" s="22"/>
      <c r="E8" s="22"/>
      <c r="F8" s="22"/>
      <c r="G8" s="22"/>
      <c r="H8" s="12">
        <f t="shared" si="0"/>
        <v>44701</v>
      </c>
    </row>
    <row r="9" spans="2:11" ht="15.6" x14ac:dyDescent="0.3">
      <c r="B9" s="34" t="s">
        <v>0</v>
      </c>
      <c r="C9" s="60"/>
      <c r="D9" s="60">
        <v>918000</v>
      </c>
      <c r="E9" s="60"/>
      <c r="F9" s="60"/>
      <c r="G9" s="61"/>
      <c r="H9" s="12">
        <f t="shared" si="0"/>
        <v>44701</v>
      </c>
    </row>
    <row r="10" spans="2:11" x14ac:dyDescent="0.3">
      <c r="B10" s="6" t="s">
        <v>25</v>
      </c>
      <c r="C10" s="62"/>
      <c r="D10" s="57"/>
      <c r="E10" s="22"/>
      <c r="F10" s="22"/>
      <c r="G10" s="22"/>
      <c r="H10" s="12">
        <f t="shared" si="0"/>
        <v>44701</v>
      </c>
    </row>
    <row r="11" spans="2:11" x14ac:dyDescent="0.3">
      <c r="B11" s="6" t="s">
        <v>15</v>
      </c>
      <c r="C11" s="22"/>
      <c r="D11" s="22">
        <v>162000</v>
      </c>
      <c r="E11" s="22"/>
      <c r="F11" s="22"/>
      <c r="G11" s="57"/>
      <c r="H11" s="12">
        <f t="shared" si="0"/>
        <v>44701</v>
      </c>
    </row>
    <row r="12" spans="2:11" x14ac:dyDescent="0.3">
      <c r="B12" s="6" t="s">
        <v>54</v>
      </c>
      <c r="C12" s="22"/>
      <c r="D12" s="22">
        <v>54000</v>
      </c>
      <c r="E12" s="22"/>
      <c r="F12" s="22"/>
      <c r="G12" s="22"/>
      <c r="H12" s="67">
        <f t="shared" si="0"/>
        <v>44701</v>
      </c>
    </row>
    <row r="13" spans="2:11" x14ac:dyDescent="0.3">
      <c r="B13" s="6" t="s">
        <v>26</v>
      </c>
      <c r="C13" s="22"/>
      <c r="D13" s="22">
        <v>162000</v>
      </c>
      <c r="E13" s="22"/>
      <c r="F13" s="22"/>
      <c r="G13" s="22"/>
      <c r="H13" s="12">
        <f t="shared" si="0"/>
        <v>44701</v>
      </c>
    </row>
    <row r="14" spans="2:11" x14ac:dyDescent="0.3">
      <c r="B14" s="6" t="s">
        <v>22</v>
      </c>
      <c r="C14" s="22"/>
      <c r="D14" s="22"/>
      <c r="E14" s="22"/>
      <c r="F14" s="22"/>
      <c r="G14" s="22"/>
      <c r="H14" s="12">
        <f t="shared" si="0"/>
        <v>44701</v>
      </c>
      <c r="K14" s="4"/>
    </row>
    <row r="15" spans="2:11" x14ac:dyDescent="0.3">
      <c r="B15" s="6" t="s">
        <v>61</v>
      </c>
      <c r="C15" s="57"/>
      <c r="D15" s="22"/>
      <c r="E15" s="22"/>
      <c r="F15" s="22"/>
      <c r="G15" s="22"/>
      <c r="H15" s="67">
        <f t="shared" si="0"/>
        <v>44701</v>
      </c>
      <c r="K15" s="4"/>
    </row>
    <row r="16" spans="2:11" x14ac:dyDescent="0.3">
      <c r="B16" s="6" t="s">
        <v>19</v>
      </c>
      <c r="C16" s="23"/>
      <c r="D16" s="23"/>
      <c r="E16" s="23"/>
      <c r="F16" s="22"/>
      <c r="G16" s="23"/>
      <c r="H16" s="12">
        <f t="shared" si="0"/>
        <v>44701</v>
      </c>
    </row>
    <row r="17" spans="2:10" x14ac:dyDescent="0.3">
      <c r="B17" s="6" t="s">
        <v>14</v>
      </c>
      <c r="C17" s="23"/>
      <c r="D17" s="23"/>
      <c r="E17" s="23"/>
      <c r="F17" s="22"/>
      <c r="G17" s="23"/>
      <c r="H17" s="12">
        <f t="shared" si="0"/>
        <v>44701</v>
      </c>
    </row>
    <row r="18" spans="2:10" x14ac:dyDescent="0.3">
      <c r="B18" s="6" t="s">
        <v>24</v>
      </c>
      <c r="C18" s="22"/>
      <c r="D18" s="22"/>
      <c r="E18" s="22"/>
      <c r="F18" s="49"/>
      <c r="G18" s="22"/>
      <c r="H18" s="12">
        <f t="shared" si="0"/>
        <v>44701</v>
      </c>
      <c r="J18" s="1" t="s">
        <v>66</v>
      </c>
    </row>
    <row r="19" spans="2:10" x14ac:dyDescent="0.3">
      <c r="B19" s="6" t="s">
        <v>21</v>
      </c>
      <c r="C19" s="22"/>
      <c r="D19" s="22"/>
      <c r="E19" s="22"/>
      <c r="F19" s="22"/>
      <c r="G19" s="22"/>
      <c r="H19" s="67">
        <f t="shared" si="0"/>
        <v>44701</v>
      </c>
    </row>
    <row r="20" spans="2:10" x14ac:dyDescent="0.3">
      <c r="B20" s="6" t="s">
        <v>65</v>
      </c>
      <c r="C20" s="22"/>
      <c r="D20" s="22"/>
      <c r="E20" s="22"/>
      <c r="F20" s="22"/>
      <c r="G20" s="22"/>
      <c r="H20" s="12">
        <f t="shared" si="0"/>
        <v>44701</v>
      </c>
    </row>
    <row r="21" spans="2:10" x14ac:dyDescent="0.3">
      <c r="B21" s="6" t="s">
        <v>18</v>
      </c>
      <c r="C21" s="62"/>
      <c r="D21" s="62"/>
      <c r="E21" s="62"/>
      <c r="F21" s="62"/>
      <c r="G21" s="62"/>
      <c r="H21" s="12">
        <f t="shared" si="0"/>
        <v>44701</v>
      </c>
    </row>
    <row r="22" spans="2:10" x14ac:dyDescent="0.3">
      <c r="B22" s="6" t="s">
        <v>16</v>
      </c>
      <c r="C22" s="22"/>
      <c r="D22" s="119"/>
      <c r="E22" s="62"/>
      <c r="F22" s="62"/>
      <c r="G22" s="62"/>
      <c r="H22" s="12">
        <f t="shared" si="0"/>
        <v>44701</v>
      </c>
    </row>
    <row r="23" spans="2:10" x14ac:dyDescent="0.3">
      <c r="B23" s="50" t="s">
        <v>27</v>
      </c>
      <c r="C23" s="51">
        <f>SUM(May19_202216[KSI_AGO])</f>
        <v>0</v>
      </c>
      <c r="D23" s="51">
        <f>SUBTOTAL(109,May19_202216[KSI_PMS])</f>
        <v>1296000</v>
      </c>
      <c r="E23" s="51">
        <f>SUM(May19_202216[BUIPE_AGO])</f>
        <v>0</v>
      </c>
      <c r="F23" s="51">
        <f>SUM(May19_202216[BUIPE_PMS])</f>
        <v>0</v>
      </c>
      <c r="G23" s="51">
        <f>SUM(May19_202216[AKOSOMBO_AGO])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D2C605A-F171-4E3A-ACA8-C8CE0B8A33D6}">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5CF87-E6EA-4C11-BB73-8ABCFF8A76F8}">
  <sheetPr codeName="Sheet594"/>
  <dimension ref="B1:K24"/>
  <sheetViews>
    <sheetView zoomScale="115" zoomScaleNormal="115" workbookViewId="0">
      <pane xSplit="2" ySplit="5" topLeftCell="C6" activePane="bottomRight" state="frozen"/>
      <selection pane="topRight" activeCell="C1" sqref="C1"/>
      <selection pane="bottomLeft" activeCell="A6" sqref="A6"/>
      <selection pane="bottomRight" activeCell="F18" sqref="F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44704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44704</v>
      </c>
    </row>
    <row r="7" spans="2:11" ht="16.5" customHeight="1" x14ac:dyDescent="0.3">
      <c r="B7" s="6" t="s">
        <v>37</v>
      </c>
      <c r="C7" s="57"/>
      <c r="D7" s="62"/>
      <c r="E7" s="62"/>
      <c r="F7" s="62"/>
      <c r="G7" s="62"/>
      <c r="H7" s="67">
        <f t="shared" si="0"/>
        <v>44704</v>
      </c>
    </row>
    <row r="8" spans="2:11" x14ac:dyDescent="0.3">
      <c r="B8" s="6" t="s">
        <v>17</v>
      </c>
      <c r="C8" s="22"/>
      <c r="D8" s="22"/>
      <c r="E8" s="22"/>
      <c r="F8" s="22"/>
      <c r="G8" s="22"/>
      <c r="H8" s="12">
        <f t="shared" si="0"/>
        <v>44704</v>
      </c>
    </row>
    <row r="9" spans="2:11" ht="15.6" x14ac:dyDescent="0.3">
      <c r="B9" s="34" t="s">
        <v>0</v>
      </c>
      <c r="C9" s="60"/>
      <c r="D9" s="60">
        <v>810000</v>
      </c>
      <c r="E9" s="60"/>
      <c r="F9" s="60"/>
      <c r="G9" s="61"/>
      <c r="H9" s="12">
        <f t="shared" si="0"/>
        <v>44704</v>
      </c>
    </row>
    <row r="10" spans="2:11" x14ac:dyDescent="0.3">
      <c r="B10" s="6" t="s">
        <v>25</v>
      </c>
      <c r="C10" s="62"/>
      <c r="D10" s="57"/>
      <c r="E10" s="22"/>
      <c r="F10" s="22"/>
      <c r="G10" s="22"/>
      <c r="H10" s="12">
        <f t="shared" si="0"/>
        <v>44704</v>
      </c>
    </row>
    <row r="11" spans="2:11" x14ac:dyDescent="0.3">
      <c r="B11" s="6" t="s">
        <v>15</v>
      </c>
      <c r="C11" s="22"/>
      <c r="D11" s="22">
        <v>216000</v>
      </c>
      <c r="E11" s="22"/>
      <c r="F11" s="22"/>
      <c r="G11" s="57"/>
      <c r="H11" s="12">
        <f t="shared" si="0"/>
        <v>44704</v>
      </c>
    </row>
    <row r="12" spans="2:11" x14ac:dyDescent="0.3">
      <c r="B12" s="6" t="s">
        <v>54</v>
      </c>
      <c r="C12" s="22"/>
      <c r="D12" s="22"/>
      <c r="E12" s="22"/>
      <c r="F12" s="22"/>
      <c r="G12" s="22"/>
      <c r="H12" s="67">
        <f t="shared" si="0"/>
        <v>44704</v>
      </c>
    </row>
    <row r="13" spans="2:11" x14ac:dyDescent="0.3">
      <c r="B13" s="6" t="s">
        <v>26</v>
      </c>
      <c r="C13" s="22"/>
      <c r="D13" s="22">
        <v>157500</v>
      </c>
      <c r="E13" s="22"/>
      <c r="F13" s="22"/>
      <c r="G13" s="22"/>
      <c r="H13" s="12">
        <f t="shared" si="0"/>
        <v>44704</v>
      </c>
    </row>
    <row r="14" spans="2:11" x14ac:dyDescent="0.3">
      <c r="B14" s="6" t="s">
        <v>22</v>
      </c>
      <c r="C14" s="22"/>
      <c r="D14" s="22"/>
      <c r="E14" s="22"/>
      <c r="F14" s="22"/>
      <c r="G14" s="22"/>
      <c r="H14" s="12">
        <f t="shared" si="0"/>
        <v>44704</v>
      </c>
      <c r="K14" s="4"/>
    </row>
    <row r="15" spans="2:11" x14ac:dyDescent="0.3">
      <c r="B15" s="6" t="s">
        <v>61</v>
      </c>
      <c r="C15" s="57"/>
      <c r="D15" s="22"/>
      <c r="E15" s="22"/>
      <c r="F15" s="22"/>
      <c r="G15" s="22"/>
      <c r="H15" s="67">
        <f t="shared" si="0"/>
        <v>44704</v>
      </c>
      <c r="K15" s="4"/>
    </row>
    <row r="16" spans="2:11" x14ac:dyDescent="0.3">
      <c r="B16" s="6" t="s">
        <v>19</v>
      </c>
      <c r="C16" s="23"/>
      <c r="D16" s="23"/>
      <c r="E16" s="23">
        <v>149500</v>
      </c>
      <c r="F16" s="22"/>
      <c r="G16" s="23"/>
      <c r="H16" s="12">
        <f t="shared" si="0"/>
        <v>44704</v>
      </c>
    </row>
    <row r="17" spans="2:10" x14ac:dyDescent="0.3">
      <c r="B17" s="6" t="s">
        <v>14</v>
      </c>
      <c r="C17" s="23"/>
      <c r="D17" s="23"/>
      <c r="E17" s="23"/>
      <c r="F17" s="22"/>
      <c r="G17" s="23"/>
      <c r="H17" s="12">
        <f t="shared" si="0"/>
        <v>44704</v>
      </c>
    </row>
    <row r="18" spans="2:10" x14ac:dyDescent="0.3">
      <c r="B18" s="6" t="s">
        <v>24</v>
      </c>
      <c r="C18" s="22"/>
      <c r="D18" s="22"/>
      <c r="E18" s="22"/>
      <c r="F18" s="49"/>
      <c r="G18" s="22"/>
      <c r="H18" s="12">
        <f t="shared" si="0"/>
        <v>44704</v>
      </c>
      <c r="J18" s="1" t="s">
        <v>66</v>
      </c>
    </row>
    <row r="19" spans="2:10" x14ac:dyDescent="0.3">
      <c r="B19" s="6" t="s">
        <v>21</v>
      </c>
      <c r="C19" s="22"/>
      <c r="D19" s="22"/>
      <c r="E19" s="22"/>
      <c r="F19" s="22"/>
      <c r="G19" s="22"/>
      <c r="H19" s="67">
        <f t="shared" si="0"/>
        <v>44704</v>
      </c>
    </row>
    <row r="20" spans="2:10" x14ac:dyDescent="0.3">
      <c r="B20" s="6" t="s">
        <v>65</v>
      </c>
      <c r="C20" s="22"/>
      <c r="D20" s="22"/>
      <c r="E20" s="22"/>
      <c r="F20" s="22"/>
      <c r="G20" s="22"/>
      <c r="H20" s="12">
        <f t="shared" si="0"/>
        <v>44704</v>
      </c>
    </row>
    <row r="21" spans="2:10" x14ac:dyDescent="0.3">
      <c r="B21" s="6" t="s">
        <v>18</v>
      </c>
      <c r="C21" s="62"/>
      <c r="D21" s="62"/>
      <c r="E21" s="62"/>
      <c r="F21" s="62"/>
      <c r="G21" s="62"/>
      <c r="H21" s="12">
        <f t="shared" si="0"/>
        <v>44704</v>
      </c>
    </row>
    <row r="22" spans="2:10" x14ac:dyDescent="0.3">
      <c r="B22" s="6" t="s">
        <v>16</v>
      </c>
      <c r="C22" s="22"/>
      <c r="D22" s="119">
        <v>153000</v>
      </c>
      <c r="E22" s="62"/>
      <c r="F22" s="62"/>
      <c r="G22" s="62"/>
      <c r="H22" s="12">
        <f t="shared" si="0"/>
        <v>44704</v>
      </c>
    </row>
    <row r="23" spans="2:10" x14ac:dyDescent="0.3">
      <c r="B23" s="50" t="s">
        <v>27</v>
      </c>
      <c r="C23" s="51">
        <f>SUM(May23_2022[KSI_AGO])</f>
        <v>0</v>
      </c>
      <c r="D23" s="51">
        <f>SUBTOTAL(109,May23_2022[KSI_PMS])</f>
        <v>1336500</v>
      </c>
      <c r="E23" s="51">
        <f>SUM(May23_2022[BUIPE_AGO])</f>
        <v>149500</v>
      </c>
      <c r="F23" s="51">
        <f>SUM(May23_2022[BUIPE_PMS])</f>
        <v>0</v>
      </c>
      <c r="G23" s="51">
        <f>SUM(May23_2022[AKOSOMBO_AGO])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912F9736-F2D4-4B1D-940A-9E0B37942AD1}">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FD67E-1BD0-4B88-8FAC-FAC18C64EAD3}">
  <sheetPr codeName="Sheet595"/>
  <dimension ref="B1:K24"/>
  <sheetViews>
    <sheetView zoomScale="115" zoomScaleNormal="115" workbookViewId="0">
      <pane xSplit="2" ySplit="5" topLeftCell="C6" activePane="bottomRight" state="frozen"/>
      <selection pane="topRight" activeCell="C1" sqref="C1"/>
      <selection pane="bottomLeft" activeCell="A6" sqref="A6"/>
      <selection pane="bottomRight" activeCell="D16" sqre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44704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44704</v>
      </c>
    </row>
    <row r="7" spans="2:11" ht="16.5" customHeight="1" x14ac:dyDescent="0.3">
      <c r="B7" s="6" t="s">
        <v>37</v>
      </c>
      <c r="C7" s="57"/>
      <c r="D7" s="62"/>
      <c r="E7" s="62"/>
      <c r="F7" s="62"/>
      <c r="G7" s="62"/>
      <c r="H7" s="67">
        <f t="shared" si="0"/>
        <v>44704</v>
      </c>
    </row>
    <row r="8" spans="2:11" x14ac:dyDescent="0.3">
      <c r="B8" s="6" t="s">
        <v>17</v>
      </c>
      <c r="C8" s="22"/>
      <c r="D8" s="22"/>
      <c r="E8" s="22"/>
      <c r="F8" s="22"/>
      <c r="G8" s="22"/>
      <c r="H8" s="12">
        <f t="shared" si="0"/>
        <v>44704</v>
      </c>
    </row>
    <row r="9" spans="2:11" ht="15.6" x14ac:dyDescent="0.3">
      <c r="B9" s="34" t="s">
        <v>0</v>
      </c>
      <c r="C9" s="60"/>
      <c r="D9" s="60">
        <v>1080000</v>
      </c>
      <c r="E9" s="60"/>
      <c r="F9" s="60"/>
      <c r="G9" s="61"/>
      <c r="H9" s="12">
        <f t="shared" si="0"/>
        <v>44704</v>
      </c>
    </row>
    <row r="10" spans="2:11" x14ac:dyDescent="0.3">
      <c r="B10" s="6" t="s">
        <v>25</v>
      </c>
      <c r="C10" s="62"/>
      <c r="D10" s="57"/>
      <c r="E10" s="22"/>
      <c r="F10" s="22"/>
      <c r="G10" s="22"/>
      <c r="H10" s="12">
        <f t="shared" si="0"/>
        <v>44704</v>
      </c>
    </row>
    <row r="11" spans="2:11" x14ac:dyDescent="0.3">
      <c r="B11" s="6" t="s">
        <v>15</v>
      </c>
      <c r="C11" s="22"/>
      <c r="D11" s="22">
        <v>270000</v>
      </c>
      <c r="E11" s="22"/>
      <c r="F11" s="22"/>
      <c r="G11" s="57"/>
      <c r="H11" s="12">
        <f t="shared" si="0"/>
        <v>44704</v>
      </c>
    </row>
    <row r="12" spans="2:11" x14ac:dyDescent="0.3">
      <c r="B12" s="6" t="s">
        <v>54</v>
      </c>
      <c r="C12" s="22">
        <v>972000</v>
      </c>
      <c r="D12" s="22"/>
      <c r="E12" s="22"/>
      <c r="F12" s="22"/>
      <c r="G12" s="22"/>
      <c r="H12" s="67">
        <f t="shared" si="0"/>
        <v>44704</v>
      </c>
    </row>
    <row r="13" spans="2:11" x14ac:dyDescent="0.3">
      <c r="B13" s="6" t="s">
        <v>26</v>
      </c>
      <c r="C13" s="22"/>
      <c r="D13" s="22"/>
      <c r="E13" s="22"/>
      <c r="F13" s="22"/>
      <c r="G13" s="22"/>
      <c r="H13" s="12">
        <f t="shared" si="0"/>
        <v>44704</v>
      </c>
    </row>
    <row r="14" spans="2:11" x14ac:dyDescent="0.3">
      <c r="B14" s="6" t="s">
        <v>22</v>
      </c>
      <c r="C14" s="22"/>
      <c r="D14" s="22"/>
      <c r="E14" s="22"/>
      <c r="F14" s="22"/>
      <c r="G14" s="22"/>
      <c r="H14" s="12">
        <f t="shared" si="0"/>
        <v>44704</v>
      </c>
      <c r="K14" s="4"/>
    </row>
    <row r="15" spans="2:11" x14ac:dyDescent="0.3">
      <c r="B15" s="6" t="s">
        <v>61</v>
      </c>
      <c r="C15" s="57"/>
      <c r="D15" s="22"/>
      <c r="E15" s="22"/>
      <c r="F15" s="22"/>
      <c r="G15" s="22"/>
      <c r="H15" s="67">
        <f t="shared" si="0"/>
        <v>44704</v>
      </c>
      <c r="K15" s="4"/>
    </row>
    <row r="16" spans="2:11" x14ac:dyDescent="0.3">
      <c r="B16" s="6" t="s">
        <v>19</v>
      </c>
      <c r="C16" s="23"/>
      <c r="D16" s="23"/>
      <c r="E16" s="23"/>
      <c r="F16" s="22"/>
      <c r="G16" s="23"/>
      <c r="H16" s="12">
        <f t="shared" si="0"/>
        <v>44704</v>
      </c>
    </row>
    <row r="17" spans="2:10" x14ac:dyDescent="0.3">
      <c r="B17" s="6" t="s">
        <v>14</v>
      </c>
      <c r="C17" s="23"/>
      <c r="D17" s="23"/>
      <c r="E17" s="23"/>
      <c r="F17" s="22"/>
      <c r="G17" s="23"/>
      <c r="H17" s="12">
        <f t="shared" si="0"/>
        <v>44704</v>
      </c>
    </row>
    <row r="18" spans="2:10" x14ac:dyDescent="0.3">
      <c r="B18" s="6" t="s">
        <v>24</v>
      </c>
      <c r="C18" s="22"/>
      <c r="D18" s="22"/>
      <c r="E18" s="22"/>
      <c r="F18" s="49"/>
      <c r="G18" s="22"/>
      <c r="H18" s="12">
        <f t="shared" si="0"/>
        <v>44704</v>
      </c>
      <c r="J18" s="1" t="s">
        <v>66</v>
      </c>
    </row>
    <row r="19" spans="2:10" x14ac:dyDescent="0.3">
      <c r="B19" s="6" t="s">
        <v>21</v>
      </c>
      <c r="C19" s="22"/>
      <c r="D19" s="22"/>
      <c r="E19" s="22"/>
      <c r="F19" s="22"/>
      <c r="G19" s="22"/>
      <c r="H19" s="67">
        <f t="shared" si="0"/>
        <v>44704</v>
      </c>
    </row>
    <row r="20" spans="2:10" x14ac:dyDescent="0.3">
      <c r="B20" s="6" t="s">
        <v>65</v>
      </c>
      <c r="C20" s="22"/>
      <c r="D20" s="22"/>
      <c r="E20" s="22"/>
      <c r="F20" s="22"/>
      <c r="G20" s="22"/>
      <c r="H20" s="12">
        <f t="shared" si="0"/>
        <v>44704</v>
      </c>
    </row>
    <row r="21" spans="2:10" x14ac:dyDescent="0.3">
      <c r="B21" s="6" t="s">
        <v>18</v>
      </c>
      <c r="C21" s="62"/>
      <c r="D21" s="62"/>
      <c r="E21" s="62"/>
      <c r="F21" s="62"/>
      <c r="G21" s="62"/>
      <c r="H21" s="12">
        <f t="shared" si="0"/>
        <v>44704</v>
      </c>
    </row>
    <row r="22" spans="2:10" x14ac:dyDescent="0.3">
      <c r="B22" s="6" t="s">
        <v>16</v>
      </c>
      <c r="C22" s="22"/>
      <c r="D22" s="119"/>
      <c r="E22" s="62"/>
      <c r="F22" s="62"/>
      <c r="G22" s="62"/>
      <c r="H22" s="12">
        <f t="shared" si="0"/>
        <v>44704</v>
      </c>
    </row>
    <row r="23" spans="2:10" x14ac:dyDescent="0.3">
      <c r="B23" s="50" t="s">
        <v>27</v>
      </c>
      <c r="C23" s="51">
        <f>SUM(May24_2022[KSI_AGO])</f>
        <v>972000</v>
      </c>
      <c r="D23" s="51">
        <f>SUBTOTAL(109,May24_2022[KSI_PMS])</f>
        <v>1350000</v>
      </c>
      <c r="E23" s="51">
        <f>SUM(May24_2022[BUIPE_AGO])</f>
        <v>0</v>
      </c>
      <c r="F23" s="51">
        <f>SUM(May24_2022[BUIPE_PMS])</f>
        <v>0</v>
      </c>
      <c r="G23" s="51">
        <f>SUM(May24_2022[AKOSOMBO_AGO])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7E3B2EBF-C6D2-4596-891D-5109D6A9051B}">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DE4D8-C944-4F4C-A95D-0B32DF222302}">
  <sheetPr codeName="Sheet596"/>
  <dimension ref="B1:K24"/>
  <sheetViews>
    <sheetView zoomScale="115" zoomScaleNormal="115" workbookViewId="0">
      <pane xSplit="2" ySplit="5" topLeftCell="C6" activePane="bottomRight" state="frozen"/>
      <selection pane="topRight" activeCell="C1" sqref="C1"/>
      <selection pane="bottomLeft" activeCell="A6" sqref="A6"/>
      <selection pane="bottomRight" activeCell="B18" sqref="B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44706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44706</v>
      </c>
    </row>
    <row r="7" spans="2:11" ht="16.5" customHeight="1" x14ac:dyDescent="0.3">
      <c r="B7" s="6" t="s">
        <v>37</v>
      </c>
      <c r="C7" s="57"/>
      <c r="D7" s="62"/>
      <c r="E7" s="62"/>
      <c r="F7" s="62"/>
      <c r="G7" s="62"/>
      <c r="H7" s="67">
        <f t="shared" si="0"/>
        <v>44706</v>
      </c>
    </row>
    <row r="8" spans="2:11" x14ac:dyDescent="0.3">
      <c r="B8" s="6" t="s">
        <v>17</v>
      </c>
      <c r="C8" s="22"/>
      <c r="D8" s="22"/>
      <c r="E8" s="22"/>
      <c r="F8" s="22"/>
      <c r="G8" s="22"/>
      <c r="H8" s="12">
        <f t="shared" si="0"/>
        <v>44706</v>
      </c>
    </row>
    <row r="9" spans="2:11" ht="15.6" x14ac:dyDescent="0.3">
      <c r="B9" s="34" t="s">
        <v>0</v>
      </c>
      <c r="C9" s="60">
        <v>1944000</v>
      </c>
      <c r="D9" s="60"/>
      <c r="E9" s="60">
        <v>162000</v>
      </c>
      <c r="F9" s="60"/>
      <c r="G9" s="61"/>
      <c r="H9" s="12">
        <f t="shared" si="0"/>
        <v>44706</v>
      </c>
    </row>
    <row r="10" spans="2:11" x14ac:dyDescent="0.3">
      <c r="B10" s="6" t="s">
        <v>25</v>
      </c>
      <c r="C10" s="62"/>
      <c r="D10" s="57"/>
      <c r="E10" s="22"/>
      <c r="F10" s="22"/>
      <c r="G10" s="22"/>
      <c r="H10" s="12">
        <f t="shared" si="0"/>
        <v>44706</v>
      </c>
    </row>
    <row r="11" spans="2:11" x14ac:dyDescent="0.3">
      <c r="B11" s="6" t="s">
        <v>15</v>
      </c>
      <c r="C11" s="22"/>
      <c r="D11" s="22">
        <v>864000</v>
      </c>
      <c r="E11" s="22"/>
      <c r="F11" s="22"/>
      <c r="G11" s="57"/>
      <c r="H11" s="12">
        <f t="shared" si="0"/>
        <v>44706</v>
      </c>
    </row>
    <row r="12" spans="2:11" x14ac:dyDescent="0.3">
      <c r="B12" s="6" t="s">
        <v>54</v>
      </c>
      <c r="C12" s="22"/>
      <c r="D12" s="22">
        <v>540000</v>
      </c>
      <c r="E12" s="22">
        <v>54000</v>
      </c>
      <c r="F12" s="22"/>
      <c r="G12" s="22"/>
      <c r="H12" s="67">
        <f t="shared" si="0"/>
        <v>44706</v>
      </c>
    </row>
    <row r="13" spans="2:11" x14ac:dyDescent="0.3">
      <c r="B13" s="6" t="s">
        <v>26</v>
      </c>
      <c r="C13" s="22">
        <v>108000</v>
      </c>
      <c r="D13" s="22"/>
      <c r="E13" s="22"/>
      <c r="F13" s="22"/>
      <c r="G13" s="22"/>
      <c r="H13" s="12">
        <f t="shared" si="0"/>
        <v>44706</v>
      </c>
    </row>
    <row r="14" spans="2:11" x14ac:dyDescent="0.3">
      <c r="B14" s="6" t="s">
        <v>22</v>
      </c>
      <c r="C14" s="22"/>
      <c r="D14" s="22"/>
      <c r="E14" s="22"/>
      <c r="F14" s="22"/>
      <c r="G14" s="22"/>
      <c r="H14" s="12">
        <f t="shared" si="0"/>
        <v>44706</v>
      </c>
      <c r="K14" s="4"/>
    </row>
    <row r="15" spans="2:11" x14ac:dyDescent="0.3">
      <c r="B15" s="6" t="s">
        <v>61</v>
      </c>
      <c r="C15" s="57"/>
      <c r="D15" s="22"/>
      <c r="E15" s="22"/>
      <c r="F15" s="22"/>
      <c r="G15" s="22"/>
      <c r="H15" s="67">
        <f t="shared" si="0"/>
        <v>44706</v>
      </c>
      <c r="K15" s="4"/>
    </row>
    <row r="16" spans="2:11" x14ac:dyDescent="0.3">
      <c r="B16" s="6" t="s">
        <v>19</v>
      </c>
      <c r="C16" s="23"/>
      <c r="D16" s="23">
        <v>378000</v>
      </c>
      <c r="E16" s="23"/>
      <c r="F16" s="22"/>
      <c r="G16" s="23"/>
      <c r="H16" s="12">
        <f t="shared" si="0"/>
        <v>44706</v>
      </c>
    </row>
    <row r="17" spans="2:10" x14ac:dyDescent="0.3">
      <c r="B17" s="6" t="s">
        <v>14</v>
      </c>
      <c r="C17" s="23"/>
      <c r="D17" s="23"/>
      <c r="E17" s="23"/>
      <c r="F17" s="22"/>
      <c r="G17" s="23"/>
      <c r="H17" s="12">
        <f t="shared" si="0"/>
        <v>44706</v>
      </c>
    </row>
    <row r="18" spans="2:10" x14ac:dyDescent="0.3">
      <c r="B18" s="6" t="s">
        <v>24</v>
      </c>
      <c r="C18" s="22"/>
      <c r="D18" s="22"/>
      <c r="E18" s="22"/>
      <c r="F18" s="49"/>
      <c r="G18" s="22"/>
      <c r="H18" s="12">
        <f t="shared" si="0"/>
        <v>44706</v>
      </c>
      <c r="J18" s="1" t="s">
        <v>66</v>
      </c>
    </row>
    <row r="19" spans="2:10" x14ac:dyDescent="0.3">
      <c r="B19" s="6" t="s">
        <v>21</v>
      </c>
      <c r="C19" s="22"/>
      <c r="D19" s="22"/>
      <c r="E19" s="22"/>
      <c r="F19" s="22"/>
      <c r="G19" s="22"/>
      <c r="H19" s="67">
        <f t="shared" si="0"/>
        <v>44706</v>
      </c>
    </row>
    <row r="20" spans="2:10" x14ac:dyDescent="0.3">
      <c r="B20" s="6" t="s">
        <v>65</v>
      </c>
      <c r="C20" s="22"/>
      <c r="D20" s="22"/>
      <c r="E20" s="22"/>
      <c r="F20" s="22"/>
      <c r="G20" s="22"/>
      <c r="H20" s="12">
        <f t="shared" si="0"/>
        <v>44706</v>
      </c>
    </row>
    <row r="21" spans="2:10" x14ac:dyDescent="0.3">
      <c r="B21" s="6" t="s">
        <v>18</v>
      </c>
      <c r="C21" s="62"/>
      <c r="D21" s="62"/>
      <c r="E21" s="62"/>
      <c r="F21" s="62"/>
      <c r="G21" s="62"/>
      <c r="H21" s="12">
        <f t="shared" si="0"/>
        <v>44706</v>
      </c>
    </row>
    <row r="22" spans="2:10" x14ac:dyDescent="0.3">
      <c r="B22" s="6" t="s">
        <v>16</v>
      </c>
      <c r="C22" s="22">
        <v>401000</v>
      </c>
      <c r="D22" s="119"/>
      <c r="E22" s="62">
        <v>54000</v>
      </c>
      <c r="F22" s="62"/>
      <c r="G22" s="62"/>
      <c r="H22" s="12">
        <f t="shared" si="0"/>
        <v>44706</v>
      </c>
    </row>
    <row r="23" spans="2:10" x14ac:dyDescent="0.3">
      <c r="B23" s="50" t="s">
        <v>27</v>
      </c>
      <c r="C23" s="51">
        <f>SUM(May25_2022[KSI_AGO])</f>
        <v>2453000</v>
      </c>
      <c r="D23" s="51">
        <f>SUBTOTAL(109,May25_2022[KSI_PMS])</f>
        <v>1782000</v>
      </c>
      <c r="E23" s="51">
        <f>SUM(May25_2022[BUIPE_AGO])</f>
        <v>270000</v>
      </c>
      <c r="F23" s="51">
        <f>SUM(May25_2022[BUIPE_PMS])</f>
        <v>0</v>
      </c>
      <c r="G23" s="51">
        <f>SUM(May25_2022[AKOSOMBO_AGO])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817934A4-B0B7-4281-ADA7-C5F932184BC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83E70-DBFC-4630-B2A3-A7BB5F4007F8}">
  <sheetPr codeName="Sheet597"/>
  <dimension ref="B1:K24"/>
  <sheetViews>
    <sheetView zoomScale="115" zoomScaleNormal="115" workbookViewId="0">
      <selection activeCell="C18" sqref="C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44707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44707</v>
      </c>
    </row>
    <row r="7" spans="2:11" ht="16.5" customHeight="1" x14ac:dyDescent="0.3">
      <c r="B7" s="6" t="s">
        <v>37</v>
      </c>
      <c r="C7" s="62"/>
      <c r="D7" s="62"/>
      <c r="E7" s="62"/>
      <c r="F7" s="62"/>
      <c r="G7" s="62"/>
      <c r="H7" s="67">
        <f t="shared" si="0"/>
        <v>44707</v>
      </c>
    </row>
    <row r="8" spans="2:11" x14ac:dyDescent="0.3">
      <c r="B8" s="6" t="s">
        <v>17</v>
      </c>
      <c r="C8" s="22"/>
      <c r="D8" s="22"/>
      <c r="E8" s="22"/>
      <c r="F8" s="22"/>
      <c r="G8" s="22"/>
      <c r="H8" s="12">
        <f t="shared" si="0"/>
        <v>44707</v>
      </c>
    </row>
    <row r="9" spans="2:11" ht="15.6" x14ac:dyDescent="0.3">
      <c r="B9" s="34" t="s">
        <v>0</v>
      </c>
      <c r="C9" s="60"/>
      <c r="D9" s="60"/>
      <c r="E9" s="60">
        <v>162000</v>
      </c>
      <c r="F9" s="60"/>
      <c r="G9" s="61"/>
      <c r="H9" s="12">
        <f t="shared" si="0"/>
        <v>44707</v>
      </c>
    </row>
    <row r="10" spans="2:11" x14ac:dyDescent="0.3">
      <c r="B10" s="6" t="s">
        <v>25</v>
      </c>
      <c r="C10" s="22"/>
      <c r="D10" s="57"/>
      <c r="E10" s="22"/>
      <c r="F10" s="22"/>
      <c r="G10" s="22"/>
      <c r="H10" s="12">
        <f t="shared" si="0"/>
        <v>44707</v>
      </c>
    </row>
    <row r="11" spans="2:11" x14ac:dyDescent="0.3">
      <c r="B11" s="6" t="s">
        <v>15</v>
      </c>
      <c r="C11" s="22"/>
      <c r="D11" s="22">
        <v>589500</v>
      </c>
      <c r="E11" s="22"/>
      <c r="F11" s="22"/>
      <c r="G11" s="57"/>
      <c r="H11" s="12">
        <f t="shared" si="0"/>
        <v>44707</v>
      </c>
    </row>
    <row r="12" spans="2:11" x14ac:dyDescent="0.3">
      <c r="B12" s="6" t="s">
        <v>54</v>
      </c>
      <c r="C12" s="22">
        <v>270000</v>
      </c>
      <c r="D12" s="22">
        <v>590000</v>
      </c>
      <c r="E12" s="22">
        <v>54000</v>
      </c>
      <c r="F12" s="22"/>
      <c r="G12" s="22"/>
      <c r="H12" s="67">
        <f t="shared" si="0"/>
        <v>44707</v>
      </c>
    </row>
    <row r="13" spans="2:11" x14ac:dyDescent="0.3">
      <c r="B13" s="6" t="s">
        <v>26</v>
      </c>
      <c r="C13" s="22">
        <v>477000</v>
      </c>
      <c r="D13" s="22">
        <v>50000</v>
      </c>
      <c r="E13" s="22">
        <v>54000</v>
      </c>
      <c r="F13" s="22"/>
      <c r="G13" s="22"/>
      <c r="H13" s="12">
        <f t="shared" si="0"/>
        <v>44707</v>
      </c>
    </row>
    <row r="14" spans="2:11" x14ac:dyDescent="0.3">
      <c r="B14" s="6" t="s">
        <v>22</v>
      </c>
      <c r="C14" s="22"/>
      <c r="D14" s="22"/>
      <c r="E14" s="22"/>
      <c r="F14" s="22"/>
      <c r="G14" s="22"/>
      <c r="H14" s="12">
        <f t="shared" si="0"/>
        <v>44707</v>
      </c>
      <c r="K14" s="4"/>
    </row>
    <row r="15" spans="2:11" x14ac:dyDescent="0.3">
      <c r="B15" s="6" t="s">
        <v>61</v>
      </c>
      <c r="C15" s="57"/>
      <c r="D15" s="22"/>
      <c r="E15" s="22"/>
      <c r="F15" s="22"/>
      <c r="G15" s="22"/>
      <c r="H15" s="67">
        <f t="shared" si="0"/>
        <v>44707</v>
      </c>
      <c r="K15" s="4"/>
    </row>
    <row r="16" spans="2:11" x14ac:dyDescent="0.3">
      <c r="B16" s="6" t="s">
        <v>19</v>
      </c>
      <c r="C16" s="23">
        <v>797000</v>
      </c>
      <c r="D16" s="23">
        <v>576000</v>
      </c>
      <c r="E16" s="23">
        <v>270000</v>
      </c>
      <c r="F16" s="22"/>
      <c r="G16" s="23"/>
      <c r="H16" s="12">
        <f t="shared" si="0"/>
        <v>44707</v>
      </c>
    </row>
    <row r="17" spans="2:10" x14ac:dyDescent="0.3">
      <c r="B17" s="6" t="s">
        <v>14</v>
      </c>
      <c r="C17" s="23"/>
      <c r="D17" s="23"/>
      <c r="E17" s="23"/>
      <c r="F17" s="22"/>
      <c r="G17" s="23"/>
      <c r="H17" s="12">
        <f t="shared" si="0"/>
        <v>44707</v>
      </c>
    </row>
    <row r="18" spans="2:10" x14ac:dyDescent="0.3">
      <c r="B18" s="6" t="s">
        <v>24</v>
      </c>
      <c r="C18" s="22"/>
      <c r="D18" s="22"/>
      <c r="E18" s="22"/>
      <c r="F18" s="49"/>
      <c r="G18" s="22"/>
      <c r="H18" s="12">
        <f t="shared" si="0"/>
        <v>44707</v>
      </c>
      <c r="J18" s="1" t="s">
        <v>66</v>
      </c>
    </row>
    <row r="19" spans="2:10" x14ac:dyDescent="0.3">
      <c r="B19" s="6" t="s">
        <v>21</v>
      </c>
      <c r="C19" s="22"/>
      <c r="D19" s="22"/>
      <c r="E19" s="22"/>
      <c r="F19" s="22"/>
      <c r="G19" s="22"/>
      <c r="H19" s="67">
        <f t="shared" si="0"/>
        <v>44707</v>
      </c>
    </row>
    <row r="20" spans="2:10" x14ac:dyDescent="0.3">
      <c r="B20" s="6" t="s">
        <v>65</v>
      </c>
      <c r="C20" s="22"/>
      <c r="D20" s="22"/>
      <c r="E20" s="22"/>
      <c r="F20" s="22"/>
      <c r="G20" s="22"/>
      <c r="H20" s="12">
        <f t="shared" si="0"/>
        <v>44707</v>
      </c>
    </row>
    <row r="21" spans="2:10" x14ac:dyDescent="0.3">
      <c r="B21" s="6" t="s">
        <v>18</v>
      </c>
      <c r="C21" s="62"/>
      <c r="D21" s="62"/>
      <c r="E21" s="62"/>
      <c r="F21" s="62"/>
      <c r="G21" s="62"/>
      <c r="H21" s="12">
        <f t="shared" si="0"/>
        <v>44707</v>
      </c>
    </row>
    <row r="22" spans="2:10" x14ac:dyDescent="0.3">
      <c r="B22" s="6" t="s">
        <v>16</v>
      </c>
      <c r="C22" s="22">
        <v>536000</v>
      </c>
      <c r="D22" s="119"/>
      <c r="E22" s="62"/>
      <c r="F22" s="62"/>
      <c r="G22" s="62"/>
      <c r="H22" s="12">
        <f t="shared" si="0"/>
        <v>44707</v>
      </c>
    </row>
    <row r="23" spans="2:10" x14ac:dyDescent="0.3">
      <c r="B23" s="50" t="s">
        <v>27</v>
      </c>
      <c r="C23" s="51">
        <f>SUM(May25_2022263[KSI_AGO])</f>
        <v>2080000</v>
      </c>
      <c r="D23" s="51">
        <f>SUBTOTAL(109,May25_2022263[KSI_PMS])</f>
        <v>1805500</v>
      </c>
      <c r="E23" s="51">
        <f>SUM(May25_2022263[BUIPE_AGO])</f>
        <v>540000</v>
      </c>
      <c r="F23" s="51">
        <f>SUM(May25_2022263[BUIPE_PMS])</f>
        <v>0</v>
      </c>
      <c r="G23" s="51">
        <f>SUM(May25_2022263[AKOSOMBO_AGO])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C04380E6-D01F-4885-ACF4-4D0A090A7595}">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B8A93-7852-4182-A884-521AC78FA2EB}">
  <sheetPr codeName="Sheet598"/>
  <dimension ref="B1:K24"/>
  <sheetViews>
    <sheetView zoomScale="115" zoomScaleNormal="115" workbookViewId="0">
      <pane xSplit="2" ySplit="5" topLeftCell="E6" activePane="bottomRight" state="frozen"/>
      <selection pane="topRight" activeCell="C1" sqref="C1"/>
      <selection pane="bottomLeft" activeCell="A6" sqref="A6"/>
      <selection pane="bottomRight" activeCell="F2" sqref="F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44708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44708</v>
      </c>
    </row>
    <row r="7" spans="2:11" ht="16.5" customHeight="1" x14ac:dyDescent="0.3">
      <c r="B7" s="6" t="s">
        <v>37</v>
      </c>
      <c r="C7" s="62"/>
      <c r="D7" s="62"/>
      <c r="E7" s="62"/>
      <c r="F7" s="62"/>
      <c r="G7" s="62"/>
      <c r="H7" s="67">
        <f t="shared" si="0"/>
        <v>44708</v>
      </c>
    </row>
    <row r="8" spans="2:11" x14ac:dyDescent="0.3">
      <c r="B8" s="6" t="s">
        <v>17</v>
      </c>
      <c r="C8" s="22"/>
      <c r="D8" s="22"/>
      <c r="E8" s="22"/>
      <c r="F8" s="22"/>
      <c r="G8" s="22"/>
      <c r="H8" s="12">
        <f t="shared" si="0"/>
        <v>44708</v>
      </c>
    </row>
    <row r="9" spans="2:11" ht="15.6" x14ac:dyDescent="0.3">
      <c r="B9" s="34" t="s">
        <v>0</v>
      </c>
      <c r="C9" s="60">
        <v>108000</v>
      </c>
      <c r="D9" s="60"/>
      <c r="E9" s="60">
        <v>216000</v>
      </c>
      <c r="F9" s="60"/>
      <c r="G9" s="61"/>
      <c r="H9" s="12">
        <f t="shared" si="0"/>
        <v>44708</v>
      </c>
    </row>
    <row r="10" spans="2:11" x14ac:dyDescent="0.3">
      <c r="B10" s="6" t="s">
        <v>25</v>
      </c>
      <c r="C10" s="22"/>
      <c r="D10" s="22">
        <v>432000</v>
      </c>
      <c r="E10" s="22"/>
      <c r="F10" s="22"/>
      <c r="G10" s="22"/>
      <c r="H10" s="12">
        <f t="shared" si="0"/>
        <v>44708</v>
      </c>
    </row>
    <row r="11" spans="2:11" x14ac:dyDescent="0.3">
      <c r="B11" s="6" t="s">
        <v>15</v>
      </c>
      <c r="C11" s="22"/>
      <c r="D11" s="22">
        <v>320000</v>
      </c>
      <c r="E11" s="22"/>
      <c r="F11" s="22"/>
      <c r="G11" s="57"/>
      <c r="H11" s="12">
        <f t="shared" si="0"/>
        <v>44708</v>
      </c>
    </row>
    <row r="12" spans="2:11" x14ac:dyDescent="0.3">
      <c r="B12" s="6" t="s">
        <v>54</v>
      </c>
      <c r="C12" s="22">
        <v>108000</v>
      </c>
      <c r="D12" s="22">
        <v>162000</v>
      </c>
      <c r="E12" s="22">
        <v>108000</v>
      </c>
      <c r="F12" s="22"/>
      <c r="G12" s="22"/>
      <c r="H12" s="67">
        <f t="shared" si="0"/>
        <v>44708</v>
      </c>
    </row>
    <row r="13" spans="2:11" x14ac:dyDescent="0.3">
      <c r="B13" s="6" t="s">
        <v>26</v>
      </c>
      <c r="C13" s="22">
        <v>212000</v>
      </c>
      <c r="D13" s="22"/>
      <c r="E13" s="22">
        <v>162000</v>
      </c>
      <c r="F13" s="22"/>
      <c r="G13" s="22"/>
      <c r="H13" s="12">
        <f t="shared" si="0"/>
        <v>44708</v>
      </c>
    </row>
    <row r="14" spans="2:11" x14ac:dyDescent="0.3">
      <c r="B14" s="6" t="s">
        <v>22</v>
      </c>
      <c r="C14" s="22"/>
      <c r="D14" s="22"/>
      <c r="E14" s="22"/>
      <c r="F14" s="22"/>
      <c r="G14" s="22"/>
      <c r="H14" s="12">
        <f t="shared" si="0"/>
        <v>44708</v>
      </c>
      <c r="K14" s="4"/>
    </row>
    <row r="15" spans="2:11" x14ac:dyDescent="0.3">
      <c r="B15" s="6" t="s">
        <v>61</v>
      </c>
      <c r="C15" s="57"/>
      <c r="D15" s="22"/>
      <c r="E15" s="22"/>
      <c r="F15" s="22"/>
      <c r="G15" s="22"/>
      <c r="H15" s="67">
        <f t="shared" si="0"/>
        <v>44708</v>
      </c>
      <c r="K15" s="4"/>
    </row>
    <row r="16" spans="2:11" x14ac:dyDescent="0.3">
      <c r="B16" s="6" t="s">
        <v>19</v>
      </c>
      <c r="C16" s="23">
        <v>162000</v>
      </c>
      <c r="D16" s="23">
        <v>324000</v>
      </c>
      <c r="E16" s="23">
        <v>212000</v>
      </c>
      <c r="F16" s="22"/>
      <c r="G16" s="23"/>
      <c r="H16" s="12">
        <f t="shared" si="0"/>
        <v>44708</v>
      </c>
    </row>
    <row r="17" spans="2:10" x14ac:dyDescent="0.3">
      <c r="B17" s="6" t="s">
        <v>14</v>
      </c>
      <c r="C17" s="23">
        <v>351000</v>
      </c>
      <c r="D17" s="23">
        <v>485500</v>
      </c>
      <c r="E17" s="23"/>
      <c r="F17" s="22">
        <v>540000</v>
      </c>
      <c r="G17" s="23"/>
      <c r="H17" s="12">
        <f t="shared" si="0"/>
        <v>44708</v>
      </c>
    </row>
    <row r="18" spans="2:10" x14ac:dyDescent="0.3">
      <c r="B18" s="6" t="s">
        <v>24</v>
      </c>
      <c r="C18" s="22"/>
      <c r="D18" s="22"/>
      <c r="E18" s="22"/>
      <c r="F18" s="49"/>
      <c r="G18" s="22"/>
      <c r="H18" s="12">
        <f t="shared" si="0"/>
        <v>44708</v>
      </c>
      <c r="J18" s="1" t="s">
        <v>66</v>
      </c>
    </row>
    <row r="19" spans="2:10" x14ac:dyDescent="0.3">
      <c r="B19" s="6" t="s">
        <v>21</v>
      </c>
      <c r="C19" s="22"/>
      <c r="D19" s="22"/>
      <c r="E19" s="22"/>
      <c r="F19" s="22"/>
      <c r="G19" s="22"/>
      <c r="H19" s="67">
        <f t="shared" si="0"/>
        <v>44708</v>
      </c>
    </row>
    <row r="20" spans="2:10" x14ac:dyDescent="0.3">
      <c r="B20" s="6" t="s">
        <v>65</v>
      </c>
      <c r="C20" s="22"/>
      <c r="D20" s="22"/>
      <c r="E20" s="22"/>
      <c r="F20" s="22"/>
      <c r="G20" s="22"/>
      <c r="H20" s="12">
        <f t="shared" si="0"/>
        <v>44708</v>
      </c>
    </row>
    <row r="21" spans="2:10" x14ac:dyDescent="0.3">
      <c r="B21" s="6" t="s">
        <v>18</v>
      </c>
      <c r="C21" s="62"/>
      <c r="D21" s="62"/>
      <c r="E21" s="62"/>
      <c r="F21" s="62"/>
      <c r="G21" s="62"/>
      <c r="H21" s="12">
        <f t="shared" si="0"/>
        <v>44708</v>
      </c>
    </row>
    <row r="22" spans="2:10" x14ac:dyDescent="0.3">
      <c r="B22" s="6" t="s">
        <v>16</v>
      </c>
      <c r="C22" s="22">
        <v>54000</v>
      </c>
      <c r="D22" s="119"/>
      <c r="E22" s="62">
        <v>162000</v>
      </c>
      <c r="F22" s="62"/>
      <c r="G22" s="62"/>
      <c r="H22" s="12">
        <f t="shared" si="0"/>
        <v>44708</v>
      </c>
    </row>
    <row r="23" spans="2:10" x14ac:dyDescent="0.3">
      <c r="B23" s="50" t="s">
        <v>27</v>
      </c>
      <c r="C23" s="51">
        <f>SUM(May27_2022[KSI_AGO])</f>
        <v>995000</v>
      </c>
      <c r="D23" s="51">
        <f>SUBTOTAL(109,May27_2022[KSI_PMS])</f>
        <v>1723500</v>
      </c>
      <c r="E23" s="51">
        <f>SUM(May27_2022[BUIPE_AGO])</f>
        <v>860000</v>
      </c>
      <c r="F23" s="51">
        <f>SUM(May27_2022[BUIPE_PMS])</f>
        <v>540000</v>
      </c>
      <c r="G23" s="51">
        <f>SUM(May27_2022[AKOSOMBO_AGO])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53CE8D60-4072-409F-85A4-8E037CDB4842}">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5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D6027-F3F1-40ED-B5B5-D5ABEB40E4E8}">
  <sheetPr codeName="Sheet600"/>
  <dimension ref="B1:K24"/>
  <sheetViews>
    <sheetView zoomScale="115" zoomScaleNormal="115" workbookViewId="0">
      <pane xSplit="2" ySplit="5" topLeftCell="C6" activePane="bottomRight" state="frozen"/>
      <selection pane="topRight" activeCell="C1" sqref="C1"/>
      <selection pane="bottomLeft" activeCell="A6" sqref="A6"/>
      <selection pane="bottomRight" activeCell="C23" sqref="C2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44711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44711</v>
      </c>
    </row>
    <row r="7" spans="2:11" ht="16.5" customHeight="1" x14ac:dyDescent="0.3">
      <c r="B7" s="6" t="s">
        <v>37</v>
      </c>
      <c r="C7" s="62"/>
      <c r="D7" s="62"/>
      <c r="E7" s="62"/>
      <c r="F7" s="62"/>
      <c r="G7" s="62"/>
      <c r="H7" s="67">
        <f t="shared" si="0"/>
        <v>44711</v>
      </c>
    </row>
    <row r="8" spans="2:11" x14ac:dyDescent="0.3">
      <c r="B8" s="6" t="s">
        <v>17</v>
      </c>
      <c r="C8" s="22"/>
      <c r="D8" s="22"/>
      <c r="E8" s="22"/>
      <c r="F8" s="22"/>
      <c r="G8" s="22"/>
      <c r="H8" s="12">
        <f t="shared" si="0"/>
        <v>44711</v>
      </c>
    </row>
    <row r="9" spans="2:11" ht="15.6" x14ac:dyDescent="0.3">
      <c r="B9" s="34" t="s">
        <v>0</v>
      </c>
      <c r="C9" s="60"/>
      <c r="D9" s="60"/>
      <c r="E9" s="60"/>
      <c r="F9" s="60"/>
      <c r="G9" s="61"/>
      <c r="H9" s="12">
        <f t="shared" si="0"/>
        <v>44711</v>
      </c>
    </row>
    <row r="10" spans="2:11" x14ac:dyDescent="0.3">
      <c r="B10" s="6" t="s">
        <v>25</v>
      </c>
      <c r="C10" s="22"/>
      <c r="D10" s="22">
        <v>324000</v>
      </c>
      <c r="E10" s="22"/>
      <c r="F10" s="22"/>
      <c r="G10" s="22"/>
      <c r="H10" s="12">
        <f t="shared" si="0"/>
        <v>44711</v>
      </c>
    </row>
    <row r="11" spans="2:11" x14ac:dyDescent="0.3">
      <c r="B11" s="6" t="s">
        <v>15</v>
      </c>
      <c r="C11" s="22"/>
      <c r="D11" s="22">
        <v>586000</v>
      </c>
      <c r="E11" s="22"/>
      <c r="F11" s="22"/>
      <c r="G11" s="57"/>
      <c r="H11" s="12">
        <f t="shared" si="0"/>
        <v>44711</v>
      </c>
    </row>
    <row r="12" spans="2:11" x14ac:dyDescent="0.3">
      <c r="B12" s="6" t="s">
        <v>54</v>
      </c>
      <c r="C12" s="22">
        <v>54000</v>
      </c>
      <c r="D12" s="22"/>
      <c r="E12" s="22">
        <v>270000</v>
      </c>
      <c r="F12" s="22"/>
      <c r="G12" s="22"/>
      <c r="H12" s="67">
        <f t="shared" si="0"/>
        <v>44711</v>
      </c>
    </row>
    <row r="13" spans="2:11" x14ac:dyDescent="0.3">
      <c r="B13" s="6" t="s">
        <v>26</v>
      </c>
      <c r="C13" s="22"/>
      <c r="D13" s="22">
        <v>45000</v>
      </c>
      <c r="E13" s="22"/>
      <c r="F13" s="22"/>
      <c r="G13" s="22"/>
      <c r="H13" s="12">
        <f t="shared" si="0"/>
        <v>44711</v>
      </c>
    </row>
    <row r="14" spans="2:11" x14ac:dyDescent="0.3">
      <c r="B14" s="6" t="s">
        <v>22</v>
      </c>
      <c r="C14" s="22"/>
      <c r="D14" s="22"/>
      <c r="E14" s="22"/>
      <c r="F14" s="22"/>
      <c r="G14" s="22"/>
      <c r="H14" s="12">
        <f t="shared" si="0"/>
        <v>44711</v>
      </c>
      <c r="K14" s="4"/>
    </row>
    <row r="15" spans="2:11" x14ac:dyDescent="0.3">
      <c r="B15" s="6" t="s">
        <v>61</v>
      </c>
      <c r="C15" s="57"/>
      <c r="D15" s="22"/>
      <c r="E15" s="22"/>
      <c r="F15" s="22"/>
      <c r="G15" s="22"/>
      <c r="H15" s="67">
        <f t="shared" si="0"/>
        <v>44711</v>
      </c>
      <c r="K15" s="4"/>
    </row>
    <row r="16" spans="2:11" x14ac:dyDescent="0.3">
      <c r="B16" s="6" t="s">
        <v>19</v>
      </c>
      <c r="C16" s="23"/>
      <c r="D16" s="23"/>
      <c r="E16" s="23">
        <v>432000</v>
      </c>
      <c r="F16" s="22"/>
      <c r="G16" s="23"/>
      <c r="H16" s="12">
        <f t="shared" si="0"/>
        <v>44711</v>
      </c>
    </row>
    <row r="17" spans="2:10" x14ac:dyDescent="0.3">
      <c r="B17" s="6" t="s">
        <v>14</v>
      </c>
      <c r="C17" s="23"/>
      <c r="D17" s="23">
        <v>428000</v>
      </c>
      <c r="E17" s="23"/>
      <c r="F17" s="22"/>
      <c r="G17" s="23"/>
      <c r="H17" s="12">
        <f t="shared" si="0"/>
        <v>44711</v>
      </c>
    </row>
    <row r="18" spans="2:10" x14ac:dyDescent="0.3">
      <c r="B18" s="6" t="s">
        <v>24</v>
      </c>
      <c r="C18" s="22"/>
      <c r="D18" s="22"/>
      <c r="E18" s="22"/>
      <c r="F18" s="49"/>
      <c r="G18" s="22"/>
      <c r="H18" s="12">
        <f t="shared" si="0"/>
        <v>44711</v>
      </c>
      <c r="J18" s="1" t="s">
        <v>66</v>
      </c>
    </row>
    <row r="19" spans="2:10" x14ac:dyDescent="0.3">
      <c r="B19" s="6" t="s">
        <v>21</v>
      </c>
      <c r="C19" s="22"/>
      <c r="D19" s="22"/>
      <c r="E19" s="22"/>
      <c r="F19" s="22"/>
      <c r="G19" s="22"/>
      <c r="H19" s="67">
        <f t="shared" si="0"/>
        <v>44711</v>
      </c>
    </row>
    <row r="20" spans="2:10" x14ac:dyDescent="0.3">
      <c r="B20" s="6" t="s">
        <v>65</v>
      </c>
      <c r="C20" s="22"/>
      <c r="D20" s="22"/>
      <c r="E20" s="22"/>
      <c r="F20" s="22"/>
      <c r="G20" s="22"/>
      <c r="H20" s="12">
        <f t="shared" si="0"/>
        <v>44711</v>
      </c>
    </row>
    <row r="21" spans="2:10" x14ac:dyDescent="0.3">
      <c r="B21" s="6" t="s">
        <v>18</v>
      </c>
      <c r="C21" s="62"/>
      <c r="D21" s="62"/>
      <c r="E21" s="62"/>
      <c r="F21" s="62"/>
      <c r="G21" s="62"/>
      <c r="H21" s="12">
        <f t="shared" si="0"/>
        <v>44711</v>
      </c>
    </row>
    <row r="22" spans="2:10" x14ac:dyDescent="0.3">
      <c r="B22" s="6" t="s">
        <v>16</v>
      </c>
      <c r="C22" s="22"/>
      <c r="D22" s="119"/>
      <c r="E22" s="62"/>
      <c r="F22" s="62"/>
      <c r="G22" s="62"/>
      <c r="H22" s="12">
        <f t="shared" si="0"/>
        <v>44711</v>
      </c>
    </row>
    <row r="23" spans="2:10" x14ac:dyDescent="0.3">
      <c r="B23" s="50" t="s">
        <v>27</v>
      </c>
      <c r="C23" s="51">
        <f>SUM(May30_2022[KSI_AGO])</f>
        <v>54000</v>
      </c>
      <c r="D23" s="51">
        <f>SUBTOTAL(109,May30_2022[KSI_PMS])</f>
        <v>1383000</v>
      </c>
      <c r="E23" s="51">
        <f>SUM(May30_2022[BUIPE_AGO])</f>
        <v>702000</v>
      </c>
      <c r="F23" s="51">
        <f>SUM(May30_2022[BUIPE_PMS])</f>
        <v>0</v>
      </c>
      <c r="G23" s="51">
        <f>SUM(May30_2022[AKOSOMBO_AGO])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3F8E3483-6BFA-4B98-B8FB-039D6C82FE5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3DD57-6E94-4203-B3F0-9DA951A83109}">
  <sheetPr codeName="Sheet601"/>
  <dimension ref="B1:K24"/>
  <sheetViews>
    <sheetView zoomScale="115" zoomScaleNormal="115" workbookViewId="0">
      <pane xSplit="2" ySplit="5" topLeftCell="G6" activePane="bottomRight" state="frozen"/>
      <selection pane="topRight" activeCell="C1" sqref="C1"/>
      <selection pane="bottomLeft" activeCell="A6" sqref="A6"/>
      <selection pane="bottomRight"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44712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44712</v>
      </c>
    </row>
    <row r="7" spans="2:11" ht="16.5" customHeight="1" x14ac:dyDescent="0.3">
      <c r="B7" s="6" t="s">
        <v>37</v>
      </c>
      <c r="C7" s="62"/>
      <c r="D7" s="62"/>
      <c r="E7" s="62"/>
      <c r="F7" s="62"/>
      <c r="G7" s="62"/>
      <c r="H7" s="67">
        <f t="shared" si="0"/>
        <v>44712</v>
      </c>
    </row>
    <row r="8" spans="2:11" x14ac:dyDescent="0.3">
      <c r="B8" s="6" t="s">
        <v>17</v>
      </c>
      <c r="C8" s="22"/>
      <c r="D8" s="22"/>
      <c r="E8" s="22"/>
      <c r="F8" s="22"/>
      <c r="G8" s="22"/>
      <c r="H8" s="12">
        <f t="shared" si="0"/>
        <v>44712</v>
      </c>
    </row>
    <row r="9" spans="2:11" ht="15.6" x14ac:dyDescent="0.3">
      <c r="B9" s="34" t="s">
        <v>0</v>
      </c>
      <c r="C9" s="60"/>
      <c r="D9" s="60"/>
      <c r="E9" s="60"/>
      <c r="F9" s="60"/>
      <c r="G9" s="61"/>
      <c r="H9" s="12">
        <f t="shared" si="0"/>
        <v>44712</v>
      </c>
    </row>
    <row r="10" spans="2:11" x14ac:dyDescent="0.3">
      <c r="B10" s="6" t="s">
        <v>25</v>
      </c>
      <c r="C10" s="57"/>
      <c r="D10" s="22">
        <v>270000</v>
      </c>
      <c r="E10" s="22"/>
      <c r="F10" s="22"/>
      <c r="G10" s="22"/>
      <c r="H10" s="12">
        <f t="shared" si="0"/>
        <v>44712</v>
      </c>
    </row>
    <row r="11" spans="2:11" x14ac:dyDescent="0.3">
      <c r="B11" s="6" t="s">
        <v>15</v>
      </c>
      <c r="C11" s="57"/>
      <c r="D11" s="22">
        <v>540000</v>
      </c>
      <c r="E11" s="22"/>
      <c r="F11" s="22"/>
      <c r="G11" s="57"/>
      <c r="H11" s="12">
        <f t="shared" si="0"/>
        <v>44712</v>
      </c>
    </row>
    <row r="12" spans="2:11" x14ac:dyDescent="0.3">
      <c r="B12" s="6" t="s">
        <v>54</v>
      </c>
      <c r="C12" s="57"/>
      <c r="D12" s="22">
        <v>270000</v>
      </c>
      <c r="E12" s="22">
        <v>378000</v>
      </c>
      <c r="F12" s="22"/>
      <c r="G12" s="22"/>
      <c r="H12" s="67">
        <f t="shared" si="0"/>
        <v>44712</v>
      </c>
    </row>
    <row r="13" spans="2:11" x14ac:dyDescent="0.3">
      <c r="B13" s="6" t="s">
        <v>26</v>
      </c>
      <c r="C13" s="57"/>
      <c r="D13" s="22"/>
      <c r="E13" s="22">
        <v>135000</v>
      </c>
      <c r="F13" s="22"/>
      <c r="G13" s="22"/>
      <c r="H13" s="12">
        <f t="shared" si="0"/>
        <v>44712</v>
      </c>
    </row>
    <row r="14" spans="2:11" x14ac:dyDescent="0.3">
      <c r="B14" s="6" t="s">
        <v>22</v>
      </c>
      <c r="C14" s="57"/>
      <c r="D14" s="22"/>
      <c r="E14" s="22"/>
      <c r="F14" s="22"/>
      <c r="G14" s="22"/>
      <c r="H14" s="12">
        <f t="shared" si="0"/>
        <v>44712</v>
      </c>
      <c r="K14" s="4"/>
    </row>
    <row r="15" spans="2:11" x14ac:dyDescent="0.3">
      <c r="B15" s="6" t="s">
        <v>61</v>
      </c>
      <c r="C15" s="57"/>
      <c r="D15" s="57"/>
      <c r="E15" s="22"/>
      <c r="F15" s="22"/>
      <c r="G15" s="22"/>
      <c r="H15" s="67">
        <f t="shared" si="0"/>
        <v>44712</v>
      </c>
      <c r="K15" s="4"/>
    </row>
    <row r="16" spans="2:11" x14ac:dyDescent="0.3">
      <c r="B16" s="6" t="s">
        <v>19</v>
      </c>
      <c r="C16" s="22">
        <v>108000</v>
      </c>
      <c r="D16" s="23"/>
      <c r="E16" s="23">
        <v>216000</v>
      </c>
      <c r="F16" s="22"/>
      <c r="G16" s="23"/>
      <c r="H16" s="12">
        <f t="shared" si="0"/>
        <v>44712</v>
      </c>
    </row>
    <row r="17" spans="2:10" x14ac:dyDescent="0.3">
      <c r="B17" s="6" t="s">
        <v>14</v>
      </c>
      <c r="C17" s="57"/>
      <c r="D17" s="23">
        <v>428000</v>
      </c>
      <c r="E17" s="23"/>
      <c r="F17" s="22"/>
      <c r="G17" s="23"/>
      <c r="H17" s="12">
        <f t="shared" si="0"/>
        <v>44712</v>
      </c>
    </row>
    <row r="18" spans="2:10" x14ac:dyDescent="0.3">
      <c r="B18" s="6" t="s">
        <v>24</v>
      </c>
      <c r="C18" s="22"/>
      <c r="D18" s="22"/>
      <c r="E18" s="22"/>
      <c r="F18" s="49"/>
      <c r="G18" s="22"/>
      <c r="H18" s="12">
        <f t="shared" si="0"/>
        <v>44712</v>
      </c>
      <c r="J18" s="1" t="s">
        <v>66</v>
      </c>
    </row>
    <row r="19" spans="2:10" x14ac:dyDescent="0.3">
      <c r="B19" s="6" t="s">
        <v>21</v>
      </c>
      <c r="C19" s="22"/>
      <c r="D19" s="22"/>
      <c r="E19" s="22"/>
      <c r="F19" s="22"/>
      <c r="G19" s="22"/>
      <c r="H19" s="67">
        <f t="shared" si="0"/>
        <v>44712</v>
      </c>
    </row>
    <row r="20" spans="2:10" x14ac:dyDescent="0.3">
      <c r="B20" s="6" t="s">
        <v>65</v>
      </c>
      <c r="C20" s="22"/>
      <c r="D20" s="22"/>
      <c r="E20" s="22"/>
      <c r="F20" s="22"/>
      <c r="G20" s="22"/>
      <c r="H20" s="12">
        <f t="shared" si="0"/>
        <v>44712</v>
      </c>
    </row>
    <row r="21" spans="2:10" x14ac:dyDescent="0.3">
      <c r="B21" s="6" t="s">
        <v>18</v>
      </c>
      <c r="C21" s="62"/>
      <c r="D21" s="62"/>
      <c r="E21" s="62"/>
      <c r="F21" s="62"/>
      <c r="G21" s="62"/>
      <c r="H21" s="12">
        <f t="shared" si="0"/>
        <v>44712</v>
      </c>
    </row>
    <row r="22" spans="2:10" x14ac:dyDescent="0.3">
      <c r="B22" s="6" t="s">
        <v>16</v>
      </c>
      <c r="C22" s="22">
        <v>54000</v>
      </c>
      <c r="D22" s="119"/>
      <c r="E22" s="62"/>
      <c r="F22" s="62"/>
      <c r="G22" s="62"/>
      <c r="H22" s="12">
        <f t="shared" si="0"/>
        <v>44712</v>
      </c>
    </row>
    <row r="23" spans="2:10" x14ac:dyDescent="0.3">
      <c r="B23" s="50" t="s">
        <v>27</v>
      </c>
      <c r="C23" s="51">
        <f>SUM(May31_2022[KSI_AGO])</f>
        <v>162000</v>
      </c>
      <c r="D23" s="51">
        <f>SUBTOTAL(109,May31_2022[KSI_PMS])</f>
        <v>1508000</v>
      </c>
      <c r="E23" s="51">
        <f>SUM(May31_2022[BUIPE_AGO])</f>
        <v>729000</v>
      </c>
      <c r="F23" s="51">
        <f>SUM(May31_2022[BUIPE_PMS])</f>
        <v>0</v>
      </c>
      <c r="G23" s="51">
        <f>SUM(May31_2022[AKOSOMBO_AGO])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9BCFF4B-75B7-4049-88C0-7C8E6CF497A7}">
      <formula1>INDIRECT("BDC_List[BDC List]")</formula1>
    </dataValidation>
  </dataValidations>
  <pageMargins left="0.7" right="0.7" top="0.75" bottom="0.75" header="0.3" footer="0.3"/>
  <pageSetup orientation="portrait" horizontalDpi="4294967295" verticalDpi="4294967295" r:id="rId1"/>
  <tableParts count="1">
    <tablePart r:id="rId2"/>
  </tableParts>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3B71C-7876-413C-80D6-0919BDE01096}">
  <dimension ref="B1:K24"/>
  <sheetViews>
    <sheetView zoomScale="115" zoomScaleNormal="115" workbookViewId="0">
      <pane xSplit="2" ySplit="5" topLeftCell="C18" activePane="bottomRight" state="frozen"/>
      <selection pane="topRight" activeCell="C1" sqref="C1"/>
      <selection pane="bottomLeft" activeCell="A6" sqref="A6"/>
      <selection pane="bottomRight" activeCell="D26" sqref="D2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44713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44713</v>
      </c>
    </row>
    <row r="7" spans="2:11" ht="16.5" customHeight="1" x14ac:dyDescent="0.3">
      <c r="B7" s="6" t="s">
        <v>37</v>
      </c>
      <c r="C7" s="62"/>
      <c r="D7" s="62"/>
      <c r="E7" s="62"/>
      <c r="F7" s="62"/>
      <c r="G7" s="62"/>
      <c r="H7" s="67">
        <f t="shared" si="0"/>
        <v>44713</v>
      </c>
    </row>
    <row r="8" spans="2:11" x14ac:dyDescent="0.3">
      <c r="B8" s="6" t="s">
        <v>17</v>
      </c>
      <c r="C8" s="22"/>
      <c r="D8" s="22"/>
      <c r="E8" s="22"/>
      <c r="F8" s="22"/>
      <c r="G8" s="22"/>
      <c r="H8" s="12">
        <f t="shared" si="0"/>
        <v>44713</v>
      </c>
    </row>
    <row r="9" spans="2:11" ht="15.6" x14ac:dyDescent="0.3">
      <c r="B9" s="34" t="s">
        <v>0</v>
      </c>
      <c r="C9" s="60"/>
      <c r="D9" s="60"/>
      <c r="E9" s="60"/>
      <c r="F9" s="60"/>
      <c r="G9" s="61"/>
      <c r="H9" s="12">
        <f t="shared" si="0"/>
        <v>44713</v>
      </c>
    </row>
    <row r="10" spans="2:11" x14ac:dyDescent="0.3">
      <c r="B10" s="6" t="s">
        <v>25</v>
      </c>
      <c r="C10" s="57"/>
      <c r="D10" s="22">
        <v>54000</v>
      </c>
      <c r="E10" s="22"/>
      <c r="F10" s="22"/>
      <c r="G10" s="22"/>
      <c r="H10" s="12">
        <f t="shared" si="0"/>
        <v>44713</v>
      </c>
    </row>
    <row r="11" spans="2:11" x14ac:dyDescent="0.3">
      <c r="B11" s="6" t="s">
        <v>15</v>
      </c>
      <c r="C11" s="22">
        <v>216000</v>
      </c>
      <c r="D11" s="22">
        <v>108000</v>
      </c>
      <c r="E11" s="22">
        <v>108000</v>
      </c>
      <c r="F11" s="22"/>
      <c r="G11" s="57"/>
      <c r="H11" s="12">
        <f t="shared" si="0"/>
        <v>44713</v>
      </c>
    </row>
    <row r="12" spans="2:11" x14ac:dyDescent="0.3">
      <c r="B12" s="6" t="s">
        <v>54</v>
      </c>
      <c r="C12" s="22">
        <v>162000</v>
      </c>
      <c r="D12" s="22">
        <v>54000</v>
      </c>
      <c r="E12" s="22">
        <v>108000</v>
      </c>
      <c r="F12" s="22"/>
      <c r="G12" s="22"/>
      <c r="H12" s="67">
        <f t="shared" si="0"/>
        <v>44713</v>
      </c>
    </row>
    <row r="13" spans="2:11" x14ac:dyDescent="0.3">
      <c r="B13" s="6" t="s">
        <v>26</v>
      </c>
      <c r="C13" s="22"/>
      <c r="D13" s="22"/>
      <c r="E13" s="22"/>
      <c r="F13" s="22"/>
      <c r="G13" s="22"/>
      <c r="H13" s="12">
        <f t="shared" si="0"/>
        <v>44713</v>
      </c>
    </row>
    <row r="14" spans="2:11" x14ac:dyDescent="0.3">
      <c r="B14" s="6" t="s">
        <v>22</v>
      </c>
      <c r="C14" s="22"/>
      <c r="D14" s="22"/>
      <c r="E14" s="22"/>
      <c r="F14" s="22"/>
      <c r="G14" s="22"/>
      <c r="H14" s="12">
        <f t="shared" si="0"/>
        <v>44713</v>
      </c>
      <c r="K14" s="4"/>
    </row>
    <row r="15" spans="2:11" x14ac:dyDescent="0.3">
      <c r="B15" s="6" t="s">
        <v>61</v>
      </c>
      <c r="C15" s="22"/>
      <c r="D15" s="57"/>
      <c r="E15" s="22"/>
      <c r="F15" s="22"/>
      <c r="G15" s="22"/>
      <c r="H15" s="67">
        <f t="shared" si="0"/>
        <v>44713</v>
      </c>
      <c r="K15" s="4"/>
    </row>
    <row r="16" spans="2:11" x14ac:dyDescent="0.3">
      <c r="B16" s="6" t="s">
        <v>19</v>
      </c>
      <c r="C16" s="22"/>
      <c r="D16" s="23"/>
      <c r="E16" s="23"/>
      <c r="F16" s="22"/>
      <c r="G16" s="23"/>
      <c r="H16" s="12">
        <f t="shared" si="0"/>
        <v>44713</v>
      </c>
    </row>
    <row r="17" spans="2:10" x14ac:dyDescent="0.3">
      <c r="B17" s="6" t="s">
        <v>14</v>
      </c>
      <c r="C17" s="22">
        <v>216000</v>
      </c>
      <c r="D17" s="23">
        <v>108000</v>
      </c>
      <c r="E17" s="23">
        <v>54000</v>
      </c>
      <c r="F17" s="22"/>
      <c r="G17" s="23"/>
      <c r="H17" s="12">
        <f t="shared" si="0"/>
        <v>44713</v>
      </c>
    </row>
    <row r="18" spans="2:10" x14ac:dyDescent="0.3">
      <c r="B18" s="6" t="s">
        <v>24</v>
      </c>
      <c r="C18" s="22"/>
      <c r="D18" s="22"/>
      <c r="E18" s="22"/>
      <c r="F18" s="49"/>
      <c r="G18" s="22"/>
      <c r="H18" s="12">
        <f t="shared" si="0"/>
        <v>44713</v>
      </c>
      <c r="J18" s="1" t="s">
        <v>66</v>
      </c>
    </row>
    <row r="19" spans="2:10" x14ac:dyDescent="0.3">
      <c r="B19" s="6" t="s">
        <v>21</v>
      </c>
      <c r="C19" s="22"/>
      <c r="D19" s="22"/>
      <c r="E19" s="22"/>
      <c r="F19" s="22"/>
      <c r="G19" s="22"/>
      <c r="H19" s="67">
        <f t="shared" si="0"/>
        <v>44713</v>
      </c>
    </row>
    <row r="20" spans="2:10" x14ac:dyDescent="0.3">
      <c r="B20" s="6" t="s">
        <v>65</v>
      </c>
      <c r="C20" s="22"/>
      <c r="D20" s="22"/>
      <c r="E20" s="22"/>
      <c r="F20" s="22"/>
      <c r="G20" s="22"/>
      <c r="H20" s="12">
        <f t="shared" si="0"/>
        <v>44713</v>
      </c>
    </row>
    <row r="21" spans="2:10" x14ac:dyDescent="0.3">
      <c r="B21" s="6" t="s">
        <v>18</v>
      </c>
      <c r="C21" s="62"/>
      <c r="D21" s="62"/>
      <c r="E21" s="62"/>
      <c r="F21" s="62"/>
      <c r="G21" s="62"/>
      <c r="H21" s="12">
        <f t="shared" si="0"/>
        <v>44713</v>
      </c>
    </row>
    <row r="22" spans="2:10" x14ac:dyDescent="0.3">
      <c r="B22" s="6" t="s">
        <v>16</v>
      </c>
      <c r="C22" s="22"/>
      <c r="D22" s="119"/>
      <c r="E22" s="62"/>
      <c r="F22" s="62"/>
      <c r="G22" s="62"/>
      <c r="H22" s="12">
        <f t="shared" si="0"/>
        <v>44713</v>
      </c>
    </row>
    <row r="23" spans="2:10" x14ac:dyDescent="0.3">
      <c r="B23" s="50" t="s">
        <v>27</v>
      </c>
      <c r="C23" s="51">
        <f>SUM(June1_2022[KSI_AGO])</f>
        <v>594000</v>
      </c>
      <c r="D23" s="51">
        <f>SUBTOTAL(109,June1_2022[KSI_PMS])</f>
        <v>324000</v>
      </c>
      <c r="E23" s="51">
        <f>SUM(June1_2022[BUIPE_AGO])</f>
        <v>270000</v>
      </c>
      <c r="F23" s="51">
        <f>SUM(June1_2022[BUIPE_PMS])</f>
        <v>0</v>
      </c>
      <c r="G23" s="51">
        <f>SUM(June1_2022[AKOSOMBO_AGO])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C228387D-89C6-4938-AEE7-36967FDAA6EA}">
      <formula1>INDIRECT("BDC_List[BDC List]")</formula1>
    </dataValidation>
  </dataValidations>
  <pageMargins left="0.7" right="0.7" top="0.75" bottom="0.75" header="0.3" footer="0.3"/>
  <pageSetup orientation="portrait" horizontalDpi="4294967295" verticalDpi="4294967295" r:id="rId1"/>
  <tableParts count="1">
    <tablePart r:id="rId2"/>
  </tableParts>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17DD-019E-4F64-8437-A4D286F87825}">
  <dimension ref="B1:K24"/>
  <sheetViews>
    <sheetView zoomScale="115" zoomScaleNormal="115" workbookViewId="0">
      <pane xSplit="2" ySplit="5" topLeftCell="D8" activePane="bottomRight" state="frozen"/>
      <selection pane="topRight" activeCell="C1" sqref="C1"/>
      <selection pane="bottomLeft" activeCell="A6" sqref="A6"/>
      <selection pane="bottomRight" activeCell="F21" sqref="F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44714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44714</v>
      </c>
    </row>
    <row r="7" spans="2:11" ht="16.5" customHeight="1" x14ac:dyDescent="0.3">
      <c r="B7" s="6" t="s">
        <v>37</v>
      </c>
      <c r="C7" s="62"/>
      <c r="D7" s="62"/>
      <c r="E7" s="62"/>
      <c r="F7" s="62"/>
      <c r="G7" s="62"/>
      <c r="H7" s="67">
        <f t="shared" si="0"/>
        <v>44714</v>
      </c>
    </row>
    <row r="8" spans="2:11" x14ac:dyDescent="0.3">
      <c r="B8" s="6" t="s">
        <v>17</v>
      </c>
      <c r="C8" s="22"/>
      <c r="D8" s="22"/>
      <c r="E8" s="22"/>
      <c r="F8" s="22"/>
      <c r="G8" s="22"/>
      <c r="H8" s="12">
        <f t="shared" si="0"/>
        <v>44714</v>
      </c>
    </row>
    <row r="9" spans="2:11" ht="15.6" x14ac:dyDescent="0.3">
      <c r="B9" s="34" t="s">
        <v>0</v>
      </c>
      <c r="C9" s="60"/>
      <c r="D9" s="60"/>
      <c r="E9" s="60"/>
      <c r="F9" s="60"/>
      <c r="G9" s="61"/>
      <c r="H9" s="12">
        <f t="shared" si="0"/>
        <v>44714</v>
      </c>
    </row>
    <row r="10" spans="2:11" x14ac:dyDescent="0.3">
      <c r="B10" s="6" t="s">
        <v>25</v>
      </c>
      <c r="C10" s="57"/>
      <c r="D10" s="22">
        <v>486000</v>
      </c>
      <c r="E10" s="22"/>
      <c r="F10" s="22"/>
      <c r="G10" s="22"/>
      <c r="H10" s="12">
        <f t="shared" si="0"/>
        <v>44714</v>
      </c>
    </row>
    <row r="11" spans="2:11" x14ac:dyDescent="0.3">
      <c r="B11" s="6" t="s">
        <v>15</v>
      </c>
      <c r="C11" s="22">
        <v>797500</v>
      </c>
      <c r="D11" s="22">
        <v>54000</v>
      </c>
      <c r="E11" s="22">
        <v>54000</v>
      </c>
      <c r="F11" s="22"/>
      <c r="G11" s="57"/>
      <c r="H11" s="12">
        <f t="shared" si="0"/>
        <v>44714</v>
      </c>
    </row>
    <row r="12" spans="2:11" x14ac:dyDescent="0.3">
      <c r="B12" s="6" t="s">
        <v>54</v>
      </c>
      <c r="C12" s="22">
        <v>693000</v>
      </c>
      <c r="D12" s="22">
        <v>216000</v>
      </c>
      <c r="E12" s="22">
        <v>108000</v>
      </c>
      <c r="F12" s="22"/>
      <c r="G12" s="22"/>
      <c r="H12" s="67">
        <f t="shared" si="0"/>
        <v>44714</v>
      </c>
    </row>
    <row r="13" spans="2:11" x14ac:dyDescent="0.3">
      <c r="B13" s="6" t="s">
        <v>26</v>
      </c>
      <c r="C13" s="22"/>
      <c r="D13" s="22"/>
      <c r="E13" s="22"/>
      <c r="F13" s="22"/>
      <c r="G13" s="22"/>
      <c r="H13" s="12">
        <f t="shared" si="0"/>
        <v>44714</v>
      </c>
    </row>
    <row r="14" spans="2:11" x14ac:dyDescent="0.3">
      <c r="B14" s="6" t="s">
        <v>22</v>
      </c>
      <c r="C14" s="22"/>
      <c r="D14" s="22"/>
      <c r="E14" s="22"/>
      <c r="F14" s="22"/>
      <c r="G14" s="22"/>
      <c r="H14" s="12">
        <f t="shared" si="0"/>
        <v>44714</v>
      </c>
      <c r="K14" s="4"/>
    </row>
    <row r="15" spans="2:11" x14ac:dyDescent="0.3">
      <c r="B15" s="6" t="s">
        <v>61</v>
      </c>
      <c r="C15" s="22"/>
      <c r="D15" s="57"/>
      <c r="E15" s="22"/>
      <c r="F15" s="22"/>
      <c r="G15" s="22"/>
      <c r="H15" s="67">
        <f t="shared" si="0"/>
        <v>44714</v>
      </c>
      <c r="K15" s="4"/>
    </row>
    <row r="16" spans="2:11" x14ac:dyDescent="0.3">
      <c r="B16" s="6" t="s">
        <v>19</v>
      </c>
      <c r="C16" s="22">
        <v>324000</v>
      </c>
      <c r="D16" s="23"/>
      <c r="E16" s="23">
        <v>54000</v>
      </c>
      <c r="F16" s="22"/>
      <c r="G16" s="23"/>
      <c r="H16" s="12">
        <f t="shared" si="0"/>
        <v>44714</v>
      </c>
    </row>
    <row r="17" spans="2:10" x14ac:dyDescent="0.3">
      <c r="B17" s="6" t="s">
        <v>14</v>
      </c>
      <c r="C17" s="22">
        <v>702000</v>
      </c>
      <c r="D17" s="23">
        <v>644000</v>
      </c>
      <c r="E17" s="23">
        <v>108000</v>
      </c>
      <c r="F17" s="22"/>
      <c r="G17" s="23"/>
      <c r="H17" s="12">
        <f t="shared" si="0"/>
        <v>44714</v>
      </c>
    </row>
    <row r="18" spans="2:10" x14ac:dyDescent="0.3">
      <c r="B18" s="6" t="s">
        <v>24</v>
      </c>
      <c r="C18" s="22"/>
      <c r="D18" s="22"/>
      <c r="E18" s="22"/>
      <c r="F18" s="49"/>
      <c r="G18" s="22"/>
      <c r="H18" s="12">
        <f t="shared" si="0"/>
        <v>44714</v>
      </c>
      <c r="J18" s="1" t="s">
        <v>66</v>
      </c>
    </row>
    <row r="19" spans="2:10" x14ac:dyDescent="0.3">
      <c r="B19" s="6" t="s">
        <v>21</v>
      </c>
      <c r="C19" s="22"/>
      <c r="D19" s="22"/>
      <c r="E19" s="22"/>
      <c r="F19" s="22"/>
      <c r="G19" s="22"/>
      <c r="H19" s="67">
        <f t="shared" si="0"/>
        <v>44714</v>
      </c>
    </row>
    <row r="20" spans="2:10" x14ac:dyDescent="0.3">
      <c r="B20" s="6" t="s">
        <v>65</v>
      </c>
      <c r="C20" s="22"/>
      <c r="D20" s="22"/>
      <c r="E20" s="22"/>
      <c r="F20" s="22"/>
      <c r="G20" s="22"/>
      <c r="H20" s="12">
        <f t="shared" si="0"/>
        <v>44714</v>
      </c>
    </row>
    <row r="21" spans="2:10" x14ac:dyDescent="0.3">
      <c r="B21" s="6" t="s">
        <v>18</v>
      </c>
      <c r="C21" s="62"/>
      <c r="D21" s="62"/>
      <c r="E21" s="62"/>
      <c r="F21" s="62"/>
      <c r="G21" s="62"/>
      <c r="H21" s="12">
        <f t="shared" si="0"/>
        <v>44714</v>
      </c>
    </row>
    <row r="22" spans="2:10" x14ac:dyDescent="0.3">
      <c r="B22" s="6" t="s">
        <v>16</v>
      </c>
      <c r="C22" s="22"/>
      <c r="D22" s="119"/>
      <c r="E22" s="62"/>
      <c r="F22" s="62"/>
      <c r="G22" s="62"/>
      <c r="H22" s="12">
        <f t="shared" si="0"/>
        <v>44714</v>
      </c>
    </row>
    <row r="23" spans="2:10" x14ac:dyDescent="0.3">
      <c r="B23" s="50" t="s">
        <v>27</v>
      </c>
      <c r="C23" s="51">
        <f>SUM(June2_2022[KSI_AGO])</f>
        <v>2516500</v>
      </c>
      <c r="D23" s="51">
        <f>SUBTOTAL(109,June2_2022[KSI_PMS])</f>
        <v>1400000</v>
      </c>
      <c r="E23" s="51">
        <f>SUM(June2_2022[BUIPE_AGO])</f>
        <v>324000</v>
      </c>
      <c r="F23" s="51">
        <f>SUM(June2_2022[BUIPE_PMS])</f>
        <v>0</v>
      </c>
      <c r="G23" s="51">
        <f>SUM(June2_2022[AKOSOMBO_AGO])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ACB79982-BDE6-4F42-81E6-E40955BEAD27}">
      <formula1>INDIRECT("BDC_List[BDC List]")</formula1>
    </dataValidation>
  </dataValidations>
  <pageMargins left="0.7" right="0.7" top="0.75" bottom="0.75" header="0.3" footer="0.3"/>
  <pageSetup orientation="portrait" horizontalDpi="4294967295" verticalDpi="4294967295" r:id="rId1"/>
  <tableParts count="1">
    <tablePart r:id="rId2"/>
  </tableParts>
</worksheet>
</file>

<file path=xl/worksheets/sheet6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4ED6-B958-4934-9273-A31DA07962B7}">
  <dimension ref="B1:K24"/>
  <sheetViews>
    <sheetView zoomScaleNormal="100" workbookViewId="0">
      <pane xSplit="2" ySplit="5" topLeftCell="D8" activePane="bottomRight" state="frozen"/>
      <selection pane="topRight" activeCell="C1" sqref="C1"/>
      <selection pane="bottomLeft" activeCell="A6" sqref="A6"/>
      <selection pane="bottomRight" activeCell="F28" sqref="F2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44715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44715</v>
      </c>
    </row>
    <row r="7" spans="2:11" ht="16.5" customHeight="1" x14ac:dyDescent="0.3">
      <c r="B7" s="6" t="s">
        <v>37</v>
      </c>
      <c r="C7" s="62"/>
      <c r="D7" s="62"/>
      <c r="E7" s="62"/>
      <c r="F7" s="62"/>
      <c r="G7" s="62"/>
      <c r="H7" s="67">
        <f t="shared" si="0"/>
        <v>44715</v>
      </c>
    </row>
    <row r="8" spans="2:11" x14ac:dyDescent="0.3">
      <c r="B8" s="6" t="s">
        <v>17</v>
      </c>
      <c r="C8" s="22"/>
      <c r="D8" s="22"/>
      <c r="E8" s="22"/>
      <c r="F8" s="22"/>
      <c r="G8" s="22"/>
      <c r="H8" s="12">
        <f t="shared" si="0"/>
        <v>44715</v>
      </c>
    </row>
    <row r="9" spans="2:11" ht="15.6" x14ac:dyDescent="0.3">
      <c r="B9" s="34" t="s">
        <v>0</v>
      </c>
      <c r="C9" s="60"/>
      <c r="D9" s="60"/>
      <c r="E9" s="60"/>
      <c r="F9" s="60"/>
      <c r="G9" s="61"/>
      <c r="H9" s="12">
        <f t="shared" si="0"/>
        <v>44715</v>
      </c>
    </row>
    <row r="10" spans="2:11" x14ac:dyDescent="0.3">
      <c r="B10" s="6" t="s">
        <v>25</v>
      </c>
      <c r="C10" s="57"/>
      <c r="D10" s="22">
        <v>432000</v>
      </c>
      <c r="E10" s="22"/>
      <c r="F10" s="22"/>
      <c r="G10" s="22"/>
      <c r="H10" s="12">
        <f t="shared" si="0"/>
        <v>44715</v>
      </c>
    </row>
    <row r="11" spans="2:11" x14ac:dyDescent="0.3">
      <c r="B11" s="6" t="s">
        <v>15</v>
      </c>
      <c r="C11" s="22"/>
      <c r="D11" s="22"/>
      <c r="E11" s="22"/>
      <c r="F11" s="22"/>
      <c r="G11" s="57"/>
      <c r="H11" s="12">
        <f t="shared" si="0"/>
        <v>44715</v>
      </c>
    </row>
    <row r="12" spans="2:11" x14ac:dyDescent="0.3">
      <c r="B12" s="6" t="s">
        <v>54</v>
      </c>
      <c r="C12" s="22">
        <v>585500</v>
      </c>
      <c r="D12" s="22">
        <v>54000</v>
      </c>
      <c r="E12" s="22">
        <v>54000</v>
      </c>
      <c r="F12" s="22"/>
      <c r="G12" s="22"/>
      <c r="H12" s="67">
        <f t="shared" si="0"/>
        <v>44715</v>
      </c>
    </row>
    <row r="13" spans="2:11" x14ac:dyDescent="0.3">
      <c r="B13" s="6" t="s">
        <v>26</v>
      </c>
      <c r="C13" s="22"/>
      <c r="D13" s="22"/>
      <c r="E13" s="22"/>
      <c r="F13" s="22"/>
      <c r="G13" s="22"/>
      <c r="H13" s="12">
        <f t="shared" si="0"/>
        <v>44715</v>
      </c>
    </row>
    <row r="14" spans="2:11" x14ac:dyDescent="0.3">
      <c r="B14" s="6" t="s">
        <v>22</v>
      </c>
      <c r="C14" s="22"/>
      <c r="D14" s="22"/>
      <c r="E14" s="22"/>
      <c r="F14" s="22"/>
      <c r="G14" s="22"/>
      <c r="H14" s="12">
        <f t="shared" si="0"/>
        <v>44715</v>
      </c>
      <c r="K14" s="4"/>
    </row>
    <row r="15" spans="2:11" x14ac:dyDescent="0.3">
      <c r="B15" s="6" t="s">
        <v>61</v>
      </c>
      <c r="C15" s="22"/>
      <c r="D15" s="57"/>
      <c r="E15" s="22"/>
      <c r="F15" s="22"/>
      <c r="G15" s="22"/>
      <c r="H15" s="67">
        <f t="shared" si="0"/>
        <v>44715</v>
      </c>
      <c r="K15" s="4"/>
    </row>
    <row r="16" spans="2:11" x14ac:dyDescent="0.3">
      <c r="B16" s="6" t="s">
        <v>19</v>
      </c>
      <c r="C16" s="22">
        <v>702000</v>
      </c>
      <c r="D16" s="23">
        <v>540000</v>
      </c>
      <c r="E16" s="23">
        <v>108000</v>
      </c>
      <c r="F16" s="22"/>
      <c r="G16" s="23"/>
      <c r="H16" s="12">
        <f t="shared" si="0"/>
        <v>44715</v>
      </c>
    </row>
    <row r="17" spans="2:10" x14ac:dyDescent="0.3">
      <c r="B17" s="6" t="s">
        <v>14</v>
      </c>
      <c r="C17" s="22">
        <v>486000</v>
      </c>
      <c r="D17" s="23">
        <v>486000</v>
      </c>
      <c r="E17" s="23">
        <v>104000</v>
      </c>
      <c r="F17" s="22"/>
      <c r="G17" s="23"/>
      <c r="H17" s="12">
        <f t="shared" si="0"/>
        <v>44715</v>
      </c>
    </row>
    <row r="18" spans="2:10" x14ac:dyDescent="0.3">
      <c r="B18" s="6" t="s">
        <v>24</v>
      </c>
      <c r="C18" s="22"/>
      <c r="D18" s="22"/>
      <c r="E18" s="22"/>
      <c r="F18" s="49"/>
      <c r="G18" s="22"/>
      <c r="H18" s="12">
        <f t="shared" si="0"/>
        <v>44715</v>
      </c>
      <c r="J18" s="1" t="s">
        <v>66</v>
      </c>
    </row>
    <row r="19" spans="2:10" x14ac:dyDescent="0.3">
      <c r="B19" s="6" t="s">
        <v>21</v>
      </c>
      <c r="C19" s="22"/>
      <c r="D19" s="22"/>
      <c r="E19" s="22"/>
      <c r="F19" s="22"/>
      <c r="G19" s="22"/>
      <c r="H19" s="67">
        <f t="shared" si="0"/>
        <v>44715</v>
      </c>
    </row>
    <row r="20" spans="2:10" x14ac:dyDescent="0.3">
      <c r="B20" s="6" t="s">
        <v>65</v>
      </c>
      <c r="C20" s="22"/>
      <c r="D20" s="22"/>
      <c r="E20" s="22"/>
      <c r="F20" s="22"/>
      <c r="G20" s="22"/>
      <c r="H20" s="12">
        <f t="shared" si="0"/>
        <v>44715</v>
      </c>
    </row>
    <row r="21" spans="2:10" x14ac:dyDescent="0.3">
      <c r="B21" s="6" t="s">
        <v>18</v>
      </c>
      <c r="C21" s="62"/>
      <c r="D21" s="62"/>
      <c r="E21" s="62"/>
      <c r="F21" s="62"/>
      <c r="G21" s="62"/>
      <c r="H21" s="12">
        <f t="shared" si="0"/>
        <v>44715</v>
      </c>
    </row>
    <row r="22" spans="2:10" x14ac:dyDescent="0.3">
      <c r="B22" s="6" t="s">
        <v>16</v>
      </c>
      <c r="C22" s="22"/>
      <c r="D22" s="119"/>
      <c r="E22" s="62"/>
      <c r="F22" s="62"/>
      <c r="G22" s="62"/>
      <c r="H22" s="12">
        <f t="shared" si="0"/>
        <v>44715</v>
      </c>
    </row>
    <row r="23" spans="2:10" x14ac:dyDescent="0.3">
      <c r="B23" s="50" t="s">
        <v>27</v>
      </c>
      <c r="C23" s="51">
        <f>SUM(June3_2022[KSI_AGO])</f>
        <v>1773500</v>
      </c>
      <c r="D23" s="51">
        <f>SUBTOTAL(109,June3_2022[KSI_PMS])</f>
        <v>1512000</v>
      </c>
      <c r="E23" s="51">
        <f>SUM(June3_2022[BUIPE_AGO])</f>
        <v>266000</v>
      </c>
      <c r="F23" s="51">
        <f>SUM(June3_2022[BUIPE_PMS])</f>
        <v>0</v>
      </c>
      <c r="G23" s="51">
        <f>SUM(June3_2022[AKOSOMBO_AGO])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5E0923E5-F704-494F-B599-D4C68EF3062E}">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D4FA7-C36D-486D-AEAA-D0D9F217F252}">
  <dimension ref="B1:K24"/>
  <sheetViews>
    <sheetView zoomScaleNormal="100" workbookViewId="0">
      <pane xSplit="2" ySplit="5" topLeftCell="C8" activePane="bottomRight" state="frozen"/>
      <selection pane="topRight" activeCell="C1" sqref="C1"/>
      <selection pane="bottomLeft" activeCell="A6" sqref="A6"/>
      <selection pane="bottomRight" activeCell="K3" sqref="K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44715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44715</v>
      </c>
    </row>
    <row r="7" spans="2:11" ht="16.5" customHeight="1" x14ac:dyDescent="0.3">
      <c r="B7" s="6" t="s">
        <v>37</v>
      </c>
      <c r="C7" s="62"/>
      <c r="D7" s="62"/>
      <c r="E7" s="62"/>
      <c r="F7" s="62"/>
      <c r="G7" s="62"/>
      <c r="H7" s="67">
        <f t="shared" si="0"/>
        <v>44715</v>
      </c>
    </row>
    <row r="8" spans="2:11" x14ac:dyDescent="0.3">
      <c r="B8" s="6" t="s">
        <v>17</v>
      </c>
      <c r="C8" s="22"/>
      <c r="D8" s="22"/>
      <c r="E8" s="22"/>
      <c r="F8" s="22"/>
      <c r="G8" s="22"/>
      <c r="H8" s="12">
        <f t="shared" si="0"/>
        <v>44715</v>
      </c>
    </row>
    <row r="9" spans="2:11" ht="15.6" x14ac:dyDescent="0.3">
      <c r="B9" s="34" t="s">
        <v>0</v>
      </c>
      <c r="C9" s="60"/>
      <c r="D9" s="60"/>
      <c r="E9" s="60"/>
      <c r="F9" s="60"/>
      <c r="G9" s="61"/>
      <c r="H9" s="12">
        <f t="shared" si="0"/>
        <v>44715</v>
      </c>
    </row>
    <row r="10" spans="2:11" x14ac:dyDescent="0.3">
      <c r="B10" s="6" t="s">
        <v>25</v>
      </c>
      <c r="C10" s="57"/>
      <c r="D10" s="22"/>
      <c r="E10" s="22"/>
      <c r="F10" s="22"/>
      <c r="G10" s="22"/>
      <c r="H10" s="12">
        <f t="shared" si="0"/>
        <v>44715</v>
      </c>
    </row>
    <row r="11" spans="2:11" x14ac:dyDescent="0.3">
      <c r="B11" s="6" t="s">
        <v>15</v>
      </c>
      <c r="C11" s="22"/>
      <c r="D11" s="22"/>
      <c r="E11" s="22"/>
      <c r="F11" s="22"/>
      <c r="G11" s="57"/>
      <c r="H11" s="12">
        <f t="shared" si="0"/>
        <v>44715</v>
      </c>
    </row>
    <row r="12" spans="2:11" x14ac:dyDescent="0.3">
      <c r="B12" s="6" t="s">
        <v>54</v>
      </c>
      <c r="C12" s="22"/>
      <c r="D12" s="22"/>
      <c r="E12" s="22"/>
      <c r="F12" s="22"/>
      <c r="G12" s="22"/>
      <c r="H12" s="67">
        <f t="shared" si="0"/>
        <v>44715</v>
      </c>
    </row>
    <row r="13" spans="2:11" x14ac:dyDescent="0.3">
      <c r="B13" s="6" t="s">
        <v>26</v>
      </c>
      <c r="C13" s="22"/>
      <c r="D13" s="22"/>
      <c r="E13" s="22"/>
      <c r="F13" s="22"/>
      <c r="G13" s="22"/>
      <c r="H13" s="12">
        <f t="shared" si="0"/>
        <v>44715</v>
      </c>
    </row>
    <row r="14" spans="2:11" x14ac:dyDescent="0.3">
      <c r="B14" s="6" t="s">
        <v>22</v>
      </c>
      <c r="C14" s="22"/>
      <c r="D14" s="22"/>
      <c r="E14" s="22"/>
      <c r="F14" s="22"/>
      <c r="G14" s="22"/>
      <c r="H14" s="12">
        <f t="shared" si="0"/>
        <v>44715</v>
      </c>
      <c r="K14" s="4"/>
    </row>
    <row r="15" spans="2:11" x14ac:dyDescent="0.3">
      <c r="B15" s="6" t="s">
        <v>61</v>
      </c>
      <c r="C15" s="22"/>
      <c r="D15" s="57"/>
      <c r="E15" s="22"/>
      <c r="F15" s="22"/>
      <c r="G15" s="22"/>
      <c r="H15" s="67">
        <f t="shared" si="0"/>
        <v>44715</v>
      </c>
      <c r="K15" s="4"/>
    </row>
    <row r="16" spans="2:11" x14ac:dyDescent="0.3">
      <c r="B16" s="6" t="s">
        <v>19</v>
      </c>
      <c r="C16" s="22"/>
      <c r="D16" s="23">
        <v>324000</v>
      </c>
      <c r="E16" s="23"/>
      <c r="F16" s="22"/>
      <c r="G16" s="23"/>
      <c r="H16" s="12">
        <f t="shared" si="0"/>
        <v>44715</v>
      </c>
    </row>
    <row r="17" spans="2:10" x14ac:dyDescent="0.3">
      <c r="B17" s="6" t="s">
        <v>14</v>
      </c>
      <c r="C17" s="22"/>
      <c r="D17" s="23"/>
      <c r="E17" s="23"/>
      <c r="F17" s="22"/>
      <c r="G17" s="23"/>
      <c r="H17" s="12">
        <f t="shared" si="0"/>
        <v>44715</v>
      </c>
    </row>
    <row r="18" spans="2:10" x14ac:dyDescent="0.3">
      <c r="B18" s="6" t="s">
        <v>24</v>
      </c>
      <c r="C18" s="22"/>
      <c r="D18" s="22"/>
      <c r="E18" s="22"/>
      <c r="F18" s="49"/>
      <c r="G18" s="22"/>
      <c r="H18" s="12">
        <f t="shared" si="0"/>
        <v>44715</v>
      </c>
      <c r="J18" s="1" t="s">
        <v>66</v>
      </c>
    </row>
    <row r="19" spans="2:10" x14ac:dyDescent="0.3">
      <c r="B19" s="6" t="s">
        <v>21</v>
      </c>
      <c r="C19" s="22"/>
      <c r="D19" s="22"/>
      <c r="E19" s="22"/>
      <c r="F19" s="22"/>
      <c r="G19" s="22"/>
      <c r="H19" s="67">
        <f t="shared" si="0"/>
        <v>44715</v>
      </c>
    </row>
    <row r="20" spans="2:10" x14ac:dyDescent="0.3">
      <c r="B20" s="6" t="s">
        <v>65</v>
      </c>
      <c r="C20" s="22"/>
      <c r="D20" s="22"/>
      <c r="E20" s="22"/>
      <c r="F20" s="22"/>
      <c r="G20" s="22"/>
      <c r="H20" s="12">
        <f t="shared" si="0"/>
        <v>44715</v>
      </c>
    </row>
    <row r="21" spans="2:10" x14ac:dyDescent="0.3">
      <c r="B21" s="6" t="s">
        <v>18</v>
      </c>
      <c r="C21" s="62"/>
      <c r="D21" s="62"/>
      <c r="E21" s="62"/>
      <c r="F21" s="62"/>
      <c r="G21" s="62"/>
      <c r="H21" s="12">
        <f t="shared" si="0"/>
        <v>44715</v>
      </c>
    </row>
    <row r="22" spans="2:10" x14ac:dyDescent="0.3">
      <c r="B22" s="6" t="s">
        <v>16</v>
      </c>
      <c r="C22" s="22"/>
      <c r="D22" s="119"/>
      <c r="E22" s="62"/>
      <c r="F22" s="62"/>
      <c r="G22" s="62"/>
      <c r="H22" s="12">
        <f t="shared" si="0"/>
        <v>44715</v>
      </c>
    </row>
    <row r="23" spans="2:10" x14ac:dyDescent="0.3">
      <c r="B23" s="50" t="s">
        <v>27</v>
      </c>
      <c r="C23" s="51">
        <f>SUM(June3_20226[KSI_AGO])</f>
        <v>0</v>
      </c>
      <c r="D23" s="51">
        <f>SUBTOTAL(109,June3_20226[KSI_PMS])</f>
        <v>324000</v>
      </c>
      <c r="E23" s="51">
        <f>SUM(June3_20226[BUIPE_AGO])</f>
        <v>0</v>
      </c>
      <c r="F23" s="51">
        <f>SUM(June3_20226[BUIPE_PMS])</f>
        <v>0</v>
      </c>
      <c r="G23" s="51">
        <f>SUM(June3_20226[AKOSOMBO_AGO])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BF90ACE8-5E76-4077-95D6-A6402279FE45}">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EE245-BFFD-4022-BCDC-3B116DAC90FA}">
  <dimension ref="B1:K24"/>
  <sheetViews>
    <sheetView zoomScaleNormal="100" workbookViewId="0">
      <pane xSplit="2" ySplit="5" topLeftCell="C6" activePane="bottomRight" state="frozen"/>
      <selection pane="topRight" activeCell="C1" sqref="C1"/>
      <selection pane="bottomLeft" activeCell="A6" sqref="A6"/>
      <selection pane="bottomRight" activeCell="B16" sqref="B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44718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44718</v>
      </c>
    </row>
    <row r="7" spans="2:11" ht="16.5" customHeight="1" x14ac:dyDescent="0.3">
      <c r="B7" s="6" t="s">
        <v>37</v>
      </c>
      <c r="C7" s="62"/>
      <c r="D7" s="62"/>
      <c r="E7" s="62"/>
      <c r="F7" s="62"/>
      <c r="G7" s="62"/>
      <c r="H7" s="67">
        <f t="shared" si="0"/>
        <v>44718</v>
      </c>
    </row>
    <row r="8" spans="2:11" x14ac:dyDescent="0.3">
      <c r="B8" s="6" t="s">
        <v>17</v>
      </c>
      <c r="C8" s="22"/>
      <c r="D8" s="22"/>
      <c r="E8" s="22"/>
      <c r="F8" s="22"/>
      <c r="G8" s="22"/>
      <c r="H8" s="12">
        <f t="shared" si="0"/>
        <v>44718</v>
      </c>
    </row>
    <row r="9" spans="2:11" ht="15.6" x14ac:dyDescent="0.3">
      <c r="B9" s="34" t="s">
        <v>0</v>
      </c>
      <c r="C9" s="60"/>
      <c r="D9" s="60"/>
      <c r="E9" s="60"/>
      <c r="F9" s="60"/>
      <c r="G9" s="61"/>
      <c r="H9" s="12">
        <f t="shared" si="0"/>
        <v>44718</v>
      </c>
    </row>
    <row r="10" spans="2:11" x14ac:dyDescent="0.3">
      <c r="B10" s="6" t="s">
        <v>25</v>
      </c>
      <c r="C10" s="57"/>
      <c r="D10" s="22">
        <v>216000</v>
      </c>
      <c r="E10" s="22"/>
      <c r="F10" s="22"/>
      <c r="G10" s="22"/>
      <c r="H10" s="12">
        <f t="shared" si="0"/>
        <v>44718</v>
      </c>
    </row>
    <row r="11" spans="2:11" x14ac:dyDescent="0.3">
      <c r="B11" s="6" t="s">
        <v>15</v>
      </c>
      <c r="C11" s="22">
        <v>135000</v>
      </c>
      <c r="D11" s="22"/>
      <c r="E11" s="22"/>
      <c r="F11" s="22"/>
      <c r="G11" s="57"/>
      <c r="H11" s="12">
        <f t="shared" si="0"/>
        <v>44718</v>
      </c>
    </row>
    <row r="12" spans="2:11" x14ac:dyDescent="0.3">
      <c r="B12" s="6" t="s">
        <v>54</v>
      </c>
      <c r="C12" s="22">
        <v>810000</v>
      </c>
      <c r="D12" s="22"/>
      <c r="E12" s="22">
        <v>54000</v>
      </c>
      <c r="F12" s="22"/>
      <c r="G12" s="22"/>
      <c r="H12" s="67">
        <f t="shared" si="0"/>
        <v>44718</v>
      </c>
    </row>
    <row r="13" spans="2:11" x14ac:dyDescent="0.3">
      <c r="B13" s="6" t="s">
        <v>26</v>
      </c>
      <c r="C13" s="22"/>
      <c r="D13" s="22"/>
      <c r="E13" s="22"/>
      <c r="F13" s="22"/>
      <c r="G13" s="22"/>
      <c r="H13" s="12">
        <f t="shared" si="0"/>
        <v>44718</v>
      </c>
    </row>
    <row r="14" spans="2:11" x14ac:dyDescent="0.3">
      <c r="B14" s="6" t="s">
        <v>22</v>
      </c>
      <c r="C14" s="22"/>
      <c r="D14" s="22"/>
      <c r="E14" s="22"/>
      <c r="F14" s="22"/>
      <c r="G14" s="22"/>
      <c r="H14" s="12">
        <f t="shared" si="0"/>
        <v>44718</v>
      </c>
      <c r="K14" s="4"/>
    </row>
    <row r="15" spans="2:11" x14ac:dyDescent="0.3">
      <c r="B15" s="6" t="s">
        <v>61</v>
      </c>
      <c r="C15" s="22"/>
      <c r="D15" s="57"/>
      <c r="E15" s="22"/>
      <c r="F15" s="22"/>
      <c r="G15" s="22"/>
      <c r="H15" s="67">
        <f t="shared" si="0"/>
        <v>44718</v>
      </c>
      <c r="K15" s="4"/>
    </row>
    <row r="16" spans="2:11" x14ac:dyDescent="0.3">
      <c r="B16" s="6" t="s">
        <v>19</v>
      </c>
      <c r="C16" s="22">
        <v>647500</v>
      </c>
      <c r="D16" s="23">
        <v>576000</v>
      </c>
      <c r="E16" s="23">
        <v>108000</v>
      </c>
      <c r="F16" s="22"/>
      <c r="G16" s="23"/>
      <c r="H16" s="12">
        <f t="shared" si="0"/>
        <v>44718</v>
      </c>
    </row>
    <row r="17" spans="2:10" x14ac:dyDescent="0.3">
      <c r="B17" s="6" t="s">
        <v>14</v>
      </c>
      <c r="C17" s="22">
        <v>427500</v>
      </c>
      <c r="D17" s="23">
        <v>270000</v>
      </c>
      <c r="E17" s="23"/>
      <c r="F17" s="22"/>
      <c r="G17" s="23"/>
      <c r="H17" s="12">
        <f t="shared" si="0"/>
        <v>44718</v>
      </c>
    </row>
    <row r="18" spans="2:10" x14ac:dyDescent="0.3">
      <c r="B18" s="6" t="s">
        <v>24</v>
      </c>
      <c r="C18" s="22"/>
      <c r="D18" s="22"/>
      <c r="E18" s="22"/>
      <c r="F18" s="49"/>
      <c r="G18" s="22"/>
      <c r="H18" s="12">
        <f t="shared" si="0"/>
        <v>44718</v>
      </c>
      <c r="J18" s="1" t="s">
        <v>66</v>
      </c>
    </row>
    <row r="19" spans="2:10" x14ac:dyDescent="0.3">
      <c r="B19" s="6" t="s">
        <v>21</v>
      </c>
      <c r="C19" s="22"/>
      <c r="D19" s="22"/>
      <c r="E19" s="22"/>
      <c r="F19" s="22"/>
      <c r="G19" s="22"/>
      <c r="H19" s="67">
        <f t="shared" si="0"/>
        <v>44718</v>
      </c>
    </row>
    <row r="20" spans="2:10" x14ac:dyDescent="0.3">
      <c r="B20" s="6" t="s">
        <v>65</v>
      </c>
      <c r="C20" s="22"/>
      <c r="D20" s="22"/>
      <c r="E20" s="22"/>
      <c r="F20" s="22"/>
      <c r="G20" s="22"/>
      <c r="H20" s="12">
        <f t="shared" si="0"/>
        <v>44718</v>
      </c>
    </row>
    <row r="21" spans="2:10" x14ac:dyDescent="0.3">
      <c r="B21" s="6" t="s">
        <v>18</v>
      </c>
      <c r="C21" s="62"/>
      <c r="D21" s="62">
        <v>45000</v>
      </c>
      <c r="E21" s="62"/>
      <c r="F21" s="62"/>
      <c r="G21" s="62"/>
      <c r="H21" s="12">
        <f t="shared" si="0"/>
        <v>44718</v>
      </c>
    </row>
    <row r="22" spans="2:10" x14ac:dyDescent="0.3">
      <c r="B22" s="6" t="s">
        <v>16</v>
      </c>
      <c r="C22" s="22"/>
      <c r="D22" s="119"/>
      <c r="E22" s="62"/>
      <c r="F22" s="62"/>
      <c r="G22" s="62"/>
      <c r="H22" s="12">
        <f t="shared" si="0"/>
        <v>44718</v>
      </c>
    </row>
    <row r="23" spans="2:10" x14ac:dyDescent="0.3">
      <c r="B23" s="50" t="s">
        <v>27</v>
      </c>
      <c r="C23" s="51">
        <f>SUM(June6_2022[KSI_AGO])</f>
        <v>2020000</v>
      </c>
      <c r="D23" s="51">
        <f>SUBTOTAL(109,June6_2022[KSI_PMS])</f>
        <v>1107000</v>
      </c>
      <c r="E23" s="51">
        <f>SUM(June6_2022[BUIPE_AGO])</f>
        <v>162000</v>
      </c>
      <c r="F23" s="51">
        <f>SUM(June6_2022[BUIPE_PMS])</f>
        <v>0</v>
      </c>
      <c r="G23" s="51">
        <f>SUM(June6_2022[AKOSOMBO_AGO])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76BD278F-8A7F-448F-8714-D42AE9C5B990}">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9654-8AB9-4F4D-9924-8093E47904E5}">
  <dimension ref="B1:K24"/>
  <sheetViews>
    <sheetView zoomScaleNormal="100" workbookViewId="0">
      <pane xSplit="2" ySplit="5" topLeftCell="C6" activePane="bottomRight" state="frozen"/>
      <selection pane="topRight" activeCell="C1" sqref="C1"/>
      <selection pane="bottomLeft" activeCell="A6" sqref="A6"/>
      <selection pane="bottomRight" activeCell="G11" sqref="G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44719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44719</v>
      </c>
    </row>
    <row r="7" spans="2:11" ht="16.5" customHeight="1" x14ac:dyDescent="0.3">
      <c r="B7" s="6" t="s">
        <v>37</v>
      </c>
      <c r="C7" s="62"/>
      <c r="D7" s="62"/>
      <c r="E7" s="62"/>
      <c r="F7" s="62"/>
      <c r="G7" s="62"/>
      <c r="H7" s="67">
        <f t="shared" si="0"/>
        <v>44719</v>
      </c>
    </row>
    <row r="8" spans="2:11" x14ac:dyDescent="0.3">
      <c r="B8" s="6" t="s">
        <v>17</v>
      </c>
      <c r="C8" s="22"/>
      <c r="D8" s="22"/>
      <c r="E8" s="22"/>
      <c r="F8" s="22"/>
      <c r="G8" s="22"/>
      <c r="H8" s="12">
        <f t="shared" si="0"/>
        <v>44719</v>
      </c>
    </row>
    <row r="9" spans="2:11" ht="15.6" x14ac:dyDescent="0.3">
      <c r="B9" s="34" t="s">
        <v>0</v>
      </c>
      <c r="C9" s="60"/>
      <c r="D9" s="60"/>
      <c r="E9" s="60"/>
      <c r="F9" s="60"/>
      <c r="G9" s="61"/>
      <c r="H9" s="12">
        <f t="shared" si="0"/>
        <v>44719</v>
      </c>
    </row>
    <row r="10" spans="2:11" x14ac:dyDescent="0.3">
      <c r="B10" s="6" t="s">
        <v>25</v>
      </c>
      <c r="C10" s="57"/>
      <c r="D10" s="22">
        <v>216000</v>
      </c>
      <c r="E10" s="22"/>
      <c r="F10" s="22"/>
      <c r="G10" s="22"/>
      <c r="H10" s="12">
        <f t="shared" si="0"/>
        <v>44719</v>
      </c>
    </row>
    <row r="11" spans="2:11" x14ac:dyDescent="0.3">
      <c r="B11" s="6" t="s">
        <v>15</v>
      </c>
      <c r="C11" s="22">
        <v>50000</v>
      </c>
      <c r="D11" s="22">
        <v>161500</v>
      </c>
      <c r="E11" s="22"/>
      <c r="F11" s="22"/>
      <c r="G11" s="57"/>
      <c r="H11" s="12">
        <f t="shared" si="0"/>
        <v>44719</v>
      </c>
    </row>
    <row r="12" spans="2:11" x14ac:dyDescent="0.3">
      <c r="B12" s="6" t="s">
        <v>54</v>
      </c>
      <c r="C12" s="22">
        <v>792500</v>
      </c>
      <c r="D12" s="22"/>
      <c r="E12" s="22">
        <v>162000</v>
      </c>
      <c r="F12" s="22"/>
      <c r="G12" s="22"/>
      <c r="H12" s="67">
        <f t="shared" si="0"/>
        <v>44719</v>
      </c>
    </row>
    <row r="13" spans="2:11" x14ac:dyDescent="0.3">
      <c r="B13" s="6" t="s">
        <v>26</v>
      </c>
      <c r="C13" s="22"/>
      <c r="D13" s="22"/>
      <c r="E13" s="22"/>
      <c r="F13" s="22"/>
      <c r="G13" s="22"/>
      <c r="H13" s="12">
        <f t="shared" si="0"/>
        <v>44719</v>
      </c>
    </row>
    <row r="14" spans="2:11" x14ac:dyDescent="0.3">
      <c r="B14" s="6" t="s">
        <v>22</v>
      </c>
      <c r="C14" s="22"/>
      <c r="D14" s="22"/>
      <c r="E14" s="22"/>
      <c r="F14" s="22"/>
      <c r="G14" s="22"/>
      <c r="H14" s="12">
        <f t="shared" si="0"/>
        <v>44719</v>
      </c>
      <c r="K14" s="4"/>
    </row>
    <row r="15" spans="2:11" x14ac:dyDescent="0.3">
      <c r="B15" s="6" t="s">
        <v>61</v>
      </c>
      <c r="C15" s="22"/>
      <c r="D15" s="57"/>
      <c r="E15" s="22"/>
      <c r="F15" s="22"/>
      <c r="G15" s="22"/>
      <c r="H15" s="67">
        <f t="shared" si="0"/>
        <v>44719</v>
      </c>
      <c r="K15" s="4"/>
    </row>
    <row r="16" spans="2:11" x14ac:dyDescent="0.3">
      <c r="B16" s="6" t="s">
        <v>19</v>
      </c>
      <c r="C16" s="22">
        <v>378000</v>
      </c>
      <c r="D16" s="23">
        <v>432000</v>
      </c>
      <c r="E16" s="23">
        <v>216000</v>
      </c>
      <c r="F16" s="22"/>
      <c r="G16" s="23"/>
      <c r="H16" s="12">
        <f t="shared" si="0"/>
        <v>44719</v>
      </c>
    </row>
    <row r="17" spans="2:10" x14ac:dyDescent="0.3">
      <c r="B17" s="6" t="s">
        <v>14</v>
      </c>
      <c r="C17" s="22">
        <v>671000</v>
      </c>
      <c r="D17" s="23">
        <v>648000</v>
      </c>
      <c r="E17" s="23">
        <v>162000</v>
      </c>
      <c r="F17" s="22"/>
      <c r="G17" s="23"/>
      <c r="H17" s="12">
        <f t="shared" si="0"/>
        <v>44719</v>
      </c>
    </row>
    <row r="18" spans="2:10" x14ac:dyDescent="0.3">
      <c r="B18" s="6" t="s">
        <v>24</v>
      </c>
      <c r="C18" s="22"/>
      <c r="D18" s="22"/>
      <c r="E18" s="22"/>
      <c r="F18" s="49"/>
      <c r="G18" s="22"/>
      <c r="H18" s="12">
        <f t="shared" si="0"/>
        <v>44719</v>
      </c>
      <c r="J18" s="1" t="s">
        <v>66</v>
      </c>
    </row>
    <row r="19" spans="2:10" x14ac:dyDescent="0.3">
      <c r="B19" s="6" t="s">
        <v>21</v>
      </c>
      <c r="C19" s="22"/>
      <c r="D19" s="22"/>
      <c r="E19" s="22"/>
      <c r="F19" s="22"/>
      <c r="G19" s="22"/>
      <c r="H19" s="67">
        <f t="shared" si="0"/>
        <v>44719</v>
      </c>
    </row>
    <row r="20" spans="2:10" x14ac:dyDescent="0.3">
      <c r="B20" s="6" t="s">
        <v>65</v>
      </c>
      <c r="C20" s="22"/>
      <c r="D20" s="22"/>
      <c r="E20" s="22"/>
      <c r="F20" s="22"/>
      <c r="G20" s="22"/>
      <c r="H20" s="12">
        <f t="shared" si="0"/>
        <v>44719</v>
      </c>
    </row>
    <row r="21" spans="2:10" x14ac:dyDescent="0.3">
      <c r="B21" s="6" t="s">
        <v>18</v>
      </c>
      <c r="C21" s="62"/>
      <c r="D21" s="62">
        <v>99000</v>
      </c>
      <c r="E21" s="62"/>
      <c r="F21" s="62"/>
      <c r="G21" s="62"/>
      <c r="H21" s="12">
        <f t="shared" si="0"/>
        <v>44719</v>
      </c>
    </row>
    <row r="22" spans="2:10" x14ac:dyDescent="0.3">
      <c r="B22" s="6" t="s">
        <v>16</v>
      </c>
      <c r="C22" s="22"/>
      <c r="D22" s="119"/>
      <c r="E22" s="62"/>
      <c r="F22" s="62"/>
      <c r="G22" s="62"/>
      <c r="H22" s="12">
        <f t="shared" si="0"/>
        <v>44719</v>
      </c>
    </row>
    <row r="23" spans="2:10" x14ac:dyDescent="0.3">
      <c r="B23" s="50" t="s">
        <v>27</v>
      </c>
      <c r="C23" s="51">
        <f>SUM(June7_2022[KSI_AGO])</f>
        <v>1891500</v>
      </c>
      <c r="D23" s="51">
        <f>SUBTOTAL(109,June7_2022[KSI_PMS])</f>
        <v>1556500</v>
      </c>
      <c r="E23" s="51">
        <f>SUM(June7_2022[BUIPE_AGO])</f>
        <v>540000</v>
      </c>
      <c r="F23" s="51">
        <f>SUM(June7_2022[BUIPE_PMS])</f>
        <v>0</v>
      </c>
      <c r="G23" s="51">
        <f>SUM(June7_2022[AKOSOMBO_AGO])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9F11B3AB-48C4-40D9-A5AD-0586D837C919}">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F589-4136-48A4-A4E1-FFD5AAEAE98A}">
  <dimension ref="B1:K24"/>
  <sheetViews>
    <sheetView zoomScaleNormal="100" workbookViewId="0">
      <pane xSplit="2" ySplit="5" topLeftCell="C6" activePane="bottomRight" state="frozen"/>
      <selection pane="topRight" activeCell="C1" sqref="C1"/>
      <selection pane="bottomLeft" activeCell="A6" sqref="A6"/>
      <selection pane="bottomRight" activeCell="G2" sqref="G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44720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44720</v>
      </c>
    </row>
    <row r="7" spans="2:11" ht="16.5" customHeight="1" x14ac:dyDescent="0.3">
      <c r="B7" s="6" t="s">
        <v>37</v>
      </c>
      <c r="C7" s="62"/>
      <c r="D7" s="62"/>
      <c r="E7" s="62"/>
      <c r="F7" s="62"/>
      <c r="G7" s="62"/>
      <c r="H7" s="67">
        <f t="shared" si="0"/>
        <v>44720</v>
      </c>
    </row>
    <row r="8" spans="2:11" x14ac:dyDescent="0.3">
      <c r="B8" s="6" t="s">
        <v>17</v>
      </c>
      <c r="C8" s="22"/>
      <c r="D8" s="22"/>
      <c r="E8" s="22"/>
      <c r="F8" s="22"/>
      <c r="G8" s="22"/>
      <c r="H8" s="12">
        <f t="shared" si="0"/>
        <v>44720</v>
      </c>
    </row>
    <row r="9" spans="2:11" ht="15.6" x14ac:dyDescent="0.3">
      <c r="B9" s="34" t="s">
        <v>0</v>
      </c>
      <c r="C9" s="60"/>
      <c r="D9" s="60"/>
      <c r="E9" s="60"/>
      <c r="F9" s="60"/>
      <c r="G9" s="61"/>
      <c r="H9" s="12">
        <f t="shared" si="0"/>
        <v>44720</v>
      </c>
    </row>
    <row r="10" spans="2:11" x14ac:dyDescent="0.3">
      <c r="B10" s="6" t="s">
        <v>25</v>
      </c>
      <c r="C10" s="57"/>
      <c r="D10" s="22">
        <v>162000</v>
      </c>
      <c r="E10" s="22"/>
      <c r="F10" s="22"/>
      <c r="G10" s="22"/>
      <c r="H10" s="12">
        <f t="shared" si="0"/>
        <v>44720</v>
      </c>
    </row>
    <row r="11" spans="2:11" x14ac:dyDescent="0.3">
      <c r="B11" s="6" t="s">
        <v>15</v>
      </c>
      <c r="C11" s="22"/>
      <c r="D11" s="22"/>
      <c r="E11" s="22"/>
      <c r="F11" s="22"/>
      <c r="G11" s="57"/>
      <c r="H11" s="12">
        <f t="shared" si="0"/>
        <v>44720</v>
      </c>
    </row>
    <row r="12" spans="2:11" x14ac:dyDescent="0.3">
      <c r="B12" s="6" t="s">
        <v>54</v>
      </c>
      <c r="C12" s="22">
        <v>108000</v>
      </c>
      <c r="D12" s="22"/>
      <c r="E12" s="22"/>
      <c r="F12" s="22"/>
      <c r="G12" s="22"/>
      <c r="H12" s="67">
        <f t="shared" si="0"/>
        <v>44720</v>
      </c>
    </row>
    <row r="13" spans="2:11" x14ac:dyDescent="0.3">
      <c r="B13" s="6" t="s">
        <v>26</v>
      </c>
      <c r="C13" s="22"/>
      <c r="D13" s="22"/>
      <c r="E13" s="22"/>
      <c r="F13" s="22"/>
      <c r="G13" s="22"/>
      <c r="H13" s="12">
        <f t="shared" si="0"/>
        <v>44720</v>
      </c>
    </row>
    <row r="14" spans="2:11" x14ac:dyDescent="0.3">
      <c r="B14" s="6" t="s">
        <v>22</v>
      </c>
      <c r="C14" s="22"/>
      <c r="D14" s="22"/>
      <c r="E14" s="22"/>
      <c r="F14" s="22"/>
      <c r="G14" s="22"/>
      <c r="H14" s="12">
        <f t="shared" si="0"/>
        <v>44720</v>
      </c>
      <c r="K14" s="4"/>
    </row>
    <row r="15" spans="2:11" x14ac:dyDescent="0.3">
      <c r="B15" s="6" t="s">
        <v>61</v>
      </c>
      <c r="C15" s="22"/>
      <c r="D15" s="57"/>
      <c r="E15" s="22"/>
      <c r="F15" s="22"/>
      <c r="G15" s="22"/>
      <c r="H15" s="67">
        <f t="shared" si="0"/>
        <v>44720</v>
      </c>
      <c r="K15" s="4"/>
    </row>
    <row r="16" spans="2:11" x14ac:dyDescent="0.3">
      <c r="B16" s="6" t="s">
        <v>19</v>
      </c>
      <c r="C16" s="22">
        <v>54000</v>
      </c>
      <c r="D16" s="23">
        <v>270000</v>
      </c>
      <c r="E16" s="23">
        <v>648000</v>
      </c>
      <c r="F16" s="22"/>
      <c r="G16" s="23"/>
      <c r="H16" s="12">
        <f t="shared" si="0"/>
        <v>44720</v>
      </c>
    </row>
    <row r="17" spans="2:10" x14ac:dyDescent="0.3">
      <c r="B17" s="6" t="s">
        <v>14</v>
      </c>
      <c r="C17" s="22"/>
      <c r="D17" s="23"/>
      <c r="E17" s="23">
        <v>270000</v>
      </c>
      <c r="F17" s="22"/>
      <c r="G17" s="23"/>
      <c r="H17" s="12">
        <f t="shared" si="0"/>
        <v>44720</v>
      </c>
    </row>
    <row r="18" spans="2:10" x14ac:dyDescent="0.3">
      <c r="B18" s="6" t="s">
        <v>24</v>
      </c>
      <c r="C18" s="22"/>
      <c r="D18" s="22"/>
      <c r="E18" s="22"/>
      <c r="F18" s="49"/>
      <c r="G18" s="22"/>
      <c r="H18" s="12">
        <f t="shared" si="0"/>
        <v>44720</v>
      </c>
      <c r="J18" s="1" t="s">
        <v>66</v>
      </c>
    </row>
    <row r="19" spans="2:10" x14ac:dyDescent="0.3">
      <c r="B19" s="6" t="s">
        <v>21</v>
      </c>
      <c r="C19" s="22"/>
      <c r="D19" s="22"/>
      <c r="E19" s="22"/>
      <c r="F19" s="22"/>
      <c r="G19" s="22"/>
      <c r="H19" s="67">
        <f t="shared" si="0"/>
        <v>44720</v>
      </c>
    </row>
    <row r="20" spans="2:10" x14ac:dyDescent="0.3">
      <c r="B20" s="6" t="s">
        <v>65</v>
      </c>
      <c r="C20" s="22"/>
      <c r="D20" s="22"/>
      <c r="E20" s="22"/>
      <c r="F20" s="22"/>
      <c r="G20" s="22"/>
      <c r="H20" s="12">
        <f t="shared" si="0"/>
        <v>44720</v>
      </c>
    </row>
    <row r="21" spans="2:10" x14ac:dyDescent="0.3">
      <c r="B21" s="6" t="s">
        <v>18</v>
      </c>
      <c r="C21" s="62"/>
      <c r="D21" s="62"/>
      <c r="E21" s="62"/>
      <c r="F21" s="62"/>
      <c r="G21" s="62"/>
      <c r="H21" s="12">
        <f t="shared" si="0"/>
        <v>44720</v>
      </c>
    </row>
    <row r="22" spans="2:10" x14ac:dyDescent="0.3">
      <c r="B22" s="6" t="s">
        <v>16</v>
      </c>
      <c r="C22" s="22"/>
      <c r="D22" s="119"/>
      <c r="E22" s="62"/>
      <c r="F22" s="62"/>
      <c r="G22" s="62"/>
      <c r="H22" s="12">
        <f t="shared" si="0"/>
        <v>44720</v>
      </c>
    </row>
    <row r="23" spans="2:10" x14ac:dyDescent="0.3">
      <c r="B23" s="50" t="s">
        <v>27</v>
      </c>
      <c r="C23" s="51">
        <f>SUM(June8_2022[KSI_AGO])</f>
        <v>162000</v>
      </c>
      <c r="D23" s="51">
        <f>SUBTOTAL(109,June8_2022[KSI_PMS])</f>
        <v>432000</v>
      </c>
      <c r="E23" s="51">
        <f>SUM(June8_2022[BUIPE_AGO])</f>
        <v>918000</v>
      </c>
      <c r="F23" s="51">
        <f>SUM(June8_2022[BUIPE_PMS])</f>
        <v>0</v>
      </c>
      <c r="G23" s="51">
        <f>SUM(June8_2022[AKOSOMBO_AGO])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EF36BBA2-5F2C-491A-83D8-479753CAB6EE}">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23485-6EC1-4F6C-8156-41E7771193E2}">
  <dimension ref="B1:K24"/>
  <sheetViews>
    <sheetView zoomScaleNormal="100" workbookViewId="0">
      <pane xSplit="2" ySplit="5" topLeftCell="C6" activePane="bottomRight" state="frozen"/>
      <selection pane="topRight" activeCell="C1" sqref="C1"/>
      <selection pane="bottomLeft" activeCell="A6" sqref="A6"/>
      <selection pane="bottomRight" activeCell="E13" sqref="E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44721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44721</v>
      </c>
    </row>
    <row r="7" spans="2:11" ht="16.5" customHeight="1" x14ac:dyDescent="0.3">
      <c r="B7" s="6" t="s">
        <v>37</v>
      </c>
      <c r="C7" s="62"/>
      <c r="D7" s="62"/>
      <c r="E7" s="62"/>
      <c r="F7" s="62"/>
      <c r="G7" s="62"/>
      <c r="H7" s="67">
        <f t="shared" si="0"/>
        <v>44721</v>
      </c>
    </row>
    <row r="8" spans="2:11" x14ac:dyDescent="0.3">
      <c r="B8" s="6" t="s">
        <v>17</v>
      </c>
      <c r="C8" s="22"/>
      <c r="D8" s="22"/>
      <c r="E8" s="22"/>
      <c r="F8" s="22"/>
      <c r="G8" s="22"/>
      <c r="H8" s="12">
        <f t="shared" si="0"/>
        <v>44721</v>
      </c>
    </row>
    <row r="9" spans="2:11" ht="15.6" x14ac:dyDescent="0.3">
      <c r="B9" s="34" t="s">
        <v>0</v>
      </c>
      <c r="C9" s="60"/>
      <c r="D9" s="60"/>
      <c r="E9" s="60"/>
      <c r="F9" s="60"/>
      <c r="G9" s="61"/>
      <c r="H9" s="12">
        <f t="shared" si="0"/>
        <v>44721</v>
      </c>
    </row>
    <row r="10" spans="2:11" x14ac:dyDescent="0.3">
      <c r="B10" s="6" t="s">
        <v>25</v>
      </c>
      <c r="C10" s="57"/>
      <c r="D10" s="22"/>
      <c r="E10" s="22"/>
      <c r="F10" s="22"/>
      <c r="G10" s="22"/>
      <c r="H10" s="12">
        <f t="shared" si="0"/>
        <v>44721</v>
      </c>
    </row>
    <row r="11" spans="2:11" x14ac:dyDescent="0.3">
      <c r="B11" s="6" t="s">
        <v>15</v>
      </c>
      <c r="C11" s="22"/>
      <c r="D11" s="22"/>
      <c r="E11" s="22">
        <v>90000</v>
      </c>
      <c r="F11" s="22"/>
      <c r="G11" s="57"/>
      <c r="H11" s="12">
        <f t="shared" si="0"/>
        <v>44721</v>
      </c>
    </row>
    <row r="12" spans="2:11" x14ac:dyDescent="0.3">
      <c r="B12" s="6" t="s">
        <v>54</v>
      </c>
      <c r="C12" s="22"/>
      <c r="D12" s="22">
        <v>54000</v>
      </c>
      <c r="E12" s="22"/>
      <c r="F12" s="22"/>
      <c r="G12" s="22"/>
      <c r="H12" s="67">
        <f t="shared" si="0"/>
        <v>44721</v>
      </c>
    </row>
    <row r="13" spans="2:11" x14ac:dyDescent="0.3">
      <c r="B13" s="6" t="s">
        <v>26</v>
      </c>
      <c r="C13" s="22"/>
      <c r="D13" s="22"/>
      <c r="E13" s="22"/>
      <c r="F13" s="22"/>
      <c r="G13" s="22"/>
      <c r="H13" s="12">
        <f t="shared" si="0"/>
        <v>44721</v>
      </c>
    </row>
    <row r="14" spans="2:11" x14ac:dyDescent="0.3">
      <c r="B14" s="6" t="s">
        <v>22</v>
      </c>
      <c r="C14" s="22"/>
      <c r="D14" s="22"/>
      <c r="E14" s="22"/>
      <c r="F14" s="22"/>
      <c r="G14" s="22"/>
      <c r="H14" s="12">
        <f t="shared" si="0"/>
        <v>44721</v>
      </c>
      <c r="K14" s="4"/>
    </row>
    <row r="15" spans="2:11" x14ac:dyDescent="0.3">
      <c r="B15" s="6" t="s">
        <v>61</v>
      </c>
      <c r="C15" s="22"/>
      <c r="D15" s="57"/>
      <c r="E15" s="22"/>
      <c r="F15" s="22"/>
      <c r="G15" s="22"/>
      <c r="H15" s="67">
        <f t="shared" si="0"/>
        <v>44721</v>
      </c>
      <c r="K15" s="4"/>
    </row>
    <row r="16" spans="2:11" x14ac:dyDescent="0.3">
      <c r="B16" s="6" t="s">
        <v>19</v>
      </c>
      <c r="C16" s="22">
        <v>54000</v>
      </c>
      <c r="D16" s="23"/>
      <c r="E16" s="23"/>
      <c r="F16" s="22"/>
      <c r="G16" s="23"/>
      <c r="H16" s="12">
        <f t="shared" si="0"/>
        <v>44721</v>
      </c>
    </row>
    <row r="17" spans="2:10" x14ac:dyDescent="0.3">
      <c r="B17" s="6" t="s">
        <v>14</v>
      </c>
      <c r="C17" s="22"/>
      <c r="D17" s="23"/>
      <c r="E17" s="23">
        <v>270000</v>
      </c>
      <c r="F17" s="22"/>
      <c r="G17" s="23"/>
      <c r="H17" s="12">
        <f t="shared" si="0"/>
        <v>44721</v>
      </c>
    </row>
    <row r="18" spans="2:10" x14ac:dyDescent="0.3">
      <c r="B18" s="6" t="s">
        <v>24</v>
      </c>
      <c r="C18" s="22"/>
      <c r="D18" s="22"/>
      <c r="E18" s="22"/>
      <c r="F18" s="49"/>
      <c r="G18" s="22"/>
      <c r="H18" s="12">
        <f t="shared" si="0"/>
        <v>44721</v>
      </c>
      <c r="J18" s="1" t="s">
        <v>66</v>
      </c>
    </row>
    <row r="19" spans="2:10" x14ac:dyDescent="0.3">
      <c r="B19" s="6" t="s">
        <v>21</v>
      </c>
      <c r="C19" s="22"/>
      <c r="D19" s="22"/>
      <c r="E19" s="22"/>
      <c r="F19" s="22"/>
      <c r="G19" s="22"/>
      <c r="H19" s="67">
        <f t="shared" si="0"/>
        <v>44721</v>
      </c>
    </row>
    <row r="20" spans="2:10" x14ac:dyDescent="0.3">
      <c r="B20" s="6" t="s">
        <v>65</v>
      </c>
      <c r="C20" s="22"/>
      <c r="D20" s="22"/>
      <c r="E20" s="22"/>
      <c r="F20" s="22"/>
      <c r="G20" s="22"/>
      <c r="H20" s="12">
        <f t="shared" si="0"/>
        <v>44721</v>
      </c>
    </row>
    <row r="21" spans="2:10" x14ac:dyDescent="0.3">
      <c r="B21" s="6" t="s">
        <v>18</v>
      </c>
      <c r="C21" s="62"/>
      <c r="D21" s="62"/>
      <c r="E21" s="62"/>
      <c r="F21" s="62"/>
      <c r="G21" s="62"/>
      <c r="H21" s="12">
        <f t="shared" si="0"/>
        <v>44721</v>
      </c>
    </row>
    <row r="22" spans="2:10" x14ac:dyDescent="0.3">
      <c r="B22" s="6" t="s">
        <v>16</v>
      </c>
      <c r="C22" s="22"/>
      <c r="D22" s="119"/>
      <c r="E22" s="62"/>
      <c r="F22" s="62"/>
      <c r="G22" s="62"/>
      <c r="H22" s="12">
        <f t="shared" si="0"/>
        <v>44721</v>
      </c>
    </row>
    <row r="23" spans="2:10" x14ac:dyDescent="0.3">
      <c r="B23" s="50" t="s">
        <v>27</v>
      </c>
      <c r="C23" s="51">
        <f>SUM(June8_202210[KSI_AGO])</f>
        <v>54000</v>
      </c>
      <c r="D23" s="51">
        <f>SUBTOTAL(109,June8_202210[KSI_PMS])</f>
        <v>54000</v>
      </c>
      <c r="E23" s="51">
        <f>SUM(June8_202210[BUIPE_AGO])</f>
        <v>360000</v>
      </c>
      <c r="F23" s="51">
        <f>SUM(June8_202210[BUIPE_PMS])</f>
        <v>0</v>
      </c>
      <c r="G23" s="51">
        <f>SUM(June8_202210[AKOSOMBO_AGO])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4095D412-64BE-4ACB-BA66-02D87A475244}">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57C72-D3E5-43E4-9D7C-354BB5304AFB}">
  <dimension ref="B1:K24"/>
  <sheetViews>
    <sheetView zoomScaleNormal="100" workbookViewId="0">
      <pane xSplit="2" ySplit="5" topLeftCell="C6" activePane="bottomRight" state="frozen"/>
      <selection pane="topRight" activeCell="C1" sqref="C1"/>
      <selection pane="bottomLeft" activeCell="A6" sqref="A6"/>
      <selection pane="bottomRight" activeCell="G6" sqref="G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44722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44722</v>
      </c>
    </row>
    <row r="7" spans="2:11" ht="16.5" customHeight="1" x14ac:dyDescent="0.3">
      <c r="B7" s="6" t="s">
        <v>37</v>
      </c>
      <c r="C7" s="62"/>
      <c r="D7" s="62"/>
      <c r="E7" s="62"/>
      <c r="F7" s="62"/>
      <c r="G7" s="62"/>
      <c r="H7" s="67">
        <f t="shared" si="0"/>
        <v>44722</v>
      </c>
    </row>
    <row r="8" spans="2:11" x14ac:dyDescent="0.3">
      <c r="B8" s="6" t="s">
        <v>17</v>
      </c>
      <c r="C8" s="22">
        <v>648000</v>
      </c>
      <c r="D8" s="22"/>
      <c r="E8" s="22">
        <v>432000</v>
      </c>
      <c r="F8" s="22"/>
      <c r="G8" s="22"/>
      <c r="H8" s="12">
        <f t="shared" si="0"/>
        <v>44722</v>
      </c>
    </row>
    <row r="9" spans="2:11" ht="15.6" x14ac:dyDescent="0.3">
      <c r="B9" s="34" t="s">
        <v>0</v>
      </c>
      <c r="C9" s="60"/>
      <c r="D9" s="60"/>
      <c r="E9" s="60"/>
      <c r="F9" s="60"/>
      <c r="G9" s="61"/>
      <c r="H9" s="12">
        <f t="shared" si="0"/>
        <v>44722</v>
      </c>
    </row>
    <row r="10" spans="2:11" x14ac:dyDescent="0.3">
      <c r="B10" s="6" t="s">
        <v>25</v>
      </c>
      <c r="C10" s="57"/>
      <c r="D10" s="22"/>
      <c r="E10" s="22"/>
      <c r="F10" s="22"/>
      <c r="G10" s="22"/>
      <c r="H10" s="12">
        <f t="shared" si="0"/>
        <v>44722</v>
      </c>
    </row>
    <row r="11" spans="2:11" x14ac:dyDescent="0.3">
      <c r="B11" s="6" t="s">
        <v>15</v>
      </c>
      <c r="C11" s="22"/>
      <c r="D11" s="22"/>
      <c r="E11" s="22"/>
      <c r="F11" s="22"/>
      <c r="G11" s="57"/>
      <c r="H11" s="12">
        <f t="shared" si="0"/>
        <v>44722</v>
      </c>
    </row>
    <row r="12" spans="2:11" x14ac:dyDescent="0.3">
      <c r="B12" s="6" t="s">
        <v>54</v>
      </c>
      <c r="C12" s="22"/>
      <c r="D12" s="22"/>
      <c r="E12" s="22"/>
      <c r="F12" s="22"/>
      <c r="G12" s="22"/>
      <c r="H12" s="67">
        <f t="shared" si="0"/>
        <v>44722</v>
      </c>
    </row>
    <row r="13" spans="2:11" x14ac:dyDescent="0.3">
      <c r="B13" s="6" t="s">
        <v>26</v>
      </c>
      <c r="C13" s="22"/>
      <c r="D13" s="22"/>
      <c r="E13" s="22"/>
      <c r="F13" s="22"/>
      <c r="G13" s="22"/>
      <c r="H13" s="12">
        <f t="shared" si="0"/>
        <v>44722</v>
      </c>
    </row>
    <row r="14" spans="2:11" x14ac:dyDescent="0.3">
      <c r="B14" s="6" t="s">
        <v>22</v>
      </c>
      <c r="C14" s="22"/>
      <c r="D14" s="22"/>
      <c r="E14" s="22"/>
      <c r="F14" s="22"/>
      <c r="G14" s="22"/>
      <c r="H14" s="12">
        <f t="shared" si="0"/>
        <v>44722</v>
      </c>
      <c r="K14" s="4"/>
    </row>
    <row r="15" spans="2:11" x14ac:dyDescent="0.3">
      <c r="B15" s="6" t="s">
        <v>61</v>
      </c>
      <c r="C15" s="22"/>
      <c r="D15" s="57"/>
      <c r="E15" s="22"/>
      <c r="F15" s="22"/>
      <c r="G15" s="22"/>
      <c r="H15" s="67">
        <f t="shared" si="0"/>
        <v>44722</v>
      </c>
      <c r="K15" s="4"/>
    </row>
    <row r="16" spans="2:11" x14ac:dyDescent="0.3">
      <c r="B16" s="6" t="s">
        <v>19</v>
      </c>
      <c r="C16" s="22"/>
      <c r="D16" s="23"/>
      <c r="E16" s="23"/>
      <c r="F16" s="22"/>
      <c r="G16" s="23"/>
      <c r="H16" s="12">
        <f t="shared" si="0"/>
        <v>44722</v>
      </c>
    </row>
    <row r="17" spans="2:10" x14ac:dyDescent="0.3">
      <c r="B17" s="6" t="s">
        <v>14</v>
      </c>
      <c r="C17" s="22"/>
      <c r="D17" s="23"/>
      <c r="E17" s="23"/>
      <c r="F17" s="22"/>
      <c r="G17" s="23"/>
      <c r="H17" s="12">
        <f t="shared" si="0"/>
        <v>44722</v>
      </c>
    </row>
    <row r="18" spans="2:10" x14ac:dyDescent="0.3">
      <c r="B18" s="6" t="s">
        <v>24</v>
      </c>
      <c r="C18" s="22"/>
      <c r="D18" s="22"/>
      <c r="E18" s="22"/>
      <c r="F18" s="49"/>
      <c r="G18" s="22"/>
      <c r="H18" s="12">
        <f t="shared" si="0"/>
        <v>44722</v>
      </c>
      <c r="J18" s="1" t="s">
        <v>66</v>
      </c>
    </row>
    <row r="19" spans="2:10" x14ac:dyDescent="0.3">
      <c r="B19" s="6" t="s">
        <v>21</v>
      </c>
      <c r="C19" s="22"/>
      <c r="D19" s="22"/>
      <c r="E19" s="22"/>
      <c r="F19" s="22"/>
      <c r="G19" s="22"/>
      <c r="H19" s="67">
        <f t="shared" si="0"/>
        <v>44722</v>
      </c>
    </row>
    <row r="20" spans="2:10" x14ac:dyDescent="0.3">
      <c r="B20" s="6" t="s">
        <v>65</v>
      </c>
      <c r="C20" s="22"/>
      <c r="D20" s="22"/>
      <c r="E20" s="22"/>
      <c r="F20" s="22"/>
      <c r="G20" s="22"/>
      <c r="H20" s="12">
        <f t="shared" si="0"/>
        <v>44722</v>
      </c>
    </row>
    <row r="21" spans="2:10" x14ac:dyDescent="0.3">
      <c r="B21" s="6" t="s">
        <v>18</v>
      </c>
      <c r="C21" s="62"/>
      <c r="D21" s="62"/>
      <c r="E21" s="62"/>
      <c r="F21" s="62"/>
      <c r="G21" s="62"/>
      <c r="H21" s="12">
        <f t="shared" si="0"/>
        <v>44722</v>
      </c>
    </row>
    <row r="22" spans="2:10" x14ac:dyDescent="0.3">
      <c r="B22" s="6" t="s">
        <v>16</v>
      </c>
      <c r="C22" s="22"/>
      <c r="D22" s="119"/>
      <c r="E22" s="62"/>
      <c r="F22" s="62"/>
      <c r="G22" s="62"/>
      <c r="H22" s="12">
        <f t="shared" si="0"/>
        <v>44722</v>
      </c>
    </row>
    <row r="23" spans="2:10" x14ac:dyDescent="0.3">
      <c r="B23" s="50" t="s">
        <v>27</v>
      </c>
      <c r="C23" s="51">
        <f>SUM(June10_2022[KSI_AGO])</f>
        <v>648000</v>
      </c>
      <c r="D23" s="51">
        <f>SUBTOTAL(109,June10_2022[KSI_PMS])</f>
        <v>0</v>
      </c>
      <c r="E23" s="51">
        <f>SUM(June10_2022[BUIPE_AGO])</f>
        <v>432000</v>
      </c>
      <c r="F23" s="51">
        <f>SUM(June10_2022[BUIPE_PMS])</f>
        <v>0</v>
      </c>
      <c r="G23" s="51">
        <f>SUM(June10_2022[AKOSOMBO_AGO])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C85FD939-34D5-4AE9-8BA2-7253522FD84E}">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6DC5E-9F95-4594-9ECF-C6D6D7E0374B}">
  <dimension ref="B1:K24"/>
  <sheetViews>
    <sheetView zoomScaleNormal="100" workbookViewId="0">
      <pane xSplit="2" ySplit="5" topLeftCell="C6" activePane="bottomRight" state="frozen"/>
      <selection pane="topRight" activeCell="C1" sqref="C1"/>
      <selection pane="bottomLeft" activeCell="A6" sqref="A6"/>
      <selection pane="bottomRight" activeCell="E17" sqref="E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44725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44725</v>
      </c>
    </row>
    <row r="7" spans="2:11" ht="16.5" customHeight="1" x14ac:dyDescent="0.3">
      <c r="B7" s="6" t="s">
        <v>37</v>
      </c>
      <c r="C7" s="62"/>
      <c r="D7" s="62"/>
      <c r="E7" s="62"/>
      <c r="F7" s="62"/>
      <c r="G7" s="62"/>
      <c r="H7" s="67">
        <f t="shared" si="0"/>
        <v>44725</v>
      </c>
    </row>
    <row r="8" spans="2:11" x14ac:dyDescent="0.3">
      <c r="B8" s="6" t="s">
        <v>17</v>
      </c>
      <c r="C8" s="22">
        <v>103500</v>
      </c>
      <c r="D8" s="57"/>
      <c r="E8" s="22">
        <v>157500</v>
      </c>
      <c r="F8" s="22"/>
      <c r="G8" s="22"/>
      <c r="H8" s="12">
        <f t="shared" si="0"/>
        <v>44725</v>
      </c>
    </row>
    <row r="9" spans="2:11" ht="15.6" x14ac:dyDescent="0.3">
      <c r="B9" s="34" t="s">
        <v>0</v>
      </c>
      <c r="C9" s="60"/>
      <c r="D9" s="57"/>
      <c r="E9" s="60"/>
      <c r="F9" s="60"/>
      <c r="G9" s="61"/>
      <c r="H9" s="12">
        <f t="shared" si="0"/>
        <v>44725</v>
      </c>
    </row>
    <row r="10" spans="2:11" x14ac:dyDescent="0.3">
      <c r="B10" s="6" t="s">
        <v>25</v>
      </c>
      <c r="C10" s="57"/>
      <c r="D10" s="57"/>
      <c r="E10" s="22"/>
      <c r="F10" s="22"/>
      <c r="G10" s="22"/>
      <c r="H10" s="12">
        <f t="shared" si="0"/>
        <v>44725</v>
      </c>
    </row>
    <row r="11" spans="2:11" x14ac:dyDescent="0.3">
      <c r="B11" s="6" t="s">
        <v>15</v>
      </c>
      <c r="C11" s="22"/>
      <c r="D11" s="57"/>
      <c r="E11" s="22">
        <v>45000</v>
      </c>
      <c r="F11" s="22"/>
      <c r="G11" s="57"/>
      <c r="H11" s="12">
        <f t="shared" si="0"/>
        <v>44725</v>
      </c>
    </row>
    <row r="12" spans="2:11" x14ac:dyDescent="0.3">
      <c r="B12" s="6" t="s">
        <v>54</v>
      </c>
      <c r="C12" s="22"/>
      <c r="D12" s="57"/>
      <c r="E12" s="22"/>
      <c r="F12" s="22"/>
      <c r="G12" s="22"/>
      <c r="H12" s="67">
        <f t="shared" si="0"/>
        <v>44725</v>
      </c>
    </row>
    <row r="13" spans="2:11" x14ac:dyDescent="0.3">
      <c r="B13" s="6" t="s">
        <v>26</v>
      </c>
      <c r="C13" s="22"/>
      <c r="D13" s="57"/>
      <c r="E13" s="22">
        <v>45000</v>
      </c>
      <c r="F13" s="22"/>
      <c r="G13" s="22"/>
      <c r="H13" s="12">
        <f t="shared" si="0"/>
        <v>44725</v>
      </c>
    </row>
    <row r="14" spans="2:11" x14ac:dyDescent="0.3">
      <c r="B14" s="6" t="s">
        <v>22</v>
      </c>
      <c r="C14" s="22"/>
      <c r="D14" s="22"/>
      <c r="E14" s="22"/>
      <c r="F14" s="22"/>
      <c r="G14" s="22"/>
      <c r="H14" s="12">
        <f t="shared" si="0"/>
        <v>44725</v>
      </c>
      <c r="K14" s="4"/>
    </row>
    <row r="15" spans="2:11" x14ac:dyDescent="0.3">
      <c r="B15" s="6" t="s">
        <v>61</v>
      </c>
      <c r="C15" s="22"/>
      <c r="D15" s="57"/>
      <c r="E15" s="22"/>
      <c r="F15" s="22"/>
      <c r="G15" s="22"/>
      <c r="H15" s="67">
        <f t="shared" si="0"/>
        <v>44725</v>
      </c>
      <c r="K15" s="4"/>
    </row>
    <row r="16" spans="2:11" x14ac:dyDescent="0.3">
      <c r="B16" s="6" t="s">
        <v>19</v>
      </c>
      <c r="C16" s="22"/>
      <c r="D16" s="23"/>
      <c r="E16" s="23"/>
      <c r="F16" s="22"/>
      <c r="G16" s="23"/>
      <c r="H16" s="12">
        <f t="shared" si="0"/>
        <v>44725</v>
      </c>
    </row>
    <row r="17" spans="2:10" x14ac:dyDescent="0.3">
      <c r="B17" s="6" t="s">
        <v>14</v>
      </c>
      <c r="C17" s="22"/>
      <c r="D17" s="23"/>
      <c r="E17" s="23"/>
      <c r="F17" s="22"/>
      <c r="G17" s="23"/>
      <c r="H17" s="12">
        <f t="shared" si="0"/>
        <v>44725</v>
      </c>
    </row>
    <row r="18" spans="2:10" x14ac:dyDescent="0.3">
      <c r="B18" s="6" t="s">
        <v>24</v>
      </c>
      <c r="C18" s="22"/>
      <c r="D18" s="22"/>
      <c r="E18" s="22"/>
      <c r="F18" s="49"/>
      <c r="G18" s="22"/>
      <c r="H18" s="12">
        <f t="shared" si="0"/>
        <v>44725</v>
      </c>
      <c r="J18" s="1" t="s">
        <v>66</v>
      </c>
    </row>
    <row r="19" spans="2:10" x14ac:dyDescent="0.3">
      <c r="B19" s="6" t="s">
        <v>21</v>
      </c>
      <c r="C19" s="22"/>
      <c r="D19" s="22"/>
      <c r="E19" s="22"/>
      <c r="F19" s="22"/>
      <c r="G19" s="22"/>
      <c r="H19" s="67">
        <f t="shared" si="0"/>
        <v>44725</v>
      </c>
    </row>
    <row r="20" spans="2:10" x14ac:dyDescent="0.3">
      <c r="B20" s="6" t="s">
        <v>65</v>
      </c>
      <c r="C20" s="22"/>
      <c r="D20" s="22"/>
      <c r="E20" s="22"/>
      <c r="F20" s="22"/>
      <c r="G20" s="22"/>
      <c r="H20" s="12">
        <f t="shared" si="0"/>
        <v>44725</v>
      </c>
    </row>
    <row r="21" spans="2:10" x14ac:dyDescent="0.3">
      <c r="B21" s="6" t="s">
        <v>18</v>
      </c>
      <c r="C21" s="62"/>
      <c r="D21" s="62"/>
      <c r="E21" s="62"/>
      <c r="F21" s="62"/>
      <c r="G21" s="62"/>
      <c r="H21" s="12">
        <f t="shared" si="0"/>
        <v>44725</v>
      </c>
    </row>
    <row r="22" spans="2:10" x14ac:dyDescent="0.3">
      <c r="B22" s="6" t="s">
        <v>16</v>
      </c>
      <c r="C22" s="22"/>
      <c r="D22" s="119"/>
      <c r="E22" s="62"/>
      <c r="F22" s="62"/>
      <c r="G22" s="62"/>
      <c r="H22" s="12">
        <f t="shared" si="0"/>
        <v>44725</v>
      </c>
    </row>
    <row r="23" spans="2:10" x14ac:dyDescent="0.3">
      <c r="B23" s="50" t="s">
        <v>27</v>
      </c>
      <c r="C23" s="51">
        <f>SUM(June13_2022[KSI_AGO])</f>
        <v>103500</v>
      </c>
      <c r="D23" s="51">
        <f>SUBTOTAL(109,June13_2022[KSI_PMS])</f>
        <v>0</v>
      </c>
      <c r="E23" s="51">
        <f>SUM(June13_2022[BUIPE_AGO])</f>
        <v>247500</v>
      </c>
      <c r="F23" s="51">
        <f>SUM(June13_2022[BUIPE_PMS])</f>
        <v>0</v>
      </c>
      <c r="G23" s="51">
        <f>SUM(June13_2022[AKOSOMBO_AGO])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3AADAC13-F38A-4E23-AA68-1654E7E43E2C}">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5F90-9B9A-4A6D-9C78-C051202638E7}">
  <dimension ref="B1:K24"/>
  <sheetViews>
    <sheetView zoomScaleNormal="100" workbookViewId="0">
      <pane xSplit="2" ySplit="5" topLeftCell="C9" activePane="bottomRight" state="frozen"/>
      <selection pane="topRight" activeCell="C1" sqref="C1"/>
      <selection pane="bottomLeft" activeCell="A6" sqref="A6"/>
      <selection pane="bottomRight" activeCell="F2" sqref="F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44726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44726</v>
      </c>
    </row>
    <row r="7" spans="2:11" ht="16.5" customHeight="1" x14ac:dyDescent="0.3">
      <c r="B7" s="6" t="s">
        <v>37</v>
      </c>
      <c r="C7" s="62"/>
      <c r="D7" s="62"/>
      <c r="E7" s="62"/>
      <c r="F7" s="62"/>
      <c r="G7" s="62"/>
      <c r="H7" s="67">
        <f t="shared" si="0"/>
        <v>44726</v>
      </c>
    </row>
    <row r="8" spans="2:11" x14ac:dyDescent="0.3">
      <c r="B8" s="6" t="s">
        <v>17</v>
      </c>
      <c r="C8" s="22"/>
      <c r="D8" s="22"/>
      <c r="E8" s="22"/>
      <c r="F8" s="22"/>
      <c r="G8" s="22"/>
      <c r="H8" s="12">
        <f t="shared" si="0"/>
        <v>44726</v>
      </c>
    </row>
    <row r="9" spans="2:11" ht="15.6" x14ac:dyDescent="0.3">
      <c r="B9" s="34" t="s">
        <v>0</v>
      </c>
      <c r="C9" s="60">
        <v>1998000</v>
      </c>
      <c r="D9" s="60"/>
      <c r="E9" s="60"/>
      <c r="F9" s="60"/>
      <c r="G9" s="61"/>
      <c r="H9" s="12">
        <f t="shared" si="0"/>
        <v>44726</v>
      </c>
    </row>
    <row r="10" spans="2:11" x14ac:dyDescent="0.3">
      <c r="B10" s="6" t="s">
        <v>25</v>
      </c>
      <c r="C10" s="57"/>
      <c r="D10" s="22"/>
      <c r="E10" s="22"/>
      <c r="F10" s="22"/>
      <c r="G10" s="22"/>
      <c r="H10" s="12">
        <f t="shared" si="0"/>
        <v>44726</v>
      </c>
    </row>
    <row r="11" spans="2:11" x14ac:dyDescent="0.3">
      <c r="B11" s="6" t="s">
        <v>15</v>
      </c>
      <c r="C11" s="22"/>
      <c r="D11" s="22"/>
      <c r="E11" s="22"/>
      <c r="F11" s="22"/>
      <c r="G11" s="57"/>
      <c r="H11" s="12">
        <f t="shared" si="0"/>
        <v>44726</v>
      </c>
    </row>
    <row r="12" spans="2:11" x14ac:dyDescent="0.3">
      <c r="B12" s="6" t="s">
        <v>54</v>
      </c>
      <c r="C12" s="22"/>
      <c r="D12" s="22"/>
      <c r="E12" s="22"/>
      <c r="F12" s="22"/>
      <c r="G12" s="22"/>
      <c r="H12" s="67">
        <f t="shared" si="0"/>
        <v>44726</v>
      </c>
    </row>
    <row r="13" spans="2:11" x14ac:dyDescent="0.3">
      <c r="B13" s="6" t="s">
        <v>26</v>
      </c>
      <c r="C13" s="22"/>
      <c r="D13" s="22"/>
      <c r="E13" s="22"/>
      <c r="F13" s="22"/>
      <c r="G13" s="22"/>
      <c r="H13" s="12">
        <f t="shared" si="0"/>
        <v>44726</v>
      </c>
    </row>
    <row r="14" spans="2:11" x14ac:dyDescent="0.3">
      <c r="B14" s="6" t="s">
        <v>22</v>
      </c>
      <c r="C14" s="22"/>
      <c r="D14" s="22"/>
      <c r="E14" s="22"/>
      <c r="F14" s="22"/>
      <c r="G14" s="22"/>
      <c r="H14" s="12">
        <f t="shared" si="0"/>
        <v>44726</v>
      </c>
      <c r="K14" s="4"/>
    </row>
    <row r="15" spans="2:11" x14ac:dyDescent="0.3">
      <c r="B15" s="6" t="s">
        <v>61</v>
      </c>
      <c r="C15" s="22"/>
      <c r="D15" s="57"/>
      <c r="E15" s="22"/>
      <c r="F15" s="22"/>
      <c r="G15" s="22"/>
      <c r="H15" s="67">
        <f t="shared" si="0"/>
        <v>44726</v>
      </c>
      <c r="K15" s="4"/>
    </row>
    <row r="16" spans="2:11" x14ac:dyDescent="0.3">
      <c r="B16" s="6" t="s">
        <v>19</v>
      </c>
      <c r="C16" s="22"/>
      <c r="D16" s="23"/>
      <c r="E16" s="23"/>
      <c r="F16" s="22"/>
      <c r="G16" s="23"/>
      <c r="H16" s="12">
        <f t="shared" si="0"/>
        <v>44726</v>
      </c>
    </row>
    <row r="17" spans="2:10" x14ac:dyDescent="0.3">
      <c r="B17" s="6" t="s">
        <v>14</v>
      </c>
      <c r="C17" s="22"/>
      <c r="D17" s="23">
        <v>270000</v>
      </c>
      <c r="E17" s="23"/>
      <c r="F17" s="22"/>
      <c r="G17" s="23"/>
      <c r="H17" s="12">
        <f t="shared" si="0"/>
        <v>44726</v>
      </c>
    </row>
    <row r="18" spans="2:10" x14ac:dyDescent="0.3">
      <c r="B18" s="6" t="s">
        <v>24</v>
      </c>
      <c r="C18" s="22"/>
      <c r="D18" s="22"/>
      <c r="E18" s="22"/>
      <c r="F18" s="49"/>
      <c r="G18" s="22"/>
      <c r="H18" s="12">
        <f t="shared" si="0"/>
        <v>44726</v>
      </c>
      <c r="J18" s="1" t="s">
        <v>66</v>
      </c>
    </row>
    <row r="19" spans="2:10" x14ac:dyDescent="0.3">
      <c r="B19" s="6" t="s">
        <v>21</v>
      </c>
      <c r="C19" s="22"/>
      <c r="D19" s="22"/>
      <c r="E19" s="22"/>
      <c r="F19" s="22"/>
      <c r="G19" s="22"/>
      <c r="H19" s="67">
        <f t="shared" si="0"/>
        <v>44726</v>
      </c>
    </row>
    <row r="20" spans="2:10" x14ac:dyDescent="0.3">
      <c r="B20" s="6" t="s">
        <v>65</v>
      </c>
      <c r="C20" s="22"/>
      <c r="D20" s="22"/>
      <c r="E20" s="22"/>
      <c r="F20" s="22"/>
      <c r="G20" s="22"/>
      <c r="H20" s="12">
        <f t="shared" si="0"/>
        <v>44726</v>
      </c>
    </row>
    <row r="21" spans="2:10" x14ac:dyDescent="0.3">
      <c r="B21" s="6" t="s">
        <v>18</v>
      </c>
      <c r="C21" s="62"/>
      <c r="D21" s="62"/>
      <c r="E21" s="62"/>
      <c r="F21" s="62"/>
      <c r="G21" s="62"/>
      <c r="H21" s="12">
        <f t="shared" si="0"/>
        <v>44726</v>
      </c>
    </row>
    <row r="22" spans="2:10" x14ac:dyDescent="0.3">
      <c r="B22" s="6" t="s">
        <v>16</v>
      </c>
      <c r="C22" s="22"/>
      <c r="D22" s="119"/>
      <c r="E22" s="62"/>
      <c r="F22" s="62"/>
      <c r="G22" s="62"/>
      <c r="H22" s="12">
        <f t="shared" si="0"/>
        <v>44726</v>
      </c>
    </row>
    <row r="23" spans="2:10" x14ac:dyDescent="0.3">
      <c r="B23" s="50" t="s">
        <v>27</v>
      </c>
      <c r="C23" s="51">
        <f>SUM(June14_2022[KSI_AGO])</f>
        <v>1998000</v>
      </c>
      <c r="D23" s="51">
        <f>SUBTOTAL(109,June14_2022[KSI_PMS])</f>
        <v>270000</v>
      </c>
      <c r="E23" s="51">
        <f>SUM(June14_2022[BUIPE_AGO])</f>
        <v>0</v>
      </c>
      <c r="F23" s="51">
        <f>SUM(June14_2022[BUIPE_PMS])</f>
        <v>0</v>
      </c>
      <c r="G23" s="51">
        <f>SUM(June14_2022[AKOSOMBO_AGO])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1A6EFCA6-2937-401F-9183-FA6359612F30}">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A1ECD-576F-4653-BF4B-6C61D04B603B}">
  <dimension ref="B1:K24"/>
  <sheetViews>
    <sheetView zoomScaleNormal="100" workbookViewId="0">
      <pane xSplit="2" ySplit="5" topLeftCell="C6" activePane="bottomRight" state="frozen"/>
      <selection pane="topRight" activeCell="C1" sqref="C1"/>
      <selection pane="bottomLeft" activeCell="A6" sqref="A6"/>
      <selection pane="bottomRight" activeCell="G12" sqref="G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44727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44727</v>
      </c>
    </row>
    <row r="7" spans="2:11" ht="16.5" customHeight="1" x14ac:dyDescent="0.3">
      <c r="B7" s="6" t="s">
        <v>37</v>
      </c>
      <c r="C7" s="62"/>
      <c r="D7" s="62"/>
      <c r="E7" s="62"/>
      <c r="F7" s="62"/>
      <c r="G7" s="62"/>
      <c r="H7" s="67">
        <f t="shared" si="0"/>
        <v>44727</v>
      </c>
    </row>
    <row r="8" spans="2:11" x14ac:dyDescent="0.3">
      <c r="B8" s="6" t="s">
        <v>17</v>
      </c>
      <c r="C8" s="22"/>
      <c r="D8" s="22"/>
      <c r="E8" s="22"/>
      <c r="F8" s="22"/>
      <c r="G8" s="22"/>
      <c r="H8" s="12">
        <f t="shared" si="0"/>
        <v>44727</v>
      </c>
    </row>
    <row r="9" spans="2:11" ht="15.6" x14ac:dyDescent="0.3">
      <c r="B9" s="34" t="s">
        <v>0</v>
      </c>
      <c r="C9" s="60"/>
      <c r="D9" s="60"/>
      <c r="E9" s="60"/>
      <c r="F9" s="60"/>
      <c r="G9" s="61"/>
      <c r="H9" s="12">
        <f t="shared" si="0"/>
        <v>44727</v>
      </c>
    </row>
    <row r="10" spans="2:11" x14ac:dyDescent="0.3">
      <c r="B10" s="6" t="s">
        <v>25</v>
      </c>
      <c r="C10" s="57"/>
      <c r="D10" s="22"/>
      <c r="E10" s="22"/>
      <c r="F10" s="22"/>
      <c r="G10" s="22"/>
      <c r="H10" s="12">
        <f t="shared" si="0"/>
        <v>44727</v>
      </c>
    </row>
    <row r="11" spans="2:11" x14ac:dyDescent="0.3">
      <c r="B11" s="6" t="s">
        <v>15</v>
      </c>
      <c r="C11" s="22"/>
      <c r="D11" s="22"/>
      <c r="E11" s="22"/>
      <c r="F11" s="22"/>
      <c r="G11" s="57"/>
      <c r="H11" s="12">
        <f t="shared" si="0"/>
        <v>44727</v>
      </c>
    </row>
    <row r="12" spans="2:11" x14ac:dyDescent="0.3">
      <c r="B12" s="6" t="s">
        <v>54</v>
      </c>
      <c r="C12" s="22"/>
      <c r="D12" s="22"/>
      <c r="E12" s="22"/>
      <c r="F12" s="22"/>
      <c r="G12" s="22"/>
      <c r="H12" s="67">
        <f t="shared" si="0"/>
        <v>44727</v>
      </c>
    </row>
    <row r="13" spans="2:11" x14ac:dyDescent="0.3">
      <c r="B13" s="6" t="s">
        <v>26</v>
      </c>
      <c r="C13" s="22"/>
      <c r="D13" s="22">
        <v>108000</v>
      </c>
      <c r="E13" s="22"/>
      <c r="F13" s="22">
        <v>108000</v>
      </c>
      <c r="G13" s="22"/>
      <c r="H13" s="12">
        <f t="shared" si="0"/>
        <v>44727</v>
      </c>
    </row>
    <row r="14" spans="2:11" x14ac:dyDescent="0.3">
      <c r="B14" s="6" t="s">
        <v>22</v>
      </c>
      <c r="C14" s="22"/>
      <c r="D14" s="22"/>
      <c r="E14" s="22"/>
      <c r="F14" s="22"/>
      <c r="G14" s="22"/>
      <c r="H14" s="12">
        <f t="shared" si="0"/>
        <v>44727</v>
      </c>
      <c r="K14" s="4"/>
    </row>
    <row r="15" spans="2:11" x14ac:dyDescent="0.3">
      <c r="B15" s="6" t="s">
        <v>61</v>
      </c>
      <c r="C15" s="22"/>
      <c r="D15" s="57"/>
      <c r="E15" s="22"/>
      <c r="F15" s="22"/>
      <c r="G15" s="22"/>
      <c r="H15" s="67">
        <f t="shared" si="0"/>
        <v>44727</v>
      </c>
      <c r="K15" s="4"/>
    </row>
    <row r="16" spans="2:11" x14ac:dyDescent="0.3">
      <c r="B16" s="6" t="s">
        <v>19</v>
      </c>
      <c r="C16" s="22"/>
      <c r="D16" s="23">
        <v>486000</v>
      </c>
      <c r="E16" s="23"/>
      <c r="F16" s="22"/>
      <c r="G16" s="23"/>
      <c r="H16" s="12">
        <f t="shared" si="0"/>
        <v>44727</v>
      </c>
    </row>
    <row r="17" spans="2:10" x14ac:dyDescent="0.3">
      <c r="B17" s="6" t="s">
        <v>14</v>
      </c>
      <c r="C17" s="22"/>
      <c r="D17" s="23">
        <v>486000</v>
      </c>
      <c r="E17" s="23"/>
      <c r="F17" s="22"/>
      <c r="G17" s="23"/>
      <c r="H17" s="12">
        <f t="shared" si="0"/>
        <v>44727</v>
      </c>
    </row>
    <row r="18" spans="2:10" x14ac:dyDescent="0.3">
      <c r="B18" s="6" t="s">
        <v>24</v>
      </c>
      <c r="C18" s="22"/>
      <c r="D18" s="22"/>
      <c r="E18" s="22"/>
      <c r="F18" s="49"/>
      <c r="G18" s="22"/>
      <c r="H18" s="12">
        <f t="shared" si="0"/>
        <v>44727</v>
      </c>
      <c r="J18" s="1" t="s">
        <v>66</v>
      </c>
    </row>
    <row r="19" spans="2:10" x14ac:dyDescent="0.3">
      <c r="B19" s="6" t="s">
        <v>21</v>
      </c>
      <c r="C19" s="22"/>
      <c r="D19" s="22"/>
      <c r="E19" s="22"/>
      <c r="F19" s="22"/>
      <c r="G19" s="22"/>
      <c r="H19" s="67">
        <f t="shared" si="0"/>
        <v>44727</v>
      </c>
    </row>
    <row r="20" spans="2:10" x14ac:dyDescent="0.3">
      <c r="B20" s="6" t="s">
        <v>65</v>
      </c>
      <c r="C20" s="22"/>
      <c r="D20" s="22"/>
      <c r="E20" s="22"/>
      <c r="F20" s="22"/>
      <c r="G20" s="22"/>
      <c r="H20" s="12">
        <f t="shared" si="0"/>
        <v>44727</v>
      </c>
    </row>
    <row r="21" spans="2:10" x14ac:dyDescent="0.3">
      <c r="B21" s="6" t="s">
        <v>18</v>
      </c>
      <c r="C21" s="62"/>
      <c r="D21" s="62"/>
      <c r="E21" s="62"/>
      <c r="F21" s="62"/>
      <c r="G21" s="62"/>
      <c r="H21" s="12">
        <f t="shared" si="0"/>
        <v>44727</v>
      </c>
    </row>
    <row r="22" spans="2:10" x14ac:dyDescent="0.3">
      <c r="B22" s="6" t="s">
        <v>16</v>
      </c>
      <c r="C22" s="22"/>
      <c r="D22" s="119"/>
      <c r="E22" s="62"/>
      <c r="F22" s="62"/>
      <c r="G22" s="62"/>
      <c r="H22" s="12">
        <f t="shared" si="0"/>
        <v>44727</v>
      </c>
    </row>
    <row r="23" spans="2:10" x14ac:dyDescent="0.3">
      <c r="B23" s="50" t="s">
        <v>27</v>
      </c>
      <c r="C23" s="51">
        <f>SUM(June15_2022[KSI_AGO])</f>
        <v>0</v>
      </c>
      <c r="D23" s="51">
        <f>SUBTOTAL(109,June15_2022[KSI_PMS])</f>
        <v>1080000</v>
      </c>
      <c r="E23" s="51">
        <f>SUM(June15_2022[BUIPE_AGO])</f>
        <v>0</v>
      </c>
      <c r="F23" s="51">
        <f>SUM(June15_2022[BUIPE_PMS])</f>
        <v>108000</v>
      </c>
      <c r="G23" s="51">
        <f>SUM(June15_2022[AKOSOMBO_AGO])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36E37D1-0DF6-459D-9B5F-8AE4DB5DEA7E}">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79E1-B02F-4DC5-994D-17F4F2D6F916}">
  <dimension ref="B1:K24"/>
  <sheetViews>
    <sheetView topLeftCell="A2" zoomScaleNormal="100" workbookViewId="0">
      <pane xSplit="1" topLeftCell="B1" activePane="topRight" state="frozen"/>
      <selection activeCell="A3" sqref="A3"/>
      <selection pane="topRight" activeCell="G14" sqref="G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44728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44728</v>
      </c>
    </row>
    <row r="7" spans="2:11" ht="16.5" customHeight="1" x14ac:dyDescent="0.3">
      <c r="B7" s="6" t="s">
        <v>37</v>
      </c>
      <c r="C7" s="62"/>
      <c r="D7" s="62"/>
      <c r="E7" s="62"/>
      <c r="F7" s="62"/>
      <c r="G7" s="62"/>
      <c r="H7" s="67">
        <f t="shared" si="0"/>
        <v>44728</v>
      </c>
    </row>
    <row r="8" spans="2:11" x14ac:dyDescent="0.3">
      <c r="B8" s="6" t="s">
        <v>17</v>
      </c>
      <c r="C8" s="22"/>
      <c r="D8" s="22"/>
      <c r="E8" s="22"/>
      <c r="F8" s="22"/>
      <c r="G8" s="22"/>
      <c r="H8" s="12">
        <f t="shared" si="0"/>
        <v>44728</v>
      </c>
    </row>
    <row r="9" spans="2:11" ht="15.6" x14ac:dyDescent="0.3">
      <c r="B9" s="34" t="s">
        <v>0</v>
      </c>
      <c r="C9" s="60"/>
      <c r="D9" s="60"/>
      <c r="E9" s="60"/>
      <c r="F9" s="60"/>
      <c r="G9" s="61"/>
      <c r="H9" s="12">
        <f t="shared" si="0"/>
        <v>44728</v>
      </c>
    </row>
    <row r="10" spans="2:11" x14ac:dyDescent="0.3">
      <c r="B10" s="6" t="s">
        <v>25</v>
      </c>
      <c r="C10" s="57"/>
      <c r="D10" s="22"/>
      <c r="E10" s="22"/>
      <c r="F10" s="22"/>
      <c r="G10" s="22"/>
      <c r="H10" s="12">
        <f t="shared" si="0"/>
        <v>44728</v>
      </c>
    </row>
    <row r="11" spans="2:11" x14ac:dyDescent="0.3">
      <c r="B11" s="6" t="s">
        <v>15</v>
      </c>
      <c r="C11" s="22"/>
      <c r="D11" s="22"/>
      <c r="E11" s="22"/>
      <c r="F11" s="22"/>
      <c r="G11" s="57"/>
      <c r="H11" s="12">
        <f t="shared" si="0"/>
        <v>44728</v>
      </c>
    </row>
    <row r="12" spans="2:11" x14ac:dyDescent="0.3">
      <c r="B12" s="6" t="s">
        <v>54</v>
      </c>
      <c r="C12" s="22">
        <v>108000</v>
      </c>
      <c r="D12" s="22"/>
      <c r="E12" s="22"/>
      <c r="F12" s="22"/>
      <c r="G12" s="22"/>
      <c r="H12" s="67">
        <f t="shared" si="0"/>
        <v>44728</v>
      </c>
    </row>
    <row r="13" spans="2:11" x14ac:dyDescent="0.3">
      <c r="B13" s="6" t="s">
        <v>26</v>
      </c>
      <c r="C13" s="22"/>
      <c r="D13" s="22">
        <v>751500</v>
      </c>
      <c r="E13" s="22"/>
      <c r="F13" s="22">
        <v>270000</v>
      </c>
      <c r="G13" s="22"/>
      <c r="H13" s="12">
        <f t="shared" si="0"/>
        <v>44728</v>
      </c>
    </row>
    <row r="14" spans="2:11" x14ac:dyDescent="0.3">
      <c r="B14" s="6" t="s">
        <v>22</v>
      </c>
      <c r="C14" s="22"/>
      <c r="D14" s="22"/>
      <c r="E14" s="22"/>
      <c r="F14" s="22"/>
      <c r="G14" s="22"/>
      <c r="H14" s="12">
        <f t="shared" si="0"/>
        <v>44728</v>
      </c>
      <c r="K14" s="4"/>
    </row>
    <row r="15" spans="2:11" x14ac:dyDescent="0.3">
      <c r="B15" s="6" t="s">
        <v>61</v>
      </c>
      <c r="C15" s="22"/>
      <c r="D15" s="57"/>
      <c r="E15" s="22"/>
      <c r="F15" s="22"/>
      <c r="G15" s="22"/>
      <c r="H15" s="67">
        <f t="shared" si="0"/>
        <v>44728</v>
      </c>
      <c r="K15" s="4"/>
    </row>
    <row r="16" spans="2:11" x14ac:dyDescent="0.3">
      <c r="B16" s="6" t="s">
        <v>19</v>
      </c>
      <c r="C16" s="22"/>
      <c r="D16" s="23">
        <v>306000</v>
      </c>
      <c r="E16" s="23"/>
      <c r="F16" s="22"/>
      <c r="G16" s="23"/>
      <c r="H16" s="12">
        <f t="shared" si="0"/>
        <v>44728</v>
      </c>
    </row>
    <row r="17" spans="2:10" x14ac:dyDescent="0.3">
      <c r="B17" s="6" t="s">
        <v>14</v>
      </c>
      <c r="C17" s="22"/>
      <c r="D17" s="23">
        <v>324000</v>
      </c>
      <c r="E17" s="23"/>
      <c r="F17" s="22"/>
      <c r="G17" s="23"/>
      <c r="H17" s="12">
        <f t="shared" si="0"/>
        <v>44728</v>
      </c>
    </row>
    <row r="18" spans="2:10" x14ac:dyDescent="0.3">
      <c r="B18" s="6" t="s">
        <v>24</v>
      </c>
      <c r="C18" s="22"/>
      <c r="D18" s="22"/>
      <c r="E18" s="22"/>
      <c r="F18" s="49"/>
      <c r="G18" s="22"/>
      <c r="H18" s="12">
        <f t="shared" si="0"/>
        <v>44728</v>
      </c>
      <c r="J18" s="1" t="s">
        <v>66</v>
      </c>
    </row>
    <row r="19" spans="2:10" x14ac:dyDescent="0.3">
      <c r="B19" s="6" t="s">
        <v>21</v>
      </c>
      <c r="C19" s="22"/>
      <c r="D19" s="22"/>
      <c r="E19" s="22"/>
      <c r="F19" s="22"/>
      <c r="G19" s="22"/>
      <c r="H19" s="67">
        <f t="shared" si="0"/>
        <v>44728</v>
      </c>
    </row>
    <row r="20" spans="2:10" x14ac:dyDescent="0.3">
      <c r="B20" s="6" t="s">
        <v>65</v>
      </c>
      <c r="C20" s="22"/>
      <c r="D20" s="22"/>
      <c r="E20" s="22"/>
      <c r="F20" s="22"/>
      <c r="G20" s="22"/>
      <c r="H20" s="12">
        <f t="shared" si="0"/>
        <v>44728</v>
      </c>
    </row>
    <row r="21" spans="2:10" x14ac:dyDescent="0.3">
      <c r="B21" s="6" t="s">
        <v>18</v>
      </c>
      <c r="C21" s="62"/>
      <c r="D21" s="62"/>
      <c r="E21" s="62"/>
      <c r="F21" s="62"/>
      <c r="G21" s="62"/>
      <c r="H21" s="12">
        <f t="shared" si="0"/>
        <v>44728</v>
      </c>
    </row>
    <row r="22" spans="2:10" x14ac:dyDescent="0.3">
      <c r="B22" s="6" t="s">
        <v>16</v>
      </c>
      <c r="C22" s="22"/>
      <c r="D22" s="119"/>
      <c r="E22" s="62"/>
      <c r="F22" s="62"/>
      <c r="G22" s="62"/>
      <c r="H22" s="12">
        <f t="shared" si="0"/>
        <v>44728</v>
      </c>
    </row>
    <row r="23" spans="2:10" x14ac:dyDescent="0.3">
      <c r="B23" s="50" t="s">
        <v>27</v>
      </c>
      <c r="C23" s="51">
        <f>SUM(June16_2022[KSI_AGO])</f>
        <v>108000</v>
      </c>
      <c r="D23" s="51">
        <f>SUBTOTAL(109,June16_2022[KSI_PMS])</f>
        <v>1381500</v>
      </c>
      <c r="E23" s="51">
        <f>SUM(June16_2022[BUIPE_AGO])</f>
        <v>0</v>
      </c>
      <c r="F23" s="51">
        <f>SUM(June16_2022[BUIPE_PMS])</f>
        <v>270000</v>
      </c>
      <c r="G23" s="51">
        <f>SUM(June16_2022[AKOSOMBO_AGO])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352B5125-AE0F-4627-A3D0-41FD4994F6AB}">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20661-7D2A-471F-A654-C7A10B6DAAA1}">
  <dimension ref="B1:K24"/>
  <sheetViews>
    <sheetView zoomScaleNormal="100" workbookViewId="0">
      <pane xSplit="2" ySplit="5" topLeftCell="D6" activePane="bottomRight" state="frozen"/>
      <selection pane="topRight" activeCell="C1" sqref="C1"/>
      <selection pane="bottomLeft" activeCell="A6" sqref="A6"/>
      <selection pane="bottomRight" activeCell="D18" sqref="D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44729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44729</v>
      </c>
    </row>
    <row r="7" spans="2:11" ht="16.5" customHeight="1" x14ac:dyDescent="0.3">
      <c r="B7" s="6" t="s">
        <v>37</v>
      </c>
      <c r="C7" s="62"/>
      <c r="D7" s="62"/>
      <c r="E7" s="62"/>
      <c r="F7" s="62"/>
      <c r="G7" s="62"/>
      <c r="H7" s="67">
        <f t="shared" si="0"/>
        <v>44729</v>
      </c>
    </row>
    <row r="8" spans="2:11" x14ac:dyDescent="0.3">
      <c r="B8" s="6" t="s">
        <v>17</v>
      </c>
      <c r="C8" s="22"/>
      <c r="D8" s="22"/>
      <c r="E8" s="22"/>
      <c r="F8" s="22"/>
      <c r="G8" s="22"/>
      <c r="H8" s="12">
        <f t="shared" si="0"/>
        <v>44729</v>
      </c>
    </row>
    <row r="9" spans="2:11" ht="15.6" x14ac:dyDescent="0.3">
      <c r="B9" s="34" t="s">
        <v>0</v>
      </c>
      <c r="C9" s="60"/>
      <c r="D9" s="60"/>
      <c r="E9" s="60"/>
      <c r="F9" s="60"/>
      <c r="G9" s="61"/>
      <c r="H9" s="12">
        <f t="shared" si="0"/>
        <v>44729</v>
      </c>
    </row>
    <row r="10" spans="2:11" x14ac:dyDescent="0.3">
      <c r="B10" s="6" t="s">
        <v>25</v>
      </c>
      <c r="C10" s="57"/>
      <c r="D10" s="22">
        <v>702000</v>
      </c>
      <c r="E10" s="22"/>
      <c r="F10" s="22">
        <v>324000</v>
      </c>
      <c r="G10" s="22"/>
      <c r="H10" s="12">
        <f t="shared" si="0"/>
        <v>44729</v>
      </c>
    </row>
    <row r="11" spans="2:11" x14ac:dyDescent="0.3">
      <c r="B11" s="6" t="s">
        <v>15</v>
      </c>
      <c r="C11" s="22"/>
      <c r="D11" s="22"/>
      <c r="E11" s="22"/>
      <c r="F11" s="22"/>
      <c r="G11" s="57"/>
      <c r="H11" s="12">
        <f t="shared" si="0"/>
        <v>44729</v>
      </c>
    </row>
    <row r="12" spans="2:11" x14ac:dyDescent="0.3">
      <c r="B12" s="6" t="s">
        <v>54</v>
      </c>
      <c r="C12" s="22"/>
      <c r="D12" s="22">
        <v>594000</v>
      </c>
      <c r="E12" s="22"/>
      <c r="F12" s="22"/>
      <c r="G12" s="22"/>
      <c r="H12" s="67">
        <f t="shared" si="0"/>
        <v>44729</v>
      </c>
    </row>
    <row r="13" spans="2:11" x14ac:dyDescent="0.3">
      <c r="B13" s="6" t="s">
        <v>26</v>
      </c>
      <c r="C13" s="22"/>
      <c r="D13" s="22">
        <v>162000</v>
      </c>
      <c r="E13" s="22"/>
      <c r="F13" s="22">
        <v>54000</v>
      </c>
      <c r="G13" s="22"/>
      <c r="H13" s="12">
        <f t="shared" si="0"/>
        <v>44729</v>
      </c>
    </row>
    <row r="14" spans="2:11" x14ac:dyDescent="0.3">
      <c r="B14" s="6" t="s">
        <v>22</v>
      </c>
      <c r="C14" s="22"/>
      <c r="D14" s="22"/>
      <c r="E14" s="22"/>
      <c r="F14" s="22"/>
      <c r="G14" s="22"/>
      <c r="H14" s="12">
        <f t="shared" si="0"/>
        <v>44729</v>
      </c>
      <c r="K14" s="4"/>
    </row>
    <row r="15" spans="2:11" x14ac:dyDescent="0.3">
      <c r="B15" s="6" t="s">
        <v>61</v>
      </c>
      <c r="C15" s="22"/>
      <c r="D15" s="57"/>
      <c r="E15" s="22"/>
      <c r="F15" s="22"/>
      <c r="G15" s="22"/>
      <c r="H15" s="67">
        <f t="shared" si="0"/>
        <v>44729</v>
      </c>
      <c r="K15" s="4"/>
    </row>
    <row r="16" spans="2:11" x14ac:dyDescent="0.3">
      <c r="B16" s="6" t="s">
        <v>19</v>
      </c>
      <c r="C16" s="22"/>
      <c r="D16" s="23"/>
      <c r="E16" s="23"/>
      <c r="F16" s="22"/>
      <c r="G16" s="23"/>
      <c r="H16" s="12">
        <f t="shared" si="0"/>
        <v>44729</v>
      </c>
    </row>
    <row r="17" spans="2:10" x14ac:dyDescent="0.3">
      <c r="B17" s="6" t="s">
        <v>14</v>
      </c>
      <c r="C17" s="22"/>
      <c r="D17" s="23"/>
      <c r="E17" s="23"/>
      <c r="F17" s="22"/>
      <c r="G17" s="23"/>
      <c r="H17" s="12">
        <f t="shared" si="0"/>
        <v>44729</v>
      </c>
    </row>
    <row r="18" spans="2:10" x14ac:dyDescent="0.3">
      <c r="B18" s="6" t="s">
        <v>24</v>
      </c>
      <c r="C18" s="22"/>
      <c r="D18" s="22"/>
      <c r="E18" s="22"/>
      <c r="F18" s="49"/>
      <c r="G18" s="22"/>
      <c r="H18" s="12">
        <f t="shared" si="0"/>
        <v>44729</v>
      </c>
      <c r="J18" s="1" t="s">
        <v>66</v>
      </c>
    </row>
    <row r="19" spans="2:10" x14ac:dyDescent="0.3">
      <c r="B19" s="6" t="s">
        <v>21</v>
      </c>
      <c r="C19" s="22"/>
      <c r="D19" s="22"/>
      <c r="E19" s="22"/>
      <c r="F19" s="22"/>
      <c r="G19" s="22"/>
      <c r="H19" s="67">
        <f t="shared" si="0"/>
        <v>44729</v>
      </c>
    </row>
    <row r="20" spans="2:10" x14ac:dyDescent="0.3">
      <c r="B20" s="6" t="s">
        <v>65</v>
      </c>
      <c r="C20" s="22"/>
      <c r="D20" s="22"/>
      <c r="E20" s="22"/>
      <c r="F20" s="22"/>
      <c r="G20" s="22"/>
      <c r="H20" s="12">
        <f t="shared" si="0"/>
        <v>44729</v>
      </c>
    </row>
    <row r="21" spans="2:10" x14ac:dyDescent="0.3">
      <c r="B21" s="6" t="s">
        <v>18</v>
      </c>
      <c r="C21" s="62"/>
      <c r="D21" s="62"/>
      <c r="E21" s="62"/>
      <c r="F21" s="62"/>
      <c r="G21" s="62"/>
      <c r="H21" s="12">
        <f t="shared" si="0"/>
        <v>44729</v>
      </c>
    </row>
    <row r="22" spans="2:10" x14ac:dyDescent="0.3">
      <c r="B22" s="6" t="s">
        <v>16</v>
      </c>
      <c r="C22" s="22"/>
      <c r="D22" s="119"/>
      <c r="E22" s="62"/>
      <c r="F22" s="62"/>
      <c r="G22" s="62"/>
      <c r="H22" s="12">
        <f t="shared" si="0"/>
        <v>44729</v>
      </c>
    </row>
    <row r="23" spans="2:10" x14ac:dyDescent="0.3">
      <c r="B23" s="50" t="s">
        <v>27</v>
      </c>
      <c r="C23" s="51">
        <f>SUM(June17_2022[KSI_AGO])</f>
        <v>0</v>
      </c>
      <c r="D23" s="51">
        <f>SUBTOTAL(109,June17_2022[KSI_PMS])</f>
        <v>1458000</v>
      </c>
      <c r="E23" s="51">
        <f>SUM(June17_2022[BUIPE_AGO])</f>
        <v>0</v>
      </c>
      <c r="F23" s="51">
        <f>SUM(June17_2022[BUIPE_PMS])</f>
        <v>378000</v>
      </c>
      <c r="G23" s="51">
        <f>SUM(June17_2022[AKOSOMBO_AGO])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BF25CA19-205E-4D87-BDF1-2FF8214B1360}">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5DCD7-B19C-4D47-AC99-BA36218A6187}">
  <dimension ref="B1:K24"/>
  <sheetViews>
    <sheetView zoomScaleNormal="100" workbookViewId="0">
      <pane xSplit="2" ySplit="5" topLeftCell="C6" activePane="bottomRight" state="frozen"/>
      <selection pane="topRight" activeCell="C1" sqref="C1"/>
      <selection pane="bottomLeft" activeCell="A6" sqref="A6"/>
      <selection pane="bottomRight" activeCell="K10" sqref="K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44732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44732</v>
      </c>
    </row>
    <row r="7" spans="2:11" ht="16.5" customHeight="1" x14ac:dyDescent="0.3">
      <c r="B7" s="6" t="s">
        <v>37</v>
      </c>
      <c r="C7" s="62"/>
      <c r="D7" s="62"/>
      <c r="E7" s="62"/>
      <c r="F7" s="62"/>
      <c r="G7" s="62"/>
      <c r="H7" s="67">
        <f t="shared" si="0"/>
        <v>44732</v>
      </c>
    </row>
    <row r="8" spans="2:11" x14ac:dyDescent="0.3">
      <c r="B8" s="6" t="s">
        <v>17</v>
      </c>
      <c r="C8" s="22"/>
      <c r="D8" s="22"/>
      <c r="E8" s="22"/>
      <c r="F8" s="22"/>
      <c r="G8" s="22"/>
      <c r="H8" s="12">
        <f t="shared" si="0"/>
        <v>44732</v>
      </c>
    </row>
    <row r="9" spans="2:11" ht="15.6" x14ac:dyDescent="0.3">
      <c r="B9" s="34" t="s">
        <v>0</v>
      </c>
      <c r="C9" s="60"/>
      <c r="D9" s="60"/>
      <c r="E9" s="60"/>
      <c r="F9" s="60"/>
      <c r="G9" s="61"/>
      <c r="H9" s="12">
        <f t="shared" si="0"/>
        <v>44732</v>
      </c>
    </row>
    <row r="10" spans="2:11" x14ac:dyDescent="0.3">
      <c r="B10" s="6" t="s">
        <v>25</v>
      </c>
      <c r="C10" s="57"/>
      <c r="D10" s="22">
        <v>585500</v>
      </c>
      <c r="E10" s="22"/>
      <c r="F10" s="22">
        <v>162000</v>
      </c>
      <c r="G10" s="22"/>
      <c r="H10" s="12">
        <f t="shared" si="0"/>
        <v>44732</v>
      </c>
    </row>
    <row r="11" spans="2:11" x14ac:dyDescent="0.3">
      <c r="B11" s="6" t="s">
        <v>15</v>
      </c>
      <c r="C11" s="22"/>
      <c r="D11" s="22"/>
      <c r="E11" s="22"/>
      <c r="F11" s="22"/>
      <c r="G11" s="57"/>
      <c r="H11" s="12">
        <f t="shared" si="0"/>
        <v>44732</v>
      </c>
    </row>
    <row r="12" spans="2:11" x14ac:dyDescent="0.3">
      <c r="B12" s="6" t="s">
        <v>54</v>
      </c>
      <c r="C12" s="22"/>
      <c r="D12" s="22">
        <v>639500</v>
      </c>
      <c r="E12" s="22"/>
      <c r="F12" s="22"/>
      <c r="G12" s="22"/>
      <c r="H12" s="67">
        <f t="shared" si="0"/>
        <v>44732</v>
      </c>
    </row>
    <row r="13" spans="2:11" x14ac:dyDescent="0.3">
      <c r="B13" s="6" t="s">
        <v>26</v>
      </c>
      <c r="C13" s="22">
        <v>540000</v>
      </c>
      <c r="D13" s="22">
        <v>162000</v>
      </c>
      <c r="E13" s="22">
        <v>108000</v>
      </c>
      <c r="F13" s="22">
        <v>54000</v>
      </c>
      <c r="G13" s="22"/>
      <c r="H13" s="12">
        <f t="shared" si="0"/>
        <v>44732</v>
      </c>
    </row>
    <row r="14" spans="2:11" x14ac:dyDescent="0.3">
      <c r="B14" s="6" t="s">
        <v>22</v>
      </c>
      <c r="C14" s="22"/>
      <c r="D14" s="22"/>
      <c r="E14" s="22"/>
      <c r="F14" s="22"/>
      <c r="G14" s="22"/>
      <c r="H14" s="12">
        <f t="shared" si="0"/>
        <v>44732</v>
      </c>
      <c r="K14" s="4"/>
    </row>
    <row r="15" spans="2:11" x14ac:dyDescent="0.3">
      <c r="B15" s="6" t="s">
        <v>61</v>
      </c>
      <c r="C15" s="22"/>
      <c r="D15" s="57"/>
      <c r="E15" s="22"/>
      <c r="F15" s="22"/>
      <c r="G15" s="22"/>
      <c r="H15" s="67">
        <f t="shared" si="0"/>
        <v>44732</v>
      </c>
      <c r="K15" s="4"/>
    </row>
    <row r="16" spans="2:11" x14ac:dyDescent="0.3">
      <c r="B16" s="6" t="s">
        <v>19</v>
      </c>
      <c r="C16" s="22"/>
      <c r="D16" s="23">
        <v>270000</v>
      </c>
      <c r="E16" s="23"/>
      <c r="F16" s="22"/>
      <c r="G16" s="23"/>
      <c r="H16" s="12">
        <f t="shared" si="0"/>
        <v>44732</v>
      </c>
    </row>
    <row r="17" spans="2:10" x14ac:dyDescent="0.3">
      <c r="B17" s="6" t="s">
        <v>14</v>
      </c>
      <c r="C17" s="22">
        <v>1134000</v>
      </c>
      <c r="D17" s="23"/>
      <c r="E17" s="23">
        <v>162000</v>
      </c>
      <c r="F17" s="22"/>
      <c r="G17" s="23"/>
      <c r="H17" s="12">
        <f t="shared" si="0"/>
        <v>44732</v>
      </c>
    </row>
    <row r="18" spans="2:10" x14ac:dyDescent="0.3">
      <c r="B18" s="6" t="s">
        <v>24</v>
      </c>
      <c r="C18" s="22"/>
      <c r="D18" s="22"/>
      <c r="E18" s="22"/>
      <c r="F18" s="49"/>
      <c r="G18" s="22"/>
      <c r="H18" s="12">
        <f t="shared" si="0"/>
        <v>44732</v>
      </c>
      <c r="J18" s="1" t="s">
        <v>66</v>
      </c>
    </row>
    <row r="19" spans="2:10" x14ac:dyDescent="0.3">
      <c r="B19" s="6" t="s">
        <v>21</v>
      </c>
      <c r="C19" s="22"/>
      <c r="D19" s="22"/>
      <c r="E19" s="22"/>
      <c r="F19" s="22"/>
      <c r="G19" s="22"/>
      <c r="H19" s="67">
        <f t="shared" si="0"/>
        <v>44732</v>
      </c>
    </row>
    <row r="20" spans="2:10" x14ac:dyDescent="0.3">
      <c r="B20" s="6" t="s">
        <v>65</v>
      </c>
      <c r="C20" s="22"/>
      <c r="D20" s="22"/>
      <c r="E20" s="22"/>
      <c r="F20" s="22"/>
      <c r="G20" s="22"/>
      <c r="H20" s="12">
        <f t="shared" si="0"/>
        <v>44732</v>
      </c>
    </row>
    <row r="21" spans="2:10" x14ac:dyDescent="0.3">
      <c r="B21" s="6" t="s">
        <v>18</v>
      </c>
      <c r="C21" s="62"/>
      <c r="D21" s="62"/>
      <c r="E21" s="62"/>
      <c r="F21" s="62"/>
      <c r="G21" s="62"/>
      <c r="H21" s="12">
        <f t="shared" si="0"/>
        <v>44732</v>
      </c>
    </row>
    <row r="22" spans="2:10" x14ac:dyDescent="0.3">
      <c r="B22" s="6" t="s">
        <v>16</v>
      </c>
      <c r="C22" s="22"/>
      <c r="D22" s="119"/>
      <c r="E22" s="62"/>
      <c r="F22" s="62"/>
      <c r="G22" s="62"/>
      <c r="H22" s="12">
        <f t="shared" si="0"/>
        <v>44732</v>
      </c>
    </row>
    <row r="23" spans="2:10" x14ac:dyDescent="0.3">
      <c r="B23" s="50" t="s">
        <v>27</v>
      </c>
      <c r="C23" s="51">
        <f>SUM(June20_2022[KSI_AGO])</f>
        <v>1674000</v>
      </c>
      <c r="D23" s="51">
        <f>SUBTOTAL(109,June20_2022[KSI_PMS])</f>
        <v>1657000</v>
      </c>
      <c r="E23" s="51">
        <f>SUM(June20_2022[BUIPE_AGO])</f>
        <v>270000</v>
      </c>
      <c r="F23" s="51">
        <f>SUM(June20_2022[BUIPE_PMS])</f>
        <v>216000</v>
      </c>
      <c r="G23" s="51">
        <f>SUM(June20_2022[AKOSOMBO_AGO])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4042C512-5717-42DB-A742-123B2F8DE58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D8622-8BE7-472C-8A2D-5C166C25E17B}">
  <dimension ref="B1:K24"/>
  <sheetViews>
    <sheetView zoomScaleNormal="100" workbookViewId="0">
      <pane xSplit="2" ySplit="5" topLeftCell="E6" activePane="bottomRight" state="frozen"/>
      <selection pane="topRight" activeCell="C1" sqref="C1"/>
      <selection pane="bottomLeft" activeCell="A6" sqref="A6"/>
      <selection pane="bottomRight"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44733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44733</v>
      </c>
    </row>
    <row r="7" spans="2:11" ht="16.5" customHeight="1" x14ac:dyDescent="0.3">
      <c r="B7" s="6" t="s">
        <v>37</v>
      </c>
      <c r="C7" s="62"/>
      <c r="D7" s="62"/>
      <c r="E7" s="62"/>
      <c r="F7" s="62"/>
      <c r="G7" s="62"/>
      <c r="H7" s="67">
        <f t="shared" si="0"/>
        <v>44733</v>
      </c>
    </row>
    <row r="8" spans="2:11" x14ac:dyDescent="0.3">
      <c r="B8" s="6" t="s">
        <v>17</v>
      </c>
      <c r="C8" s="22">
        <v>45000</v>
      </c>
      <c r="D8" s="22"/>
      <c r="E8" s="22"/>
      <c r="F8" s="22"/>
      <c r="G8" s="22"/>
      <c r="H8" s="12">
        <f t="shared" si="0"/>
        <v>44733</v>
      </c>
    </row>
    <row r="9" spans="2:11" ht="15.6" x14ac:dyDescent="0.3">
      <c r="B9" s="34" t="s">
        <v>0</v>
      </c>
      <c r="C9" s="60"/>
      <c r="D9" s="60"/>
      <c r="E9" s="60"/>
      <c r="F9" s="60"/>
      <c r="G9" s="61"/>
      <c r="H9" s="12">
        <f t="shared" si="0"/>
        <v>44733</v>
      </c>
    </row>
    <row r="10" spans="2:11" x14ac:dyDescent="0.3">
      <c r="B10" s="6" t="s">
        <v>25</v>
      </c>
      <c r="C10" s="57"/>
      <c r="D10" s="22">
        <v>518500</v>
      </c>
      <c r="E10" s="22"/>
      <c r="F10" s="22">
        <v>216000</v>
      </c>
      <c r="G10" s="22"/>
      <c r="H10" s="12">
        <f t="shared" si="0"/>
        <v>44733</v>
      </c>
    </row>
    <row r="11" spans="2:11" x14ac:dyDescent="0.3">
      <c r="B11" s="6" t="s">
        <v>15</v>
      </c>
      <c r="C11" s="22"/>
      <c r="D11" s="22"/>
      <c r="E11" s="22"/>
      <c r="F11" s="22"/>
      <c r="G11" s="57"/>
      <c r="H11" s="12">
        <f t="shared" si="0"/>
        <v>44733</v>
      </c>
    </row>
    <row r="12" spans="2:11" x14ac:dyDescent="0.3">
      <c r="B12" s="6" t="s">
        <v>54</v>
      </c>
      <c r="C12" s="22"/>
      <c r="D12" s="22">
        <v>531500</v>
      </c>
      <c r="E12" s="22"/>
      <c r="F12" s="22"/>
      <c r="G12" s="22"/>
      <c r="H12" s="67">
        <f t="shared" si="0"/>
        <v>44733</v>
      </c>
    </row>
    <row r="13" spans="2:11" x14ac:dyDescent="0.3">
      <c r="B13" s="6" t="s">
        <v>26</v>
      </c>
      <c r="C13" s="22">
        <v>203000</v>
      </c>
      <c r="D13" s="22"/>
      <c r="E13" s="22">
        <v>54000</v>
      </c>
      <c r="F13" s="22">
        <v>108000</v>
      </c>
      <c r="G13" s="22"/>
      <c r="H13" s="12">
        <f t="shared" si="0"/>
        <v>44733</v>
      </c>
    </row>
    <row r="14" spans="2:11" x14ac:dyDescent="0.3">
      <c r="B14" s="6" t="s">
        <v>22</v>
      </c>
      <c r="C14" s="22"/>
      <c r="D14" s="22"/>
      <c r="E14" s="22"/>
      <c r="F14" s="22"/>
      <c r="G14" s="22"/>
      <c r="H14" s="12">
        <f t="shared" si="0"/>
        <v>44733</v>
      </c>
      <c r="K14" s="4"/>
    </row>
    <row r="15" spans="2:11" x14ac:dyDescent="0.3">
      <c r="B15" s="6" t="s">
        <v>61</v>
      </c>
      <c r="C15" s="22"/>
      <c r="D15" s="57"/>
      <c r="E15" s="22"/>
      <c r="F15" s="22"/>
      <c r="G15" s="22"/>
      <c r="H15" s="67">
        <f t="shared" si="0"/>
        <v>44733</v>
      </c>
      <c r="K15" s="4"/>
    </row>
    <row r="16" spans="2:11" x14ac:dyDescent="0.3">
      <c r="B16" s="6" t="s">
        <v>19</v>
      </c>
      <c r="C16" s="22">
        <v>261000</v>
      </c>
      <c r="D16" s="23"/>
      <c r="E16" s="23">
        <v>54000</v>
      </c>
      <c r="F16" s="22"/>
      <c r="G16" s="23"/>
      <c r="H16" s="12">
        <f t="shared" si="0"/>
        <v>44733</v>
      </c>
    </row>
    <row r="17" spans="2:10" x14ac:dyDescent="0.3">
      <c r="B17" s="6" t="s">
        <v>14</v>
      </c>
      <c r="C17" s="22">
        <v>891500</v>
      </c>
      <c r="D17" s="23">
        <v>216000</v>
      </c>
      <c r="E17" s="23">
        <v>54000</v>
      </c>
      <c r="F17" s="22"/>
      <c r="G17" s="23"/>
      <c r="H17" s="12">
        <f t="shared" si="0"/>
        <v>44733</v>
      </c>
    </row>
    <row r="18" spans="2:10" x14ac:dyDescent="0.3">
      <c r="B18" s="6" t="s">
        <v>24</v>
      </c>
      <c r="C18" s="22"/>
      <c r="D18" s="22"/>
      <c r="E18" s="22"/>
      <c r="F18" s="49"/>
      <c r="G18" s="22"/>
      <c r="H18" s="12">
        <f t="shared" si="0"/>
        <v>44733</v>
      </c>
      <c r="J18" s="1" t="s">
        <v>66</v>
      </c>
    </row>
    <row r="19" spans="2:10" x14ac:dyDescent="0.3">
      <c r="B19" s="6" t="s">
        <v>21</v>
      </c>
      <c r="C19" s="22"/>
      <c r="D19" s="22"/>
      <c r="E19" s="22"/>
      <c r="F19" s="22"/>
      <c r="G19" s="22"/>
      <c r="H19" s="67">
        <f t="shared" si="0"/>
        <v>44733</v>
      </c>
    </row>
    <row r="20" spans="2:10" x14ac:dyDescent="0.3">
      <c r="B20" s="6" t="s">
        <v>65</v>
      </c>
      <c r="C20" s="22"/>
      <c r="D20" s="22"/>
      <c r="E20" s="22"/>
      <c r="F20" s="22"/>
      <c r="G20" s="22"/>
      <c r="H20" s="12">
        <f t="shared" si="0"/>
        <v>44733</v>
      </c>
    </row>
    <row r="21" spans="2:10" x14ac:dyDescent="0.3">
      <c r="B21" s="6" t="s">
        <v>18</v>
      </c>
      <c r="C21" s="62">
        <v>432000</v>
      </c>
      <c r="D21" s="62"/>
      <c r="E21" s="62">
        <v>54000</v>
      </c>
      <c r="F21" s="62"/>
      <c r="G21" s="62"/>
      <c r="H21" s="12">
        <f t="shared" si="0"/>
        <v>44733</v>
      </c>
    </row>
    <row r="22" spans="2:10" x14ac:dyDescent="0.3">
      <c r="B22" s="6" t="s">
        <v>16</v>
      </c>
      <c r="C22" s="22"/>
      <c r="D22" s="119"/>
      <c r="E22" s="62"/>
      <c r="F22" s="62"/>
      <c r="G22" s="62"/>
      <c r="H22" s="12">
        <f t="shared" si="0"/>
        <v>44733</v>
      </c>
    </row>
    <row r="23" spans="2:10" x14ac:dyDescent="0.3">
      <c r="B23" s="50" t="s">
        <v>27</v>
      </c>
      <c r="C23" s="51">
        <f>SUM(June21_2022[KSI_AGO])</f>
        <v>1832500</v>
      </c>
      <c r="D23" s="51">
        <f>SUBTOTAL(109,June21_2022[KSI_PMS])</f>
        <v>1266000</v>
      </c>
      <c r="E23" s="51">
        <f>SUM(June21_2022[BUIPE_AGO])</f>
        <v>216000</v>
      </c>
      <c r="F23" s="51">
        <f>SUM(June21_2022[BUIPE_PMS])</f>
        <v>324000</v>
      </c>
      <c r="G23" s="51">
        <f>SUM(June21_2022[AKOSOMBO_AGO])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8F3E1B15-17B2-4B30-A2A1-781AB6391C16}">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2CE5B-2CDD-4FB4-8441-8BF7327F6359}">
  <dimension ref="B1:K24"/>
  <sheetViews>
    <sheetView zoomScaleNormal="100" workbookViewId="0">
      <pane xSplit="2" ySplit="5" topLeftCell="C6" activePane="bottomRight" state="frozen"/>
      <selection pane="topRight" activeCell="C1" sqref="C1"/>
      <selection pane="bottomLeft" activeCell="A6" sqref="A6"/>
      <selection pane="bottomRight" activeCell="E12" sqref="E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44734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44734</v>
      </c>
    </row>
    <row r="7" spans="2:11" ht="16.5" customHeight="1" x14ac:dyDescent="0.3">
      <c r="B7" s="6" t="s">
        <v>37</v>
      </c>
      <c r="C7" s="62"/>
      <c r="D7" s="62">
        <v>261000</v>
      </c>
      <c r="E7" s="62"/>
      <c r="F7" s="62"/>
      <c r="G7" s="62"/>
      <c r="H7" s="67">
        <f t="shared" si="0"/>
        <v>44734</v>
      </c>
    </row>
    <row r="8" spans="2:11" x14ac:dyDescent="0.3">
      <c r="B8" s="6" t="s">
        <v>17</v>
      </c>
      <c r="C8" s="22"/>
      <c r="D8" s="22"/>
      <c r="E8" s="22"/>
      <c r="F8" s="22"/>
      <c r="G8" s="22"/>
      <c r="H8" s="12">
        <f t="shared" si="0"/>
        <v>44734</v>
      </c>
    </row>
    <row r="9" spans="2:11" ht="15.6" x14ac:dyDescent="0.3">
      <c r="B9" s="34" t="s">
        <v>0</v>
      </c>
      <c r="C9" s="60"/>
      <c r="D9" s="60"/>
      <c r="E9" s="60"/>
      <c r="F9" s="60"/>
      <c r="G9" s="61"/>
      <c r="H9" s="12">
        <f t="shared" si="0"/>
        <v>44734</v>
      </c>
    </row>
    <row r="10" spans="2:11" x14ac:dyDescent="0.3">
      <c r="B10" s="6" t="s">
        <v>25</v>
      </c>
      <c r="C10" s="57"/>
      <c r="D10" s="22">
        <v>378000</v>
      </c>
      <c r="E10" s="22"/>
      <c r="F10" s="22">
        <v>108000</v>
      </c>
      <c r="G10" s="22"/>
      <c r="H10" s="12">
        <f t="shared" si="0"/>
        <v>44734</v>
      </c>
    </row>
    <row r="11" spans="2:11" x14ac:dyDescent="0.3">
      <c r="B11" s="6" t="s">
        <v>15</v>
      </c>
      <c r="C11" s="22"/>
      <c r="D11" s="22"/>
      <c r="E11" s="22"/>
      <c r="F11" s="22"/>
      <c r="G11" s="57"/>
      <c r="H11" s="12">
        <f t="shared" si="0"/>
        <v>44734</v>
      </c>
    </row>
    <row r="12" spans="2:11" x14ac:dyDescent="0.3">
      <c r="B12" s="6" t="s">
        <v>54</v>
      </c>
      <c r="C12" s="22"/>
      <c r="D12" s="22">
        <v>216000</v>
      </c>
      <c r="E12" s="22"/>
      <c r="F12" s="22"/>
      <c r="G12" s="22"/>
      <c r="H12" s="67">
        <f t="shared" si="0"/>
        <v>44734</v>
      </c>
    </row>
    <row r="13" spans="2:11" x14ac:dyDescent="0.3">
      <c r="B13" s="6" t="s">
        <v>26</v>
      </c>
      <c r="C13" s="22">
        <v>54000</v>
      </c>
      <c r="D13" s="22"/>
      <c r="E13" s="22">
        <v>54000</v>
      </c>
      <c r="F13" s="22"/>
      <c r="G13" s="22"/>
      <c r="H13" s="12">
        <f t="shared" si="0"/>
        <v>44734</v>
      </c>
    </row>
    <row r="14" spans="2:11" x14ac:dyDescent="0.3">
      <c r="B14" s="6" t="s">
        <v>22</v>
      </c>
      <c r="C14" s="22"/>
      <c r="D14" s="22"/>
      <c r="E14" s="22"/>
      <c r="F14" s="22"/>
      <c r="G14" s="22"/>
      <c r="H14" s="12">
        <f t="shared" si="0"/>
        <v>44734</v>
      </c>
      <c r="K14" s="4"/>
    </row>
    <row r="15" spans="2:11" x14ac:dyDescent="0.3">
      <c r="B15" s="6" t="s">
        <v>61</v>
      </c>
      <c r="C15" s="22"/>
      <c r="D15" s="57"/>
      <c r="E15" s="22"/>
      <c r="F15" s="22"/>
      <c r="G15" s="22"/>
      <c r="H15" s="67">
        <f t="shared" si="0"/>
        <v>44734</v>
      </c>
      <c r="K15" s="4"/>
    </row>
    <row r="16" spans="2:11" x14ac:dyDescent="0.3">
      <c r="B16" s="6" t="s">
        <v>19</v>
      </c>
      <c r="C16" s="22">
        <v>315000</v>
      </c>
      <c r="D16" s="23">
        <v>162000</v>
      </c>
      <c r="E16" s="23">
        <v>270000</v>
      </c>
      <c r="F16" s="22"/>
      <c r="G16" s="23"/>
      <c r="H16" s="12">
        <f t="shared" si="0"/>
        <v>44734</v>
      </c>
    </row>
    <row r="17" spans="2:10" x14ac:dyDescent="0.3">
      <c r="B17" s="6" t="s">
        <v>14</v>
      </c>
      <c r="C17" s="22">
        <v>913500</v>
      </c>
      <c r="D17" s="23">
        <v>216000</v>
      </c>
      <c r="E17" s="23">
        <v>594000</v>
      </c>
      <c r="F17" s="22">
        <v>648000</v>
      </c>
      <c r="G17" s="23"/>
      <c r="H17" s="12">
        <f t="shared" si="0"/>
        <v>44734</v>
      </c>
    </row>
    <row r="18" spans="2:10" x14ac:dyDescent="0.3">
      <c r="B18" s="6" t="s">
        <v>24</v>
      </c>
      <c r="C18" s="22"/>
      <c r="D18" s="22"/>
      <c r="E18" s="22"/>
      <c r="F18" s="49"/>
      <c r="G18" s="22"/>
      <c r="H18" s="12">
        <f t="shared" si="0"/>
        <v>44734</v>
      </c>
      <c r="J18" s="1" t="s">
        <v>66</v>
      </c>
    </row>
    <row r="19" spans="2:10" x14ac:dyDescent="0.3">
      <c r="B19" s="6" t="s">
        <v>21</v>
      </c>
      <c r="C19" s="22">
        <v>270000</v>
      </c>
      <c r="D19" s="22"/>
      <c r="E19" s="22">
        <v>162000</v>
      </c>
      <c r="F19" s="22"/>
      <c r="G19" s="22"/>
      <c r="H19" s="67">
        <f t="shared" si="0"/>
        <v>44734</v>
      </c>
    </row>
    <row r="20" spans="2:10" x14ac:dyDescent="0.3">
      <c r="B20" s="6" t="s">
        <v>65</v>
      </c>
      <c r="C20" s="22"/>
      <c r="D20" s="22"/>
      <c r="E20" s="22"/>
      <c r="F20" s="22"/>
      <c r="G20" s="22"/>
      <c r="H20" s="12">
        <f t="shared" si="0"/>
        <v>44734</v>
      </c>
    </row>
    <row r="21" spans="2:10" x14ac:dyDescent="0.3">
      <c r="B21" s="6" t="s">
        <v>18</v>
      </c>
      <c r="C21" s="62"/>
      <c r="D21" s="62"/>
      <c r="E21" s="62">
        <v>54000</v>
      </c>
      <c r="F21" s="62"/>
      <c r="G21" s="62"/>
      <c r="H21" s="12">
        <f t="shared" si="0"/>
        <v>44734</v>
      </c>
    </row>
    <row r="22" spans="2:10" x14ac:dyDescent="0.3">
      <c r="B22" s="6" t="s">
        <v>16</v>
      </c>
      <c r="C22" s="22"/>
      <c r="D22" s="119"/>
      <c r="E22" s="62"/>
      <c r="F22" s="62"/>
      <c r="G22" s="62"/>
      <c r="H22" s="12">
        <f t="shared" si="0"/>
        <v>44734</v>
      </c>
    </row>
    <row r="23" spans="2:10" x14ac:dyDescent="0.3">
      <c r="B23" s="50" t="s">
        <v>27</v>
      </c>
      <c r="C23" s="51">
        <f>SUM(June21_202219[KSI_AGO])</f>
        <v>1552500</v>
      </c>
      <c r="D23" s="51">
        <f>SUBTOTAL(109,June21_202219[KSI_PMS])</f>
        <v>1233000</v>
      </c>
      <c r="E23" s="51">
        <f>SUM(June21_202219[BUIPE_AGO])</f>
        <v>1134000</v>
      </c>
      <c r="F23" s="51">
        <f>SUM(June21_202219[BUIPE_PMS])</f>
        <v>756000</v>
      </c>
      <c r="G23" s="51">
        <f>SUM(June21_202219[AKOSOMBO_AGO])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FFD611D-9A2D-42AD-9B5C-3382AA322428}">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648A3-6CE3-4770-B0C5-9A706DC862C9}">
  <dimension ref="B1:K24"/>
  <sheetViews>
    <sheetView zoomScaleNormal="100" workbookViewId="0">
      <pane xSplit="2" ySplit="5" topLeftCell="D6" activePane="bottomRight" state="frozen"/>
      <selection pane="topRight" activeCell="C1" sqref="C1"/>
      <selection pane="bottomLeft" activeCell="A6" sqref="A6"/>
      <selection pane="bottomRight" activeCell="F12" sqref="F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44735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44735</v>
      </c>
    </row>
    <row r="7" spans="2:11" ht="16.5" customHeight="1" x14ac:dyDescent="0.3">
      <c r="B7" s="6" t="s">
        <v>37</v>
      </c>
      <c r="C7" s="62"/>
      <c r="D7" s="62">
        <v>324000</v>
      </c>
      <c r="E7" s="62"/>
      <c r="F7" s="62"/>
      <c r="G7" s="62"/>
      <c r="H7" s="67">
        <f t="shared" si="0"/>
        <v>44735</v>
      </c>
    </row>
    <row r="8" spans="2:11" x14ac:dyDescent="0.3">
      <c r="B8" s="6" t="s">
        <v>17</v>
      </c>
      <c r="C8" s="22"/>
      <c r="D8" s="22"/>
      <c r="E8" s="22"/>
      <c r="F8" s="22"/>
      <c r="G8" s="22"/>
      <c r="H8" s="12">
        <f t="shared" si="0"/>
        <v>44735</v>
      </c>
    </row>
    <row r="9" spans="2:11" ht="15.6" x14ac:dyDescent="0.3">
      <c r="B9" s="34" t="s">
        <v>0</v>
      </c>
      <c r="C9" s="60"/>
      <c r="D9" s="60"/>
      <c r="E9" s="60"/>
      <c r="F9" s="60"/>
      <c r="G9" s="61"/>
      <c r="H9" s="12">
        <f t="shared" si="0"/>
        <v>44735</v>
      </c>
    </row>
    <row r="10" spans="2:11" x14ac:dyDescent="0.3">
      <c r="B10" s="6" t="s">
        <v>25</v>
      </c>
      <c r="C10" s="57"/>
      <c r="D10" s="22">
        <v>216000</v>
      </c>
      <c r="E10" s="22"/>
      <c r="F10" s="22">
        <v>95000</v>
      </c>
      <c r="G10" s="22"/>
      <c r="H10" s="12">
        <f t="shared" si="0"/>
        <v>44735</v>
      </c>
    </row>
    <row r="11" spans="2:11" x14ac:dyDescent="0.3">
      <c r="B11" s="6" t="s">
        <v>15</v>
      </c>
      <c r="C11" s="22"/>
      <c r="D11" s="22"/>
      <c r="E11" s="22"/>
      <c r="F11" s="22"/>
      <c r="G11" s="57"/>
      <c r="H11" s="12">
        <f t="shared" si="0"/>
        <v>44735</v>
      </c>
    </row>
    <row r="12" spans="2:11" x14ac:dyDescent="0.3">
      <c r="B12" s="6" t="s">
        <v>54</v>
      </c>
      <c r="C12" s="22"/>
      <c r="D12" s="22">
        <v>270000</v>
      </c>
      <c r="E12" s="22"/>
      <c r="F12" s="22"/>
      <c r="G12" s="22"/>
      <c r="H12" s="67">
        <f t="shared" si="0"/>
        <v>44735</v>
      </c>
    </row>
    <row r="13" spans="2:11" x14ac:dyDescent="0.3">
      <c r="B13" s="6" t="s">
        <v>26</v>
      </c>
      <c r="C13" s="22"/>
      <c r="D13" s="22"/>
      <c r="E13" s="22">
        <v>45000</v>
      </c>
      <c r="F13" s="22"/>
      <c r="G13" s="22"/>
      <c r="H13" s="12">
        <f t="shared" si="0"/>
        <v>44735</v>
      </c>
    </row>
    <row r="14" spans="2:11" x14ac:dyDescent="0.3">
      <c r="B14" s="6" t="s">
        <v>22</v>
      </c>
      <c r="C14" s="22"/>
      <c r="D14" s="22"/>
      <c r="E14" s="22"/>
      <c r="F14" s="22"/>
      <c r="G14" s="22"/>
      <c r="H14" s="12">
        <f t="shared" si="0"/>
        <v>44735</v>
      </c>
      <c r="K14" s="4"/>
    </row>
    <row r="15" spans="2:11" x14ac:dyDescent="0.3">
      <c r="B15" s="6" t="s">
        <v>61</v>
      </c>
      <c r="C15" s="22"/>
      <c r="D15" s="57"/>
      <c r="E15" s="22"/>
      <c r="F15" s="22"/>
      <c r="G15" s="22"/>
      <c r="H15" s="67">
        <f t="shared" si="0"/>
        <v>44735</v>
      </c>
      <c r="K15" s="4"/>
    </row>
    <row r="16" spans="2:11" x14ac:dyDescent="0.3">
      <c r="B16" s="6" t="s">
        <v>19</v>
      </c>
      <c r="C16" s="22">
        <v>108000</v>
      </c>
      <c r="D16" s="23"/>
      <c r="E16" s="23"/>
      <c r="F16" s="22"/>
      <c r="G16" s="23"/>
      <c r="H16" s="12">
        <f t="shared" si="0"/>
        <v>44735</v>
      </c>
    </row>
    <row r="17" spans="2:10" x14ac:dyDescent="0.3">
      <c r="B17" s="6" t="s">
        <v>14</v>
      </c>
      <c r="C17" s="22"/>
      <c r="D17" s="23">
        <v>270000</v>
      </c>
      <c r="E17" s="23">
        <v>90000</v>
      </c>
      <c r="F17" s="22"/>
      <c r="G17" s="23"/>
      <c r="H17" s="12">
        <f t="shared" si="0"/>
        <v>44735</v>
      </c>
    </row>
    <row r="18" spans="2:10" x14ac:dyDescent="0.3">
      <c r="B18" s="6" t="s">
        <v>24</v>
      </c>
      <c r="C18" s="22"/>
      <c r="D18" s="22"/>
      <c r="E18" s="22"/>
      <c r="F18" s="49"/>
      <c r="G18" s="22"/>
      <c r="H18" s="12">
        <f t="shared" si="0"/>
        <v>44735</v>
      </c>
      <c r="J18" s="1" t="s">
        <v>66</v>
      </c>
    </row>
    <row r="19" spans="2:10" x14ac:dyDescent="0.3">
      <c r="B19" s="6" t="s">
        <v>21</v>
      </c>
      <c r="C19" s="22">
        <v>589500</v>
      </c>
      <c r="D19" s="22"/>
      <c r="E19" s="22">
        <v>162000</v>
      </c>
      <c r="F19" s="22"/>
      <c r="G19" s="22"/>
      <c r="H19" s="67">
        <f t="shared" si="0"/>
        <v>44735</v>
      </c>
    </row>
    <row r="20" spans="2:10" x14ac:dyDescent="0.3">
      <c r="B20" s="6" t="s">
        <v>65</v>
      </c>
      <c r="C20" s="22"/>
      <c r="D20" s="22"/>
      <c r="E20" s="22"/>
      <c r="F20" s="22"/>
      <c r="G20" s="22"/>
      <c r="H20" s="12">
        <f t="shared" si="0"/>
        <v>44735</v>
      </c>
    </row>
    <row r="21" spans="2:10" x14ac:dyDescent="0.3">
      <c r="B21" s="6" t="s">
        <v>18</v>
      </c>
      <c r="C21" s="62"/>
      <c r="D21" s="62"/>
      <c r="E21" s="62"/>
      <c r="F21" s="62"/>
      <c r="G21" s="62"/>
      <c r="H21" s="12">
        <f t="shared" si="0"/>
        <v>44735</v>
      </c>
    </row>
    <row r="22" spans="2:10" x14ac:dyDescent="0.3">
      <c r="B22" s="6" t="s">
        <v>16</v>
      </c>
      <c r="C22" s="22"/>
      <c r="D22" s="119"/>
      <c r="E22" s="62"/>
      <c r="F22" s="62"/>
      <c r="G22" s="62"/>
      <c r="H22" s="12">
        <f t="shared" si="0"/>
        <v>44735</v>
      </c>
    </row>
    <row r="23" spans="2:10" x14ac:dyDescent="0.3">
      <c r="B23" s="50" t="s">
        <v>27</v>
      </c>
      <c r="C23" s="51">
        <f>SUM(June23­_2022[KSI_AGO])</f>
        <v>697500</v>
      </c>
      <c r="D23" s="51">
        <f>SUBTOTAL(109,June23­_2022[KSI_PMS])</f>
        <v>1080000</v>
      </c>
      <c r="E23" s="51">
        <f>SUM(June23­_2022[BUIPE_AGO])</f>
        <v>297000</v>
      </c>
      <c r="F23" s="51">
        <f>SUM(June23­_2022[BUIPE_PMS])</f>
        <v>95000</v>
      </c>
      <c r="G23" s="51">
        <f>SUM(June23­_2022[AKOSOMBO_AGO])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36D04D1A-835D-4C57-B845-4476010C021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6903B-072D-4536-936C-A3ADFEBFA721}">
  <dimension ref="B1:K24"/>
  <sheetViews>
    <sheetView zoomScaleNormal="100" workbookViewId="0">
      <pane xSplit="2" ySplit="5" topLeftCell="C20" activePane="bottomRight" state="frozen"/>
      <selection pane="topRight" activeCell="C1" sqref="C1"/>
      <selection pane="bottomLeft" activeCell="A6" sqref="A6"/>
      <selection pane="bottomRight" activeCell="E32" sqref="E32:G3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44736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44736</v>
      </c>
    </row>
    <row r="7" spans="2:11" ht="16.5" customHeight="1" x14ac:dyDescent="0.3">
      <c r="B7" s="6" t="s">
        <v>37</v>
      </c>
      <c r="C7" s="62"/>
      <c r="D7" s="62"/>
      <c r="E7" s="62"/>
      <c r="F7" s="62"/>
      <c r="G7" s="62"/>
      <c r="H7" s="67">
        <f t="shared" si="0"/>
        <v>44736</v>
      </c>
    </row>
    <row r="8" spans="2:11" x14ac:dyDescent="0.3">
      <c r="B8" s="6" t="s">
        <v>17</v>
      </c>
      <c r="C8" s="22"/>
      <c r="D8" s="22"/>
      <c r="E8" s="22"/>
      <c r="F8" s="22"/>
      <c r="G8" s="22"/>
      <c r="H8" s="12">
        <f t="shared" si="0"/>
        <v>44736</v>
      </c>
    </row>
    <row r="9" spans="2:11" ht="15.6" x14ac:dyDescent="0.3">
      <c r="B9" s="34" t="s">
        <v>0</v>
      </c>
      <c r="C9" s="60"/>
      <c r="D9" s="60"/>
      <c r="E9" s="60"/>
      <c r="F9" s="60"/>
      <c r="G9" s="61"/>
      <c r="H9" s="12">
        <f t="shared" si="0"/>
        <v>44736</v>
      </c>
    </row>
    <row r="10" spans="2:11" x14ac:dyDescent="0.3">
      <c r="B10" s="6" t="s">
        <v>25</v>
      </c>
      <c r="C10" s="57"/>
      <c r="D10" s="22"/>
      <c r="E10" s="22"/>
      <c r="F10" s="22"/>
      <c r="G10" s="22"/>
      <c r="H10" s="12">
        <f t="shared" si="0"/>
        <v>44736</v>
      </c>
    </row>
    <row r="11" spans="2:11" x14ac:dyDescent="0.3">
      <c r="B11" s="6" t="s">
        <v>15</v>
      </c>
      <c r="C11" s="22"/>
      <c r="D11" s="22"/>
      <c r="E11" s="22"/>
      <c r="F11" s="22"/>
      <c r="G11" s="57"/>
      <c r="H11" s="12">
        <f t="shared" si="0"/>
        <v>44736</v>
      </c>
    </row>
    <row r="12" spans="2:11" x14ac:dyDescent="0.3">
      <c r="B12" s="6" t="s">
        <v>54</v>
      </c>
      <c r="C12" s="22"/>
      <c r="D12" s="22"/>
      <c r="E12" s="22"/>
      <c r="F12" s="22"/>
      <c r="G12" s="22"/>
      <c r="H12" s="67">
        <f t="shared" si="0"/>
        <v>44736</v>
      </c>
    </row>
    <row r="13" spans="2:11" x14ac:dyDescent="0.3">
      <c r="B13" s="6" t="s">
        <v>26</v>
      </c>
      <c r="C13" s="22"/>
      <c r="D13" s="22"/>
      <c r="E13" s="22">
        <v>45000</v>
      </c>
      <c r="F13" s="22"/>
      <c r="G13" s="22"/>
      <c r="H13" s="12">
        <f t="shared" si="0"/>
        <v>44736</v>
      </c>
    </row>
    <row r="14" spans="2:11" x14ac:dyDescent="0.3">
      <c r="B14" s="6" t="s">
        <v>22</v>
      </c>
      <c r="C14" s="22"/>
      <c r="D14" s="22"/>
      <c r="E14" s="22"/>
      <c r="F14" s="22"/>
      <c r="G14" s="22"/>
      <c r="H14" s="12">
        <f t="shared" si="0"/>
        <v>44736</v>
      </c>
      <c r="K14" s="4"/>
    </row>
    <row r="15" spans="2:11" x14ac:dyDescent="0.3">
      <c r="B15" s="6" t="s">
        <v>61</v>
      </c>
      <c r="C15" s="22"/>
      <c r="D15" s="57"/>
      <c r="E15" s="22"/>
      <c r="F15" s="22"/>
      <c r="G15" s="22"/>
      <c r="H15" s="67">
        <f t="shared" si="0"/>
        <v>44736</v>
      </c>
      <c r="K15" s="4"/>
    </row>
    <row r="16" spans="2:11" x14ac:dyDescent="0.3">
      <c r="B16" s="6" t="s">
        <v>19</v>
      </c>
      <c r="C16" s="22"/>
      <c r="D16" s="23"/>
      <c r="E16" s="23"/>
      <c r="F16" s="22"/>
      <c r="G16" s="23"/>
      <c r="H16" s="12">
        <f t="shared" si="0"/>
        <v>44736</v>
      </c>
    </row>
    <row r="17" spans="2:10" x14ac:dyDescent="0.3">
      <c r="B17" s="6" t="s">
        <v>14</v>
      </c>
      <c r="C17" s="22">
        <v>50000</v>
      </c>
      <c r="D17" s="23"/>
      <c r="E17" s="23"/>
      <c r="F17" s="22"/>
      <c r="G17" s="23"/>
      <c r="H17" s="12">
        <f t="shared" si="0"/>
        <v>44736</v>
      </c>
    </row>
    <row r="18" spans="2:10" x14ac:dyDescent="0.3">
      <c r="B18" s="6" t="s">
        <v>24</v>
      </c>
      <c r="C18" s="22"/>
      <c r="D18" s="22"/>
      <c r="E18" s="22"/>
      <c r="F18" s="49"/>
      <c r="G18" s="22"/>
      <c r="H18" s="12">
        <f t="shared" si="0"/>
        <v>44736</v>
      </c>
      <c r="J18" s="1" t="s">
        <v>66</v>
      </c>
    </row>
    <row r="19" spans="2:10" x14ac:dyDescent="0.3">
      <c r="B19" s="6" t="s">
        <v>21</v>
      </c>
      <c r="C19" s="22">
        <v>140000</v>
      </c>
      <c r="D19" s="22"/>
      <c r="E19" s="22"/>
      <c r="F19" s="22"/>
      <c r="G19" s="22"/>
      <c r="H19" s="67">
        <f t="shared" si="0"/>
        <v>44736</v>
      </c>
    </row>
    <row r="20" spans="2:10" x14ac:dyDescent="0.3">
      <c r="B20" s="6" t="s">
        <v>65</v>
      </c>
      <c r="C20" s="22"/>
      <c r="D20" s="22"/>
      <c r="E20" s="22"/>
      <c r="F20" s="22"/>
      <c r="G20" s="22"/>
      <c r="H20" s="12">
        <f t="shared" si="0"/>
        <v>44736</v>
      </c>
    </row>
    <row r="21" spans="2:10" x14ac:dyDescent="0.3">
      <c r="B21" s="6" t="s">
        <v>18</v>
      </c>
      <c r="C21" s="62"/>
      <c r="D21" s="62"/>
      <c r="E21" s="62"/>
      <c r="F21" s="62"/>
      <c r="G21" s="62"/>
      <c r="H21" s="12">
        <f t="shared" si="0"/>
        <v>44736</v>
      </c>
    </row>
    <row r="22" spans="2:10" x14ac:dyDescent="0.3">
      <c r="B22" s="6" t="s">
        <v>16</v>
      </c>
      <c r="C22" s="22"/>
      <c r="D22" s="119"/>
      <c r="E22" s="62"/>
      <c r="F22" s="62"/>
      <c r="G22" s="62"/>
      <c r="H22" s="12">
        <f t="shared" si="0"/>
        <v>44736</v>
      </c>
    </row>
    <row r="23" spans="2:10" x14ac:dyDescent="0.3">
      <c r="B23" s="50" t="s">
        <v>27</v>
      </c>
      <c r="C23" s="51">
        <f>SUM(June24__2022[KSI_AGO])</f>
        <v>190000</v>
      </c>
      <c r="D23" s="51">
        <f>SUBTOTAL(109,June24__2022[KSI_PMS])</f>
        <v>0</v>
      </c>
      <c r="E23" s="51">
        <f>SUM(June24__2022[BUIPE_AGO])</f>
        <v>45000</v>
      </c>
      <c r="F23" s="51">
        <f>SUM(June24__2022[BUIPE_PMS])</f>
        <v>0</v>
      </c>
      <c r="G23" s="51">
        <f>SUM(June24__2022[AKOSOMBO_AGO])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E641B8F9-A337-4D08-B035-640F41C4D811}">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FF4C-46C8-4862-8EA5-D2F74E18741C}">
  <dimension ref="B1:K24"/>
  <sheetViews>
    <sheetView zoomScaleNormal="100" workbookViewId="0">
      <pane xSplit="2" ySplit="5" topLeftCell="F6" activePane="bottomRight" state="frozen"/>
      <selection pane="topRight" activeCell="C1" sqref="C1"/>
      <selection pane="bottomLeft" activeCell="A6" sqref="A6"/>
      <selection pane="bottomRight"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44739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44739</v>
      </c>
    </row>
    <row r="7" spans="2:11" ht="16.5" customHeight="1" x14ac:dyDescent="0.3">
      <c r="B7" s="6" t="s">
        <v>37</v>
      </c>
      <c r="C7" s="62"/>
      <c r="D7" s="62">
        <v>162000</v>
      </c>
      <c r="E7" s="62"/>
      <c r="F7" s="62"/>
      <c r="G7" s="62"/>
      <c r="H7" s="67">
        <f t="shared" si="0"/>
        <v>44739</v>
      </c>
    </row>
    <row r="8" spans="2:11" x14ac:dyDescent="0.3">
      <c r="B8" s="6" t="s">
        <v>17</v>
      </c>
      <c r="C8" s="22"/>
      <c r="D8" s="22"/>
      <c r="E8" s="22"/>
      <c r="F8" s="22"/>
      <c r="G8" s="22"/>
      <c r="H8" s="12">
        <f t="shared" si="0"/>
        <v>44739</v>
      </c>
    </row>
    <row r="9" spans="2:11" ht="15.6" x14ac:dyDescent="0.3">
      <c r="B9" s="34" t="s">
        <v>0</v>
      </c>
      <c r="C9" s="60"/>
      <c r="D9" s="60"/>
      <c r="E9" s="60"/>
      <c r="F9" s="60"/>
      <c r="G9" s="61"/>
      <c r="H9" s="12">
        <f t="shared" si="0"/>
        <v>44739</v>
      </c>
    </row>
    <row r="10" spans="2:11" x14ac:dyDescent="0.3">
      <c r="B10" s="6" t="s">
        <v>25</v>
      </c>
      <c r="C10" s="57"/>
      <c r="D10" s="22">
        <v>162000</v>
      </c>
      <c r="E10" s="22"/>
      <c r="F10" s="22">
        <v>94500</v>
      </c>
      <c r="G10" s="22"/>
      <c r="H10" s="12">
        <f t="shared" si="0"/>
        <v>44739</v>
      </c>
    </row>
    <row r="11" spans="2:11" x14ac:dyDescent="0.3">
      <c r="B11" s="6" t="s">
        <v>15</v>
      </c>
      <c r="C11" s="22"/>
      <c r="D11" s="22"/>
      <c r="E11" s="22"/>
      <c r="F11" s="22"/>
      <c r="G11" s="57"/>
      <c r="H11" s="12">
        <f t="shared" si="0"/>
        <v>44739</v>
      </c>
    </row>
    <row r="12" spans="2:11" x14ac:dyDescent="0.3">
      <c r="B12" s="6" t="s">
        <v>54</v>
      </c>
      <c r="C12" s="22"/>
      <c r="D12" s="22">
        <v>162000</v>
      </c>
      <c r="E12" s="22"/>
      <c r="F12" s="22"/>
      <c r="G12" s="22"/>
      <c r="H12" s="67">
        <f t="shared" si="0"/>
        <v>44739</v>
      </c>
    </row>
    <row r="13" spans="2:11" x14ac:dyDescent="0.3">
      <c r="B13" s="6" t="s">
        <v>26</v>
      </c>
      <c r="C13" s="22"/>
      <c r="D13" s="22"/>
      <c r="E13" s="22">
        <v>45000</v>
      </c>
      <c r="F13" s="22"/>
      <c r="G13" s="22"/>
      <c r="H13" s="12">
        <f t="shared" si="0"/>
        <v>44739</v>
      </c>
    </row>
    <row r="14" spans="2:11" x14ac:dyDescent="0.3">
      <c r="B14" s="6" t="s">
        <v>22</v>
      </c>
      <c r="C14" s="22"/>
      <c r="D14" s="22"/>
      <c r="E14" s="22"/>
      <c r="F14" s="22"/>
      <c r="G14" s="22"/>
      <c r="H14" s="12">
        <f t="shared" si="0"/>
        <v>44739</v>
      </c>
      <c r="K14" s="4"/>
    </row>
    <row r="15" spans="2:11" x14ac:dyDescent="0.3">
      <c r="B15" s="6" t="s">
        <v>61</v>
      </c>
      <c r="C15" s="22"/>
      <c r="D15" s="57"/>
      <c r="E15" s="22"/>
      <c r="F15" s="22"/>
      <c r="G15" s="22"/>
      <c r="H15" s="67">
        <f t="shared" si="0"/>
        <v>44739</v>
      </c>
      <c r="K15" s="4"/>
    </row>
    <row r="16" spans="2:11" x14ac:dyDescent="0.3">
      <c r="B16" s="6" t="s">
        <v>19</v>
      </c>
      <c r="C16" s="22"/>
      <c r="D16" s="23"/>
      <c r="E16" s="23"/>
      <c r="F16" s="22"/>
      <c r="G16" s="23"/>
      <c r="H16" s="12">
        <f t="shared" si="0"/>
        <v>44739</v>
      </c>
    </row>
    <row r="17" spans="2:10" x14ac:dyDescent="0.3">
      <c r="B17" s="6" t="s">
        <v>14</v>
      </c>
      <c r="C17" s="22"/>
      <c r="D17" s="23">
        <v>432000</v>
      </c>
      <c r="E17" s="23"/>
      <c r="F17" s="22"/>
      <c r="G17" s="23"/>
      <c r="H17" s="12">
        <f t="shared" si="0"/>
        <v>44739</v>
      </c>
    </row>
    <row r="18" spans="2:10" x14ac:dyDescent="0.3">
      <c r="B18" s="6" t="s">
        <v>24</v>
      </c>
      <c r="C18" s="22"/>
      <c r="D18" s="22"/>
      <c r="E18" s="22"/>
      <c r="F18" s="49"/>
      <c r="G18" s="22"/>
      <c r="H18" s="12">
        <f t="shared" si="0"/>
        <v>44739</v>
      </c>
      <c r="J18" s="1" t="s">
        <v>66</v>
      </c>
    </row>
    <row r="19" spans="2:10" x14ac:dyDescent="0.3">
      <c r="B19" s="6" t="s">
        <v>21</v>
      </c>
      <c r="C19" s="22"/>
      <c r="D19" s="22"/>
      <c r="E19" s="22"/>
      <c r="F19" s="22"/>
      <c r="G19" s="22"/>
      <c r="H19" s="67">
        <f t="shared" si="0"/>
        <v>44739</v>
      </c>
    </row>
    <row r="20" spans="2:10" x14ac:dyDescent="0.3">
      <c r="B20" s="6" t="s">
        <v>65</v>
      </c>
      <c r="C20" s="22"/>
      <c r="D20" s="22"/>
      <c r="E20" s="22"/>
      <c r="F20" s="22"/>
      <c r="G20" s="22"/>
      <c r="H20" s="12">
        <f t="shared" si="0"/>
        <v>44739</v>
      </c>
    </row>
    <row r="21" spans="2:10" x14ac:dyDescent="0.3">
      <c r="B21" s="6" t="s">
        <v>18</v>
      </c>
      <c r="C21" s="62"/>
      <c r="D21" s="62"/>
      <c r="E21" s="62"/>
      <c r="F21" s="62"/>
      <c r="G21" s="62"/>
      <c r="H21" s="12">
        <f t="shared" si="0"/>
        <v>44739</v>
      </c>
    </row>
    <row r="22" spans="2:10" x14ac:dyDescent="0.3">
      <c r="B22" s="6" t="s">
        <v>16</v>
      </c>
      <c r="C22" s="22"/>
      <c r="D22" s="119"/>
      <c r="E22" s="62"/>
      <c r="F22" s="62"/>
      <c r="G22" s="62"/>
      <c r="H22" s="12">
        <f t="shared" si="0"/>
        <v>44739</v>
      </c>
    </row>
    <row r="23" spans="2:10" x14ac:dyDescent="0.3">
      <c r="B23" s="50" t="s">
        <v>27</v>
      </c>
      <c r="C23" s="51">
        <f>SUM(June24__202222[KSI_AGO])</f>
        <v>0</v>
      </c>
      <c r="D23" s="51">
        <f>SUBTOTAL(109,June24__202222[KSI_PMS])</f>
        <v>918000</v>
      </c>
      <c r="E23" s="51">
        <f>SUM(June24__202222[BUIPE_AGO])</f>
        <v>45000</v>
      </c>
      <c r="F23" s="51">
        <f>SUM(June24__202222[BUIPE_PMS])</f>
        <v>94500</v>
      </c>
      <c r="G23" s="51">
        <f>SUM(June24__202222[AKOSOMBO_AGO])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A06E42D-6C55-4AA5-84FF-5FCB8018F867}">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F6871-DC5E-4772-B447-806FC044A54B}">
  <dimension ref="B1:K24"/>
  <sheetViews>
    <sheetView zoomScaleNormal="100" workbookViewId="0">
      <pane xSplit="2" ySplit="5" topLeftCell="F6" activePane="bottomRight" state="frozen"/>
      <selection pane="topRight" activeCell="C1" sqref="C1"/>
      <selection pane="bottomLeft" activeCell="A6" sqref="A6"/>
      <selection pane="bottomRight"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44740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44740</v>
      </c>
    </row>
    <row r="7" spans="2:11" ht="16.5" customHeight="1" x14ac:dyDescent="0.3">
      <c r="B7" s="6" t="s">
        <v>37</v>
      </c>
      <c r="C7" s="62"/>
      <c r="D7" s="62">
        <v>54000</v>
      </c>
      <c r="E7" s="62"/>
      <c r="F7" s="62"/>
      <c r="G7" s="62"/>
      <c r="H7" s="67">
        <f t="shared" si="0"/>
        <v>44740</v>
      </c>
    </row>
    <row r="8" spans="2:11" x14ac:dyDescent="0.3">
      <c r="B8" s="6" t="s">
        <v>17</v>
      </c>
      <c r="C8" s="22"/>
      <c r="D8" s="22"/>
      <c r="E8" s="22"/>
      <c r="F8" s="22"/>
      <c r="G8" s="22"/>
      <c r="H8" s="12">
        <f t="shared" si="0"/>
        <v>44740</v>
      </c>
    </row>
    <row r="9" spans="2:11" ht="15.6" x14ac:dyDescent="0.3">
      <c r="B9" s="34" t="s">
        <v>0</v>
      </c>
      <c r="C9" s="60"/>
      <c r="D9" s="60"/>
      <c r="E9" s="60"/>
      <c r="F9" s="60"/>
      <c r="G9" s="61"/>
      <c r="H9" s="12">
        <f t="shared" si="0"/>
        <v>44740</v>
      </c>
    </row>
    <row r="10" spans="2:11" x14ac:dyDescent="0.3">
      <c r="B10" s="6" t="s">
        <v>25</v>
      </c>
      <c r="C10" s="57"/>
      <c r="D10" s="22"/>
      <c r="E10" s="22"/>
      <c r="F10" s="22"/>
      <c r="G10" s="22"/>
      <c r="H10" s="12">
        <f t="shared" si="0"/>
        <v>44740</v>
      </c>
    </row>
    <row r="11" spans="2:11" x14ac:dyDescent="0.3">
      <c r="B11" s="6" t="s">
        <v>15</v>
      </c>
      <c r="C11" s="22"/>
      <c r="D11" s="22"/>
      <c r="E11" s="22"/>
      <c r="F11" s="22"/>
      <c r="G11" s="57"/>
      <c r="H11" s="12">
        <f t="shared" si="0"/>
        <v>44740</v>
      </c>
    </row>
    <row r="12" spans="2:11" x14ac:dyDescent="0.3">
      <c r="B12" s="6" t="s">
        <v>54</v>
      </c>
      <c r="C12" s="22"/>
      <c r="D12" s="22"/>
      <c r="E12" s="22"/>
      <c r="F12" s="22"/>
      <c r="G12" s="22"/>
      <c r="H12" s="67">
        <f t="shared" si="0"/>
        <v>44740</v>
      </c>
    </row>
    <row r="13" spans="2:11" x14ac:dyDescent="0.3">
      <c r="B13" s="6" t="s">
        <v>26</v>
      </c>
      <c r="C13" s="22"/>
      <c r="D13" s="22"/>
      <c r="E13" s="22"/>
      <c r="F13" s="22"/>
      <c r="G13" s="22"/>
      <c r="H13" s="12">
        <f t="shared" si="0"/>
        <v>44740</v>
      </c>
    </row>
    <row r="14" spans="2:11" x14ac:dyDescent="0.3">
      <c r="B14" s="6" t="s">
        <v>22</v>
      </c>
      <c r="C14" s="22"/>
      <c r="D14" s="22"/>
      <c r="E14" s="22"/>
      <c r="F14" s="22"/>
      <c r="G14" s="22"/>
      <c r="H14" s="12">
        <f t="shared" si="0"/>
        <v>44740</v>
      </c>
      <c r="K14" s="4"/>
    </row>
    <row r="15" spans="2:11" x14ac:dyDescent="0.3">
      <c r="B15" s="6" t="s">
        <v>61</v>
      </c>
      <c r="C15" s="22"/>
      <c r="D15" s="57"/>
      <c r="E15" s="22"/>
      <c r="F15" s="22"/>
      <c r="G15" s="22"/>
      <c r="H15" s="67">
        <f t="shared" si="0"/>
        <v>44740</v>
      </c>
      <c r="K15" s="4"/>
    </row>
    <row r="16" spans="2:11" x14ac:dyDescent="0.3">
      <c r="B16" s="6" t="s">
        <v>19</v>
      </c>
      <c r="C16" s="22"/>
      <c r="D16" s="23">
        <v>432000</v>
      </c>
      <c r="E16" s="23"/>
      <c r="F16" s="22"/>
      <c r="G16" s="23"/>
      <c r="H16" s="12">
        <f t="shared" si="0"/>
        <v>44740</v>
      </c>
    </row>
    <row r="17" spans="2:10" x14ac:dyDescent="0.3">
      <c r="B17" s="6" t="s">
        <v>14</v>
      </c>
      <c r="C17" s="22">
        <v>540000</v>
      </c>
      <c r="D17" s="23">
        <v>647500</v>
      </c>
      <c r="E17" s="23"/>
      <c r="F17" s="22">
        <v>50000</v>
      </c>
      <c r="G17" s="23"/>
      <c r="H17" s="12">
        <f t="shared" si="0"/>
        <v>44740</v>
      </c>
    </row>
    <row r="18" spans="2:10" x14ac:dyDescent="0.3">
      <c r="B18" s="6" t="s">
        <v>24</v>
      </c>
      <c r="C18" s="22"/>
      <c r="D18" s="22"/>
      <c r="E18" s="22"/>
      <c r="F18" s="49"/>
      <c r="G18" s="22"/>
      <c r="H18" s="12">
        <f t="shared" si="0"/>
        <v>44740</v>
      </c>
      <c r="J18" s="1" t="s">
        <v>66</v>
      </c>
    </row>
    <row r="19" spans="2:10" x14ac:dyDescent="0.3">
      <c r="B19" s="6" t="s">
        <v>21</v>
      </c>
      <c r="C19" s="22"/>
      <c r="D19" s="22"/>
      <c r="E19" s="22"/>
      <c r="F19" s="22"/>
      <c r="G19" s="22"/>
      <c r="H19" s="67">
        <f t="shared" si="0"/>
        <v>44740</v>
      </c>
    </row>
    <row r="20" spans="2:10" x14ac:dyDescent="0.3">
      <c r="B20" s="6" t="s">
        <v>65</v>
      </c>
      <c r="C20" s="22"/>
      <c r="D20" s="22"/>
      <c r="E20" s="22"/>
      <c r="F20" s="22"/>
      <c r="G20" s="22"/>
      <c r="H20" s="12">
        <f t="shared" si="0"/>
        <v>44740</v>
      </c>
    </row>
    <row r="21" spans="2:10" x14ac:dyDescent="0.3">
      <c r="B21" s="6" t="s">
        <v>18</v>
      </c>
      <c r="C21" s="62"/>
      <c r="D21" s="62"/>
      <c r="E21" s="62"/>
      <c r="F21" s="62"/>
      <c r="G21" s="62"/>
      <c r="H21" s="12">
        <f t="shared" si="0"/>
        <v>44740</v>
      </c>
    </row>
    <row r="22" spans="2:10" x14ac:dyDescent="0.3">
      <c r="B22" s="6" t="s">
        <v>16</v>
      </c>
      <c r="C22" s="22"/>
      <c r="D22" s="119"/>
      <c r="E22" s="62"/>
      <c r="F22" s="62"/>
      <c r="G22" s="62"/>
      <c r="H22" s="12">
        <f t="shared" si="0"/>
        <v>44740</v>
      </c>
    </row>
    <row r="23" spans="2:10" x14ac:dyDescent="0.3">
      <c r="B23" s="50" t="s">
        <v>27</v>
      </c>
      <c r="C23" s="51">
        <f>SUM(June28__2022[KSI_AGO])</f>
        <v>540000</v>
      </c>
      <c r="D23" s="51">
        <f>SUBTOTAL(109,June28__2022[KSI_PMS])</f>
        <v>1133500</v>
      </c>
      <c r="E23" s="51">
        <f>SUM(June28__2022[BUIPE_AGO])</f>
        <v>0</v>
      </c>
      <c r="F23" s="51">
        <f>SUM(June28__2022[BUIPE_PMS])</f>
        <v>50000</v>
      </c>
      <c r="G23" s="51">
        <f>SUM(June28__2022[AKOSOMBO_AGO])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D890303-9A54-479E-AA9C-053BC9B3C4F3}">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7FE6-1DD0-42D3-97AA-6DF872C4FD53}">
  <dimension ref="B1:K24"/>
  <sheetViews>
    <sheetView zoomScaleNormal="100" workbookViewId="0">
      <pane xSplit="2" ySplit="5" topLeftCell="F6" activePane="bottomRight" state="frozen"/>
      <selection pane="topRight" activeCell="C1" sqref="C1"/>
      <selection pane="bottomLeft" activeCell="A6" sqref="A6"/>
      <selection pane="bottomRight" activeCell="G18" sqref="G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44741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44741</v>
      </c>
    </row>
    <row r="7" spans="2:11" ht="16.5" customHeight="1" x14ac:dyDescent="0.3">
      <c r="B7" s="6" t="s">
        <v>37</v>
      </c>
      <c r="C7" s="62"/>
      <c r="D7" s="62">
        <v>108000</v>
      </c>
      <c r="E7" s="62"/>
      <c r="F7" s="62"/>
      <c r="G7" s="62"/>
      <c r="H7" s="67">
        <f t="shared" si="0"/>
        <v>44741</v>
      </c>
    </row>
    <row r="8" spans="2:11" x14ac:dyDescent="0.3">
      <c r="B8" s="6" t="s">
        <v>17</v>
      </c>
      <c r="C8" s="22"/>
      <c r="D8" s="22"/>
      <c r="E8" s="22"/>
      <c r="F8" s="22"/>
      <c r="G8" s="22"/>
      <c r="H8" s="12">
        <f t="shared" si="0"/>
        <v>44741</v>
      </c>
    </row>
    <row r="9" spans="2:11" ht="15.6" x14ac:dyDescent="0.3">
      <c r="B9" s="34" t="s">
        <v>0</v>
      </c>
      <c r="C9" s="60"/>
      <c r="D9" s="60"/>
      <c r="E9" s="60"/>
      <c r="F9" s="60"/>
      <c r="G9" s="61"/>
      <c r="H9" s="12">
        <f t="shared" si="0"/>
        <v>44741</v>
      </c>
    </row>
    <row r="10" spans="2:11" x14ac:dyDescent="0.3">
      <c r="B10" s="6" t="s">
        <v>25</v>
      </c>
      <c r="C10" s="57"/>
      <c r="D10" s="22">
        <v>324000</v>
      </c>
      <c r="E10" s="22"/>
      <c r="F10" s="22"/>
      <c r="G10" s="22"/>
      <c r="H10" s="12">
        <f t="shared" si="0"/>
        <v>44741</v>
      </c>
    </row>
    <row r="11" spans="2:11" x14ac:dyDescent="0.3">
      <c r="B11" s="6" t="s">
        <v>15</v>
      </c>
      <c r="C11" s="22">
        <v>864000</v>
      </c>
      <c r="D11" s="22"/>
      <c r="E11" s="22">
        <v>216000</v>
      </c>
      <c r="F11" s="22"/>
      <c r="G11" s="57"/>
      <c r="H11" s="12">
        <f t="shared" si="0"/>
        <v>44741</v>
      </c>
    </row>
    <row r="12" spans="2:11" x14ac:dyDescent="0.3">
      <c r="B12" s="6" t="s">
        <v>54</v>
      </c>
      <c r="C12" s="22">
        <v>378000</v>
      </c>
      <c r="D12" s="22"/>
      <c r="E12" s="22"/>
      <c r="F12" s="22">
        <v>162000</v>
      </c>
      <c r="G12" s="22"/>
      <c r="H12" s="67">
        <f t="shared" si="0"/>
        <v>44741</v>
      </c>
    </row>
    <row r="13" spans="2:11" x14ac:dyDescent="0.3">
      <c r="B13" s="6" t="s">
        <v>26</v>
      </c>
      <c r="C13" s="22"/>
      <c r="D13" s="22"/>
      <c r="E13" s="22"/>
      <c r="F13" s="22"/>
      <c r="G13" s="22"/>
      <c r="H13" s="12">
        <f t="shared" si="0"/>
        <v>44741</v>
      </c>
    </row>
    <row r="14" spans="2:11" x14ac:dyDescent="0.3">
      <c r="B14" s="6" t="s">
        <v>22</v>
      </c>
      <c r="C14" s="22"/>
      <c r="D14" s="22"/>
      <c r="E14" s="22"/>
      <c r="F14" s="22"/>
      <c r="G14" s="22"/>
      <c r="H14" s="12">
        <f t="shared" si="0"/>
        <v>44741</v>
      </c>
      <c r="K14" s="4"/>
    </row>
    <row r="15" spans="2:11" x14ac:dyDescent="0.3">
      <c r="B15" s="6" t="s">
        <v>61</v>
      </c>
      <c r="C15" s="22"/>
      <c r="D15" s="57"/>
      <c r="E15" s="22"/>
      <c r="F15" s="22"/>
      <c r="G15" s="22"/>
      <c r="H15" s="67">
        <f t="shared" si="0"/>
        <v>44741</v>
      </c>
      <c r="K15" s="4"/>
    </row>
    <row r="16" spans="2:11" x14ac:dyDescent="0.3">
      <c r="B16" s="6" t="s">
        <v>19</v>
      </c>
      <c r="C16" s="22">
        <v>693500</v>
      </c>
      <c r="D16" s="23"/>
      <c r="E16" s="23">
        <v>216000</v>
      </c>
      <c r="F16" s="22"/>
      <c r="G16" s="23"/>
      <c r="H16" s="12">
        <f t="shared" si="0"/>
        <v>44741</v>
      </c>
    </row>
    <row r="17" spans="2:10" x14ac:dyDescent="0.3">
      <c r="B17" s="6" t="s">
        <v>14</v>
      </c>
      <c r="C17" s="22">
        <v>536000</v>
      </c>
      <c r="D17" s="23">
        <v>797000</v>
      </c>
      <c r="E17" s="23">
        <v>162000</v>
      </c>
      <c r="F17" s="22">
        <v>270000</v>
      </c>
      <c r="G17" s="23"/>
      <c r="H17" s="12">
        <f t="shared" si="0"/>
        <v>44741</v>
      </c>
    </row>
    <row r="18" spans="2:10" x14ac:dyDescent="0.3">
      <c r="B18" s="6" t="s">
        <v>24</v>
      </c>
      <c r="C18" s="22"/>
      <c r="D18" s="22"/>
      <c r="E18" s="22"/>
      <c r="F18" s="49"/>
      <c r="G18" s="22"/>
      <c r="H18" s="12">
        <f t="shared" si="0"/>
        <v>44741</v>
      </c>
      <c r="J18" s="1" t="s">
        <v>66</v>
      </c>
    </row>
    <row r="19" spans="2:10" x14ac:dyDescent="0.3">
      <c r="B19" s="6" t="s">
        <v>21</v>
      </c>
      <c r="C19" s="22"/>
      <c r="D19" s="22"/>
      <c r="E19" s="22"/>
      <c r="F19" s="22"/>
      <c r="G19" s="22"/>
      <c r="H19" s="67">
        <f t="shared" si="0"/>
        <v>44741</v>
      </c>
    </row>
    <row r="20" spans="2:10" x14ac:dyDescent="0.3">
      <c r="B20" s="6" t="s">
        <v>65</v>
      </c>
      <c r="C20" s="22"/>
      <c r="D20" s="22"/>
      <c r="E20" s="22"/>
      <c r="F20" s="22"/>
      <c r="G20" s="22"/>
      <c r="H20" s="12">
        <f t="shared" si="0"/>
        <v>44741</v>
      </c>
    </row>
    <row r="21" spans="2:10" x14ac:dyDescent="0.3">
      <c r="B21" s="6" t="s">
        <v>18</v>
      </c>
      <c r="C21" s="62"/>
      <c r="D21" s="62"/>
      <c r="E21" s="62"/>
      <c r="F21" s="62"/>
      <c r="G21" s="62"/>
      <c r="H21" s="12">
        <f t="shared" si="0"/>
        <v>44741</v>
      </c>
    </row>
    <row r="22" spans="2:10" x14ac:dyDescent="0.3">
      <c r="B22" s="6" t="s">
        <v>16</v>
      </c>
      <c r="C22" s="22"/>
      <c r="D22" s="119"/>
      <c r="E22" s="62"/>
      <c r="F22" s="62"/>
      <c r="G22" s="62"/>
      <c r="H22" s="12">
        <f t="shared" si="0"/>
        <v>44741</v>
      </c>
    </row>
    <row r="23" spans="2:10" x14ac:dyDescent="0.3">
      <c r="B23" s="50" t="s">
        <v>27</v>
      </c>
      <c r="C23" s="51">
        <f>SUM(June29__2022[KSI_AGO])</f>
        <v>2471500</v>
      </c>
      <c r="D23" s="51">
        <f>SUBTOTAL(109,June29__2022[KSI_PMS])</f>
        <v>1229000</v>
      </c>
      <c r="E23" s="51">
        <f>SUM(June29__2022[BUIPE_AGO])</f>
        <v>594000</v>
      </c>
      <c r="F23" s="51">
        <f>SUM(June29__2022[BUIPE_PMS])</f>
        <v>432000</v>
      </c>
      <c r="G23" s="51">
        <f>SUM(June29__2022[AKOSOMBO_AGO])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C12482E-2F30-4448-BAB6-EF63709C4F95}">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AFAE1-8B02-42FA-AC6D-881B25FCA72A}">
  <dimension ref="B1:K24"/>
  <sheetViews>
    <sheetView zoomScaleNormal="100" workbookViewId="0">
      <pane xSplit="2" ySplit="5" topLeftCell="C6" activePane="bottomRight" state="frozen"/>
      <selection pane="topRight" activeCell="C1" sqref="C1"/>
      <selection pane="bottomLeft" activeCell="A6" sqref="A6"/>
      <selection pane="bottomRight" activeCell="E20" sqref="E2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44742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44742</v>
      </c>
    </row>
    <row r="7" spans="2:11" ht="16.5" customHeight="1" x14ac:dyDescent="0.3">
      <c r="B7" s="6" t="s">
        <v>37</v>
      </c>
      <c r="C7" s="62">
        <v>262000</v>
      </c>
      <c r="D7" s="62">
        <v>45000</v>
      </c>
      <c r="E7" s="62">
        <v>216000</v>
      </c>
      <c r="F7" s="62"/>
      <c r="G7" s="62"/>
      <c r="H7" s="67">
        <f t="shared" si="0"/>
        <v>44742</v>
      </c>
    </row>
    <row r="8" spans="2:11" x14ac:dyDescent="0.3">
      <c r="B8" s="6" t="s">
        <v>17</v>
      </c>
      <c r="C8" s="22"/>
      <c r="D8" s="22"/>
      <c r="E8" s="22"/>
      <c r="F8" s="22"/>
      <c r="G8" s="22"/>
      <c r="H8" s="12">
        <f t="shared" si="0"/>
        <v>44742</v>
      </c>
    </row>
    <row r="9" spans="2:11" ht="15.6" x14ac:dyDescent="0.3">
      <c r="B9" s="34" t="s">
        <v>0</v>
      </c>
      <c r="C9" s="60"/>
      <c r="D9" s="60"/>
      <c r="E9" s="60"/>
      <c r="F9" s="60"/>
      <c r="G9" s="61"/>
      <c r="H9" s="12">
        <f t="shared" si="0"/>
        <v>44742</v>
      </c>
    </row>
    <row r="10" spans="2:11" x14ac:dyDescent="0.3">
      <c r="B10" s="6" t="s">
        <v>25</v>
      </c>
      <c r="C10" s="57"/>
      <c r="D10" s="22">
        <v>108000</v>
      </c>
      <c r="E10" s="22"/>
      <c r="F10" s="22"/>
      <c r="G10" s="22"/>
      <c r="H10" s="12">
        <f t="shared" si="0"/>
        <v>44742</v>
      </c>
    </row>
    <row r="11" spans="2:11" x14ac:dyDescent="0.3">
      <c r="B11" s="6" t="s">
        <v>15</v>
      </c>
      <c r="C11" s="22">
        <v>216000</v>
      </c>
      <c r="D11" s="22"/>
      <c r="E11" s="22"/>
      <c r="F11" s="22"/>
      <c r="G11" s="57"/>
      <c r="H11" s="12">
        <f t="shared" si="0"/>
        <v>44742</v>
      </c>
    </row>
    <row r="12" spans="2:11" x14ac:dyDescent="0.3">
      <c r="B12" s="6" t="s">
        <v>54</v>
      </c>
      <c r="C12" s="22">
        <v>540000</v>
      </c>
      <c r="D12" s="22"/>
      <c r="E12" s="22"/>
      <c r="F12" s="22"/>
      <c r="G12" s="22"/>
      <c r="H12" s="67">
        <f t="shared" si="0"/>
        <v>44742</v>
      </c>
    </row>
    <row r="13" spans="2:11" x14ac:dyDescent="0.3">
      <c r="B13" s="6" t="s">
        <v>26</v>
      </c>
      <c r="C13" s="22"/>
      <c r="D13" s="22"/>
      <c r="E13" s="22"/>
      <c r="F13" s="22"/>
      <c r="G13" s="22"/>
      <c r="H13" s="12">
        <f t="shared" si="0"/>
        <v>44742</v>
      </c>
    </row>
    <row r="14" spans="2:11" x14ac:dyDescent="0.3">
      <c r="B14" s="6" t="s">
        <v>22</v>
      </c>
      <c r="C14" s="22"/>
      <c r="D14" s="22"/>
      <c r="E14" s="22"/>
      <c r="F14" s="22"/>
      <c r="G14" s="22"/>
      <c r="H14" s="12">
        <f t="shared" si="0"/>
        <v>44742</v>
      </c>
      <c r="K14" s="4"/>
    </row>
    <row r="15" spans="2:11" x14ac:dyDescent="0.3">
      <c r="B15" s="6" t="s">
        <v>61</v>
      </c>
      <c r="C15" s="22"/>
      <c r="D15" s="57"/>
      <c r="E15" s="22"/>
      <c r="F15" s="22"/>
      <c r="G15" s="22"/>
      <c r="H15" s="67">
        <f t="shared" si="0"/>
        <v>44742</v>
      </c>
      <c r="K15" s="4"/>
    </row>
    <row r="16" spans="2:11" x14ac:dyDescent="0.3">
      <c r="B16" s="6" t="s">
        <v>19</v>
      </c>
      <c r="C16" s="22">
        <v>486000</v>
      </c>
      <c r="D16" s="23"/>
      <c r="E16" s="23">
        <v>216000</v>
      </c>
      <c r="F16" s="22"/>
      <c r="G16" s="23"/>
      <c r="H16" s="12">
        <f t="shared" si="0"/>
        <v>44742</v>
      </c>
    </row>
    <row r="17" spans="2:10" x14ac:dyDescent="0.3">
      <c r="B17" s="6" t="s">
        <v>14</v>
      </c>
      <c r="C17" s="22">
        <v>377500</v>
      </c>
      <c r="D17" s="23">
        <v>1283500</v>
      </c>
      <c r="E17" s="23">
        <v>216000</v>
      </c>
      <c r="F17" s="22"/>
      <c r="G17" s="23"/>
      <c r="H17" s="12">
        <f t="shared" si="0"/>
        <v>44742</v>
      </c>
    </row>
    <row r="18" spans="2:10" x14ac:dyDescent="0.3">
      <c r="B18" s="6" t="s">
        <v>24</v>
      </c>
      <c r="C18" s="22"/>
      <c r="D18" s="22"/>
      <c r="E18" s="22"/>
      <c r="F18" s="49"/>
      <c r="G18" s="22"/>
      <c r="H18" s="12">
        <f t="shared" si="0"/>
        <v>44742</v>
      </c>
      <c r="J18" s="1" t="s">
        <v>66</v>
      </c>
    </row>
    <row r="19" spans="2:10" x14ac:dyDescent="0.3">
      <c r="B19" s="6" t="s">
        <v>21</v>
      </c>
      <c r="C19" s="22"/>
      <c r="D19" s="22"/>
      <c r="E19" s="22"/>
      <c r="F19" s="22"/>
      <c r="G19" s="22"/>
      <c r="H19" s="67">
        <f t="shared" si="0"/>
        <v>44742</v>
      </c>
    </row>
    <row r="20" spans="2:10" x14ac:dyDescent="0.3">
      <c r="B20" s="6" t="s">
        <v>65</v>
      </c>
      <c r="C20" s="22"/>
      <c r="D20" s="22"/>
      <c r="E20" s="22"/>
      <c r="F20" s="22"/>
      <c r="G20" s="22"/>
      <c r="H20" s="12">
        <f t="shared" si="0"/>
        <v>44742</v>
      </c>
    </row>
    <row r="21" spans="2:10" x14ac:dyDescent="0.3">
      <c r="B21" s="6" t="s">
        <v>18</v>
      </c>
      <c r="C21" s="62"/>
      <c r="D21" s="62"/>
      <c r="E21" s="62"/>
      <c r="F21" s="62"/>
      <c r="G21" s="62"/>
      <c r="H21" s="12">
        <f t="shared" si="0"/>
        <v>44742</v>
      </c>
    </row>
    <row r="22" spans="2:10" x14ac:dyDescent="0.3">
      <c r="B22" s="6" t="s">
        <v>16</v>
      </c>
      <c r="C22" s="22"/>
      <c r="D22" s="119"/>
      <c r="E22" s="62"/>
      <c r="F22" s="62"/>
      <c r="G22" s="62"/>
      <c r="H22" s="12">
        <f t="shared" si="0"/>
        <v>44742</v>
      </c>
    </row>
    <row r="23" spans="2:10" x14ac:dyDescent="0.3">
      <c r="B23" s="50" t="s">
        <v>27</v>
      </c>
      <c r="C23" s="51">
        <f>SUM(June30__2022[KSI_AGO])</f>
        <v>1881500</v>
      </c>
      <c r="D23" s="51">
        <f>SUBTOTAL(109,June30__2022[KSI_PMS])</f>
        <v>1436500</v>
      </c>
      <c r="E23" s="51">
        <f>SUM(June30__2022[BUIPE_AGO])</f>
        <v>648000</v>
      </c>
      <c r="F23" s="51">
        <f>SUM(June30__2022[BUIPE_PMS])</f>
        <v>0</v>
      </c>
      <c r="G23" s="51">
        <f>SUM(June30__2022[AKOSOMBO_AGO])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9ED39645-F77E-41B2-A0C4-4FF861C41624}">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9D3CF-3FD8-49FA-BAE1-6D2E7903C749}">
  <dimension ref="B1:K24"/>
  <sheetViews>
    <sheetView zoomScaleNormal="100" workbookViewId="0">
      <pane xSplit="2" ySplit="5" topLeftCell="C6" activePane="bottomRight" state="frozen"/>
      <selection pane="topRight" activeCell="C1" sqref="C1"/>
      <selection pane="bottomLeft" activeCell="A6" sqref="A6"/>
      <selection pane="bottomRight" activeCell="I12" sqref="I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44746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44746</v>
      </c>
    </row>
    <row r="7" spans="2:11" ht="16.5" customHeight="1" x14ac:dyDescent="0.3">
      <c r="B7" s="6" t="s">
        <v>37</v>
      </c>
      <c r="C7" s="62">
        <v>216000</v>
      </c>
      <c r="D7" s="62">
        <v>45000</v>
      </c>
      <c r="E7" s="62">
        <v>54000</v>
      </c>
      <c r="F7" s="62"/>
      <c r="G7" s="62"/>
      <c r="H7" s="67">
        <f t="shared" si="0"/>
        <v>44746</v>
      </c>
    </row>
    <row r="8" spans="2:11" x14ac:dyDescent="0.3">
      <c r="B8" s="6" t="s">
        <v>17</v>
      </c>
      <c r="C8" s="22"/>
      <c r="D8" s="22"/>
      <c r="E8" s="22"/>
      <c r="F8" s="22"/>
      <c r="G8" s="22"/>
      <c r="H8" s="12">
        <f t="shared" si="0"/>
        <v>44746</v>
      </c>
    </row>
    <row r="9" spans="2:11" ht="15.6" x14ac:dyDescent="0.3">
      <c r="B9" s="34" t="s">
        <v>0</v>
      </c>
      <c r="C9" s="60">
        <v>648000</v>
      </c>
      <c r="D9" s="60"/>
      <c r="E9" s="60">
        <v>54000</v>
      </c>
      <c r="F9" s="60"/>
      <c r="G9" s="61"/>
      <c r="H9" s="12">
        <f t="shared" si="0"/>
        <v>44746</v>
      </c>
    </row>
    <row r="10" spans="2:11" x14ac:dyDescent="0.3">
      <c r="B10" s="6" t="s">
        <v>25</v>
      </c>
      <c r="C10" s="57"/>
      <c r="D10" s="22"/>
      <c r="E10" s="22"/>
      <c r="F10" s="22"/>
      <c r="G10" s="22"/>
      <c r="H10" s="12">
        <f t="shared" si="0"/>
        <v>44746</v>
      </c>
    </row>
    <row r="11" spans="2:11" x14ac:dyDescent="0.3">
      <c r="B11" s="6" t="s">
        <v>15</v>
      </c>
      <c r="C11" s="22">
        <v>162000</v>
      </c>
      <c r="D11" s="22"/>
      <c r="E11" s="22"/>
      <c r="F11" s="22"/>
      <c r="G11" s="57"/>
      <c r="H11" s="12">
        <f t="shared" si="0"/>
        <v>44746</v>
      </c>
    </row>
    <row r="12" spans="2:11" x14ac:dyDescent="0.3">
      <c r="B12" s="6" t="s">
        <v>54</v>
      </c>
      <c r="C12" s="22">
        <v>266000</v>
      </c>
      <c r="D12" s="22"/>
      <c r="E12" s="22">
        <v>108000</v>
      </c>
      <c r="F12" s="22"/>
      <c r="G12" s="22"/>
      <c r="H12" s="67">
        <f t="shared" si="0"/>
        <v>44746</v>
      </c>
    </row>
    <row r="13" spans="2:11" x14ac:dyDescent="0.3">
      <c r="B13" s="6" t="s">
        <v>26</v>
      </c>
      <c r="C13" s="22"/>
      <c r="D13" s="22"/>
      <c r="E13" s="22"/>
      <c r="F13" s="22"/>
      <c r="G13" s="22"/>
      <c r="H13" s="12">
        <f t="shared" si="0"/>
        <v>44746</v>
      </c>
    </row>
    <row r="14" spans="2:11" x14ac:dyDescent="0.3">
      <c r="B14" s="6" t="s">
        <v>22</v>
      </c>
      <c r="C14" s="22"/>
      <c r="D14" s="22">
        <v>432000</v>
      </c>
      <c r="E14" s="22"/>
      <c r="F14" s="22"/>
      <c r="G14" s="22"/>
      <c r="H14" s="12">
        <f t="shared" si="0"/>
        <v>44746</v>
      </c>
      <c r="K14" s="4"/>
    </row>
    <row r="15" spans="2:11" x14ac:dyDescent="0.3">
      <c r="B15" s="6" t="s">
        <v>61</v>
      </c>
      <c r="C15" s="22"/>
      <c r="D15" s="57"/>
      <c r="E15" s="22"/>
      <c r="F15" s="22"/>
      <c r="G15" s="22"/>
      <c r="H15" s="67">
        <f t="shared" si="0"/>
        <v>44746</v>
      </c>
      <c r="K15" s="4"/>
    </row>
    <row r="16" spans="2:11" x14ac:dyDescent="0.3">
      <c r="B16" s="6" t="s">
        <v>19</v>
      </c>
      <c r="C16" s="22">
        <v>108000</v>
      </c>
      <c r="D16" s="23">
        <v>414000</v>
      </c>
      <c r="E16" s="23">
        <v>216000</v>
      </c>
      <c r="F16" s="22"/>
      <c r="G16" s="23"/>
      <c r="H16" s="12">
        <f t="shared" si="0"/>
        <v>44746</v>
      </c>
    </row>
    <row r="17" spans="2:10" x14ac:dyDescent="0.3">
      <c r="B17" s="6" t="s">
        <v>14</v>
      </c>
      <c r="C17" s="22">
        <v>455000</v>
      </c>
      <c r="D17" s="23">
        <v>679500</v>
      </c>
      <c r="E17" s="23">
        <v>216000</v>
      </c>
      <c r="F17" s="22"/>
      <c r="G17" s="23"/>
      <c r="H17" s="12">
        <f t="shared" si="0"/>
        <v>44746</v>
      </c>
    </row>
    <row r="18" spans="2:10" x14ac:dyDescent="0.3">
      <c r="B18" s="6" t="s">
        <v>24</v>
      </c>
      <c r="C18" s="22"/>
      <c r="D18" s="22"/>
      <c r="E18" s="22"/>
      <c r="F18" s="49"/>
      <c r="G18" s="22"/>
      <c r="H18" s="12">
        <f t="shared" si="0"/>
        <v>44746</v>
      </c>
      <c r="J18" s="1" t="s">
        <v>66</v>
      </c>
    </row>
    <row r="19" spans="2:10" x14ac:dyDescent="0.3">
      <c r="B19" s="6" t="s">
        <v>21</v>
      </c>
      <c r="C19" s="22"/>
      <c r="D19" s="22"/>
      <c r="E19" s="22"/>
      <c r="F19" s="22"/>
      <c r="G19" s="22"/>
      <c r="H19" s="67">
        <f t="shared" si="0"/>
        <v>44746</v>
      </c>
    </row>
    <row r="20" spans="2:10" x14ac:dyDescent="0.3">
      <c r="B20" s="6" t="s">
        <v>65</v>
      </c>
      <c r="C20" s="22"/>
      <c r="D20" s="22"/>
      <c r="E20" s="22"/>
      <c r="F20" s="22"/>
      <c r="G20" s="22"/>
      <c r="H20" s="12">
        <f t="shared" si="0"/>
        <v>44746</v>
      </c>
    </row>
    <row r="21" spans="2:10" x14ac:dyDescent="0.3">
      <c r="B21" s="6" t="s">
        <v>18</v>
      </c>
      <c r="C21" s="62"/>
      <c r="D21" s="62"/>
      <c r="E21" s="62"/>
      <c r="F21" s="62"/>
      <c r="G21" s="62"/>
      <c r="H21" s="12">
        <f t="shared" si="0"/>
        <v>44746</v>
      </c>
    </row>
    <row r="22" spans="2:10" x14ac:dyDescent="0.3">
      <c r="B22" s="6" t="s">
        <v>16</v>
      </c>
      <c r="C22" s="22">
        <v>310500</v>
      </c>
      <c r="D22" s="119"/>
      <c r="E22" s="62">
        <v>54000</v>
      </c>
      <c r="F22" s="62"/>
      <c r="G22" s="62"/>
      <c r="H22" s="12">
        <f t="shared" si="0"/>
        <v>44746</v>
      </c>
    </row>
    <row r="23" spans="2:10" x14ac:dyDescent="0.3">
      <c r="B23" s="50" t="s">
        <v>27</v>
      </c>
      <c r="C23" s="51">
        <f>SUM(July04__2022[KSI_AGO])</f>
        <v>2165500</v>
      </c>
      <c r="D23" s="51">
        <f>SUBTOTAL(109,July04__2022[KSI_PMS])</f>
        <v>1570500</v>
      </c>
      <c r="E23" s="51">
        <f>SUM(July04__2022[BUIPE_AGO])</f>
        <v>702000</v>
      </c>
      <c r="F23" s="51">
        <f>SUM(July04__2022[BUIPE_PMS])</f>
        <v>0</v>
      </c>
      <c r="G23" s="51">
        <f>SUM(July04__2022[AKOSOMBO_AGO])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C8FBD98C-500E-44E5-916B-A2FFFBE44260}">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9DAB6-EA62-4256-B3F0-BA08E539CE75}">
  <dimension ref="B1:K24"/>
  <sheetViews>
    <sheetView zoomScaleNormal="100" workbookViewId="0">
      <pane xSplit="2" ySplit="5" topLeftCell="C6" activePane="bottomRight" state="frozen"/>
      <selection pane="topRight" activeCell="C1" sqref="C1"/>
      <selection pane="bottomLeft" activeCell="A6" sqref="A6"/>
      <selection pane="bottomRight" activeCell="E26" sqref="E2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44747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44747</v>
      </c>
    </row>
    <row r="7" spans="2:11" ht="16.5" customHeight="1" x14ac:dyDescent="0.3">
      <c r="B7" s="6" t="s">
        <v>37</v>
      </c>
      <c r="C7" s="62"/>
      <c r="D7" s="62"/>
      <c r="E7" s="62"/>
      <c r="F7" s="62"/>
      <c r="G7" s="62"/>
      <c r="H7" s="67">
        <f t="shared" si="0"/>
        <v>44747</v>
      </c>
    </row>
    <row r="8" spans="2:11" x14ac:dyDescent="0.3">
      <c r="B8" s="6" t="s">
        <v>17</v>
      </c>
      <c r="C8" s="22"/>
      <c r="D8" s="22"/>
      <c r="E8" s="22"/>
      <c r="F8" s="22"/>
      <c r="G8" s="22"/>
      <c r="H8" s="12">
        <f t="shared" si="0"/>
        <v>44747</v>
      </c>
    </row>
    <row r="9" spans="2:11" ht="15.6" x14ac:dyDescent="0.3">
      <c r="B9" s="34" t="s">
        <v>0</v>
      </c>
      <c r="C9" s="60">
        <v>1134000</v>
      </c>
      <c r="D9" s="60"/>
      <c r="E9" s="60">
        <v>270000</v>
      </c>
      <c r="F9" s="60"/>
      <c r="G9" s="61"/>
      <c r="H9" s="12">
        <f t="shared" si="0"/>
        <v>44747</v>
      </c>
    </row>
    <row r="10" spans="2:11" x14ac:dyDescent="0.3">
      <c r="B10" s="6" t="s">
        <v>25</v>
      </c>
      <c r="C10" s="57"/>
      <c r="D10" s="22"/>
      <c r="E10" s="22"/>
      <c r="F10" s="22"/>
      <c r="G10" s="22"/>
      <c r="H10" s="12">
        <f t="shared" si="0"/>
        <v>44747</v>
      </c>
    </row>
    <row r="11" spans="2:11" x14ac:dyDescent="0.3">
      <c r="B11" s="6" t="s">
        <v>15</v>
      </c>
      <c r="C11" s="22"/>
      <c r="D11" s="22"/>
      <c r="E11" s="22">
        <v>50000</v>
      </c>
      <c r="F11" s="22"/>
      <c r="G11" s="57"/>
      <c r="H11" s="12">
        <f t="shared" si="0"/>
        <v>44747</v>
      </c>
    </row>
    <row r="12" spans="2:11" x14ac:dyDescent="0.3">
      <c r="B12" s="6" t="s">
        <v>54</v>
      </c>
      <c r="C12" s="22"/>
      <c r="D12" s="22"/>
      <c r="E12" s="22">
        <v>54000</v>
      </c>
      <c r="F12" s="22"/>
      <c r="G12" s="22"/>
      <c r="H12" s="67">
        <f t="shared" si="0"/>
        <v>44747</v>
      </c>
    </row>
    <row r="13" spans="2:11" x14ac:dyDescent="0.3">
      <c r="B13" s="6" t="s">
        <v>26</v>
      </c>
      <c r="C13" s="22"/>
      <c r="D13" s="22"/>
      <c r="E13" s="22"/>
      <c r="F13" s="22"/>
      <c r="G13" s="22"/>
      <c r="H13" s="12">
        <f t="shared" si="0"/>
        <v>44747</v>
      </c>
    </row>
    <row r="14" spans="2:11" x14ac:dyDescent="0.3">
      <c r="B14" s="6" t="s">
        <v>22</v>
      </c>
      <c r="C14" s="22"/>
      <c r="D14" s="22">
        <v>54000</v>
      </c>
      <c r="E14" s="22"/>
      <c r="F14" s="22"/>
      <c r="G14" s="22"/>
      <c r="H14" s="12">
        <f t="shared" si="0"/>
        <v>44747</v>
      </c>
      <c r="K14" s="4"/>
    </row>
    <row r="15" spans="2:11" x14ac:dyDescent="0.3">
      <c r="B15" s="6" t="s">
        <v>61</v>
      </c>
      <c r="C15" s="22"/>
      <c r="D15" s="57"/>
      <c r="E15" s="22"/>
      <c r="F15" s="22"/>
      <c r="G15" s="22"/>
      <c r="H15" s="67">
        <f t="shared" si="0"/>
        <v>44747</v>
      </c>
      <c r="K15" s="4"/>
    </row>
    <row r="16" spans="2:11" x14ac:dyDescent="0.3">
      <c r="B16" s="6" t="s">
        <v>19</v>
      </c>
      <c r="C16" s="22">
        <v>53500</v>
      </c>
      <c r="D16" s="23">
        <v>270000</v>
      </c>
      <c r="E16" s="23"/>
      <c r="F16" s="22"/>
      <c r="G16" s="23"/>
      <c r="H16" s="12">
        <f t="shared" si="0"/>
        <v>44747</v>
      </c>
    </row>
    <row r="17" spans="2:10" x14ac:dyDescent="0.3">
      <c r="B17" s="6" t="s">
        <v>14</v>
      </c>
      <c r="C17" s="22">
        <v>195000</v>
      </c>
      <c r="D17" s="23">
        <v>324000</v>
      </c>
      <c r="E17" s="23">
        <v>54000</v>
      </c>
      <c r="F17" s="22"/>
      <c r="G17" s="23"/>
      <c r="H17" s="12">
        <f t="shared" si="0"/>
        <v>44747</v>
      </c>
    </row>
    <row r="18" spans="2:10" x14ac:dyDescent="0.3">
      <c r="B18" s="6" t="s">
        <v>24</v>
      </c>
      <c r="C18" s="22"/>
      <c r="D18" s="22"/>
      <c r="E18" s="22"/>
      <c r="F18" s="49"/>
      <c r="G18" s="22"/>
      <c r="H18" s="12">
        <f t="shared" si="0"/>
        <v>44747</v>
      </c>
      <c r="J18" s="1" t="s">
        <v>66</v>
      </c>
    </row>
    <row r="19" spans="2:10" x14ac:dyDescent="0.3">
      <c r="B19" s="6" t="s">
        <v>21</v>
      </c>
      <c r="C19" s="22"/>
      <c r="D19" s="22"/>
      <c r="E19" s="22"/>
      <c r="F19" s="22"/>
      <c r="G19" s="22"/>
      <c r="H19" s="67">
        <f t="shared" si="0"/>
        <v>44747</v>
      </c>
    </row>
    <row r="20" spans="2:10" x14ac:dyDescent="0.3">
      <c r="B20" s="6" t="s">
        <v>65</v>
      </c>
      <c r="C20" s="22"/>
      <c r="D20" s="22"/>
      <c r="E20" s="22"/>
      <c r="F20" s="22"/>
      <c r="G20" s="22"/>
      <c r="H20" s="12">
        <f t="shared" si="0"/>
        <v>44747</v>
      </c>
    </row>
    <row r="21" spans="2:10" x14ac:dyDescent="0.3">
      <c r="B21" s="6" t="s">
        <v>18</v>
      </c>
      <c r="C21" s="62"/>
      <c r="D21" s="62"/>
      <c r="E21" s="62"/>
      <c r="F21" s="62"/>
      <c r="G21" s="62"/>
      <c r="H21" s="12">
        <f t="shared" si="0"/>
        <v>44747</v>
      </c>
    </row>
    <row r="22" spans="2:10" x14ac:dyDescent="0.3">
      <c r="B22" s="6" t="s">
        <v>16</v>
      </c>
      <c r="C22" s="22">
        <v>49500</v>
      </c>
      <c r="D22" s="119"/>
      <c r="E22" s="62">
        <v>54000</v>
      </c>
      <c r="F22" s="62"/>
      <c r="G22" s="62"/>
      <c r="H22" s="12">
        <f t="shared" si="0"/>
        <v>44747</v>
      </c>
    </row>
    <row r="23" spans="2:10" x14ac:dyDescent="0.3">
      <c r="B23" s="50" t="s">
        <v>27</v>
      </c>
      <c r="C23" s="51">
        <f>SUM(July05__2022[KSI_AGO])</f>
        <v>1432000</v>
      </c>
      <c r="D23" s="51">
        <f>SUBTOTAL(109,July05__2022[KSI_PMS])</f>
        <v>648000</v>
      </c>
      <c r="E23" s="51">
        <f>SUM(July05__2022[BUIPE_AGO])</f>
        <v>482000</v>
      </c>
      <c r="F23" s="51">
        <f>SUM(July05__2022[BUIPE_PMS])</f>
        <v>0</v>
      </c>
      <c r="G23" s="51">
        <f>SUM(July05__2022[AKOSOMBO_AGO])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95EC1A7D-C218-4B50-B151-C75E78748A12}">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E0833-733F-4283-A9B4-6B075E519B9B}">
  <dimension ref="B1:K24"/>
  <sheetViews>
    <sheetView zoomScaleNormal="100" workbookViewId="0">
      <pane xSplit="2" ySplit="5" topLeftCell="C6" activePane="bottomRight" state="frozen"/>
      <selection pane="topRight" activeCell="C1" sqref="C1"/>
      <selection pane="bottomLeft" activeCell="A6" sqref="A6"/>
      <selection pane="bottomRight" activeCell="F18" sqref="F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44748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44748</v>
      </c>
    </row>
    <row r="7" spans="2:11" ht="16.5" customHeight="1" x14ac:dyDescent="0.3">
      <c r="B7" s="6" t="s">
        <v>37</v>
      </c>
      <c r="C7" s="62">
        <v>216000</v>
      </c>
      <c r="D7" s="62"/>
      <c r="E7" s="62"/>
      <c r="F7" s="62"/>
      <c r="G7" s="62"/>
      <c r="H7" s="67">
        <f t="shared" si="0"/>
        <v>44748</v>
      </c>
    </row>
    <row r="8" spans="2:11" x14ac:dyDescent="0.3">
      <c r="B8" s="6" t="s">
        <v>17</v>
      </c>
      <c r="C8" s="22"/>
      <c r="D8" s="22"/>
      <c r="E8" s="22"/>
      <c r="F8" s="22"/>
      <c r="G8" s="22"/>
      <c r="H8" s="12">
        <f t="shared" si="0"/>
        <v>44748</v>
      </c>
    </row>
    <row r="9" spans="2:11" ht="15.6" x14ac:dyDescent="0.3">
      <c r="B9" s="34" t="s">
        <v>0</v>
      </c>
      <c r="C9" s="60">
        <v>270000</v>
      </c>
      <c r="D9" s="60"/>
      <c r="E9" s="60">
        <v>378000</v>
      </c>
      <c r="F9" s="60"/>
      <c r="G9" s="61"/>
      <c r="H9" s="12">
        <f t="shared" si="0"/>
        <v>44748</v>
      </c>
    </row>
    <row r="10" spans="2:11" x14ac:dyDescent="0.3">
      <c r="B10" s="6" t="s">
        <v>25</v>
      </c>
      <c r="C10" s="57"/>
      <c r="D10" s="22"/>
      <c r="E10" s="22"/>
      <c r="F10" s="22"/>
      <c r="G10" s="22"/>
      <c r="H10" s="12">
        <f t="shared" si="0"/>
        <v>44748</v>
      </c>
    </row>
    <row r="11" spans="2:11" x14ac:dyDescent="0.3">
      <c r="B11" s="6" t="s">
        <v>15</v>
      </c>
      <c r="C11" s="22"/>
      <c r="D11" s="22"/>
      <c r="E11" s="22"/>
      <c r="F11" s="22"/>
      <c r="G11" s="57"/>
      <c r="H11" s="12">
        <f t="shared" si="0"/>
        <v>44748</v>
      </c>
    </row>
    <row r="12" spans="2:11" x14ac:dyDescent="0.3">
      <c r="B12" s="6" t="s">
        <v>54</v>
      </c>
      <c r="C12" s="22">
        <v>162000</v>
      </c>
      <c r="D12" s="22"/>
      <c r="E12" s="22">
        <v>216000</v>
      </c>
      <c r="F12" s="22"/>
      <c r="G12" s="22"/>
      <c r="H12" s="67">
        <f t="shared" si="0"/>
        <v>44748</v>
      </c>
    </row>
    <row r="13" spans="2:11" x14ac:dyDescent="0.3">
      <c r="B13" s="6" t="s">
        <v>26</v>
      </c>
      <c r="C13" s="22"/>
      <c r="D13" s="22"/>
      <c r="E13" s="22"/>
      <c r="F13" s="22"/>
      <c r="G13" s="22"/>
      <c r="H13" s="12">
        <f t="shared" si="0"/>
        <v>44748</v>
      </c>
    </row>
    <row r="14" spans="2:11" x14ac:dyDescent="0.3">
      <c r="B14" s="6" t="s">
        <v>22</v>
      </c>
      <c r="C14" s="22"/>
      <c r="D14" s="22">
        <v>54000</v>
      </c>
      <c r="E14" s="22"/>
      <c r="F14" s="22"/>
      <c r="G14" s="22"/>
      <c r="H14" s="12">
        <f t="shared" si="0"/>
        <v>44748</v>
      </c>
      <c r="K14" s="4"/>
    </row>
    <row r="15" spans="2:11" x14ac:dyDescent="0.3">
      <c r="B15" s="6" t="s">
        <v>61</v>
      </c>
      <c r="C15" s="22"/>
      <c r="D15" s="57"/>
      <c r="E15" s="22"/>
      <c r="F15" s="22"/>
      <c r="G15" s="22"/>
      <c r="H15" s="67">
        <f t="shared" si="0"/>
        <v>44748</v>
      </c>
      <c r="K15" s="4"/>
    </row>
    <row r="16" spans="2:11" x14ac:dyDescent="0.3">
      <c r="B16" s="6" t="s">
        <v>19</v>
      </c>
      <c r="C16" s="22"/>
      <c r="D16" s="23"/>
      <c r="E16" s="23"/>
      <c r="F16" s="22"/>
      <c r="G16" s="23"/>
      <c r="H16" s="12">
        <f t="shared" si="0"/>
        <v>44748</v>
      </c>
    </row>
    <row r="17" spans="2:10" x14ac:dyDescent="0.3">
      <c r="B17" s="6" t="s">
        <v>14</v>
      </c>
      <c r="C17" s="22">
        <v>1323500</v>
      </c>
      <c r="D17" s="23">
        <v>1282500</v>
      </c>
      <c r="E17" s="23">
        <v>162000</v>
      </c>
      <c r="F17" s="22">
        <v>95000</v>
      </c>
      <c r="G17" s="23"/>
      <c r="H17" s="12">
        <f t="shared" si="0"/>
        <v>44748</v>
      </c>
    </row>
    <row r="18" spans="2:10" x14ac:dyDescent="0.3">
      <c r="B18" s="6" t="s">
        <v>24</v>
      </c>
      <c r="C18" s="22"/>
      <c r="D18" s="22"/>
      <c r="E18" s="22"/>
      <c r="F18" s="49"/>
      <c r="G18" s="22"/>
      <c r="H18" s="12">
        <f t="shared" si="0"/>
        <v>44748</v>
      </c>
      <c r="J18" s="1" t="s">
        <v>66</v>
      </c>
    </row>
    <row r="19" spans="2:10" x14ac:dyDescent="0.3">
      <c r="B19" s="6" t="s">
        <v>21</v>
      </c>
      <c r="C19" s="22"/>
      <c r="D19" s="22"/>
      <c r="E19" s="22"/>
      <c r="F19" s="22"/>
      <c r="G19" s="22"/>
      <c r="H19" s="67">
        <f t="shared" si="0"/>
        <v>44748</v>
      </c>
    </row>
    <row r="20" spans="2:10" x14ac:dyDescent="0.3">
      <c r="B20" s="6" t="s">
        <v>65</v>
      </c>
      <c r="C20" s="22"/>
      <c r="D20" s="22"/>
      <c r="E20" s="22"/>
      <c r="F20" s="22"/>
      <c r="G20" s="22"/>
      <c r="H20" s="12">
        <f t="shared" si="0"/>
        <v>44748</v>
      </c>
    </row>
    <row r="21" spans="2:10" x14ac:dyDescent="0.3">
      <c r="B21" s="6" t="s">
        <v>18</v>
      </c>
      <c r="C21" s="62"/>
      <c r="D21" s="62"/>
      <c r="E21" s="62"/>
      <c r="F21" s="62"/>
      <c r="G21" s="62"/>
      <c r="H21" s="12">
        <f t="shared" si="0"/>
        <v>44748</v>
      </c>
    </row>
    <row r="22" spans="2:10" x14ac:dyDescent="0.3">
      <c r="B22" s="6" t="s">
        <v>16</v>
      </c>
      <c r="C22" s="22">
        <v>153500</v>
      </c>
      <c r="D22" s="119"/>
      <c r="E22" s="62">
        <v>54000</v>
      </c>
      <c r="F22" s="62"/>
      <c r="G22" s="62"/>
      <c r="H22" s="12">
        <f t="shared" si="0"/>
        <v>44748</v>
      </c>
    </row>
    <row r="23" spans="2:10" x14ac:dyDescent="0.3">
      <c r="B23" s="50" t="s">
        <v>27</v>
      </c>
      <c r="C23" s="51">
        <f>SUM(July06__2022[KSI_AGO])</f>
        <v>2125000</v>
      </c>
      <c r="D23" s="51">
        <f>SUBTOTAL(109,July06__2022[KSI_PMS])</f>
        <v>1336500</v>
      </c>
      <c r="E23" s="51">
        <f>SUM(July06__2022[BUIPE_AGO])</f>
        <v>810000</v>
      </c>
      <c r="F23" s="51">
        <f>SUM(July06__2022[BUIPE_PMS])</f>
        <v>95000</v>
      </c>
      <c r="G23" s="51">
        <f>SUM(July06__2022[AKOSOMBO_AGO])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A92A903A-8E35-46E2-82BD-50F499435F24}">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7AAD-1308-43FA-B81E-E85D1DF8834D}">
  <dimension ref="B1:K24"/>
  <sheetViews>
    <sheetView zoomScaleNormal="100" workbookViewId="0">
      <pane xSplit="2" ySplit="5" topLeftCell="C6" activePane="bottomRight" state="frozen"/>
      <selection pane="topRight" activeCell="C1" sqref="C1"/>
      <selection pane="bottomLeft" activeCell="A6" sqref="A6"/>
      <selection pane="bottomRight" activeCell="F18" sqref="F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44749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44749</v>
      </c>
    </row>
    <row r="7" spans="2:11" ht="16.5" customHeight="1" x14ac:dyDescent="0.3">
      <c r="B7" s="6" t="s">
        <v>37</v>
      </c>
      <c r="C7" s="62"/>
      <c r="D7" s="62"/>
      <c r="E7" s="62">
        <v>50000</v>
      </c>
      <c r="F7" s="62"/>
      <c r="G7" s="62"/>
      <c r="H7" s="67">
        <f t="shared" si="0"/>
        <v>44749</v>
      </c>
    </row>
    <row r="8" spans="2:11" x14ac:dyDescent="0.3">
      <c r="B8" s="6" t="s">
        <v>17</v>
      </c>
      <c r="C8" s="22"/>
      <c r="D8" s="22"/>
      <c r="E8" s="22"/>
      <c r="F8" s="22"/>
      <c r="G8" s="22"/>
      <c r="H8" s="12">
        <f t="shared" si="0"/>
        <v>44749</v>
      </c>
    </row>
    <row r="9" spans="2:11" ht="15.6" x14ac:dyDescent="0.3">
      <c r="B9" s="34" t="s">
        <v>0</v>
      </c>
      <c r="C9" s="60"/>
      <c r="D9" s="60"/>
      <c r="E9" s="60">
        <v>108000</v>
      </c>
      <c r="F9" s="60"/>
      <c r="G9" s="61"/>
      <c r="H9" s="12">
        <f t="shared" si="0"/>
        <v>44749</v>
      </c>
    </row>
    <row r="10" spans="2:11" x14ac:dyDescent="0.3">
      <c r="B10" s="6" t="s">
        <v>25</v>
      </c>
      <c r="C10" s="57"/>
      <c r="D10" s="22"/>
      <c r="E10" s="22"/>
      <c r="F10" s="22"/>
      <c r="G10" s="22"/>
      <c r="H10" s="12">
        <f t="shared" si="0"/>
        <v>44749</v>
      </c>
    </row>
    <row r="11" spans="2:11" x14ac:dyDescent="0.3">
      <c r="B11" s="6" t="s">
        <v>15</v>
      </c>
      <c r="C11" s="22"/>
      <c r="D11" s="22"/>
      <c r="E11" s="22">
        <v>108000</v>
      </c>
      <c r="F11" s="22"/>
      <c r="G11" s="57"/>
      <c r="H11" s="12">
        <f t="shared" si="0"/>
        <v>44749</v>
      </c>
    </row>
    <row r="12" spans="2:11" x14ac:dyDescent="0.3">
      <c r="B12" s="6" t="s">
        <v>54</v>
      </c>
      <c r="C12" s="22"/>
      <c r="D12" s="22"/>
      <c r="E12" s="22">
        <v>54000</v>
      </c>
      <c r="F12" s="22"/>
      <c r="G12" s="22"/>
      <c r="H12" s="67">
        <f t="shared" si="0"/>
        <v>44749</v>
      </c>
    </row>
    <row r="13" spans="2:11" x14ac:dyDescent="0.3">
      <c r="B13" s="6" t="s">
        <v>26</v>
      </c>
      <c r="C13" s="22"/>
      <c r="D13" s="22"/>
      <c r="E13" s="22">
        <v>45000</v>
      </c>
      <c r="F13" s="22"/>
      <c r="G13" s="22"/>
      <c r="H13" s="12">
        <f t="shared" si="0"/>
        <v>44749</v>
      </c>
    </row>
    <row r="14" spans="2:11" x14ac:dyDescent="0.3">
      <c r="B14" s="6" t="s">
        <v>22</v>
      </c>
      <c r="C14" s="22"/>
      <c r="D14" s="22"/>
      <c r="E14" s="22"/>
      <c r="F14" s="22"/>
      <c r="G14" s="22"/>
      <c r="H14" s="12">
        <f t="shared" si="0"/>
        <v>44749</v>
      </c>
      <c r="K14" s="4"/>
    </row>
    <row r="15" spans="2:11" x14ac:dyDescent="0.3">
      <c r="B15" s="6" t="s">
        <v>61</v>
      </c>
      <c r="C15" s="22"/>
      <c r="D15" s="57"/>
      <c r="E15" s="22"/>
      <c r="F15" s="22"/>
      <c r="G15" s="22"/>
      <c r="H15" s="67">
        <f t="shared" si="0"/>
        <v>44749</v>
      </c>
      <c r="K15" s="4"/>
    </row>
    <row r="16" spans="2:11" x14ac:dyDescent="0.3">
      <c r="B16" s="6" t="s">
        <v>19</v>
      </c>
      <c r="C16" s="22"/>
      <c r="D16" s="23">
        <v>324000</v>
      </c>
      <c r="E16" s="23"/>
      <c r="F16" s="22"/>
      <c r="G16" s="23"/>
      <c r="H16" s="12">
        <f t="shared" si="0"/>
        <v>44749</v>
      </c>
    </row>
    <row r="17" spans="2:10" x14ac:dyDescent="0.3">
      <c r="B17" s="6" t="s">
        <v>14</v>
      </c>
      <c r="C17" s="22"/>
      <c r="D17" s="23">
        <v>162000</v>
      </c>
      <c r="E17" s="23">
        <v>1017000</v>
      </c>
      <c r="F17" s="22"/>
      <c r="G17" s="23"/>
      <c r="H17" s="12">
        <f t="shared" si="0"/>
        <v>44749</v>
      </c>
    </row>
    <row r="18" spans="2:10" x14ac:dyDescent="0.3">
      <c r="B18" s="6" t="s">
        <v>24</v>
      </c>
      <c r="C18" s="22"/>
      <c r="D18" s="22"/>
      <c r="E18" s="22"/>
      <c r="F18" s="49"/>
      <c r="G18" s="22"/>
      <c r="H18" s="12">
        <f t="shared" si="0"/>
        <v>44749</v>
      </c>
      <c r="J18" s="1" t="s">
        <v>66</v>
      </c>
    </row>
    <row r="19" spans="2:10" x14ac:dyDescent="0.3">
      <c r="B19" s="6" t="s">
        <v>21</v>
      </c>
      <c r="C19" s="22"/>
      <c r="D19" s="22"/>
      <c r="E19" s="22"/>
      <c r="F19" s="22"/>
      <c r="G19" s="22"/>
      <c r="H19" s="67">
        <f t="shared" si="0"/>
        <v>44749</v>
      </c>
    </row>
    <row r="20" spans="2:10" x14ac:dyDescent="0.3">
      <c r="B20" s="6" t="s">
        <v>65</v>
      </c>
      <c r="C20" s="22"/>
      <c r="D20" s="22"/>
      <c r="E20" s="22"/>
      <c r="F20" s="22"/>
      <c r="G20" s="22"/>
      <c r="H20" s="12">
        <f t="shared" si="0"/>
        <v>44749</v>
      </c>
    </row>
    <row r="21" spans="2:10" x14ac:dyDescent="0.3">
      <c r="B21" s="6" t="s">
        <v>18</v>
      </c>
      <c r="C21" s="62"/>
      <c r="D21" s="62"/>
      <c r="E21" s="62"/>
      <c r="F21" s="62"/>
      <c r="G21" s="62"/>
      <c r="H21" s="12">
        <f t="shared" si="0"/>
        <v>44749</v>
      </c>
    </row>
    <row r="22" spans="2:10" x14ac:dyDescent="0.3">
      <c r="B22" s="6" t="s">
        <v>16</v>
      </c>
      <c r="C22" s="22"/>
      <c r="D22" s="119"/>
      <c r="E22" s="62"/>
      <c r="F22" s="62"/>
      <c r="G22" s="62"/>
      <c r="H22" s="12">
        <f t="shared" si="0"/>
        <v>44749</v>
      </c>
    </row>
    <row r="23" spans="2:10" x14ac:dyDescent="0.3">
      <c r="B23" s="50" t="s">
        <v>27</v>
      </c>
      <c r="C23" s="51">
        <f>SUM(July06__20226[KSI_AGO])</f>
        <v>0</v>
      </c>
      <c r="D23" s="51">
        <f>SUBTOTAL(109,July06__20226[KSI_PMS])</f>
        <v>486000</v>
      </c>
      <c r="E23" s="51">
        <f>SUM(July06__20226[BUIPE_AGO])</f>
        <v>1382000</v>
      </c>
      <c r="F23" s="51">
        <f>SUM(July06__20226[BUIPE_PMS])</f>
        <v>0</v>
      </c>
      <c r="G23" s="51">
        <f>SUM(July06__20226[AKOSOMBO_AGO])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E1857B82-1B6E-49A9-8253-88D76AA8F82C}">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88AB-B9D7-4710-A17C-1E5C97D320E2}">
  <dimension ref="B1:K24"/>
  <sheetViews>
    <sheetView zoomScaleNormal="100" workbookViewId="0">
      <pane xSplit="2" ySplit="5" topLeftCell="C6" activePane="bottomRight" state="frozen"/>
      <selection pane="topRight" activeCell="C1" sqref="C1"/>
      <selection pane="bottomLeft" activeCell="A6" sqref="A6"/>
      <selection pane="bottomRight" activeCell="H10" sqref="H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44750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44750</v>
      </c>
    </row>
    <row r="7" spans="2:11" ht="16.5" customHeight="1" x14ac:dyDescent="0.3">
      <c r="B7" s="6" t="s">
        <v>37</v>
      </c>
      <c r="C7" s="62"/>
      <c r="D7" s="62"/>
      <c r="E7" s="62">
        <v>180000</v>
      </c>
      <c r="F7" s="62"/>
      <c r="G7" s="62"/>
      <c r="H7" s="67">
        <f t="shared" si="0"/>
        <v>44750</v>
      </c>
    </row>
    <row r="8" spans="2:11" x14ac:dyDescent="0.3">
      <c r="B8" s="6" t="s">
        <v>17</v>
      </c>
      <c r="C8" s="22"/>
      <c r="D8" s="22"/>
      <c r="E8" s="22"/>
      <c r="F8" s="22"/>
      <c r="G8" s="22"/>
      <c r="H8" s="12">
        <f t="shared" si="0"/>
        <v>44750</v>
      </c>
    </row>
    <row r="9" spans="2:11" ht="15.6" x14ac:dyDescent="0.3">
      <c r="B9" s="34" t="s">
        <v>0</v>
      </c>
      <c r="C9" s="60"/>
      <c r="D9" s="60"/>
      <c r="E9" s="60"/>
      <c r="F9" s="60"/>
      <c r="G9" s="61"/>
      <c r="H9" s="12">
        <f t="shared" si="0"/>
        <v>44750</v>
      </c>
    </row>
    <row r="10" spans="2:11" x14ac:dyDescent="0.3">
      <c r="B10" s="6" t="s">
        <v>25</v>
      </c>
      <c r="C10" s="57"/>
      <c r="D10" s="22">
        <v>161500</v>
      </c>
      <c r="E10" s="22"/>
      <c r="F10" s="22"/>
      <c r="G10" s="22"/>
      <c r="H10" s="12">
        <f t="shared" si="0"/>
        <v>44750</v>
      </c>
    </row>
    <row r="11" spans="2:11" x14ac:dyDescent="0.3">
      <c r="B11" s="6" t="s">
        <v>15</v>
      </c>
      <c r="C11" s="22"/>
      <c r="D11" s="22"/>
      <c r="E11" s="22"/>
      <c r="F11" s="22"/>
      <c r="G11" s="57"/>
      <c r="H11" s="12">
        <f t="shared" si="0"/>
        <v>44750</v>
      </c>
    </row>
    <row r="12" spans="2:11" x14ac:dyDescent="0.3">
      <c r="B12" s="6" t="s">
        <v>54</v>
      </c>
      <c r="C12" s="22">
        <v>54000</v>
      </c>
      <c r="D12" s="22"/>
      <c r="E12" s="22"/>
      <c r="F12" s="22"/>
      <c r="G12" s="22"/>
      <c r="H12" s="67">
        <f t="shared" si="0"/>
        <v>44750</v>
      </c>
    </row>
    <row r="13" spans="2:11" x14ac:dyDescent="0.3">
      <c r="B13" s="6" t="s">
        <v>26</v>
      </c>
      <c r="C13" s="22"/>
      <c r="D13" s="22"/>
      <c r="E13" s="22"/>
      <c r="F13" s="22"/>
      <c r="G13" s="22"/>
      <c r="H13" s="12">
        <f t="shared" si="0"/>
        <v>44750</v>
      </c>
    </row>
    <row r="14" spans="2:11" x14ac:dyDescent="0.3">
      <c r="B14" s="6" t="s">
        <v>22</v>
      </c>
      <c r="C14" s="22"/>
      <c r="D14" s="22"/>
      <c r="E14" s="22"/>
      <c r="F14" s="22"/>
      <c r="G14" s="22"/>
      <c r="H14" s="12">
        <f t="shared" si="0"/>
        <v>44750</v>
      </c>
      <c r="K14" s="4"/>
    </row>
    <row r="15" spans="2:11" x14ac:dyDescent="0.3">
      <c r="B15" s="6" t="s">
        <v>61</v>
      </c>
      <c r="C15" s="22"/>
      <c r="D15" s="57"/>
      <c r="E15" s="22"/>
      <c r="F15" s="22"/>
      <c r="G15" s="22"/>
      <c r="H15" s="67">
        <f t="shared" si="0"/>
        <v>44750</v>
      </c>
      <c r="K15" s="4"/>
    </row>
    <row r="16" spans="2:11" x14ac:dyDescent="0.3">
      <c r="B16" s="6" t="s">
        <v>19</v>
      </c>
      <c r="C16" s="22"/>
      <c r="D16" s="23"/>
      <c r="E16" s="23"/>
      <c r="F16" s="22"/>
      <c r="G16" s="23"/>
      <c r="H16" s="12">
        <f t="shared" si="0"/>
        <v>44750</v>
      </c>
    </row>
    <row r="17" spans="2:10" x14ac:dyDescent="0.3">
      <c r="B17" s="6" t="s">
        <v>14</v>
      </c>
      <c r="C17" s="22">
        <v>906000</v>
      </c>
      <c r="D17" s="23">
        <v>216000</v>
      </c>
      <c r="E17" s="23">
        <v>207000</v>
      </c>
      <c r="F17" s="22"/>
      <c r="G17" s="23"/>
      <c r="H17" s="12">
        <f t="shared" si="0"/>
        <v>44750</v>
      </c>
    </row>
    <row r="18" spans="2:10" x14ac:dyDescent="0.3">
      <c r="B18" s="6" t="s">
        <v>24</v>
      </c>
      <c r="C18" s="22"/>
      <c r="D18" s="22"/>
      <c r="E18" s="22"/>
      <c r="F18" s="49"/>
      <c r="G18" s="22"/>
      <c r="H18" s="12">
        <f t="shared" si="0"/>
        <v>44750</v>
      </c>
      <c r="J18" s="1" t="s">
        <v>66</v>
      </c>
    </row>
    <row r="19" spans="2:10" x14ac:dyDescent="0.3">
      <c r="B19" s="6" t="s">
        <v>21</v>
      </c>
      <c r="C19" s="22"/>
      <c r="D19" s="22"/>
      <c r="E19" s="22"/>
      <c r="F19" s="22"/>
      <c r="G19" s="22"/>
      <c r="H19" s="67">
        <f t="shared" si="0"/>
        <v>44750</v>
      </c>
    </row>
    <row r="20" spans="2:10" x14ac:dyDescent="0.3">
      <c r="B20" s="6" t="s">
        <v>65</v>
      </c>
      <c r="C20" s="22"/>
      <c r="D20" s="22"/>
      <c r="E20" s="22"/>
      <c r="F20" s="22"/>
      <c r="G20" s="22"/>
      <c r="H20" s="12">
        <f t="shared" si="0"/>
        <v>44750</v>
      </c>
    </row>
    <row r="21" spans="2:10" x14ac:dyDescent="0.3">
      <c r="B21" s="6" t="s">
        <v>18</v>
      </c>
      <c r="C21" s="62"/>
      <c r="D21" s="62"/>
      <c r="E21" s="62"/>
      <c r="F21" s="62"/>
      <c r="G21" s="62"/>
      <c r="H21" s="12">
        <f t="shared" si="0"/>
        <v>44750</v>
      </c>
    </row>
    <row r="22" spans="2:10" x14ac:dyDescent="0.3">
      <c r="B22" s="6" t="s">
        <v>16</v>
      </c>
      <c r="C22" s="22">
        <v>108000</v>
      </c>
      <c r="D22" s="119">
        <v>216000</v>
      </c>
      <c r="E22" s="62"/>
      <c r="F22" s="62"/>
      <c r="G22" s="62"/>
      <c r="H22" s="12">
        <f t="shared" si="0"/>
        <v>44750</v>
      </c>
    </row>
    <row r="23" spans="2:10" x14ac:dyDescent="0.3">
      <c r="B23" s="50" t="s">
        <v>27</v>
      </c>
      <c r="C23" s="51">
        <f>SUM(July08_2022[KSI_AGO])</f>
        <v>1068000</v>
      </c>
      <c r="D23" s="51">
        <f>SUBTOTAL(109,July08_2022[KSI_PMS])</f>
        <v>593500</v>
      </c>
      <c r="E23" s="51">
        <f>SUM(July08_2022[BUIPE_AGO])</f>
        <v>387000</v>
      </c>
      <c r="F23" s="51">
        <f>SUM(July08_2022[BUIPE_PMS])</f>
        <v>0</v>
      </c>
      <c r="G23" s="51">
        <f>SUM(July08_2022[AKOSOMBO_AGO])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AD11A5E1-37A0-4D5D-8C9E-9FC26465D0B3}">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6511-DA99-440D-A67C-502B4636CA70}">
  <dimension ref="B1:K24"/>
  <sheetViews>
    <sheetView zoomScaleNormal="100" workbookViewId="0">
      <pane xSplit="2" ySplit="5" topLeftCell="C6" activePane="bottomRight" state="frozen"/>
      <selection pane="topRight" activeCell="C1" sqref="C1"/>
      <selection pane="bottomLeft" activeCell="A6" sqref="A6"/>
      <selection pane="bottomRight" activeCell="E16" sqref="E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44754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44754</v>
      </c>
    </row>
    <row r="7" spans="2:11" ht="16.5" customHeight="1" x14ac:dyDescent="0.3">
      <c r="B7" s="6" t="s">
        <v>37</v>
      </c>
      <c r="C7" s="62"/>
      <c r="D7" s="62"/>
      <c r="E7" s="62"/>
      <c r="F7" s="62"/>
      <c r="G7" s="62"/>
      <c r="H7" s="67">
        <f t="shared" si="0"/>
        <v>44754</v>
      </c>
    </row>
    <row r="8" spans="2:11" x14ac:dyDescent="0.3">
      <c r="B8" s="6" t="s">
        <v>17</v>
      </c>
      <c r="C8" s="22"/>
      <c r="D8" s="22"/>
      <c r="E8" s="22"/>
      <c r="F8" s="22"/>
      <c r="G8" s="22"/>
      <c r="H8" s="12">
        <f t="shared" si="0"/>
        <v>44754</v>
      </c>
    </row>
    <row r="9" spans="2:11" ht="15.6" x14ac:dyDescent="0.3">
      <c r="B9" s="34" t="s">
        <v>0</v>
      </c>
      <c r="C9" s="60"/>
      <c r="D9" s="60"/>
      <c r="E9" s="60"/>
      <c r="F9" s="60"/>
      <c r="G9" s="61"/>
      <c r="H9" s="12">
        <f t="shared" si="0"/>
        <v>44754</v>
      </c>
    </row>
    <row r="10" spans="2:11" x14ac:dyDescent="0.3">
      <c r="B10" s="6" t="s">
        <v>25</v>
      </c>
      <c r="C10" s="57"/>
      <c r="D10" s="22">
        <v>324000</v>
      </c>
      <c r="E10" s="22"/>
      <c r="F10" s="22"/>
      <c r="G10" s="22"/>
      <c r="H10" s="12">
        <f t="shared" si="0"/>
        <v>44754</v>
      </c>
    </row>
    <row r="11" spans="2:11" x14ac:dyDescent="0.3">
      <c r="B11" s="6" t="s">
        <v>15</v>
      </c>
      <c r="C11" s="22"/>
      <c r="D11" s="22"/>
      <c r="E11" s="22"/>
      <c r="F11" s="22"/>
      <c r="G11" s="57"/>
      <c r="H11" s="12">
        <f t="shared" si="0"/>
        <v>44754</v>
      </c>
    </row>
    <row r="12" spans="2:11" x14ac:dyDescent="0.3">
      <c r="B12" s="6" t="s">
        <v>54</v>
      </c>
      <c r="C12" s="22"/>
      <c r="D12" s="22"/>
      <c r="E12" s="22"/>
      <c r="F12" s="22"/>
      <c r="G12" s="22"/>
      <c r="H12" s="67">
        <f t="shared" si="0"/>
        <v>44754</v>
      </c>
    </row>
    <row r="13" spans="2:11" x14ac:dyDescent="0.3">
      <c r="B13" s="6" t="s">
        <v>26</v>
      </c>
      <c r="C13" s="22"/>
      <c r="D13" s="22"/>
      <c r="E13" s="22"/>
      <c r="F13" s="22"/>
      <c r="G13" s="22"/>
      <c r="H13" s="12">
        <f t="shared" si="0"/>
        <v>44754</v>
      </c>
    </row>
    <row r="14" spans="2:11" x14ac:dyDescent="0.3">
      <c r="B14" s="6" t="s">
        <v>22</v>
      </c>
      <c r="C14" s="22"/>
      <c r="D14" s="22"/>
      <c r="E14" s="22"/>
      <c r="F14" s="22"/>
      <c r="G14" s="22"/>
      <c r="H14" s="12">
        <f t="shared" si="0"/>
        <v>44754</v>
      </c>
      <c r="K14" s="4"/>
    </row>
    <row r="15" spans="2:11" x14ac:dyDescent="0.3">
      <c r="B15" s="6" t="s">
        <v>61</v>
      </c>
      <c r="C15" s="22"/>
      <c r="D15" s="57"/>
      <c r="E15" s="22"/>
      <c r="F15" s="22"/>
      <c r="G15" s="22"/>
      <c r="H15" s="67">
        <f t="shared" si="0"/>
        <v>44754</v>
      </c>
      <c r="K15" s="4"/>
    </row>
    <row r="16" spans="2:11" x14ac:dyDescent="0.3">
      <c r="B16" s="6" t="s">
        <v>19</v>
      </c>
      <c r="C16" s="22"/>
      <c r="D16" s="23"/>
      <c r="E16" s="23">
        <v>270000</v>
      </c>
      <c r="F16" s="22"/>
      <c r="G16" s="23"/>
      <c r="H16" s="12">
        <f t="shared" si="0"/>
        <v>44754</v>
      </c>
    </row>
    <row r="17" spans="2:10" x14ac:dyDescent="0.3">
      <c r="B17" s="6" t="s">
        <v>14</v>
      </c>
      <c r="C17" s="22">
        <v>1009000</v>
      </c>
      <c r="D17" s="23">
        <v>54000</v>
      </c>
      <c r="E17" s="23">
        <v>324000</v>
      </c>
      <c r="F17" s="22"/>
      <c r="G17" s="23"/>
      <c r="H17" s="12">
        <f t="shared" si="0"/>
        <v>44754</v>
      </c>
    </row>
    <row r="18" spans="2:10" x14ac:dyDescent="0.3">
      <c r="B18" s="6" t="s">
        <v>24</v>
      </c>
      <c r="C18" s="22"/>
      <c r="D18" s="22"/>
      <c r="E18" s="22"/>
      <c r="F18" s="49"/>
      <c r="G18" s="22"/>
      <c r="H18" s="12">
        <f t="shared" si="0"/>
        <v>44754</v>
      </c>
      <c r="J18" s="1" t="s">
        <v>66</v>
      </c>
    </row>
    <row r="19" spans="2:10" x14ac:dyDescent="0.3">
      <c r="B19" s="6" t="s">
        <v>21</v>
      </c>
      <c r="C19" s="22"/>
      <c r="D19" s="22"/>
      <c r="E19" s="22"/>
      <c r="F19" s="22"/>
      <c r="G19" s="22"/>
      <c r="H19" s="67">
        <f t="shared" si="0"/>
        <v>44754</v>
      </c>
    </row>
    <row r="20" spans="2:10" x14ac:dyDescent="0.3">
      <c r="B20" s="6" t="s">
        <v>65</v>
      </c>
      <c r="C20" s="22"/>
      <c r="D20" s="22"/>
      <c r="E20" s="22"/>
      <c r="F20" s="22"/>
      <c r="G20" s="22"/>
      <c r="H20" s="12">
        <f t="shared" si="0"/>
        <v>44754</v>
      </c>
    </row>
    <row r="21" spans="2:10" x14ac:dyDescent="0.3">
      <c r="B21" s="6" t="s">
        <v>18</v>
      </c>
      <c r="C21" s="62">
        <v>378000</v>
      </c>
      <c r="D21" s="62">
        <v>162000</v>
      </c>
      <c r="E21" s="62"/>
      <c r="F21" s="62"/>
      <c r="G21" s="62"/>
      <c r="H21" s="12">
        <f t="shared" si="0"/>
        <v>44754</v>
      </c>
    </row>
    <row r="22" spans="2:10" x14ac:dyDescent="0.3">
      <c r="B22" s="6" t="s">
        <v>16</v>
      </c>
      <c r="C22" s="22">
        <v>162000</v>
      </c>
      <c r="D22" s="119">
        <v>211500</v>
      </c>
      <c r="E22" s="62"/>
      <c r="F22" s="62"/>
      <c r="G22" s="62"/>
      <c r="H22" s="12">
        <f t="shared" si="0"/>
        <v>44754</v>
      </c>
    </row>
    <row r="23" spans="2:10" x14ac:dyDescent="0.3">
      <c r="B23" s="50" t="s">
        <v>27</v>
      </c>
      <c r="C23" s="51">
        <f>SUM(July08_20228[KSI_AGO])</f>
        <v>1549000</v>
      </c>
      <c r="D23" s="51">
        <f>SUBTOTAL(109,July08_20228[KSI_PMS])</f>
        <v>751500</v>
      </c>
      <c r="E23" s="51">
        <f>SUM(July08_20228[BUIPE_AGO])</f>
        <v>594000</v>
      </c>
      <c r="F23" s="51">
        <f>SUM(July08_20228[BUIPE_PMS])</f>
        <v>0</v>
      </c>
      <c r="G23" s="51">
        <f>SUM(July08_20228[AKOSOMBO_AGO])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734EFCA-7F5D-4DCB-8770-788E8CB98175}">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1ADD-D036-4F08-BA5E-89ED05BB666E}">
  <dimension ref="B1:K24"/>
  <sheetViews>
    <sheetView zoomScaleNormal="100" workbookViewId="0">
      <pane xSplit="2" ySplit="5" topLeftCell="C6" activePane="bottomRight" state="frozen"/>
      <selection pane="topRight" activeCell="C1" sqref="C1"/>
      <selection pane="bottomLeft" activeCell="A6" sqref="A6"/>
      <selection pane="bottomRight" activeCell="M7" sqref="M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44755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44755</v>
      </c>
    </row>
    <row r="7" spans="2:11" ht="16.5" customHeight="1" x14ac:dyDescent="0.3">
      <c r="B7" s="6" t="s">
        <v>37</v>
      </c>
      <c r="C7" s="62"/>
      <c r="D7" s="62"/>
      <c r="E7" s="62"/>
      <c r="F7" s="62"/>
      <c r="G7" s="62"/>
      <c r="H7" s="67">
        <f t="shared" si="0"/>
        <v>44755</v>
      </c>
    </row>
    <row r="8" spans="2:11" x14ac:dyDescent="0.3">
      <c r="B8" s="6" t="s">
        <v>17</v>
      </c>
      <c r="C8" s="22"/>
      <c r="D8" s="22"/>
      <c r="E8" s="22"/>
      <c r="F8" s="22"/>
      <c r="G8" s="22"/>
      <c r="H8" s="12">
        <f t="shared" si="0"/>
        <v>44755</v>
      </c>
    </row>
    <row r="9" spans="2:11" ht="15.6" x14ac:dyDescent="0.3">
      <c r="B9" s="34" t="s">
        <v>0</v>
      </c>
      <c r="C9" s="60"/>
      <c r="D9" s="60"/>
      <c r="E9" s="60"/>
      <c r="F9" s="60"/>
      <c r="G9" s="61"/>
      <c r="H9" s="12">
        <f t="shared" si="0"/>
        <v>44755</v>
      </c>
    </row>
    <row r="10" spans="2:11" x14ac:dyDescent="0.3">
      <c r="B10" s="6" t="s">
        <v>25</v>
      </c>
      <c r="C10" s="22"/>
      <c r="D10" s="22">
        <v>432000</v>
      </c>
      <c r="E10" s="22"/>
      <c r="F10" s="22"/>
      <c r="G10" s="22"/>
      <c r="H10" s="12">
        <f t="shared" si="0"/>
        <v>44755</v>
      </c>
    </row>
    <row r="11" spans="2:11" x14ac:dyDescent="0.3">
      <c r="B11" s="6" t="s">
        <v>15</v>
      </c>
      <c r="C11" s="22"/>
      <c r="D11" s="22"/>
      <c r="E11" s="22"/>
      <c r="F11" s="22"/>
      <c r="G11" s="57"/>
      <c r="H11" s="12">
        <f t="shared" si="0"/>
        <v>44755</v>
      </c>
    </row>
    <row r="12" spans="2:11" x14ac:dyDescent="0.3">
      <c r="B12" s="6" t="s">
        <v>54</v>
      </c>
      <c r="C12" s="22"/>
      <c r="D12" s="22"/>
      <c r="E12" s="22"/>
      <c r="F12" s="22"/>
      <c r="G12" s="22"/>
      <c r="H12" s="67">
        <f t="shared" si="0"/>
        <v>44755</v>
      </c>
    </row>
    <row r="13" spans="2:11" x14ac:dyDescent="0.3">
      <c r="B13" s="6" t="s">
        <v>26</v>
      </c>
      <c r="C13" s="22"/>
      <c r="D13" s="22"/>
      <c r="E13" s="22"/>
      <c r="F13" s="22"/>
      <c r="G13" s="22"/>
      <c r="H13" s="12">
        <f t="shared" si="0"/>
        <v>44755</v>
      </c>
    </row>
    <row r="14" spans="2:11" x14ac:dyDescent="0.3">
      <c r="B14" s="6" t="s">
        <v>22</v>
      </c>
      <c r="C14" s="22"/>
      <c r="D14" s="22"/>
      <c r="E14" s="22"/>
      <c r="F14" s="22"/>
      <c r="G14" s="22"/>
      <c r="H14" s="12">
        <f t="shared" si="0"/>
        <v>44755</v>
      </c>
      <c r="K14" s="4"/>
    </row>
    <row r="15" spans="2:11" x14ac:dyDescent="0.3">
      <c r="B15" s="6" t="s">
        <v>61</v>
      </c>
      <c r="C15" s="22"/>
      <c r="D15" s="22"/>
      <c r="E15" s="22"/>
      <c r="F15" s="22"/>
      <c r="G15" s="22"/>
      <c r="H15" s="67">
        <f t="shared" si="0"/>
        <v>44755</v>
      </c>
      <c r="K15" s="4"/>
    </row>
    <row r="16" spans="2:11" x14ac:dyDescent="0.3">
      <c r="B16" s="6" t="s">
        <v>19</v>
      </c>
      <c r="C16" s="22"/>
      <c r="D16" s="22"/>
      <c r="E16" s="23">
        <v>270000</v>
      </c>
      <c r="F16" s="22"/>
      <c r="G16" s="23"/>
      <c r="H16" s="12">
        <f t="shared" si="0"/>
        <v>44755</v>
      </c>
    </row>
    <row r="17" spans="2:10" x14ac:dyDescent="0.3">
      <c r="B17" s="6" t="s">
        <v>14</v>
      </c>
      <c r="C17" s="22">
        <v>1670000</v>
      </c>
      <c r="D17" s="22"/>
      <c r="E17" s="23">
        <v>378000</v>
      </c>
      <c r="F17" s="22">
        <v>108000</v>
      </c>
      <c r="G17" s="23"/>
      <c r="H17" s="12">
        <f t="shared" si="0"/>
        <v>44755</v>
      </c>
    </row>
    <row r="18" spans="2:10" x14ac:dyDescent="0.3">
      <c r="B18" s="6" t="s">
        <v>24</v>
      </c>
      <c r="C18" s="22"/>
      <c r="D18" s="22"/>
      <c r="E18" s="22"/>
      <c r="F18" s="49"/>
      <c r="G18" s="22"/>
      <c r="H18" s="12">
        <f t="shared" si="0"/>
        <v>44755</v>
      </c>
      <c r="J18" s="1" t="s">
        <v>66</v>
      </c>
    </row>
    <row r="19" spans="2:10" x14ac:dyDescent="0.3">
      <c r="B19" s="6" t="s">
        <v>21</v>
      </c>
      <c r="C19" s="22"/>
      <c r="D19" s="22"/>
      <c r="E19" s="22"/>
      <c r="F19" s="22"/>
      <c r="G19" s="22"/>
      <c r="H19" s="67">
        <f t="shared" si="0"/>
        <v>44755</v>
      </c>
    </row>
    <row r="20" spans="2:10" x14ac:dyDescent="0.3">
      <c r="B20" s="6" t="s">
        <v>65</v>
      </c>
      <c r="C20" s="22"/>
      <c r="D20" s="22"/>
      <c r="E20" s="22"/>
      <c r="F20" s="22"/>
      <c r="G20" s="22"/>
      <c r="H20" s="12">
        <f t="shared" si="0"/>
        <v>44755</v>
      </c>
    </row>
    <row r="21" spans="2:10" x14ac:dyDescent="0.3">
      <c r="B21" s="6" t="s">
        <v>18</v>
      </c>
      <c r="C21" s="62">
        <v>162000</v>
      </c>
      <c r="D21" s="62">
        <v>270000</v>
      </c>
      <c r="E21" s="62"/>
      <c r="F21" s="62"/>
      <c r="G21" s="62"/>
      <c r="H21" s="12">
        <f t="shared" si="0"/>
        <v>44755</v>
      </c>
    </row>
    <row r="22" spans="2:10" x14ac:dyDescent="0.3">
      <c r="B22" s="6" t="s">
        <v>16</v>
      </c>
      <c r="C22" s="22"/>
      <c r="D22" s="22">
        <v>369000</v>
      </c>
      <c r="E22" s="62"/>
      <c r="F22" s="62"/>
      <c r="G22" s="62"/>
      <c r="H22" s="12">
        <f t="shared" si="0"/>
        <v>44755</v>
      </c>
    </row>
    <row r="23" spans="2:10" x14ac:dyDescent="0.3">
      <c r="B23" s="50" t="s">
        <v>27</v>
      </c>
      <c r="C23" s="51">
        <f>SUM(July13_2022[KSI_AGO])</f>
        <v>1832000</v>
      </c>
      <c r="D23" s="51">
        <f>SUBTOTAL(109,July13_2022[KSI_PMS])</f>
        <v>1071000</v>
      </c>
      <c r="E23" s="51">
        <f>SUM(July13_2022[BUIPE_AGO])</f>
        <v>648000</v>
      </c>
      <c r="F23" s="51">
        <f>SUM(July13_2022[BUIPE_PMS])</f>
        <v>108000</v>
      </c>
      <c r="G23" s="51">
        <f>SUM(July13_2022[AKOSOMBO_AGO])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BF914DE4-5A7A-44B9-8775-E45B6097B11F}">
      <formula1>INDIRECT("BDC_List[BDC List]")</formula1>
    </dataValidation>
  </dataValidations>
  <pageMargins left="0.7" right="0.7" top="0.75" bottom="0.75" header="0.3" footer="0.3"/>
  <pageSetup orientation="portrait" horizontalDpi="4294967295" verticalDpi="4294967295" r:id="rId1"/>
  <tableParts count="1">
    <tablePart r:id="rId2"/>
  </tableParts>
</worksheet>
</file>

<file path=xl/worksheets/sheet6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238D-F78F-4B1A-AD2A-AF66585EBB7A}">
  <dimension ref="B1:K24"/>
  <sheetViews>
    <sheetView zoomScaleNormal="100" workbookViewId="0">
      <pane xSplit="2" ySplit="5" topLeftCell="C6" activePane="bottomRight" state="frozen"/>
      <selection pane="topRight" activeCell="C1" sqref="C1"/>
      <selection pane="bottomLeft" activeCell="A6" sqref="A6"/>
      <selection pane="bottomRight" activeCell="G11" sqref="G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44756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44756</v>
      </c>
    </row>
    <row r="7" spans="2:11" ht="16.5" customHeight="1" x14ac:dyDescent="0.3">
      <c r="B7" s="6" t="s">
        <v>37</v>
      </c>
      <c r="C7" s="62"/>
      <c r="D7" s="62"/>
      <c r="E7" s="62"/>
      <c r="F7" s="62"/>
      <c r="G7" s="62"/>
      <c r="H7" s="67">
        <f t="shared" si="0"/>
        <v>44756</v>
      </c>
    </row>
    <row r="8" spans="2:11" x14ac:dyDescent="0.3">
      <c r="B8" s="6" t="s">
        <v>17</v>
      </c>
      <c r="C8" s="22"/>
      <c r="D8" s="22"/>
      <c r="E8" s="22"/>
      <c r="F8" s="22"/>
      <c r="G8" s="22"/>
      <c r="H8" s="12">
        <f t="shared" si="0"/>
        <v>44756</v>
      </c>
    </row>
    <row r="9" spans="2:11" ht="15.6" x14ac:dyDescent="0.3">
      <c r="B9" s="34" t="s">
        <v>0</v>
      </c>
      <c r="C9" s="60"/>
      <c r="D9" s="60"/>
      <c r="E9" s="60"/>
      <c r="F9" s="60"/>
      <c r="G9" s="61"/>
      <c r="H9" s="12">
        <f t="shared" si="0"/>
        <v>44756</v>
      </c>
    </row>
    <row r="10" spans="2:11" x14ac:dyDescent="0.3">
      <c r="B10" s="6" t="s">
        <v>25</v>
      </c>
      <c r="C10" s="22"/>
      <c r="D10" s="22">
        <v>216000</v>
      </c>
      <c r="E10" s="22"/>
      <c r="F10" s="22"/>
      <c r="G10" s="22"/>
      <c r="H10" s="12">
        <f t="shared" si="0"/>
        <v>44756</v>
      </c>
    </row>
    <row r="11" spans="2:11" x14ac:dyDescent="0.3">
      <c r="B11" s="6" t="s">
        <v>15</v>
      </c>
      <c r="C11" s="22"/>
      <c r="D11" s="22">
        <v>216000</v>
      </c>
      <c r="E11" s="22"/>
      <c r="F11" s="22">
        <v>108000</v>
      </c>
      <c r="G11" s="57"/>
      <c r="H11" s="12">
        <f t="shared" si="0"/>
        <v>44756</v>
      </c>
    </row>
    <row r="12" spans="2:11" x14ac:dyDescent="0.3">
      <c r="B12" s="6" t="s">
        <v>54</v>
      </c>
      <c r="C12" s="22">
        <v>162000</v>
      </c>
      <c r="D12" s="22"/>
      <c r="E12" s="22">
        <v>162000</v>
      </c>
      <c r="F12" s="22"/>
      <c r="G12" s="22"/>
      <c r="H12" s="67">
        <f t="shared" si="0"/>
        <v>44756</v>
      </c>
    </row>
    <row r="13" spans="2:11" x14ac:dyDescent="0.3">
      <c r="B13" s="6" t="s">
        <v>26</v>
      </c>
      <c r="C13" s="22">
        <v>377500</v>
      </c>
      <c r="D13" s="22"/>
      <c r="E13" s="22">
        <v>162000</v>
      </c>
      <c r="F13" s="22"/>
      <c r="G13" s="22"/>
      <c r="H13" s="12">
        <f t="shared" si="0"/>
        <v>44756</v>
      </c>
    </row>
    <row r="14" spans="2:11" x14ac:dyDescent="0.3">
      <c r="B14" s="6" t="s">
        <v>22</v>
      </c>
      <c r="C14" s="22"/>
      <c r="D14" s="22"/>
      <c r="E14" s="22"/>
      <c r="F14" s="22"/>
      <c r="G14" s="22"/>
      <c r="H14" s="12">
        <f t="shared" si="0"/>
        <v>44756</v>
      </c>
      <c r="K14" s="4"/>
    </row>
    <row r="15" spans="2:11" x14ac:dyDescent="0.3">
      <c r="B15" s="6" t="s">
        <v>61</v>
      </c>
      <c r="C15" s="22"/>
      <c r="D15" s="22"/>
      <c r="E15" s="22"/>
      <c r="F15" s="22"/>
      <c r="G15" s="22"/>
      <c r="H15" s="67">
        <f t="shared" si="0"/>
        <v>44756</v>
      </c>
      <c r="K15" s="4"/>
    </row>
    <row r="16" spans="2:11" x14ac:dyDescent="0.3">
      <c r="B16" s="6" t="s">
        <v>19</v>
      </c>
      <c r="C16" s="22">
        <v>270000</v>
      </c>
      <c r="D16" s="22">
        <v>216000</v>
      </c>
      <c r="E16" s="23">
        <v>216000</v>
      </c>
      <c r="F16" s="22"/>
      <c r="G16" s="23"/>
      <c r="H16" s="12">
        <f t="shared" si="0"/>
        <v>44756</v>
      </c>
    </row>
    <row r="17" spans="2:10" x14ac:dyDescent="0.3">
      <c r="B17" s="6" t="s">
        <v>14</v>
      </c>
      <c r="C17" s="22">
        <v>324000</v>
      </c>
      <c r="D17" s="22"/>
      <c r="E17" s="23">
        <v>108000</v>
      </c>
      <c r="F17" s="22"/>
      <c r="G17" s="23"/>
      <c r="H17" s="12">
        <f t="shared" si="0"/>
        <v>44756</v>
      </c>
    </row>
    <row r="18" spans="2:10" x14ac:dyDescent="0.3">
      <c r="B18" s="6" t="s">
        <v>24</v>
      </c>
      <c r="C18" s="22"/>
      <c r="D18" s="22"/>
      <c r="E18" s="22"/>
      <c r="F18" s="49"/>
      <c r="G18" s="22"/>
      <c r="H18" s="12">
        <f t="shared" si="0"/>
        <v>44756</v>
      </c>
      <c r="J18" s="1" t="s">
        <v>66</v>
      </c>
    </row>
    <row r="19" spans="2:10" x14ac:dyDescent="0.3">
      <c r="B19" s="6" t="s">
        <v>21</v>
      </c>
      <c r="C19" s="22">
        <v>373500</v>
      </c>
      <c r="D19" s="22"/>
      <c r="E19" s="22"/>
      <c r="F19" s="22"/>
      <c r="G19" s="22"/>
      <c r="H19" s="67">
        <f t="shared" si="0"/>
        <v>44756</v>
      </c>
    </row>
    <row r="20" spans="2:10" x14ac:dyDescent="0.3">
      <c r="B20" s="6" t="s">
        <v>65</v>
      </c>
      <c r="C20" s="22"/>
      <c r="D20" s="22"/>
      <c r="E20" s="22"/>
      <c r="F20" s="22"/>
      <c r="G20" s="22"/>
      <c r="H20" s="12">
        <f t="shared" si="0"/>
        <v>44756</v>
      </c>
    </row>
    <row r="21" spans="2:10" x14ac:dyDescent="0.3">
      <c r="B21" s="6" t="s">
        <v>18</v>
      </c>
      <c r="C21" s="62"/>
      <c r="D21" s="62">
        <v>216000</v>
      </c>
      <c r="E21" s="62"/>
      <c r="F21" s="62"/>
      <c r="G21" s="62"/>
      <c r="H21" s="12">
        <f t="shared" si="0"/>
        <v>44756</v>
      </c>
    </row>
    <row r="22" spans="2:10" x14ac:dyDescent="0.3">
      <c r="B22" s="6" t="s">
        <v>16</v>
      </c>
      <c r="C22" s="22"/>
      <c r="D22" s="22">
        <v>162000</v>
      </c>
      <c r="E22" s="62"/>
      <c r="F22" s="62"/>
      <c r="G22" s="62"/>
      <c r="H22" s="12">
        <f t="shared" si="0"/>
        <v>44756</v>
      </c>
    </row>
    <row r="23" spans="2:10" x14ac:dyDescent="0.3">
      <c r="B23" s="50" t="s">
        <v>27</v>
      </c>
      <c r="C23" s="51">
        <f>SUM(July14_2022[KSI_AGO])</f>
        <v>1507000</v>
      </c>
      <c r="D23" s="51">
        <f>SUBTOTAL(109,July14_2022[KSI_PMS])</f>
        <v>1026000</v>
      </c>
      <c r="E23" s="51">
        <f>SUM(July14_2022[BUIPE_AGO])</f>
        <v>648000</v>
      </c>
      <c r="F23" s="51">
        <f>SUM(July14_2022[BUIPE_PMS])</f>
        <v>108000</v>
      </c>
      <c r="G23" s="51">
        <f>SUM(July14_2022[AKOSOMBO_AGO])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E9044C3E-594D-4E37-AED3-46F8DC270DA3}">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2DA7-2054-427B-97EB-6C000453DB99}">
  <dimension ref="B1:K24"/>
  <sheetViews>
    <sheetView zoomScaleNormal="100" workbookViewId="0">
      <pane xSplit="2" ySplit="5" topLeftCell="C6" activePane="bottomRight" state="frozen"/>
      <selection pane="topRight" activeCell="C1" sqref="C1"/>
      <selection pane="bottomLeft" activeCell="A6" sqref="A6"/>
      <selection pane="bottomRight" activeCell="C27" sqref="C2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44757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44757</v>
      </c>
    </row>
    <row r="7" spans="2:11" ht="16.5" customHeight="1" x14ac:dyDescent="0.3">
      <c r="B7" s="6" t="s">
        <v>37</v>
      </c>
      <c r="C7" s="62"/>
      <c r="D7" s="62"/>
      <c r="E7" s="62"/>
      <c r="F7" s="62"/>
      <c r="G7" s="62"/>
      <c r="H7" s="67">
        <f t="shared" si="0"/>
        <v>44757</v>
      </c>
    </row>
    <row r="8" spans="2:11" x14ac:dyDescent="0.3">
      <c r="B8" s="6" t="s">
        <v>17</v>
      </c>
      <c r="C8" s="22"/>
      <c r="D8" s="22"/>
      <c r="E8" s="22"/>
      <c r="F8" s="22"/>
      <c r="G8" s="22"/>
      <c r="H8" s="12">
        <f t="shared" si="0"/>
        <v>44757</v>
      </c>
    </row>
    <row r="9" spans="2:11" ht="15.6" x14ac:dyDescent="0.3">
      <c r="B9" s="34" t="s">
        <v>0</v>
      </c>
      <c r="C9" s="60"/>
      <c r="D9" s="60"/>
      <c r="E9" s="60"/>
      <c r="F9" s="60"/>
      <c r="G9" s="61"/>
      <c r="H9" s="12">
        <f t="shared" si="0"/>
        <v>44757</v>
      </c>
    </row>
    <row r="10" spans="2:11" x14ac:dyDescent="0.3">
      <c r="B10" s="6" t="s">
        <v>25</v>
      </c>
      <c r="C10" s="22"/>
      <c r="D10" s="22">
        <v>270000</v>
      </c>
      <c r="E10" s="22"/>
      <c r="F10" s="22"/>
      <c r="G10" s="22"/>
      <c r="H10" s="12">
        <f t="shared" si="0"/>
        <v>44757</v>
      </c>
    </row>
    <row r="11" spans="2:11" x14ac:dyDescent="0.3">
      <c r="B11" s="6" t="s">
        <v>15</v>
      </c>
      <c r="C11" s="22"/>
      <c r="D11" s="22">
        <v>373500</v>
      </c>
      <c r="E11" s="22"/>
      <c r="F11" s="22"/>
      <c r="G11" s="57"/>
      <c r="H11" s="12">
        <f t="shared" si="0"/>
        <v>44757</v>
      </c>
    </row>
    <row r="12" spans="2:11" x14ac:dyDescent="0.3">
      <c r="B12" s="6" t="s">
        <v>54</v>
      </c>
      <c r="C12" s="22">
        <v>216000</v>
      </c>
      <c r="D12" s="22"/>
      <c r="E12" s="22">
        <v>324000</v>
      </c>
      <c r="F12" s="22"/>
      <c r="G12" s="22"/>
      <c r="H12" s="67">
        <f t="shared" si="0"/>
        <v>44757</v>
      </c>
    </row>
    <row r="13" spans="2:11" x14ac:dyDescent="0.3">
      <c r="B13" s="6" t="s">
        <v>26</v>
      </c>
      <c r="C13" s="22">
        <v>306500</v>
      </c>
      <c r="D13" s="22"/>
      <c r="E13" s="22">
        <v>108000</v>
      </c>
      <c r="F13" s="22"/>
      <c r="G13" s="22"/>
      <c r="H13" s="12">
        <f t="shared" si="0"/>
        <v>44757</v>
      </c>
    </row>
    <row r="14" spans="2:11" x14ac:dyDescent="0.3">
      <c r="B14" s="6" t="s">
        <v>22</v>
      </c>
      <c r="C14" s="22"/>
      <c r="D14" s="22"/>
      <c r="E14" s="22"/>
      <c r="F14" s="22"/>
      <c r="G14" s="22"/>
      <c r="H14" s="12">
        <f t="shared" si="0"/>
        <v>44757</v>
      </c>
      <c r="K14" s="4"/>
    </row>
    <row r="15" spans="2:11" x14ac:dyDescent="0.3">
      <c r="B15" s="6" t="s">
        <v>61</v>
      </c>
      <c r="C15" s="22"/>
      <c r="D15" s="22"/>
      <c r="E15" s="22"/>
      <c r="F15" s="22"/>
      <c r="G15" s="22"/>
      <c r="H15" s="67">
        <f t="shared" si="0"/>
        <v>44757</v>
      </c>
      <c r="K15" s="4"/>
    </row>
    <row r="16" spans="2:11" x14ac:dyDescent="0.3">
      <c r="B16" s="6" t="s">
        <v>19</v>
      </c>
      <c r="C16" s="22">
        <v>324000</v>
      </c>
      <c r="D16" s="22">
        <v>324000</v>
      </c>
      <c r="E16" s="23">
        <v>162000</v>
      </c>
      <c r="F16" s="22"/>
      <c r="G16" s="23"/>
      <c r="H16" s="12">
        <f t="shared" si="0"/>
        <v>44757</v>
      </c>
    </row>
    <row r="17" spans="2:10" x14ac:dyDescent="0.3">
      <c r="B17" s="6" t="s">
        <v>14</v>
      </c>
      <c r="C17" s="22">
        <v>432000</v>
      </c>
      <c r="D17" s="22">
        <v>108000</v>
      </c>
      <c r="E17" s="23">
        <v>216000</v>
      </c>
      <c r="F17" s="22"/>
      <c r="G17" s="23"/>
      <c r="H17" s="12">
        <f t="shared" si="0"/>
        <v>44757</v>
      </c>
    </row>
    <row r="18" spans="2:10" x14ac:dyDescent="0.3">
      <c r="B18" s="6" t="s">
        <v>24</v>
      </c>
      <c r="C18" s="22"/>
      <c r="D18" s="22"/>
      <c r="E18" s="22"/>
      <c r="F18" s="49"/>
      <c r="G18" s="22"/>
      <c r="H18" s="12">
        <f t="shared" si="0"/>
        <v>44757</v>
      </c>
      <c r="J18" s="1" t="s">
        <v>66</v>
      </c>
    </row>
    <row r="19" spans="2:10" x14ac:dyDescent="0.3">
      <c r="B19" s="6" t="s">
        <v>21</v>
      </c>
      <c r="C19" s="22">
        <v>324000</v>
      </c>
      <c r="D19" s="22"/>
      <c r="E19" s="22"/>
      <c r="F19" s="22"/>
      <c r="G19" s="22"/>
      <c r="H19" s="67">
        <f t="shared" si="0"/>
        <v>44757</v>
      </c>
    </row>
    <row r="20" spans="2:10" x14ac:dyDescent="0.3">
      <c r="B20" s="6" t="s">
        <v>65</v>
      </c>
      <c r="C20" s="22"/>
      <c r="D20" s="22"/>
      <c r="E20" s="22"/>
      <c r="F20" s="22"/>
      <c r="G20" s="22"/>
      <c r="H20" s="12">
        <f t="shared" si="0"/>
        <v>44757</v>
      </c>
    </row>
    <row r="21" spans="2:10" x14ac:dyDescent="0.3">
      <c r="B21" s="6" t="s">
        <v>18</v>
      </c>
      <c r="C21" s="62"/>
      <c r="D21" s="62">
        <v>108000</v>
      </c>
      <c r="E21" s="62"/>
      <c r="F21" s="62"/>
      <c r="G21" s="62"/>
      <c r="H21" s="12">
        <f t="shared" si="0"/>
        <v>44757</v>
      </c>
    </row>
    <row r="22" spans="2:10" x14ac:dyDescent="0.3">
      <c r="B22" s="6" t="s">
        <v>16</v>
      </c>
      <c r="C22" s="22"/>
      <c r="D22" s="22">
        <v>270000</v>
      </c>
      <c r="E22" s="62"/>
      <c r="F22" s="62"/>
      <c r="G22" s="62"/>
      <c r="H22" s="12">
        <f t="shared" si="0"/>
        <v>44757</v>
      </c>
    </row>
    <row r="23" spans="2:10" x14ac:dyDescent="0.3">
      <c r="B23" s="50" t="s">
        <v>27</v>
      </c>
      <c r="C23" s="51">
        <f>SUM(July15_2022[KSI_AGO])</f>
        <v>1602500</v>
      </c>
      <c r="D23" s="51">
        <f>SUBTOTAL(109,July15_2022[KSI_PMS])</f>
        <v>1453500</v>
      </c>
      <c r="E23" s="51">
        <f>SUM(July15_2022[BUIPE_AGO])</f>
        <v>810000</v>
      </c>
      <c r="F23" s="51">
        <f>SUM(July15_2022[BUIPE_PMS])</f>
        <v>0</v>
      </c>
      <c r="G23" s="51">
        <f>SUM(July15_2022[AKOSOMBO_AGO])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98947C7-FBEC-48A6-AA7F-3266868AD092}">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48AE-035F-46EB-ACA8-63BBB115E19C}">
  <dimension ref="B1:K24"/>
  <sheetViews>
    <sheetView zoomScaleNormal="100" workbookViewId="0">
      <pane xSplit="2" ySplit="5" topLeftCell="C6" activePane="bottomRight" state="frozen"/>
      <selection pane="topRight" activeCell="C1" sqref="C1"/>
      <selection pane="bottomLeft" activeCell="A6" sqref="A6"/>
      <selection pane="bottomRight"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44760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44760</v>
      </c>
    </row>
    <row r="7" spans="2:11" ht="16.5" customHeight="1" x14ac:dyDescent="0.3">
      <c r="B7" s="6" t="s">
        <v>37</v>
      </c>
      <c r="C7" s="62"/>
      <c r="D7" s="62"/>
      <c r="E7" s="62"/>
      <c r="F7" s="62"/>
      <c r="G7" s="62"/>
      <c r="H7" s="67">
        <f t="shared" si="0"/>
        <v>44760</v>
      </c>
    </row>
    <row r="8" spans="2:11" x14ac:dyDescent="0.3">
      <c r="B8" s="6" t="s">
        <v>17</v>
      </c>
      <c r="C8" s="22"/>
      <c r="D8" s="22"/>
      <c r="E8" s="22"/>
      <c r="F8" s="22"/>
      <c r="G8" s="22"/>
      <c r="H8" s="12">
        <f t="shared" si="0"/>
        <v>44760</v>
      </c>
    </row>
    <row r="9" spans="2:11" ht="15.6" x14ac:dyDescent="0.3">
      <c r="B9" s="34" t="s">
        <v>0</v>
      </c>
      <c r="C9" s="60">
        <v>639000</v>
      </c>
      <c r="D9" s="60"/>
      <c r="E9" s="60">
        <v>162000</v>
      </c>
      <c r="F9" s="60"/>
      <c r="G9" s="61"/>
      <c r="H9" s="12">
        <f t="shared" si="0"/>
        <v>44760</v>
      </c>
    </row>
    <row r="10" spans="2:11" x14ac:dyDescent="0.3">
      <c r="B10" s="6" t="s">
        <v>25</v>
      </c>
      <c r="C10" s="22"/>
      <c r="D10" s="22">
        <v>324000</v>
      </c>
      <c r="E10" s="22"/>
      <c r="F10" s="22"/>
      <c r="G10" s="22"/>
      <c r="H10" s="12">
        <f t="shared" si="0"/>
        <v>44760</v>
      </c>
    </row>
    <row r="11" spans="2:11" x14ac:dyDescent="0.3">
      <c r="B11" s="6" t="s">
        <v>15</v>
      </c>
      <c r="C11" s="22"/>
      <c r="D11" s="22">
        <v>370000</v>
      </c>
      <c r="E11" s="22"/>
      <c r="F11" s="22">
        <v>90000</v>
      </c>
      <c r="G11" s="57"/>
      <c r="H11" s="12">
        <f t="shared" si="0"/>
        <v>44760</v>
      </c>
    </row>
    <row r="12" spans="2:11" x14ac:dyDescent="0.3">
      <c r="B12" s="6" t="s">
        <v>54</v>
      </c>
      <c r="C12" s="22">
        <v>216000</v>
      </c>
      <c r="D12" s="22"/>
      <c r="E12" s="22">
        <v>216000</v>
      </c>
      <c r="F12" s="22"/>
      <c r="G12" s="22"/>
      <c r="H12" s="67">
        <f t="shared" si="0"/>
        <v>44760</v>
      </c>
    </row>
    <row r="13" spans="2:11" x14ac:dyDescent="0.3">
      <c r="B13" s="6" t="s">
        <v>26</v>
      </c>
      <c r="C13" s="22">
        <v>108000</v>
      </c>
      <c r="D13" s="22"/>
      <c r="E13" s="22">
        <v>135000</v>
      </c>
      <c r="F13" s="22"/>
      <c r="G13" s="22"/>
      <c r="H13" s="12">
        <f t="shared" si="0"/>
        <v>44760</v>
      </c>
    </row>
    <row r="14" spans="2:11" x14ac:dyDescent="0.3">
      <c r="B14" s="6" t="s">
        <v>22</v>
      </c>
      <c r="C14" s="22"/>
      <c r="D14" s="22"/>
      <c r="E14" s="22"/>
      <c r="F14" s="22"/>
      <c r="G14" s="22"/>
      <c r="H14" s="12">
        <f t="shared" si="0"/>
        <v>44760</v>
      </c>
      <c r="K14" s="4"/>
    </row>
    <row r="15" spans="2:11" x14ac:dyDescent="0.3">
      <c r="B15" s="6" t="s">
        <v>61</v>
      </c>
      <c r="C15" s="22"/>
      <c r="D15" s="22"/>
      <c r="E15" s="22"/>
      <c r="F15" s="22"/>
      <c r="G15" s="22"/>
      <c r="H15" s="67">
        <f t="shared" si="0"/>
        <v>44760</v>
      </c>
      <c r="K15" s="4"/>
    </row>
    <row r="16" spans="2:11" x14ac:dyDescent="0.3">
      <c r="B16" s="6" t="s">
        <v>19</v>
      </c>
      <c r="C16" s="22">
        <v>270000</v>
      </c>
      <c r="D16" s="22">
        <v>486000</v>
      </c>
      <c r="E16" s="23">
        <v>162000</v>
      </c>
      <c r="F16" s="22"/>
      <c r="G16" s="23"/>
      <c r="H16" s="12">
        <f t="shared" si="0"/>
        <v>44760</v>
      </c>
    </row>
    <row r="17" spans="2:10" x14ac:dyDescent="0.3">
      <c r="B17" s="6" t="s">
        <v>14</v>
      </c>
      <c r="C17" s="22">
        <v>424000</v>
      </c>
      <c r="D17" s="22"/>
      <c r="E17" s="23">
        <v>158000</v>
      </c>
      <c r="F17" s="22"/>
      <c r="G17" s="23"/>
      <c r="H17" s="12">
        <f t="shared" si="0"/>
        <v>44760</v>
      </c>
    </row>
    <row r="18" spans="2:10" x14ac:dyDescent="0.3">
      <c r="B18" s="6" t="s">
        <v>24</v>
      </c>
      <c r="C18" s="22"/>
      <c r="D18" s="22"/>
      <c r="E18" s="22"/>
      <c r="F18" s="49"/>
      <c r="G18" s="22"/>
      <c r="H18" s="12">
        <f t="shared" si="0"/>
        <v>44760</v>
      </c>
      <c r="J18" s="1" t="s">
        <v>66</v>
      </c>
    </row>
    <row r="19" spans="2:10" x14ac:dyDescent="0.3">
      <c r="B19" s="6" t="s">
        <v>21</v>
      </c>
      <c r="C19" s="22">
        <v>162000</v>
      </c>
      <c r="D19" s="22"/>
      <c r="E19" s="22"/>
      <c r="F19" s="22"/>
      <c r="G19" s="22"/>
      <c r="H19" s="67">
        <f t="shared" si="0"/>
        <v>44760</v>
      </c>
    </row>
    <row r="20" spans="2:10" x14ac:dyDescent="0.3">
      <c r="B20" s="6" t="s">
        <v>65</v>
      </c>
      <c r="C20" s="22"/>
      <c r="D20" s="22"/>
      <c r="E20" s="22"/>
      <c r="F20" s="22"/>
      <c r="G20" s="22"/>
      <c r="H20" s="12">
        <f t="shared" si="0"/>
        <v>44760</v>
      </c>
    </row>
    <row r="21" spans="2:10" x14ac:dyDescent="0.3">
      <c r="B21" s="6" t="s">
        <v>18</v>
      </c>
      <c r="C21" s="62"/>
      <c r="D21" s="62"/>
      <c r="E21" s="62"/>
      <c r="F21" s="62"/>
      <c r="G21" s="62"/>
      <c r="H21" s="12">
        <f t="shared" si="0"/>
        <v>44760</v>
      </c>
    </row>
    <row r="22" spans="2:10" x14ac:dyDescent="0.3">
      <c r="B22" s="6" t="s">
        <v>16</v>
      </c>
      <c r="C22" s="22"/>
      <c r="D22" s="22">
        <v>324000</v>
      </c>
      <c r="E22" s="62"/>
      <c r="F22" s="62"/>
      <c r="G22" s="62"/>
      <c r="H22" s="12">
        <f t="shared" si="0"/>
        <v>44760</v>
      </c>
    </row>
    <row r="23" spans="2:10" x14ac:dyDescent="0.3">
      <c r="B23" s="50" t="s">
        <v>27</v>
      </c>
      <c r="C23" s="51">
        <f>SUM(July18_2022[KSI_AGO])</f>
        <v>1819000</v>
      </c>
      <c r="D23" s="51">
        <f>SUBTOTAL(109,July18_2022[KSI_PMS])</f>
        <v>1504000</v>
      </c>
      <c r="E23" s="51">
        <f>SUM(July18_2022[BUIPE_AGO])</f>
        <v>833000</v>
      </c>
      <c r="F23" s="51">
        <f>SUM(July18_2022[BUIPE_PMS])</f>
        <v>90000</v>
      </c>
      <c r="G23" s="51">
        <f>SUM(July18_2022[AKOSOMBO_AGO])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1208F17-F565-44A6-9A5F-B60587A96F0A}">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9D9B-B129-4AB3-9E2C-7956426B701A}">
  <dimension ref="B1:K24"/>
  <sheetViews>
    <sheetView zoomScaleNormal="100" workbookViewId="0">
      <pane xSplit="2" ySplit="5" topLeftCell="C6" activePane="bottomRight" state="frozen"/>
      <selection pane="topRight" activeCell="C1" sqref="C1"/>
      <selection pane="bottomLeft" activeCell="A6" sqref="A6"/>
      <selection pane="bottomRight" activeCell="D17" sqref="D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44761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44761</v>
      </c>
    </row>
    <row r="7" spans="2:11" ht="16.5" customHeight="1" x14ac:dyDescent="0.3">
      <c r="B7" s="6" t="s">
        <v>37</v>
      </c>
      <c r="C7" s="62"/>
      <c r="D7" s="62"/>
      <c r="E7" s="62"/>
      <c r="F7" s="62"/>
      <c r="G7" s="62"/>
      <c r="H7" s="67">
        <f t="shared" si="0"/>
        <v>44761</v>
      </c>
    </row>
    <row r="8" spans="2:11" x14ac:dyDescent="0.3">
      <c r="B8" s="6" t="s">
        <v>17</v>
      </c>
      <c r="C8" s="22"/>
      <c r="D8" s="22"/>
      <c r="E8" s="22"/>
      <c r="F8" s="22"/>
      <c r="G8" s="22"/>
      <c r="H8" s="12">
        <f t="shared" si="0"/>
        <v>44761</v>
      </c>
    </row>
    <row r="9" spans="2:11" ht="15.6" x14ac:dyDescent="0.3">
      <c r="B9" s="34" t="s">
        <v>0</v>
      </c>
      <c r="C9" s="60">
        <v>531000</v>
      </c>
      <c r="D9" s="60"/>
      <c r="E9" s="60">
        <v>54000</v>
      </c>
      <c r="F9" s="60"/>
      <c r="G9" s="61"/>
      <c r="H9" s="12">
        <f t="shared" si="0"/>
        <v>44761</v>
      </c>
    </row>
    <row r="10" spans="2:11" x14ac:dyDescent="0.3">
      <c r="B10" s="6" t="s">
        <v>25</v>
      </c>
      <c r="C10" s="22"/>
      <c r="D10" s="22">
        <v>162000</v>
      </c>
      <c r="E10" s="22"/>
      <c r="F10" s="22"/>
      <c r="G10" s="22"/>
      <c r="H10" s="12">
        <f t="shared" si="0"/>
        <v>44761</v>
      </c>
    </row>
    <row r="11" spans="2:11" x14ac:dyDescent="0.3">
      <c r="B11" s="6" t="s">
        <v>15</v>
      </c>
      <c r="C11" s="22"/>
      <c r="D11" s="22">
        <v>535500</v>
      </c>
      <c r="E11" s="22"/>
      <c r="F11" s="22"/>
      <c r="G11" s="57"/>
      <c r="H11" s="12">
        <f t="shared" si="0"/>
        <v>44761</v>
      </c>
    </row>
    <row r="12" spans="2:11" x14ac:dyDescent="0.3">
      <c r="B12" s="6" t="s">
        <v>54</v>
      </c>
      <c r="C12" s="22">
        <v>162000</v>
      </c>
      <c r="D12" s="22"/>
      <c r="E12" s="22">
        <v>108000</v>
      </c>
      <c r="F12" s="22"/>
      <c r="G12" s="22"/>
      <c r="H12" s="67">
        <f t="shared" si="0"/>
        <v>44761</v>
      </c>
    </row>
    <row r="13" spans="2:11" x14ac:dyDescent="0.3">
      <c r="B13" s="6" t="s">
        <v>26</v>
      </c>
      <c r="C13" s="22"/>
      <c r="D13" s="22"/>
      <c r="E13" s="22">
        <v>50000</v>
      </c>
      <c r="F13" s="22"/>
      <c r="G13" s="22"/>
      <c r="H13" s="12">
        <f t="shared" si="0"/>
        <v>44761</v>
      </c>
    </row>
    <row r="14" spans="2:11" x14ac:dyDescent="0.3">
      <c r="B14" s="6" t="s">
        <v>22</v>
      </c>
      <c r="C14" s="22"/>
      <c r="D14" s="22"/>
      <c r="E14" s="22"/>
      <c r="F14" s="22"/>
      <c r="G14" s="22"/>
      <c r="H14" s="12">
        <f t="shared" si="0"/>
        <v>44761</v>
      </c>
      <c r="K14" s="4"/>
    </row>
    <row r="15" spans="2:11" x14ac:dyDescent="0.3">
      <c r="B15" s="6" t="s">
        <v>61</v>
      </c>
      <c r="C15" s="22"/>
      <c r="D15" s="22"/>
      <c r="E15" s="22"/>
      <c r="F15" s="22"/>
      <c r="G15" s="22"/>
      <c r="H15" s="67">
        <f t="shared" si="0"/>
        <v>44761</v>
      </c>
      <c r="K15" s="4"/>
    </row>
    <row r="16" spans="2:11" x14ac:dyDescent="0.3">
      <c r="B16" s="6" t="s">
        <v>19</v>
      </c>
      <c r="C16" s="22">
        <v>270000</v>
      </c>
      <c r="D16" s="22">
        <v>324000</v>
      </c>
      <c r="E16" s="23">
        <v>324000</v>
      </c>
      <c r="F16" s="22"/>
      <c r="G16" s="23"/>
      <c r="H16" s="12">
        <f t="shared" si="0"/>
        <v>44761</v>
      </c>
    </row>
    <row r="17" spans="2:10" x14ac:dyDescent="0.3">
      <c r="B17" s="6" t="s">
        <v>14</v>
      </c>
      <c r="C17" s="22">
        <v>265500</v>
      </c>
      <c r="D17" s="22">
        <v>54000</v>
      </c>
      <c r="E17" s="23">
        <v>432000</v>
      </c>
      <c r="F17" s="22"/>
      <c r="G17" s="23"/>
      <c r="H17" s="12">
        <f t="shared" si="0"/>
        <v>44761</v>
      </c>
    </row>
    <row r="18" spans="2:10" x14ac:dyDescent="0.3">
      <c r="B18" s="6" t="s">
        <v>24</v>
      </c>
      <c r="C18" s="22"/>
      <c r="D18" s="22"/>
      <c r="E18" s="22"/>
      <c r="F18" s="49"/>
      <c r="G18" s="22"/>
      <c r="H18" s="12">
        <f t="shared" si="0"/>
        <v>44761</v>
      </c>
      <c r="J18" s="1" t="s">
        <v>66</v>
      </c>
    </row>
    <row r="19" spans="2:10" x14ac:dyDescent="0.3">
      <c r="B19" s="6" t="s">
        <v>21</v>
      </c>
      <c r="C19" s="22">
        <v>108000</v>
      </c>
      <c r="D19" s="22"/>
      <c r="E19" s="22"/>
      <c r="F19" s="22"/>
      <c r="G19" s="22"/>
      <c r="H19" s="67">
        <f t="shared" si="0"/>
        <v>44761</v>
      </c>
    </row>
    <row r="20" spans="2:10" x14ac:dyDescent="0.3">
      <c r="B20" s="6" t="s">
        <v>65</v>
      </c>
      <c r="C20" s="22"/>
      <c r="D20" s="22"/>
      <c r="E20" s="22"/>
      <c r="F20" s="22"/>
      <c r="G20" s="22"/>
      <c r="H20" s="12">
        <f t="shared" si="0"/>
        <v>44761</v>
      </c>
    </row>
    <row r="21" spans="2:10" x14ac:dyDescent="0.3">
      <c r="B21" s="6" t="s">
        <v>18</v>
      </c>
      <c r="C21" s="62"/>
      <c r="D21" s="62"/>
      <c r="E21" s="62"/>
      <c r="F21" s="62"/>
      <c r="G21" s="62"/>
      <c r="H21" s="12">
        <f t="shared" si="0"/>
        <v>44761</v>
      </c>
    </row>
    <row r="22" spans="2:10" x14ac:dyDescent="0.3">
      <c r="B22" s="6" t="s">
        <v>16</v>
      </c>
      <c r="C22" s="22"/>
      <c r="D22" s="22">
        <v>153000</v>
      </c>
      <c r="E22" s="62"/>
      <c r="F22" s="62"/>
      <c r="G22" s="62"/>
      <c r="H22" s="12">
        <f t="shared" si="0"/>
        <v>44761</v>
      </c>
    </row>
    <row r="23" spans="2:10" x14ac:dyDescent="0.3">
      <c r="B23" s="50" t="s">
        <v>27</v>
      </c>
      <c r="C23" s="51">
        <f>SUM(July19_2022[KSI_AGO])</f>
        <v>1336500</v>
      </c>
      <c r="D23" s="51">
        <f>SUBTOTAL(109,July19_2022[KSI_PMS])</f>
        <v>1228500</v>
      </c>
      <c r="E23" s="51">
        <f>SUM(July19_2022[BUIPE_AGO])</f>
        <v>968000</v>
      </c>
      <c r="F23" s="51">
        <f>SUM(July19_2022[BUIPE_PMS])</f>
        <v>0</v>
      </c>
      <c r="G23" s="51">
        <f>SUM(July19_2022[AKOSOMBO_AGO])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CD6C0BA-3FA1-4881-95C1-EBB18260701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6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B14DC-D4E3-4413-BEAA-26938FCAE0B6}">
  <dimension ref="B1:K24"/>
  <sheetViews>
    <sheetView zoomScaleNormal="100" workbookViewId="0">
      <pane xSplit="2" ySplit="5" topLeftCell="C6" activePane="bottomRight" state="frozen"/>
      <selection pane="topRight" activeCell="C1" sqref="C1"/>
      <selection pane="bottomLeft" activeCell="A6" sqref="A6"/>
      <selection pane="bottomRight" activeCell="D13" sqref="D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44762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44762</v>
      </c>
    </row>
    <row r="7" spans="2:11" ht="16.5" customHeight="1" x14ac:dyDescent="0.3">
      <c r="B7" s="6" t="s">
        <v>37</v>
      </c>
      <c r="C7" s="62"/>
      <c r="D7" s="62"/>
      <c r="E7" s="62"/>
      <c r="F7" s="62"/>
      <c r="G7" s="62"/>
      <c r="H7" s="67">
        <f t="shared" si="0"/>
        <v>44762</v>
      </c>
    </row>
    <row r="8" spans="2:11" x14ac:dyDescent="0.3">
      <c r="B8" s="6" t="s">
        <v>17</v>
      </c>
      <c r="C8" s="22"/>
      <c r="D8" s="22"/>
      <c r="E8" s="22"/>
      <c r="F8" s="22"/>
      <c r="G8" s="22"/>
      <c r="H8" s="12">
        <f t="shared" si="0"/>
        <v>44762</v>
      </c>
    </row>
    <row r="9" spans="2:11" ht="15.6" x14ac:dyDescent="0.3">
      <c r="B9" s="34" t="s">
        <v>0</v>
      </c>
      <c r="C9" s="60">
        <v>153000</v>
      </c>
      <c r="D9" s="60"/>
      <c r="E9" s="60"/>
      <c r="F9" s="60"/>
      <c r="G9" s="61"/>
      <c r="H9" s="12">
        <f t="shared" si="0"/>
        <v>44762</v>
      </c>
    </row>
    <row r="10" spans="2:11" x14ac:dyDescent="0.3">
      <c r="B10" s="6" t="s">
        <v>25</v>
      </c>
      <c r="C10" s="22"/>
      <c r="D10" s="22">
        <v>108000</v>
      </c>
      <c r="E10" s="22"/>
      <c r="F10" s="22"/>
      <c r="G10" s="22"/>
      <c r="H10" s="12">
        <f t="shared" si="0"/>
        <v>44762</v>
      </c>
    </row>
    <row r="11" spans="2:11" x14ac:dyDescent="0.3">
      <c r="B11" s="6" t="s">
        <v>15</v>
      </c>
      <c r="C11" s="22"/>
      <c r="D11" s="22">
        <v>531500</v>
      </c>
      <c r="E11" s="22"/>
      <c r="F11" s="22"/>
      <c r="G11" s="57"/>
      <c r="H11" s="12">
        <f t="shared" si="0"/>
        <v>44762</v>
      </c>
    </row>
    <row r="12" spans="2:11" x14ac:dyDescent="0.3">
      <c r="B12" s="6" t="s">
        <v>54</v>
      </c>
      <c r="C12" s="22">
        <v>162000</v>
      </c>
      <c r="D12" s="22"/>
      <c r="E12" s="22"/>
      <c r="F12" s="22"/>
      <c r="G12" s="22"/>
      <c r="H12" s="67">
        <f t="shared" si="0"/>
        <v>44762</v>
      </c>
    </row>
    <row r="13" spans="2:11" x14ac:dyDescent="0.3">
      <c r="B13" s="6" t="s">
        <v>26</v>
      </c>
      <c r="C13" s="22">
        <v>54000</v>
      </c>
      <c r="D13" s="22"/>
      <c r="E13" s="22"/>
      <c r="F13" s="22"/>
      <c r="G13" s="22"/>
      <c r="H13" s="12">
        <f t="shared" si="0"/>
        <v>44762</v>
      </c>
    </row>
    <row r="14" spans="2:11" x14ac:dyDescent="0.3">
      <c r="B14" s="6" t="s">
        <v>22</v>
      </c>
      <c r="C14" s="22"/>
      <c r="D14" s="22"/>
      <c r="E14" s="22"/>
      <c r="F14" s="22"/>
      <c r="G14" s="22"/>
      <c r="H14" s="12">
        <f t="shared" si="0"/>
        <v>44762</v>
      </c>
      <c r="K14" s="4"/>
    </row>
    <row r="15" spans="2:11" x14ac:dyDescent="0.3">
      <c r="B15" s="6" t="s">
        <v>61</v>
      </c>
      <c r="C15" s="22"/>
      <c r="D15" s="22"/>
      <c r="E15" s="22"/>
      <c r="F15" s="22"/>
      <c r="G15" s="22"/>
      <c r="H15" s="67">
        <f t="shared" si="0"/>
        <v>44762</v>
      </c>
      <c r="K15" s="4"/>
    </row>
    <row r="16" spans="2:11" x14ac:dyDescent="0.3">
      <c r="B16" s="6" t="s">
        <v>19</v>
      </c>
      <c r="C16" s="22">
        <v>216000</v>
      </c>
      <c r="D16" s="22"/>
      <c r="E16" s="23">
        <v>486000</v>
      </c>
      <c r="F16" s="22"/>
      <c r="G16" s="23"/>
      <c r="H16" s="12">
        <f t="shared" si="0"/>
        <v>44762</v>
      </c>
    </row>
    <row r="17" spans="2:10" x14ac:dyDescent="0.3">
      <c r="B17" s="6" t="s">
        <v>14</v>
      </c>
      <c r="C17" s="22">
        <v>418500</v>
      </c>
      <c r="D17" s="22">
        <v>90000</v>
      </c>
      <c r="E17" s="23">
        <v>432000</v>
      </c>
      <c r="F17" s="22"/>
      <c r="G17" s="23"/>
      <c r="H17" s="12">
        <f t="shared" si="0"/>
        <v>44762</v>
      </c>
    </row>
    <row r="18" spans="2:10" x14ac:dyDescent="0.3">
      <c r="B18" s="6" t="s">
        <v>24</v>
      </c>
      <c r="C18" s="22"/>
      <c r="D18" s="22"/>
      <c r="E18" s="22"/>
      <c r="F18" s="49"/>
      <c r="G18" s="22"/>
      <c r="H18" s="12">
        <f t="shared" si="0"/>
        <v>44762</v>
      </c>
      <c r="J18" s="1" t="s">
        <v>66</v>
      </c>
    </row>
    <row r="19" spans="2:10" x14ac:dyDescent="0.3">
      <c r="B19" s="6" t="s">
        <v>21</v>
      </c>
      <c r="C19" s="22">
        <v>270000</v>
      </c>
      <c r="D19" s="22"/>
      <c r="E19" s="22"/>
      <c r="F19" s="22"/>
      <c r="G19" s="22"/>
      <c r="H19" s="67">
        <f t="shared" si="0"/>
        <v>44762</v>
      </c>
    </row>
    <row r="20" spans="2:10" x14ac:dyDescent="0.3">
      <c r="B20" s="6" t="s">
        <v>65</v>
      </c>
      <c r="C20" s="22"/>
      <c r="D20" s="22"/>
      <c r="E20" s="22"/>
      <c r="F20" s="22"/>
      <c r="G20" s="22"/>
      <c r="H20" s="12">
        <f t="shared" si="0"/>
        <v>44762</v>
      </c>
    </row>
    <row r="21" spans="2:10" x14ac:dyDescent="0.3">
      <c r="B21" s="6" t="s">
        <v>18</v>
      </c>
      <c r="C21" s="62"/>
      <c r="D21" s="62"/>
      <c r="E21" s="62"/>
      <c r="F21" s="62"/>
      <c r="G21" s="62"/>
      <c r="H21" s="12">
        <f t="shared" si="0"/>
        <v>44762</v>
      </c>
    </row>
    <row r="22" spans="2:10" x14ac:dyDescent="0.3">
      <c r="B22" s="6" t="s">
        <v>16</v>
      </c>
      <c r="C22" s="22"/>
      <c r="D22" s="22">
        <v>54000</v>
      </c>
      <c r="E22" s="62"/>
      <c r="F22" s="62"/>
      <c r="G22" s="62"/>
      <c r="H22" s="12">
        <f t="shared" si="0"/>
        <v>44762</v>
      </c>
    </row>
    <row r="23" spans="2:10" x14ac:dyDescent="0.3">
      <c r="B23" s="50" t="s">
        <v>27</v>
      </c>
      <c r="C23" s="51">
        <f>SUM(July20_2022[KSI_AGO])</f>
        <v>1273500</v>
      </c>
      <c r="D23" s="51">
        <f>SUBTOTAL(109,July20_2022[KSI_PMS])</f>
        <v>783500</v>
      </c>
      <c r="E23" s="51">
        <f>SUM(July20_2022[BUIPE_AGO])</f>
        <v>918000</v>
      </c>
      <c r="F23" s="51">
        <f>SUM(July20_2022[BUIPE_PMS])</f>
        <v>0</v>
      </c>
      <c r="G23" s="51">
        <f>SUM(July20_2022[AKOSOMBO_AGO])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01D6F02-B3FC-4BFF-93C5-3750AA65237C}">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D3F47-6C74-4317-BE4E-EA0C56D25DFC}">
  <dimension ref="B1:K24"/>
  <sheetViews>
    <sheetView zoomScaleNormal="100" workbookViewId="0">
      <pane xSplit="2" ySplit="5" topLeftCell="C6" activePane="bottomRight" state="frozen"/>
      <selection pane="topRight" activeCell="C1" sqref="C1"/>
      <selection pane="bottomLeft" activeCell="A6" sqref="A6"/>
      <selection pane="bottomRight" activeCell="D24" sqref="D2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44763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216000</v>
      </c>
      <c r="D6" s="45"/>
      <c r="E6" s="45"/>
      <c r="F6" s="45"/>
      <c r="G6" s="45"/>
      <c r="H6" s="12">
        <f t="shared" ref="H6:H22" si="0">$G$3</f>
        <v>44763</v>
      </c>
    </row>
    <row r="7" spans="2:11" ht="16.5" customHeight="1" x14ac:dyDescent="0.3">
      <c r="B7" s="6" t="s">
        <v>37</v>
      </c>
      <c r="C7" s="62"/>
      <c r="D7" s="62"/>
      <c r="E7" s="62"/>
      <c r="F7" s="62"/>
      <c r="G7" s="62"/>
      <c r="H7" s="67">
        <f t="shared" si="0"/>
        <v>44763</v>
      </c>
    </row>
    <row r="8" spans="2:11" x14ac:dyDescent="0.3">
      <c r="B8" s="6" t="s">
        <v>17</v>
      </c>
      <c r="C8" s="22"/>
      <c r="D8" s="22"/>
      <c r="E8" s="22"/>
      <c r="F8" s="22"/>
      <c r="G8" s="22"/>
      <c r="H8" s="12">
        <f t="shared" si="0"/>
        <v>44763</v>
      </c>
    </row>
    <row r="9" spans="2:11" ht="15.6" x14ac:dyDescent="0.3">
      <c r="B9" s="34" t="s">
        <v>0</v>
      </c>
      <c r="C9" s="60"/>
      <c r="D9" s="60"/>
      <c r="E9" s="60"/>
      <c r="F9" s="60"/>
      <c r="G9" s="61"/>
      <c r="H9" s="12">
        <f t="shared" si="0"/>
        <v>44763</v>
      </c>
    </row>
    <row r="10" spans="2:11" x14ac:dyDescent="0.3">
      <c r="B10" s="6" t="s">
        <v>25</v>
      </c>
      <c r="C10" s="22"/>
      <c r="D10" s="22"/>
      <c r="E10" s="22"/>
      <c r="F10" s="22"/>
      <c r="G10" s="22"/>
      <c r="H10" s="12">
        <f t="shared" si="0"/>
        <v>44763</v>
      </c>
    </row>
    <row r="11" spans="2:11" x14ac:dyDescent="0.3">
      <c r="B11" s="6" t="s">
        <v>15</v>
      </c>
      <c r="C11" s="22"/>
      <c r="D11" s="22">
        <v>427500</v>
      </c>
      <c r="E11" s="22"/>
      <c r="F11" s="22"/>
      <c r="G11" s="57"/>
      <c r="H11" s="12">
        <f t="shared" si="0"/>
        <v>44763</v>
      </c>
    </row>
    <row r="12" spans="2:11" x14ac:dyDescent="0.3">
      <c r="B12" s="6" t="s">
        <v>54</v>
      </c>
      <c r="C12" s="22">
        <v>270000</v>
      </c>
      <c r="D12" s="22"/>
      <c r="E12" s="22"/>
      <c r="F12" s="22"/>
      <c r="G12" s="22"/>
      <c r="H12" s="67">
        <f t="shared" si="0"/>
        <v>44763</v>
      </c>
    </row>
    <row r="13" spans="2:11" x14ac:dyDescent="0.3">
      <c r="B13" s="6" t="s">
        <v>26</v>
      </c>
      <c r="C13" s="22">
        <v>153000</v>
      </c>
      <c r="D13" s="22"/>
      <c r="E13" s="22"/>
      <c r="F13" s="22"/>
      <c r="G13" s="22"/>
      <c r="H13" s="12">
        <f t="shared" si="0"/>
        <v>44763</v>
      </c>
    </row>
    <row r="14" spans="2:11" x14ac:dyDescent="0.3">
      <c r="B14" s="6" t="s">
        <v>22</v>
      </c>
      <c r="C14" s="22"/>
      <c r="D14" s="22"/>
      <c r="E14" s="22"/>
      <c r="F14" s="22"/>
      <c r="G14" s="22"/>
      <c r="H14" s="12">
        <f t="shared" si="0"/>
        <v>44763</v>
      </c>
      <c r="K14" s="4"/>
    </row>
    <row r="15" spans="2:11" x14ac:dyDescent="0.3">
      <c r="B15" s="6" t="s">
        <v>61</v>
      </c>
      <c r="C15" s="22"/>
      <c r="D15" s="22"/>
      <c r="E15" s="22"/>
      <c r="F15" s="22"/>
      <c r="G15" s="22"/>
      <c r="H15" s="67">
        <f t="shared" si="0"/>
        <v>44763</v>
      </c>
      <c r="K15" s="4"/>
    </row>
    <row r="16" spans="2:11" x14ac:dyDescent="0.3">
      <c r="B16" s="6" t="s">
        <v>19</v>
      </c>
      <c r="C16" s="22">
        <v>270000</v>
      </c>
      <c r="D16" s="22"/>
      <c r="E16" s="23">
        <v>270000</v>
      </c>
      <c r="F16" s="22"/>
      <c r="G16" s="23"/>
      <c r="H16" s="12">
        <f t="shared" si="0"/>
        <v>44763</v>
      </c>
    </row>
    <row r="17" spans="2:10" x14ac:dyDescent="0.3">
      <c r="B17" s="6" t="s">
        <v>14</v>
      </c>
      <c r="C17" s="22">
        <v>216000</v>
      </c>
      <c r="D17" s="22">
        <v>378000</v>
      </c>
      <c r="E17" s="23">
        <v>486000</v>
      </c>
      <c r="F17" s="22"/>
      <c r="G17" s="23"/>
      <c r="H17" s="12">
        <f t="shared" si="0"/>
        <v>44763</v>
      </c>
    </row>
    <row r="18" spans="2:10" x14ac:dyDescent="0.3">
      <c r="B18" s="6" t="s">
        <v>24</v>
      </c>
      <c r="C18" s="22"/>
      <c r="D18" s="22"/>
      <c r="E18" s="22"/>
      <c r="F18" s="49"/>
      <c r="G18" s="22"/>
      <c r="H18" s="12">
        <f t="shared" si="0"/>
        <v>44763</v>
      </c>
      <c r="J18" s="1" t="s">
        <v>66</v>
      </c>
    </row>
    <row r="19" spans="2:10" x14ac:dyDescent="0.3">
      <c r="B19" s="6" t="s">
        <v>21</v>
      </c>
      <c r="C19" s="22"/>
      <c r="D19" s="22"/>
      <c r="E19" s="22"/>
      <c r="F19" s="22"/>
      <c r="G19" s="22"/>
      <c r="H19" s="67">
        <f t="shared" si="0"/>
        <v>44763</v>
      </c>
    </row>
    <row r="20" spans="2:10" x14ac:dyDescent="0.3">
      <c r="B20" s="6" t="s">
        <v>65</v>
      </c>
      <c r="C20" s="22"/>
      <c r="D20" s="22"/>
      <c r="E20" s="22"/>
      <c r="F20" s="22"/>
      <c r="G20" s="22"/>
      <c r="H20" s="12">
        <f t="shared" si="0"/>
        <v>44763</v>
      </c>
    </row>
    <row r="21" spans="2:10" x14ac:dyDescent="0.3">
      <c r="B21" s="6" t="s">
        <v>18</v>
      </c>
      <c r="C21" s="62"/>
      <c r="D21" s="62"/>
      <c r="E21" s="62"/>
      <c r="F21" s="62"/>
      <c r="G21" s="62"/>
      <c r="H21" s="12">
        <f t="shared" si="0"/>
        <v>44763</v>
      </c>
    </row>
    <row r="22" spans="2:10" x14ac:dyDescent="0.3">
      <c r="B22" s="6" t="s">
        <v>16</v>
      </c>
      <c r="C22" s="22">
        <v>202500</v>
      </c>
      <c r="D22" s="22"/>
      <c r="E22" s="62">
        <v>216000</v>
      </c>
      <c r="F22" s="62"/>
      <c r="G22" s="62"/>
      <c r="H22" s="12">
        <f t="shared" si="0"/>
        <v>44763</v>
      </c>
    </row>
    <row r="23" spans="2:10" x14ac:dyDescent="0.3">
      <c r="B23" s="50" t="s">
        <v>27</v>
      </c>
      <c r="C23" s="51">
        <f>SUM(July20_202215[KSI_AGO])</f>
        <v>1327500</v>
      </c>
      <c r="D23" s="51">
        <f>SUBTOTAL(109,July20_202215[KSI_PMS])</f>
        <v>805500</v>
      </c>
      <c r="E23" s="51">
        <f>SUM(July20_202215[BUIPE_AGO])</f>
        <v>972000</v>
      </c>
      <c r="F23" s="51">
        <f>SUM(July20_202215[BUIPE_PMS])</f>
        <v>0</v>
      </c>
      <c r="G23" s="51">
        <f>SUM(July20_202215[AKOSOMBO_AGO])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33A1B5D4-7BAA-414E-86C7-9E4FB87CDE80}">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5476-11E6-4066-B077-75226DCA421C}">
  <dimension ref="B1:K24"/>
  <sheetViews>
    <sheetView zoomScaleNormal="100" workbookViewId="0">
      <pane xSplit="2" ySplit="5" topLeftCell="C6" activePane="bottomRight" state="frozen"/>
      <selection pane="topRight" activeCell="C1" sqref="C1"/>
      <selection pane="bottomLeft" activeCell="A6" sqref="A6"/>
      <selection pane="bottomRight" activeCell="C10" sqref="C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44764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108000</v>
      </c>
      <c r="D6" s="45"/>
      <c r="E6" s="45"/>
      <c r="F6" s="45"/>
      <c r="G6" s="45"/>
      <c r="H6" s="12">
        <f t="shared" ref="H6:H22" si="0">$G$3</f>
        <v>44764</v>
      </c>
    </row>
    <row r="7" spans="2:11" ht="16.5" customHeight="1" x14ac:dyDescent="0.3">
      <c r="B7" s="6" t="s">
        <v>37</v>
      </c>
      <c r="C7" s="62"/>
      <c r="D7" s="62"/>
      <c r="E7" s="62"/>
      <c r="F7" s="62"/>
      <c r="G7" s="62"/>
      <c r="H7" s="67">
        <f t="shared" si="0"/>
        <v>44764</v>
      </c>
    </row>
    <row r="8" spans="2:11" x14ac:dyDescent="0.3">
      <c r="B8" s="6" t="s">
        <v>17</v>
      </c>
      <c r="C8" s="22"/>
      <c r="D8" s="22"/>
      <c r="E8" s="22"/>
      <c r="F8" s="22"/>
      <c r="G8" s="22"/>
      <c r="H8" s="12">
        <f t="shared" si="0"/>
        <v>44764</v>
      </c>
    </row>
    <row r="9" spans="2:11" ht="15.6" x14ac:dyDescent="0.3">
      <c r="B9" s="34" t="s">
        <v>0</v>
      </c>
      <c r="C9" s="60">
        <v>536000</v>
      </c>
      <c r="D9" s="60"/>
      <c r="E9" s="60">
        <v>216000</v>
      </c>
      <c r="F9" s="60"/>
      <c r="G9" s="61"/>
      <c r="H9" s="12">
        <f t="shared" si="0"/>
        <v>44764</v>
      </c>
    </row>
    <row r="10" spans="2:11" x14ac:dyDescent="0.3">
      <c r="B10" s="6" t="s">
        <v>25</v>
      </c>
      <c r="C10" s="22"/>
      <c r="D10" s="22"/>
      <c r="E10" s="22"/>
      <c r="F10" s="22"/>
      <c r="G10" s="22"/>
      <c r="H10" s="12">
        <f t="shared" si="0"/>
        <v>44764</v>
      </c>
    </row>
    <row r="11" spans="2:11" x14ac:dyDescent="0.3">
      <c r="B11" s="6" t="s">
        <v>15</v>
      </c>
      <c r="C11" s="22">
        <v>216000</v>
      </c>
      <c r="D11" s="22"/>
      <c r="E11" s="22">
        <v>108000</v>
      </c>
      <c r="F11" s="22"/>
      <c r="G11" s="57"/>
      <c r="H11" s="12">
        <f t="shared" si="0"/>
        <v>44764</v>
      </c>
    </row>
    <row r="12" spans="2:11" x14ac:dyDescent="0.3">
      <c r="B12" s="6" t="s">
        <v>54</v>
      </c>
      <c r="C12" s="22">
        <v>54000</v>
      </c>
      <c r="D12" s="22"/>
      <c r="E12" s="22"/>
      <c r="F12" s="22"/>
      <c r="G12" s="22"/>
      <c r="H12" s="67">
        <f t="shared" si="0"/>
        <v>44764</v>
      </c>
    </row>
    <row r="13" spans="2:11" x14ac:dyDescent="0.3">
      <c r="B13" s="6" t="s">
        <v>26</v>
      </c>
      <c r="C13" s="22"/>
      <c r="D13" s="22"/>
      <c r="E13" s="22"/>
      <c r="F13" s="22"/>
      <c r="G13" s="22"/>
      <c r="H13" s="12">
        <f t="shared" si="0"/>
        <v>44764</v>
      </c>
    </row>
    <row r="14" spans="2:11" x14ac:dyDescent="0.3">
      <c r="B14" s="6" t="s">
        <v>22</v>
      </c>
      <c r="C14" s="22"/>
      <c r="D14" s="22"/>
      <c r="E14" s="22"/>
      <c r="F14" s="22"/>
      <c r="G14" s="22"/>
      <c r="H14" s="12">
        <f t="shared" si="0"/>
        <v>44764</v>
      </c>
      <c r="K14" s="4"/>
    </row>
    <row r="15" spans="2:11" x14ac:dyDescent="0.3">
      <c r="B15" s="6" t="s">
        <v>61</v>
      </c>
      <c r="C15" s="22"/>
      <c r="D15" s="22"/>
      <c r="E15" s="22"/>
      <c r="F15" s="22"/>
      <c r="G15" s="22"/>
      <c r="H15" s="67">
        <f t="shared" si="0"/>
        <v>44764</v>
      </c>
      <c r="K15" s="4"/>
    </row>
    <row r="16" spans="2:11" x14ac:dyDescent="0.3">
      <c r="B16" s="6" t="s">
        <v>19</v>
      </c>
      <c r="C16" s="22">
        <v>107500</v>
      </c>
      <c r="D16" s="22"/>
      <c r="E16" s="23">
        <v>270000</v>
      </c>
      <c r="F16" s="22"/>
      <c r="G16" s="23"/>
      <c r="H16" s="12">
        <f t="shared" si="0"/>
        <v>44764</v>
      </c>
    </row>
    <row r="17" spans="2:10" x14ac:dyDescent="0.3">
      <c r="B17" s="6" t="s">
        <v>14</v>
      </c>
      <c r="C17" s="22">
        <v>157500</v>
      </c>
      <c r="D17" s="22">
        <v>1021500</v>
      </c>
      <c r="E17" s="23">
        <v>261000</v>
      </c>
      <c r="F17" s="22"/>
      <c r="G17" s="23"/>
      <c r="H17" s="12">
        <f t="shared" si="0"/>
        <v>44764</v>
      </c>
    </row>
    <row r="18" spans="2:10" x14ac:dyDescent="0.3">
      <c r="B18" s="6" t="s">
        <v>24</v>
      </c>
      <c r="C18" s="22"/>
      <c r="D18" s="22"/>
      <c r="E18" s="22"/>
      <c r="F18" s="49"/>
      <c r="G18" s="22"/>
      <c r="H18" s="12">
        <f t="shared" si="0"/>
        <v>44764</v>
      </c>
      <c r="J18" s="1" t="s">
        <v>66</v>
      </c>
    </row>
    <row r="19" spans="2:10" x14ac:dyDescent="0.3">
      <c r="B19" s="6" t="s">
        <v>21</v>
      </c>
      <c r="C19" s="22"/>
      <c r="D19" s="22"/>
      <c r="E19" s="22"/>
      <c r="F19" s="22"/>
      <c r="G19" s="22"/>
      <c r="H19" s="67">
        <f t="shared" si="0"/>
        <v>44764</v>
      </c>
    </row>
    <row r="20" spans="2:10" x14ac:dyDescent="0.3">
      <c r="B20" s="6" t="s">
        <v>65</v>
      </c>
      <c r="C20" s="22"/>
      <c r="D20" s="22"/>
      <c r="E20" s="22"/>
      <c r="F20" s="22"/>
      <c r="G20" s="22"/>
      <c r="H20" s="12">
        <f t="shared" si="0"/>
        <v>44764</v>
      </c>
    </row>
    <row r="21" spans="2:10" x14ac:dyDescent="0.3">
      <c r="B21" s="6" t="s">
        <v>18</v>
      </c>
      <c r="C21" s="62"/>
      <c r="D21" s="62"/>
      <c r="E21" s="62"/>
      <c r="F21" s="62"/>
      <c r="G21" s="62"/>
      <c r="H21" s="12">
        <f t="shared" si="0"/>
        <v>44764</v>
      </c>
    </row>
    <row r="22" spans="2:10" x14ac:dyDescent="0.3">
      <c r="B22" s="6" t="s">
        <v>16</v>
      </c>
      <c r="C22" s="22">
        <v>158000</v>
      </c>
      <c r="D22" s="22"/>
      <c r="E22" s="62">
        <v>108000</v>
      </c>
      <c r="F22" s="62"/>
      <c r="G22" s="62"/>
      <c r="H22" s="12">
        <f t="shared" si="0"/>
        <v>44764</v>
      </c>
    </row>
    <row r="23" spans="2:10" x14ac:dyDescent="0.3">
      <c r="B23" s="50" t="s">
        <v>27</v>
      </c>
      <c r="C23" s="51">
        <f>SUM(July20_20221516[KSI_AGO])</f>
        <v>1337000</v>
      </c>
      <c r="D23" s="51">
        <f>SUBTOTAL(109,July20_20221516[KSI_PMS])</f>
        <v>1021500</v>
      </c>
      <c r="E23" s="51">
        <f>SUM(July20_20221516[BUIPE_AGO])</f>
        <v>963000</v>
      </c>
      <c r="F23" s="51">
        <f>SUM(July20_20221516[BUIPE_PMS])</f>
        <v>0</v>
      </c>
      <c r="G23" s="51">
        <f>SUM(July20_20221516[AKOSOMBO_AGO])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6DC4B88-4D12-408D-BE92-6EC5B02A2A24}">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6B11-A059-4D1D-9BE4-9EDD7F0482F6}">
  <dimension ref="B1:K24"/>
  <sheetViews>
    <sheetView zoomScaleNormal="100" workbookViewId="0">
      <pane xSplit="2" ySplit="5" topLeftCell="C6" activePane="bottomRight" state="frozen"/>
      <selection pane="topRight" activeCell="C1" sqref="C1"/>
      <selection pane="bottomLeft" activeCell="A6" sqref="A6"/>
      <selection pane="bottomRight" activeCell="B8" sqref="B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44767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99000</v>
      </c>
      <c r="D6" s="45">
        <v>211500</v>
      </c>
      <c r="E6" s="45"/>
      <c r="F6" s="45"/>
      <c r="G6" s="45"/>
      <c r="H6" s="12">
        <f t="shared" ref="H6:H22" si="0">$G$3</f>
        <v>44767</v>
      </c>
    </row>
    <row r="7" spans="2:11" ht="16.5" customHeight="1" x14ac:dyDescent="0.3">
      <c r="B7" s="6" t="s">
        <v>37</v>
      </c>
      <c r="C7" s="62"/>
      <c r="D7" s="62"/>
      <c r="E7" s="62"/>
      <c r="F7" s="62"/>
      <c r="G7" s="62"/>
      <c r="H7" s="67">
        <f t="shared" si="0"/>
        <v>44767</v>
      </c>
    </row>
    <row r="8" spans="2:11" x14ac:dyDescent="0.3">
      <c r="B8" s="6" t="s">
        <v>17</v>
      </c>
      <c r="C8" s="22"/>
      <c r="D8" s="22"/>
      <c r="E8" s="22"/>
      <c r="F8" s="22"/>
      <c r="G8" s="22"/>
      <c r="H8" s="12">
        <f t="shared" si="0"/>
        <v>44767</v>
      </c>
    </row>
    <row r="9" spans="2:11" ht="15.6" x14ac:dyDescent="0.3">
      <c r="B9" s="34" t="s">
        <v>0</v>
      </c>
      <c r="C9" s="60">
        <v>486000</v>
      </c>
      <c r="D9" s="60"/>
      <c r="E9" s="60"/>
      <c r="F9" s="60"/>
      <c r="G9" s="61"/>
      <c r="H9" s="12">
        <f t="shared" si="0"/>
        <v>44767</v>
      </c>
    </row>
    <row r="10" spans="2:11" x14ac:dyDescent="0.3">
      <c r="B10" s="6" t="s">
        <v>25</v>
      </c>
      <c r="C10" s="22"/>
      <c r="D10" s="22"/>
      <c r="E10" s="22"/>
      <c r="F10" s="22"/>
      <c r="G10" s="22"/>
      <c r="H10" s="12">
        <f t="shared" si="0"/>
        <v>44767</v>
      </c>
    </row>
    <row r="11" spans="2:11" x14ac:dyDescent="0.3">
      <c r="B11" s="6" t="s">
        <v>15</v>
      </c>
      <c r="C11" s="22">
        <v>270000</v>
      </c>
      <c r="D11" s="22"/>
      <c r="E11" s="22"/>
      <c r="F11" s="22"/>
      <c r="G11" s="57"/>
      <c r="H11" s="12">
        <f t="shared" si="0"/>
        <v>44767</v>
      </c>
    </row>
    <row r="12" spans="2:11" x14ac:dyDescent="0.3">
      <c r="B12" s="6" t="s">
        <v>54</v>
      </c>
      <c r="C12" s="22">
        <v>108000</v>
      </c>
      <c r="D12" s="22"/>
      <c r="E12" s="22"/>
      <c r="F12" s="22"/>
      <c r="G12" s="22"/>
      <c r="H12" s="67">
        <f t="shared" si="0"/>
        <v>44767</v>
      </c>
    </row>
    <row r="13" spans="2:11" x14ac:dyDescent="0.3">
      <c r="B13" s="6" t="s">
        <v>26</v>
      </c>
      <c r="C13" s="22"/>
      <c r="D13" s="22"/>
      <c r="E13" s="22"/>
      <c r="F13" s="22"/>
      <c r="G13" s="22"/>
      <c r="H13" s="12">
        <f t="shared" si="0"/>
        <v>44767</v>
      </c>
    </row>
    <row r="14" spans="2:11" x14ac:dyDescent="0.3">
      <c r="B14" s="6" t="s">
        <v>22</v>
      </c>
      <c r="C14" s="22"/>
      <c r="D14" s="22"/>
      <c r="E14" s="22"/>
      <c r="F14" s="22"/>
      <c r="G14" s="22"/>
      <c r="H14" s="12">
        <f t="shared" si="0"/>
        <v>44767</v>
      </c>
      <c r="K14" s="4"/>
    </row>
    <row r="15" spans="2:11" x14ac:dyDescent="0.3">
      <c r="B15" s="6" t="s">
        <v>61</v>
      </c>
      <c r="C15" s="22"/>
      <c r="D15" s="22"/>
      <c r="E15" s="22"/>
      <c r="F15" s="22"/>
      <c r="G15" s="22"/>
      <c r="H15" s="67">
        <f t="shared" si="0"/>
        <v>44767</v>
      </c>
      <c r="K15" s="4"/>
    </row>
    <row r="16" spans="2:11" x14ac:dyDescent="0.3">
      <c r="B16" s="6" t="s">
        <v>19</v>
      </c>
      <c r="C16" s="22">
        <v>216000</v>
      </c>
      <c r="D16" s="22"/>
      <c r="E16" s="23">
        <v>54000</v>
      </c>
      <c r="F16" s="22"/>
      <c r="G16" s="23"/>
      <c r="H16" s="12">
        <f t="shared" si="0"/>
        <v>44767</v>
      </c>
    </row>
    <row r="17" spans="2:10" x14ac:dyDescent="0.3">
      <c r="B17" s="6" t="s">
        <v>14</v>
      </c>
      <c r="C17" s="22">
        <v>158000</v>
      </c>
      <c r="D17" s="22">
        <v>270000</v>
      </c>
      <c r="E17" s="23">
        <v>257000</v>
      </c>
      <c r="F17" s="22"/>
      <c r="G17" s="23"/>
      <c r="H17" s="12">
        <f t="shared" si="0"/>
        <v>44767</v>
      </c>
    </row>
    <row r="18" spans="2:10" x14ac:dyDescent="0.3">
      <c r="B18" s="6" t="s">
        <v>24</v>
      </c>
      <c r="C18" s="22"/>
      <c r="D18" s="22"/>
      <c r="E18" s="22"/>
      <c r="F18" s="49"/>
      <c r="G18" s="22"/>
      <c r="H18" s="12">
        <f t="shared" si="0"/>
        <v>44767</v>
      </c>
      <c r="J18" s="1" t="s">
        <v>66</v>
      </c>
    </row>
    <row r="19" spans="2:10" x14ac:dyDescent="0.3">
      <c r="B19" s="6" t="s">
        <v>21</v>
      </c>
      <c r="C19" s="22"/>
      <c r="D19" s="22">
        <v>316000</v>
      </c>
      <c r="E19" s="22"/>
      <c r="F19" s="22"/>
      <c r="G19" s="22"/>
      <c r="H19" s="67">
        <f t="shared" si="0"/>
        <v>44767</v>
      </c>
    </row>
    <row r="20" spans="2:10" x14ac:dyDescent="0.3">
      <c r="B20" s="6" t="s">
        <v>65</v>
      </c>
      <c r="C20" s="22"/>
      <c r="D20" s="22"/>
      <c r="E20" s="22"/>
      <c r="F20" s="22"/>
      <c r="G20" s="22"/>
      <c r="H20" s="12">
        <f t="shared" si="0"/>
        <v>44767</v>
      </c>
    </row>
    <row r="21" spans="2:10" x14ac:dyDescent="0.3">
      <c r="B21" s="6" t="s">
        <v>18</v>
      </c>
      <c r="C21" s="62"/>
      <c r="D21" s="62"/>
      <c r="E21" s="62"/>
      <c r="F21" s="62"/>
      <c r="G21" s="62"/>
      <c r="H21" s="12">
        <f t="shared" si="0"/>
        <v>44767</v>
      </c>
    </row>
    <row r="22" spans="2:10" x14ac:dyDescent="0.3">
      <c r="B22" s="6" t="s">
        <v>16</v>
      </c>
      <c r="C22" s="22">
        <v>49500</v>
      </c>
      <c r="D22" s="22"/>
      <c r="E22" s="62">
        <v>54000</v>
      </c>
      <c r="F22" s="62"/>
      <c r="G22" s="62"/>
      <c r="H22" s="12">
        <f t="shared" si="0"/>
        <v>44767</v>
      </c>
    </row>
    <row r="23" spans="2:10" x14ac:dyDescent="0.3">
      <c r="B23" s="50" t="s">
        <v>27</v>
      </c>
      <c r="C23" s="51">
        <f>SUM(July20_2022151617[KSI_AGO])</f>
        <v>1386500</v>
      </c>
      <c r="D23" s="51">
        <f>SUBTOTAL(109,July20_2022151617[KSI_PMS])</f>
        <v>797500</v>
      </c>
      <c r="E23" s="51">
        <f>SUM(July20_2022151617[BUIPE_AGO])</f>
        <v>365000</v>
      </c>
      <c r="F23" s="51">
        <f>SUM(July20_2022151617[BUIPE_PMS])</f>
        <v>0</v>
      </c>
      <c r="G23" s="51">
        <f>SUM(July20_2022151617[AKOSOMBO_AGO])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53D40218-35E6-4E7E-9CEB-99B2A376C9B7}">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DBDEB-FAD5-4A2F-805D-CE8610023AFD}">
  <dimension ref="B1:K24"/>
  <sheetViews>
    <sheetView zoomScaleNormal="100" workbookViewId="0">
      <pane xSplit="2" ySplit="5" topLeftCell="C6" activePane="bottomRight" state="frozen"/>
      <selection pane="topRight" activeCell="C1" sqref="C1"/>
      <selection pane="bottomLeft" activeCell="A6" sqref="A6"/>
      <selection pane="bottomRight" activeCell="J14" sqref="J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44768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162000</v>
      </c>
      <c r="D6" s="45">
        <v>198000</v>
      </c>
      <c r="E6" s="45"/>
      <c r="F6" s="45"/>
      <c r="G6" s="45"/>
      <c r="H6" s="12">
        <f t="shared" ref="H6:H22" si="0">$G$3</f>
        <v>44768</v>
      </c>
    </row>
    <row r="7" spans="2:11" ht="16.5" customHeight="1" x14ac:dyDescent="0.3">
      <c r="B7" s="6" t="s">
        <v>37</v>
      </c>
      <c r="C7" s="62"/>
      <c r="D7" s="62"/>
      <c r="E7" s="62"/>
      <c r="F7" s="62"/>
      <c r="G7" s="62"/>
      <c r="H7" s="67">
        <f t="shared" si="0"/>
        <v>44768</v>
      </c>
    </row>
    <row r="8" spans="2:11" x14ac:dyDescent="0.3">
      <c r="B8" s="6" t="s">
        <v>17</v>
      </c>
      <c r="C8" s="22"/>
      <c r="D8" s="22"/>
      <c r="E8" s="22"/>
      <c r="F8" s="22"/>
      <c r="G8" s="22"/>
      <c r="H8" s="12">
        <f t="shared" si="0"/>
        <v>44768</v>
      </c>
    </row>
    <row r="9" spans="2:11" ht="15.6" x14ac:dyDescent="0.3">
      <c r="B9" s="34" t="s">
        <v>0</v>
      </c>
      <c r="C9" s="60">
        <v>324000</v>
      </c>
      <c r="D9" s="60"/>
      <c r="E9" s="60"/>
      <c r="F9" s="60"/>
      <c r="G9" s="61"/>
      <c r="H9" s="12">
        <f t="shared" si="0"/>
        <v>44768</v>
      </c>
    </row>
    <row r="10" spans="2:11" x14ac:dyDescent="0.3">
      <c r="B10" s="6" t="s">
        <v>25</v>
      </c>
      <c r="C10" s="22"/>
      <c r="D10" s="22"/>
      <c r="E10" s="22"/>
      <c r="F10" s="22"/>
      <c r="G10" s="22"/>
      <c r="H10" s="12">
        <f t="shared" si="0"/>
        <v>44768</v>
      </c>
    </row>
    <row r="11" spans="2:11" x14ac:dyDescent="0.3">
      <c r="B11" s="6" t="s">
        <v>15</v>
      </c>
      <c r="C11" s="22">
        <v>311000</v>
      </c>
      <c r="D11" s="22"/>
      <c r="E11" s="22"/>
      <c r="F11" s="22"/>
      <c r="G11" s="57"/>
      <c r="H11" s="12">
        <f t="shared" si="0"/>
        <v>44768</v>
      </c>
    </row>
    <row r="12" spans="2:11" x14ac:dyDescent="0.3">
      <c r="B12" s="6" t="s">
        <v>54</v>
      </c>
      <c r="C12" s="22">
        <v>162000</v>
      </c>
      <c r="D12" s="22"/>
      <c r="E12" s="22"/>
      <c r="F12" s="22"/>
      <c r="G12" s="22"/>
      <c r="H12" s="67">
        <f t="shared" si="0"/>
        <v>44768</v>
      </c>
    </row>
    <row r="13" spans="2:11" x14ac:dyDescent="0.3">
      <c r="B13" s="6" t="s">
        <v>26</v>
      </c>
      <c r="C13" s="22"/>
      <c r="D13" s="22"/>
      <c r="E13" s="22"/>
      <c r="F13" s="22"/>
      <c r="G13" s="22"/>
      <c r="H13" s="12">
        <f t="shared" si="0"/>
        <v>44768</v>
      </c>
    </row>
    <row r="14" spans="2:11" x14ac:dyDescent="0.3">
      <c r="B14" s="6" t="s">
        <v>22</v>
      </c>
      <c r="C14" s="22"/>
      <c r="D14" s="22"/>
      <c r="E14" s="22"/>
      <c r="F14" s="22"/>
      <c r="G14" s="22"/>
      <c r="H14" s="12">
        <f t="shared" si="0"/>
        <v>44768</v>
      </c>
      <c r="K14" s="4"/>
    </row>
    <row r="15" spans="2:11" x14ac:dyDescent="0.3">
      <c r="B15" s="6" t="s">
        <v>61</v>
      </c>
      <c r="C15" s="22"/>
      <c r="D15" s="22"/>
      <c r="E15" s="22"/>
      <c r="F15" s="22"/>
      <c r="G15" s="22"/>
      <c r="H15" s="67">
        <f t="shared" si="0"/>
        <v>44768</v>
      </c>
      <c r="K15" s="4"/>
    </row>
    <row r="16" spans="2:11" x14ac:dyDescent="0.3">
      <c r="B16" s="6" t="s">
        <v>19</v>
      </c>
      <c r="C16" s="22">
        <v>162000</v>
      </c>
      <c r="D16" s="22">
        <v>414000</v>
      </c>
      <c r="E16" s="23"/>
      <c r="F16" s="22"/>
      <c r="G16" s="23"/>
      <c r="H16" s="12">
        <f t="shared" si="0"/>
        <v>44768</v>
      </c>
    </row>
    <row r="17" spans="2:10" x14ac:dyDescent="0.3">
      <c r="B17" s="6" t="s">
        <v>14</v>
      </c>
      <c r="C17" s="22">
        <v>108000</v>
      </c>
      <c r="D17" s="22">
        <v>252000</v>
      </c>
      <c r="E17" s="23"/>
      <c r="F17" s="22"/>
      <c r="G17" s="23"/>
      <c r="H17" s="12">
        <f t="shared" si="0"/>
        <v>44768</v>
      </c>
    </row>
    <row r="18" spans="2:10" x14ac:dyDescent="0.3">
      <c r="B18" s="6" t="s">
        <v>24</v>
      </c>
      <c r="C18" s="22"/>
      <c r="D18" s="22"/>
      <c r="E18" s="22"/>
      <c r="F18" s="49"/>
      <c r="G18" s="22"/>
      <c r="H18" s="12">
        <f t="shared" si="0"/>
        <v>44768</v>
      </c>
      <c r="J18" s="1" t="s">
        <v>66</v>
      </c>
    </row>
    <row r="19" spans="2:10" x14ac:dyDescent="0.3">
      <c r="B19" s="6" t="s">
        <v>21</v>
      </c>
      <c r="C19" s="22"/>
      <c r="D19" s="22">
        <v>270000</v>
      </c>
      <c r="E19" s="22"/>
      <c r="F19" s="22"/>
      <c r="G19" s="22"/>
      <c r="H19" s="67">
        <f t="shared" si="0"/>
        <v>44768</v>
      </c>
    </row>
    <row r="20" spans="2:10" x14ac:dyDescent="0.3">
      <c r="B20" s="6" t="s">
        <v>65</v>
      </c>
      <c r="C20" s="22"/>
      <c r="D20" s="22"/>
      <c r="E20" s="22"/>
      <c r="F20" s="22"/>
      <c r="G20" s="22"/>
      <c r="H20" s="12">
        <f t="shared" si="0"/>
        <v>44768</v>
      </c>
    </row>
    <row r="21" spans="2:10" x14ac:dyDescent="0.3">
      <c r="B21" s="6" t="s">
        <v>18</v>
      </c>
      <c r="C21" s="62"/>
      <c r="D21" s="62"/>
      <c r="E21" s="62"/>
      <c r="F21" s="62"/>
      <c r="G21" s="62"/>
      <c r="H21" s="12">
        <f t="shared" si="0"/>
        <v>44768</v>
      </c>
    </row>
    <row r="22" spans="2:10" x14ac:dyDescent="0.3">
      <c r="B22" s="6" t="s">
        <v>16</v>
      </c>
      <c r="C22" s="22">
        <v>108000</v>
      </c>
      <c r="D22" s="22"/>
      <c r="E22" s="62"/>
      <c r="F22" s="62"/>
      <c r="G22" s="62"/>
      <c r="H22" s="12">
        <f t="shared" si="0"/>
        <v>44768</v>
      </c>
    </row>
    <row r="23" spans="2:10" x14ac:dyDescent="0.3">
      <c r="B23" s="50" t="s">
        <v>27</v>
      </c>
      <c r="C23" s="51">
        <f>SUM(July26_2022[KSI_AGO])</f>
        <v>1337000</v>
      </c>
      <c r="D23" s="51">
        <f>SUBTOTAL(109,July26_2022[KSI_PMS])</f>
        <v>1134000</v>
      </c>
      <c r="E23" s="51">
        <f>SUM(July26_2022[BUIPE_AGO])</f>
        <v>0</v>
      </c>
      <c r="F23" s="51">
        <f>SUM(July26_2022[BUIPE_PMS])</f>
        <v>0</v>
      </c>
      <c r="G23" s="51">
        <f>SUM(July26_2022[AKOSOMBO_AGO])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DC51708-B2BB-4755-9EF1-80A130252DB4}">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1350F-D3B3-47C5-A8C9-89AA478C3327}">
  <dimension ref="B1:K24"/>
  <sheetViews>
    <sheetView zoomScale="85" zoomScaleNormal="85" workbookViewId="0">
      <pane xSplit="2" ySplit="5" topLeftCell="C6" activePane="bottomRight" state="frozen"/>
      <selection pane="topRight" activeCell="C1" sqref="C1"/>
      <selection pane="bottomLeft" activeCell="A6" sqref="A6"/>
      <selection pane="bottomRight" activeCell="C20" sqref="C2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44769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216000</v>
      </c>
      <c r="D6" s="45"/>
      <c r="E6" s="45"/>
      <c r="F6" s="45"/>
      <c r="G6" s="45"/>
      <c r="H6" s="12">
        <f t="shared" ref="H6:H22" si="0">$G$3</f>
        <v>44769</v>
      </c>
    </row>
    <row r="7" spans="2:11" ht="16.5" customHeight="1" x14ac:dyDescent="0.3">
      <c r="B7" s="6" t="s">
        <v>37</v>
      </c>
      <c r="C7" s="62"/>
      <c r="D7" s="62"/>
      <c r="E7" s="62"/>
      <c r="F7" s="62"/>
      <c r="G7" s="62"/>
      <c r="H7" s="67">
        <f t="shared" si="0"/>
        <v>44769</v>
      </c>
    </row>
    <row r="8" spans="2:11" x14ac:dyDescent="0.3">
      <c r="B8" s="6" t="s">
        <v>17</v>
      </c>
      <c r="C8" s="22"/>
      <c r="D8" s="22"/>
      <c r="E8" s="22"/>
      <c r="F8" s="22"/>
      <c r="G8" s="22"/>
      <c r="H8" s="12">
        <f t="shared" si="0"/>
        <v>44769</v>
      </c>
    </row>
    <row r="9" spans="2:11" ht="15.6" x14ac:dyDescent="0.3">
      <c r="B9" s="34" t="s">
        <v>0</v>
      </c>
      <c r="C9" s="60"/>
      <c r="D9" s="60"/>
      <c r="E9" s="60"/>
      <c r="F9" s="60"/>
      <c r="G9" s="61"/>
      <c r="H9" s="12">
        <f t="shared" si="0"/>
        <v>44769</v>
      </c>
    </row>
    <row r="10" spans="2:11" x14ac:dyDescent="0.3">
      <c r="B10" s="6" t="s">
        <v>25</v>
      </c>
      <c r="C10" s="22"/>
      <c r="D10" s="22"/>
      <c r="E10" s="22"/>
      <c r="F10" s="22"/>
      <c r="G10" s="22"/>
      <c r="H10" s="12">
        <f t="shared" si="0"/>
        <v>44769</v>
      </c>
    </row>
    <row r="11" spans="2:11" x14ac:dyDescent="0.3">
      <c r="B11" s="6" t="s">
        <v>15</v>
      </c>
      <c r="C11" s="22">
        <v>423500</v>
      </c>
      <c r="D11" s="22"/>
      <c r="E11" s="22"/>
      <c r="F11" s="22"/>
      <c r="G11" s="57"/>
      <c r="H11" s="12">
        <f t="shared" si="0"/>
        <v>44769</v>
      </c>
    </row>
    <row r="12" spans="2:11" x14ac:dyDescent="0.3">
      <c r="B12" s="6" t="s">
        <v>54</v>
      </c>
      <c r="C12" s="22"/>
      <c r="D12" s="22"/>
      <c r="E12" s="22"/>
      <c r="F12" s="22"/>
      <c r="G12" s="22"/>
      <c r="H12" s="67">
        <f t="shared" si="0"/>
        <v>44769</v>
      </c>
    </row>
    <row r="13" spans="2:11" x14ac:dyDescent="0.3">
      <c r="B13" s="6" t="s">
        <v>26</v>
      </c>
      <c r="C13" s="22"/>
      <c r="D13" s="22"/>
      <c r="E13" s="22"/>
      <c r="F13" s="22"/>
      <c r="G13" s="22"/>
      <c r="H13" s="12">
        <f t="shared" si="0"/>
        <v>44769</v>
      </c>
    </row>
    <row r="14" spans="2:11" x14ac:dyDescent="0.3">
      <c r="B14" s="6" t="s">
        <v>22</v>
      </c>
      <c r="C14" s="22"/>
      <c r="D14" s="22"/>
      <c r="E14" s="22"/>
      <c r="F14" s="22"/>
      <c r="G14" s="22"/>
      <c r="H14" s="12">
        <f t="shared" si="0"/>
        <v>44769</v>
      </c>
      <c r="K14" s="4"/>
    </row>
    <row r="15" spans="2:11" x14ac:dyDescent="0.3">
      <c r="B15" s="6" t="s">
        <v>61</v>
      </c>
      <c r="C15" s="22"/>
      <c r="D15" s="22"/>
      <c r="E15" s="22"/>
      <c r="F15" s="22"/>
      <c r="G15" s="22"/>
      <c r="H15" s="67">
        <f t="shared" si="0"/>
        <v>44769</v>
      </c>
      <c r="K15" s="4"/>
    </row>
    <row r="16" spans="2:11" x14ac:dyDescent="0.3">
      <c r="B16" s="6" t="s">
        <v>19</v>
      </c>
      <c r="C16" s="22">
        <v>270000</v>
      </c>
      <c r="D16" s="22">
        <v>162000</v>
      </c>
      <c r="E16" s="23"/>
      <c r="F16" s="22"/>
      <c r="G16" s="23"/>
      <c r="H16" s="12">
        <f t="shared" si="0"/>
        <v>44769</v>
      </c>
    </row>
    <row r="17" spans="2:10" x14ac:dyDescent="0.3">
      <c r="B17" s="6" t="s">
        <v>14</v>
      </c>
      <c r="C17" s="22"/>
      <c r="D17" s="22">
        <v>319500</v>
      </c>
      <c r="E17" s="23"/>
      <c r="F17" s="22"/>
      <c r="G17" s="23"/>
      <c r="H17" s="12">
        <f t="shared" si="0"/>
        <v>44769</v>
      </c>
    </row>
    <row r="18" spans="2:10" x14ac:dyDescent="0.3">
      <c r="B18" s="6" t="s">
        <v>24</v>
      </c>
      <c r="C18" s="22"/>
      <c r="D18" s="22"/>
      <c r="E18" s="22"/>
      <c r="F18" s="49"/>
      <c r="G18" s="22"/>
      <c r="H18" s="12">
        <f t="shared" si="0"/>
        <v>44769</v>
      </c>
      <c r="J18" s="1" t="s">
        <v>66</v>
      </c>
    </row>
    <row r="19" spans="2:10" x14ac:dyDescent="0.3">
      <c r="B19" s="6" t="s">
        <v>21</v>
      </c>
      <c r="C19" s="22">
        <v>270000</v>
      </c>
      <c r="D19" s="22">
        <v>432000</v>
      </c>
      <c r="E19" s="22"/>
      <c r="F19" s="22"/>
      <c r="G19" s="22"/>
      <c r="H19" s="67">
        <f t="shared" si="0"/>
        <v>44769</v>
      </c>
    </row>
    <row r="20" spans="2:10" x14ac:dyDescent="0.3">
      <c r="B20" s="6" t="s">
        <v>65</v>
      </c>
      <c r="C20" s="22"/>
      <c r="D20" s="22"/>
      <c r="E20" s="22"/>
      <c r="F20" s="22"/>
      <c r="G20" s="22"/>
      <c r="H20" s="12">
        <f t="shared" si="0"/>
        <v>44769</v>
      </c>
    </row>
    <row r="21" spans="2:10" x14ac:dyDescent="0.3">
      <c r="B21" s="6" t="s">
        <v>18</v>
      </c>
      <c r="C21" s="62"/>
      <c r="D21" s="62"/>
      <c r="E21" s="62"/>
      <c r="F21" s="62"/>
      <c r="G21" s="62"/>
      <c r="H21" s="12">
        <f t="shared" si="0"/>
        <v>44769</v>
      </c>
    </row>
    <row r="22" spans="2:10" x14ac:dyDescent="0.3">
      <c r="B22" s="6" t="s">
        <v>16</v>
      </c>
      <c r="C22" s="22">
        <v>270000</v>
      </c>
      <c r="D22" s="22"/>
      <c r="E22" s="62"/>
      <c r="F22" s="62"/>
      <c r="G22" s="62"/>
      <c r="H22" s="12">
        <f t="shared" si="0"/>
        <v>44769</v>
      </c>
    </row>
    <row r="23" spans="2:10" x14ac:dyDescent="0.3">
      <c r="B23" s="50" t="s">
        <v>27</v>
      </c>
      <c r="C23" s="51">
        <f>SUM(July27_2022[KSI_AGO])</f>
        <v>1449500</v>
      </c>
      <c r="D23" s="51">
        <f>SUBTOTAL(109,July27_2022[KSI_PMS])</f>
        <v>913500</v>
      </c>
      <c r="E23" s="51">
        <f>SUM(July27_2022[BUIPE_AGO])</f>
        <v>0</v>
      </c>
      <c r="F23" s="51">
        <f>SUM(July27_2022[BUIPE_PMS])</f>
        <v>0</v>
      </c>
      <c r="G23" s="51">
        <f>SUM(July27_2022[AKOSOMBO_AGO])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F7896DA0-B8E4-4554-84C0-7F16B5FD7B14}">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745E-BC1B-46B8-86D7-C39C4931C852}">
  <dimension ref="B1:K24"/>
  <sheetViews>
    <sheetView zoomScale="115" zoomScaleNormal="115" workbookViewId="0">
      <pane xSplit="2" ySplit="5" topLeftCell="C12" activePane="bottomRight" state="frozen"/>
      <selection pane="topRight" activeCell="C1" sqref="C1"/>
      <selection pane="bottomLeft" activeCell="A6" sqref="A6"/>
      <selection pane="bottomRight" activeCell="A17" sqref="A17:XFD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44770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216000</v>
      </c>
      <c r="D6" s="45">
        <v>306000</v>
      </c>
      <c r="E6" s="45"/>
      <c r="F6" s="45"/>
      <c r="G6" s="45"/>
      <c r="H6" s="12">
        <f t="shared" ref="H6:H22" si="0">$G$3</f>
        <v>44770</v>
      </c>
    </row>
    <row r="7" spans="2:11" ht="16.5" customHeight="1" x14ac:dyDescent="0.3">
      <c r="B7" s="6" t="s">
        <v>37</v>
      </c>
      <c r="C7" s="62"/>
      <c r="D7" s="62"/>
      <c r="E7" s="62"/>
      <c r="F7" s="62"/>
      <c r="G7" s="62"/>
      <c r="H7" s="67">
        <f t="shared" si="0"/>
        <v>44770</v>
      </c>
    </row>
    <row r="8" spans="2:11" x14ac:dyDescent="0.3">
      <c r="B8" s="6" t="s">
        <v>17</v>
      </c>
      <c r="C8" s="22"/>
      <c r="D8" s="22"/>
      <c r="E8" s="22"/>
      <c r="F8" s="22"/>
      <c r="G8" s="22"/>
      <c r="H8" s="12">
        <f t="shared" si="0"/>
        <v>44770</v>
      </c>
    </row>
    <row r="9" spans="2:11" ht="15.6" x14ac:dyDescent="0.3">
      <c r="B9" s="34" t="s">
        <v>0</v>
      </c>
      <c r="C9" s="60"/>
      <c r="D9" s="60"/>
      <c r="E9" s="60"/>
      <c r="F9" s="60"/>
      <c r="G9" s="61"/>
      <c r="H9" s="12">
        <f t="shared" si="0"/>
        <v>44770</v>
      </c>
    </row>
    <row r="10" spans="2:11" x14ac:dyDescent="0.3">
      <c r="B10" s="6" t="s">
        <v>25</v>
      </c>
      <c r="C10" s="22"/>
      <c r="D10" s="22"/>
      <c r="E10" s="22"/>
      <c r="F10" s="22"/>
      <c r="G10" s="22"/>
      <c r="H10" s="12">
        <f t="shared" si="0"/>
        <v>44770</v>
      </c>
    </row>
    <row r="11" spans="2:11" x14ac:dyDescent="0.3">
      <c r="B11" s="6" t="s">
        <v>15</v>
      </c>
      <c r="C11" s="22">
        <v>216000</v>
      </c>
      <c r="D11" s="22"/>
      <c r="E11" s="22"/>
      <c r="F11" s="22"/>
      <c r="G11" s="57"/>
      <c r="H11" s="12">
        <f t="shared" si="0"/>
        <v>44770</v>
      </c>
    </row>
    <row r="12" spans="2:11" x14ac:dyDescent="0.3">
      <c r="B12" s="6" t="s">
        <v>54</v>
      </c>
      <c r="C12" s="22">
        <v>108000</v>
      </c>
      <c r="D12" s="22"/>
      <c r="E12" s="22"/>
      <c r="F12" s="22"/>
      <c r="G12" s="22"/>
      <c r="H12" s="67">
        <f t="shared" si="0"/>
        <v>44770</v>
      </c>
    </row>
    <row r="13" spans="2:11" x14ac:dyDescent="0.3">
      <c r="B13" s="6" t="s">
        <v>26</v>
      </c>
      <c r="C13" s="22"/>
      <c r="D13" s="22"/>
      <c r="E13" s="22"/>
      <c r="F13" s="22"/>
      <c r="G13" s="22"/>
      <c r="H13" s="12">
        <f t="shared" si="0"/>
        <v>44770</v>
      </c>
    </row>
    <row r="14" spans="2:11" x14ac:dyDescent="0.3">
      <c r="B14" s="6" t="s">
        <v>22</v>
      </c>
      <c r="C14" s="22"/>
      <c r="D14" s="22"/>
      <c r="E14" s="22"/>
      <c r="F14" s="22"/>
      <c r="G14" s="22"/>
      <c r="H14" s="12">
        <f t="shared" si="0"/>
        <v>44770</v>
      </c>
      <c r="K14" s="4"/>
    </row>
    <row r="15" spans="2:11" x14ac:dyDescent="0.3">
      <c r="B15" s="6" t="s">
        <v>61</v>
      </c>
      <c r="C15" s="22"/>
      <c r="D15" s="22"/>
      <c r="E15" s="22"/>
      <c r="F15" s="22"/>
      <c r="G15" s="22"/>
      <c r="H15" s="67">
        <f t="shared" si="0"/>
        <v>44770</v>
      </c>
      <c r="K15" s="4"/>
    </row>
    <row r="16" spans="2:11" x14ac:dyDescent="0.3">
      <c r="B16" s="6" t="s">
        <v>19</v>
      </c>
      <c r="C16" s="22">
        <v>324000</v>
      </c>
      <c r="D16" s="22"/>
      <c r="E16" s="23"/>
      <c r="F16" s="22"/>
      <c r="G16" s="23"/>
      <c r="H16" s="12">
        <f t="shared" si="0"/>
        <v>44770</v>
      </c>
    </row>
    <row r="17" spans="2:10" x14ac:dyDescent="0.3">
      <c r="B17" s="6" t="s">
        <v>14</v>
      </c>
      <c r="C17" s="22">
        <v>419000</v>
      </c>
      <c r="D17" s="22"/>
      <c r="E17" s="23"/>
      <c r="F17" s="22"/>
      <c r="G17" s="23"/>
      <c r="H17" s="12">
        <f t="shared" si="0"/>
        <v>44770</v>
      </c>
    </row>
    <row r="18" spans="2:10" x14ac:dyDescent="0.3">
      <c r="B18" s="6" t="s">
        <v>24</v>
      </c>
      <c r="C18" s="22"/>
      <c r="D18" s="22"/>
      <c r="E18" s="22"/>
      <c r="F18" s="49"/>
      <c r="G18" s="22"/>
      <c r="H18" s="12">
        <f t="shared" si="0"/>
        <v>44770</v>
      </c>
      <c r="J18" s="1" t="s">
        <v>66</v>
      </c>
    </row>
    <row r="19" spans="2:10" x14ac:dyDescent="0.3">
      <c r="B19" s="6" t="s">
        <v>21</v>
      </c>
      <c r="C19" s="22">
        <v>54000</v>
      </c>
      <c r="D19" s="22">
        <v>482000</v>
      </c>
      <c r="E19" s="22"/>
      <c r="F19" s="22"/>
      <c r="G19" s="22"/>
      <c r="H19" s="67">
        <f t="shared" si="0"/>
        <v>44770</v>
      </c>
    </row>
    <row r="20" spans="2:10" x14ac:dyDescent="0.3">
      <c r="B20" s="6" t="s">
        <v>65</v>
      </c>
      <c r="C20" s="22"/>
      <c r="D20" s="22"/>
      <c r="E20" s="22"/>
      <c r="F20" s="22"/>
      <c r="G20" s="22"/>
      <c r="H20" s="12">
        <f t="shared" si="0"/>
        <v>44770</v>
      </c>
    </row>
    <row r="21" spans="2:10" x14ac:dyDescent="0.3">
      <c r="B21" s="6" t="s">
        <v>18</v>
      </c>
      <c r="C21" s="62"/>
      <c r="D21" s="62"/>
      <c r="E21" s="62"/>
      <c r="F21" s="62"/>
      <c r="G21" s="62"/>
      <c r="H21" s="12">
        <f t="shared" si="0"/>
        <v>44770</v>
      </c>
    </row>
    <row r="22" spans="2:10" x14ac:dyDescent="0.3">
      <c r="B22" s="6" t="s">
        <v>16</v>
      </c>
      <c r="C22" s="22">
        <v>162000</v>
      </c>
      <c r="D22" s="22"/>
      <c r="E22" s="62"/>
      <c r="F22" s="62"/>
      <c r="G22" s="62"/>
      <c r="H22" s="12">
        <f t="shared" si="0"/>
        <v>44770</v>
      </c>
    </row>
    <row r="23" spans="2:10" x14ac:dyDescent="0.3">
      <c r="B23" s="50" t="s">
        <v>27</v>
      </c>
      <c r="C23" s="51">
        <f>SUM(July28_2022[KSI_AGO])</f>
        <v>1499000</v>
      </c>
      <c r="D23" s="51">
        <f>SUBTOTAL(109,July28_2022[KSI_PMS])</f>
        <v>788000</v>
      </c>
      <c r="E23" s="51">
        <f>SUM(July28_2022[BUIPE_AGO])</f>
        <v>0</v>
      </c>
      <c r="F23" s="51">
        <f>SUM(July28_2022[BUIPE_PMS])</f>
        <v>0</v>
      </c>
      <c r="G23" s="51">
        <f>SUM(July28_2022[AKOSOMBO_AGO])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EB63FA15-F695-45A1-BB93-B77603A26796}">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AE31-2C3C-4E22-98B8-EB42558F5878}">
  <dimension ref="B1:K24"/>
  <sheetViews>
    <sheetView zoomScaleNormal="100" workbookViewId="0">
      <pane xSplit="2" ySplit="5" topLeftCell="C6" activePane="bottomRight" state="frozen"/>
      <selection pane="topRight" activeCell="C1" sqref="C1"/>
      <selection pane="bottomLeft" activeCell="A6" sqref="A6"/>
      <selection pane="bottomRight" activeCell="A17" sqref="A17:XFD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44771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540000</v>
      </c>
      <c r="D6" s="45">
        <v>216000</v>
      </c>
      <c r="E6" s="45"/>
      <c r="F6" s="45"/>
      <c r="G6" s="45"/>
      <c r="H6" s="12">
        <f t="shared" ref="H6:H22" si="0">$G$3</f>
        <v>44771</v>
      </c>
    </row>
    <row r="7" spans="2:11" ht="16.5" customHeight="1" x14ac:dyDescent="0.3">
      <c r="B7" s="6" t="s">
        <v>37</v>
      </c>
      <c r="C7" s="62"/>
      <c r="D7" s="62"/>
      <c r="E7" s="62"/>
      <c r="F7" s="62"/>
      <c r="G7" s="62"/>
      <c r="H7" s="67">
        <f t="shared" si="0"/>
        <v>44771</v>
      </c>
    </row>
    <row r="8" spans="2:11" x14ac:dyDescent="0.3">
      <c r="B8" s="6" t="s">
        <v>17</v>
      </c>
      <c r="C8" s="22">
        <v>54000</v>
      </c>
      <c r="D8" s="22"/>
      <c r="E8" s="22"/>
      <c r="F8" s="22"/>
      <c r="G8" s="22"/>
      <c r="H8" s="12">
        <f t="shared" si="0"/>
        <v>44771</v>
      </c>
    </row>
    <row r="9" spans="2:11" ht="15.6" x14ac:dyDescent="0.3">
      <c r="B9" s="34" t="s">
        <v>0</v>
      </c>
      <c r="C9" s="60"/>
      <c r="D9" s="60"/>
      <c r="E9" s="60"/>
      <c r="F9" s="60"/>
      <c r="G9" s="61"/>
      <c r="H9" s="12">
        <f t="shared" si="0"/>
        <v>44771</v>
      </c>
    </row>
    <row r="10" spans="2:11" x14ac:dyDescent="0.3">
      <c r="B10" s="6" t="s">
        <v>25</v>
      </c>
      <c r="C10" s="22">
        <v>108000</v>
      </c>
      <c r="D10" s="22"/>
      <c r="E10" s="22"/>
      <c r="F10" s="22"/>
      <c r="G10" s="22"/>
      <c r="H10" s="12">
        <f t="shared" si="0"/>
        <v>44771</v>
      </c>
    </row>
    <row r="11" spans="2:11" x14ac:dyDescent="0.3">
      <c r="B11" s="6" t="s">
        <v>15</v>
      </c>
      <c r="C11" s="22">
        <v>315000</v>
      </c>
      <c r="D11" s="22"/>
      <c r="E11" s="22"/>
      <c r="F11" s="22"/>
      <c r="G11" s="57"/>
      <c r="H11" s="12">
        <f t="shared" si="0"/>
        <v>44771</v>
      </c>
    </row>
    <row r="12" spans="2:11" x14ac:dyDescent="0.3">
      <c r="B12" s="6" t="s">
        <v>54</v>
      </c>
      <c r="C12" s="22"/>
      <c r="D12" s="22"/>
      <c r="E12" s="22"/>
      <c r="F12" s="22">
        <v>216000</v>
      </c>
      <c r="G12" s="22">
        <v>158000</v>
      </c>
      <c r="H12" s="67">
        <f t="shared" si="0"/>
        <v>44771</v>
      </c>
    </row>
    <row r="13" spans="2:11" x14ac:dyDescent="0.3">
      <c r="B13" s="6" t="s">
        <v>26</v>
      </c>
      <c r="C13" s="22"/>
      <c r="D13" s="22"/>
      <c r="E13" s="22"/>
      <c r="F13" s="22"/>
      <c r="G13" s="22"/>
      <c r="H13" s="12">
        <f t="shared" si="0"/>
        <v>44771</v>
      </c>
    </row>
    <row r="14" spans="2:11" x14ac:dyDescent="0.3">
      <c r="B14" s="6" t="s">
        <v>22</v>
      </c>
      <c r="C14" s="22"/>
      <c r="D14" s="22"/>
      <c r="E14" s="22"/>
      <c r="F14" s="22"/>
      <c r="G14" s="22"/>
      <c r="H14" s="12">
        <f t="shared" si="0"/>
        <v>44771</v>
      </c>
      <c r="K14" s="4"/>
    </row>
    <row r="15" spans="2:11" x14ac:dyDescent="0.3">
      <c r="B15" s="6" t="s">
        <v>61</v>
      </c>
      <c r="C15" s="22"/>
      <c r="D15" s="22"/>
      <c r="E15" s="22"/>
      <c r="F15" s="22"/>
      <c r="G15" s="22"/>
      <c r="H15" s="67">
        <f t="shared" si="0"/>
        <v>44771</v>
      </c>
      <c r="K15" s="4"/>
    </row>
    <row r="16" spans="2:11" x14ac:dyDescent="0.3">
      <c r="B16" s="6" t="s">
        <v>19</v>
      </c>
      <c r="C16" s="22">
        <v>370000</v>
      </c>
      <c r="D16" s="22"/>
      <c r="E16" s="23"/>
      <c r="F16" s="22"/>
      <c r="G16" s="23">
        <v>216000</v>
      </c>
      <c r="H16" s="12">
        <f t="shared" si="0"/>
        <v>44771</v>
      </c>
    </row>
    <row r="17" spans="2:10" x14ac:dyDescent="0.3">
      <c r="B17" s="6" t="s">
        <v>14</v>
      </c>
      <c r="C17" s="22">
        <v>540000</v>
      </c>
      <c r="D17" s="22">
        <v>486000</v>
      </c>
      <c r="E17" s="23"/>
      <c r="F17" s="22">
        <v>270000</v>
      </c>
      <c r="G17" s="23">
        <v>162000</v>
      </c>
      <c r="H17" s="12">
        <f t="shared" si="0"/>
        <v>44771</v>
      </c>
    </row>
    <row r="18" spans="2:10" x14ac:dyDescent="0.3">
      <c r="B18" s="6" t="s">
        <v>24</v>
      </c>
      <c r="C18" s="22"/>
      <c r="D18" s="22"/>
      <c r="E18" s="22"/>
      <c r="F18" s="49"/>
      <c r="G18" s="22"/>
      <c r="H18" s="12">
        <f t="shared" si="0"/>
        <v>44771</v>
      </c>
      <c r="J18" s="1" t="s">
        <v>66</v>
      </c>
    </row>
    <row r="19" spans="2:10" x14ac:dyDescent="0.3">
      <c r="B19" s="6" t="s">
        <v>21</v>
      </c>
      <c r="C19" s="22"/>
      <c r="D19" s="22"/>
      <c r="E19" s="22"/>
      <c r="F19" s="22"/>
      <c r="G19" s="22"/>
      <c r="H19" s="67">
        <f t="shared" si="0"/>
        <v>44771</v>
      </c>
    </row>
    <row r="20" spans="2:10" x14ac:dyDescent="0.3">
      <c r="B20" s="6" t="s">
        <v>65</v>
      </c>
      <c r="C20" s="22"/>
      <c r="D20" s="22"/>
      <c r="E20" s="22"/>
      <c r="F20" s="22"/>
      <c r="G20" s="22"/>
      <c r="H20" s="12">
        <f t="shared" si="0"/>
        <v>44771</v>
      </c>
    </row>
    <row r="21" spans="2:10" x14ac:dyDescent="0.3">
      <c r="B21" s="6" t="s">
        <v>18</v>
      </c>
      <c r="C21" s="62"/>
      <c r="D21" s="62"/>
      <c r="E21" s="62"/>
      <c r="F21" s="62"/>
      <c r="G21" s="62"/>
      <c r="H21" s="12">
        <f t="shared" si="0"/>
        <v>44771</v>
      </c>
    </row>
    <row r="22" spans="2:10" x14ac:dyDescent="0.3">
      <c r="B22" s="6" t="s">
        <v>16</v>
      </c>
      <c r="C22" s="22"/>
      <c r="D22" s="22"/>
      <c r="E22" s="62"/>
      <c r="F22" s="62"/>
      <c r="G22" s="62"/>
      <c r="H22" s="12">
        <f t="shared" si="0"/>
        <v>44771</v>
      </c>
    </row>
    <row r="23" spans="2:10" x14ac:dyDescent="0.3">
      <c r="B23" s="50" t="s">
        <v>27</v>
      </c>
      <c r="C23" s="51">
        <f>SUM(July29_2022[KSI_AGO])</f>
        <v>1927000</v>
      </c>
      <c r="D23" s="51">
        <f>SUBTOTAL(109,July29_2022[KSI_PMS])</f>
        <v>702000</v>
      </c>
      <c r="E23" s="51">
        <f>SUM(July29_2022[BUIPE_AGO])</f>
        <v>0</v>
      </c>
      <c r="F23" s="51">
        <f>SUM(July29_2022[BUIPE_PMS])</f>
        <v>486000</v>
      </c>
      <c r="G23" s="51">
        <f>SUM(July29_2022[AKOSOMBO_AGO])</f>
        <v>536000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550DEB9-A2C3-4B53-B0FC-E6866977A561}">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81451-7637-4B1D-9B66-7F1A1C6F0648}">
  <dimension ref="B1:K24"/>
  <sheetViews>
    <sheetView zoomScaleNormal="100" workbookViewId="0">
      <pane xSplit="2" ySplit="5" topLeftCell="C6" activePane="bottomRight" state="frozen"/>
      <selection pane="topRight" activeCell="C1" sqref="C1"/>
      <selection pane="bottomLeft" activeCell="A6" sqref="A6"/>
      <selection pane="bottomRight" activeCell="G17" sqref="G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44778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44778</v>
      </c>
    </row>
    <row r="7" spans="2:11" ht="16.5" customHeight="1" x14ac:dyDescent="0.3">
      <c r="B7" s="6" t="s">
        <v>37</v>
      </c>
      <c r="C7" s="62"/>
      <c r="D7" s="62"/>
      <c r="E7" s="62"/>
      <c r="F7" s="62"/>
      <c r="G7" s="62"/>
      <c r="H7" s="67">
        <f t="shared" si="0"/>
        <v>44778</v>
      </c>
    </row>
    <row r="8" spans="2:11" x14ac:dyDescent="0.3">
      <c r="B8" s="6" t="s">
        <v>17</v>
      </c>
      <c r="C8" s="22"/>
      <c r="D8" s="22"/>
      <c r="E8" s="22"/>
      <c r="F8" s="22"/>
      <c r="G8" s="22"/>
      <c r="H8" s="12">
        <f t="shared" si="0"/>
        <v>44778</v>
      </c>
    </row>
    <row r="9" spans="2:11" ht="15.6" x14ac:dyDescent="0.3">
      <c r="B9" s="34" t="s">
        <v>0</v>
      </c>
      <c r="C9" s="60"/>
      <c r="D9" s="60"/>
      <c r="E9" s="60"/>
      <c r="F9" s="60"/>
      <c r="G9" s="61"/>
      <c r="H9" s="12">
        <f t="shared" si="0"/>
        <v>44778</v>
      </c>
    </row>
    <row r="10" spans="2:11" x14ac:dyDescent="0.3">
      <c r="B10" s="6" t="s">
        <v>25</v>
      </c>
      <c r="C10" s="22">
        <v>108000</v>
      </c>
      <c r="D10" s="22"/>
      <c r="E10" s="22"/>
      <c r="F10" s="22"/>
      <c r="G10" s="22"/>
      <c r="H10" s="12">
        <f t="shared" si="0"/>
        <v>44778</v>
      </c>
    </row>
    <row r="11" spans="2:11" x14ac:dyDescent="0.3">
      <c r="B11" s="6" t="s">
        <v>15</v>
      </c>
      <c r="C11" s="22">
        <v>54000</v>
      </c>
      <c r="D11" s="22"/>
      <c r="E11" s="22"/>
      <c r="F11" s="22"/>
      <c r="G11" s="57"/>
      <c r="H11" s="12">
        <f t="shared" si="0"/>
        <v>44778</v>
      </c>
    </row>
    <row r="12" spans="2:11" x14ac:dyDescent="0.3">
      <c r="B12" s="6" t="s">
        <v>54</v>
      </c>
      <c r="C12" s="22"/>
      <c r="D12" s="22"/>
      <c r="E12" s="22"/>
      <c r="F12" s="22"/>
      <c r="G12" s="22">
        <v>108000</v>
      </c>
      <c r="H12" s="67">
        <f t="shared" si="0"/>
        <v>44778</v>
      </c>
    </row>
    <row r="13" spans="2:11" x14ac:dyDescent="0.3">
      <c r="B13" s="6" t="s">
        <v>26</v>
      </c>
      <c r="C13" s="22">
        <v>104000</v>
      </c>
      <c r="D13" s="22"/>
      <c r="E13" s="22"/>
      <c r="F13" s="22"/>
      <c r="G13" s="22">
        <v>54000</v>
      </c>
      <c r="H13" s="12">
        <f t="shared" si="0"/>
        <v>44778</v>
      </c>
    </row>
    <row r="14" spans="2:11" x14ac:dyDescent="0.3">
      <c r="B14" s="6" t="s">
        <v>22</v>
      </c>
      <c r="C14" s="22"/>
      <c r="D14" s="22"/>
      <c r="E14" s="22"/>
      <c r="F14" s="22"/>
      <c r="G14" s="22"/>
      <c r="H14" s="12">
        <f t="shared" si="0"/>
        <v>44778</v>
      </c>
      <c r="K14" s="4"/>
    </row>
    <row r="15" spans="2:11" x14ac:dyDescent="0.3">
      <c r="B15" s="6" t="s">
        <v>61</v>
      </c>
      <c r="C15" s="22"/>
      <c r="D15" s="22"/>
      <c r="E15" s="22"/>
      <c r="F15" s="22"/>
      <c r="G15" s="22"/>
      <c r="H15" s="67">
        <f t="shared" si="0"/>
        <v>44778</v>
      </c>
      <c r="K15" s="4"/>
    </row>
    <row r="16" spans="2:11" x14ac:dyDescent="0.3">
      <c r="B16" s="6" t="s">
        <v>19</v>
      </c>
      <c r="C16" s="22">
        <v>108000</v>
      </c>
      <c r="D16" s="22"/>
      <c r="E16" s="23"/>
      <c r="F16" s="22"/>
      <c r="G16" s="23">
        <v>162000</v>
      </c>
      <c r="H16" s="12">
        <f t="shared" si="0"/>
        <v>44778</v>
      </c>
    </row>
    <row r="17" spans="2:10" x14ac:dyDescent="0.3">
      <c r="B17" s="6" t="s">
        <v>14</v>
      </c>
      <c r="C17" s="22">
        <v>54000</v>
      </c>
      <c r="D17" s="22"/>
      <c r="E17" s="23"/>
      <c r="F17" s="22"/>
      <c r="G17" s="23">
        <v>54000</v>
      </c>
      <c r="H17" s="12">
        <f t="shared" si="0"/>
        <v>44778</v>
      </c>
    </row>
    <row r="18" spans="2:10" x14ac:dyDescent="0.3">
      <c r="B18" s="6" t="s">
        <v>24</v>
      </c>
      <c r="C18" s="22"/>
      <c r="D18" s="22"/>
      <c r="E18" s="22"/>
      <c r="F18" s="49"/>
      <c r="G18" s="22"/>
      <c r="H18" s="12">
        <f t="shared" si="0"/>
        <v>44778</v>
      </c>
      <c r="J18" s="1" t="s">
        <v>66</v>
      </c>
    </row>
    <row r="19" spans="2:10" x14ac:dyDescent="0.3">
      <c r="B19" s="6" t="s">
        <v>21</v>
      </c>
      <c r="C19" s="22"/>
      <c r="D19" s="22"/>
      <c r="E19" s="22"/>
      <c r="F19" s="22"/>
      <c r="G19" s="22"/>
      <c r="H19" s="67">
        <f t="shared" si="0"/>
        <v>44778</v>
      </c>
    </row>
    <row r="20" spans="2:10" x14ac:dyDescent="0.3">
      <c r="B20" s="6" t="s">
        <v>65</v>
      </c>
      <c r="C20" s="22"/>
      <c r="D20" s="22"/>
      <c r="E20" s="22"/>
      <c r="F20" s="22"/>
      <c r="G20" s="22"/>
      <c r="H20" s="12">
        <f t="shared" si="0"/>
        <v>44778</v>
      </c>
    </row>
    <row r="21" spans="2:10" x14ac:dyDescent="0.3">
      <c r="B21" s="6" t="s">
        <v>18</v>
      </c>
      <c r="C21" s="62"/>
      <c r="D21" s="62"/>
      <c r="E21" s="62"/>
      <c r="F21" s="62"/>
      <c r="G21" s="62"/>
      <c r="H21" s="12">
        <f t="shared" si="0"/>
        <v>44778</v>
      </c>
    </row>
    <row r="22" spans="2:10" x14ac:dyDescent="0.3">
      <c r="B22" s="6" t="s">
        <v>16</v>
      </c>
      <c r="C22" s="22">
        <v>54000</v>
      </c>
      <c r="D22" s="22"/>
      <c r="E22" s="62"/>
      <c r="F22" s="62"/>
      <c r="G22" s="62"/>
      <c r="H22" s="12">
        <f t="shared" si="0"/>
        <v>44778</v>
      </c>
    </row>
    <row r="23" spans="2:10" x14ac:dyDescent="0.3">
      <c r="B23" s="50" t="s">
        <v>27</v>
      </c>
      <c r="C23" s="51">
        <f>SUM(August05_2022[KSI_AGO])</f>
        <v>482000</v>
      </c>
      <c r="D23" s="51">
        <f>SUBTOTAL(109,August05_2022[KSI_PMS])</f>
        <v>0</v>
      </c>
      <c r="E23" s="51">
        <f>SUM(August05_2022[BUIPE_AGO])</f>
        <v>0</v>
      </c>
      <c r="F23" s="51">
        <f>SUM(August05_2022[BUIPE_PMS])</f>
        <v>0</v>
      </c>
      <c r="G23" s="51">
        <f>SUM(August05_2022[AKOSOMBO_AGO])</f>
        <v>378000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7CB503C-6208-43E2-ADAE-29654FEA4E31}">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28F91-EA67-47D2-92D3-BEB3AD5CA62D}">
  <dimension ref="B1:K24"/>
  <sheetViews>
    <sheetView zoomScaleNormal="100" workbookViewId="0">
      <pane xSplit="2" ySplit="5" topLeftCell="C6" activePane="bottomRight" state="frozen"/>
      <selection pane="topRight" activeCell="C1" sqref="C1"/>
      <selection pane="bottomLeft" activeCell="A6" sqref="A6"/>
      <selection pane="bottomRight" activeCell="A17" sqref="A17:XFD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44781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108000</v>
      </c>
      <c r="D6" s="45">
        <v>108000</v>
      </c>
      <c r="E6" s="45"/>
      <c r="F6" s="45"/>
      <c r="G6" s="45"/>
      <c r="H6" s="12">
        <f t="shared" ref="H6:H22" si="0">$G$3</f>
        <v>44781</v>
      </c>
    </row>
    <row r="7" spans="2:11" ht="16.5" customHeight="1" x14ac:dyDescent="0.3">
      <c r="B7" s="6" t="s">
        <v>37</v>
      </c>
      <c r="C7" s="57"/>
      <c r="D7" s="62"/>
      <c r="E7" s="62"/>
      <c r="F7" s="62"/>
      <c r="G7" s="62"/>
      <c r="H7" s="67">
        <f t="shared" si="0"/>
        <v>44781</v>
      </c>
    </row>
    <row r="8" spans="2:11" x14ac:dyDescent="0.3">
      <c r="B8" s="6" t="s">
        <v>17</v>
      </c>
      <c r="C8" s="22">
        <v>162000</v>
      </c>
      <c r="D8" s="22"/>
      <c r="E8" s="22"/>
      <c r="F8" s="22"/>
      <c r="G8" s="22"/>
      <c r="H8" s="12">
        <f t="shared" si="0"/>
        <v>44781</v>
      </c>
    </row>
    <row r="9" spans="2:11" ht="15.6" x14ac:dyDescent="0.3">
      <c r="B9" s="34" t="s">
        <v>0</v>
      </c>
      <c r="C9" s="57"/>
      <c r="D9" s="60"/>
      <c r="E9" s="60"/>
      <c r="F9" s="60"/>
      <c r="G9" s="60"/>
      <c r="H9" s="12">
        <f t="shared" si="0"/>
        <v>44781</v>
      </c>
    </row>
    <row r="10" spans="2:11" x14ac:dyDescent="0.3">
      <c r="B10" s="6" t="s">
        <v>25</v>
      </c>
      <c r="C10" s="22">
        <v>99500</v>
      </c>
      <c r="D10" s="22"/>
      <c r="E10" s="22"/>
      <c r="F10" s="22"/>
      <c r="G10" s="22"/>
      <c r="H10" s="12">
        <f t="shared" si="0"/>
        <v>44781</v>
      </c>
    </row>
    <row r="11" spans="2:11" x14ac:dyDescent="0.3">
      <c r="B11" s="6" t="s">
        <v>15</v>
      </c>
      <c r="C11" s="22">
        <v>153000</v>
      </c>
      <c r="D11" s="22">
        <v>216000</v>
      </c>
      <c r="E11" s="22"/>
      <c r="F11" s="22"/>
      <c r="G11" s="22"/>
      <c r="H11" s="12">
        <f t="shared" si="0"/>
        <v>44781</v>
      </c>
    </row>
    <row r="12" spans="2:11" x14ac:dyDescent="0.3">
      <c r="B12" s="6" t="s">
        <v>54</v>
      </c>
      <c r="C12" s="22">
        <v>162000</v>
      </c>
      <c r="D12" s="22">
        <v>108000</v>
      </c>
      <c r="E12" s="22"/>
      <c r="F12" s="22">
        <v>216000</v>
      </c>
      <c r="G12" s="22">
        <v>108000</v>
      </c>
      <c r="H12" s="67">
        <f t="shared" si="0"/>
        <v>44781</v>
      </c>
    </row>
    <row r="13" spans="2:11" x14ac:dyDescent="0.3">
      <c r="B13" s="6" t="s">
        <v>26</v>
      </c>
      <c r="C13" s="22">
        <v>162000</v>
      </c>
      <c r="D13" s="22">
        <v>104000</v>
      </c>
      <c r="E13" s="22"/>
      <c r="F13" s="22"/>
      <c r="G13" s="22">
        <v>108000</v>
      </c>
      <c r="H13" s="12">
        <f t="shared" si="0"/>
        <v>44781</v>
      </c>
    </row>
    <row r="14" spans="2:11" x14ac:dyDescent="0.3">
      <c r="B14" s="6" t="s">
        <v>22</v>
      </c>
      <c r="C14" s="22"/>
      <c r="D14" s="22"/>
      <c r="E14" s="22"/>
      <c r="F14" s="22"/>
      <c r="G14" s="22"/>
      <c r="H14" s="12">
        <f t="shared" si="0"/>
        <v>44781</v>
      </c>
      <c r="K14" s="4"/>
    </row>
    <row r="15" spans="2:11" x14ac:dyDescent="0.3">
      <c r="B15" s="6" t="s">
        <v>61</v>
      </c>
      <c r="C15" s="22"/>
      <c r="D15" s="22"/>
      <c r="E15" s="22"/>
      <c r="F15" s="22"/>
      <c r="G15" s="22"/>
      <c r="H15" s="67">
        <f t="shared" si="0"/>
        <v>44781</v>
      </c>
      <c r="K15" s="4"/>
    </row>
    <row r="16" spans="2:11" x14ac:dyDescent="0.3">
      <c r="B16" s="6" t="s">
        <v>19</v>
      </c>
      <c r="C16" s="22">
        <v>270000</v>
      </c>
      <c r="D16" s="22">
        <v>315000</v>
      </c>
      <c r="E16" s="23"/>
      <c r="F16" s="22"/>
      <c r="G16" s="22">
        <v>108000</v>
      </c>
      <c r="H16" s="12">
        <f t="shared" si="0"/>
        <v>44781</v>
      </c>
    </row>
    <row r="17" spans="2:10" x14ac:dyDescent="0.3">
      <c r="B17" s="6" t="s">
        <v>14</v>
      </c>
      <c r="C17" s="22">
        <v>324000</v>
      </c>
      <c r="D17" s="22">
        <v>54000</v>
      </c>
      <c r="E17" s="23"/>
      <c r="F17" s="22">
        <v>216000</v>
      </c>
      <c r="G17" s="22">
        <v>108000</v>
      </c>
      <c r="H17" s="12">
        <f t="shared" si="0"/>
        <v>44781</v>
      </c>
    </row>
    <row r="18" spans="2:10" x14ac:dyDescent="0.3">
      <c r="B18" s="6" t="s">
        <v>24</v>
      </c>
      <c r="C18" s="22"/>
      <c r="D18" s="22"/>
      <c r="E18" s="22"/>
      <c r="F18" s="49"/>
      <c r="G18" s="22"/>
      <c r="H18" s="12">
        <f t="shared" si="0"/>
        <v>44781</v>
      </c>
      <c r="J18" s="1" t="s">
        <v>66</v>
      </c>
    </row>
    <row r="19" spans="2:10" x14ac:dyDescent="0.3">
      <c r="B19" s="6" t="s">
        <v>21</v>
      </c>
      <c r="C19" s="22">
        <v>162000</v>
      </c>
      <c r="D19" s="22">
        <v>162000</v>
      </c>
      <c r="E19" s="22"/>
      <c r="F19" s="22"/>
      <c r="G19" s="22"/>
      <c r="H19" s="67">
        <f t="shared" si="0"/>
        <v>44781</v>
      </c>
    </row>
    <row r="20" spans="2:10" x14ac:dyDescent="0.3">
      <c r="B20" s="6" t="s">
        <v>65</v>
      </c>
      <c r="C20" s="22"/>
      <c r="D20" s="22"/>
      <c r="E20" s="22"/>
      <c r="F20" s="22"/>
      <c r="G20" s="22"/>
      <c r="H20" s="12">
        <f t="shared" si="0"/>
        <v>44781</v>
      </c>
    </row>
    <row r="21" spans="2:10" x14ac:dyDescent="0.3">
      <c r="B21" s="6" t="s">
        <v>18</v>
      </c>
      <c r="C21" s="22"/>
      <c r="D21" s="62"/>
      <c r="E21" s="62"/>
      <c r="F21" s="62"/>
      <c r="G21" s="62"/>
      <c r="H21" s="12">
        <f t="shared" si="0"/>
        <v>44781</v>
      </c>
    </row>
    <row r="22" spans="2:10" x14ac:dyDescent="0.3">
      <c r="B22" s="6" t="s">
        <v>16</v>
      </c>
      <c r="C22" s="55">
        <v>108000</v>
      </c>
      <c r="D22" s="22">
        <v>108000</v>
      </c>
      <c r="E22" s="62"/>
      <c r="F22" s="62">
        <v>162000</v>
      </c>
      <c r="G22" s="22">
        <v>108000</v>
      </c>
      <c r="H22" s="12">
        <f t="shared" si="0"/>
        <v>44781</v>
      </c>
    </row>
    <row r="23" spans="2:10" x14ac:dyDescent="0.3">
      <c r="B23" s="50" t="s">
        <v>27</v>
      </c>
      <c r="C23" s="51">
        <f>SUM(August08_2022[KSI_AGO])</f>
        <v>1710500</v>
      </c>
      <c r="D23" s="51">
        <f>SUBTOTAL(109,August08_2022[KSI_PMS])</f>
        <v>1175000</v>
      </c>
      <c r="E23" s="51">
        <f>SUM(August08_2022[BUIPE_AGO])</f>
        <v>0</v>
      </c>
      <c r="F23" s="51">
        <f>SUM(August08_2022[BUIPE_PMS])</f>
        <v>594000</v>
      </c>
      <c r="G23" s="51">
        <f>SUM(August08_2022[AKOSOMBO_AGO])</f>
        <v>540000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1F5A5196-13C8-40C5-B046-BFE2804AD6BE}">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BE28C-3200-4CCA-9CDC-2FE2260AA7A1}">
  <dimension ref="B1:K24"/>
  <sheetViews>
    <sheetView zoomScaleNormal="100" workbookViewId="0">
      <pane xSplit="2" ySplit="5" topLeftCell="C6" activePane="bottomRight" state="frozen"/>
      <selection pane="topRight" activeCell="C1" sqref="C1"/>
      <selection pane="bottomLeft" activeCell="A6" sqref="A6"/>
      <selection pane="bottomRight" activeCell="A17" sqref="A17:XFD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44782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216000</v>
      </c>
      <c r="D6" s="45">
        <v>108000</v>
      </c>
      <c r="E6" s="45"/>
      <c r="F6" s="45"/>
      <c r="G6" s="45"/>
      <c r="H6" s="12">
        <f t="shared" ref="H6:H22" si="0">$G$3</f>
        <v>44782</v>
      </c>
    </row>
    <row r="7" spans="2:11" ht="16.5" customHeight="1" x14ac:dyDescent="0.3">
      <c r="B7" s="6" t="s">
        <v>37</v>
      </c>
      <c r="C7" s="57"/>
      <c r="D7" s="62"/>
      <c r="E7" s="62"/>
      <c r="F7" s="62"/>
      <c r="G7" s="62"/>
      <c r="H7" s="67">
        <f t="shared" si="0"/>
        <v>44782</v>
      </c>
    </row>
    <row r="8" spans="2:11" x14ac:dyDescent="0.3">
      <c r="B8" s="6" t="s">
        <v>17</v>
      </c>
      <c r="C8" s="22">
        <v>162000</v>
      </c>
      <c r="D8" s="22"/>
      <c r="E8" s="22"/>
      <c r="F8" s="22"/>
      <c r="G8" s="22"/>
      <c r="H8" s="12">
        <f t="shared" si="0"/>
        <v>44782</v>
      </c>
    </row>
    <row r="9" spans="2:11" ht="15.6" x14ac:dyDescent="0.3">
      <c r="B9" s="34" t="s">
        <v>0</v>
      </c>
      <c r="C9" s="57"/>
      <c r="D9" s="60"/>
      <c r="E9" s="60"/>
      <c r="F9" s="60"/>
      <c r="G9" s="60"/>
      <c r="H9" s="12">
        <f t="shared" si="0"/>
        <v>44782</v>
      </c>
    </row>
    <row r="10" spans="2:11" x14ac:dyDescent="0.3">
      <c r="B10" s="6" t="s">
        <v>25</v>
      </c>
      <c r="C10" s="22">
        <v>270000</v>
      </c>
      <c r="D10" s="22"/>
      <c r="E10" s="22"/>
      <c r="F10" s="22"/>
      <c r="G10" s="22"/>
      <c r="H10" s="12">
        <f t="shared" si="0"/>
        <v>44782</v>
      </c>
    </row>
    <row r="11" spans="2:11" x14ac:dyDescent="0.3">
      <c r="B11" s="6" t="s">
        <v>15</v>
      </c>
      <c r="C11" s="22">
        <v>108000</v>
      </c>
      <c r="D11" s="22">
        <v>157000</v>
      </c>
      <c r="E11" s="22"/>
      <c r="F11" s="22"/>
      <c r="G11" s="22"/>
      <c r="H11" s="12">
        <f t="shared" si="0"/>
        <v>44782</v>
      </c>
    </row>
    <row r="12" spans="2:11" x14ac:dyDescent="0.3">
      <c r="B12" s="6" t="s">
        <v>54</v>
      </c>
      <c r="C12" s="22">
        <v>162000</v>
      </c>
      <c r="D12" s="22"/>
      <c r="E12" s="22"/>
      <c r="F12" s="22">
        <v>270000</v>
      </c>
      <c r="G12" s="22">
        <v>54000</v>
      </c>
      <c r="H12" s="67">
        <f t="shared" si="0"/>
        <v>44782</v>
      </c>
    </row>
    <row r="13" spans="2:11" x14ac:dyDescent="0.3">
      <c r="B13" s="6" t="s">
        <v>26</v>
      </c>
      <c r="C13" s="22">
        <v>108000</v>
      </c>
      <c r="D13" s="22">
        <v>108000</v>
      </c>
      <c r="E13" s="22"/>
      <c r="F13" s="22"/>
      <c r="G13" s="22">
        <v>108000</v>
      </c>
      <c r="H13" s="12">
        <f t="shared" si="0"/>
        <v>44782</v>
      </c>
    </row>
    <row r="14" spans="2:11" x14ac:dyDescent="0.3">
      <c r="B14" s="6" t="s">
        <v>22</v>
      </c>
      <c r="C14" s="22"/>
      <c r="D14" s="22"/>
      <c r="E14" s="22"/>
      <c r="F14" s="22"/>
      <c r="G14" s="22"/>
      <c r="H14" s="12">
        <f t="shared" si="0"/>
        <v>44782</v>
      </c>
      <c r="K14" s="4"/>
    </row>
    <row r="15" spans="2:11" x14ac:dyDescent="0.3">
      <c r="B15" s="6" t="s">
        <v>61</v>
      </c>
      <c r="C15" s="22"/>
      <c r="D15" s="22"/>
      <c r="E15" s="22"/>
      <c r="F15" s="22"/>
      <c r="G15" s="22"/>
      <c r="H15" s="67">
        <f t="shared" si="0"/>
        <v>44782</v>
      </c>
      <c r="K15" s="4"/>
    </row>
    <row r="16" spans="2:11" x14ac:dyDescent="0.3">
      <c r="B16" s="6" t="s">
        <v>19</v>
      </c>
      <c r="C16" s="22">
        <v>212000</v>
      </c>
      <c r="D16" s="22">
        <v>324000</v>
      </c>
      <c r="E16" s="23"/>
      <c r="F16" s="22"/>
      <c r="G16" s="22">
        <v>324000</v>
      </c>
      <c r="H16" s="12">
        <f t="shared" si="0"/>
        <v>44782</v>
      </c>
    </row>
    <row r="17" spans="2:10" x14ac:dyDescent="0.3">
      <c r="B17" s="6" t="s">
        <v>14</v>
      </c>
      <c r="C17" s="22">
        <v>266000</v>
      </c>
      <c r="D17" s="22">
        <v>108000</v>
      </c>
      <c r="E17" s="23"/>
      <c r="F17" s="22">
        <v>270000</v>
      </c>
      <c r="G17" s="22">
        <v>90000</v>
      </c>
      <c r="H17" s="12">
        <f t="shared" si="0"/>
        <v>44782</v>
      </c>
    </row>
    <row r="18" spans="2:10" x14ac:dyDescent="0.3">
      <c r="B18" s="6" t="s">
        <v>24</v>
      </c>
      <c r="C18" s="22"/>
      <c r="D18" s="22"/>
      <c r="E18" s="22"/>
      <c r="F18" s="49"/>
      <c r="G18" s="22"/>
      <c r="H18" s="12">
        <f t="shared" si="0"/>
        <v>44782</v>
      </c>
      <c r="J18" s="1" t="s">
        <v>66</v>
      </c>
    </row>
    <row r="19" spans="2:10" x14ac:dyDescent="0.3">
      <c r="B19" s="6" t="s">
        <v>21</v>
      </c>
      <c r="C19" s="22">
        <v>162000</v>
      </c>
      <c r="D19" s="22">
        <v>50000</v>
      </c>
      <c r="E19" s="22"/>
      <c r="F19" s="22"/>
      <c r="G19" s="22"/>
      <c r="H19" s="67">
        <f t="shared" si="0"/>
        <v>44782</v>
      </c>
    </row>
    <row r="20" spans="2:10" x14ac:dyDescent="0.3">
      <c r="B20" s="6" t="s">
        <v>65</v>
      </c>
      <c r="C20" s="22"/>
      <c r="D20" s="22"/>
      <c r="E20" s="22"/>
      <c r="F20" s="22"/>
      <c r="G20" s="22"/>
      <c r="H20" s="12">
        <f t="shared" si="0"/>
        <v>44782</v>
      </c>
    </row>
    <row r="21" spans="2:10" x14ac:dyDescent="0.3">
      <c r="B21" s="6" t="s">
        <v>18</v>
      </c>
      <c r="C21" s="22"/>
      <c r="D21" s="62"/>
      <c r="E21" s="62"/>
      <c r="F21" s="62"/>
      <c r="G21" s="62"/>
      <c r="H21" s="12">
        <f t="shared" si="0"/>
        <v>44782</v>
      </c>
    </row>
    <row r="22" spans="2:10" x14ac:dyDescent="0.3">
      <c r="B22" s="6" t="s">
        <v>16</v>
      </c>
      <c r="C22" s="55">
        <v>162000</v>
      </c>
      <c r="D22" s="22">
        <v>108000</v>
      </c>
      <c r="E22" s="62"/>
      <c r="F22" s="62">
        <v>54000</v>
      </c>
      <c r="G22" s="22">
        <v>108000</v>
      </c>
      <c r="H22" s="12">
        <f t="shared" si="0"/>
        <v>44782</v>
      </c>
    </row>
    <row r="23" spans="2:10" x14ac:dyDescent="0.3">
      <c r="B23" s="50" t="s">
        <v>27</v>
      </c>
      <c r="C23" s="51">
        <f>SUM(August09_2022[KSI_AGO])</f>
        <v>1828000</v>
      </c>
      <c r="D23" s="51">
        <f>SUBTOTAL(109,August09_2022[KSI_PMS])</f>
        <v>963000</v>
      </c>
      <c r="E23" s="51">
        <f>SUM(August09_2022[BUIPE_AGO])</f>
        <v>0</v>
      </c>
      <c r="F23" s="51">
        <f>SUM(August09_2022[BUIPE_PMS])</f>
        <v>594000</v>
      </c>
      <c r="G23" s="51">
        <f>SUM(August09_2022[AKOSOMBO_AGO])</f>
        <v>684000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0DC568B-638D-4197-84FE-C4929585AD87}">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782B-20E1-49C9-A7D6-7693D01E120D}">
  <dimension ref="B1:K24"/>
  <sheetViews>
    <sheetView zoomScaleNormal="100" workbookViewId="0">
      <pane xSplit="2" ySplit="5" topLeftCell="C6" activePane="bottomRight" state="frozen"/>
      <selection pane="topRight" activeCell="C1" sqref="C1"/>
      <selection pane="bottomLeft" activeCell="A6" sqref="A6"/>
      <selection pane="bottomRight" activeCell="B16" sqref="A16:X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44783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216000</v>
      </c>
      <c r="D6" s="45">
        <v>99000</v>
      </c>
      <c r="E6" s="45"/>
      <c r="F6" s="45"/>
      <c r="G6" s="45"/>
      <c r="H6" s="12">
        <f t="shared" ref="H6:H22" si="0">$G$3</f>
        <v>44783</v>
      </c>
    </row>
    <row r="7" spans="2:11" ht="16.5" customHeight="1" x14ac:dyDescent="0.3">
      <c r="B7" s="6" t="s">
        <v>37</v>
      </c>
      <c r="C7" s="57"/>
      <c r="D7" s="62"/>
      <c r="E7" s="62"/>
      <c r="F7" s="62"/>
      <c r="G7" s="62"/>
      <c r="H7" s="67">
        <f t="shared" si="0"/>
        <v>44783</v>
      </c>
    </row>
    <row r="8" spans="2:11" x14ac:dyDescent="0.3">
      <c r="B8" s="6" t="s">
        <v>17</v>
      </c>
      <c r="C8" s="22">
        <v>108000</v>
      </c>
      <c r="D8" s="22"/>
      <c r="E8" s="22"/>
      <c r="F8" s="22"/>
      <c r="G8" s="22"/>
      <c r="H8" s="12">
        <f t="shared" si="0"/>
        <v>44783</v>
      </c>
    </row>
    <row r="9" spans="2:11" ht="15.6" x14ac:dyDescent="0.3">
      <c r="B9" s="34" t="s">
        <v>0</v>
      </c>
      <c r="C9" s="57"/>
      <c r="D9" s="60"/>
      <c r="E9" s="60"/>
      <c r="F9" s="60"/>
      <c r="G9" s="60"/>
      <c r="H9" s="12">
        <f t="shared" si="0"/>
        <v>44783</v>
      </c>
    </row>
    <row r="10" spans="2:11" x14ac:dyDescent="0.3">
      <c r="B10" s="6" t="s">
        <v>25</v>
      </c>
      <c r="C10" s="22">
        <v>108000</v>
      </c>
      <c r="D10" s="22"/>
      <c r="E10" s="22"/>
      <c r="F10" s="22"/>
      <c r="G10" s="22"/>
      <c r="H10" s="12">
        <f t="shared" si="0"/>
        <v>44783</v>
      </c>
    </row>
    <row r="11" spans="2:11" x14ac:dyDescent="0.3">
      <c r="B11" s="6" t="s">
        <v>15</v>
      </c>
      <c r="C11" s="22">
        <v>215500</v>
      </c>
      <c r="D11" s="22">
        <v>216000</v>
      </c>
      <c r="E11" s="22"/>
      <c r="F11" s="22"/>
      <c r="G11" s="22">
        <v>108000</v>
      </c>
      <c r="H11" s="12">
        <f t="shared" si="0"/>
        <v>44783</v>
      </c>
    </row>
    <row r="12" spans="2:11" x14ac:dyDescent="0.3">
      <c r="B12" s="6" t="s">
        <v>54</v>
      </c>
      <c r="C12" s="22">
        <v>216000</v>
      </c>
      <c r="D12" s="22">
        <v>162000</v>
      </c>
      <c r="E12" s="22"/>
      <c r="F12" s="22">
        <v>212000</v>
      </c>
      <c r="G12" s="22">
        <v>162000</v>
      </c>
      <c r="H12" s="67">
        <f t="shared" si="0"/>
        <v>44783</v>
      </c>
    </row>
    <row r="13" spans="2:11" x14ac:dyDescent="0.3">
      <c r="B13" s="6" t="s">
        <v>26</v>
      </c>
      <c r="C13" s="22">
        <v>108000</v>
      </c>
      <c r="D13" s="22">
        <v>54000</v>
      </c>
      <c r="E13" s="22"/>
      <c r="F13" s="22"/>
      <c r="G13" s="22"/>
      <c r="H13" s="12">
        <f t="shared" si="0"/>
        <v>44783</v>
      </c>
    </row>
    <row r="14" spans="2:11" x14ac:dyDescent="0.3">
      <c r="B14" s="6" t="s">
        <v>22</v>
      </c>
      <c r="C14" s="22"/>
      <c r="D14" s="22"/>
      <c r="E14" s="22"/>
      <c r="F14" s="22"/>
      <c r="G14" s="22"/>
      <c r="H14" s="12">
        <f t="shared" si="0"/>
        <v>44783</v>
      </c>
      <c r="K14" s="4"/>
    </row>
    <row r="15" spans="2:11" x14ac:dyDescent="0.3">
      <c r="B15" s="6" t="s">
        <v>61</v>
      </c>
      <c r="C15" s="22">
        <v>270000</v>
      </c>
      <c r="D15" s="22"/>
      <c r="E15" s="22"/>
      <c r="F15" s="22"/>
      <c r="G15" s="22"/>
      <c r="H15" s="67">
        <f t="shared" si="0"/>
        <v>44783</v>
      </c>
      <c r="K15" s="4"/>
    </row>
    <row r="16" spans="2:11" x14ac:dyDescent="0.3">
      <c r="B16" s="6" t="s">
        <v>19</v>
      </c>
      <c r="C16" s="22">
        <v>216000</v>
      </c>
      <c r="D16" s="22">
        <v>297000</v>
      </c>
      <c r="E16" s="23"/>
      <c r="F16" s="22"/>
      <c r="G16" s="22">
        <v>162000</v>
      </c>
      <c r="H16" s="12">
        <f t="shared" si="0"/>
        <v>44783</v>
      </c>
    </row>
    <row r="17" spans="2:10" x14ac:dyDescent="0.3">
      <c r="B17" s="6" t="s">
        <v>14</v>
      </c>
      <c r="C17" s="22">
        <v>378000</v>
      </c>
      <c r="D17" s="22">
        <v>54000</v>
      </c>
      <c r="E17" s="23"/>
      <c r="F17" s="22">
        <v>423000</v>
      </c>
      <c r="G17" s="22">
        <v>158000</v>
      </c>
      <c r="H17" s="12">
        <f t="shared" si="0"/>
        <v>44783</v>
      </c>
    </row>
    <row r="18" spans="2:10" x14ac:dyDescent="0.3">
      <c r="B18" s="6" t="s">
        <v>24</v>
      </c>
      <c r="C18" s="22"/>
      <c r="D18" s="22"/>
      <c r="E18" s="22"/>
      <c r="F18" s="49"/>
      <c r="G18" s="22"/>
      <c r="H18" s="12">
        <f t="shared" si="0"/>
        <v>44783</v>
      </c>
      <c r="J18" s="1" t="s">
        <v>66</v>
      </c>
    </row>
    <row r="19" spans="2:10" x14ac:dyDescent="0.3">
      <c r="B19" s="6" t="s">
        <v>21</v>
      </c>
      <c r="C19" s="22">
        <v>99000</v>
      </c>
      <c r="D19" s="22"/>
      <c r="E19" s="22"/>
      <c r="F19" s="22"/>
      <c r="G19" s="22"/>
      <c r="H19" s="67">
        <f t="shared" si="0"/>
        <v>44783</v>
      </c>
    </row>
    <row r="20" spans="2:10" x14ac:dyDescent="0.3">
      <c r="B20" s="6" t="s">
        <v>65</v>
      </c>
      <c r="C20" s="22"/>
      <c r="D20" s="22"/>
      <c r="E20" s="22"/>
      <c r="F20" s="22"/>
      <c r="G20" s="22"/>
      <c r="H20" s="12">
        <f t="shared" si="0"/>
        <v>44783</v>
      </c>
    </row>
    <row r="21" spans="2:10" x14ac:dyDescent="0.3">
      <c r="B21" s="6" t="s">
        <v>18</v>
      </c>
      <c r="C21" s="22"/>
      <c r="D21" s="62"/>
      <c r="E21" s="62"/>
      <c r="F21" s="62"/>
      <c r="G21" s="62"/>
      <c r="H21" s="12">
        <f t="shared" si="0"/>
        <v>44783</v>
      </c>
    </row>
    <row r="22" spans="2:10" x14ac:dyDescent="0.3">
      <c r="B22" s="6" t="s">
        <v>16</v>
      </c>
      <c r="C22" s="55"/>
      <c r="D22" s="22">
        <v>54000</v>
      </c>
      <c r="E22" s="62"/>
      <c r="F22" s="62">
        <v>54000</v>
      </c>
      <c r="G22" s="22"/>
      <c r="H22" s="12">
        <f t="shared" si="0"/>
        <v>44783</v>
      </c>
    </row>
    <row r="23" spans="2:10" x14ac:dyDescent="0.3">
      <c r="B23" s="50" t="s">
        <v>27</v>
      </c>
      <c r="C23" s="51">
        <f>SUM(August10_2022[KSI_AGO])</f>
        <v>1934500</v>
      </c>
      <c r="D23" s="51">
        <f>SUBTOTAL(109,August10_2022[KSI_PMS])</f>
        <v>936000</v>
      </c>
      <c r="E23" s="51">
        <f>SUM(August10_2022[BUIPE_AGO])</f>
        <v>0</v>
      </c>
      <c r="F23" s="51">
        <f>SUM(August10_2022[BUIPE_PMS])</f>
        <v>689000</v>
      </c>
      <c r="G23" s="51">
        <f>SUM(August10_2022[AKOSOMBO_AGO])</f>
        <v>590000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339689AA-E59D-4D1A-9FFC-38DCCE510D9B}">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2D041-0276-4ADC-B8D3-9B6794023327}">
  <dimension ref="B1:K24"/>
  <sheetViews>
    <sheetView zoomScaleNormal="100" workbookViewId="0">
      <pane xSplit="2" ySplit="5" topLeftCell="C6" activePane="bottomRight" state="frozen"/>
      <selection pane="topRight" activeCell="C1" sqref="C1"/>
      <selection pane="bottomLeft" activeCell="A6" sqref="A6"/>
      <selection pane="bottomRight" activeCell="G13" sqref="G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44784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216000</v>
      </c>
      <c r="D6" s="45">
        <v>108000</v>
      </c>
      <c r="E6" s="45"/>
      <c r="F6" s="45"/>
      <c r="G6" s="45"/>
      <c r="H6" s="12">
        <f t="shared" ref="H6:H22" si="0">$G$3</f>
        <v>44784</v>
      </c>
    </row>
    <row r="7" spans="2:11" ht="16.5" customHeight="1" x14ac:dyDescent="0.3">
      <c r="B7" s="6" t="s">
        <v>37</v>
      </c>
      <c r="C7" s="57"/>
      <c r="D7" s="62"/>
      <c r="E7" s="62"/>
      <c r="F7" s="62"/>
      <c r="G7" s="62"/>
      <c r="H7" s="67">
        <f t="shared" si="0"/>
        <v>44784</v>
      </c>
    </row>
    <row r="8" spans="2:11" x14ac:dyDescent="0.3">
      <c r="B8" s="6" t="s">
        <v>17</v>
      </c>
      <c r="C8" s="22"/>
      <c r="D8" s="22"/>
      <c r="E8" s="22"/>
      <c r="F8" s="22"/>
      <c r="G8" s="22"/>
      <c r="H8" s="12">
        <f t="shared" si="0"/>
        <v>44784</v>
      </c>
    </row>
    <row r="9" spans="2:11" ht="15.6" x14ac:dyDescent="0.3">
      <c r="B9" s="34" t="s">
        <v>0</v>
      </c>
      <c r="C9" s="57"/>
      <c r="D9" s="60"/>
      <c r="E9" s="60"/>
      <c r="F9" s="60"/>
      <c r="G9" s="60"/>
      <c r="H9" s="12">
        <f t="shared" si="0"/>
        <v>44784</v>
      </c>
    </row>
    <row r="10" spans="2:11" x14ac:dyDescent="0.3">
      <c r="B10" s="6" t="s">
        <v>25</v>
      </c>
      <c r="C10" s="22">
        <v>202500</v>
      </c>
      <c r="D10" s="22"/>
      <c r="E10" s="22"/>
      <c r="F10" s="22"/>
      <c r="G10" s="22"/>
      <c r="H10" s="12">
        <f t="shared" si="0"/>
        <v>44784</v>
      </c>
    </row>
    <row r="11" spans="2:11" x14ac:dyDescent="0.3">
      <c r="B11" s="6" t="s">
        <v>15</v>
      </c>
      <c r="C11" s="22">
        <v>212000</v>
      </c>
      <c r="D11" s="22">
        <v>365500</v>
      </c>
      <c r="E11" s="22"/>
      <c r="F11" s="22"/>
      <c r="G11" s="22"/>
      <c r="H11" s="12">
        <f t="shared" si="0"/>
        <v>44784</v>
      </c>
    </row>
    <row r="12" spans="2:11" x14ac:dyDescent="0.3">
      <c r="B12" s="6" t="s">
        <v>54</v>
      </c>
      <c r="C12" s="22">
        <v>162000</v>
      </c>
      <c r="D12" s="22">
        <v>270000</v>
      </c>
      <c r="E12" s="22"/>
      <c r="F12" s="22"/>
      <c r="G12" s="22">
        <v>54000</v>
      </c>
      <c r="H12" s="67">
        <f t="shared" si="0"/>
        <v>44784</v>
      </c>
    </row>
    <row r="13" spans="2:11" x14ac:dyDescent="0.3">
      <c r="B13" s="6" t="s">
        <v>26</v>
      </c>
      <c r="C13" s="22">
        <v>158000</v>
      </c>
      <c r="D13" s="22">
        <v>216000</v>
      </c>
      <c r="E13" s="22"/>
      <c r="F13" s="22"/>
      <c r="G13" s="22"/>
      <c r="H13" s="12">
        <f t="shared" si="0"/>
        <v>44784</v>
      </c>
    </row>
    <row r="14" spans="2:11" x14ac:dyDescent="0.3">
      <c r="B14" s="6" t="s">
        <v>22</v>
      </c>
      <c r="C14" s="22"/>
      <c r="D14" s="22"/>
      <c r="E14" s="22"/>
      <c r="F14" s="22"/>
      <c r="G14" s="22"/>
      <c r="H14" s="12">
        <f t="shared" si="0"/>
        <v>44784</v>
      </c>
      <c r="K14" s="4"/>
    </row>
    <row r="15" spans="2:11" x14ac:dyDescent="0.3">
      <c r="B15" s="6" t="s">
        <v>61</v>
      </c>
      <c r="C15" s="22">
        <v>270000</v>
      </c>
      <c r="D15" s="22"/>
      <c r="E15" s="22"/>
      <c r="F15" s="22"/>
      <c r="G15" s="22"/>
      <c r="H15" s="67">
        <f t="shared" si="0"/>
        <v>44784</v>
      </c>
      <c r="K15" s="4"/>
    </row>
    <row r="16" spans="2:11" x14ac:dyDescent="0.3">
      <c r="B16" s="6" t="s">
        <v>19</v>
      </c>
      <c r="C16" s="22">
        <v>216000</v>
      </c>
      <c r="D16" s="22"/>
      <c r="E16" s="23"/>
      <c r="F16" s="22"/>
      <c r="G16" s="22">
        <v>576000</v>
      </c>
      <c r="H16" s="12">
        <f t="shared" si="0"/>
        <v>44784</v>
      </c>
    </row>
    <row r="17" spans="2:10" x14ac:dyDescent="0.3">
      <c r="B17" s="6" t="s">
        <v>14</v>
      </c>
      <c r="C17" s="22">
        <v>270000</v>
      </c>
      <c r="D17" s="22">
        <v>108000</v>
      </c>
      <c r="E17" s="23"/>
      <c r="F17" s="22">
        <v>787500</v>
      </c>
      <c r="G17" s="22">
        <v>108000</v>
      </c>
      <c r="H17" s="12">
        <f t="shared" si="0"/>
        <v>44784</v>
      </c>
    </row>
    <row r="18" spans="2:10" x14ac:dyDescent="0.3">
      <c r="B18" s="6" t="s">
        <v>24</v>
      </c>
      <c r="C18" s="22"/>
      <c r="D18" s="22"/>
      <c r="E18" s="22"/>
      <c r="F18" s="49"/>
      <c r="G18" s="22"/>
      <c r="H18" s="12">
        <f t="shared" si="0"/>
        <v>44784</v>
      </c>
      <c r="J18" s="1" t="s">
        <v>66</v>
      </c>
    </row>
    <row r="19" spans="2:10" x14ac:dyDescent="0.3">
      <c r="B19" s="6" t="s">
        <v>21</v>
      </c>
      <c r="C19" s="22">
        <v>216000</v>
      </c>
      <c r="D19" s="22"/>
      <c r="E19" s="22"/>
      <c r="F19" s="22"/>
      <c r="G19" s="22"/>
      <c r="H19" s="67">
        <f t="shared" si="0"/>
        <v>44784</v>
      </c>
    </row>
    <row r="20" spans="2:10" x14ac:dyDescent="0.3">
      <c r="B20" s="6" t="s">
        <v>65</v>
      </c>
      <c r="C20" s="22"/>
      <c r="D20" s="22"/>
      <c r="E20" s="22"/>
      <c r="F20" s="22"/>
      <c r="G20" s="22"/>
      <c r="H20" s="12">
        <f t="shared" si="0"/>
        <v>44784</v>
      </c>
    </row>
    <row r="21" spans="2:10" x14ac:dyDescent="0.3">
      <c r="B21" s="6" t="s">
        <v>18</v>
      </c>
      <c r="C21" s="22"/>
      <c r="D21" s="62"/>
      <c r="E21" s="62"/>
      <c r="F21" s="62"/>
      <c r="G21" s="62"/>
      <c r="H21" s="12">
        <f t="shared" si="0"/>
        <v>44784</v>
      </c>
    </row>
    <row r="22" spans="2:10" x14ac:dyDescent="0.3">
      <c r="B22" s="6" t="s">
        <v>16</v>
      </c>
      <c r="C22" s="55">
        <v>208000</v>
      </c>
      <c r="D22" s="22">
        <v>49500</v>
      </c>
      <c r="E22" s="62"/>
      <c r="F22" s="62"/>
      <c r="G22" s="22"/>
      <c r="H22" s="12">
        <f t="shared" si="0"/>
        <v>44784</v>
      </c>
    </row>
    <row r="23" spans="2:10" x14ac:dyDescent="0.3">
      <c r="B23" s="50" t="s">
        <v>27</v>
      </c>
      <c r="C23" s="51">
        <f>SUM(August11_2022[KSI_AGO])</f>
        <v>2130500</v>
      </c>
      <c r="D23" s="51">
        <f>SUBTOTAL(109,August11_2022[KSI_PMS])</f>
        <v>1117000</v>
      </c>
      <c r="E23" s="51">
        <f>SUM(August11_2022[BUIPE_AGO])</f>
        <v>0</v>
      </c>
      <c r="F23" s="51">
        <f>SUM(August11_2022[BUIPE_PMS])</f>
        <v>787500</v>
      </c>
      <c r="G23" s="51">
        <f>SUM(August11_2022[AKOSOMBO_AGO])</f>
        <v>738000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22357E7D-8941-4C9A-BDE5-0D35F583CB57}">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46C50-F943-4BC7-ACCC-A9324C4BD920}">
  <dimension ref="B1:K24"/>
  <sheetViews>
    <sheetView zoomScaleNormal="100" workbookViewId="0">
      <pane xSplit="2" ySplit="5" topLeftCell="C6" activePane="bottomRight" state="frozen"/>
      <selection pane="topRight" activeCell="C1" sqref="C1"/>
      <selection pane="bottomLeft" activeCell="A6" sqref="A6"/>
      <selection pane="bottomRight" activeCell="G17" sqref="G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44785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162000</v>
      </c>
      <c r="D6" s="45"/>
      <c r="E6" s="45"/>
      <c r="F6" s="45"/>
      <c r="G6" s="45"/>
      <c r="H6" s="12">
        <f t="shared" ref="H6:H22" si="0">$G$3</f>
        <v>44785</v>
      </c>
    </row>
    <row r="7" spans="2:11" ht="16.5" customHeight="1" x14ac:dyDescent="0.3">
      <c r="B7" s="6" t="s">
        <v>37</v>
      </c>
      <c r="C7" s="57"/>
      <c r="D7" s="62"/>
      <c r="E7" s="62"/>
      <c r="F7" s="62"/>
      <c r="G7" s="62"/>
      <c r="H7" s="67">
        <f t="shared" si="0"/>
        <v>44785</v>
      </c>
    </row>
    <row r="8" spans="2:11" x14ac:dyDescent="0.3">
      <c r="B8" s="6" t="s">
        <v>17</v>
      </c>
      <c r="C8" s="22"/>
      <c r="D8" s="22"/>
      <c r="E8" s="22"/>
      <c r="F8" s="22"/>
      <c r="G8" s="22"/>
      <c r="H8" s="12">
        <f t="shared" si="0"/>
        <v>44785</v>
      </c>
    </row>
    <row r="9" spans="2:11" ht="15.6" x14ac:dyDescent="0.3">
      <c r="B9" s="34" t="s">
        <v>0</v>
      </c>
      <c r="C9" s="57"/>
      <c r="D9" s="60"/>
      <c r="E9" s="60"/>
      <c r="F9" s="60"/>
      <c r="G9" s="60"/>
      <c r="H9" s="12">
        <f t="shared" si="0"/>
        <v>44785</v>
      </c>
    </row>
    <row r="10" spans="2:11" x14ac:dyDescent="0.3">
      <c r="B10" s="6" t="s">
        <v>25</v>
      </c>
      <c r="C10" s="22">
        <v>104000</v>
      </c>
      <c r="D10" s="22"/>
      <c r="E10" s="22"/>
      <c r="F10" s="22"/>
      <c r="G10" s="22"/>
      <c r="H10" s="12">
        <f t="shared" si="0"/>
        <v>44785</v>
      </c>
    </row>
    <row r="11" spans="2:11" x14ac:dyDescent="0.3">
      <c r="B11" s="6" t="s">
        <v>15</v>
      </c>
      <c r="C11" s="22">
        <v>378000</v>
      </c>
      <c r="D11" s="22">
        <v>918000</v>
      </c>
      <c r="E11" s="22"/>
      <c r="F11" s="22"/>
      <c r="G11" s="22"/>
      <c r="H11" s="12">
        <f t="shared" si="0"/>
        <v>44785</v>
      </c>
    </row>
    <row r="12" spans="2:11" x14ac:dyDescent="0.3">
      <c r="B12" s="6" t="s">
        <v>54</v>
      </c>
      <c r="C12" s="22">
        <v>270000</v>
      </c>
      <c r="D12" s="22">
        <v>482000</v>
      </c>
      <c r="E12" s="22"/>
      <c r="F12" s="22"/>
      <c r="G12" s="22"/>
      <c r="H12" s="67">
        <f t="shared" si="0"/>
        <v>44785</v>
      </c>
    </row>
    <row r="13" spans="2:11" x14ac:dyDescent="0.3">
      <c r="B13" s="6" t="s">
        <v>26</v>
      </c>
      <c r="C13" s="22">
        <v>270000</v>
      </c>
      <c r="D13" s="22"/>
      <c r="E13" s="22"/>
      <c r="F13" s="22"/>
      <c r="G13" s="22">
        <v>108000</v>
      </c>
      <c r="H13" s="12">
        <f t="shared" si="0"/>
        <v>44785</v>
      </c>
    </row>
    <row r="14" spans="2:11" x14ac:dyDescent="0.3">
      <c r="B14" s="6" t="s">
        <v>22</v>
      </c>
      <c r="C14" s="57"/>
      <c r="D14" s="22"/>
      <c r="E14" s="22"/>
      <c r="F14" s="22"/>
      <c r="G14" s="22"/>
      <c r="H14" s="12">
        <f t="shared" si="0"/>
        <v>44785</v>
      </c>
      <c r="K14" s="4"/>
    </row>
    <row r="15" spans="2:11" x14ac:dyDescent="0.3">
      <c r="B15" s="6" t="s">
        <v>61</v>
      </c>
      <c r="C15" s="22"/>
      <c r="D15" s="22"/>
      <c r="E15" s="22"/>
      <c r="F15" s="22"/>
      <c r="G15" s="22"/>
      <c r="H15" s="67">
        <f t="shared" si="0"/>
        <v>44785</v>
      </c>
      <c r="K15" s="4"/>
    </row>
    <row r="16" spans="2:11" x14ac:dyDescent="0.3">
      <c r="B16" s="6" t="s">
        <v>19</v>
      </c>
      <c r="C16" s="22">
        <v>212000</v>
      </c>
      <c r="D16" s="22"/>
      <c r="E16" s="23"/>
      <c r="F16" s="22"/>
      <c r="G16" s="22">
        <v>54000</v>
      </c>
      <c r="H16" s="12">
        <f t="shared" si="0"/>
        <v>44785</v>
      </c>
    </row>
    <row r="17" spans="2:10" x14ac:dyDescent="0.3">
      <c r="B17" s="6" t="s">
        <v>14</v>
      </c>
      <c r="C17" s="22">
        <v>315000</v>
      </c>
      <c r="D17" s="22"/>
      <c r="E17" s="23"/>
      <c r="F17" s="22">
        <v>747000</v>
      </c>
      <c r="G17" s="22">
        <v>270000</v>
      </c>
      <c r="H17" s="12">
        <f t="shared" si="0"/>
        <v>44785</v>
      </c>
    </row>
    <row r="18" spans="2:10" x14ac:dyDescent="0.3">
      <c r="B18" s="6" t="s">
        <v>24</v>
      </c>
      <c r="C18" s="22"/>
      <c r="D18" s="22"/>
      <c r="E18" s="22"/>
      <c r="F18" s="49"/>
      <c r="G18" s="22"/>
      <c r="H18" s="12">
        <f t="shared" si="0"/>
        <v>44785</v>
      </c>
      <c r="J18" s="1" t="s">
        <v>66</v>
      </c>
    </row>
    <row r="19" spans="2:10" x14ac:dyDescent="0.3">
      <c r="B19" s="6" t="s">
        <v>21</v>
      </c>
      <c r="C19" s="22">
        <v>216000</v>
      </c>
      <c r="D19" s="22"/>
      <c r="E19" s="22"/>
      <c r="F19" s="22"/>
      <c r="G19" s="22"/>
      <c r="H19" s="67">
        <f t="shared" si="0"/>
        <v>44785</v>
      </c>
    </row>
    <row r="20" spans="2:10" x14ac:dyDescent="0.3">
      <c r="B20" s="6" t="s">
        <v>65</v>
      </c>
      <c r="C20" s="22"/>
      <c r="D20" s="22"/>
      <c r="E20" s="22"/>
      <c r="F20" s="22"/>
      <c r="G20" s="22"/>
      <c r="H20" s="12">
        <f t="shared" si="0"/>
        <v>44785</v>
      </c>
    </row>
    <row r="21" spans="2:10" x14ac:dyDescent="0.3">
      <c r="B21" s="6" t="s">
        <v>18</v>
      </c>
      <c r="C21" s="22"/>
      <c r="D21" s="62"/>
      <c r="E21" s="62"/>
      <c r="F21" s="62"/>
      <c r="G21" s="62"/>
      <c r="H21" s="12">
        <f t="shared" si="0"/>
        <v>44785</v>
      </c>
    </row>
    <row r="22" spans="2:10" x14ac:dyDescent="0.3">
      <c r="B22" s="6" t="s">
        <v>16</v>
      </c>
      <c r="C22" s="55">
        <v>270000</v>
      </c>
      <c r="D22" s="22">
        <v>54000</v>
      </c>
      <c r="E22" s="62"/>
      <c r="F22" s="62"/>
      <c r="G22" s="22"/>
      <c r="H22" s="12">
        <f t="shared" si="0"/>
        <v>44785</v>
      </c>
    </row>
    <row r="23" spans="2:10" x14ac:dyDescent="0.3">
      <c r="B23" s="50" t="s">
        <v>27</v>
      </c>
      <c r="C23" s="51">
        <f>SUM(August12_2022[KSI_AGO])</f>
        <v>2197000</v>
      </c>
      <c r="D23" s="51">
        <f>SUBTOTAL(109,August12_2022[KSI_PMS])</f>
        <v>1454000</v>
      </c>
      <c r="E23" s="51">
        <f>SUM(August12_2022[BUIPE_AGO])</f>
        <v>0</v>
      </c>
      <c r="F23" s="51">
        <f>SUM(August12_2022[BUIPE_PMS])</f>
        <v>747000</v>
      </c>
      <c r="G23" s="51">
        <f>SUM(August12_2022[AKOSOMBO_AGO])</f>
        <v>432000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184F9F22-7343-4738-ADE7-2CF8F0ECEEC6}">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5029-C8B2-4340-B869-964877E8435E}">
  <dimension ref="B1:K24"/>
  <sheetViews>
    <sheetView zoomScaleNormal="100" workbookViewId="0">
      <pane xSplit="2" ySplit="5" topLeftCell="C6" activePane="bottomRight" state="frozen"/>
      <selection pane="topRight" activeCell="C1" sqref="C1"/>
      <selection pane="bottomLeft" activeCell="A6" sqref="A6"/>
      <selection pane="bottomRight" activeCell="K6" sqref="K5:K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44788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270000</v>
      </c>
      <c r="D6" s="45">
        <v>100000</v>
      </c>
      <c r="E6" s="45"/>
      <c r="F6" s="45"/>
      <c r="G6" s="45"/>
      <c r="H6" s="12">
        <f t="shared" ref="H6:H22" si="0">$G$3</f>
        <v>44788</v>
      </c>
    </row>
    <row r="7" spans="2:11" ht="16.5" customHeight="1" x14ac:dyDescent="0.3">
      <c r="B7" s="6" t="s">
        <v>37</v>
      </c>
      <c r="C7" s="57"/>
      <c r="D7" s="62"/>
      <c r="E7" s="62"/>
      <c r="F7" s="62"/>
      <c r="G7" s="62"/>
      <c r="H7" s="67">
        <f t="shared" si="0"/>
        <v>44788</v>
      </c>
    </row>
    <row r="8" spans="2:11" x14ac:dyDescent="0.3">
      <c r="B8" s="6" t="s">
        <v>17</v>
      </c>
      <c r="C8" s="22"/>
      <c r="D8" s="22"/>
      <c r="E8" s="22"/>
      <c r="F8" s="22"/>
      <c r="G8" s="22"/>
      <c r="H8" s="12">
        <f t="shared" si="0"/>
        <v>44788</v>
      </c>
    </row>
    <row r="9" spans="2:11" ht="15.6" x14ac:dyDescent="0.3">
      <c r="B9" s="34" t="s">
        <v>0</v>
      </c>
      <c r="C9" s="57"/>
      <c r="D9" s="60"/>
      <c r="E9" s="60"/>
      <c r="F9" s="60"/>
      <c r="G9" s="60"/>
      <c r="H9" s="12">
        <f t="shared" si="0"/>
        <v>44788</v>
      </c>
    </row>
    <row r="10" spans="2:11" x14ac:dyDescent="0.3">
      <c r="B10" s="6" t="s">
        <v>25</v>
      </c>
      <c r="C10" s="22"/>
      <c r="D10" s="22"/>
      <c r="E10" s="22"/>
      <c r="F10" s="22"/>
      <c r="G10" s="22"/>
      <c r="H10" s="12">
        <f t="shared" si="0"/>
        <v>44788</v>
      </c>
    </row>
    <row r="11" spans="2:11" x14ac:dyDescent="0.3">
      <c r="B11" s="6" t="s">
        <v>15</v>
      </c>
      <c r="C11" s="22">
        <v>378000</v>
      </c>
      <c r="D11" s="22">
        <v>427500</v>
      </c>
      <c r="E11" s="22"/>
      <c r="F11" s="22"/>
      <c r="G11" s="22">
        <v>45000</v>
      </c>
      <c r="H11" s="12">
        <f t="shared" si="0"/>
        <v>44788</v>
      </c>
    </row>
    <row r="12" spans="2:11" x14ac:dyDescent="0.3">
      <c r="B12" s="6" t="s">
        <v>54</v>
      </c>
      <c r="C12" s="22">
        <v>162000</v>
      </c>
      <c r="D12" s="22">
        <v>162000</v>
      </c>
      <c r="E12" s="22"/>
      <c r="F12" s="22">
        <v>162000</v>
      </c>
      <c r="G12" s="22"/>
      <c r="H12" s="67">
        <f t="shared" si="0"/>
        <v>44788</v>
      </c>
    </row>
    <row r="13" spans="2:11" x14ac:dyDescent="0.3">
      <c r="B13" s="6" t="s">
        <v>26</v>
      </c>
      <c r="C13" s="22">
        <v>208000</v>
      </c>
      <c r="D13" s="22">
        <v>373500</v>
      </c>
      <c r="E13" s="22"/>
      <c r="F13" s="22"/>
      <c r="G13" s="22"/>
      <c r="H13" s="12">
        <f t="shared" si="0"/>
        <v>44788</v>
      </c>
    </row>
    <row r="14" spans="2:11" x14ac:dyDescent="0.3">
      <c r="B14" s="6" t="s">
        <v>22</v>
      </c>
      <c r="C14" s="57"/>
      <c r="D14" s="22"/>
      <c r="E14" s="22"/>
      <c r="F14" s="22"/>
      <c r="G14" s="22"/>
      <c r="H14" s="12">
        <f t="shared" si="0"/>
        <v>44788</v>
      </c>
      <c r="K14" s="4"/>
    </row>
    <row r="15" spans="2:11" x14ac:dyDescent="0.3">
      <c r="B15" s="6" t="s">
        <v>61</v>
      </c>
      <c r="C15" s="22"/>
      <c r="D15" s="22"/>
      <c r="E15" s="22"/>
      <c r="F15" s="22"/>
      <c r="G15" s="22"/>
      <c r="H15" s="67">
        <f t="shared" si="0"/>
        <v>44788</v>
      </c>
      <c r="K15" s="4"/>
    </row>
    <row r="16" spans="2:11" x14ac:dyDescent="0.3">
      <c r="B16" s="6" t="s">
        <v>19</v>
      </c>
      <c r="C16" s="22">
        <v>108000</v>
      </c>
      <c r="D16" s="22"/>
      <c r="E16" s="23"/>
      <c r="F16" s="22"/>
      <c r="G16" s="22"/>
      <c r="H16" s="12">
        <f t="shared" si="0"/>
        <v>44788</v>
      </c>
    </row>
    <row r="17" spans="2:10" x14ac:dyDescent="0.3">
      <c r="B17" s="6" t="s">
        <v>14</v>
      </c>
      <c r="C17" s="22">
        <v>486000</v>
      </c>
      <c r="D17" s="22">
        <v>54000</v>
      </c>
      <c r="E17" s="23"/>
      <c r="F17" s="22">
        <v>108000</v>
      </c>
      <c r="G17" s="22">
        <v>518000</v>
      </c>
      <c r="H17" s="12">
        <f t="shared" si="0"/>
        <v>44788</v>
      </c>
    </row>
    <row r="18" spans="2:10" x14ac:dyDescent="0.3">
      <c r="B18" s="6" t="s">
        <v>24</v>
      </c>
      <c r="C18" s="22"/>
      <c r="D18" s="22"/>
      <c r="E18" s="22"/>
      <c r="F18" s="49"/>
      <c r="G18" s="22"/>
      <c r="H18" s="12">
        <f t="shared" si="0"/>
        <v>44788</v>
      </c>
      <c r="J18" s="1" t="s">
        <v>66</v>
      </c>
    </row>
    <row r="19" spans="2:10" x14ac:dyDescent="0.3">
      <c r="B19" s="6" t="s">
        <v>21</v>
      </c>
      <c r="C19" s="22">
        <v>103500</v>
      </c>
      <c r="D19" s="22"/>
      <c r="E19" s="22"/>
      <c r="F19" s="22"/>
      <c r="G19" s="22"/>
      <c r="H19" s="67">
        <f t="shared" si="0"/>
        <v>44788</v>
      </c>
    </row>
    <row r="20" spans="2:10" x14ac:dyDescent="0.3">
      <c r="B20" s="6" t="s">
        <v>65</v>
      </c>
      <c r="C20" s="22"/>
      <c r="D20" s="22"/>
      <c r="E20" s="22"/>
      <c r="F20" s="22"/>
      <c r="G20" s="22"/>
      <c r="H20" s="12">
        <f t="shared" si="0"/>
        <v>44788</v>
      </c>
    </row>
    <row r="21" spans="2:10" x14ac:dyDescent="0.3">
      <c r="B21" s="6" t="s">
        <v>18</v>
      </c>
      <c r="C21" s="22"/>
      <c r="D21" s="62"/>
      <c r="E21" s="62"/>
      <c r="F21" s="62"/>
      <c r="G21" s="62"/>
      <c r="H21" s="12">
        <f t="shared" si="0"/>
        <v>44788</v>
      </c>
    </row>
    <row r="22" spans="2:10" x14ac:dyDescent="0.3">
      <c r="B22" s="6" t="s">
        <v>16</v>
      </c>
      <c r="C22" s="55"/>
      <c r="D22" s="22"/>
      <c r="E22" s="62"/>
      <c r="F22" s="62"/>
      <c r="G22" s="22"/>
      <c r="H22" s="12">
        <f t="shared" si="0"/>
        <v>44788</v>
      </c>
    </row>
    <row r="23" spans="2:10" x14ac:dyDescent="0.3">
      <c r="B23" s="50" t="s">
        <v>27</v>
      </c>
      <c r="C23" s="51">
        <f>SUM(August15_2022[KSI_AGO])</f>
        <v>1715500</v>
      </c>
      <c r="D23" s="51">
        <f>SUBTOTAL(109,August15_2022[KSI_PMS])</f>
        <v>1117000</v>
      </c>
      <c r="E23" s="51">
        <f>SUM(August15_2022[BUIPE_AGO])</f>
        <v>0</v>
      </c>
      <c r="F23" s="51">
        <f>SUM(August15_2022[BUIPE_PMS])</f>
        <v>270000</v>
      </c>
      <c r="G23" s="51">
        <f>SUM(August15_2022[AKOSOMBO_AGO])</f>
        <v>563000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B91CAA43-0615-4133-A156-C95F6E806B90}">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1D3F0-44EE-4F2A-96A0-735FF4EC8070}">
  <dimension ref="B1:K24"/>
  <sheetViews>
    <sheetView zoomScaleNormal="100" workbookViewId="0">
      <pane xSplit="2" ySplit="5" topLeftCell="C6" activePane="bottomRight" state="frozen"/>
      <selection pane="topRight" activeCell="C1" sqref="C1"/>
      <selection pane="bottomLeft" activeCell="A6" sqref="A6"/>
      <selection pane="bottomRight" activeCell="G17" sqref="G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44789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54000</v>
      </c>
      <c r="D6" s="45">
        <v>432000</v>
      </c>
      <c r="E6" s="45"/>
      <c r="F6" s="45"/>
      <c r="G6" s="45"/>
      <c r="H6" s="12">
        <f t="shared" ref="H6:H22" si="0">$G$3</f>
        <v>44789</v>
      </c>
    </row>
    <row r="7" spans="2:11" ht="16.5" customHeight="1" x14ac:dyDescent="0.3">
      <c r="B7" s="6" t="s">
        <v>37</v>
      </c>
      <c r="C7" s="57"/>
      <c r="D7" s="62"/>
      <c r="E7" s="62"/>
      <c r="F7" s="62"/>
      <c r="G7" s="62"/>
      <c r="H7" s="67">
        <f t="shared" si="0"/>
        <v>44789</v>
      </c>
    </row>
    <row r="8" spans="2:11" x14ac:dyDescent="0.3">
      <c r="B8" s="6" t="s">
        <v>17</v>
      </c>
      <c r="C8" s="22"/>
      <c r="D8" s="22"/>
      <c r="E8" s="22"/>
      <c r="F8" s="22"/>
      <c r="G8" s="22"/>
      <c r="H8" s="12">
        <f t="shared" si="0"/>
        <v>44789</v>
      </c>
    </row>
    <row r="9" spans="2:11" ht="15.6" x14ac:dyDescent="0.3">
      <c r="B9" s="34" t="s">
        <v>0</v>
      </c>
      <c r="C9" s="57"/>
      <c r="D9" s="60"/>
      <c r="E9" s="60"/>
      <c r="F9" s="60"/>
      <c r="G9" s="60"/>
      <c r="H9" s="12">
        <f t="shared" si="0"/>
        <v>44789</v>
      </c>
    </row>
    <row r="10" spans="2:11" x14ac:dyDescent="0.3">
      <c r="B10" s="6" t="s">
        <v>25</v>
      </c>
      <c r="C10" s="22"/>
      <c r="D10" s="22"/>
      <c r="E10" s="22"/>
      <c r="F10" s="22"/>
      <c r="G10" s="22"/>
      <c r="H10" s="12">
        <f t="shared" si="0"/>
        <v>44789</v>
      </c>
    </row>
    <row r="11" spans="2:11" x14ac:dyDescent="0.3">
      <c r="B11" s="6" t="s">
        <v>15</v>
      </c>
      <c r="C11" s="22">
        <v>54000</v>
      </c>
      <c r="D11" s="22">
        <v>108000</v>
      </c>
      <c r="E11" s="22"/>
      <c r="F11" s="22"/>
      <c r="G11" s="22"/>
      <c r="H11" s="12">
        <f t="shared" si="0"/>
        <v>44789</v>
      </c>
    </row>
    <row r="12" spans="2:11" x14ac:dyDescent="0.3">
      <c r="B12" s="6" t="s">
        <v>54</v>
      </c>
      <c r="C12" s="22">
        <v>54000</v>
      </c>
      <c r="D12" s="22">
        <v>54000</v>
      </c>
      <c r="E12" s="22"/>
      <c r="F12" s="22"/>
      <c r="G12" s="22"/>
      <c r="H12" s="67">
        <f t="shared" si="0"/>
        <v>44789</v>
      </c>
    </row>
    <row r="13" spans="2:11" x14ac:dyDescent="0.3">
      <c r="B13" s="6" t="s">
        <v>26</v>
      </c>
      <c r="C13" s="22">
        <v>54000</v>
      </c>
      <c r="D13" s="22">
        <v>324000</v>
      </c>
      <c r="E13" s="22"/>
      <c r="F13" s="22"/>
      <c r="G13" s="22"/>
      <c r="H13" s="12">
        <f t="shared" si="0"/>
        <v>44789</v>
      </c>
    </row>
    <row r="14" spans="2:11" x14ac:dyDescent="0.3">
      <c r="B14" s="6" t="s">
        <v>22</v>
      </c>
      <c r="C14" s="57"/>
      <c r="D14" s="22"/>
      <c r="E14" s="22"/>
      <c r="F14" s="22"/>
      <c r="G14" s="22"/>
      <c r="H14" s="12">
        <f t="shared" si="0"/>
        <v>44789</v>
      </c>
      <c r="K14" s="4"/>
    </row>
    <row r="15" spans="2:11" x14ac:dyDescent="0.3">
      <c r="B15" s="6" t="s">
        <v>61</v>
      </c>
      <c r="C15" s="22"/>
      <c r="D15" s="22"/>
      <c r="E15" s="22"/>
      <c r="F15" s="22"/>
      <c r="G15" s="22"/>
      <c r="H15" s="67">
        <f t="shared" si="0"/>
        <v>44789</v>
      </c>
      <c r="K15" s="4"/>
    </row>
    <row r="16" spans="2:11" x14ac:dyDescent="0.3">
      <c r="B16" s="6" t="s">
        <v>19</v>
      </c>
      <c r="C16" s="22">
        <v>54000</v>
      </c>
      <c r="D16" s="22">
        <v>702000</v>
      </c>
      <c r="E16" s="23"/>
      <c r="F16" s="22"/>
      <c r="G16" s="22"/>
      <c r="H16" s="12">
        <f t="shared" si="0"/>
        <v>44789</v>
      </c>
    </row>
    <row r="17" spans="2:10" x14ac:dyDescent="0.3">
      <c r="B17" s="6" t="s">
        <v>14</v>
      </c>
      <c r="C17" s="22">
        <v>216000</v>
      </c>
      <c r="D17" s="22"/>
      <c r="E17" s="23"/>
      <c r="F17" s="22">
        <v>54000</v>
      </c>
      <c r="G17" s="22">
        <v>801000</v>
      </c>
      <c r="H17" s="12">
        <f t="shared" si="0"/>
        <v>44789</v>
      </c>
    </row>
    <row r="18" spans="2:10" x14ac:dyDescent="0.3">
      <c r="B18" s="6" t="s">
        <v>24</v>
      </c>
      <c r="C18" s="22"/>
      <c r="D18" s="22"/>
      <c r="E18" s="22"/>
      <c r="F18" s="49"/>
      <c r="G18" s="22"/>
      <c r="H18" s="12">
        <f t="shared" si="0"/>
        <v>44789</v>
      </c>
      <c r="J18" s="1" t="s">
        <v>66</v>
      </c>
    </row>
    <row r="19" spans="2:10" x14ac:dyDescent="0.3">
      <c r="B19" s="6" t="s">
        <v>21</v>
      </c>
      <c r="C19" s="22">
        <v>54000</v>
      </c>
      <c r="D19" s="22"/>
      <c r="E19" s="22"/>
      <c r="F19" s="22"/>
      <c r="G19" s="22"/>
      <c r="H19" s="67">
        <f t="shared" si="0"/>
        <v>44789</v>
      </c>
    </row>
    <row r="20" spans="2:10" x14ac:dyDescent="0.3">
      <c r="B20" s="6" t="s">
        <v>65</v>
      </c>
      <c r="C20" s="22"/>
      <c r="D20" s="22"/>
      <c r="E20" s="22"/>
      <c r="F20" s="22"/>
      <c r="G20" s="22"/>
      <c r="H20" s="12">
        <f t="shared" si="0"/>
        <v>44789</v>
      </c>
    </row>
    <row r="21" spans="2:10" x14ac:dyDescent="0.3">
      <c r="B21" s="6" t="s">
        <v>18</v>
      </c>
      <c r="C21" s="22"/>
      <c r="D21" s="62"/>
      <c r="E21" s="62"/>
      <c r="F21" s="62"/>
      <c r="G21" s="62"/>
      <c r="H21" s="12">
        <f t="shared" si="0"/>
        <v>44789</v>
      </c>
    </row>
    <row r="22" spans="2:10" x14ac:dyDescent="0.3">
      <c r="B22" s="6" t="s">
        <v>16</v>
      </c>
      <c r="C22" s="55"/>
      <c r="D22" s="22"/>
      <c r="E22" s="62"/>
      <c r="F22" s="62"/>
      <c r="G22" s="22"/>
      <c r="H22" s="12">
        <f t="shared" si="0"/>
        <v>44789</v>
      </c>
    </row>
    <row r="23" spans="2:10" x14ac:dyDescent="0.3">
      <c r="B23" s="50" t="s">
        <v>27</v>
      </c>
      <c r="C23" s="51">
        <f>SUM(August16_2022[KSI_AGO])</f>
        <v>540000</v>
      </c>
      <c r="D23" s="51">
        <f>SUBTOTAL(109,August16_2022[KSI_PMS])</f>
        <v>1620000</v>
      </c>
      <c r="E23" s="51">
        <f>SUM(August16_2022[BUIPE_AGO])</f>
        <v>0</v>
      </c>
      <c r="F23" s="51">
        <f>SUM(August16_2022[BUIPE_PMS])</f>
        <v>54000</v>
      </c>
      <c r="G23" s="51">
        <f>SUM(August16_2022[AKOSOMBO_AGO])</f>
        <v>801000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CD48C47A-ED71-477D-B742-9E46DD118955}">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5D8DE-BBE2-4E24-8EA7-DB3012089D40}">
  <dimension ref="B1:K24"/>
  <sheetViews>
    <sheetView zoomScaleNormal="100" workbookViewId="0">
      <pane xSplit="2" ySplit="5" topLeftCell="C6" activePane="bottomRight" state="frozen"/>
      <selection pane="topRight" activeCell="C1" sqref="C1"/>
      <selection pane="bottomLeft" activeCell="A6" sqref="A6"/>
      <selection pane="bottomRight"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44790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108000</v>
      </c>
      <c r="D6" s="45">
        <v>531500</v>
      </c>
      <c r="E6" s="45"/>
      <c r="F6" s="45"/>
      <c r="G6" s="45"/>
      <c r="H6" s="12">
        <f t="shared" ref="H6:H22" si="0">$G$3</f>
        <v>44790</v>
      </c>
    </row>
    <row r="7" spans="2:11" ht="16.5" customHeight="1" x14ac:dyDescent="0.3">
      <c r="B7" s="6" t="s">
        <v>37</v>
      </c>
      <c r="C7" s="57"/>
      <c r="D7" s="62"/>
      <c r="E7" s="62"/>
      <c r="F7" s="62"/>
      <c r="G7" s="62"/>
      <c r="H7" s="67">
        <f t="shared" si="0"/>
        <v>44790</v>
      </c>
    </row>
    <row r="8" spans="2:11" x14ac:dyDescent="0.3">
      <c r="B8" s="6" t="s">
        <v>17</v>
      </c>
      <c r="C8" s="22">
        <v>108000</v>
      </c>
      <c r="D8" s="22"/>
      <c r="E8" s="22"/>
      <c r="F8" s="22"/>
      <c r="G8" s="22"/>
      <c r="H8" s="12">
        <f t="shared" si="0"/>
        <v>44790</v>
      </c>
    </row>
    <row r="9" spans="2:11" ht="15.6" x14ac:dyDescent="0.3">
      <c r="B9" s="34" t="s">
        <v>0</v>
      </c>
      <c r="C9" s="57"/>
      <c r="D9" s="60"/>
      <c r="E9" s="60"/>
      <c r="F9" s="60"/>
      <c r="G9" s="60"/>
      <c r="H9" s="12">
        <f t="shared" si="0"/>
        <v>44790</v>
      </c>
    </row>
    <row r="10" spans="2:11" x14ac:dyDescent="0.3">
      <c r="B10" s="6" t="s">
        <v>25</v>
      </c>
      <c r="C10" s="22"/>
      <c r="D10" s="22"/>
      <c r="E10" s="22"/>
      <c r="F10" s="22"/>
      <c r="G10" s="22"/>
      <c r="H10" s="12">
        <f t="shared" si="0"/>
        <v>44790</v>
      </c>
    </row>
    <row r="11" spans="2:11" x14ac:dyDescent="0.3">
      <c r="B11" s="6" t="s">
        <v>15</v>
      </c>
      <c r="C11" s="22">
        <v>108000</v>
      </c>
      <c r="D11" s="22">
        <v>45000</v>
      </c>
      <c r="E11" s="22"/>
      <c r="F11" s="22"/>
      <c r="G11" s="22"/>
      <c r="H11" s="12">
        <f t="shared" si="0"/>
        <v>44790</v>
      </c>
    </row>
    <row r="12" spans="2:11" x14ac:dyDescent="0.3">
      <c r="B12" s="6" t="s">
        <v>54</v>
      </c>
      <c r="C12" s="22">
        <v>324000</v>
      </c>
      <c r="D12" s="22"/>
      <c r="E12" s="22"/>
      <c r="F12" s="22"/>
      <c r="G12" s="22"/>
      <c r="H12" s="67">
        <f t="shared" si="0"/>
        <v>44790</v>
      </c>
    </row>
    <row r="13" spans="2:11" x14ac:dyDescent="0.3">
      <c r="B13" s="6" t="s">
        <v>26</v>
      </c>
      <c r="C13" s="22"/>
      <c r="D13" s="22"/>
      <c r="E13" s="22"/>
      <c r="F13" s="22"/>
      <c r="G13" s="22"/>
      <c r="H13" s="12">
        <f t="shared" si="0"/>
        <v>44790</v>
      </c>
    </row>
    <row r="14" spans="2:11" x14ac:dyDescent="0.3">
      <c r="B14" s="6" t="s">
        <v>22</v>
      </c>
      <c r="C14" s="57"/>
      <c r="D14" s="22"/>
      <c r="E14" s="22"/>
      <c r="F14" s="22"/>
      <c r="G14" s="22"/>
      <c r="H14" s="12">
        <f t="shared" si="0"/>
        <v>44790</v>
      </c>
      <c r="K14" s="4"/>
    </row>
    <row r="15" spans="2:11" x14ac:dyDescent="0.3">
      <c r="B15" s="6" t="s">
        <v>61</v>
      </c>
      <c r="C15" s="22"/>
      <c r="D15" s="22"/>
      <c r="E15" s="22"/>
      <c r="F15" s="22"/>
      <c r="G15" s="22"/>
      <c r="H15" s="67">
        <f t="shared" si="0"/>
        <v>44790</v>
      </c>
      <c r="K15" s="4"/>
    </row>
    <row r="16" spans="2:11" x14ac:dyDescent="0.3">
      <c r="B16" s="6" t="s">
        <v>19</v>
      </c>
      <c r="C16" s="22">
        <v>54000</v>
      </c>
      <c r="D16" s="22">
        <v>99000</v>
      </c>
      <c r="E16" s="23"/>
      <c r="F16" s="22"/>
      <c r="G16" s="22"/>
      <c r="H16" s="12">
        <f t="shared" si="0"/>
        <v>44790</v>
      </c>
    </row>
    <row r="17" spans="2:10" x14ac:dyDescent="0.3">
      <c r="B17" s="6" t="s">
        <v>14</v>
      </c>
      <c r="C17" s="22">
        <v>702000</v>
      </c>
      <c r="D17" s="22">
        <v>1242000</v>
      </c>
      <c r="E17" s="23"/>
      <c r="F17" s="22"/>
      <c r="G17" s="22">
        <v>594000</v>
      </c>
      <c r="H17" s="12">
        <f t="shared" si="0"/>
        <v>44790</v>
      </c>
    </row>
    <row r="18" spans="2:10" x14ac:dyDescent="0.3">
      <c r="B18" s="6" t="s">
        <v>24</v>
      </c>
      <c r="C18" s="22"/>
      <c r="D18" s="22"/>
      <c r="E18" s="22"/>
      <c r="F18" s="49"/>
      <c r="G18" s="22"/>
      <c r="H18" s="12">
        <f t="shared" si="0"/>
        <v>44790</v>
      </c>
      <c r="J18" s="1" t="s">
        <v>66</v>
      </c>
    </row>
    <row r="19" spans="2:10" x14ac:dyDescent="0.3">
      <c r="B19" s="6" t="s">
        <v>21</v>
      </c>
      <c r="C19" s="22">
        <v>206500</v>
      </c>
      <c r="D19" s="22"/>
      <c r="E19" s="22"/>
      <c r="F19" s="22"/>
      <c r="G19" s="22"/>
      <c r="H19" s="67">
        <f t="shared" si="0"/>
        <v>44790</v>
      </c>
    </row>
    <row r="20" spans="2:10" x14ac:dyDescent="0.3">
      <c r="B20" s="6" t="s">
        <v>65</v>
      </c>
      <c r="C20" s="22"/>
      <c r="D20" s="22"/>
      <c r="E20" s="22"/>
      <c r="F20" s="22"/>
      <c r="G20" s="22"/>
      <c r="H20" s="12">
        <f t="shared" si="0"/>
        <v>44790</v>
      </c>
    </row>
    <row r="21" spans="2:10" x14ac:dyDescent="0.3">
      <c r="B21" s="6" t="s">
        <v>18</v>
      </c>
      <c r="C21" s="22"/>
      <c r="D21" s="62"/>
      <c r="E21" s="62"/>
      <c r="F21" s="62"/>
      <c r="G21" s="62"/>
      <c r="H21" s="12">
        <f t="shared" si="0"/>
        <v>44790</v>
      </c>
    </row>
    <row r="22" spans="2:10" x14ac:dyDescent="0.3">
      <c r="B22" s="6" t="s">
        <v>16</v>
      </c>
      <c r="C22" s="55"/>
      <c r="D22" s="22"/>
      <c r="E22" s="62"/>
      <c r="F22" s="62"/>
      <c r="G22" s="22"/>
      <c r="H22" s="12">
        <f t="shared" si="0"/>
        <v>44790</v>
      </c>
    </row>
    <row r="23" spans="2:10" x14ac:dyDescent="0.3">
      <c r="B23" s="50" t="s">
        <v>27</v>
      </c>
      <c r="C23" s="51">
        <f>SUM(August17_2022[KSI_AGO])</f>
        <v>1610500</v>
      </c>
      <c r="D23" s="51">
        <f>SUBTOTAL(109,August17_2022[KSI_PMS])</f>
        <v>1917500</v>
      </c>
      <c r="E23" s="51">
        <f>SUM(August17_2022[BUIPE_AGO])</f>
        <v>0</v>
      </c>
      <c r="F23" s="51">
        <f>SUM(August17_2022[BUIPE_PMS])</f>
        <v>0</v>
      </c>
      <c r="G23" s="51">
        <f>SUM(August17_2022[AKOSOMBO_AGO])</f>
        <v>594000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71AB02D8-3D4C-45F3-B229-0AF62EB27BD4}">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5BF0B-F809-4FC5-A8A8-B9D4BB5570BE}">
  <dimension ref="B1:K24"/>
  <sheetViews>
    <sheetView zoomScaleNormal="100" workbookViewId="0">
      <pane xSplit="2" ySplit="5" topLeftCell="C6" activePane="bottomRight" state="frozen"/>
      <selection pane="topRight" activeCell="C1" sqref="C1"/>
      <selection pane="bottomLeft" activeCell="A6" sqref="A6"/>
      <selection pane="bottomRight" activeCell="G16" sqref="G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44791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266000</v>
      </c>
      <c r="D6" s="45">
        <v>319500</v>
      </c>
      <c r="E6" s="45"/>
      <c r="F6" s="45"/>
      <c r="G6" s="45"/>
      <c r="H6" s="12">
        <f t="shared" ref="H6:H22" si="0">$G$3</f>
        <v>44791</v>
      </c>
    </row>
    <row r="7" spans="2:11" ht="16.5" customHeight="1" x14ac:dyDescent="0.3">
      <c r="B7" s="6" t="s">
        <v>37</v>
      </c>
      <c r="C7" s="57"/>
      <c r="D7" s="62"/>
      <c r="E7" s="62"/>
      <c r="F7" s="62"/>
      <c r="G7" s="62"/>
      <c r="H7" s="67">
        <f t="shared" si="0"/>
        <v>44791</v>
      </c>
    </row>
    <row r="8" spans="2:11" x14ac:dyDescent="0.3">
      <c r="B8" s="6" t="s">
        <v>17</v>
      </c>
      <c r="C8" s="22">
        <v>162000</v>
      </c>
      <c r="D8" s="22"/>
      <c r="E8" s="22"/>
      <c r="F8" s="22"/>
      <c r="G8" s="22"/>
      <c r="H8" s="12">
        <f t="shared" si="0"/>
        <v>44791</v>
      </c>
    </row>
    <row r="9" spans="2:11" ht="15.6" x14ac:dyDescent="0.3">
      <c r="B9" s="34" t="s">
        <v>0</v>
      </c>
      <c r="C9" s="57"/>
      <c r="D9" s="60"/>
      <c r="E9" s="60"/>
      <c r="F9" s="60"/>
      <c r="G9" s="60"/>
      <c r="H9" s="12">
        <f t="shared" si="0"/>
        <v>44791</v>
      </c>
    </row>
    <row r="10" spans="2:11" x14ac:dyDescent="0.3">
      <c r="B10" s="6" t="s">
        <v>25</v>
      </c>
      <c r="C10" s="22"/>
      <c r="D10" s="22"/>
      <c r="E10" s="22"/>
      <c r="F10" s="22"/>
      <c r="G10" s="22"/>
      <c r="H10" s="12">
        <f t="shared" si="0"/>
        <v>44791</v>
      </c>
    </row>
    <row r="11" spans="2:11" x14ac:dyDescent="0.3">
      <c r="B11" s="6" t="s">
        <v>15</v>
      </c>
      <c r="C11" s="22">
        <v>414500</v>
      </c>
      <c r="D11" s="22">
        <v>45000</v>
      </c>
      <c r="E11" s="22"/>
      <c r="F11" s="22"/>
      <c r="G11" s="22">
        <v>45000</v>
      </c>
      <c r="H11" s="12">
        <f t="shared" si="0"/>
        <v>44791</v>
      </c>
    </row>
    <row r="12" spans="2:11" x14ac:dyDescent="0.3">
      <c r="B12" s="6" t="s">
        <v>54</v>
      </c>
      <c r="C12" s="22">
        <v>216000</v>
      </c>
      <c r="D12" s="22"/>
      <c r="E12" s="22"/>
      <c r="F12" s="22"/>
      <c r="G12" s="22"/>
      <c r="H12" s="67">
        <f t="shared" si="0"/>
        <v>44791</v>
      </c>
    </row>
    <row r="13" spans="2:11" x14ac:dyDescent="0.3">
      <c r="B13" s="6" t="s">
        <v>26</v>
      </c>
      <c r="C13" s="22"/>
      <c r="D13" s="22"/>
      <c r="E13" s="22"/>
      <c r="F13" s="22"/>
      <c r="G13" s="22"/>
      <c r="H13" s="12">
        <f t="shared" si="0"/>
        <v>44791</v>
      </c>
    </row>
    <row r="14" spans="2:11" x14ac:dyDescent="0.3">
      <c r="B14" s="6" t="s">
        <v>22</v>
      </c>
      <c r="C14" s="57"/>
      <c r="D14" s="22"/>
      <c r="E14" s="22"/>
      <c r="F14" s="22"/>
      <c r="G14" s="22"/>
      <c r="H14" s="12">
        <f t="shared" si="0"/>
        <v>44791</v>
      </c>
      <c r="K14" s="4"/>
    </row>
    <row r="15" spans="2:11" x14ac:dyDescent="0.3">
      <c r="B15" s="6" t="s">
        <v>61</v>
      </c>
      <c r="C15" s="22"/>
      <c r="D15" s="22"/>
      <c r="E15" s="22"/>
      <c r="F15" s="22"/>
      <c r="G15" s="22"/>
      <c r="H15" s="67">
        <f t="shared" si="0"/>
        <v>44791</v>
      </c>
      <c r="K15" s="4"/>
    </row>
    <row r="16" spans="2:11" x14ac:dyDescent="0.3">
      <c r="B16" s="6" t="s">
        <v>19</v>
      </c>
      <c r="C16" s="22">
        <v>108000</v>
      </c>
      <c r="D16" s="22"/>
      <c r="E16" s="23"/>
      <c r="F16" s="22"/>
      <c r="G16" s="22"/>
      <c r="H16" s="12">
        <f t="shared" si="0"/>
        <v>44791</v>
      </c>
    </row>
    <row r="17" spans="2:10" x14ac:dyDescent="0.3">
      <c r="B17" s="6" t="s">
        <v>14</v>
      </c>
      <c r="C17" s="22">
        <v>265500</v>
      </c>
      <c r="D17" s="22">
        <v>918000</v>
      </c>
      <c r="E17" s="23"/>
      <c r="F17" s="22">
        <v>918000</v>
      </c>
      <c r="G17" s="22">
        <v>135000</v>
      </c>
      <c r="H17" s="12">
        <f t="shared" si="0"/>
        <v>44791</v>
      </c>
    </row>
    <row r="18" spans="2:10" x14ac:dyDescent="0.3">
      <c r="B18" s="6" t="s">
        <v>24</v>
      </c>
      <c r="C18" s="22"/>
      <c r="D18" s="22"/>
      <c r="E18" s="22"/>
      <c r="F18" s="49"/>
      <c r="G18" s="22"/>
      <c r="H18" s="12">
        <f t="shared" si="0"/>
        <v>44791</v>
      </c>
      <c r="J18" s="1" t="s">
        <v>66</v>
      </c>
    </row>
    <row r="19" spans="2:10" x14ac:dyDescent="0.3">
      <c r="B19" s="6" t="s">
        <v>21</v>
      </c>
      <c r="C19" s="22">
        <v>162000</v>
      </c>
      <c r="D19" s="22"/>
      <c r="E19" s="22"/>
      <c r="F19" s="22"/>
      <c r="G19" s="22"/>
      <c r="H19" s="67">
        <f t="shared" si="0"/>
        <v>44791</v>
      </c>
    </row>
    <row r="20" spans="2:10" x14ac:dyDescent="0.3">
      <c r="B20" s="6" t="s">
        <v>65</v>
      </c>
      <c r="C20" s="22"/>
      <c r="D20" s="22"/>
      <c r="E20" s="22"/>
      <c r="F20" s="22"/>
      <c r="G20" s="22"/>
      <c r="H20" s="12">
        <f t="shared" si="0"/>
        <v>44791</v>
      </c>
    </row>
    <row r="21" spans="2:10" x14ac:dyDescent="0.3">
      <c r="B21" s="6" t="s">
        <v>18</v>
      </c>
      <c r="C21" s="22"/>
      <c r="D21" s="62"/>
      <c r="E21" s="62"/>
      <c r="F21" s="62"/>
      <c r="G21" s="62"/>
      <c r="H21" s="12">
        <f t="shared" si="0"/>
        <v>44791</v>
      </c>
    </row>
    <row r="22" spans="2:10" x14ac:dyDescent="0.3">
      <c r="B22" s="6" t="s">
        <v>16</v>
      </c>
      <c r="C22" s="55"/>
      <c r="D22" s="22">
        <v>54000</v>
      </c>
      <c r="E22" s="62"/>
      <c r="F22" s="62"/>
      <c r="G22" s="22"/>
      <c r="H22" s="12">
        <f t="shared" si="0"/>
        <v>44791</v>
      </c>
    </row>
    <row r="23" spans="2:10" x14ac:dyDescent="0.3">
      <c r="B23" s="50" t="s">
        <v>27</v>
      </c>
      <c r="C23" s="51">
        <f>SUM(August18_2022[KSI_AGO])</f>
        <v>1594000</v>
      </c>
      <c r="D23" s="51">
        <f>SUBTOTAL(109,August18_2022[KSI_PMS])</f>
        <v>1336500</v>
      </c>
      <c r="E23" s="51">
        <f>SUM(August18_2022[BUIPE_AGO])</f>
        <v>0</v>
      </c>
      <c r="F23" s="51">
        <f>SUM(August18_2022[BUIPE_PMS])</f>
        <v>918000</v>
      </c>
      <c r="G23" s="51">
        <f>SUM(August18_2022[AKOSOMBO_AGO])</f>
        <v>180000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15800C1E-FF54-4965-8E46-92412E34E9B1}">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5BF07-5A1A-4D84-9529-068017C3A053}">
  <dimension ref="B1:K24"/>
  <sheetViews>
    <sheetView zoomScaleNormal="100" workbookViewId="0">
      <pane xSplit="2" ySplit="5" topLeftCell="D6" activePane="bottomRight" state="frozen"/>
      <selection pane="topRight" activeCell="C1" sqref="C1"/>
      <selection pane="bottomLeft" activeCell="A6" sqref="A6"/>
      <selection pane="bottomRight" activeCell="F26" sqref="F2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44792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158000</v>
      </c>
      <c r="D6" s="45">
        <v>139500</v>
      </c>
      <c r="E6" s="45"/>
      <c r="F6" s="45"/>
      <c r="G6" s="45"/>
      <c r="H6" s="12">
        <f t="shared" ref="H6:H22" si="0">$G$3</f>
        <v>44792</v>
      </c>
    </row>
    <row r="7" spans="2:11" ht="16.5" customHeight="1" x14ac:dyDescent="0.3">
      <c r="B7" s="6" t="s">
        <v>37</v>
      </c>
      <c r="C7" s="57"/>
      <c r="D7" s="62"/>
      <c r="E7" s="62"/>
      <c r="F7" s="62"/>
      <c r="G7" s="62"/>
      <c r="H7" s="67">
        <f t="shared" si="0"/>
        <v>44792</v>
      </c>
    </row>
    <row r="8" spans="2:11" x14ac:dyDescent="0.3">
      <c r="B8" s="6" t="s">
        <v>17</v>
      </c>
      <c r="C8" s="22">
        <v>216000</v>
      </c>
      <c r="D8" s="22">
        <v>207000</v>
      </c>
      <c r="E8" s="22"/>
      <c r="F8" s="22"/>
      <c r="G8" s="22"/>
      <c r="H8" s="12">
        <f t="shared" si="0"/>
        <v>44792</v>
      </c>
    </row>
    <row r="9" spans="2:11" ht="15.6" x14ac:dyDescent="0.3">
      <c r="B9" s="34" t="s">
        <v>0</v>
      </c>
      <c r="C9" s="57"/>
      <c r="D9" s="60"/>
      <c r="E9" s="60"/>
      <c r="F9" s="60"/>
      <c r="G9" s="60"/>
      <c r="H9" s="12">
        <f t="shared" si="0"/>
        <v>44792</v>
      </c>
    </row>
    <row r="10" spans="2:11" x14ac:dyDescent="0.3">
      <c r="B10" s="6" t="s">
        <v>25</v>
      </c>
      <c r="C10" s="22"/>
      <c r="D10" s="22"/>
      <c r="E10" s="22"/>
      <c r="F10" s="22"/>
      <c r="G10" s="22"/>
      <c r="H10" s="12">
        <f t="shared" si="0"/>
        <v>44792</v>
      </c>
    </row>
    <row r="11" spans="2:11" x14ac:dyDescent="0.3">
      <c r="B11" s="6" t="s">
        <v>15</v>
      </c>
      <c r="C11" s="22">
        <v>481500</v>
      </c>
      <c r="D11" s="22"/>
      <c r="E11" s="22"/>
      <c r="F11" s="22"/>
      <c r="G11" s="22"/>
      <c r="H11" s="12">
        <f t="shared" si="0"/>
        <v>44792</v>
      </c>
    </row>
    <row r="12" spans="2:11" x14ac:dyDescent="0.3">
      <c r="B12" s="6" t="s">
        <v>54</v>
      </c>
      <c r="C12" s="22"/>
      <c r="D12" s="22">
        <v>158000</v>
      </c>
      <c r="E12" s="22"/>
      <c r="F12" s="22"/>
      <c r="G12" s="22"/>
      <c r="H12" s="67">
        <f t="shared" si="0"/>
        <v>44792</v>
      </c>
    </row>
    <row r="13" spans="2:11" x14ac:dyDescent="0.3">
      <c r="B13" s="6" t="s">
        <v>26</v>
      </c>
      <c r="C13" s="22"/>
      <c r="D13" s="22"/>
      <c r="E13" s="22"/>
      <c r="F13" s="22"/>
      <c r="G13" s="22"/>
      <c r="H13" s="12">
        <f t="shared" si="0"/>
        <v>44792</v>
      </c>
    </row>
    <row r="14" spans="2:11" x14ac:dyDescent="0.3">
      <c r="B14" s="6" t="s">
        <v>22</v>
      </c>
      <c r="C14" s="57"/>
      <c r="D14" s="22"/>
      <c r="E14" s="22"/>
      <c r="F14" s="22"/>
      <c r="G14" s="22"/>
      <c r="H14" s="12">
        <f t="shared" si="0"/>
        <v>44792</v>
      </c>
      <c r="K14" s="4"/>
    </row>
    <row r="15" spans="2:11" x14ac:dyDescent="0.3">
      <c r="B15" s="6" t="s">
        <v>61</v>
      </c>
      <c r="C15" s="22"/>
      <c r="D15" s="22"/>
      <c r="E15" s="22"/>
      <c r="F15" s="22"/>
      <c r="G15" s="22"/>
      <c r="H15" s="67">
        <f t="shared" si="0"/>
        <v>44792</v>
      </c>
      <c r="K15" s="4"/>
    </row>
    <row r="16" spans="2:11" x14ac:dyDescent="0.3">
      <c r="B16" s="6" t="s">
        <v>19</v>
      </c>
      <c r="C16" s="22"/>
      <c r="D16" s="22">
        <v>540000</v>
      </c>
      <c r="E16" s="23">
        <v>702000</v>
      </c>
      <c r="F16" s="22"/>
      <c r="G16" s="22"/>
      <c r="H16" s="12">
        <f t="shared" si="0"/>
        <v>44792</v>
      </c>
    </row>
    <row r="17" spans="2:10" x14ac:dyDescent="0.3">
      <c r="B17" s="6" t="s">
        <v>14</v>
      </c>
      <c r="C17" s="22">
        <v>373500</v>
      </c>
      <c r="D17" s="22"/>
      <c r="E17" s="57"/>
      <c r="F17" s="23">
        <v>216000</v>
      </c>
      <c r="G17" s="22"/>
      <c r="H17" s="12">
        <f t="shared" si="0"/>
        <v>44792</v>
      </c>
    </row>
    <row r="18" spans="2:10" x14ac:dyDescent="0.3">
      <c r="B18" s="6" t="s">
        <v>24</v>
      </c>
      <c r="C18" s="22"/>
      <c r="D18" s="22"/>
      <c r="E18" s="22"/>
      <c r="F18" s="49"/>
      <c r="G18" s="22"/>
      <c r="H18" s="12">
        <f t="shared" si="0"/>
        <v>44792</v>
      </c>
      <c r="J18" s="1" t="s">
        <v>66</v>
      </c>
    </row>
    <row r="19" spans="2:10" x14ac:dyDescent="0.3">
      <c r="B19" s="6" t="s">
        <v>21</v>
      </c>
      <c r="C19" s="22">
        <v>374000</v>
      </c>
      <c r="D19" s="22"/>
      <c r="E19" s="22"/>
      <c r="F19" s="22"/>
      <c r="G19" s="22"/>
      <c r="H19" s="67">
        <f t="shared" si="0"/>
        <v>44792</v>
      </c>
    </row>
    <row r="20" spans="2:10" x14ac:dyDescent="0.3">
      <c r="B20" s="6" t="s">
        <v>65</v>
      </c>
      <c r="C20" s="22"/>
      <c r="D20" s="22"/>
      <c r="E20" s="22"/>
      <c r="F20" s="22"/>
      <c r="G20" s="22"/>
      <c r="H20" s="12">
        <f t="shared" si="0"/>
        <v>44792</v>
      </c>
    </row>
    <row r="21" spans="2:10" x14ac:dyDescent="0.3">
      <c r="B21" s="6" t="s">
        <v>18</v>
      </c>
      <c r="C21" s="22">
        <v>54000</v>
      </c>
      <c r="D21" s="62"/>
      <c r="E21" s="62"/>
      <c r="F21" s="62"/>
      <c r="G21" s="62"/>
      <c r="H21" s="12">
        <f t="shared" si="0"/>
        <v>44792</v>
      </c>
    </row>
    <row r="22" spans="2:10" x14ac:dyDescent="0.3">
      <c r="B22" s="6" t="s">
        <v>16</v>
      </c>
      <c r="C22" s="55"/>
      <c r="D22" s="22"/>
      <c r="E22" s="62"/>
      <c r="F22" s="62"/>
      <c r="G22" s="22"/>
      <c r="H22" s="12">
        <f t="shared" si="0"/>
        <v>44792</v>
      </c>
    </row>
    <row r="23" spans="2:10" x14ac:dyDescent="0.3">
      <c r="B23" s="50" t="s">
        <v>27</v>
      </c>
      <c r="C23" s="51">
        <f>SUM(August19_2022[KSI_AGO])</f>
        <v>1657000</v>
      </c>
      <c r="D23" s="51">
        <f>SUBTOTAL(109,August19_2022[KSI_PMS])</f>
        <v>1044500</v>
      </c>
      <c r="E23" s="51">
        <f>SUM(August19_2022[BUIPE_AGO])</f>
        <v>702000</v>
      </c>
      <c r="F23" s="51">
        <f>SUM(August19_2022[BUIPE_PMS])</f>
        <v>216000</v>
      </c>
      <c r="G23" s="51">
        <f>SUM(August19_2022[AKOSOMBO_AGO])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DE02A2B-E0F0-4029-8501-6B47631CF7AC}">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F15C7-6D22-4523-9293-EEC2CAEA3FDD}">
  <dimension ref="B1:K24"/>
  <sheetViews>
    <sheetView zoomScaleNormal="100" workbookViewId="0">
      <pane xSplit="2" ySplit="5" topLeftCell="D6" activePane="bottomRight" state="frozen"/>
      <selection pane="topRight" activeCell="C1" sqref="C1"/>
      <selection pane="bottomLeft" activeCell="A6" sqref="A6"/>
      <selection pane="bottomRight" activeCell="E32" sqref="E3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44792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44792</v>
      </c>
    </row>
    <row r="7" spans="2:11" ht="16.5" customHeight="1" x14ac:dyDescent="0.3">
      <c r="B7" s="6" t="s">
        <v>37</v>
      </c>
      <c r="C7" s="57"/>
      <c r="D7" s="62"/>
      <c r="E7" s="62"/>
      <c r="F7" s="62"/>
      <c r="G7" s="62"/>
      <c r="H7" s="67">
        <f t="shared" si="0"/>
        <v>44792</v>
      </c>
    </row>
    <row r="8" spans="2:11" x14ac:dyDescent="0.3">
      <c r="B8" s="6" t="s">
        <v>17</v>
      </c>
      <c r="C8" s="22"/>
      <c r="D8" s="22"/>
      <c r="E8" s="22"/>
      <c r="F8" s="22"/>
      <c r="G8" s="22"/>
      <c r="H8" s="12">
        <f t="shared" si="0"/>
        <v>44792</v>
      </c>
    </row>
    <row r="9" spans="2:11" ht="15.6" x14ac:dyDescent="0.3">
      <c r="B9" s="34" t="s">
        <v>0</v>
      </c>
      <c r="C9" s="57"/>
      <c r="D9" s="60"/>
      <c r="E9" s="60"/>
      <c r="F9" s="60"/>
      <c r="G9" s="60"/>
      <c r="H9" s="12">
        <f t="shared" si="0"/>
        <v>44792</v>
      </c>
    </row>
    <row r="10" spans="2:11" x14ac:dyDescent="0.3">
      <c r="B10" s="6" t="s">
        <v>25</v>
      </c>
      <c r="C10" s="22"/>
      <c r="D10" s="22"/>
      <c r="E10" s="22"/>
      <c r="F10" s="22"/>
      <c r="G10" s="22"/>
      <c r="H10" s="12">
        <f t="shared" si="0"/>
        <v>44792</v>
      </c>
    </row>
    <row r="11" spans="2:11" x14ac:dyDescent="0.3">
      <c r="B11" s="6" t="s">
        <v>15</v>
      </c>
      <c r="C11" s="22"/>
      <c r="D11" s="22"/>
      <c r="E11" s="22"/>
      <c r="F11" s="22"/>
      <c r="G11" s="22"/>
      <c r="H11" s="12">
        <f t="shared" si="0"/>
        <v>44792</v>
      </c>
    </row>
    <row r="12" spans="2:11" x14ac:dyDescent="0.3">
      <c r="B12" s="6" t="s">
        <v>54</v>
      </c>
      <c r="C12" s="22"/>
      <c r="D12" s="22"/>
      <c r="E12" s="22"/>
      <c r="F12" s="22"/>
      <c r="G12" s="22"/>
      <c r="H12" s="67">
        <f t="shared" si="0"/>
        <v>44792</v>
      </c>
    </row>
    <row r="13" spans="2:11" x14ac:dyDescent="0.3">
      <c r="B13" s="6" t="s">
        <v>26</v>
      </c>
      <c r="C13" s="22"/>
      <c r="D13" s="22"/>
      <c r="E13" s="22"/>
      <c r="F13" s="22"/>
      <c r="G13" s="22"/>
      <c r="H13" s="12">
        <f t="shared" si="0"/>
        <v>44792</v>
      </c>
    </row>
    <row r="14" spans="2:11" x14ac:dyDescent="0.3">
      <c r="B14" s="6" t="s">
        <v>22</v>
      </c>
      <c r="C14" s="57"/>
      <c r="D14" s="22"/>
      <c r="E14" s="22"/>
      <c r="F14" s="22"/>
      <c r="G14" s="22"/>
      <c r="H14" s="12">
        <f t="shared" si="0"/>
        <v>44792</v>
      </c>
      <c r="K14" s="4"/>
    </row>
    <row r="15" spans="2:11" x14ac:dyDescent="0.3">
      <c r="B15" s="6" t="s">
        <v>61</v>
      </c>
      <c r="C15" s="22"/>
      <c r="D15" s="22"/>
      <c r="E15" s="22"/>
      <c r="F15" s="22"/>
      <c r="G15" s="22"/>
      <c r="H15" s="67">
        <f t="shared" si="0"/>
        <v>44792</v>
      </c>
      <c r="K15" s="4"/>
    </row>
    <row r="16" spans="2:11" x14ac:dyDescent="0.3">
      <c r="B16" s="6" t="s">
        <v>19</v>
      </c>
      <c r="C16" s="22"/>
      <c r="D16" s="22"/>
      <c r="E16" s="23"/>
      <c r="F16" s="22"/>
      <c r="G16" s="22"/>
      <c r="H16" s="12">
        <f t="shared" si="0"/>
        <v>44792</v>
      </c>
    </row>
    <row r="17" spans="2:10" x14ac:dyDescent="0.3">
      <c r="B17" s="6" t="s">
        <v>14</v>
      </c>
      <c r="C17" s="22"/>
      <c r="D17" s="22"/>
      <c r="E17" s="57"/>
      <c r="F17" s="23">
        <v>54000</v>
      </c>
      <c r="G17" s="22"/>
      <c r="H17" s="12">
        <f t="shared" si="0"/>
        <v>44792</v>
      </c>
    </row>
    <row r="18" spans="2:10" x14ac:dyDescent="0.3">
      <c r="B18" s="6" t="s">
        <v>24</v>
      </c>
      <c r="C18" s="22"/>
      <c r="D18" s="22"/>
      <c r="E18" s="22"/>
      <c r="F18" s="49"/>
      <c r="G18" s="22"/>
      <c r="H18" s="12">
        <f t="shared" si="0"/>
        <v>44792</v>
      </c>
      <c r="J18" s="1" t="s">
        <v>66</v>
      </c>
    </row>
    <row r="19" spans="2:10" x14ac:dyDescent="0.3">
      <c r="B19" s="6" t="s">
        <v>21</v>
      </c>
      <c r="C19" s="22"/>
      <c r="D19" s="22"/>
      <c r="E19" s="22"/>
      <c r="F19" s="22"/>
      <c r="G19" s="22"/>
      <c r="H19" s="67">
        <f t="shared" si="0"/>
        <v>44792</v>
      </c>
    </row>
    <row r="20" spans="2:10" x14ac:dyDescent="0.3">
      <c r="B20" s="6" t="s">
        <v>65</v>
      </c>
      <c r="C20" s="22"/>
      <c r="D20" s="22"/>
      <c r="E20" s="22"/>
      <c r="F20" s="22"/>
      <c r="G20" s="22"/>
      <c r="H20" s="12">
        <f t="shared" si="0"/>
        <v>44792</v>
      </c>
    </row>
    <row r="21" spans="2:10" x14ac:dyDescent="0.3">
      <c r="B21" s="6" t="s">
        <v>18</v>
      </c>
      <c r="C21" s="22"/>
      <c r="D21" s="62"/>
      <c r="E21" s="62"/>
      <c r="F21" s="62"/>
      <c r="G21" s="62"/>
      <c r="H21" s="12">
        <f t="shared" si="0"/>
        <v>44792</v>
      </c>
    </row>
    <row r="22" spans="2:10" x14ac:dyDescent="0.3">
      <c r="B22" s="6" t="s">
        <v>16</v>
      </c>
      <c r="C22" s="55"/>
      <c r="D22" s="22"/>
      <c r="E22" s="62"/>
      <c r="F22" s="62"/>
      <c r="G22" s="22"/>
      <c r="H22" s="12">
        <f t="shared" si="0"/>
        <v>44792</v>
      </c>
    </row>
    <row r="23" spans="2:10" x14ac:dyDescent="0.3">
      <c r="B23" s="50" t="s">
        <v>27</v>
      </c>
      <c r="C23" s="51">
        <f>SUM(August19_20221[KSI_AGO])</f>
        <v>0</v>
      </c>
      <c r="D23" s="51">
        <f>SUBTOTAL(109,August19_20221[KSI_PMS])</f>
        <v>0</v>
      </c>
      <c r="E23" s="51">
        <f>SUM(August19_20221[BUIPE_AGO])</f>
        <v>0</v>
      </c>
      <c r="F23" s="51">
        <f>SUM(August19_20221[BUIPE_PMS])</f>
        <v>54000</v>
      </c>
      <c r="G23" s="51">
        <f>SUM(August19_20221[AKOSOMBO_AGO])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356ED5AF-96BC-42ED-8646-B18E3087432F}">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199F-F6D8-484D-B125-66A96A56123E}">
  <dimension ref="B1:K24"/>
  <sheetViews>
    <sheetView zoomScaleNormal="100" workbookViewId="0">
      <pane xSplit="2" ySplit="5" topLeftCell="D6" activePane="bottomRight" state="frozen"/>
      <selection pane="topRight" activeCell="C1" sqref="C1"/>
      <selection pane="bottomLeft" activeCell="A6" sqref="A6"/>
      <selection pane="bottomRight"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44795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54000</v>
      </c>
      <c r="D6" s="45"/>
      <c r="E6" s="45"/>
      <c r="F6" s="45"/>
      <c r="G6" s="45"/>
      <c r="H6" s="12">
        <f t="shared" ref="H6:H22" si="0">$G$3</f>
        <v>44795</v>
      </c>
    </row>
    <row r="7" spans="2:11" ht="16.5" customHeight="1" x14ac:dyDescent="0.3">
      <c r="B7" s="6" t="s">
        <v>37</v>
      </c>
      <c r="C7" s="57"/>
      <c r="D7" s="62"/>
      <c r="E7" s="62"/>
      <c r="F7" s="62"/>
      <c r="G7" s="62"/>
      <c r="H7" s="67">
        <f t="shared" si="0"/>
        <v>44795</v>
      </c>
    </row>
    <row r="8" spans="2:11" x14ac:dyDescent="0.3">
      <c r="B8" s="6" t="s">
        <v>17</v>
      </c>
      <c r="C8" s="22">
        <v>54000</v>
      </c>
      <c r="D8" s="22"/>
      <c r="E8" s="22"/>
      <c r="F8" s="22"/>
      <c r="G8" s="22"/>
      <c r="H8" s="12">
        <f t="shared" si="0"/>
        <v>44795</v>
      </c>
    </row>
    <row r="9" spans="2:11" ht="15.6" x14ac:dyDescent="0.3">
      <c r="B9" s="34" t="s">
        <v>0</v>
      </c>
      <c r="C9" s="57"/>
      <c r="D9" s="60"/>
      <c r="E9" s="60"/>
      <c r="F9" s="60"/>
      <c r="G9" s="60"/>
      <c r="H9" s="12">
        <f t="shared" si="0"/>
        <v>44795</v>
      </c>
    </row>
    <row r="10" spans="2:11" x14ac:dyDescent="0.3">
      <c r="B10" s="6" t="s">
        <v>25</v>
      </c>
      <c r="C10" s="22">
        <v>108000</v>
      </c>
      <c r="D10" s="22"/>
      <c r="E10" s="22"/>
      <c r="F10" s="22"/>
      <c r="G10" s="22"/>
      <c r="H10" s="12">
        <f t="shared" si="0"/>
        <v>44795</v>
      </c>
    </row>
    <row r="11" spans="2:11" x14ac:dyDescent="0.3">
      <c r="B11" s="6" t="s">
        <v>15</v>
      </c>
      <c r="C11" s="22">
        <v>270000</v>
      </c>
      <c r="D11" s="22"/>
      <c r="E11" s="22"/>
      <c r="F11" s="22"/>
      <c r="G11" s="22"/>
      <c r="H11" s="12">
        <f t="shared" si="0"/>
        <v>44795</v>
      </c>
    </row>
    <row r="12" spans="2:11" x14ac:dyDescent="0.3">
      <c r="B12" s="6" t="s">
        <v>54</v>
      </c>
      <c r="C12" s="22"/>
      <c r="D12" s="22">
        <v>797000</v>
      </c>
      <c r="E12" s="22"/>
      <c r="F12" s="22"/>
      <c r="G12" s="22"/>
      <c r="H12" s="67">
        <f t="shared" si="0"/>
        <v>44795</v>
      </c>
    </row>
    <row r="13" spans="2:11" x14ac:dyDescent="0.3">
      <c r="B13" s="6" t="s">
        <v>26</v>
      </c>
      <c r="C13" s="22"/>
      <c r="D13" s="22"/>
      <c r="E13" s="22"/>
      <c r="F13" s="22"/>
      <c r="G13" s="22"/>
      <c r="H13" s="12">
        <f t="shared" si="0"/>
        <v>44795</v>
      </c>
    </row>
    <row r="14" spans="2:11" x14ac:dyDescent="0.3">
      <c r="B14" s="6" t="s">
        <v>22</v>
      </c>
      <c r="C14" s="57"/>
      <c r="D14" s="22"/>
      <c r="E14" s="22"/>
      <c r="F14" s="22"/>
      <c r="G14" s="22"/>
      <c r="H14" s="12">
        <f t="shared" si="0"/>
        <v>44795</v>
      </c>
      <c r="K14" s="4"/>
    </row>
    <row r="15" spans="2:11" x14ac:dyDescent="0.3">
      <c r="B15" s="6" t="s">
        <v>61</v>
      </c>
      <c r="C15" s="22"/>
      <c r="D15" s="22"/>
      <c r="E15" s="22"/>
      <c r="F15" s="22"/>
      <c r="G15" s="22"/>
      <c r="H15" s="67">
        <f t="shared" si="0"/>
        <v>44795</v>
      </c>
      <c r="K15" s="4"/>
    </row>
    <row r="16" spans="2:11" x14ac:dyDescent="0.3">
      <c r="B16" s="6" t="s">
        <v>19</v>
      </c>
      <c r="C16" s="22">
        <v>162000</v>
      </c>
      <c r="D16" s="22">
        <v>648000</v>
      </c>
      <c r="E16" s="23">
        <v>378000</v>
      </c>
      <c r="F16" s="22"/>
      <c r="G16" s="22"/>
      <c r="H16" s="12">
        <f t="shared" si="0"/>
        <v>44795</v>
      </c>
    </row>
    <row r="17" spans="2:10" x14ac:dyDescent="0.3">
      <c r="B17" s="6" t="s">
        <v>14</v>
      </c>
      <c r="C17" s="22">
        <v>162000</v>
      </c>
      <c r="D17" s="22"/>
      <c r="E17" s="57"/>
      <c r="F17" s="23">
        <v>54000</v>
      </c>
      <c r="G17" s="22"/>
      <c r="H17" s="12">
        <f t="shared" si="0"/>
        <v>44795</v>
      </c>
    </row>
    <row r="18" spans="2:10" x14ac:dyDescent="0.3">
      <c r="B18" s="6" t="s">
        <v>24</v>
      </c>
      <c r="C18" s="22"/>
      <c r="D18" s="22"/>
      <c r="E18" s="22"/>
      <c r="F18" s="49"/>
      <c r="G18" s="22"/>
      <c r="H18" s="12">
        <f t="shared" si="0"/>
        <v>44795</v>
      </c>
      <c r="J18" s="1" t="s">
        <v>66</v>
      </c>
    </row>
    <row r="19" spans="2:10" x14ac:dyDescent="0.3">
      <c r="B19" s="6" t="s">
        <v>21</v>
      </c>
      <c r="C19" s="22"/>
      <c r="D19" s="22"/>
      <c r="E19" s="22"/>
      <c r="F19" s="22"/>
      <c r="G19" s="22"/>
      <c r="H19" s="67">
        <f t="shared" si="0"/>
        <v>44795</v>
      </c>
    </row>
    <row r="20" spans="2:10" x14ac:dyDescent="0.3">
      <c r="B20" s="6" t="s">
        <v>65</v>
      </c>
      <c r="C20" s="22"/>
      <c r="D20" s="22"/>
      <c r="E20" s="22"/>
      <c r="F20" s="22"/>
      <c r="G20" s="22"/>
      <c r="H20" s="12">
        <f t="shared" si="0"/>
        <v>44795</v>
      </c>
    </row>
    <row r="21" spans="2:10" x14ac:dyDescent="0.3">
      <c r="B21" s="6" t="s">
        <v>18</v>
      </c>
      <c r="C21" s="22"/>
      <c r="D21" s="62"/>
      <c r="E21" s="62"/>
      <c r="F21" s="62"/>
      <c r="G21" s="62"/>
      <c r="H21" s="12">
        <f t="shared" si="0"/>
        <v>44795</v>
      </c>
    </row>
    <row r="22" spans="2:10" x14ac:dyDescent="0.3">
      <c r="B22" s="6" t="s">
        <v>16</v>
      </c>
      <c r="C22" s="55"/>
      <c r="D22" s="22"/>
      <c r="E22" s="62"/>
      <c r="F22" s="62"/>
      <c r="G22" s="22"/>
      <c r="H22" s="12">
        <f t="shared" si="0"/>
        <v>44795</v>
      </c>
    </row>
    <row r="23" spans="2:10" x14ac:dyDescent="0.3">
      <c r="B23" s="50" t="s">
        <v>27</v>
      </c>
      <c r="C23" s="51">
        <f>SUM(August22_2022[KSI_AGO])</f>
        <v>810000</v>
      </c>
      <c r="D23" s="51">
        <f>SUBTOTAL(109,August22_2022[KSI_PMS])</f>
        <v>1445000</v>
      </c>
      <c r="E23" s="51">
        <f>SUM(August22_2022[BUIPE_AGO])</f>
        <v>378000</v>
      </c>
      <c r="F23" s="51">
        <f>SUM(August22_2022[BUIPE_PMS])</f>
        <v>54000</v>
      </c>
      <c r="G23" s="51">
        <f>SUM(August22_2022[AKOSOMBO_AGO])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D4163260-4227-40D9-BD5F-5FDD6783F196}">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AF09-4962-415C-8E1B-1C4422B04C30}">
  <dimension ref="B1:K24"/>
  <sheetViews>
    <sheetView zoomScaleNormal="100" workbookViewId="0">
      <pane xSplit="2" ySplit="5" topLeftCell="D6" activePane="bottomRight" state="frozen"/>
      <selection pane="topRight" activeCell="C1" sqref="C1"/>
      <selection pane="bottomLeft" activeCell="A6" sqref="A6"/>
      <selection pane="bottomRight" activeCell="F15" sqref="F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44796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49500</v>
      </c>
      <c r="D6" s="45"/>
      <c r="E6" s="45"/>
      <c r="F6" s="45"/>
      <c r="G6" s="45"/>
      <c r="H6" s="12">
        <f t="shared" ref="H6:H22" si="0">$G$3</f>
        <v>44796</v>
      </c>
    </row>
    <row r="7" spans="2:11" ht="16.5" customHeight="1" x14ac:dyDescent="0.3">
      <c r="B7" s="6" t="s">
        <v>37</v>
      </c>
      <c r="C7" s="57"/>
      <c r="D7" s="62"/>
      <c r="E7" s="62"/>
      <c r="F7" s="62"/>
      <c r="G7" s="62"/>
      <c r="H7" s="67">
        <f t="shared" si="0"/>
        <v>44796</v>
      </c>
    </row>
    <row r="8" spans="2:11" x14ac:dyDescent="0.3">
      <c r="B8" s="6" t="s">
        <v>17</v>
      </c>
      <c r="C8" s="22"/>
      <c r="D8" s="22"/>
      <c r="E8" s="22"/>
      <c r="F8" s="22"/>
      <c r="G8" s="22"/>
      <c r="H8" s="12">
        <f t="shared" si="0"/>
        <v>44796</v>
      </c>
    </row>
    <row r="9" spans="2:11" ht="15.6" x14ac:dyDescent="0.3">
      <c r="B9" s="34" t="s">
        <v>0</v>
      </c>
      <c r="C9" s="57"/>
      <c r="D9" s="60"/>
      <c r="E9" s="60"/>
      <c r="F9" s="60"/>
      <c r="G9" s="60"/>
      <c r="H9" s="12">
        <f t="shared" si="0"/>
        <v>44796</v>
      </c>
    </row>
    <row r="10" spans="2:11" x14ac:dyDescent="0.3">
      <c r="B10" s="6" t="s">
        <v>25</v>
      </c>
      <c r="C10" s="22">
        <v>162000</v>
      </c>
      <c r="D10" s="22"/>
      <c r="E10" s="22"/>
      <c r="F10" s="22"/>
      <c r="G10" s="22"/>
      <c r="H10" s="12">
        <f t="shared" si="0"/>
        <v>44796</v>
      </c>
    </row>
    <row r="11" spans="2:11" x14ac:dyDescent="0.3">
      <c r="B11" s="6" t="s">
        <v>15</v>
      </c>
      <c r="C11" s="22">
        <v>162000</v>
      </c>
      <c r="D11" s="22"/>
      <c r="E11" s="22"/>
      <c r="F11" s="22"/>
      <c r="G11" s="22"/>
      <c r="H11" s="12">
        <f t="shared" si="0"/>
        <v>44796</v>
      </c>
    </row>
    <row r="12" spans="2:11" x14ac:dyDescent="0.3">
      <c r="B12" s="6" t="s">
        <v>54</v>
      </c>
      <c r="C12" s="22"/>
      <c r="D12" s="22">
        <v>855500</v>
      </c>
      <c r="E12" s="22"/>
      <c r="F12" s="22"/>
      <c r="G12" s="22"/>
      <c r="H12" s="67">
        <f t="shared" si="0"/>
        <v>44796</v>
      </c>
    </row>
    <row r="13" spans="2:11" x14ac:dyDescent="0.3">
      <c r="B13" s="6" t="s">
        <v>26</v>
      </c>
      <c r="C13" s="22"/>
      <c r="D13" s="22">
        <v>486000</v>
      </c>
      <c r="E13" s="22"/>
      <c r="F13" s="22"/>
      <c r="G13" s="22"/>
      <c r="H13" s="12">
        <f t="shared" si="0"/>
        <v>44796</v>
      </c>
    </row>
    <row r="14" spans="2:11" x14ac:dyDescent="0.3">
      <c r="B14" s="6" t="s">
        <v>22</v>
      </c>
      <c r="C14" s="57"/>
      <c r="D14" s="22"/>
      <c r="E14" s="22"/>
      <c r="F14" s="22"/>
      <c r="G14" s="22"/>
      <c r="H14" s="12">
        <f t="shared" si="0"/>
        <v>44796</v>
      </c>
      <c r="K14" s="4"/>
    </row>
    <row r="15" spans="2:11" x14ac:dyDescent="0.3">
      <c r="B15" s="6" t="s">
        <v>61</v>
      </c>
      <c r="C15" s="22"/>
      <c r="D15" s="22"/>
      <c r="E15" s="22"/>
      <c r="F15" s="22"/>
      <c r="G15" s="22"/>
      <c r="H15" s="67">
        <f t="shared" si="0"/>
        <v>44796</v>
      </c>
      <c r="K15" s="4"/>
    </row>
    <row r="16" spans="2:11" x14ac:dyDescent="0.3">
      <c r="B16" s="6" t="s">
        <v>19</v>
      </c>
      <c r="C16" s="22">
        <v>162000</v>
      </c>
      <c r="D16" s="22">
        <v>189000</v>
      </c>
      <c r="E16" s="23"/>
      <c r="F16" s="22"/>
      <c r="G16" s="22"/>
      <c r="H16" s="12">
        <f t="shared" si="0"/>
        <v>44796</v>
      </c>
    </row>
    <row r="17" spans="2:10" x14ac:dyDescent="0.3">
      <c r="B17" s="6" t="s">
        <v>14</v>
      </c>
      <c r="C17" s="22">
        <v>648000</v>
      </c>
      <c r="D17" s="22"/>
      <c r="E17" s="57"/>
      <c r="F17" s="23">
        <v>54000</v>
      </c>
      <c r="G17" s="22"/>
      <c r="H17" s="12">
        <f t="shared" si="0"/>
        <v>44796</v>
      </c>
    </row>
    <row r="18" spans="2:10" x14ac:dyDescent="0.3">
      <c r="B18" s="6" t="s">
        <v>24</v>
      </c>
      <c r="C18" s="22"/>
      <c r="D18" s="22"/>
      <c r="E18" s="22"/>
      <c r="F18" s="49"/>
      <c r="G18" s="22"/>
      <c r="H18" s="12">
        <f t="shared" si="0"/>
        <v>44796</v>
      </c>
      <c r="J18" s="1" t="s">
        <v>66</v>
      </c>
    </row>
    <row r="19" spans="2:10" x14ac:dyDescent="0.3">
      <c r="B19" s="6" t="s">
        <v>21</v>
      </c>
      <c r="C19" s="22">
        <v>216000</v>
      </c>
      <c r="D19" s="22"/>
      <c r="E19" s="22"/>
      <c r="F19" s="22"/>
      <c r="G19" s="22"/>
      <c r="H19" s="67">
        <f t="shared" si="0"/>
        <v>44796</v>
      </c>
    </row>
    <row r="20" spans="2:10" x14ac:dyDescent="0.3">
      <c r="B20" s="6" t="s">
        <v>65</v>
      </c>
      <c r="C20" s="22"/>
      <c r="D20" s="22"/>
      <c r="E20" s="22"/>
      <c r="F20" s="22"/>
      <c r="G20" s="22"/>
      <c r="H20" s="12">
        <f t="shared" si="0"/>
        <v>44796</v>
      </c>
    </row>
    <row r="21" spans="2:10" x14ac:dyDescent="0.3">
      <c r="B21" s="6" t="s">
        <v>18</v>
      </c>
      <c r="C21" s="22"/>
      <c r="D21" s="62"/>
      <c r="E21" s="62"/>
      <c r="F21" s="62"/>
      <c r="G21" s="62"/>
      <c r="H21" s="12">
        <f t="shared" si="0"/>
        <v>44796</v>
      </c>
    </row>
    <row r="22" spans="2:10" x14ac:dyDescent="0.3">
      <c r="B22" s="6" t="s">
        <v>16</v>
      </c>
      <c r="C22" s="55">
        <v>45000</v>
      </c>
      <c r="D22" s="22"/>
      <c r="E22" s="62"/>
      <c r="F22" s="62"/>
      <c r="G22" s="22"/>
      <c r="H22" s="12">
        <f t="shared" si="0"/>
        <v>44796</v>
      </c>
    </row>
    <row r="23" spans="2:10" x14ac:dyDescent="0.3">
      <c r="B23" s="50" t="s">
        <v>27</v>
      </c>
      <c r="C23" s="51">
        <f>SUM(August22_202215[KSI_AGO])</f>
        <v>1444500</v>
      </c>
      <c r="D23" s="51">
        <f>SUBTOTAL(109,August22_202215[KSI_PMS])</f>
        <v>1530500</v>
      </c>
      <c r="E23" s="51">
        <f>SUM(August22_202215[BUIPE_AGO])</f>
        <v>0</v>
      </c>
      <c r="F23" s="51">
        <f>SUM(August22_202215[BUIPE_PMS])</f>
        <v>54000</v>
      </c>
      <c r="G23" s="51">
        <f>SUM(August22_202215[AKOSOMBO_AGO])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C900F9B1-D1AB-479E-AB53-C7AFD4FED71F}">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1182A-D51E-45CD-B62F-967D32416156}">
  <dimension ref="B1:K24"/>
  <sheetViews>
    <sheetView zoomScaleNormal="100" workbookViewId="0">
      <pane xSplit="2" ySplit="5" topLeftCell="F6" activePane="bottomRight" state="frozen"/>
      <selection pane="topRight" activeCell="C1" sqref="C1"/>
      <selection pane="bottomLeft" activeCell="A6" sqref="A6"/>
      <selection pane="bottomRight" activeCell="G18" sqref="G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44797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v>54000</v>
      </c>
      <c r="D6" s="45"/>
      <c r="E6" s="45"/>
      <c r="F6" s="45"/>
      <c r="G6" s="45"/>
      <c r="H6" s="12">
        <f t="shared" ref="H6:H22" si="0">$G$3</f>
        <v>44797</v>
      </c>
    </row>
    <row r="7" spans="2:11" ht="16.5" customHeight="1" x14ac:dyDescent="0.3">
      <c r="B7" s="6" t="s">
        <v>37</v>
      </c>
      <c r="C7" s="57"/>
      <c r="D7" s="62"/>
      <c r="E7" s="62"/>
      <c r="F7" s="62"/>
      <c r="G7" s="62"/>
      <c r="H7" s="67">
        <f t="shared" si="0"/>
        <v>44797</v>
      </c>
    </row>
    <row r="8" spans="2:11" x14ac:dyDescent="0.3">
      <c r="B8" s="6" t="s">
        <v>17</v>
      </c>
      <c r="C8" s="22"/>
      <c r="D8" s="22"/>
      <c r="E8" s="22"/>
      <c r="F8" s="22"/>
      <c r="G8" s="22"/>
      <c r="H8" s="12">
        <f t="shared" si="0"/>
        <v>44797</v>
      </c>
    </row>
    <row r="9" spans="2:11" ht="15.6" x14ac:dyDescent="0.3">
      <c r="B9" s="34" t="s">
        <v>0</v>
      </c>
      <c r="C9" s="57"/>
      <c r="D9" s="60"/>
      <c r="E9" s="60"/>
      <c r="F9" s="60"/>
      <c r="G9" s="60"/>
      <c r="H9" s="12">
        <f t="shared" si="0"/>
        <v>44797</v>
      </c>
    </row>
    <row r="10" spans="2:11" x14ac:dyDescent="0.3">
      <c r="B10" s="6" t="s">
        <v>25</v>
      </c>
      <c r="C10" s="22">
        <v>216000</v>
      </c>
      <c r="D10" s="22"/>
      <c r="E10" s="22"/>
      <c r="F10" s="22"/>
      <c r="G10" s="22"/>
      <c r="H10" s="12">
        <f t="shared" si="0"/>
        <v>44797</v>
      </c>
    </row>
    <row r="11" spans="2:11" x14ac:dyDescent="0.3">
      <c r="B11" s="6" t="s">
        <v>15</v>
      </c>
      <c r="C11" s="22">
        <v>431500</v>
      </c>
      <c r="D11" s="22"/>
      <c r="E11" s="22"/>
      <c r="F11" s="22"/>
      <c r="G11" s="22"/>
      <c r="H11" s="12">
        <f t="shared" si="0"/>
        <v>44797</v>
      </c>
    </row>
    <row r="12" spans="2:11" x14ac:dyDescent="0.3">
      <c r="B12" s="6" t="s">
        <v>54</v>
      </c>
      <c r="C12" s="22"/>
      <c r="D12" s="22">
        <v>108000</v>
      </c>
      <c r="E12" s="22"/>
      <c r="F12" s="22"/>
      <c r="G12" s="22"/>
      <c r="H12" s="67">
        <f t="shared" si="0"/>
        <v>44797</v>
      </c>
    </row>
    <row r="13" spans="2:11" x14ac:dyDescent="0.3">
      <c r="B13" s="6" t="s">
        <v>26</v>
      </c>
      <c r="C13" s="22">
        <v>324000</v>
      </c>
      <c r="D13" s="22">
        <v>1012500</v>
      </c>
      <c r="E13" s="22"/>
      <c r="F13" s="22"/>
      <c r="G13" s="22"/>
      <c r="H13" s="12">
        <f t="shared" si="0"/>
        <v>44797</v>
      </c>
    </row>
    <row r="14" spans="2:11" x14ac:dyDescent="0.3">
      <c r="B14" s="6" t="s">
        <v>22</v>
      </c>
      <c r="C14" s="57"/>
      <c r="D14" s="22"/>
      <c r="E14" s="22"/>
      <c r="F14" s="22"/>
      <c r="G14" s="22"/>
      <c r="H14" s="12">
        <f t="shared" si="0"/>
        <v>44797</v>
      </c>
      <c r="K14" s="4"/>
    </row>
    <row r="15" spans="2:11" x14ac:dyDescent="0.3">
      <c r="B15" s="6" t="s">
        <v>61</v>
      </c>
      <c r="C15" s="22"/>
      <c r="D15" s="22"/>
      <c r="E15" s="22"/>
      <c r="F15" s="22"/>
      <c r="G15" s="22"/>
      <c r="H15" s="67">
        <f t="shared" si="0"/>
        <v>44797</v>
      </c>
      <c r="K15" s="4"/>
    </row>
    <row r="16" spans="2:11" x14ac:dyDescent="0.3">
      <c r="B16" s="6" t="s">
        <v>19</v>
      </c>
      <c r="C16" s="22">
        <v>162000</v>
      </c>
      <c r="D16" s="22"/>
      <c r="E16" s="23"/>
      <c r="F16" s="22"/>
      <c r="G16" s="22"/>
      <c r="H16" s="12">
        <f t="shared" si="0"/>
        <v>44797</v>
      </c>
    </row>
    <row r="17" spans="2:10" x14ac:dyDescent="0.3">
      <c r="B17" s="6" t="s">
        <v>14</v>
      </c>
      <c r="C17" s="22">
        <v>585000</v>
      </c>
      <c r="D17" s="22"/>
      <c r="E17" s="57"/>
      <c r="F17" s="23"/>
      <c r="G17" s="22"/>
      <c r="H17" s="12">
        <f t="shared" si="0"/>
        <v>44797</v>
      </c>
    </row>
    <row r="18" spans="2:10" x14ac:dyDescent="0.3">
      <c r="B18" s="6" t="s">
        <v>24</v>
      </c>
      <c r="C18" s="22"/>
      <c r="D18" s="22"/>
      <c r="E18" s="22"/>
      <c r="F18" s="49"/>
      <c r="G18" s="22"/>
      <c r="H18" s="12">
        <f t="shared" si="0"/>
        <v>44797</v>
      </c>
      <c r="J18" s="1" t="s">
        <v>66</v>
      </c>
    </row>
    <row r="19" spans="2:10" x14ac:dyDescent="0.3">
      <c r="B19" s="6" t="s">
        <v>21</v>
      </c>
      <c r="C19" s="22">
        <v>351000</v>
      </c>
      <c r="D19" s="22">
        <v>540000</v>
      </c>
      <c r="E19" s="22"/>
      <c r="F19" s="22"/>
      <c r="G19" s="22"/>
      <c r="H19" s="67">
        <f t="shared" si="0"/>
        <v>44797</v>
      </c>
    </row>
    <row r="20" spans="2:10" x14ac:dyDescent="0.3">
      <c r="B20" s="6" t="s">
        <v>65</v>
      </c>
      <c r="C20" s="22"/>
      <c r="D20" s="22"/>
      <c r="E20" s="22"/>
      <c r="F20" s="22"/>
      <c r="G20" s="22"/>
      <c r="H20" s="12">
        <f t="shared" si="0"/>
        <v>44797</v>
      </c>
    </row>
    <row r="21" spans="2:10" x14ac:dyDescent="0.3">
      <c r="B21" s="6" t="s">
        <v>18</v>
      </c>
      <c r="C21" s="22"/>
      <c r="D21" s="62"/>
      <c r="E21" s="62"/>
      <c r="F21" s="62"/>
      <c r="G21" s="62"/>
      <c r="H21" s="12">
        <f t="shared" si="0"/>
        <v>44797</v>
      </c>
    </row>
    <row r="22" spans="2:10" x14ac:dyDescent="0.3">
      <c r="B22" s="6" t="s">
        <v>16</v>
      </c>
      <c r="C22" s="55">
        <v>45000</v>
      </c>
      <c r="D22" s="22"/>
      <c r="E22" s="62"/>
      <c r="F22" s="62"/>
      <c r="G22" s="22"/>
      <c r="H22" s="12">
        <f t="shared" si="0"/>
        <v>44797</v>
      </c>
    </row>
    <row r="23" spans="2:10" x14ac:dyDescent="0.3">
      <c r="B23" s="50" t="s">
        <v>27</v>
      </c>
      <c r="C23" s="51">
        <f>SUM(August24_2022[KSI_AGO])</f>
        <v>2168500</v>
      </c>
      <c r="D23" s="51">
        <f>SUBTOTAL(109,August24_2022[KSI_PMS])</f>
        <v>1660500</v>
      </c>
      <c r="E23" s="51">
        <f>SUM(August24_2022[BUIPE_AGO])</f>
        <v>0</v>
      </c>
      <c r="F23" s="51">
        <f>SUM(August24_2022[BUIPE_PMS])</f>
        <v>0</v>
      </c>
      <c r="G23" s="51">
        <f>SUM(August24_2022[AKOSOMBO_AGO])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FD30F48B-96BD-40AC-833B-398C760FE34F}">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7546-22D9-4802-B005-6A5B219424A9}">
  <dimension ref="B1:K24"/>
  <sheetViews>
    <sheetView zoomScaleNormal="100" workbookViewId="0">
      <pane xSplit="2" ySplit="5" topLeftCell="D6" activePane="bottomRight" state="frozen"/>
      <selection pane="topRight" activeCell="C1" sqref="C1"/>
      <selection pane="bottomLeft" activeCell="A6" sqref="A6"/>
      <selection pane="bottomRight" activeCell="F14" sqref="F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44798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44798</v>
      </c>
    </row>
    <row r="7" spans="2:11" ht="16.5" customHeight="1" x14ac:dyDescent="0.3">
      <c r="B7" s="6" t="s">
        <v>37</v>
      </c>
      <c r="C7" s="57"/>
      <c r="D7" s="62">
        <v>108000</v>
      </c>
      <c r="E7" s="62"/>
      <c r="F7" s="62"/>
      <c r="G7" s="62"/>
      <c r="H7" s="67">
        <f t="shared" si="0"/>
        <v>44798</v>
      </c>
    </row>
    <row r="8" spans="2:11" x14ac:dyDescent="0.3">
      <c r="B8" s="6" t="s">
        <v>17</v>
      </c>
      <c r="C8" s="22"/>
      <c r="D8" s="22"/>
      <c r="E8" s="22"/>
      <c r="F8" s="22"/>
      <c r="G8" s="22"/>
      <c r="H8" s="12">
        <f t="shared" si="0"/>
        <v>44798</v>
      </c>
    </row>
    <row r="9" spans="2:11" ht="15.6" x14ac:dyDescent="0.3">
      <c r="B9" s="34" t="s">
        <v>0</v>
      </c>
      <c r="C9" s="57"/>
      <c r="D9" s="60"/>
      <c r="E9" s="60"/>
      <c r="F9" s="60">
        <v>639000</v>
      </c>
      <c r="G9" s="60"/>
      <c r="H9" s="12">
        <f t="shared" si="0"/>
        <v>44798</v>
      </c>
    </row>
    <row r="10" spans="2:11" x14ac:dyDescent="0.3">
      <c r="B10" s="6" t="s">
        <v>25</v>
      </c>
      <c r="C10" s="22">
        <v>108000</v>
      </c>
      <c r="D10" s="22"/>
      <c r="E10" s="22"/>
      <c r="F10" s="22"/>
      <c r="G10" s="22"/>
      <c r="H10" s="12">
        <f t="shared" si="0"/>
        <v>44798</v>
      </c>
    </row>
    <row r="11" spans="2:11" x14ac:dyDescent="0.3">
      <c r="B11" s="6" t="s">
        <v>15</v>
      </c>
      <c r="C11" s="22">
        <v>535500</v>
      </c>
      <c r="D11" s="22"/>
      <c r="E11" s="22"/>
      <c r="F11" s="22"/>
      <c r="G11" s="22"/>
      <c r="H11" s="12">
        <f t="shared" si="0"/>
        <v>44798</v>
      </c>
    </row>
    <row r="12" spans="2:11" x14ac:dyDescent="0.3">
      <c r="B12" s="6" t="s">
        <v>54</v>
      </c>
      <c r="C12" s="22"/>
      <c r="D12" s="22"/>
      <c r="E12" s="22"/>
      <c r="F12" s="22"/>
      <c r="G12" s="22"/>
      <c r="H12" s="67">
        <f t="shared" si="0"/>
        <v>44798</v>
      </c>
    </row>
    <row r="13" spans="2:11" x14ac:dyDescent="0.3">
      <c r="B13" s="6" t="s">
        <v>26</v>
      </c>
      <c r="C13" s="22">
        <v>324000</v>
      </c>
      <c r="D13" s="22"/>
      <c r="E13" s="22"/>
      <c r="F13" s="22"/>
      <c r="G13" s="22"/>
      <c r="H13" s="12">
        <f t="shared" si="0"/>
        <v>44798</v>
      </c>
    </row>
    <row r="14" spans="2:11" x14ac:dyDescent="0.3">
      <c r="B14" s="6" t="s">
        <v>22</v>
      </c>
      <c r="C14" s="57"/>
      <c r="D14" s="22"/>
      <c r="E14" s="22"/>
      <c r="F14" s="22"/>
      <c r="G14" s="22"/>
      <c r="H14" s="12">
        <f t="shared" si="0"/>
        <v>44798</v>
      </c>
      <c r="K14" s="4"/>
    </row>
    <row r="15" spans="2:11" x14ac:dyDescent="0.3">
      <c r="B15" s="6" t="s">
        <v>61</v>
      </c>
      <c r="C15" s="22"/>
      <c r="D15" s="22"/>
      <c r="E15" s="22"/>
      <c r="F15" s="22"/>
      <c r="G15" s="22"/>
      <c r="H15" s="67">
        <f t="shared" si="0"/>
        <v>44798</v>
      </c>
      <c r="K15" s="4"/>
    </row>
    <row r="16" spans="2:11" x14ac:dyDescent="0.3">
      <c r="B16" s="6" t="s">
        <v>19</v>
      </c>
      <c r="C16" s="22">
        <v>378000</v>
      </c>
      <c r="D16" s="22"/>
      <c r="E16" s="23"/>
      <c r="F16" s="22"/>
      <c r="G16" s="22"/>
      <c r="H16" s="12">
        <f t="shared" si="0"/>
        <v>44798</v>
      </c>
    </row>
    <row r="17" spans="2:10" x14ac:dyDescent="0.3">
      <c r="B17" s="6" t="s">
        <v>14</v>
      </c>
      <c r="C17" s="22">
        <v>643500</v>
      </c>
      <c r="D17" s="22"/>
      <c r="E17" s="57"/>
      <c r="F17" s="23"/>
      <c r="G17" s="22"/>
      <c r="H17" s="12">
        <f t="shared" si="0"/>
        <v>44798</v>
      </c>
    </row>
    <row r="18" spans="2:10" x14ac:dyDescent="0.3">
      <c r="B18" s="6" t="s">
        <v>24</v>
      </c>
      <c r="C18" s="22"/>
      <c r="D18" s="22"/>
      <c r="E18" s="22"/>
      <c r="F18" s="49"/>
      <c r="G18" s="22"/>
      <c r="H18" s="12">
        <f t="shared" si="0"/>
        <v>44798</v>
      </c>
      <c r="J18" s="1" t="s">
        <v>66</v>
      </c>
    </row>
    <row r="19" spans="2:10" x14ac:dyDescent="0.3">
      <c r="B19" s="6" t="s">
        <v>21</v>
      </c>
      <c r="C19" s="22">
        <v>54000</v>
      </c>
      <c r="D19" s="22">
        <v>360000</v>
      </c>
      <c r="E19" s="22"/>
      <c r="F19" s="22"/>
      <c r="G19" s="22"/>
      <c r="H19" s="67">
        <f t="shared" si="0"/>
        <v>44798</v>
      </c>
    </row>
    <row r="20" spans="2:10" x14ac:dyDescent="0.3">
      <c r="B20" s="6" t="s">
        <v>65</v>
      </c>
      <c r="C20" s="22"/>
      <c r="D20" s="22"/>
      <c r="E20" s="22"/>
      <c r="F20" s="22"/>
      <c r="G20" s="22"/>
      <c r="H20" s="12">
        <f t="shared" si="0"/>
        <v>44798</v>
      </c>
    </row>
    <row r="21" spans="2:10" x14ac:dyDescent="0.3">
      <c r="B21" s="6" t="s">
        <v>18</v>
      </c>
      <c r="C21" s="22"/>
      <c r="D21" s="62"/>
      <c r="E21" s="62"/>
      <c r="F21" s="62"/>
      <c r="G21" s="62"/>
      <c r="H21" s="12">
        <f t="shared" si="0"/>
        <v>44798</v>
      </c>
    </row>
    <row r="22" spans="2:10" x14ac:dyDescent="0.3">
      <c r="B22" s="6" t="s">
        <v>16</v>
      </c>
      <c r="C22" s="55"/>
      <c r="D22" s="22">
        <v>54000</v>
      </c>
      <c r="E22" s="62"/>
      <c r="F22" s="62"/>
      <c r="G22" s="22"/>
      <c r="H22" s="12">
        <f t="shared" si="0"/>
        <v>44798</v>
      </c>
    </row>
    <row r="23" spans="2:10" x14ac:dyDescent="0.3">
      <c r="B23" s="50" t="s">
        <v>27</v>
      </c>
      <c r="C23" s="51">
        <f>SUM(August25_2022[KSI_AGO])</f>
        <v>2043000</v>
      </c>
      <c r="D23" s="51">
        <f>SUBTOTAL(109,August25_2022[KSI_PMS])</f>
        <v>522000</v>
      </c>
      <c r="E23" s="51">
        <f>SUM(August25_2022[BUIPE_AGO])</f>
        <v>0</v>
      </c>
      <c r="F23" s="51">
        <f>SUM(August25_2022[BUIPE_PMS])</f>
        <v>639000</v>
      </c>
      <c r="G23" s="51">
        <f>SUM(August25_2022[AKOSOMBO_AGO])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B3DFD31-2FF1-44A5-8BA5-80EB719A00B9}">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60DF-6801-4FFC-999A-E70469B366DC}">
  <dimension ref="B1:K24"/>
  <sheetViews>
    <sheetView zoomScaleNormal="100" workbookViewId="0">
      <pane xSplit="2" ySplit="5" topLeftCell="D6" activePane="bottomRight" state="frozen"/>
      <selection pane="topRight" activeCell="C1" sqref="C1"/>
      <selection pane="bottomLeft" activeCell="A6" sqref="A6"/>
      <selection pane="bottomRight" activeCell="F11" sqref="F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44799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44799</v>
      </c>
    </row>
    <row r="7" spans="2:11" ht="16.5" customHeight="1" x14ac:dyDescent="0.3">
      <c r="B7" s="6" t="s">
        <v>37</v>
      </c>
      <c r="C7" s="57"/>
      <c r="D7" s="62">
        <v>99000</v>
      </c>
      <c r="E7" s="62"/>
      <c r="F7" s="62"/>
      <c r="G7" s="62"/>
      <c r="H7" s="67">
        <f t="shared" si="0"/>
        <v>44799</v>
      </c>
    </row>
    <row r="8" spans="2:11" x14ac:dyDescent="0.3">
      <c r="B8" s="6" t="s">
        <v>17</v>
      </c>
      <c r="C8" s="22"/>
      <c r="D8" s="22"/>
      <c r="E8" s="22"/>
      <c r="F8" s="22"/>
      <c r="G8" s="22"/>
      <c r="H8" s="12">
        <f t="shared" si="0"/>
        <v>44799</v>
      </c>
    </row>
    <row r="9" spans="2:11" ht="15.6" x14ac:dyDescent="0.3">
      <c r="B9" s="34" t="s">
        <v>0</v>
      </c>
      <c r="C9" s="57"/>
      <c r="D9" s="57"/>
      <c r="E9" s="60"/>
      <c r="F9" s="60">
        <v>639000</v>
      </c>
      <c r="G9" s="60"/>
      <c r="H9" s="12">
        <f t="shared" si="0"/>
        <v>44799</v>
      </c>
    </row>
    <row r="10" spans="2:11" x14ac:dyDescent="0.3">
      <c r="B10" s="6" t="s">
        <v>25</v>
      </c>
      <c r="C10" s="22"/>
      <c r="D10" s="22"/>
      <c r="E10" s="22"/>
      <c r="F10" s="22"/>
      <c r="G10" s="22"/>
      <c r="H10" s="12">
        <f t="shared" si="0"/>
        <v>44799</v>
      </c>
    </row>
    <row r="11" spans="2:11" x14ac:dyDescent="0.3">
      <c r="B11" s="6" t="s">
        <v>15</v>
      </c>
      <c r="C11" s="22">
        <v>270000</v>
      </c>
      <c r="D11" s="22"/>
      <c r="E11" s="22"/>
      <c r="F11" s="22"/>
      <c r="G11" s="22"/>
      <c r="H11" s="12">
        <f t="shared" si="0"/>
        <v>44799</v>
      </c>
    </row>
    <row r="12" spans="2:11" x14ac:dyDescent="0.3">
      <c r="B12" s="6" t="s">
        <v>54</v>
      </c>
      <c r="C12" s="22"/>
      <c r="D12" s="22"/>
      <c r="E12" s="22"/>
      <c r="F12" s="22"/>
      <c r="G12" s="22"/>
      <c r="H12" s="67">
        <f t="shared" si="0"/>
        <v>44799</v>
      </c>
    </row>
    <row r="13" spans="2:11" x14ac:dyDescent="0.3">
      <c r="B13" s="6" t="s">
        <v>26</v>
      </c>
      <c r="C13" s="22">
        <v>270000</v>
      </c>
      <c r="D13" s="22"/>
      <c r="E13" s="22"/>
      <c r="F13" s="22"/>
      <c r="G13" s="22"/>
      <c r="H13" s="12">
        <f t="shared" si="0"/>
        <v>44799</v>
      </c>
    </row>
    <row r="14" spans="2:11" x14ac:dyDescent="0.3">
      <c r="B14" s="6" t="s">
        <v>22</v>
      </c>
      <c r="C14" s="22">
        <v>270000</v>
      </c>
      <c r="D14" s="22"/>
      <c r="E14" s="22"/>
      <c r="F14" s="22"/>
      <c r="G14" s="22"/>
      <c r="H14" s="12">
        <f t="shared" si="0"/>
        <v>44799</v>
      </c>
      <c r="K14" s="4"/>
    </row>
    <row r="15" spans="2:11" x14ac:dyDescent="0.3">
      <c r="B15" s="6" t="s">
        <v>61</v>
      </c>
      <c r="C15" s="22"/>
      <c r="D15" s="22"/>
      <c r="E15" s="22"/>
      <c r="F15" s="22"/>
      <c r="G15" s="22"/>
      <c r="H15" s="67">
        <f t="shared" si="0"/>
        <v>44799</v>
      </c>
      <c r="K15" s="4"/>
    </row>
    <row r="16" spans="2:11" x14ac:dyDescent="0.3">
      <c r="B16" s="6" t="s">
        <v>19</v>
      </c>
      <c r="C16" s="22">
        <v>216000</v>
      </c>
      <c r="D16" s="22"/>
      <c r="E16" s="23"/>
      <c r="F16" s="22"/>
      <c r="G16" s="22"/>
      <c r="H16" s="12">
        <f t="shared" si="0"/>
        <v>44799</v>
      </c>
    </row>
    <row r="17" spans="2:10" x14ac:dyDescent="0.3">
      <c r="B17" s="6" t="s">
        <v>14</v>
      </c>
      <c r="C17" s="22">
        <v>162000</v>
      </c>
      <c r="D17" s="22"/>
      <c r="E17" s="57"/>
      <c r="F17" s="23"/>
      <c r="G17" s="22"/>
      <c r="H17" s="12">
        <f t="shared" si="0"/>
        <v>44799</v>
      </c>
    </row>
    <row r="18" spans="2:10" x14ac:dyDescent="0.3">
      <c r="B18" s="6" t="s">
        <v>24</v>
      </c>
      <c r="C18" s="22"/>
      <c r="D18" s="22"/>
      <c r="E18" s="22"/>
      <c r="F18" s="49"/>
      <c r="G18" s="22"/>
      <c r="H18" s="12">
        <f t="shared" si="0"/>
        <v>44799</v>
      </c>
      <c r="J18" s="1" t="s">
        <v>66</v>
      </c>
    </row>
    <row r="19" spans="2:10" x14ac:dyDescent="0.3">
      <c r="B19" s="6" t="s">
        <v>21</v>
      </c>
      <c r="C19" s="22"/>
      <c r="D19" s="22"/>
      <c r="E19" s="22"/>
      <c r="F19" s="22"/>
      <c r="G19" s="22"/>
      <c r="H19" s="67">
        <f t="shared" si="0"/>
        <v>44799</v>
      </c>
    </row>
    <row r="20" spans="2:10" x14ac:dyDescent="0.3">
      <c r="B20" s="6" t="s">
        <v>65</v>
      </c>
      <c r="C20" s="22"/>
      <c r="D20" s="22"/>
      <c r="E20" s="22"/>
      <c r="F20" s="22"/>
      <c r="G20" s="22"/>
      <c r="H20" s="12">
        <f t="shared" si="0"/>
        <v>44799</v>
      </c>
    </row>
    <row r="21" spans="2:10" x14ac:dyDescent="0.3">
      <c r="B21" s="6" t="s">
        <v>18</v>
      </c>
      <c r="C21" s="22"/>
      <c r="D21" s="62"/>
      <c r="E21" s="62"/>
      <c r="F21" s="62"/>
      <c r="G21" s="62"/>
      <c r="H21" s="12">
        <f t="shared" si="0"/>
        <v>44799</v>
      </c>
    </row>
    <row r="22" spans="2:10" x14ac:dyDescent="0.3">
      <c r="B22" s="6" t="s">
        <v>16</v>
      </c>
      <c r="C22" s="55">
        <v>212000</v>
      </c>
      <c r="D22" s="22"/>
      <c r="E22" s="62">
        <v>378000</v>
      </c>
      <c r="F22" s="62"/>
      <c r="G22" s="22"/>
      <c r="H22" s="12">
        <f t="shared" si="0"/>
        <v>44799</v>
      </c>
    </row>
    <row r="23" spans="2:10" x14ac:dyDescent="0.3">
      <c r="B23" s="50" t="s">
        <v>27</v>
      </c>
      <c r="C23" s="51">
        <f>SUM(August26_2022[KSI_AGO])</f>
        <v>1400000</v>
      </c>
      <c r="D23" s="51">
        <f>SUBTOTAL(109,August26_2022[KSI_PMS])</f>
        <v>99000</v>
      </c>
      <c r="E23" s="51">
        <f>SUM(August26_2022[BUIPE_AGO])</f>
        <v>378000</v>
      </c>
      <c r="F23" s="51">
        <f>SUM(August26_2022[BUIPE_PMS])</f>
        <v>639000</v>
      </c>
      <c r="G23" s="51">
        <f>SUM(August26_2022[AKOSOMBO_AGO])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BEA145F-452F-4210-BE85-EFB22784331D}">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32B1-E63E-45E6-97AC-1826839AE80E}">
  <dimension ref="B1:K24"/>
  <sheetViews>
    <sheetView zoomScaleNormal="100" workbookViewId="0">
      <pane xSplit="2" ySplit="5" topLeftCell="F6" activePane="bottomRight" state="frozen"/>
      <selection pane="topRight" activeCell="C1" sqref="C1"/>
      <selection pane="bottomLeft" activeCell="A6" sqref="A6"/>
      <selection pane="bottomRight" activeCell="G7" sqref="G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44802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44802</v>
      </c>
    </row>
    <row r="7" spans="2:11" ht="16.5" customHeight="1" x14ac:dyDescent="0.3">
      <c r="B7" s="6" t="s">
        <v>37</v>
      </c>
      <c r="C7" s="57"/>
      <c r="D7" s="62"/>
      <c r="E7" s="62"/>
      <c r="F7" s="62"/>
      <c r="G7" s="62"/>
      <c r="H7" s="67">
        <f t="shared" si="0"/>
        <v>44802</v>
      </c>
    </row>
    <row r="8" spans="2:11" x14ac:dyDescent="0.3">
      <c r="B8" s="6" t="s">
        <v>17</v>
      </c>
      <c r="C8" s="22"/>
      <c r="D8" s="22"/>
      <c r="E8" s="22"/>
      <c r="F8" s="22"/>
      <c r="G8" s="22"/>
      <c r="H8" s="12">
        <f t="shared" si="0"/>
        <v>44802</v>
      </c>
    </row>
    <row r="9" spans="2:11" ht="15.6" x14ac:dyDescent="0.3">
      <c r="B9" s="34" t="s">
        <v>0</v>
      </c>
      <c r="C9" s="57"/>
      <c r="D9" s="57"/>
      <c r="E9" s="60"/>
      <c r="F9" s="60">
        <v>580500</v>
      </c>
      <c r="G9" s="60"/>
      <c r="H9" s="12">
        <f t="shared" si="0"/>
        <v>44802</v>
      </c>
    </row>
    <row r="10" spans="2:11" x14ac:dyDescent="0.3">
      <c r="B10" s="6" t="s">
        <v>25</v>
      </c>
      <c r="C10" s="22"/>
      <c r="D10" s="22"/>
      <c r="E10" s="22"/>
      <c r="F10" s="22"/>
      <c r="G10" s="22"/>
      <c r="H10" s="12">
        <f t="shared" si="0"/>
        <v>44802</v>
      </c>
    </row>
    <row r="11" spans="2:11" x14ac:dyDescent="0.3">
      <c r="B11" s="6" t="s">
        <v>15</v>
      </c>
      <c r="C11" s="22">
        <v>432000</v>
      </c>
      <c r="D11" s="22"/>
      <c r="E11" s="22"/>
      <c r="F11" s="22"/>
      <c r="G11" s="22"/>
      <c r="H11" s="12">
        <f t="shared" si="0"/>
        <v>44802</v>
      </c>
    </row>
    <row r="12" spans="2:11" x14ac:dyDescent="0.3">
      <c r="B12" s="6" t="s">
        <v>54</v>
      </c>
      <c r="C12" s="22"/>
      <c r="D12" s="22"/>
      <c r="E12" s="22"/>
      <c r="F12" s="22"/>
      <c r="G12" s="22"/>
      <c r="H12" s="67">
        <f t="shared" si="0"/>
        <v>44802</v>
      </c>
    </row>
    <row r="13" spans="2:11" x14ac:dyDescent="0.3">
      <c r="B13" s="6" t="s">
        <v>26</v>
      </c>
      <c r="C13" s="22">
        <v>108000</v>
      </c>
      <c r="D13" s="22"/>
      <c r="E13" s="22"/>
      <c r="F13" s="22"/>
      <c r="G13" s="22"/>
      <c r="H13" s="12">
        <f t="shared" si="0"/>
        <v>44802</v>
      </c>
    </row>
    <row r="14" spans="2:11" x14ac:dyDescent="0.3">
      <c r="B14" s="6" t="s">
        <v>22</v>
      </c>
      <c r="C14" s="22">
        <v>216000</v>
      </c>
      <c r="D14" s="22"/>
      <c r="E14" s="22"/>
      <c r="F14" s="22"/>
      <c r="G14" s="22"/>
      <c r="H14" s="12">
        <f t="shared" si="0"/>
        <v>44802</v>
      </c>
      <c r="K14" s="4"/>
    </row>
    <row r="15" spans="2:11" x14ac:dyDescent="0.3">
      <c r="B15" s="6" t="s">
        <v>61</v>
      </c>
      <c r="C15" s="22"/>
      <c r="D15" s="22"/>
      <c r="E15" s="22"/>
      <c r="F15" s="22"/>
      <c r="G15" s="22"/>
      <c r="H15" s="67">
        <f t="shared" si="0"/>
        <v>44802</v>
      </c>
      <c r="K15" s="4"/>
    </row>
    <row r="16" spans="2:11" x14ac:dyDescent="0.3">
      <c r="B16" s="6" t="s">
        <v>19</v>
      </c>
      <c r="C16" s="22">
        <v>270000</v>
      </c>
      <c r="D16" s="22"/>
      <c r="E16" s="23"/>
      <c r="F16" s="22"/>
      <c r="G16" s="22"/>
      <c r="H16" s="12">
        <f t="shared" si="0"/>
        <v>44802</v>
      </c>
    </row>
    <row r="17" spans="2:10" x14ac:dyDescent="0.3">
      <c r="B17" s="6" t="s">
        <v>14</v>
      </c>
      <c r="C17" s="22">
        <v>424000</v>
      </c>
      <c r="D17" s="22">
        <v>1238000</v>
      </c>
      <c r="E17" s="57"/>
      <c r="F17" s="23"/>
      <c r="G17" s="22">
        <v>540000</v>
      </c>
      <c r="H17" s="12">
        <f t="shared" si="0"/>
        <v>44802</v>
      </c>
    </row>
    <row r="18" spans="2:10" x14ac:dyDescent="0.3">
      <c r="B18" s="6" t="s">
        <v>24</v>
      </c>
      <c r="C18" s="22"/>
      <c r="D18" s="22"/>
      <c r="E18" s="22"/>
      <c r="F18" s="49"/>
      <c r="G18" s="22"/>
      <c r="H18" s="12">
        <f t="shared" si="0"/>
        <v>44802</v>
      </c>
      <c r="J18" s="1" t="s">
        <v>66</v>
      </c>
    </row>
    <row r="19" spans="2:10" x14ac:dyDescent="0.3">
      <c r="B19" s="6" t="s">
        <v>21</v>
      </c>
      <c r="C19" s="22"/>
      <c r="D19" s="22"/>
      <c r="E19" s="22"/>
      <c r="F19" s="22"/>
      <c r="G19" s="22"/>
      <c r="H19" s="67">
        <f t="shared" si="0"/>
        <v>44802</v>
      </c>
    </row>
    <row r="20" spans="2:10" x14ac:dyDescent="0.3">
      <c r="B20" s="6" t="s">
        <v>65</v>
      </c>
      <c r="C20" s="22"/>
      <c r="D20" s="22"/>
      <c r="E20" s="22"/>
      <c r="F20" s="22"/>
      <c r="G20" s="22"/>
      <c r="H20" s="12">
        <f t="shared" si="0"/>
        <v>44802</v>
      </c>
    </row>
    <row r="21" spans="2:10" x14ac:dyDescent="0.3">
      <c r="B21" s="6" t="s">
        <v>18</v>
      </c>
      <c r="C21" s="22"/>
      <c r="D21" s="62"/>
      <c r="E21" s="62"/>
      <c r="F21" s="62"/>
      <c r="G21" s="62"/>
      <c r="H21" s="12">
        <f t="shared" si="0"/>
        <v>44802</v>
      </c>
    </row>
    <row r="22" spans="2:10" x14ac:dyDescent="0.3">
      <c r="B22" s="6" t="s">
        <v>16</v>
      </c>
      <c r="C22" s="55">
        <v>324000</v>
      </c>
      <c r="D22" s="22"/>
      <c r="E22" s="62"/>
      <c r="F22" s="62"/>
      <c r="G22" s="22"/>
      <c r="H22" s="12">
        <f t="shared" si="0"/>
        <v>44802</v>
      </c>
    </row>
    <row r="23" spans="2:10" x14ac:dyDescent="0.3">
      <c r="B23" s="50" t="s">
        <v>27</v>
      </c>
      <c r="C23" s="51">
        <f>SUM(August29_2022[KSI_AGO])</f>
        <v>1774000</v>
      </c>
      <c r="D23" s="51">
        <f>SUBTOTAL(109,August29_2022[KSI_PMS])</f>
        <v>1238000</v>
      </c>
      <c r="E23" s="51">
        <f>SUM(August29_2022[BUIPE_AGO])</f>
        <v>0</v>
      </c>
      <c r="F23" s="51">
        <f>SUM(August29_2022[BUIPE_PMS])</f>
        <v>580500</v>
      </c>
      <c r="G23" s="51">
        <f>SUM(August29_2022[AKOSOMBO_AGO])</f>
        <v>540000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7296D43A-EBA1-4B89-BFC0-7525DEE2045A}">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3D9C-7FDE-47B3-A174-48FAFE241757}">
  <dimension ref="B1:K24"/>
  <sheetViews>
    <sheetView zoomScaleNormal="100" workbookViewId="0">
      <pane xSplit="2" ySplit="5" topLeftCell="F6" activePane="bottomRight" state="frozen"/>
      <selection pane="topRight" activeCell="C1" sqref="C1"/>
      <selection pane="bottomLeft" activeCell="A6" sqref="A6"/>
      <selection pane="bottomRight" activeCell="G8" sqref="G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44803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44803</v>
      </c>
    </row>
    <row r="7" spans="2:11" ht="16.5" customHeight="1" x14ac:dyDescent="0.3">
      <c r="B7" s="6" t="s">
        <v>37</v>
      </c>
      <c r="C7" s="57"/>
      <c r="D7" s="62"/>
      <c r="E7" s="62"/>
      <c r="F7" s="62"/>
      <c r="G7" s="62"/>
      <c r="H7" s="67">
        <f t="shared" si="0"/>
        <v>44803</v>
      </c>
    </row>
    <row r="8" spans="2:11" x14ac:dyDescent="0.3">
      <c r="B8" s="6" t="s">
        <v>17</v>
      </c>
      <c r="C8" s="22"/>
      <c r="D8" s="22"/>
      <c r="E8" s="22"/>
      <c r="F8" s="22"/>
      <c r="G8" s="22"/>
      <c r="H8" s="12">
        <f t="shared" si="0"/>
        <v>44803</v>
      </c>
    </row>
    <row r="9" spans="2:11" ht="15.6" x14ac:dyDescent="0.3">
      <c r="B9" s="34" t="s">
        <v>0</v>
      </c>
      <c r="C9" s="57"/>
      <c r="D9" s="57">
        <v>810000</v>
      </c>
      <c r="E9" s="60"/>
      <c r="F9" s="60">
        <v>261000</v>
      </c>
      <c r="G9" s="60"/>
      <c r="H9" s="12">
        <f t="shared" si="0"/>
        <v>44803</v>
      </c>
    </row>
    <row r="10" spans="2:11" x14ac:dyDescent="0.3">
      <c r="B10" s="6" t="s">
        <v>25</v>
      </c>
      <c r="C10" s="22"/>
      <c r="D10" s="22"/>
      <c r="E10" s="22"/>
      <c r="F10" s="22"/>
      <c r="G10" s="22"/>
      <c r="H10" s="12">
        <f t="shared" si="0"/>
        <v>44803</v>
      </c>
    </row>
    <row r="11" spans="2:11" x14ac:dyDescent="0.3">
      <c r="B11" s="6" t="s">
        <v>15</v>
      </c>
      <c r="C11" s="22">
        <v>432000</v>
      </c>
      <c r="D11" s="22"/>
      <c r="E11" s="22"/>
      <c r="F11" s="22"/>
      <c r="G11" s="22"/>
      <c r="H11" s="12">
        <f t="shared" si="0"/>
        <v>44803</v>
      </c>
    </row>
    <row r="12" spans="2:11" x14ac:dyDescent="0.3">
      <c r="B12" s="6" t="s">
        <v>54</v>
      </c>
      <c r="C12" s="22"/>
      <c r="D12" s="22"/>
      <c r="E12" s="22"/>
      <c r="F12" s="22"/>
      <c r="G12" s="22"/>
      <c r="H12" s="67">
        <f t="shared" si="0"/>
        <v>44803</v>
      </c>
    </row>
    <row r="13" spans="2:11" x14ac:dyDescent="0.3">
      <c r="B13" s="6" t="s">
        <v>26</v>
      </c>
      <c r="C13" s="22">
        <v>374000</v>
      </c>
      <c r="D13" s="22"/>
      <c r="E13" s="22"/>
      <c r="F13" s="22"/>
      <c r="G13" s="22"/>
      <c r="H13" s="12">
        <f t="shared" si="0"/>
        <v>44803</v>
      </c>
    </row>
    <row r="14" spans="2:11" x14ac:dyDescent="0.3">
      <c r="B14" s="6" t="s">
        <v>22</v>
      </c>
      <c r="C14" s="22">
        <v>432000</v>
      </c>
      <c r="D14" s="22"/>
      <c r="E14" s="22"/>
      <c r="F14" s="22"/>
      <c r="G14" s="22"/>
      <c r="H14" s="12">
        <f t="shared" si="0"/>
        <v>44803</v>
      </c>
      <c r="K14" s="4"/>
    </row>
    <row r="15" spans="2:11" x14ac:dyDescent="0.3">
      <c r="B15" s="6" t="s">
        <v>61</v>
      </c>
      <c r="C15" s="22"/>
      <c r="D15" s="22"/>
      <c r="E15" s="22"/>
      <c r="F15" s="22"/>
      <c r="G15" s="22"/>
      <c r="H15" s="67">
        <f t="shared" si="0"/>
        <v>44803</v>
      </c>
      <c r="K15" s="4"/>
    </row>
    <row r="16" spans="2:11" x14ac:dyDescent="0.3">
      <c r="B16" s="6" t="s">
        <v>19</v>
      </c>
      <c r="C16" s="22"/>
      <c r="D16" s="22">
        <v>288000</v>
      </c>
      <c r="E16" s="23"/>
      <c r="F16" s="22"/>
      <c r="G16" s="22"/>
      <c r="H16" s="12">
        <f t="shared" si="0"/>
        <v>44803</v>
      </c>
    </row>
    <row r="17" spans="2:10" x14ac:dyDescent="0.3">
      <c r="B17" s="6" t="s">
        <v>14</v>
      </c>
      <c r="C17" s="22">
        <v>756000</v>
      </c>
      <c r="D17" s="22">
        <v>482000</v>
      </c>
      <c r="E17" s="22">
        <v>365000</v>
      </c>
      <c r="F17" s="23"/>
      <c r="G17" s="22">
        <v>486000</v>
      </c>
      <c r="H17" s="12">
        <f t="shared" si="0"/>
        <v>44803</v>
      </c>
    </row>
    <row r="18" spans="2:10" x14ac:dyDescent="0.3">
      <c r="B18" s="6" t="s">
        <v>24</v>
      </c>
      <c r="C18" s="22"/>
      <c r="D18" s="22"/>
      <c r="E18" s="22"/>
      <c r="F18" s="49"/>
      <c r="G18" s="22"/>
      <c r="H18" s="12">
        <f t="shared" si="0"/>
        <v>44803</v>
      </c>
      <c r="J18" s="1" t="s">
        <v>66</v>
      </c>
    </row>
    <row r="19" spans="2:10" x14ac:dyDescent="0.3">
      <c r="B19" s="6" t="s">
        <v>21</v>
      </c>
      <c r="C19" s="22"/>
      <c r="D19" s="22"/>
      <c r="E19" s="22"/>
      <c r="F19" s="22"/>
      <c r="G19" s="22"/>
      <c r="H19" s="67">
        <f t="shared" si="0"/>
        <v>44803</v>
      </c>
    </row>
    <row r="20" spans="2:10" x14ac:dyDescent="0.3">
      <c r="B20" s="6" t="s">
        <v>65</v>
      </c>
      <c r="C20" s="22"/>
      <c r="D20" s="22"/>
      <c r="E20" s="22"/>
      <c r="F20" s="22"/>
      <c r="G20" s="22"/>
      <c r="H20" s="12">
        <f t="shared" si="0"/>
        <v>44803</v>
      </c>
    </row>
    <row r="21" spans="2:10" x14ac:dyDescent="0.3">
      <c r="B21" s="6" t="s">
        <v>18</v>
      </c>
      <c r="C21" s="22"/>
      <c r="D21" s="62"/>
      <c r="E21" s="62"/>
      <c r="F21" s="62"/>
      <c r="G21" s="62"/>
      <c r="H21" s="12">
        <f t="shared" si="0"/>
        <v>44803</v>
      </c>
    </row>
    <row r="22" spans="2:10" x14ac:dyDescent="0.3">
      <c r="B22" s="6" t="s">
        <v>16</v>
      </c>
      <c r="C22" s="55">
        <v>324000</v>
      </c>
      <c r="D22" s="22"/>
      <c r="E22" s="62"/>
      <c r="F22" s="62"/>
      <c r="G22" s="22"/>
      <c r="H22" s="12">
        <f t="shared" si="0"/>
        <v>44803</v>
      </c>
    </row>
    <row r="23" spans="2:10" x14ac:dyDescent="0.3">
      <c r="B23" s="50" t="s">
        <v>27</v>
      </c>
      <c r="C23" s="51">
        <f>SUM(August30_2022[KSI_AGO])</f>
        <v>2318000</v>
      </c>
      <c r="D23" s="51">
        <f>SUBTOTAL(109,August30_2022[KSI_PMS])</f>
        <v>1580000</v>
      </c>
      <c r="E23" s="51">
        <f>SUM(August30_2022[BUIPE_AGO])</f>
        <v>365000</v>
      </c>
      <c r="F23" s="51">
        <f>SUM(August30_2022[BUIPE_PMS])</f>
        <v>261000</v>
      </c>
      <c r="G23" s="51">
        <f>SUM(August30_2022[AKOSOMBO_AGO])</f>
        <v>486000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7C73177A-C979-4131-970F-D6279FDC3710}">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ADC6E-EC13-42AF-98CD-45975059EE3B}">
  <dimension ref="B1:K24"/>
  <sheetViews>
    <sheetView zoomScaleNormal="100" workbookViewId="0">
      <pane xSplit="2" ySplit="5" topLeftCell="D6" activePane="bottomRight" state="frozen"/>
      <selection pane="topRight" activeCell="C1" sqref="C1"/>
      <selection pane="bottomLeft" activeCell="A6" sqref="A6"/>
      <selection pane="bottomRight" activeCell="F17" sqref="F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44804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44804</v>
      </c>
    </row>
    <row r="7" spans="2:11" ht="16.5" customHeight="1" x14ac:dyDescent="0.3">
      <c r="B7" s="6" t="s">
        <v>37</v>
      </c>
      <c r="C7" s="57"/>
      <c r="D7" s="62"/>
      <c r="E7" s="62"/>
      <c r="F7" s="62"/>
      <c r="G7" s="62"/>
      <c r="H7" s="67">
        <f t="shared" si="0"/>
        <v>44804</v>
      </c>
    </row>
    <row r="8" spans="2:11" x14ac:dyDescent="0.3">
      <c r="B8" s="6" t="s">
        <v>17</v>
      </c>
      <c r="C8" s="22"/>
      <c r="D8" s="22"/>
      <c r="E8" s="22"/>
      <c r="F8" s="22"/>
      <c r="G8" s="22"/>
      <c r="H8" s="12">
        <f t="shared" si="0"/>
        <v>44804</v>
      </c>
    </row>
    <row r="9" spans="2:11" ht="15.6" x14ac:dyDescent="0.3">
      <c r="B9" s="34" t="s">
        <v>0</v>
      </c>
      <c r="C9" s="57"/>
      <c r="D9" s="57">
        <v>1134000</v>
      </c>
      <c r="E9" s="60"/>
      <c r="F9" s="60">
        <v>49500</v>
      </c>
      <c r="G9" s="60"/>
      <c r="H9" s="12">
        <f t="shared" si="0"/>
        <v>44804</v>
      </c>
    </row>
    <row r="10" spans="2:11" x14ac:dyDescent="0.3">
      <c r="B10" s="6" t="s">
        <v>25</v>
      </c>
      <c r="C10" s="22"/>
      <c r="D10" s="22"/>
      <c r="E10" s="22"/>
      <c r="F10" s="22"/>
      <c r="G10" s="22"/>
      <c r="H10" s="12">
        <f t="shared" si="0"/>
        <v>44804</v>
      </c>
    </row>
    <row r="11" spans="2:11" x14ac:dyDescent="0.3">
      <c r="B11" s="6" t="s">
        <v>15</v>
      </c>
      <c r="C11" s="22">
        <v>104000</v>
      </c>
      <c r="D11" s="22"/>
      <c r="E11" s="22"/>
      <c r="F11" s="22"/>
      <c r="G11" s="22"/>
      <c r="H11" s="12">
        <f t="shared" si="0"/>
        <v>44804</v>
      </c>
    </row>
    <row r="12" spans="2:11" x14ac:dyDescent="0.3">
      <c r="B12" s="6" t="s">
        <v>54</v>
      </c>
      <c r="C12" s="22"/>
      <c r="D12" s="22"/>
      <c r="E12" s="22"/>
      <c r="F12" s="22"/>
      <c r="G12" s="22"/>
      <c r="H12" s="67">
        <f t="shared" si="0"/>
        <v>44804</v>
      </c>
    </row>
    <row r="13" spans="2:11" x14ac:dyDescent="0.3">
      <c r="B13" s="6" t="s">
        <v>26</v>
      </c>
      <c r="C13" s="22"/>
      <c r="D13" s="22"/>
      <c r="E13" s="22"/>
      <c r="F13" s="22"/>
      <c r="G13" s="22"/>
      <c r="H13" s="12">
        <f t="shared" si="0"/>
        <v>44804</v>
      </c>
    </row>
    <row r="14" spans="2:11" x14ac:dyDescent="0.3">
      <c r="B14" s="6" t="s">
        <v>22</v>
      </c>
      <c r="C14" s="22">
        <v>701500</v>
      </c>
      <c r="D14" s="22"/>
      <c r="E14" s="22"/>
      <c r="F14" s="22"/>
      <c r="G14" s="22"/>
      <c r="H14" s="12">
        <f t="shared" si="0"/>
        <v>44804</v>
      </c>
      <c r="K14" s="4"/>
    </row>
    <row r="15" spans="2:11" x14ac:dyDescent="0.3">
      <c r="B15" s="6" t="s">
        <v>61</v>
      </c>
      <c r="C15" s="22"/>
      <c r="D15" s="22"/>
      <c r="E15" s="22"/>
      <c r="F15" s="22"/>
      <c r="G15" s="22"/>
      <c r="H15" s="67">
        <f t="shared" si="0"/>
        <v>44804</v>
      </c>
      <c r="K15" s="4"/>
    </row>
    <row r="16" spans="2:11" x14ac:dyDescent="0.3">
      <c r="B16" s="6" t="s">
        <v>19</v>
      </c>
      <c r="C16" s="22"/>
      <c r="D16" s="22">
        <v>216000</v>
      </c>
      <c r="E16" s="23"/>
      <c r="F16" s="22"/>
      <c r="G16" s="22"/>
      <c r="H16" s="12">
        <f t="shared" si="0"/>
        <v>44804</v>
      </c>
    </row>
    <row r="17" spans="2:10" x14ac:dyDescent="0.3">
      <c r="B17" s="6" t="s">
        <v>14</v>
      </c>
      <c r="C17" s="22">
        <v>1296000</v>
      </c>
      <c r="D17" s="22">
        <v>99500</v>
      </c>
      <c r="E17" s="22">
        <v>90000</v>
      </c>
      <c r="F17" s="23"/>
      <c r="G17" s="22">
        <v>468000</v>
      </c>
      <c r="H17" s="12">
        <f t="shared" si="0"/>
        <v>44804</v>
      </c>
    </row>
    <row r="18" spans="2:10" x14ac:dyDescent="0.3">
      <c r="B18" s="6" t="s">
        <v>24</v>
      </c>
      <c r="C18" s="22"/>
      <c r="D18" s="22"/>
      <c r="E18" s="22"/>
      <c r="F18" s="49"/>
      <c r="G18" s="22"/>
      <c r="H18" s="12">
        <f t="shared" si="0"/>
        <v>44804</v>
      </c>
      <c r="J18" s="1" t="s">
        <v>66</v>
      </c>
    </row>
    <row r="19" spans="2:10" x14ac:dyDescent="0.3">
      <c r="B19" s="6" t="s">
        <v>21</v>
      </c>
      <c r="C19" s="22"/>
      <c r="D19" s="22"/>
      <c r="E19" s="22"/>
      <c r="F19" s="22"/>
      <c r="G19" s="22"/>
      <c r="H19" s="67">
        <f t="shared" si="0"/>
        <v>44804</v>
      </c>
    </row>
    <row r="20" spans="2:10" x14ac:dyDescent="0.3">
      <c r="B20" s="6" t="s">
        <v>65</v>
      </c>
      <c r="C20" s="22"/>
      <c r="D20" s="22"/>
      <c r="E20" s="22"/>
      <c r="F20" s="22"/>
      <c r="G20" s="22"/>
      <c r="H20" s="12">
        <f t="shared" si="0"/>
        <v>44804</v>
      </c>
    </row>
    <row r="21" spans="2:10" x14ac:dyDescent="0.3">
      <c r="B21" s="6" t="s">
        <v>18</v>
      </c>
      <c r="C21" s="22"/>
      <c r="D21" s="62"/>
      <c r="E21" s="62"/>
      <c r="F21" s="62"/>
      <c r="G21" s="62"/>
      <c r="H21" s="12">
        <f t="shared" si="0"/>
        <v>44804</v>
      </c>
    </row>
    <row r="22" spans="2:10" x14ac:dyDescent="0.3">
      <c r="B22" s="6" t="s">
        <v>16</v>
      </c>
      <c r="C22" s="55">
        <v>162000</v>
      </c>
      <c r="D22" s="22"/>
      <c r="E22" s="62"/>
      <c r="F22" s="62"/>
      <c r="G22" s="22"/>
      <c r="H22" s="12">
        <f t="shared" si="0"/>
        <v>44804</v>
      </c>
    </row>
    <row r="23" spans="2:10" x14ac:dyDescent="0.3">
      <c r="B23" s="50" t="s">
        <v>27</v>
      </c>
      <c r="C23" s="51">
        <f>SUM(August31_2022[KSI_AGO])</f>
        <v>2263500</v>
      </c>
      <c r="D23" s="51">
        <f>SUBTOTAL(109,August31_2022[KSI_PMS])</f>
        <v>1449500</v>
      </c>
      <c r="E23" s="51">
        <f>SUM(August31_2022[BUIPE_AGO])</f>
        <v>90000</v>
      </c>
      <c r="F23" s="51">
        <f>SUM(August31_2022[BUIPE_PMS])</f>
        <v>49500</v>
      </c>
      <c r="G23" s="51">
        <f>SUM(August31_2022[AKOSOMBO_AGO])</f>
        <v>468000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3324F85A-A9B1-49CA-8807-B96812AE9BB2}">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E363D-1A96-4B31-8437-99FC43505015}">
  <dimension ref="B1:K24"/>
  <sheetViews>
    <sheetView zoomScaleNormal="100" workbookViewId="0">
      <pane xSplit="2" ySplit="5" topLeftCell="C6" activePane="bottomRight" state="frozen"/>
      <selection pane="topRight" activeCell="C1" sqref="C1"/>
      <selection pane="bottomLeft" activeCell="A6" sqref="A6"/>
      <selection pane="bottomRight" activeCell="G28" sqref="G2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44806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v>54000</v>
      </c>
      <c r="E6" s="45"/>
      <c r="F6" s="45"/>
      <c r="G6" s="45"/>
      <c r="H6" s="12">
        <f t="shared" ref="H6:H22" si="0">$G$3</f>
        <v>44806</v>
      </c>
    </row>
    <row r="7" spans="2:11" ht="16.5" customHeight="1" x14ac:dyDescent="0.3">
      <c r="B7" s="6" t="s">
        <v>37</v>
      </c>
      <c r="C7" s="57"/>
      <c r="D7" s="62">
        <v>45000</v>
      </c>
      <c r="E7" s="62"/>
      <c r="F7" s="62"/>
      <c r="G7" s="62"/>
      <c r="H7" s="67">
        <f t="shared" si="0"/>
        <v>44806</v>
      </c>
    </row>
    <row r="8" spans="2:11" x14ac:dyDescent="0.3">
      <c r="B8" s="6" t="s">
        <v>17</v>
      </c>
      <c r="C8" s="22"/>
      <c r="D8" s="22"/>
      <c r="E8" s="22"/>
      <c r="F8" s="22"/>
      <c r="G8" s="22"/>
      <c r="H8" s="12">
        <f t="shared" si="0"/>
        <v>44806</v>
      </c>
    </row>
    <row r="9" spans="2:11" ht="15.6" x14ac:dyDescent="0.3">
      <c r="B9" s="34" t="s">
        <v>0</v>
      </c>
      <c r="C9" s="57"/>
      <c r="D9" s="57">
        <v>324000</v>
      </c>
      <c r="E9" s="60"/>
      <c r="F9" s="60">
        <v>153000</v>
      </c>
      <c r="G9" s="60"/>
      <c r="H9" s="12">
        <f t="shared" si="0"/>
        <v>44806</v>
      </c>
    </row>
    <row r="10" spans="2:11" x14ac:dyDescent="0.3">
      <c r="B10" s="6" t="s">
        <v>25</v>
      </c>
      <c r="C10" s="22"/>
      <c r="D10" s="22"/>
      <c r="E10" s="22"/>
      <c r="F10" s="22"/>
      <c r="G10" s="22"/>
      <c r="H10" s="12">
        <f t="shared" si="0"/>
        <v>44806</v>
      </c>
    </row>
    <row r="11" spans="2:11" x14ac:dyDescent="0.3">
      <c r="B11" s="6" t="s">
        <v>15</v>
      </c>
      <c r="C11" s="22">
        <v>212000</v>
      </c>
      <c r="D11" s="22"/>
      <c r="E11" s="22"/>
      <c r="F11" s="22"/>
      <c r="G11" s="22"/>
      <c r="H11" s="12">
        <f t="shared" si="0"/>
        <v>44806</v>
      </c>
    </row>
    <row r="12" spans="2:11" x14ac:dyDescent="0.3">
      <c r="B12" s="6" t="s">
        <v>54</v>
      </c>
      <c r="C12" s="22"/>
      <c r="D12" s="22"/>
      <c r="E12" s="22"/>
      <c r="F12" s="22"/>
      <c r="G12" s="22"/>
      <c r="H12" s="67">
        <f t="shared" si="0"/>
        <v>44806</v>
      </c>
    </row>
    <row r="13" spans="2:11" x14ac:dyDescent="0.3">
      <c r="B13" s="6" t="s">
        <v>26</v>
      </c>
      <c r="C13" s="22">
        <v>49500</v>
      </c>
      <c r="D13" s="22"/>
      <c r="E13" s="22"/>
      <c r="F13" s="22"/>
      <c r="G13" s="22"/>
      <c r="H13" s="12">
        <f t="shared" si="0"/>
        <v>44806</v>
      </c>
    </row>
    <row r="14" spans="2:11" x14ac:dyDescent="0.3">
      <c r="B14" s="6" t="s">
        <v>22</v>
      </c>
      <c r="C14" s="22">
        <v>540000</v>
      </c>
      <c r="D14" s="22"/>
      <c r="E14" s="22"/>
      <c r="F14" s="22"/>
      <c r="G14" s="22"/>
      <c r="H14" s="12">
        <f t="shared" si="0"/>
        <v>44806</v>
      </c>
      <c r="K14" s="4"/>
    </row>
    <row r="15" spans="2:11" x14ac:dyDescent="0.3">
      <c r="B15" s="6" t="s">
        <v>61</v>
      </c>
      <c r="C15" s="22"/>
      <c r="D15" s="22"/>
      <c r="E15" s="22"/>
      <c r="F15" s="22"/>
      <c r="G15" s="22"/>
      <c r="H15" s="67">
        <f t="shared" si="0"/>
        <v>44806</v>
      </c>
      <c r="K15" s="4"/>
    </row>
    <row r="16" spans="2:11" x14ac:dyDescent="0.3">
      <c r="B16" s="6" t="s">
        <v>19</v>
      </c>
      <c r="C16" s="22"/>
      <c r="D16" s="22"/>
      <c r="E16" s="23"/>
      <c r="F16" s="22"/>
      <c r="G16" s="22"/>
      <c r="H16" s="12">
        <f t="shared" si="0"/>
        <v>44806</v>
      </c>
    </row>
    <row r="17" spans="2:10" x14ac:dyDescent="0.3">
      <c r="B17" s="6" t="s">
        <v>14</v>
      </c>
      <c r="C17" s="22">
        <v>1080000</v>
      </c>
      <c r="D17" s="22">
        <v>104000</v>
      </c>
      <c r="E17" s="22">
        <v>45000</v>
      </c>
      <c r="F17" s="23"/>
      <c r="G17" s="22">
        <v>585000</v>
      </c>
      <c r="H17" s="12">
        <f t="shared" si="0"/>
        <v>44806</v>
      </c>
    </row>
    <row r="18" spans="2:10" x14ac:dyDescent="0.3">
      <c r="B18" s="6" t="s">
        <v>24</v>
      </c>
      <c r="C18" s="22"/>
      <c r="D18" s="22"/>
      <c r="E18" s="22"/>
      <c r="F18" s="49"/>
      <c r="G18" s="22"/>
      <c r="H18" s="12">
        <f t="shared" si="0"/>
        <v>44806</v>
      </c>
      <c r="J18" s="1" t="s">
        <v>66</v>
      </c>
    </row>
    <row r="19" spans="2:10" x14ac:dyDescent="0.3">
      <c r="B19" s="6" t="s">
        <v>21</v>
      </c>
      <c r="C19" s="22"/>
      <c r="D19" s="22"/>
      <c r="E19" s="22"/>
      <c r="F19" s="22"/>
      <c r="G19" s="22"/>
      <c r="H19" s="67">
        <f t="shared" si="0"/>
        <v>44806</v>
      </c>
    </row>
    <row r="20" spans="2:10" x14ac:dyDescent="0.3">
      <c r="B20" s="6" t="s">
        <v>65</v>
      </c>
      <c r="C20" s="22"/>
      <c r="D20" s="22"/>
      <c r="E20" s="22"/>
      <c r="F20" s="22"/>
      <c r="G20" s="22"/>
      <c r="H20" s="12">
        <f t="shared" si="0"/>
        <v>44806</v>
      </c>
    </row>
    <row r="21" spans="2:10" x14ac:dyDescent="0.3">
      <c r="B21" s="6" t="s">
        <v>18</v>
      </c>
      <c r="C21" s="22"/>
      <c r="D21" s="62"/>
      <c r="E21" s="62"/>
      <c r="F21" s="62"/>
      <c r="G21" s="62"/>
      <c r="H21" s="12">
        <f t="shared" si="0"/>
        <v>44806</v>
      </c>
    </row>
    <row r="22" spans="2:10" x14ac:dyDescent="0.3">
      <c r="B22" s="6" t="s">
        <v>16</v>
      </c>
      <c r="C22" s="55">
        <v>54000</v>
      </c>
      <c r="D22" s="22">
        <v>162000</v>
      </c>
      <c r="E22" s="62"/>
      <c r="F22" s="62"/>
      <c r="G22" s="22"/>
      <c r="H22" s="12">
        <f t="shared" si="0"/>
        <v>44806</v>
      </c>
    </row>
    <row r="23" spans="2:10" x14ac:dyDescent="0.3">
      <c r="B23" s="50" t="s">
        <v>27</v>
      </c>
      <c r="C23" s="51">
        <f>SUM(Sept02_2022[KSI_AGO])</f>
        <v>1935500</v>
      </c>
      <c r="D23" s="51">
        <f>SUBTOTAL(109,Sept02_2022[KSI_PMS])</f>
        <v>689000</v>
      </c>
      <c r="E23" s="51">
        <f>SUM(Sept02_2022[BUIPE_AGO])</f>
        <v>45000</v>
      </c>
      <c r="F23" s="51">
        <f>SUM(Sept02_2022[BUIPE_PMS])</f>
        <v>153000</v>
      </c>
      <c r="G23" s="51">
        <f>SUM(Sept02_2022[AKOSOMBO_AGO])</f>
        <v>585000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BA3D8BC-8F46-4A12-B591-DBDF7BCE4AAC}">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3FCE-F8D5-4670-8495-EE5169ECAA42}">
  <dimension ref="B1:K24"/>
  <sheetViews>
    <sheetView zoomScaleNormal="100" workbookViewId="0">
      <pane xSplit="2" ySplit="5" topLeftCell="C7" activePane="bottomRight" state="frozen"/>
      <selection pane="topRight" activeCell="C1" sqref="C1"/>
      <selection pane="bottomLeft" activeCell="A6" sqref="A6"/>
      <selection pane="bottomRight" activeCell="E27" sqref="E2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44809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44809</v>
      </c>
    </row>
    <row r="7" spans="2:11" ht="16.5" customHeight="1" x14ac:dyDescent="0.3">
      <c r="B7" s="6" t="s">
        <v>37</v>
      </c>
      <c r="C7" s="57"/>
      <c r="D7" s="62"/>
      <c r="E7" s="62"/>
      <c r="F7" s="62"/>
      <c r="G7" s="62"/>
      <c r="H7" s="67">
        <f t="shared" si="0"/>
        <v>44809</v>
      </c>
    </row>
    <row r="8" spans="2:11" x14ac:dyDescent="0.3">
      <c r="B8" s="6" t="s">
        <v>17</v>
      </c>
      <c r="C8" s="22"/>
      <c r="D8" s="22"/>
      <c r="E8" s="22"/>
      <c r="F8" s="22"/>
      <c r="G8" s="22"/>
      <c r="H8" s="12">
        <f t="shared" si="0"/>
        <v>44809</v>
      </c>
    </row>
    <row r="9" spans="2:11" ht="15.6" x14ac:dyDescent="0.3">
      <c r="B9" s="34" t="s">
        <v>0</v>
      </c>
      <c r="C9" s="57"/>
      <c r="D9" s="57"/>
      <c r="E9" s="60"/>
      <c r="F9" s="60"/>
      <c r="G9" s="60"/>
      <c r="H9" s="12">
        <f t="shared" si="0"/>
        <v>44809</v>
      </c>
    </row>
    <row r="10" spans="2:11" x14ac:dyDescent="0.3">
      <c r="B10" s="6" t="s">
        <v>25</v>
      </c>
      <c r="C10" s="22"/>
      <c r="D10" s="22"/>
      <c r="E10" s="22"/>
      <c r="F10" s="22"/>
      <c r="G10" s="22"/>
      <c r="H10" s="12">
        <f t="shared" si="0"/>
        <v>44809</v>
      </c>
    </row>
    <row r="11" spans="2:11" x14ac:dyDescent="0.3">
      <c r="B11" s="6" t="s">
        <v>15</v>
      </c>
      <c r="C11" s="22">
        <v>54000</v>
      </c>
      <c r="D11" s="22"/>
      <c r="E11" s="22"/>
      <c r="F11" s="22"/>
      <c r="G11" s="22"/>
      <c r="H11" s="12">
        <f t="shared" si="0"/>
        <v>44809</v>
      </c>
    </row>
    <row r="12" spans="2:11" x14ac:dyDescent="0.3">
      <c r="B12" s="6" t="s">
        <v>54</v>
      </c>
      <c r="C12" s="22"/>
      <c r="D12" s="22"/>
      <c r="E12" s="22"/>
      <c r="F12" s="22"/>
      <c r="G12" s="22"/>
      <c r="H12" s="67">
        <f t="shared" si="0"/>
        <v>44809</v>
      </c>
    </row>
    <row r="13" spans="2:11" x14ac:dyDescent="0.3">
      <c r="B13" s="6" t="s">
        <v>26</v>
      </c>
      <c r="C13" s="22">
        <v>50000</v>
      </c>
      <c r="D13" s="22"/>
      <c r="E13" s="22"/>
      <c r="F13" s="22"/>
      <c r="G13" s="22"/>
      <c r="H13" s="12">
        <f t="shared" si="0"/>
        <v>44809</v>
      </c>
    </row>
    <row r="14" spans="2:11" x14ac:dyDescent="0.3">
      <c r="B14" s="6" t="s">
        <v>22</v>
      </c>
      <c r="C14" s="22">
        <v>108000</v>
      </c>
      <c r="D14" s="22"/>
      <c r="E14" s="22"/>
      <c r="F14" s="22"/>
      <c r="G14" s="22"/>
      <c r="H14" s="12">
        <f t="shared" si="0"/>
        <v>44809</v>
      </c>
      <c r="K14" s="4"/>
    </row>
    <row r="15" spans="2:11" x14ac:dyDescent="0.3">
      <c r="B15" s="6" t="s">
        <v>61</v>
      </c>
      <c r="C15" s="22"/>
      <c r="D15" s="22"/>
      <c r="E15" s="22"/>
      <c r="F15" s="22"/>
      <c r="G15" s="22"/>
      <c r="H15" s="67">
        <f t="shared" si="0"/>
        <v>44809</v>
      </c>
      <c r="K15" s="4"/>
    </row>
    <row r="16" spans="2:11" x14ac:dyDescent="0.3">
      <c r="B16" s="6" t="s">
        <v>19</v>
      </c>
      <c r="C16" s="22"/>
      <c r="D16" s="22"/>
      <c r="E16" s="23"/>
      <c r="F16" s="22"/>
      <c r="G16" s="22"/>
      <c r="H16" s="12">
        <f t="shared" si="0"/>
        <v>44809</v>
      </c>
    </row>
    <row r="17" spans="2:10" x14ac:dyDescent="0.3">
      <c r="B17" s="6" t="s">
        <v>14</v>
      </c>
      <c r="C17" s="22">
        <v>1827000</v>
      </c>
      <c r="D17" s="22">
        <v>54000</v>
      </c>
      <c r="E17" s="22"/>
      <c r="F17" s="23"/>
      <c r="G17" s="22">
        <v>540000</v>
      </c>
      <c r="H17" s="12">
        <f t="shared" si="0"/>
        <v>44809</v>
      </c>
    </row>
    <row r="18" spans="2:10" x14ac:dyDescent="0.3">
      <c r="B18" s="6" t="s">
        <v>24</v>
      </c>
      <c r="C18" s="22"/>
      <c r="D18" s="22"/>
      <c r="E18" s="22"/>
      <c r="F18" s="49"/>
      <c r="G18" s="22"/>
      <c r="H18" s="12">
        <f t="shared" si="0"/>
        <v>44809</v>
      </c>
      <c r="J18" s="1" t="s">
        <v>66</v>
      </c>
    </row>
    <row r="19" spans="2:10" x14ac:dyDescent="0.3">
      <c r="B19" s="6" t="s">
        <v>21</v>
      </c>
      <c r="C19" s="22"/>
      <c r="D19" s="22"/>
      <c r="E19" s="22"/>
      <c r="F19" s="22"/>
      <c r="G19" s="22"/>
      <c r="H19" s="67">
        <f t="shared" si="0"/>
        <v>44809</v>
      </c>
    </row>
    <row r="20" spans="2:10" x14ac:dyDescent="0.3">
      <c r="B20" s="6" t="s">
        <v>65</v>
      </c>
      <c r="C20" s="22"/>
      <c r="D20" s="22"/>
      <c r="E20" s="22"/>
      <c r="F20" s="22"/>
      <c r="G20" s="22"/>
      <c r="H20" s="12">
        <f t="shared" si="0"/>
        <v>44809</v>
      </c>
    </row>
    <row r="21" spans="2:10" x14ac:dyDescent="0.3">
      <c r="B21" s="6" t="s">
        <v>18</v>
      </c>
      <c r="C21" s="22"/>
      <c r="D21" s="62"/>
      <c r="E21" s="62"/>
      <c r="F21" s="62"/>
      <c r="G21" s="62"/>
      <c r="H21" s="12">
        <f t="shared" si="0"/>
        <v>44809</v>
      </c>
    </row>
    <row r="22" spans="2:10" x14ac:dyDescent="0.3">
      <c r="B22" s="6" t="s">
        <v>16</v>
      </c>
      <c r="C22" s="55"/>
      <c r="D22" s="22">
        <v>486000</v>
      </c>
      <c r="E22" s="62"/>
      <c r="F22" s="62">
        <v>162000</v>
      </c>
      <c r="G22" s="22"/>
      <c r="H22" s="12">
        <f t="shared" si="0"/>
        <v>44809</v>
      </c>
    </row>
    <row r="23" spans="2:10" x14ac:dyDescent="0.3">
      <c r="B23" s="50" t="s">
        <v>27</v>
      </c>
      <c r="C23" s="51">
        <f>SUM(Sept05_2022[KSI_AGO])</f>
        <v>2039000</v>
      </c>
      <c r="D23" s="51">
        <f>SUBTOTAL(109,Sept05_2022[KSI_PMS])</f>
        <v>540000</v>
      </c>
      <c r="E23" s="51">
        <f>SUM(Sept05_2022[BUIPE_AGO])</f>
        <v>0</v>
      </c>
      <c r="F23" s="51">
        <f>SUM(Sept05_2022[BUIPE_PMS])</f>
        <v>162000</v>
      </c>
      <c r="G23" s="51">
        <f>SUM(Sept05_2022[AKOSOMBO_AGO])</f>
        <v>540000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1E266BBF-C859-4CD4-A234-305AC1013AEA}">
      <formula1>INDIRECT("BDC_List[BDC List]")</formula1>
    </dataValidation>
  </dataValidations>
  <pageMargins left="0.7" right="0.7" top="0.75" bottom="0.75" header="0.3" footer="0.3"/>
  <pageSetup orientation="portrait" horizontalDpi="4294967295" verticalDpi="4294967295" r:id="rId1"/>
  <drawing r:id="rId2"/>
  <tableParts count="1">
    <tablePart r:id="rId3"/>
  </tableParts>
</worksheet>
</file>

<file path=xl/worksheets/sheet6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1EFD-C314-4080-B487-3A048A37BD36}">
  <dimension ref="B1:K24"/>
  <sheetViews>
    <sheetView zoomScaleNormal="100" workbookViewId="0">
      <pane xSplit="2" ySplit="5" topLeftCell="F9" activePane="bottomRight" state="frozen"/>
      <selection pane="topRight" activeCell="C1" sqref="C1"/>
      <selection pane="bottomLeft" activeCell="A6" sqref="A6"/>
      <selection pane="bottomRight" activeCell="G12" sqref="G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44810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44810</v>
      </c>
    </row>
    <row r="7" spans="2:11" ht="16.5" customHeight="1" x14ac:dyDescent="0.3">
      <c r="B7" s="6" t="s">
        <v>37</v>
      </c>
      <c r="C7" s="57"/>
      <c r="D7" s="62"/>
      <c r="E7" s="62"/>
      <c r="F7" s="62"/>
      <c r="G7" s="62"/>
      <c r="H7" s="67">
        <f t="shared" si="0"/>
        <v>44810</v>
      </c>
    </row>
    <row r="8" spans="2:11" x14ac:dyDescent="0.3">
      <c r="B8" s="6" t="s">
        <v>17</v>
      </c>
      <c r="C8" s="22"/>
      <c r="D8" s="22"/>
      <c r="E8" s="22"/>
      <c r="F8" s="22"/>
      <c r="G8" s="22"/>
      <c r="H8" s="12">
        <f t="shared" si="0"/>
        <v>44810</v>
      </c>
    </row>
    <row r="9" spans="2:11" ht="15.6" x14ac:dyDescent="0.3">
      <c r="B9" s="34" t="s">
        <v>0</v>
      </c>
      <c r="C9" s="57"/>
      <c r="D9" s="57"/>
      <c r="E9" s="60"/>
      <c r="F9" s="60"/>
      <c r="G9" s="60"/>
      <c r="H9" s="12">
        <f t="shared" si="0"/>
        <v>44810</v>
      </c>
    </row>
    <row r="10" spans="2:11" x14ac:dyDescent="0.3">
      <c r="B10" s="6" t="s">
        <v>25</v>
      </c>
      <c r="C10" s="22"/>
      <c r="D10" s="22"/>
      <c r="E10" s="22"/>
      <c r="F10" s="22"/>
      <c r="G10" s="22"/>
      <c r="H10" s="12">
        <f t="shared" si="0"/>
        <v>44810</v>
      </c>
    </row>
    <row r="11" spans="2:11" x14ac:dyDescent="0.3">
      <c r="B11" s="6" t="s">
        <v>15</v>
      </c>
      <c r="C11" s="22">
        <v>594000</v>
      </c>
      <c r="D11" s="22"/>
      <c r="E11" s="22">
        <v>162000</v>
      </c>
      <c r="F11" s="22"/>
      <c r="G11" s="22"/>
      <c r="H11" s="12">
        <f t="shared" si="0"/>
        <v>44810</v>
      </c>
    </row>
    <row r="12" spans="2:11" x14ac:dyDescent="0.3">
      <c r="B12" s="6" t="s">
        <v>54</v>
      </c>
      <c r="C12" s="22"/>
      <c r="D12" s="22"/>
      <c r="E12" s="22"/>
      <c r="F12" s="22"/>
      <c r="G12" s="22"/>
      <c r="H12" s="67">
        <f t="shared" si="0"/>
        <v>44810</v>
      </c>
    </row>
    <row r="13" spans="2:11" x14ac:dyDescent="0.3">
      <c r="B13" s="6" t="s">
        <v>26</v>
      </c>
      <c r="C13" s="22"/>
      <c r="D13" s="22"/>
      <c r="E13" s="22"/>
      <c r="F13" s="22"/>
      <c r="G13" s="22"/>
      <c r="H13" s="12">
        <f t="shared" si="0"/>
        <v>44810</v>
      </c>
    </row>
    <row r="14" spans="2:11" x14ac:dyDescent="0.3">
      <c r="B14" s="6" t="s">
        <v>22</v>
      </c>
      <c r="C14" s="22"/>
      <c r="D14" s="22"/>
      <c r="E14" s="22"/>
      <c r="F14" s="22"/>
      <c r="G14" s="22"/>
      <c r="H14" s="12">
        <f t="shared" si="0"/>
        <v>44810</v>
      </c>
      <c r="K14" s="4"/>
    </row>
    <row r="15" spans="2:11" x14ac:dyDescent="0.3">
      <c r="B15" s="6" t="s">
        <v>61</v>
      </c>
      <c r="C15" s="22"/>
      <c r="D15" s="22"/>
      <c r="E15" s="22"/>
      <c r="F15" s="22"/>
      <c r="G15" s="22"/>
      <c r="H15" s="67">
        <f t="shared" si="0"/>
        <v>44810</v>
      </c>
      <c r="K15" s="4"/>
    </row>
    <row r="16" spans="2:11" x14ac:dyDescent="0.3">
      <c r="B16" s="6" t="s">
        <v>19</v>
      </c>
      <c r="C16" s="22">
        <v>540000</v>
      </c>
      <c r="D16" s="22"/>
      <c r="E16" s="23"/>
      <c r="F16" s="22"/>
      <c r="G16" s="22"/>
      <c r="H16" s="12">
        <f t="shared" si="0"/>
        <v>44810</v>
      </c>
    </row>
    <row r="17" spans="2:10" x14ac:dyDescent="0.3">
      <c r="B17" s="6" t="s">
        <v>14</v>
      </c>
      <c r="C17" s="22"/>
      <c r="D17" s="22"/>
      <c r="E17" s="22"/>
      <c r="F17" s="23"/>
      <c r="G17" s="22">
        <v>378000</v>
      </c>
      <c r="H17" s="12">
        <f t="shared" si="0"/>
        <v>44810</v>
      </c>
    </row>
    <row r="18" spans="2:10" x14ac:dyDescent="0.3">
      <c r="B18" s="6" t="s">
        <v>24</v>
      </c>
      <c r="C18" s="22"/>
      <c r="D18" s="22"/>
      <c r="E18" s="22"/>
      <c r="F18" s="49"/>
      <c r="G18" s="22"/>
      <c r="H18" s="12">
        <f t="shared" si="0"/>
        <v>44810</v>
      </c>
      <c r="J18" s="1" t="s">
        <v>66</v>
      </c>
    </row>
    <row r="19" spans="2:10" x14ac:dyDescent="0.3">
      <c r="B19" s="6" t="s">
        <v>21</v>
      </c>
      <c r="C19" s="22">
        <v>864000</v>
      </c>
      <c r="D19" s="22">
        <v>99000</v>
      </c>
      <c r="E19" s="22"/>
      <c r="F19" s="22"/>
      <c r="G19" s="22"/>
      <c r="H19" s="67">
        <f t="shared" si="0"/>
        <v>44810</v>
      </c>
    </row>
    <row r="20" spans="2:10" x14ac:dyDescent="0.3">
      <c r="B20" s="6" t="s">
        <v>65</v>
      </c>
      <c r="C20" s="22"/>
      <c r="D20" s="22"/>
      <c r="E20" s="22"/>
      <c r="F20" s="22"/>
      <c r="G20" s="22"/>
      <c r="H20" s="12">
        <f t="shared" si="0"/>
        <v>44810</v>
      </c>
    </row>
    <row r="21" spans="2:10" x14ac:dyDescent="0.3">
      <c r="B21" s="6" t="s">
        <v>18</v>
      </c>
      <c r="C21" s="22"/>
      <c r="D21" s="62"/>
      <c r="E21" s="62"/>
      <c r="F21" s="62"/>
      <c r="G21" s="62"/>
      <c r="H21" s="12">
        <f t="shared" si="0"/>
        <v>44810</v>
      </c>
    </row>
    <row r="22" spans="2:10" x14ac:dyDescent="0.3">
      <c r="B22" s="6" t="s">
        <v>16</v>
      </c>
      <c r="C22" s="55">
        <v>104000</v>
      </c>
      <c r="D22" s="22"/>
      <c r="E22" s="62"/>
      <c r="F22" s="62"/>
      <c r="G22" s="22"/>
      <c r="H22" s="12">
        <f t="shared" si="0"/>
        <v>44810</v>
      </c>
    </row>
    <row r="23" spans="2:10" x14ac:dyDescent="0.3">
      <c r="B23" s="50" t="s">
        <v>27</v>
      </c>
      <c r="C23" s="51">
        <f>SUM(Sept06_2022[KSI_AGO])</f>
        <v>2102000</v>
      </c>
      <c r="D23" s="51">
        <f>SUBTOTAL(109,Sept06_2022[KSI_PMS])</f>
        <v>99000</v>
      </c>
      <c r="E23" s="51">
        <f>SUM(Sept06_2022[BUIPE_AGO])</f>
        <v>162000</v>
      </c>
      <c r="F23" s="51">
        <f>SUM(Sept06_2022[BUIPE_PMS])</f>
        <v>0</v>
      </c>
      <c r="G23" s="51">
        <f>SUM(Sept06_2022[AKOSOMBO_AGO])</f>
        <v>378000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636EF6EA-3859-4D6F-BDCE-519717C26B48}">
      <formula1>INDIRECT("BDC_List[BDC List]")</formula1>
    </dataValidation>
  </dataValidations>
  <pageMargins left="0.7" right="0.7" top="0.75" bottom="0.75" header="0.3" footer="0.3"/>
  <pageSetup orientation="portrait" horizontalDpi="4294967295" verticalDpi="4294967295" r:id="rId1"/>
  <drawing r:id="rId2"/>
  <tableParts count="1">
    <tablePart r:id="rId3"/>
  </tableParts>
</worksheet>
</file>

<file path=xl/worksheets/sheet6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6220-B6D2-4ED7-A02F-4F10D2158492}">
  <dimension ref="B1:K24"/>
  <sheetViews>
    <sheetView zoomScaleNormal="100" workbookViewId="0">
      <pane xSplit="2" ySplit="5" topLeftCell="D6" activePane="bottomRight" state="frozen"/>
      <selection pane="topRight" activeCell="C1" sqref="C1"/>
      <selection pane="bottomLeft" activeCell="A6" sqref="A6"/>
      <selection pane="bottomRight" activeCell="G6" sqref="G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44811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44811</v>
      </c>
    </row>
    <row r="7" spans="2:11" ht="16.5" customHeight="1" x14ac:dyDescent="0.3">
      <c r="B7" s="6" t="s">
        <v>37</v>
      </c>
      <c r="C7" s="57"/>
      <c r="D7" s="62"/>
      <c r="E7" s="62"/>
      <c r="F7" s="62"/>
      <c r="G7" s="62"/>
      <c r="H7" s="67">
        <f t="shared" si="0"/>
        <v>44811</v>
      </c>
    </row>
    <row r="8" spans="2:11" x14ac:dyDescent="0.3">
      <c r="B8" s="6" t="s">
        <v>17</v>
      </c>
      <c r="C8" s="22"/>
      <c r="D8" s="22"/>
      <c r="E8" s="22"/>
      <c r="F8" s="22"/>
      <c r="G8" s="22"/>
      <c r="H8" s="12">
        <f t="shared" si="0"/>
        <v>44811</v>
      </c>
    </row>
    <row r="9" spans="2:11" ht="15.6" x14ac:dyDescent="0.3">
      <c r="B9" s="34" t="s">
        <v>0</v>
      </c>
      <c r="C9" s="57"/>
      <c r="D9" s="57"/>
      <c r="E9" s="60"/>
      <c r="F9" s="60"/>
      <c r="G9" s="60"/>
      <c r="H9" s="12">
        <f t="shared" si="0"/>
        <v>44811</v>
      </c>
    </row>
    <row r="10" spans="2:11" x14ac:dyDescent="0.3">
      <c r="B10" s="6" t="s">
        <v>25</v>
      </c>
      <c r="C10" s="22"/>
      <c r="D10" s="22"/>
      <c r="E10" s="22"/>
      <c r="F10" s="22"/>
      <c r="G10" s="22"/>
      <c r="H10" s="12">
        <f t="shared" si="0"/>
        <v>44811</v>
      </c>
    </row>
    <row r="11" spans="2:11" x14ac:dyDescent="0.3">
      <c r="B11" s="6" t="s">
        <v>15</v>
      </c>
      <c r="C11" s="22">
        <v>1017500</v>
      </c>
      <c r="D11" s="22">
        <v>640000</v>
      </c>
      <c r="E11" s="22">
        <v>45000</v>
      </c>
      <c r="F11" s="22"/>
      <c r="G11" s="22"/>
      <c r="H11" s="12">
        <f t="shared" si="0"/>
        <v>44811</v>
      </c>
    </row>
    <row r="12" spans="2:11" x14ac:dyDescent="0.3">
      <c r="B12" s="6" t="s">
        <v>54</v>
      </c>
      <c r="C12" s="22"/>
      <c r="D12" s="22"/>
      <c r="E12" s="22"/>
      <c r="F12" s="22"/>
      <c r="G12" s="22"/>
      <c r="H12" s="67">
        <f t="shared" si="0"/>
        <v>44811</v>
      </c>
    </row>
    <row r="13" spans="2:11" x14ac:dyDescent="0.3">
      <c r="B13" s="6" t="s">
        <v>26</v>
      </c>
      <c r="C13" s="22"/>
      <c r="D13" s="22"/>
      <c r="E13" s="22"/>
      <c r="F13" s="22"/>
      <c r="G13" s="22"/>
      <c r="H13" s="12">
        <f t="shared" si="0"/>
        <v>44811</v>
      </c>
    </row>
    <row r="14" spans="2:11" x14ac:dyDescent="0.3">
      <c r="B14" s="6" t="s">
        <v>22</v>
      </c>
      <c r="C14" s="22">
        <v>108000</v>
      </c>
      <c r="D14" s="22"/>
      <c r="E14" s="22"/>
      <c r="F14" s="22"/>
      <c r="G14" s="22"/>
      <c r="H14" s="12">
        <f t="shared" si="0"/>
        <v>44811</v>
      </c>
      <c r="K14" s="4"/>
    </row>
    <row r="15" spans="2:11" x14ac:dyDescent="0.3">
      <c r="B15" s="6" t="s">
        <v>61</v>
      </c>
      <c r="C15" s="22"/>
      <c r="D15" s="22"/>
      <c r="E15" s="22"/>
      <c r="F15" s="22"/>
      <c r="G15" s="22"/>
      <c r="H15" s="67">
        <f t="shared" si="0"/>
        <v>44811</v>
      </c>
      <c r="K15" s="4"/>
    </row>
    <row r="16" spans="2:11" x14ac:dyDescent="0.3">
      <c r="B16" s="6" t="s">
        <v>19</v>
      </c>
      <c r="C16" s="22">
        <v>432000</v>
      </c>
      <c r="D16" s="22"/>
      <c r="E16" s="23"/>
      <c r="F16" s="22"/>
      <c r="G16" s="22"/>
      <c r="H16" s="12">
        <f t="shared" si="0"/>
        <v>44811</v>
      </c>
    </row>
    <row r="17" spans="2:10" x14ac:dyDescent="0.3">
      <c r="B17" s="6" t="s">
        <v>14</v>
      </c>
      <c r="C17" s="22">
        <v>431500</v>
      </c>
      <c r="D17" s="22"/>
      <c r="E17" s="22"/>
      <c r="F17" s="23"/>
      <c r="G17" s="22"/>
      <c r="H17" s="12">
        <f t="shared" si="0"/>
        <v>44811</v>
      </c>
    </row>
    <row r="18" spans="2:10" x14ac:dyDescent="0.3">
      <c r="B18" s="6" t="s">
        <v>24</v>
      </c>
      <c r="C18" s="22"/>
      <c r="D18" s="22"/>
      <c r="E18" s="22"/>
      <c r="F18" s="49"/>
      <c r="G18" s="22"/>
      <c r="H18" s="12">
        <f t="shared" si="0"/>
        <v>44811</v>
      </c>
      <c r="J18" s="1" t="s">
        <v>66</v>
      </c>
    </row>
    <row r="19" spans="2:10" x14ac:dyDescent="0.3">
      <c r="B19" s="6" t="s">
        <v>21</v>
      </c>
      <c r="C19" s="22">
        <v>162000</v>
      </c>
      <c r="D19" s="22"/>
      <c r="E19" s="22"/>
      <c r="F19" s="22"/>
      <c r="G19" s="22"/>
      <c r="H19" s="67">
        <f t="shared" si="0"/>
        <v>44811</v>
      </c>
    </row>
    <row r="20" spans="2:10" x14ac:dyDescent="0.3">
      <c r="B20" s="6" t="s">
        <v>65</v>
      </c>
      <c r="C20" s="22"/>
      <c r="D20" s="22"/>
      <c r="E20" s="22"/>
      <c r="F20" s="22"/>
      <c r="G20" s="22"/>
      <c r="H20" s="12">
        <f t="shared" si="0"/>
        <v>44811</v>
      </c>
    </row>
    <row r="21" spans="2:10" x14ac:dyDescent="0.3">
      <c r="B21" s="6" t="s">
        <v>18</v>
      </c>
      <c r="C21" s="22"/>
      <c r="D21" s="62"/>
      <c r="E21" s="62"/>
      <c r="F21" s="62"/>
      <c r="G21" s="62"/>
      <c r="H21" s="12">
        <f t="shared" si="0"/>
        <v>44811</v>
      </c>
    </row>
    <row r="22" spans="2:10" x14ac:dyDescent="0.3">
      <c r="B22" s="6" t="s">
        <v>16</v>
      </c>
      <c r="C22" s="55"/>
      <c r="D22" s="22">
        <v>50000</v>
      </c>
      <c r="E22" s="62"/>
      <c r="F22" s="62"/>
      <c r="G22" s="22"/>
      <c r="H22" s="12">
        <f t="shared" si="0"/>
        <v>44811</v>
      </c>
    </row>
    <row r="23" spans="2:10" x14ac:dyDescent="0.3">
      <c r="B23" s="50" t="s">
        <v>27</v>
      </c>
      <c r="C23" s="51">
        <f>SUM(Sept07_2022[KSI_AGO])</f>
        <v>2151000</v>
      </c>
      <c r="D23" s="51">
        <f>SUBTOTAL(109,Sept07_2022[KSI_PMS])</f>
        <v>690000</v>
      </c>
      <c r="E23" s="51">
        <f>SUM(Sept07_2022[BUIPE_AGO])</f>
        <v>45000</v>
      </c>
      <c r="F23" s="51">
        <f>SUM(Sept07_2022[BUIPE_PMS])</f>
        <v>0</v>
      </c>
      <c r="G23" s="51">
        <f>SUM(Sept07_2022[AKOSOMBO_AGO])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73164970-7ADE-4499-8E43-5F1133E0C4EB}">
      <formula1>INDIRECT("BDC_List[BDC List]")</formula1>
    </dataValidation>
  </dataValidations>
  <pageMargins left="0.7" right="0.7" top="0.75" bottom="0.75" header="0.3" footer="0.3"/>
  <pageSetup orientation="portrait" horizontalDpi="4294967295" verticalDpi="4294967295" r:id="rId1"/>
  <drawing r:id="rId2"/>
  <tableParts count="1">
    <tablePart r:id="rId3"/>
  </tableParts>
</worksheet>
</file>

<file path=xl/worksheets/sheet6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77B76-76D7-4EE8-8FAE-A366356A34F9}">
  <dimension ref="B1:K24"/>
  <sheetViews>
    <sheetView zoomScaleNormal="100" workbookViewId="0">
      <pane xSplit="2" ySplit="5" topLeftCell="C6" activePane="bottomRight" state="frozen"/>
      <selection pane="topRight" activeCell="C1" sqref="C1"/>
      <selection pane="bottomLeft" activeCell="A6" sqref="A6"/>
      <selection pane="bottomRight" activeCell="D16" sqre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44812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45"/>
      <c r="D6" s="45"/>
      <c r="E6" s="45"/>
      <c r="F6" s="45"/>
      <c r="G6" s="45"/>
      <c r="H6" s="12">
        <f t="shared" ref="H6:H22" si="0">$G$3</f>
        <v>44812</v>
      </c>
    </row>
    <row r="7" spans="2:11" ht="16.5" customHeight="1" x14ac:dyDescent="0.3">
      <c r="B7" s="6" t="s">
        <v>37</v>
      </c>
      <c r="C7" s="57"/>
      <c r="D7" s="62">
        <v>90000</v>
      </c>
      <c r="E7" s="62"/>
      <c r="F7" s="62"/>
      <c r="G7" s="62"/>
      <c r="H7" s="67">
        <f t="shared" si="0"/>
        <v>44812</v>
      </c>
    </row>
    <row r="8" spans="2:11" x14ac:dyDescent="0.3">
      <c r="B8" s="6" t="s">
        <v>17</v>
      </c>
      <c r="C8" s="22"/>
      <c r="D8" s="22"/>
      <c r="E8" s="22"/>
      <c r="F8" s="22"/>
      <c r="G8" s="22"/>
      <c r="H8" s="12">
        <f t="shared" si="0"/>
        <v>44812</v>
      </c>
    </row>
    <row r="9" spans="2:11" ht="15.6" x14ac:dyDescent="0.3">
      <c r="B9" s="34" t="s">
        <v>0</v>
      </c>
      <c r="C9" s="57"/>
      <c r="D9" s="57">
        <v>54000</v>
      </c>
      <c r="E9" s="60"/>
      <c r="F9" s="60"/>
      <c r="G9" s="60"/>
      <c r="H9" s="12">
        <f t="shared" si="0"/>
        <v>44812</v>
      </c>
    </row>
    <row r="10" spans="2:11" x14ac:dyDescent="0.3">
      <c r="B10" s="6" t="s">
        <v>25</v>
      </c>
      <c r="C10" s="22"/>
      <c r="D10" s="22"/>
      <c r="E10" s="22"/>
      <c r="F10" s="22"/>
      <c r="G10" s="22"/>
      <c r="H10" s="12">
        <f t="shared" si="0"/>
        <v>44812</v>
      </c>
    </row>
    <row r="11" spans="2:11" x14ac:dyDescent="0.3">
      <c r="B11" s="6" t="s">
        <v>15</v>
      </c>
      <c r="C11" s="22">
        <v>756000</v>
      </c>
      <c r="D11" s="22">
        <v>54000</v>
      </c>
      <c r="E11" s="22"/>
      <c r="F11" s="22"/>
      <c r="G11" s="22"/>
      <c r="H11" s="12">
        <f t="shared" si="0"/>
        <v>44812</v>
      </c>
    </row>
    <row r="12" spans="2:11" x14ac:dyDescent="0.3">
      <c r="B12" s="6" t="s">
        <v>54</v>
      </c>
      <c r="C12" s="22"/>
      <c r="D12" s="22"/>
      <c r="E12" s="22"/>
      <c r="F12" s="22"/>
      <c r="G12" s="22"/>
      <c r="H12" s="67">
        <f t="shared" si="0"/>
        <v>44812</v>
      </c>
    </row>
    <row r="13" spans="2:11" x14ac:dyDescent="0.3">
      <c r="B13" s="6" t="s">
        <v>26</v>
      </c>
      <c r="C13" s="22"/>
      <c r="D13" s="22"/>
      <c r="E13" s="22"/>
      <c r="F13" s="22"/>
      <c r="G13" s="22"/>
      <c r="H13" s="12">
        <f t="shared" si="0"/>
        <v>44812</v>
      </c>
    </row>
    <row r="14" spans="2:11" x14ac:dyDescent="0.3">
      <c r="B14" s="6" t="s">
        <v>22</v>
      </c>
      <c r="C14" s="22"/>
      <c r="D14" s="22"/>
      <c r="E14" s="22"/>
      <c r="F14" s="22"/>
      <c r="G14" s="22"/>
      <c r="H14" s="12">
        <f t="shared" si="0"/>
        <v>44812</v>
      </c>
      <c r="K14" s="4"/>
    </row>
    <row r="15" spans="2:11" x14ac:dyDescent="0.3">
      <c r="B15" s="6" t="s">
        <v>61</v>
      </c>
      <c r="C15" s="22"/>
      <c r="D15" s="22"/>
      <c r="E15" s="22"/>
      <c r="F15" s="22"/>
      <c r="G15" s="22"/>
      <c r="H15" s="67">
        <f t="shared" si="0"/>
        <v>44812</v>
      </c>
      <c r="K15" s="4"/>
    </row>
    <row r="16" spans="2:11" x14ac:dyDescent="0.3">
      <c r="B16" s="6" t="s">
        <v>19</v>
      </c>
      <c r="C16" s="22">
        <v>54000</v>
      </c>
      <c r="D16" s="22"/>
      <c r="E16" s="23"/>
      <c r="F16" s="22"/>
      <c r="G16" s="22"/>
      <c r="H16" s="12">
        <f t="shared" si="0"/>
        <v>44812</v>
      </c>
    </row>
    <row r="17" spans="2:10" x14ac:dyDescent="0.3">
      <c r="B17" s="6" t="s">
        <v>14</v>
      </c>
      <c r="C17" s="22">
        <v>590000</v>
      </c>
      <c r="D17" s="22"/>
      <c r="E17" s="22"/>
      <c r="F17" s="23"/>
      <c r="G17" s="22"/>
      <c r="H17" s="12">
        <f t="shared" si="0"/>
        <v>44812</v>
      </c>
    </row>
    <row r="18" spans="2:10" x14ac:dyDescent="0.3">
      <c r="B18" s="6" t="s">
        <v>24</v>
      </c>
      <c r="C18" s="22"/>
      <c r="D18" s="22"/>
      <c r="E18" s="22"/>
      <c r="F18" s="49"/>
      <c r="G18" s="22"/>
      <c r="H18" s="12">
        <f t="shared" si="0"/>
        <v>44812</v>
      </c>
      <c r="J18" s="1" t="s">
        <v>66</v>
      </c>
    </row>
    <row r="19" spans="2:10" x14ac:dyDescent="0.3">
      <c r="B19" s="6" t="s">
        <v>21</v>
      </c>
      <c r="C19" s="22"/>
      <c r="D19" s="22"/>
      <c r="E19" s="22"/>
      <c r="F19" s="22"/>
      <c r="G19" s="22"/>
      <c r="H19" s="67">
        <f t="shared" si="0"/>
        <v>44812</v>
      </c>
    </row>
    <row r="20" spans="2:10" x14ac:dyDescent="0.3">
      <c r="B20" s="6" t="s">
        <v>65</v>
      </c>
      <c r="C20" s="22"/>
      <c r="D20" s="22"/>
      <c r="E20" s="22"/>
      <c r="F20" s="22"/>
      <c r="G20" s="22"/>
      <c r="H20" s="12">
        <f t="shared" si="0"/>
        <v>44812</v>
      </c>
    </row>
    <row r="21" spans="2:10" x14ac:dyDescent="0.3">
      <c r="B21" s="6" t="s">
        <v>18</v>
      </c>
      <c r="C21" s="22"/>
      <c r="D21" s="62"/>
      <c r="E21" s="62"/>
      <c r="F21" s="62"/>
      <c r="G21" s="62"/>
      <c r="H21" s="12">
        <f t="shared" si="0"/>
        <v>44812</v>
      </c>
    </row>
    <row r="22" spans="2:10" x14ac:dyDescent="0.3">
      <c r="B22" s="6" t="s">
        <v>16</v>
      </c>
      <c r="C22" s="55"/>
      <c r="D22" s="22"/>
      <c r="E22" s="62"/>
      <c r="F22" s="62"/>
      <c r="G22" s="22"/>
      <c r="H22" s="12">
        <f t="shared" si="0"/>
        <v>44812</v>
      </c>
    </row>
    <row r="23" spans="2:10" x14ac:dyDescent="0.3">
      <c r="B23" s="50" t="s">
        <v>27</v>
      </c>
      <c r="C23" s="51">
        <f>SUM(Sept08_2022[KSI_AGO])</f>
        <v>1400000</v>
      </c>
      <c r="D23" s="51">
        <f>SUBTOTAL(109,Sept08_2022[KSI_PMS])</f>
        <v>198000</v>
      </c>
      <c r="E23" s="51">
        <f>SUM(Sept08_2022[BUIPE_AGO])</f>
        <v>0</v>
      </c>
      <c r="F23" s="51">
        <f>SUM(Sept08_2022[BUIPE_PMS])</f>
        <v>0</v>
      </c>
      <c r="G23" s="51">
        <f>SUM(Sept08_2022[AKOSOMBO_AGO])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8784E0E3-3816-4859-BDB1-5B7EEE16FDF0}">
      <formula1>INDIRECT("BDC_List[BDC List]")</formula1>
    </dataValidation>
  </dataValidations>
  <pageMargins left="0.7" right="0.7" top="0.75" bottom="0.75" header="0.3" footer="0.3"/>
  <pageSetup orientation="portrait" horizontalDpi="4294967295" verticalDpi="4294967295" r:id="rId1"/>
  <drawing r:id="rId2"/>
  <tableParts count="1">
    <tablePart r:id="rId3"/>
  </tableParts>
</worksheet>
</file>

<file path=xl/worksheets/sheet6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1FD0-A20D-425C-A27E-5213980FE6FC}">
  <dimension ref="B1:K24"/>
  <sheetViews>
    <sheetView zoomScaleNormal="100" workbookViewId="0">
      <pane xSplit="2" ySplit="5" topLeftCell="D6" activePane="bottomRight" state="frozen"/>
      <selection pane="topRight" activeCell="C1" sqref="C1"/>
      <selection pane="bottomLeft" activeCell="A6" sqref="A6"/>
      <selection pane="bottomRight" activeCell="F19" sqref="F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44812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2" si="0">$G$3</f>
        <v>44812</v>
      </c>
    </row>
    <row r="7" spans="2:11" ht="16.5" customHeight="1" x14ac:dyDescent="0.3">
      <c r="B7" s="6" t="s">
        <v>37</v>
      </c>
      <c r="C7" s="57"/>
      <c r="D7" s="62"/>
      <c r="E7" s="62"/>
      <c r="F7" s="62"/>
      <c r="G7" s="62"/>
      <c r="H7" s="67">
        <f t="shared" si="0"/>
        <v>44812</v>
      </c>
    </row>
    <row r="8" spans="2:11" x14ac:dyDescent="0.3">
      <c r="B8" s="6" t="s">
        <v>17</v>
      </c>
      <c r="C8" s="22"/>
      <c r="D8" s="22"/>
      <c r="E8" s="22"/>
      <c r="F8" s="22"/>
      <c r="G8" s="22"/>
      <c r="H8" s="12">
        <f t="shared" si="0"/>
        <v>44812</v>
      </c>
    </row>
    <row r="9" spans="2:11" ht="15.6" x14ac:dyDescent="0.3">
      <c r="B9" s="34" t="s">
        <v>0</v>
      </c>
      <c r="C9" s="57"/>
      <c r="D9" s="57"/>
      <c r="E9" s="60"/>
      <c r="F9" s="60"/>
      <c r="G9" s="60"/>
      <c r="H9" s="12">
        <f t="shared" si="0"/>
        <v>44812</v>
      </c>
    </row>
    <row r="10" spans="2:11" x14ac:dyDescent="0.3">
      <c r="B10" s="6" t="s">
        <v>25</v>
      </c>
      <c r="C10" s="22"/>
      <c r="D10" s="22"/>
      <c r="E10" s="22"/>
      <c r="F10" s="22"/>
      <c r="G10" s="22"/>
      <c r="H10" s="12">
        <f t="shared" si="0"/>
        <v>44812</v>
      </c>
    </row>
    <row r="11" spans="2:11" x14ac:dyDescent="0.3">
      <c r="B11" s="6" t="s">
        <v>15</v>
      </c>
      <c r="C11" s="45">
        <v>752000</v>
      </c>
      <c r="D11" s="22"/>
      <c r="E11" s="22">
        <v>90000</v>
      </c>
      <c r="F11" s="22"/>
      <c r="G11" s="22"/>
      <c r="H11" s="12">
        <f t="shared" si="0"/>
        <v>44812</v>
      </c>
    </row>
    <row r="12" spans="2:11" x14ac:dyDescent="0.3">
      <c r="B12" s="6" t="s">
        <v>54</v>
      </c>
      <c r="C12" s="22"/>
      <c r="D12" s="22">
        <v>918000</v>
      </c>
      <c r="E12" s="22"/>
      <c r="F12" s="22">
        <v>270000</v>
      </c>
      <c r="G12" s="22"/>
      <c r="H12" s="67">
        <f t="shared" si="0"/>
        <v>44812</v>
      </c>
    </row>
    <row r="13" spans="2:11" x14ac:dyDescent="0.3">
      <c r="B13" s="6" t="s">
        <v>26</v>
      </c>
      <c r="C13" s="22"/>
      <c r="D13" s="22"/>
      <c r="E13" s="22"/>
      <c r="F13" s="22"/>
      <c r="G13" s="22"/>
      <c r="H13" s="12">
        <f t="shared" si="0"/>
        <v>44812</v>
      </c>
    </row>
    <row r="14" spans="2:11" x14ac:dyDescent="0.3">
      <c r="B14" s="6" t="s">
        <v>22</v>
      </c>
      <c r="C14" s="22"/>
      <c r="D14" s="22"/>
      <c r="E14" s="22"/>
      <c r="F14" s="22"/>
      <c r="G14" s="22"/>
      <c r="H14" s="12">
        <f t="shared" si="0"/>
        <v>44812</v>
      </c>
      <c r="K14" s="4"/>
    </row>
    <row r="15" spans="2:11" x14ac:dyDescent="0.3">
      <c r="B15" s="6" t="s">
        <v>61</v>
      </c>
      <c r="C15" s="22"/>
      <c r="D15" s="22"/>
      <c r="E15" s="22"/>
      <c r="F15" s="22"/>
      <c r="G15" s="22"/>
      <c r="H15" s="67">
        <f t="shared" si="0"/>
        <v>44812</v>
      </c>
      <c r="K15" s="4"/>
    </row>
    <row r="16" spans="2:11" x14ac:dyDescent="0.3">
      <c r="B16" s="6" t="s">
        <v>19</v>
      </c>
      <c r="C16" s="22">
        <v>54000</v>
      </c>
      <c r="D16" s="22"/>
      <c r="E16" s="23"/>
      <c r="F16" s="22"/>
      <c r="G16" s="22"/>
      <c r="H16" s="12">
        <f t="shared" si="0"/>
        <v>44812</v>
      </c>
    </row>
    <row r="17" spans="2:10" x14ac:dyDescent="0.3">
      <c r="B17" s="6" t="s">
        <v>14</v>
      </c>
      <c r="C17" s="22">
        <v>1121000</v>
      </c>
      <c r="D17" s="22"/>
      <c r="E17" s="22"/>
      <c r="F17" s="23"/>
      <c r="G17" s="22"/>
      <c r="H17" s="12">
        <f t="shared" si="0"/>
        <v>44812</v>
      </c>
    </row>
    <row r="18" spans="2:10" x14ac:dyDescent="0.3">
      <c r="B18" s="6" t="s">
        <v>24</v>
      </c>
      <c r="C18" s="22"/>
      <c r="D18" s="22"/>
      <c r="E18" s="22"/>
      <c r="F18" s="49"/>
      <c r="G18" s="22"/>
      <c r="H18" s="12">
        <f t="shared" si="0"/>
        <v>44812</v>
      </c>
      <c r="J18" s="1" t="s">
        <v>66</v>
      </c>
    </row>
    <row r="19" spans="2:10" x14ac:dyDescent="0.3">
      <c r="B19" s="6" t="s">
        <v>21</v>
      </c>
      <c r="C19" s="22"/>
      <c r="D19" s="22"/>
      <c r="E19" s="22"/>
      <c r="F19" s="22"/>
      <c r="G19" s="22"/>
      <c r="H19" s="67">
        <f t="shared" si="0"/>
        <v>44812</v>
      </c>
    </row>
    <row r="20" spans="2:10" x14ac:dyDescent="0.3">
      <c r="B20" s="6" t="s">
        <v>65</v>
      </c>
      <c r="C20" s="22"/>
      <c r="D20" s="22"/>
      <c r="E20" s="22"/>
      <c r="F20" s="22"/>
      <c r="G20" s="22"/>
      <c r="H20" s="12">
        <f t="shared" si="0"/>
        <v>44812</v>
      </c>
    </row>
    <row r="21" spans="2:10" x14ac:dyDescent="0.3">
      <c r="B21" s="6" t="s">
        <v>18</v>
      </c>
      <c r="C21" s="22"/>
      <c r="D21" s="62"/>
      <c r="E21" s="62"/>
      <c r="F21" s="62"/>
      <c r="G21" s="62"/>
      <c r="H21" s="12">
        <f t="shared" si="0"/>
        <v>44812</v>
      </c>
    </row>
    <row r="22" spans="2:10" x14ac:dyDescent="0.3">
      <c r="B22" s="6" t="s">
        <v>16</v>
      </c>
      <c r="C22" s="55"/>
      <c r="D22" s="22"/>
      <c r="E22" s="62"/>
      <c r="F22" s="62"/>
      <c r="G22" s="22"/>
      <c r="H22" s="12">
        <f t="shared" si="0"/>
        <v>44812</v>
      </c>
    </row>
    <row r="23" spans="2:10" x14ac:dyDescent="0.3">
      <c r="B23" s="50" t="s">
        <v>27</v>
      </c>
      <c r="C23" s="51">
        <f>SUM(Sept08_20228[KSI_AGO])</f>
        <v>1927000</v>
      </c>
      <c r="D23" s="51">
        <f>SUBTOTAL(109,Sept08_20228[KSI_PMS])</f>
        <v>918000</v>
      </c>
      <c r="E23" s="51">
        <f>SUM(Sept08_20228[BUIPE_AGO])</f>
        <v>90000</v>
      </c>
      <c r="F23" s="51">
        <f>SUM(Sept08_20228[BUIPE_PMS])</f>
        <v>270000</v>
      </c>
      <c r="G23" s="51">
        <f>SUM(Sept08_20228[AKOSOMBO_AGO])</f>
        <v>0</v>
      </c>
      <c r="H23" s="52"/>
    </row>
    <row r="24" spans="2:10" x14ac:dyDescent="0.3">
      <c r="B24" s="8"/>
      <c r="C24" s="24"/>
      <c r="D24" s="24"/>
      <c r="E24" s="24"/>
      <c r="F24" s="24"/>
      <c r="G24" s="24"/>
      <c r="H24"/>
    </row>
  </sheetData>
  <mergeCells count="4">
    <mergeCell ref="B1:G1"/>
    <mergeCell ref="B2:C2"/>
    <mergeCell ref="B3:C3"/>
    <mergeCell ref="B4:G4"/>
  </mergeCells>
  <dataValidations count="1">
    <dataValidation type="list" allowBlank="1" showInputMessage="1" showErrorMessage="1" sqref="B6:B22" xr:uid="{0FA8DB2A-E6DB-4C3F-9EB2-1AA7842FA487}">
      <formula1>INDIRECT("BDC_List[BDC List]")</formula1>
    </dataValidation>
  </dataValidations>
  <pageMargins left="0.7" right="0.7" top="0.75" bottom="0.75" header="0.3" footer="0.3"/>
  <pageSetup orientation="portrait" horizontalDpi="4294967295" verticalDpi="4294967295" r:id="rId1"/>
  <drawing r:id="rId2"/>
  <tableParts count="1">
    <tablePart r:id="rId3"/>
  </tableParts>
</worksheet>
</file>

<file path=xl/worksheets/sheet6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1AB7-9CA1-4016-A694-93794FEC870F}">
  <dimension ref="B1:K25"/>
  <sheetViews>
    <sheetView zoomScaleNormal="100" workbookViewId="0">
      <pane xSplit="2" ySplit="5" topLeftCell="C6" activePane="bottomRight" state="frozen"/>
      <selection pane="topRight" activeCell="C1" sqref="C1"/>
      <selection pane="bottomLeft" activeCell="A6" sqref="A6"/>
      <selection pane="bottomRight" activeCell="J5" sqref="J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44816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44816</v>
      </c>
    </row>
    <row r="7" spans="2:11" ht="16.5" customHeight="1" x14ac:dyDescent="0.3">
      <c r="B7" s="6" t="s">
        <v>37</v>
      </c>
      <c r="C7" s="57"/>
      <c r="D7" s="62"/>
      <c r="E7" s="62"/>
      <c r="F7" s="62"/>
      <c r="G7" s="62"/>
      <c r="H7" s="67">
        <f t="shared" si="0"/>
        <v>44816</v>
      </c>
    </row>
    <row r="8" spans="2:11" x14ac:dyDescent="0.3">
      <c r="B8" s="6" t="s">
        <v>17</v>
      </c>
      <c r="C8" s="22"/>
      <c r="D8" s="22"/>
      <c r="E8" s="22"/>
      <c r="F8" s="22"/>
      <c r="G8" s="22"/>
      <c r="H8" s="12">
        <f t="shared" si="0"/>
        <v>44816</v>
      </c>
    </row>
    <row r="9" spans="2:11" ht="15.6" x14ac:dyDescent="0.3">
      <c r="B9" s="34" t="s">
        <v>0</v>
      </c>
      <c r="C9" s="57"/>
      <c r="D9" s="57"/>
      <c r="E9" s="60"/>
      <c r="F9" s="60"/>
      <c r="G9" s="60"/>
      <c r="H9" s="12">
        <f t="shared" si="0"/>
        <v>44816</v>
      </c>
    </row>
    <row r="10" spans="2:11" x14ac:dyDescent="0.3">
      <c r="B10" s="6" t="s">
        <v>25</v>
      </c>
      <c r="C10" s="22"/>
      <c r="D10" s="22"/>
      <c r="E10" s="22"/>
      <c r="F10" s="22"/>
      <c r="G10" s="22"/>
      <c r="H10" s="12">
        <f t="shared" si="0"/>
        <v>44816</v>
      </c>
    </row>
    <row r="11" spans="2:11" x14ac:dyDescent="0.3">
      <c r="B11" s="6" t="s">
        <v>15</v>
      </c>
      <c r="C11" s="45">
        <v>378000</v>
      </c>
      <c r="D11" s="22"/>
      <c r="E11" s="22"/>
      <c r="F11" s="22"/>
      <c r="G11" s="22"/>
      <c r="H11" s="12">
        <f t="shared" si="0"/>
        <v>44816</v>
      </c>
    </row>
    <row r="12" spans="2:11" x14ac:dyDescent="0.3">
      <c r="B12" s="6" t="s">
        <v>54</v>
      </c>
      <c r="C12" s="22"/>
      <c r="D12" s="22"/>
      <c r="E12" s="22"/>
      <c r="F12" s="22"/>
      <c r="G12" s="22"/>
      <c r="H12" s="67">
        <f t="shared" si="0"/>
        <v>44816</v>
      </c>
    </row>
    <row r="13" spans="2:11" x14ac:dyDescent="0.3">
      <c r="B13" s="6" t="s">
        <v>26</v>
      </c>
      <c r="C13" s="22"/>
      <c r="D13" s="22"/>
      <c r="E13" s="22"/>
      <c r="F13" s="22"/>
      <c r="G13" s="22"/>
      <c r="H13" s="12">
        <f t="shared" si="0"/>
        <v>44816</v>
      </c>
    </row>
    <row r="14" spans="2:11" x14ac:dyDescent="0.3">
      <c r="B14" s="6" t="s">
        <v>22</v>
      </c>
      <c r="C14" s="22"/>
      <c r="D14" s="22"/>
      <c r="E14" s="22"/>
      <c r="F14" s="22"/>
      <c r="G14" s="22"/>
      <c r="H14" s="12">
        <f t="shared" si="0"/>
        <v>44816</v>
      </c>
      <c r="K14" s="4"/>
    </row>
    <row r="15" spans="2:11" x14ac:dyDescent="0.3">
      <c r="B15" s="6" t="s">
        <v>61</v>
      </c>
      <c r="C15" s="22"/>
      <c r="D15" s="22"/>
      <c r="E15" s="22"/>
      <c r="F15" s="22"/>
      <c r="G15" s="22"/>
      <c r="H15" s="67">
        <f t="shared" si="0"/>
        <v>44816</v>
      </c>
      <c r="K15" s="4"/>
    </row>
    <row r="16" spans="2:11" x14ac:dyDescent="0.3">
      <c r="B16" s="6" t="s">
        <v>19</v>
      </c>
      <c r="C16" s="22"/>
      <c r="D16" s="22"/>
      <c r="E16" s="23"/>
      <c r="F16" s="22"/>
      <c r="G16" s="22"/>
      <c r="H16" s="12">
        <f t="shared" si="0"/>
        <v>44816</v>
      </c>
    </row>
    <row r="17" spans="2:10" x14ac:dyDescent="0.3">
      <c r="B17" s="6" t="s">
        <v>14</v>
      </c>
      <c r="C17" s="22"/>
      <c r="D17" s="22">
        <v>427500</v>
      </c>
      <c r="E17" s="22"/>
      <c r="F17" s="23"/>
      <c r="G17" s="22"/>
      <c r="H17" s="12">
        <f t="shared" si="0"/>
        <v>44816</v>
      </c>
    </row>
    <row r="18" spans="2:10" x14ac:dyDescent="0.3">
      <c r="B18" s="6" t="s">
        <v>24</v>
      </c>
      <c r="C18" s="22"/>
      <c r="D18" s="22"/>
      <c r="E18" s="22"/>
      <c r="F18" s="49"/>
      <c r="G18" s="22"/>
      <c r="H18" s="67">
        <f t="shared" si="0"/>
        <v>44816</v>
      </c>
    </row>
    <row r="19" spans="2:10" x14ac:dyDescent="0.3">
      <c r="B19" s="6" t="s">
        <v>21</v>
      </c>
      <c r="C19" s="22">
        <v>45000</v>
      </c>
      <c r="D19" s="22"/>
      <c r="E19" s="22"/>
      <c r="F19" s="22"/>
      <c r="G19" s="22"/>
      <c r="H19" s="12">
        <f t="shared" si="0"/>
        <v>44816</v>
      </c>
      <c r="J19" s="1" t="s">
        <v>66</v>
      </c>
    </row>
    <row r="20" spans="2:10" x14ac:dyDescent="0.3">
      <c r="B20" s="6" t="s">
        <v>65</v>
      </c>
      <c r="C20" s="22"/>
      <c r="D20" s="22"/>
      <c r="E20" s="22"/>
      <c r="F20" s="22"/>
      <c r="G20" s="22"/>
      <c r="H20" s="67">
        <f t="shared" si="0"/>
        <v>44816</v>
      </c>
    </row>
    <row r="21" spans="2:10" x14ac:dyDescent="0.3">
      <c r="B21" s="6" t="s">
        <v>67</v>
      </c>
      <c r="C21" s="22">
        <v>369500</v>
      </c>
      <c r="D21" s="22"/>
      <c r="E21" s="22"/>
      <c r="F21" s="22"/>
      <c r="G21" s="22"/>
      <c r="H21" s="54">
        <f t="shared" si="0"/>
        <v>44816</v>
      </c>
    </row>
    <row r="22" spans="2:10" x14ac:dyDescent="0.3">
      <c r="B22" s="6" t="s">
        <v>18</v>
      </c>
      <c r="C22" s="22"/>
      <c r="D22" s="62"/>
      <c r="E22" s="62"/>
      <c r="F22" s="62"/>
      <c r="G22" s="62"/>
      <c r="H22" s="12">
        <f t="shared" si="0"/>
        <v>44816</v>
      </c>
    </row>
    <row r="23" spans="2:10" x14ac:dyDescent="0.3">
      <c r="B23" s="6" t="s">
        <v>16</v>
      </c>
      <c r="C23" s="55"/>
      <c r="D23" s="22"/>
      <c r="E23" s="62"/>
      <c r="F23" s="62"/>
      <c r="G23" s="22"/>
      <c r="H23" s="12">
        <f t="shared" si="0"/>
        <v>44816</v>
      </c>
    </row>
    <row r="24" spans="2:10" x14ac:dyDescent="0.3">
      <c r="B24" s="50" t="s">
        <v>27</v>
      </c>
      <c r="C24" s="51">
        <f>SUM(Sept12_2022[KSI_AGO])</f>
        <v>792500</v>
      </c>
      <c r="D24" s="51">
        <f>SUBTOTAL(109,Sept12_2022[KSI_PMS])</f>
        <v>427500</v>
      </c>
      <c r="E24" s="51">
        <f>SUM(Sept12_2022[BUIPE_AGO])</f>
        <v>0</v>
      </c>
      <c r="F24" s="51">
        <f>SUM(Sept12_2022[BUIPE_PMS])</f>
        <v>0</v>
      </c>
      <c r="G24" s="51">
        <f>SUM(Sept12_2022[AKOSOMBO_AGO])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76553D8F-1C96-4644-991F-7A3984E48ADF}">
      <formula1>INDIRECT("BDC_List[BDC List]")</formula1>
    </dataValidation>
  </dataValidations>
  <pageMargins left="0.7" right="0.7" top="0.75" bottom="0.75" header="0.3" footer="0.3"/>
  <pageSetup orientation="portrait" horizontalDpi="4294967295" verticalDpi="4294967295" r:id="rId1"/>
  <drawing r:id="rId2"/>
  <tableParts count="1">
    <tablePart r:id="rId3"/>
  </tableParts>
</worksheet>
</file>

<file path=xl/worksheets/sheet6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3CEAC-3593-4A22-9A50-899DDE78A26D}">
  <dimension ref="B1:K25"/>
  <sheetViews>
    <sheetView zoomScaleNormal="100" workbookViewId="0">
      <pane xSplit="2" ySplit="5" topLeftCell="C6" activePane="bottomRight" state="frozen"/>
      <selection pane="topRight" activeCell="C1" sqref="C1"/>
      <selection pane="bottomLeft" activeCell="A6" sqref="A6"/>
      <selection pane="bottomRight"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44817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44817</v>
      </c>
    </row>
    <row r="7" spans="2:11" ht="16.5" customHeight="1" x14ac:dyDescent="0.3">
      <c r="B7" s="6" t="s">
        <v>37</v>
      </c>
      <c r="C7" s="57"/>
      <c r="D7" s="62"/>
      <c r="E7" s="62"/>
      <c r="F7" s="62"/>
      <c r="G7" s="62"/>
      <c r="H7" s="67">
        <f t="shared" si="0"/>
        <v>44817</v>
      </c>
    </row>
    <row r="8" spans="2:11" x14ac:dyDescent="0.3">
      <c r="B8" s="6" t="s">
        <v>17</v>
      </c>
      <c r="C8" s="22">
        <v>540000</v>
      </c>
      <c r="D8" s="22"/>
      <c r="E8" s="22">
        <v>324000</v>
      </c>
      <c r="F8" s="22"/>
      <c r="G8" s="22"/>
      <c r="H8" s="12">
        <f t="shared" si="0"/>
        <v>44817</v>
      </c>
    </row>
    <row r="9" spans="2:11" ht="15.6" x14ac:dyDescent="0.3">
      <c r="B9" s="34" t="s">
        <v>0</v>
      </c>
      <c r="C9" s="57"/>
      <c r="D9" s="57"/>
      <c r="E9" s="60"/>
      <c r="F9" s="60"/>
      <c r="G9" s="60"/>
      <c r="H9" s="12">
        <f t="shared" si="0"/>
        <v>44817</v>
      </c>
    </row>
    <row r="10" spans="2:11" x14ac:dyDescent="0.3">
      <c r="B10" s="6" t="s">
        <v>25</v>
      </c>
      <c r="C10" s="22"/>
      <c r="D10" s="22"/>
      <c r="E10" s="22"/>
      <c r="F10" s="22"/>
      <c r="G10" s="22"/>
      <c r="H10" s="12">
        <f t="shared" si="0"/>
        <v>44817</v>
      </c>
    </row>
    <row r="11" spans="2:11" x14ac:dyDescent="0.3">
      <c r="B11" s="6" t="s">
        <v>15</v>
      </c>
      <c r="C11" s="45"/>
      <c r="D11" s="22"/>
      <c r="E11" s="22"/>
      <c r="F11" s="22"/>
      <c r="G11" s="22"/>
      <c r="H11" s="12">
        <f t="shared" si="0"/>
        <v>44817</v>
      </c>
    </row>
    <row r="12" spans="2:11" x14ac:dyDescent="0.3">
      <c r="B12" s="6" t="s">
        <v>54</v>
      </c>
      <c r="C12" s="22">
        <v>108000</v>
      </c>
      <c r="D12" s="22"/>
      <c r="E12" s="22"/>
      <c r="F12" s="22"/>
      <c r="G12" s="22"/>
      <c r="H12" s="67">
        <f t="shared" si="0"/>
        <v>44817</v>
      </c>
    </row>
    <row r="13" spans="2:11" x14ac:dyDescent="0.3">
      <c r="B13" s="6" t="s">
        <v>26</v>
      </c>
      <c r="C13" s="22"/>
      <c r="D13" s="22"/>
      <c r="E13" s="22"/>
      <c r="F13" s="22"/>
      <c r="G13" s="22"/>
      <c r="H13" s="12">
        <f t="shared" si="0"/>
        <v>44817</v>
      </c>
    </row>
    <row r="14" spans="2:11" x14ac:dyDescent="0.3">
      <c r="B14" s="6" t="s">
        <v>22</v>
      </c>
      <c r="C14" s="22"/>
      <c r="D14" s="22"/>
      <c r="E14" s="22"/>
      <c r="F14" s="22"/>
      <c r="G14" s="22"/>
      <c r="H14" s="12">
        <f t="shared" si="0"/>
        <v>44817</v>
      </c>
      <c r="K14" s="4"/>
    </row>
    <row r="15" spans="2:11" x14ac:dyDescent="0.3">
      <c r="B15" s="6" t="s">
        <v>61</v>
      </c>
      <c r="C15" s="22"/>
      <c r="D15" s="22"/>
      <c r="E15" s="22"/>
      <c r="F15" s="22"/>
      <c r="G15" s="22"/>
      <c r="H15" s="67">
        <f t="shared" si="0"/>
        <v>44817</v>
      </c>
      <c r="K15" s="4"/>
    </row>
    <row r="16" spans="2:11" x14ac:dyDescent="0.3">
      <c r="B16" s="6" t="s">
        <v>19</v>
      </c>
      <c r="C16" s="22"/>
      <c r="D16" s="22"/>
      <c r="E16" s="23"/>
      <c r="F16" s="22"/>
      <c r="G16" s="22"/>
      <c r="H16" s="12">
        <f t="shared" si="0"/>
        <v>44817</v>
      </c>
    </row>
    <row r="17" spans="2:10" x14ac:dyDescent="0.3">
      <c r="B17" s="6" t="s">
        <v>14</v>
      </c>
      <c r="C17" s="22"/>
      <c r="D17" s="22">
        <v>486000</v>
      </c>
      <c r="E17" s="22"/>
      <c r="F17" s="23"/>
      <c r="G17" s="22"/>
      <c r="H17" s="12">
        <f t="shared" si="0"/>
        <v>44817</v>
      </c>
    </row>
    <row r="18" spans="2:10" x14ac:dyDescent="0.3">
      <c r="B18" s="6" t="s">
        <v>24</v>
      </c>
      <c r="C18" s="22"/>
      <c r="D18" s="22"/>
      <c r="E18" s="22"/>
      <c r="F18" s="49"/>
      <c r="G18" s="22"/>
      <c r="H18" s="67">
        <f t="shared" si="0"/>
        <v>44817</v>
      </c>
    </row>
    <row r="19" spans="2:10" x14ac:dyDescent="0.3">
      <c r="B19" s="6" t="s">
        <v>21</v>
      </c>
      <c r="C19" s="22"/>
      <c r="D19" s="22"/>
      <c r="E19" s="22"/>
      <c r="F19" s="22"/>
      <c r="G19" s="22"/>
      <c r="H19" s="12">
        <f t="shared" si="0"/>
        <v>44817</v>
      </c>
      <c r="J19" s="1" t="s">
        <v>66</v>
      </c>
    </row>
    <row r="20" spans="2:10" x14ac:dyDescent="0.3">
      <c r="B20" s="6" t="s">
        <v>65</v>
      </c>
      <c r="C20" s="22"/>
      <c r="D20" s="22"/>
      <c r="E20" s="22"/>
      <c r="F20" s="22"/>
      <c r="G20" s="22"/>
      <c r="H20" s="67">
        <f t="shared" si="0"/>
        <v>44817</v>
      </c>
    </row>
    <row r="21" spans="2:10" x14ac:dyDescent="0.3">
      <c r="B21" s="126" t="s">
        <v>67</v>
      </c>
      <c r="C21" s="22"/>
      <c r="D21" s="22"/>
      <c r="E21" s="22"/>
      <c r="F21" s="127"/>
      <c r="G21" s="22"/>
      <c r="H21" s="128">
        <f t="shared" si="0"/>
        <v>44817</v>
      </c>
    </row>
    <row r="22" spans="2:10" x14ac:dyDescent="0.3">
      <c r="B22" s="6" t="s">
        <v>18</v>
      </c>
      <c r="C22" s="22"/>
      <c r="D22" s="62"/>
      <c r="E22" s="62"/>
      <c r="F22" s="62"/>
      <c r="G22" s="62"/>
      <c r="H22" s="12">
        <f t="shared" si="0"/>
        <v>44817</v>
      </c>
    </row>
    <row r="23" spans="2:10" x14ac:dyDescent="0.3">
      <c r="B23" s="6" t="s">
        <v>16</v>
      </c>
      <c r="C23" s="55"/>
      <c r="D23" s="22"/>
      <c r="E23" s="62"/>
      <c r="F23" s="62"/>
      <c r="G23" s="22"/>
      <c r="H23" s="12">
        <f t="shared" si="0"/>
        <v>44817</v>
      </c>
    </row>
    <row r="24" spans="2:10" x14ac:dyDescent="0.3">
      <c r="B24" s="50" t="s">
        <v>27</v>
      </c>
      <c r="C24" s="51">
        <f>SUM(Sept12_202210[KSI_AGO])</f>
        <v>648000</v>
      </c>
      <c r="D24" s="51">
        <f>SUBTOTAL(109,Sept12_202210[KSI_PMS])</f>
        <v>486000</v>
      </c>
      <c r="E24" s="51">
        <f>SUM(Sept12_202210[BUIPE_AGO])</f>
        <v>324000</v>
      </c>
      <c r="F24" s="51">
        <f>SUM(Sept12_202210[BUIPE_PMS])</f>
        <v>0</v>
      </c>
      <c r="G24" s="51">
        <f>SUM(Sept12_202210[AKOSOMBO_AGO])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C0819B15-6C8B-4E6D-B8CE-042ACEB26950}">
      <formula1>INDIRECT("BDC_List[BDC List]")</formula1>
    </dataValidation>
  </dataValidations>
  <pageMargins left="0.7" right="0.7" top="0.75" bottom="0.75" header="0.3" footer="0.3"/>
  <pageSetup orientation="portrait" horizontalDpi="4294967295" verticalDpi="4294967295" r:id="rId1"/>
  <drawing r:id="rId2"/>
  <tableParts count="1">
    <tablePart r:id="rId3"/>
  </tableParts>
</worksheet>
</file>

<file path=xl/worksheets/sheet6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5EB3-F4EC-4C23-8797-80904BDB0AFB}">
  <dimension ref="B1:K25"/>
  <sheetViews>
    <sheetView zoomScaleNormal="100" workbookViewId="0">
      <pane xSplit="2" ySplit="5" topLeftCell="C6" activePane="bottomRight" state="frozen"/>
      <selection pane="topRight" activeCell="C1" sqref="C1"/>
      <selection pane="bottomLeft" activeCell="A6" sqref="A6"/>
      <selection pane="bottomRight" activeCell="E19" sqref="E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44817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44817</v>
      </c>
    </row>
    <row r="7" spans="2:11" ht="16.5" customHeight="1" x14ac:dyDescent="0.3">
      <c r="B7" s="6" t="s">
        <v>37</v>
      </c>
      <c r="C7" s="57"/>
      <c r="D7" s="62"/>
      <c r="E7" s="62"/>
      <c r="F7" s="62"/>
      <c r="G7" s="62"/>
      <c r="H7" s="67">
        <f t="shared" si="0"/>
        <v>44817</v>
      </c>
    </row>
    <row r="8" spans="2:11" x14ac:dyDescent="0.3">
      <c r="B8" s="6" t="s">
        <v>17</v>
      </c>
      <c r="C8" s="22">
        <v>414500</v>
      </c>
      <c r="D8" s="22"/>
      <c r="E8" s="22">
        <v>675000</v>
      </c>
      <c r="F8" s="22"/>
      <c r="G8" s="22"/>
      <c r="H8" s="12">
        <f t="shared" si="0"/>
        <v>44817</v>
      </c>
    </row>
    <row r="9" spans="2:11" ht="15.6" x14ac:dyDescent="0.3">
      <c r="B9" s="34" t="s">
        <v>0</v>
      </c>
      <c r="C9" s="57"/>
      <c r="D9" s="57"/>
      <c r="E9" s="60"/>
      <c r="F9" s="60"/>
      <c r="G9" s="60"/>
      <c r="H9" s="12">
        <f t="shared" si="0"/>
        <v>44817</v>
      </c>
    </row>
    <row r="10" spans="2:11" x14ac:dyDescent="0.3">
      <c r="B10" s="6" t="s">
        <v>25</v>
      </c>
      <c r="C10" s="22"/>
      <c r="D10" s="22"/>
      <c r="E10" s="22"/>
      <c r="F10" s="22"/>
      <c r="G10" s="22"/>
      <c r="H10" s="12">
        <f t="shared" si="0"/>
        <v>44817</v>
      </c>
    </row>
    <row r="11" spans="2:11" x14ac:dyDescent="0.3">
      <c r="B11" s="6" t="s">
        <v>15</v>
      </c>
      <c r="C11" s="45"/>
      <c r="D11" s="22"/>
      <c r="E11" s="22"/>
      <c r="F11" s="22"/>
      <c r="G11" s="22"/>
      <c r="H11" s="12">
        <f t="shared" si="0"/>
        <v>44817</v>
      </c>
    </row>
    <row r="12" spans="2:11" x14ac:dyDescent="0.3">
      <c r="B12" s="6" t="s">
        <v>54</v>
      </c>
      <c r="C12" s="22">
        <v>1026000</v>
      </c>
      <c r="D12" s="22"/>
      <c r="E12" s="22"/>
      <c r="F12" s="22"/>
      <c r="G12" s="22"/>
      <c r="H12" s="67">
        <f t="shared" si="0"/>
        <v>44817</v>
      </c>
    </row>
    <row r="13" spans="2:11" x14ac:dyDescent="0.3">
      <c r="B13" s="6" t="s">
        <v>26</v>
      </c>
      <c r="C13" s="22"/>
      <c r="D13" s="22"/>
      <c r="E13" s="22"/>
      <c r="F13" s="22"/>
      <c r="G13" s="22"/>
      <c r="H13" s="12">
        <f t="shared" si="0"/>
        <v>44817</v>
      </c>
    </row>
    <row r="14" spans="2:11" x14ac:dyDescent="0.3">
      <c r="B14" s="6" t="s">
        <v>22</v>
      </c>
      <c r="C14" s="22"/>
      <c r="D14" s="22"/>
      <c r="E14" s="22"/>
      <c r="F14" s="22"/>
      <c r="G14" s="22"/>
      <c r="H14" s="12">
        <f t="shared" si="0"/>
        <v>44817</v>
      </c>
      <c r="K14" s="4"/>
    </row>
    <row r="15" spans="2:11" x14ac:dyDescent="0.3">
      <c r="B15" s="6" t="s">
        <v>61</v>
      </c>
      <c r="C15" s="22"/>
      <c r="D15" s="22"/>
      <c r="E15" s="22"/>
      <c r="F15" s="22"/>
      <c r="G15" s="22"/>
      <c r="H15" s="67">
        <f t="shared" si="0"/>
        <v>44817</v>
      </c>
      <c r="K15" s="4"/>
    </row>
    <row r="16" spans="2:11" x14ac:dyDescent="0.3">
      <c r="B16" s="6" t="s">
        <v>19</v>
      </c>
      <c r="C16" s="22"/>
      <c r="D16" s="22"/>
      <c r="E16" s="23"/>
      <c r="F16" s="22"/>
      <c r="G16" s="22"/>
      <c r="H16" s="12">
        <f t="shared" si="0"/>
        <v>44817</v>
      </c>
    </row>
    <row r="17" spans="2:10" x14ac:dyDescent="0.3">
      <c r="B17" s="6" t="s">
        <v>14</v>
      </c>
      <c r="C17" s="22"/>
      <c r="D17" s="22">
        <v>324000</v>
      </c>
      <c r="E17" s="22"/>
      <c r="F17" s="23"/>
      <c r="G17" s="22"/>
      <c r="H17" s="12">
        <f t="shared" si="0"/>
        <v>44817</v>
      </c>
    </row>
    <row r="18" spans="2:10" x14ac:dyDescent="0.3">
      <c r="B18" s="6" t="s">
        <v>24</v>
      </c>
      <c r="C18" s="22"/>
      <c r="D18" s="22"/>
      <c r="E18" s="22"/>
      <c r="F18" s="49"/>
      <c r="G18" s="22"/>
      <c r="H18" s="67">
        <f t="shared" si="0"/>
        <v>44817</v>
      </c>
    </row>
    <row r="19" spans="2:10" x14ac:dyDescent="0.3">
      <c r="B19" s="6" t="s">
        <v>21</v>
      </c>
      <c r="C19" s="22"/>
      <c r="D19" s="22"/>
      <c r="E19" s="22"/>
      <c r="F19" s="22"/>
      <c r="G19" s="22"/>
      <c r="H19" s="12">
        <f t="shared" si="0"/>
        <v>44817</v>
      </c>
      <c r="J19" s="1" t="s">
        <v>66</v>
      </c>
    </row>
    <row r="20" spans="2:10" x14ac:dyDescent="0.3">
      <c r="B20" s="6" t="s">
        <v>65</v>
      </c>
      <c r="C20" s="22"/>
      <c r="D20" s="22"/>
      <c r="E20" s="22"/>
      <c r="F20" s="22"/>
      <c r="G20" s="22"/>
      <c r="H20" s="67">
        <f t="shared" si="0"/>
        <v>44817</v>
      </c>
    </row>
    <row r="21" spans="2:10" x14ac:dyDescent="0.3">
      <c r="B21" s="126" t="s">
        <v>67</v>
      </c>
      <c r="C21" s="22"/>
      <c r="D21" s="22"/>
      <c r="E21" s="22"/>
      <c r="F21" s="127"/>
      <c r="G21" s="22"/>
      <c r="H21" s="128">
        <f t="shared" si="0"/>
        <v>44817</v>
      </c>
    </row>
    <row r="22" spans="2:10" x14ac:dyDescent="0.3">
      <c r="B22" s="6" t="s">
        <v>18</v>
      </c>
      <c r="C22" s="22"/>
      <c r="D22" s="62"/>
      <c r="E22" s="62"/>
      <c r="F22" s="62"/>
      <c r="G22" s="62"/>
      <c r="H22" s="12">
        <f t="shared" si="0"/>
        <v>44817</v>
      </c>
    </row>
    <row r="23" spans="2:10" x14ac:dyDescent="0.3">
      <c r="B23" s="6" t="s">
        <v>16</v>
      </c>
      <c r="C23" s="55"/>
      <c r="D23" s="22"/>
      <c r="E23" s="62"/>
      <c r="F23" s="62"/>
      <c r="G23" s="22"/>
      <c r="H23" s="12">
        <f t="shared" si="0"/>
        <v>44817</v>
      </c>
    </row>
    <row r="24" spans="2:10" x14ac:dyDescent="0.3">
      <c r="B24" s="50" t="s">
        <v>27</v>
      </c>
      <c r="C24" s="51">
        <f>SUM(Sept14_2022[KSI_AGO])</f>
        <v>1440500</v>
      </c>
      <c r="D24" s="51">
        <f>SUBTOTAL(109,Sept14_2022[KSI_PMS])</f>
        <v>324000</v>
      </c>
      <c r="E24" s="51">
        <f>SUM(Sept14_2022[BUIPE_AGO])</f>
        <v>675000</v>
      </c>
      <c r="F24" s="51">
        <f>SUM(Sept14_2022[BUIPE_PMS])</f>
        <v>0</v>
      </c>
      <c r="G24" s="51">
        <f>SUM(Sept14_2022[AKOSOMBO_AGO])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76CE8B75-CC91-46AE-9DEB-5B8657AB8E7D}">
      <formula1>INDIRECT("BDC_List[BDC List]")</formula1>
    </dataValidation>
  </dataValidations>
  <pageMargins left="0.7" right="0.7" top="0.75" bottom="0.75" header="0.3" footer="0.3"/>
  <pageSetup orientation="portrait" horizontalDpi="4294967295" verticalDpi="4294967295" r:id="rId1"/>
  <drawing r:id="rId2"/>
  <tableParts count="1">
    <tablePart r:id="rId3"/>
  </tableParts>
</worksheet>
</file>

<file path=xl/worksheets/sheet6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5B960-145B-46E0-938C-F6196452F4DD}">
  <dimension ref="B1:K25"/>
  <sheetViews>
    <sheetView zoomScaleNormal="100" workbookViewId="0">
      <pane xSplit="2" ySplit="5" topLeftCell="C8" activePane="bottomRight" state="frozen"/>
      <selection pane="topRight" activeCell="C1" sqref="C1"/>
      <selection pane="bottomLeft" activeCell="A6" sqref="A6"/>
      <selection pane="bottomRight"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44819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44819</v>
      </c>
    </row>
    <row r="7" spans="2:11" ht="16.5" customHeight="1" x14ac:dyDescent="0.3">
      <c r="B7" s="6" t="s">
        <v>37</v>
      </c>
      <c r="C7" s="57"/>
      <c r="D7" s="62"/>
      <c r="E7" s="62"/>
      <c r="F7" s="62"/>
      <c r="G7" s="62"/>
      <c r="H7" s="67">
        <f t="shared" si="0"/>
        <v>44819</v>
      </c>
    </row>
    <row r="8" spans="2:11" x14ac:dyDescent="0.3">
      <c r="B8" s="6" t="s">
        <v>17</v>
      </c>
      <c r="C8" s="22"/>
      <c r="D8" s="22"/>
      <c r="E8" s="22"/>
      <c r="F8" s="22"/>
      <c r="G8" s="22"/>
      <c r="H8" s="12">
        <f t="shared" si="0"/>
        <v>44819</v>
      </c>
    </row>
    <row r="9" spans="2:11" ht="15.6" x14ac:dyDescent="0.3">
      <c r="B9" s="34" t="s">
        <v>0</v>
      </c>
      <c r="C9" s="57"/>
      <c r="D9" s="57"/>
      <c r="E9" s="60"/>
      <c r="F9" s="60"/>
      <c r="G9" s="60"/>
      <c r="H9" s="12">
        <f t="shared" si="0"/>
        <v>44819</v>
      </c>
    </row>
    <row r="10" spans="2:11" x14ac:dyDescent="0.3">
      <c r="B10" s="6" t="s">
        <v>25</v>
      </c>
      <c r="C10" s="22"/>
      <c r="D10" s="22"/>
      <c r="E10" s="22"/>
      <c r="F10" s="22"/>
      <c r="G10" s="22"/>
      <c r="H10" s="12">
        <f t="shared" si="0"/>
        <v>44819</v>
      </c>
    </row>
    <row r="11" spans="2:11" x14ac:dyDescent="0.3">
      <c r="B11" s="6" t="s">
        <v>15</v>
      </c>
      <c r="C11" s="45"/>
      <c r="D11" s="22"/>
      <c r="E11" s="22"/>
      <c r="F11" s="22"/>
      <c r="G11" s="22"/>
      <c r="H11" s="12">
        <f t="shared" si="0"/>
        <v>44819</v>
      </c>
    </row>
    <row r="12" spans="2:11" x14ac:dyDescent="0.3">
      <c r="B12" s="6" t="s">
        <v>54</v>
      </c>
      <c r="C12" s="22">
        <v>536000</v>
      </c>
      <c r="D12" s="22"/>
      <c r="E12" s="22">
        <v>270000</v>
      </c>
      <c r="F12" s="22"/>
      <c r="G12" s="22"/>
      <c r="H12" s="67">
        <f t="shared" si="0"/>
        <v>44819</v>
      </c>
    </row>
    <row r="13" spans="2:11" x14ac:dyDescent="0.3">
      <c r="B13" s="6" t="s">
        <v>26</v>
      </c>
      <c r="C13" s="22"/>
      <c r="D13" s="22"/>
      <c r="E13" s="22"/>
      <c r="F13" s="22"/>
      <c r="G13" s="22"/>
      <c r="H13" s="12">
        <f t="shared" si="0"/>
        <v>44819</v>
      </c>
    </row>
    <row r="14" spans="2:11" x14ac:dyDescent="0.3">
      <c r="B14" s="6" t="s">
        <v>22</v>
      </c>
      <c r="C14" s="22"/>
      <c r="D14" s="22"/>
      <c r="E14" s="22"/>
      <c r="F14" s="22"/>
      <c r="G14" s="22"/>
      <c r="H14" s="12">
        <f t="shared" si="0"/>
        <v>44819</v>
      </c>
      <c r="K14" s="4"/>
    </row>
    <row r="15" spans="2:11" x14ac:dyDescent="0.3">
      <c r="B15" s="6" t="s">
        <v>61</v>
      </c>
      <c r="C15" s="22"/>
      <c r="D15" s="22"/>
      <c r="E15" s="22"/>
      <c r="F15" s="22"/>
      <c r="G15" s="22"/>
      <c r="H15" s="67">
        <f t="shared" si="0"/>
        <v>44819</v>
      </c>
      <c r="K15" s="4"/>
    </row>
    <row r="16" spans="2:11" x14ac:dyDescent="0.3">
      <c r="B16" s="6" t="s">
        <v>19</v>
      </c>
      <c r="C16" s="22">
        <v>918000</v>
      </c>
      <c r="D16" s="22">
        <v>846000</v>
      </c>
      <c r="E16" s="23">
        <v>432000</v>
      </c>
      <c r="F16" s="22"/>
      <c r="G16" s="22"/>
      <c r="H16" s="12">
        <f t="shared" si="0"/>
        <v>44819</v>
      </c>
    </row>
    <row r="17" spans="2:10" x14ac:dyDescent="0.3">
      <c r="B17" s="6" t="s">
        <v>14</v>
      </c>
      <c r="C17" s="22"/>
      <c r="D17" s="22"/>
      <c r="E17" s="22"/>
      <c r="F17" s="23"/>
      <c r="G17" s="22"/>
      <c r="H17" s="12">
        <f t="shared" si="0"/>
        <v>44819</v>
      </c>
    </row>
    <row r="18" spans="2:10" x14ac:dyDescent="0.3">
      <c r="B18" s="6" t="s">
        <v>24</v>
      </c>
      <c r="C18" s="22"/>
      <c r="D18" s="22"/>
      <c r="E18" s="22"/>
      <c r="F18" s="49"/>
      <c r="G18" s="22"/>
      <c r="H18" s="67">
        <f t="shared" si="0"/>
        <v>44819</v>
      </c>
    </row>
    <row r="19" spans="2:10" x14ac:dyDescent="0.3">
      <c r="B19" s="6" t="s">
        <v>21</v>
      </c>
      <c r="C19" s="22"/>
      <c r="D19" s="22"/>
      <c r="E19" s="22"/>
      <c r="F19" s="22"/>
      <c r="G19" s="22"/>
      <c r="H19" s="12">
        <f t="shared" si="0"/>
        <v>44819</v>
      </c>
      <c r="J19" s="1" t="s">
        <v>66</v>
      </c>
    </row>
    <row r="20" spans="2:10" x14ac:dyDescent="0.3">
      <c r="B20" s="6" t="s">
        <v>65</v>
      </c>
      <c r="C20" s="22"/>
      <c r="D20" s="22"/>
      <c r="E20" s="22"/>
      <c r="F20" s="22"/>
      <c r="G20" s="22"/>
      <c r="H20" s="67">
        <f t="shared" si="0"/>
        <v>44819</v>
      </c>
    </row>
    <row r="21" spans="2:10" x14ac:dyDescent="0.3">
      <c r="B21" s="126" t="s">
        <v>67</v>
      </c>
      <c r="C21" s="22"/>
      <c r="D21" s="22"/>
      <c r="E21" s="22"/>
      <c r="F21" s="127"/>
      <c r="G21" s="22"/>
      <c r="H21" s="128">
        <f t="shared" si="0"/>
        <v>44819</v>
      </c>
    </row>
    <row r="22" spans="2:10" x14ac:dyDescent="0.3">
      <c r="B22" s="6" t="s">
        <v>18</v>
      </c>
      <c r="C22" s="22"/>
      <c r="D22" s="62"/>
      <c r="E22" s="62"/>
      <c r="F22" s="62"/>
      <c r="G22" s="62"/>
      <c r="H22" s="12">
        <f t="shared" si="0"/>
        <v>44819</v>
      </c>
    </row>
    <row r="23" spans="2:10" x14ac:dyDescent="0.3">
      <c r="B23" s="6" t="s">
        <v>16</v>
      </c>
      <c r="C23" s="55"/>
      <c r="D23" s="22"/>
      <c r="E23" s="62"/>
      <c r="F23" s="62"/>
      <c r="G23" s="22"/>
      <c r="H23" s="12">
        <f t="shared" si="0"/>
        <v>44819</v>
      </c>
    </row>
    <row r="24" spans="2:10" x14ac:dyDescent="0.3">
      <c r="B24" s="50" t="s">
        <v>27</v>
      </c>
      <c r="C24" s="51">
        <f>SUM(Sept15_2022[KSI_AGO])</f>
        <v>1454000</v>
      </c>
      <c r="D24" s="51">
        <f>SUBTOTAL(109,Sept15_2022[KSI_PMS])</f>
        <v>846000</v>
      </c>
      <c r="E24" s="51">
        <f>SUM(Sept15_2022[BUIPE_AGO])</f>
        <v>702000</v>
      </c>
      <c r="F24" s="51">
        <f>SUM(Sept15_2022[BUIPE_PMS])</f>
        <v>0</v>
      </c>
      <c r="G24" s="51">
        <f>SUM(Sept15_2022[AKOSOMBO_AGO])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D9F6607E-523A-4491-BF3A-659FA8144D56}">
      <formula1>INDIRECT("BDC_List[BDC List]")</formula1>
    </dataValidation>
  </dataValidations>
  <pageMargins left="0.7" right="0.7" top="0.75" bottom="0.75" header="0.3" footer="0.3"/>
  <pageSetup orientation="portrait" horizontalDpi="4294967295" verticalDpi="4294967295" r:id="rId1"/>
  <drawing r:id="rId2"/>
  <tableParts count="1">
    <tablePart r:id="rId3"/>
  </tableParts>
</worksheet>
</file>

<file path=xl/worksheets/sheet6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CE39-8549-4AA9-AA45-229399D2E824}">
  <dimension ref="B1:K25"/>
  <sheetViews>
    <sheetView zoomScaleNormal="100" workbookViewId="0">
      <pane xSplit="2" ySplit="5" topLeftCell="C6" activePane="bottomRight" state="frozen"/>
      <selection pane="topRight" activeCell="C1" sqref="C1"/>
      <selection pane="bottomLeft" activeCell="A6" sqref="A6"/>
      <selection pane="bottomRight" activeCell="E21" sqref="E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44820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44820</v>
      </c>
    </row>
    <row r="7" spans="2:11" ht="16.5" customHeight="1" x14ac:dyDescent="0.3">
      <c r="B7" s="6" t="s">
        <v>37</v>
      </c>
      <c r="C7" s="57"/>
      <c r="D7" s="62"/>
      <c r="E7" s="62"/>
      <c r="F7" s="62"/>
      <c r="G7" s="62"/>
      <c r="H7" s="67">
        <f t="shared" si="0"/>
        <v>44820</v>
      </c>
    </row>
    <row r="8" spans="2:11" x14ac:dyDescent="0.3">
      <c r="B8" s="6" t="s">
        <v>17</v>
      </c>
      <c r="C8" s="22">
        <v>594000</v>
      </c>
      <c r="D8" s="22"/>
      <c r="E8" s="22"/>
      <c r="F8" s="22"/>
      <c r="G8" s="22"/>
      <c r="H8" s="12">
        <f t="shared" si="0"/>
        <v>44820</v>
      </c>
    </row>
    <row r="9" spans="2:11" ht="15.6" x14ac:dyDescent="0.3">
      <c r="B9" s="34" t="s">
        <v>0</v>
      </c>
      <c r="C9" s="57"/>
      <c r="D9" s="57"/>
      <c r="E9" s="60"/>
      <c r="F9" s="60"/>
      <c r="G9" s="60"/>
      <c r="H9" s="12">
        <f t="shared" si="0"/>
        <v>44820</v>
      </c>
    </row>
    <row r="10" spans="2:11" x14ac:dyDescent="0.3">
      <c r="B10" s="6" t="s">
        <v>25</v>
      </c>
      <c r="C10" s="22"/>
      <c r="D10" s="22"/>
      <c r="E10" s="22"/>
      <c r="F10" s="22"/>
      <c r="G10" s="22"/>
      <c r="H10" s="12">
        <f t="shared" si="0"/>
        <v>44820</v>
      </c>
    </row>
    <row r="11" spans="2:11" x14ac:dyDescent="0.3">
      <c r="B11" s="6" t="s">
        <v>15</v>
      </c>
      <c r="C11" s="45"/>
      <c r="D11" s="22"/>
      <c r="E11" s="22"/>
      <c r="F11" s="22"/>
      <c r="G11" s="22"/>
      <c r="H11" s="12">
        <f t="shared" si="0"/>
        <v>44820</v>
      </c>
    </row>
    <row r="12" spans="2:11" x14ac:dyDescent="0.3">
      <c r="B12" s="6" t="s">
        <v>54</v>
      </c>
      <c r="C12" s="22"/>
      <c r="D12" s="22"/>
      <c r="E12" s="22">
        <v>54000</v>
      </c>
      <c r="F12" s="22"/>
      <c r="G12" s="22"/>
      <c r="H12" s="67">
        <f t="shared" si="0"/>
        <v>44820</v>
      </c>
    </row>
    <row r="13" spans="2:11" x14ac:dyDescent="0.3">
      <c r="B13" s="6" t="s">
        <v>26</v>
      </c>
      <c r="C13" s="22"/>
      <c r="D13" s="22"/>
      <c r="E13" s="22"/>
      <c r="F13" s="22"/>
      <c r="G13" s="22"/>
      <c r="H13" s="12">
        <f t="shared" si="0"/>
        <v>44820</v>
      </c>
    </row>
    <row r="14" spans="2:11" x14ac:dyDescent="0.3">
      <c r="B14" s="6" t="s">
        <v>22</v>
      </c>
      <c r="C14" s="22"/>
      <c r="D14" s="22"/>
      <c r="E14" s="22"/>
      <c r="F14" s="22"/>
      <c r="G14" s="22"/>
      <c r="H14" s="12">
        <f t="shared" si="0"/>
        <v>44820</v>
      </c>
      <c r="K14" s="4"/>
    </row>
    <row r="15" spans="2:11" x14ac:dyDescent="0.3">
      <c r="B15" s="6" t="s">
        <v>61</v>
      </c>
      <c r="C15" s="22"/>
      <c r="D15" s="22"/>
      <c r="E15" s="22"/>
      <c r="F15" s="22"/>
      <c r="G15" s="22"/>
      <c r="H15" s="67">
        <f t="shared" si="0"/>
        <v>44820</v>
      </c>
      <c r="K15" s="4"/>
    </row>
    <row r="16" spans="2:11" x14ac:dyDescent="0.3">
      <c r="B16" s="6" t="s">
        <v>19</v>
      </c>
      <c r="C16" s="22">
        <v>1026000</v>
      </c>
      <c r="D16" s="22">
        <v>207000</v>
      </c>
      <c r="E16" s="23">
        <v>594000</v>
      </c>
      <c r="F16" s="22"/>
      <c r="G16" s="22"/>
      <c r="H16" s="12">
        <f t="shared" si="0"/>
        <v>44820</v>
      </c>
    </row>
    <row r="17" spans="2:10" x14ac:dyDescent="0.3">
      <c r="B17" s="6" t="s">
        <v>14</v>
      </c>
      <c r="C17" s="22"/>
      <c r="D17" s="22"/>
      <c r="E17" s="22"/>
      <c r="F17" s="23"/>
      <c r="G17" s="22"/>
      <c r="H17" s="12">
        <f t="shared" si="0"/>
        <v>44820</v>
      </c>
    </row>
    <row r="18" spans="2:10" x14ac:dyDescent="0.3">
      <c r="B18" s="6" t="s">
        <v>24</v>
      </c>
      <c r="C18" s="22"/>
      <c r="D18" s="22"/>
      <c r="E18" s="22"/>
      <c r="F18" s="49"/>
      <c r="G18" s="22"/>
      <c r="H18" s="67">
        <f t="shared" si="0"/>
        <v>44820</v>
      </c>
    </row>
    <row r="19" spans="2:10" x14ac:dyDescent="0.3">
      <c r="B19" s="6" t="s">
        <v>21</v>
      </c>
      <c r="C19" s="22"/>
      <c r="D19" s="22"/>
      <c r="E19" s="22"/>
      <c r="F19" s="22"/>
      <c r="G19" s="22"/>
      <c r="H19" s="12">
        <f t="shared" si="0"/>
        <v>44820</v>
      </c>
      <c r="J19" s="1" t="s">
        <v>66</v>
      </c>
    </row>
    <row r="20" spans="2:10" x14ac:dyDescent="0.3">
      <c r="B20" s="6" t="s">
        <v>65</v>
      </c>
      <c r="C20" s="22"/>
      <c r="D20" s="22"/>
      <c r="E20" s="22"/>
      <c r="F20" s="22"/>
      <c r="G20" s="22"/>
      <c r="H20" s="67">
        <f t="shared" si="0"/>
        <v>44820</v>
      </c>
    </row>
    <row r="21" spans="2:10" x14ac:dyDescent="0.3">
      <c r="B21" s="126" t="s">
        <v>67</v>
      </c>
      <c r="C21" s="22"/>
      <c r="D21" s="22"/>
      <c r="E21" s="22"/>
      <c r="F21" s="127"/>
      <c r="G21" s="22"/>
      <c r="H21" s="128">
        <f t="shared" si="0"/>
        <v>44820</v>
      </c>
    </row>
    <row r="22" spans="2:10" x14ac:dyDescent="0.3">
      <c r="B22" s="6" t="s">
        <v>18</v>
      </c>
      <c r="C22" s="22"/>
      <c r="D22" s="62"/>
      <c r="E22" s="62"/>
      <c r="F22" s="62"/>
      <c r="G22" s="62"/>
      <c r="H22" s="12">
        <f t="shared" si="0"/>
        <v>44820</v>
      </c>
    </row>
    <row r="23" spans="2:10" x14ac:dyDescent="0.3">
      <c r="B23" s="6" t="s">
        <v>16</v>
      </c>
      <c r="C23" s="55"/>
      <c r="D23" s="22">
        <v>54000</v>
      </c>
      <c r="E23" s="62"/>
      <c r="F23" s="62"/>
      <c r="G23" s="22"/>
      <c r="H23" s="12">
        <f t="shared" si="0"/>
        <v>44820</v>
      </c>
    </row>
    <row r="24" spans="2:10" x14ac:dyDescent="0.3">
      <c r="B24" s="50" t="s">
        <v>27</v>
      </c>
      <c r="C24" s="51">
        <f>SUM(Sept16_2022[KSI_AGO])</f>
        <v>1620000</v>
      </c>
      <c r="D24" s="51">
        <f>SUBTOTAL(109,Sept16_2022[KSI_PMS])</f>
        <v>261000</v>
      </c>
      <c r="E24" s="51">
        <f>SUM(Sept16_2022[BUIPE_AGO])</f>
        <v>648000</v>
      </c>
      <c r="F24" s="51">
        <f>SUM(Sept16_2022[BUIPE_PMS])</f>
        <v>0</v>
      </c>
      <c r="G24" s="51">
        <f>SUM(Sept16_2022[AKOSOMBO_AGO])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29DDE78D-FDF2-450C-AFF7-31110564C9B9}">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7421-8758-4F46-8722-EF7FCD6278AF}">
  <dimension ref="B1:K25"/>
  <sheetViews>
    <sheetView zoomScaleNormal="100" workbookViewId="0">
      <pane xSplit="2" ySplit="5" topLeftCell="C6" activePane="bottomRight" state="frozen"/>
      <selection pane="topRight" activeCell="C1" sqref="C1"/>
      <selection pane="bottomLeft" activeCell="A6" sqref="A6"/>
      <selection pane="bottomRight" activeCell="K6" sqref="K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44823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44823</v>
      </c>
    </row>
    <row r="7" spans="2:11" ht="16.5" customHeight="1" x14ac:dyDescent="0.3">
      <c r="B7" s="6" t="s">
        <v>37</v>
      </c>
      <c r="C7" s="57"/>
      <c r="D7" s="62"/>
      <c r="E7" s="62"/>
      <c r="F7" s="62"/>
      <c r="G7" s="62"/>
      <c r="H7" s="67">
        <f t="shared" si="0"/>
        <v>44823</v>
      </c>
    </row>
    <row r="8" spans="2:11" x14ac:dyDescent="0.3">
      <c r="B8" s="6" t="s">
        <v>17</v>
      </c>
      <c r="C8" s="22">
        <v>270000</v>
      </c>
      <c r="D8" s="22"/>
      <c r="E8" s="22"/>
      <c r="F8" s="22"/>
      <c r="G8" s="22"/>
      <c r="H8" s="12">
        <f t="shared" si="0"/>
        <v>44823</v>
      </c>
    </row>
    <row r="9" spans="2:11" ht="15.6" x14ac:dyDescent="0.3">
      <c r="B9" s="34" t="s">
        <v>0</v>
      </c>
      <c r="C9" s="57"/>
      <c r="D9" s="57"/>
      <c r="E9" s="60"/>
      <c r="F9" s="60"/>
      <c r="G9" s="60"/>
      <c r="H9" s="12">
        <f t="shared" si="0"/>
        <v>44823</v>
      </c>
    </row>
    <row r="10" spans="2:11" x14ac:dyDescent="0.3">
      <c r="B10" s="6" t="s">
        <v>25</v>
      </c>
      <c r="C10" s="22"/>
      <c r="D10" s="22"/>
      <c r="E10" s="22"/>
      <c r="F10" s="22"/>
      <c r="G10" s="22"/>
      <c r="H10" s="12">
        <f t="shared" si="0"/>
        <v>44823</v>
      </c>
    </row>
    <row r="11" spans="2:11" x14ac:dyDescent="0.3">
      <c r="B11" s="6" t="s">
        <v>15</v>
      </c>
      <c r="C11" s="45"/>
      <c r="D11" s="22"/>
      <c r="E11" s="22"/>
      <c r="F11" s="22"/>
      <c r="G11" s="22"/>
      <c r="H11" s="12">
        <f t="shared" si="0"/>
        <v>44823</v>
      </c>
    </row>
    <row r="12" spans="2:11" x14ac:dyDescent="0.3">
      <c r="B12" s="6" t="s">
        <v>54</v>
      </c>
      <c r="C12" s="22"/>
      <c r="D12" s="22"/>
      <c r="E12" s="22"/>
      <c r="F12" s="22"/>
      <c r="G12" s="22"/>
      <c r="H12" s="67">
        <f t="shared" si="0"/>
        <v>44823</v>
      </c>
    </row>
    <row r="13" spans="2:11" x14ac:dyDescent="0.3">
      <c r="B13" s="6" t="s">
        <v>26</v>
      </c>
      <c r="C13" s="22"/>
      <c r="D13" s="22"/>
      <c r="E13" s="22"/>
      <c r="F13" s="22"/>
      <c r="G13" s="22"/>
      <c r="H13" s="12">
        <f t="shared" si="0"/>
        <v>44823</v>
      </c>
    </row>
    <row r="14" spans="2:11" x14ac:dyDescent="0.3">
      <c r="B14" s="6" t="s">
        <v>22</v>
      </c>
      <c r="C14" s="22"/>
      <c r="D14" s="22"/>
      <c r="E14" s="22"/>
      <c r="F14" s="22"/>
      <c r="G14" s="22"/>
      <c r="H14" s="12">
        <f t="shared" si="0"/>
        <v>44823</v>
      </c>
      <c r="K14" s="4"/>
    </row>
    <row r="15" spans="2:11" x14ac:dyDescent="0.3">
      <c r="B15" s="6" t="s">
        <v>61</v>
      </c>
      <c r="C15" s="22"/>
      <c r="D15" s="22"/>
      <c r="E15" s="22"/>
      <c r="F15" s="22"/>
      <c r="G15" s="22"/>
      <c r="H15" s="67">
        <f t="shared" si="0"/>
        <v>44823</v>
      </c>
      <c r="K15" s="4"/>
    </row>
    <row r="16" spans="2:11" x14ac:dyDescent="0.3">
      <c r="B16" s="6" t="s">
        <v>19</v>
      </c>
      <c r="C16" s="22">
        <v>702000</v>
      </c>
      <c r="D16" s="22"/>
      <c r="E16" s="23">
        <v>54000</v>
      </c>
      <c r="F16" s="22"/>
      <c r="G16" s="22"/>
      <c r="H16" s="12">
        <f t="shared" si="0"/>
        <v>44823</v>
      </c>
    </row>
    <row r="17" spans="2:10" x14ac:dyDescent="0.3">
      <c r="B17" s="6" t="s">
        <v>14</v>
      </c>
      <c r="C17" s="22"/>
      <c r="D17" s="22"/>
      <c r="E17" s="22"/>
      <c r="F17" s="23"/>
      <c r="G17" s="22"/>
      <c r="H17" s="12">
        <f t="shared" si="0"/>
        <v>44823</v>
      </c>
    </row>
    <row r="18" spans="2:10" x14ac:dyDescent="0.3">
      <c r="B18" s="6" t="s">
        <v>24</v>
      </c>
      <c r="C18" s="22"/>
      <c r="D18" s="22"/>
      <c r="E18" s="22"/>
      <c r="F18" s="49"/>
      <c r="G18" s="22"/>
      <c r="H18" s="67">
        <f t="shared" si="0"/>
        <v>44823</v>
      </c>
    </row>
    <row r="19" spans="2:10" x14ac:dyDescent="0.3">
      <c r="B19" s="6" t="s">
        <v>21</v>
      </c>
      <c r="C19" s="22"/>
      <c r="D19" s="22"/>
      <c r="E19" s="22"/>
      <c r="F19" s="22"/>
      <c r="G19" s="22"/>
      <c r="H19" s="12">
        <f t="shared" si="0"/>
        <v>44823</v>
      </c>
      <c r="J19" s="1" t="s">
        <v>66</v>
      </c>
    </row>
    <row r="20" spans="2:10" x14ac:dyDescent="0.3">
      <c r="B20" s="6" t="s">
        <v>65</v>
      </c>
      <c r="C20" s="22"/>
      <c r="D20" s="22"/>
      <c r="E20" s="22"/>
      <c r="F20" s="22"/>
      <c r="G20" s="22"/>
      <c r="H20" s="67">
        <f t="shared" si="0"/>
        <v>44823</v>
      </c>
    </row>
    <row r="21" spans="2:10" x14ac:dyDescent="0.3">
      <c r="B21" s="126" t="s">
        <v>67</v>
      </c>
      <c r="C21" s="22"/>
      <c r="D21" s="22"/>
      <c r="E21" s="22"/>
      <c r="F21" s="127"/>
      <c r="G21" s="22"/>
      <c r="H21" s="128">
        <f t="shared" si="0"/>
        <v>44823</v>
      </c>
    </row>
    <row r="22" spans="2:10" x14ac:dyDescent="0.3">
      <c r="B22" s="6" t="s">
        <v>18</v>
      </c>
      <c r="C22" s="22"/>
      <c r="D22" s="62"/>
      <c r="E22" s="62"/>
      <c r="F22" s="62"/>
      <c r="G22" s="62"/>
      <c r="H22" s="12">
        <f t="shared" si="0"/>
        <v>44823</v>
      </c>
    </row>
    <row r="23" spans="2:10" x14ac:dyDescent="0.3">
      <c r="B23" s="6" t="s">
        <v>16</v>
      </c>
      <c r="C23" s="55"/>
      <c r="D23" s="22"/>
      <c r="E23" s="62"/>
      <c r="F23" s="62"/>
      <c r="G23" s="22"/>
      <c r="H23" s="12">
        <f t="shared" si="0"/>
        <v>44823</v>
      </c>
    </row>
    <row r="24" spans="2:10" x14ac:dyDescent="0.3">
      <c r="B24" s="50" t="s">
        <v>27</v>
      </c>
      <c r="C24" s="51">
        <f>SUM(Sept19_2022[KSI_AGO])</f>
        <v>972000</v>
      </c>
      <c r="D24" s="51">
        <f>SUBTOTAL(109,Sept19_2022[KSI_PMS])</f>
        <v>0</v>
      </c>
      <c r="E24" s="51">
        <f>SUM(Sept19_2022[BUIPE_AGO])</f>
        <v>54000</v>
      </c>
      <c r="F24" s="51">
        <f>SUM(Sept19_2022[BUIPE_PMS])</f>
        <v>0</v>
      </c>
      <c r="G24" s="51">
        <f>SUM(Sept19_2022[AKOSOMBO_AGO])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196368D9-7C31-41E1-B0F3-08300E7D8C34}">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1D16-2FBE-49AE-B2DC-6ABC24679CBB}">
  <dimension ref="B1:K25"/>
  <sheetViews>
    <sheetView zoomScaleNormal="100" workbookViewId="0">
      <pane xSplit="2" ySplit="5" topLeftCell="C6" activePane="bottomRight" state="frozen"/>
      <selection pane="topRight" activeCell="C1" sqref="C1"/>
      <selection pane="bottomLeft" activeCell="A6" sqref="A6"/>
      <selection pane="bottomRight" activeCell="C16" sqref="C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44824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44824</v>
      </c>
    </row>
    <row r="7" spans="2:11" ht="16.5" customHeight="1" x14ac:dyDescent="0.3">
      <c r="B7" s="6" t="s">
        <v>37</v>
      </c>
      <c r="C7" s="57"/>
      <c r="D7" s="62"/>
      <c r="E7" s="62"/>
      <c r="F7" s="62"/>
      <c r="G7" s="62"/>
      <c r="H7" s="67">
        <f t="shared" si="0"/>
        <v>44824</v>
      </c>
    </row>
    <row r="8" spans="2:11" x14ac:dyDescent="0.3">
      <c r="B8" s="6" t="s">
        <v>17</v>
      </c>
      <c r="C8" s="22"/>
      <c r="D8" s="22"/>
      <c r="E8" s="22"/>
      <c r="F8" s="22"/>
      <c r="G8" s="22"/>
      <c r="H8" s="12">
        <f t="shared" si="0"/>
        <v>44824</v>
      </c>
    </row>
    <row r="9" spans="2:11" ht="15.6" x14ac:dyDescent="0.3">
      <c r="B9" s="34" t="s">
        <v>0</v>
      </c>
      <c r="C9" s="57"/>
      <c r="D9" s="57"/>
      <c r="E9" s="60"/>
      <c r="F9" s="60"/>
      <c r="G9" s="60"/>
      <c r="H9" s="12">
        <f t="shared" si="0"/>
        <v>44824</v>
      </c>
    </row>
    <row r="10" spans="2:11" x14ac:dyDescent="0.3">
      <c r="B10" s="6" t="s">
        <v>25</v>
      </c>
      <c r="C10" s="22"/>
      <c r="D10" s="22"/>
      <c r="E10" s="22"/>
      <c r="F10" s="22"/>
      <c r="G10" s="22"/>
      <c r="H10" s="12">
        <f t="shared" si="0"/>
        <v>44824</v>
      </c>
    </row>
    <row r="11" spans="2:11" x14ac:dyDescent="0.3">
      <c r="B11" s="6" t="s">
        <v>15</v>
      </c>
      <c r="C11" s="45"/>
      <c r="D11" s="22"/>
      <c r="E11" s="22"/>
      <c r="F11" s="22"/>
      <c r="G11" s="22"/>
      <c r="H11" s="12">
        <f t="shared" si="0"/>
        <v>44824</v>
      </c>
    </row>
    <row r="12" spans="2:11" x14ac:dyDescent="0.3">
      <c r="B12" s="6" t="s">
        <v>54</v>
      </c>
      <c r="C12" s="22"/>
      <c r="D12" s="22"/>
      <c r="E12" s="22"/>
      <c r="F12" s="22"/>
      <c r="G12" s="22"/>
      <c r="H12" s="67">
        <f t="shared" si="0"/>
        <v>44824</v>
      </c>
    </row>
    <row r="13" spans="2:11" x14ac:dyDescent="0.3">
      <c r="B13" s="6" t="s">
        <v>26</v>
      </c>
      <c r="C13" s="22"/>
      <c r="D13" s="22"/>
      <c r="E13" s="22"/>
      <c r="F13" s="22"/>
      <c r="G13" s="22"/>
      <c r="H13" s="12">
        <f t="shared" si="0"/>
        <v>44824</v>
      </c>
    </row>
    <row r="14" spans="2:11" x14ac:dyDescent="0.3">
      <c r="B14" s="6" t="s">
        <v>22</v>
      </c>
      <c r="C14" s="22"/>
      <c r="D14" s="22"/>
      <c r="E14" s="22"/>
      <c r="F14" s="22"/>
      <c r="G14" s="22"/>
      <c r="H14" s="12">
        <f t="shared" si="0"/>
        <v>44824</v>
      </c>
      <c r="K14" s="4"/>
    </row>
    <row r="15" spans="2:11" x14ac:dyDescent="0.3">
      <c r="B15" s="6" t="s">
        <v>61</v>
      </c>
      <c r="C15" s="22"/>
      <c r="D15" s="22"/>
      <c r="E15" s="22"/>
      <c r="F15" s="22"/>
      <c r="G15" s="22"/>
      <c r="H15" s="67">
        <f t="shared" si="0"/>
        <v>44824</v>
      </c>
      <c r="K15" s="4"/>
    </row>
    <row r="16" spans="2:11" x14ac:dyDescent="0.3">
      <c r="B16" s="6" t="s">
        <v>19</v>
      </c>
      <c r="C16" s="22"/>
      <c r="D16" s="22"/>
      <c r="E16" s="23"/>
      <c r="F16" s="22"/>
      <c r="G16" s="22"/>
      <c r="H16" s="12">
        <f t="shared" si="0"/>
        <v>44824</v>
      </c>
    </row>
    <row r="17" spans="2:10" x14ac:dyDescent="0.3">
      <c r="B17" s="6" t="s">
        <v>14</v>
      </c>
      <c r="C17" s="22"/>
      <c r="D17" s="22">
        <v>432000</v>
      </c>
      <c r="E17" s="23">
        <v>756000</v>
      </c>
      <c r="F17" s="23"/>
      <c r="G17" s="22"/>
      <c r="H17" s="12">
        <f t="shared" si="0"/>
        <v>44824</v>
      </c>
    </row>
    <row r="18" spans="2:10" x14ac:dyDescent="0.3">
      <c r="B18" s="6" t="s">
        <v>24</v>
      </c>
      <c r="C18" s="22"/>
      <c r="D18" s="22"/>
      <c r="E18" s="22"/>
      <c r="F18" s="49"/>
      <c r="G18" s="22"/>
      <c r="H18" s="67">
        <f t="shared" si="0"/>
        <v>44824</v>
      </c>
    </row>
    <row r="19" spans="2:10" x14ac:dyDescent="0.3">
      <c r="B19" s="6" t="s">
        <v>21</v>
      </c>
      <c r="C19" s="22"/>
      <c r="D19" s="22"/>
      <c r="E19" s="22"/>
      <c r="F19" s="22"/>
      <c r="G19" s="22"/>
      <c r="H19" s="12">
        <f t="shared" si="0"/>
        <v>44824</v>
      </c>
      <c r="J19" s="1" t="s">
        <v>66</v>
      </c>
    </row>
    <row r="20" spans="2:10" x14ac:dyDescent="0.3">
      <c r="B20" s="6" t="s">
        <v>65</v>
      </c>
      <c r="C20" s="22"/>
      <c r="D20" s="22"/>
      <c r="E20" s="22"/>
      <c r="F20" s="22"/>
      <c r="G20" s="22"/>
      <c r="H20" s="67">
        <f t="shared" si="0"/>
        <v>44824</v>
      </c>
    </row>
    <row r="21" spans="2:10" x14ac:dyDescent="0.3">
      <c r="B21" s="126" t="s">
        <v>67</v>
      </c>
      <c r="C21" s="22"/>
      <c r="D21" s="22"/>
      <c r="E21" s="22"/>
      <c r="F21" s="127"/>
      <c r="G21" s="22"/>
      <c r="H21" s="128">
        <f t="shared" si="0"/>
        <v>44824</v>
      </c>
    </row>
    <row r="22" spans="2:10" x14ac:dyDescent="0.3">
      <c r="B22" s="6" t="s">
        <v>18</v>
      </c>
      <c r="C22" s="22"/>
      <c r="D22" s="62"/>
      <c r="E22" s="62"/>
      <c r="F22" s="62"/>
      <c r="G22" s="62"/>
      <c r="H22" s="12">
        <f t="shared" si="0"/>
        <v>44824</v>
      </c>
    </row>
    <row r="23" spans="2:10" x14ac:dyDescent="0.3">
      <c r="B23" s="6" t="s">
        <v>16</v>
      </c>
      <c r="C23" s="55"/>
      <c r="D23" s="22"/>
      <c r="E23" s="62"/>
      <c r="F23" s="62"/>
      <c r="G23" s="22"/>
      <c r="H23" s="12">
        <f t="shared" si="0"/>
        <v>44824</v>
      </c>
    </row>
    <row r="24" spans="2:10" x14ac:dyDescent="0.3">
      <c r="B24" s="50" t="s">
        <v>27</v>
      </c>
      <c r="C24" s="51">
        <f>SUM(Sept20_2022[KSI_AGO])</f>
        <v>0</v>
      </c>
      <c r="D24" s="51">
        <f>SUBTOTAL(109,Sept20_2022[KSI_PMS])</f>
        <v>432000</v>
      </c>
      <c r="E24" s="51">
        <f>SUM(Sept20_2022[BUIPE_AGO])</f>
        <v>756000</v>
      </c>
      <c r="F24" s="51">
        <f>SUM(Sept20_2022[BUIPE_PMS])</f>
        <v>0</v>
      </c>
      <c r="G24" s="51">
        <f>SUM(Sept20_2022[AKOSOMBO_AGO])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5958ACC5-2AAA-4D47-AD7E-1075D04197C6}">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3EA76-E407-43B2-8D5D-BB4292230345}">
  <dimension ref="B1:K25"/>
  <sheetViews>
    <sheetView zoomScaleNormal="100" workbookViewId="0">
      <pane xSplit="2" ySplit="5" topLeftCell="C6" activePane="bottomRight" state="frozen"/>
      <selection pane="topRight" activeCell="C1" sqref="C1"/>
      <selection pane="bottomLeft" activeCell="A6" sqref="A6"/>
      <selection pane="bottomRight" activeCell="B21" sqref="B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44826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44826</v>
      </c>
    </row>
    <row r="7" spans="2:11" ht="16.5" customHeight="1" x14ac:dyDescent="0.3">
      <c r="B7" s="6" t="s">
        <v>37</v>
      </c>
      <c r="C7" s="57"/>
      <c r="D7" s="62"/>
      <c r="E7" s="62"/>
      <c r="F7" s="62"/>
      <c r="G7" s="62"/>
      <c r="H7" s="67">
        <f t="shared" si="0"/>
        <v>44826</v>
      </c>
    </row>
    <row r="8" spans="2:11" x14ac:dyDescent="0.3">
      <c r="B8" s="6" t="s">
        <v>17</v>
      </c>
      <c r="C8" s="22"/>
      <c r="D8" s="22"/>
      <c r="E8" s="22"/>
      <c r="F8" s="22"/>
      <c r="G8" s="22"/>
      <c r="H8" s="12">
        <f t="shared" si="0"/>
        <v>44826</v>
      </c>
    </row>
    <row r="9" spans="2:11" ht="15.6" x14ac:dyDescent="0.3">
      <c r="B9" s="34" t="s">
        <v>0</v>
      </c>
      <c r="C9" s="57"/>
      <c r="D9" s="57"/>
      <c r="E9" s="60"/>
      <c r="F9" s="60"/>
      <c r="G9" s="60"/>
      <c r="H9" s="12">
        <f t="shared" si="0"/>
        <v>44826</v>
      </c>
    </row>
    <row r="10" spans="2:11" x14ac:dyDescent="0.3">
      <c r="B10" s="6" t="s">
        <v>25</v>
      </c>
      <c r="C10" s="22"/>
      <c r="D10" s="22"/>
      <c r="E10" s="22"/>
      <c r="F10" s="22"/>
      <c r="G10" s="22"/>
      <c r="H10" s="12">
        <f t="shared" si="0"/>
        <v>44826</v>
      </c>
    </row>
    <row r="11" spans="2:11" x14ac:dyDescent="0.3">
      <c r="B11" s="6" t="s">
        <v>15</v>
      </c>
      <c r="C11" s="45"/>
      <c r="D11" s="22"/>
      <c r="E11" s="22"/>
      <c r="F11" s="22"/>
      <c r="G11" s="22"/>
      <c r="H11" s="12">
        <f t="shared" si="0"/>
        <v>44826</v>
      </c>
    </row>
    <row r="12" spans="2:11" x14ac:dyDescent="0.3">
      <c r="B12" s="6" t="s">
        <v>54</v>
      </c>
      <c r="C12" s="22"/>
      <c r="D12" s="22"/>
      <c r="E12" s="22"/>
      <c r="F12" s="22"/>
      <c r="G12" s="22"/>
      <c r="H12" s="67">
        <f t="shared" si="0"/>
        <v>44826</v>
      </c>
    </row>
    <row r="13" spans="2:11" x14ac:dyDescent="0.3">
      <c r="B13" s="6" t="s">
        <v>26</v>
      </c>
      <c r="C13" s="22"/>
      <c r="D13" s="22"/>
      <c r="E13" s="22"/>
      <c r="F13" s="22"/>
      <c r="G13" s="22"/>
      <c r="H13" s="12">
        <f t="shared" si="0"/>
        <v>44826</v>
      </c>
    </row>
    <row r="14" spans="2:11" x14ac:dyDescent="0.3">
      <c r="B14" s="6" t="s">
        <v>22</v>
      </c>
      <c r="C14" s="22"/>
      <c r="D14" s="22"/>
      <c r="E14" s="22"/>
      <c r="F14" s="22"/>
      <c r="G14" s="22"/>
      <c r="H14" s="12">
        <f t="shared" si="0"/>
        <v>44826</v>
      </c>
      <c r="K14" s="4"/>
    </row>
    <row r="15" spans="2:11" x14ac:dyDescent="0.3">
      <c r="B15" s="6" t="s">
        <v>61</v>
      </c>
      <c r="C15" s="22"/>
      <c r="D15" s="22"/>
      <c r="E15" s="22"/>
      <c r="F15" s="22"/>
      <c r="G15" s="22"/>
      <c r="H15" s="67">
        <f t="shared" si="0"/>
        <v>44826</v>
      </c>
      <c r="K15" s="4"/>
    </row>
    <row r="16" spans="2:11" x14ac:dyDescent="0.3">
      <c r="B16" s="6" t="s">
        <v>19</v>
      </c>
      <c r="C16" s="22">
        <v>54000</v>
      </c>
      <c r="D16" s="22"/>
      <c r="E16" s="23"/>
      <c r="F16" s="22"/>
      <c r="G16" s="22"/>
      <c r="H16" s="12">
        <f t="shared" si="0"/>
        <v>44826</v>
      </c>
    </row>
    <row r="17" spans="2:10" x14ac:dyDescent="0.3">
      <c r="B17" s="6" t="s">
        <v>14</v>
      </c>
      <c r="C17" s="22">
        <v>484000</v>
      </c>
      <c r="D17" s="22">
        <v>859500</v>
      </c>
      <c r="E17" s="23">
        <v>153000</v>
      </c>
      <c r="F17" s="23">
        <v>1026000</v>
      </c>
      <c r="G17" s="22"/>
      <c r="H17" s="12">
        <f t="shared" si="0"/>
        <v>44826</v>
      </c>
    </row>
    <row r="18" spans="2:10" x14ac:dyDescent="0.3">
      <c r="B18" s="6" t="s">
        <v>24</v>
      </c>
      <c r="C18" s="22"/>
      <c r="D18" s="22"/>
      <c r="E18" s="22"/>
      <c r="F18" s="49"/>
      <c r="G18" s="22"/>
      <c r="H18" s="67">
        <f t="shared" si="0"/>
        <v>44826</v>
      </c>
    </row>
    <row r="19" spans="2:10" x14ac:dyDescent="0.3">
      <c r="B19" s="6" t="s">
        <v>21</v>
      </c>
      <c r="C19" s="22"/>
      <c r="D19" s="22"/>
      <c r="E19" s="22"/>
      <c r="F19" s="22"/>
      <c r="G19" s="22"/>
      <c r="H19" s="12">
        <f t="shared" si="0"/>
        <v>44826</v>
      </c>
      <c r="J19" s="1" t="s">
        <v>66</v>
      </c>
    </row>
    <row r="20" spans="2:10" x14ac:dyDescent="0.3">
      <c r="B20" s="6" t="s">
        <v>65</v>
      </c>
      <c r="C20" s="22"/>
      <c r="D20" s="22"/>
      <c r="E20" s="22"/>
      <c r="F20" s="22"/>
      <c r="G20" s="22"/>
      <c r="H20" s="67">
        <f t="shared" si="0"/>
        <v>44826</v>
      </c>
    </row>
    <row r="21" spans="2:10" x14ac:dyDescent="0.3">
      <c r="B21" s="126" t="s">
        <v>67</v>
      </c>
      <c r="C21" s="22"/>
      <c r="D21" s="22">
        <v>324000</v>
      </c>
      <c r="E21" s="22"/>
      <c r="F21" s="127"/>
      <c r="G21" s="22"/>
      <c r="H21" s="128">
        <f t="shared" si="0"/>
        <v>44826</v>
      </c>
    </row>
    <row r="22" spans="2:10" x14ac:dyDescent="0.3">
      <c r="B22" s="6" t="s">
        <v>18</v>
      </c>
      <c r="C22" s="22"/>
      <c r="D22" s="62">
        <v>432000</v>
      </c>
      <c r="E22" s="62"/>
      <c r="F22" s="62"/>
      <c r="G22" s="62"/>
      <c r="H22" s="12">
        <f t="shared" si="0"/>
        <v>44826</v>
      </c>
    </row>
    <row r="23" spans="2:10" x14ac:dyDescent="0.3">
      <c r="B23" s="6" t="s">
        <v>16</v>
      </c>
      <c r="C23" s="55"/>
      <c r="D23" s="22"/>
      <c r="E23" s="62"/>
      <c r="F23" s="62"/>
      <c r="G23" s="22"/>
      <c r="H23" s="12">
        <f t="shared" si="0"/>
        <v>44826</v>
      </c>
    </row>
    <row r="24" spans="2:10" x14ac:dyDescent="0.3">
      <c r="B24" s="50" t="s">
        <v>27</v>
      </c>
      <c r="C24" s="51">
        <f>SUM(Sept22_2022[KSI_AGO])</f>
        <v>538000</v>
      </c>
      <c r="D24" s="51">
        <f>SUBTOTAL(109,Sept22_2022[KSI_PMS])</f>
        <v>1615500</v>
      </c>
      <c r="E24" s="51">
        <f>SUM(Sept22_2022[BUIPE_AGO])</f>
        <v>153000</v>
      </c>
      <c r="F24" s="51">
        <f>SUM(Sept22_2022[BUIPE_PMS])</f>
        <v>1026000</v>
      </c>
      <c r="G24" s="51">
        <f>SUM(Sept22_2022[AKOSOMBO_AGO])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AD886521-0BB0-4EBA-A902-6E8037F0D0A0}">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38FF-EB5D-4E8F-999C-ECD37CF82AA1}">
  <dimension ref="B1:K25"/>
  <sheetViews>
    <sheetView zoomScaleNormal="100" workbookViewId="0">
      <pane xSplit="2" ySplit="5" topLeftCell="C6" activePane="bottomRight" state="frozen"/>
      <selection pane="topRight" activeCell="C1" sqref="C1"/>
      <selection pane="bottomLeft" activeCell="A6" sqref="A6"/>
      <selection pane="bottomRight" activeCell="D27" sqref="D2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44827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44827</v>
      </c>
    </row>
    <row r="7" spans="2:11" ht="16.5" customHeight="1" x14ac:dyDescent="0.3">
      <c r="B7" s="6" t="s">
        <v>37</v>
      </c>
      <c r="C7" s="57"/>
      <c r="D7" s="62"/>
      <c r="E7" s="62"/>
      <c r="F7" s="62"/>
      <c r="G7" s="62"/>
      <c r="H7" s="67">
        <f t="shared" si="0"/>
        <v>44827</v>
      </c>
    </row>
    <row r="8" spans="2:11" x14ac:dyDescent="0.3">
      <c r="B8" s="6" t="s">
        <v>17</v>
      </c>
      <c r="C8" s="22">
        <v>135000</v>
      </c>
      <c r="D8" s="22"/>
      <c r="E8" s="22"/>
      <c r="F8" s="22"/>
      <c r="G8" s="22"/>
      <c r="H8" s="12">
        <f t="shared" si="0"/>
        <v>44827</v>
      </c>
    </row>
    <row r="9" spans="2:11" ht="15.6" x14ac:dyDescent="0.3">
      <c r="B9" s="34" t="s">
        <v>0</v>
      </c>
      <c r="C9" s="57"/>
      <c r="D9" s="57"/>
      <c r="E9" s="60"/>
      <c r="F9" s="60"/>
      <c r="G9" s="60"/>
      <c r="H9" s="12">
        <f t="shared" si="0"/>
        <v>44827</v>
      </c>
    </row>
    <row r="10" spans="2:11" x14ac:dyDescent="0.3">
      <c r="B10" s="6" t="s">
        <v>25</v>
      </c>
      <c r="C10" s="22"/>
      <c r="D10" s="22"/>
      <c r="E10" s="22"/>
      <c r="F10" s="22"/>
      <c r="G10" s="22"/>
      <c r="H10" s="12">
        <f t="shared" si="0"/>
        <v>44827</v>
      </c>
    </row>
    <row r="11" spans="2:11" x14ac:dyDescent="0.3">
      <c r="B11" s="6" t="s">
        <v>15</v>
      </c>
      <c r="C11" s="45"/>
      <c r="D11" s="22"/>
      <c r="E11" s="22"/>
      <c r="F11" s="22"/>
      <c r="G11" s="22"/>
      <c r="H11" s="12">
        <f t="shared" si="0"/>
        <v>44827</v>
      </c>
    </row>
    <row r="12" spans="2:11" x14ac:dyDescent="0.3">
      <c r="B12" s="6" t="s">
        <v>54</v>
      </c>
      <c r="C12" s="22"/>
      <c r="D12" s="22"/>
      <c r="E12" s="22"/>
      <c r="F12" s="22"/>
      <c r="G12" s="22"/>
      <c r="H12" s="67">
        <f t="shared" si="0"/>
        <v>44827</v>
      </c>
    </row>
    <row r="13" spans="2:11" x14ac:dyDescent="0.3">
      <c r="B13" s="6" t="s">
        <v>26</v>
      </c>
      <c r="C13" s="22">
        <v>900000</v>
      </c>
      <c r="D13" s="22"/>
      <c r="E13" s="22">
        <v>108000</v>
      </c>
      <c r="F13" s="22"/>
      <c r="G13" s="22"/>
      <c r="H13" s="12">
        <f t="shared" si="0"/>
        <v>44827</v>
      </c>
    </row>
    <row r="14" spans="2:11" x14ac:dyDescent="0.3">
      <c r="B14" s="6" t="s">
        <v>22</v>
      </c>
      <c r="C14" s="22"/>
      <c r="D14" s="22"/>
      <c r="E14" s="22"/>
      <c r="F14" s="22"/>
      <c r="G14" s="22"/>
      <c r="H14" s="12">
        <f t="shared" si="0"/>
        <v>44827</v>
      </c>
      <c r="K14" s="4"/>
    </row>
    <row r="15" spans="2:11" x14ac:dyDescent="0.3">
      <c r="B15" s="6" t="s">
        <v>61</v>
      </c>
      <c r="C15" s="22"/>
      <c r="D15" s="22"/>
      <c r="E15" s="22"/>
      <c r="F15" s="22"/>
      <c r="G15" s="22"/>
      <c r="H15" s="67">
        <f t="shared" si="0"/>
        <v>44827</v>
      </c>
      <c r="K15" s="4"/>
    </row>
    <row r="16" spans="2:11" x14ac:dyDescent="0.3">
      <c r="B16" s="6" t="s">
        <v>19</v>
      </c>
      <c r="C16" s="22"/>
      <c r="D16" s="22"/>
      <c r="E16" s="23"/>
      <c r="F16" s="22"/>
      <c r="G16" s="22"/>
      <c r="H16" s="12">
        <f t="shared" si="0"/>
        <v>44827</v>
      </c>
    </row>
    <row r="17" spans="2:10" x14ac:dyDescent="0.3">
      <c r="B17" s="6" t="s">
        <v>14</v>
      </c>
      <c r="C17" s="22">
        <v>697500</v>
      </c>
      <c r="D17" s="22">
        <v>1279000</v>
      </c>
      <c r="E17" s="23"/>
      <c r="F17" s="23">
        <v>270000</v>
      </c>
      <c r="G17" s="22"/>
      <c r="H17" s="12">
        <f t="shared" si="0"/>
        <v>44827</v>
      </c>
    </row>
    <row r="18" spans="2:10" x14ac:dyDescent="0.3">
      <c r="B18" s="6" t="s">
        <v>24</v>
      </c>
      <c r="C18" s="22"/>
      <c r="D18" s="22"/>
      <c r="E18" s="22"/>
      <c r="F18" s="49"/>
      <c r="G18" s="22"/>
      <c r="H18" s="67">
        <f t="shared" si="0"/>
        <v>44827</v>
      </c>
    </row>
    <row r="19" spans="2:10" x14ac:dyDescent="0.3">
      <c r="B19" s="6" t="s">
        <v>21</v>
      </c>
      <c r="C19" s="22">
        <v>90000</v>
      </c>
      <c r="D19" s="22"/>
      <c r="E19" s="22"/>
      <c r="F19" s="22"/>
      <c r="G19" s="22"/>
      <c r="H19" s="12">
        <f t="shared" si="0"/>
        <v>44827</v>
      </c>
      <c r="J19" s="1" t="s">
        <v>66</v>
      </c>
    </row>
    <row r="20" spans="2:10" x14ac:dyDescent="0.3">
      <c r="B20" s="6" t="s">
        <v>65</v>
      </c>
      <c r="C20" s="22"/>
      <c r="D20" s="22"/>
      <c r="E20" s="22"/>
      <c r="F20" s="22"/>
      <c r="G20" s="22"/>
      <c r="H20" s="67">
        <f t="shared" si="0"/>
        <v>44827</v>
      </c>
    </row>
    <row r="21" spans="2:10" x14ac:dyDescent="0.3">
      <c r="B21" s="126" t="s">
        <v>67</v>
      </c>
      <c r="C21" s="57"/>
      <c r="D21" s="22">
        <v>54000</v>
      </c>
      <c r="E21" s="22"/>
      <c r="F21" s="127"/>
      <c r="G21" s="22"/>
      <c r="H21" s="128">
        <f t="shared" si="0"/>
        <v>44827</v>
      </c>
    </row>
    <row r="22" spans="2:10" x14ac:dyDescent="0.3">
      <c r="B22" s="6" t="s">
        <v>18</v>
      </c>
      <c r="C22" s="22"/>
      <c r="D22" s="62">
        <v>535500</v>
      </c>
      <c r="E22" s="62"/>
      <c r="F22" s="62"/>
      <c r="G22" s="62"/>
      <c r="H22" s="12">
        <f t="shared" si="0"/>
        <v>44827</v>
      </c>
    </row>
    <row r="23" spans="2:10" x14ac:dyDescent="0.3">
      <c r="B23" s="6" t="s">
        <v>16</v>
      </c>
      <c r="C23" s="55"/>
      <c r="D23" s="22"/>
      <c r="E23" s="62"/>
      <c r="F23" s="62"/>
      <c r="G23" s="22"/>
      <c r="H23" s="12">
        <f t="shared" si="0"/>
        <v>44827</v>
      </c>
    </row>
    <row r="24" spans="2:10" x14ac:dyDescent="0.3">
      <c r="B24" s="50" t="s">
        <v>27</v>
      </c>
      <c r="C24" s="51">
        <f>SUM(Sept23_2022[KSI_AGO])</f>
        <v>1822500</v>
      </c>
      <c r="D24" s="51">
        <f>SUBTOTAL(109,Sept23_2022[KSI_PMS])</f>
        <v>1868500</v>
      </c>
      <c r="E24" s="51">
        <f>SUM(Sept23_2022[BUIPE_AGO])</f>
        <v>108000</v>
      </c>
      <c r="F24" s="51">
        <f>SUM(Sept23_2022[BUIPE_PMS])</f>
        <v>270000</v>
      </c>
      <c r="G24" s="51">
        <f>SUM(Sept23_2022[AKOSOMBO_AGO])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A62D6945-A060-4B5E-8B08-497476D2ED54}">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BB4D-0001-493F-8494-C0C11EFE9BDE}">
  <dimension ref="B1:K25"/>
  <sheetViews>
    <sheetView zoomScaleNormal="100" workbookViewId="0">
      <pane xSplit="2" ySplit="5" topLeftCell="C6" activePane="bottomRight" state="frozen"/>
      <selection pane="topRight" activeCell="C1" sqref="C1"/>
      <selection pane="bottomLeft" activeCell="A6" sqref="A6"/>
      <selection pane="bottomRight" activeCell="F16" sqref="F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44830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44830</v>
      </c>
    </row>
    <row r="7" spans="2:11" ht="16.5" customHeight="1" x14ac:dyDescent="0.3">
      <c r="B7" s="6" t="s">
        <v>37</v>
      </c>
      <c r="C7" s="57"/>
      <c r="D7" s="62"/>
      <c r="E7" s="62"/>
      <c r="F7" s="62"/>
      <c r="G7" s="62"/>
      <c r="H7" s="67">
        <f t="shared" si="0"/>
        <v>44830</v>
      </c>
    </row>
    <row r="8" spans="2:11" x14ac:dyDescent="0.3">
      <c r="B8" s="6" t="s">
        <v>17</v>
      </c>
      <c r="C8" s="22">
        <v>810000</v>
      </c>
      <c r="D8" s="22"/>
      <c r="E8" s="22"/>
      <c r="F8" s="22"/>
      <c r="G8" s="22"/>
      <c r="H8" s="12">
        <f t="shared" si="0"/>
        <v>44830</v>
      </c>
    </row>
    <row r="9" spans="2:11" ht="15.6" x14ac:dyDescent="0.3">
      <c r="B9" s="34" t="s">
        <v>0</v>
      </c>
      <c r="C9" s="57"/>
      <c r="D9" s="57">
        <v>1404000</v>
      </c>
      <c r="E9" s="60"/>
      <c r="F9" s="60"/>
      <c r="G9" s="60"/>
      <c r="H9" s="12">
        <f t="shared" si="0"/>
        <v>44830</v>
      </c>
    </row>
    <row r="10" spans="2:11" x14ac:dyDescent="0.3">
      <c r="B10" s="6" t="s">
        <v>25</v>
      </c>
      <c r="C10" s="22"/>
      <c r="D10" s="22"/>
      <c r="E10" s="22"/>
      <c r="F10" s="22"/>
      <c r="G10" s="22"/>
      <c r="H10" s="12">
        <f t="shared" si="0"/>
        <v>44830</v>
      </c>
    </row>
    <row r="11" spans="2:11" x14ac:dyDescent="0.3">
      <c r="B11" s="6" t="s">
        <v>15</v>
      </c>
      <c r="C11" s="45"/>
      <c r="D11" s="22"/>
      <c r="E11" s="22"/>
      <c r="F11" s="22"/>
      <c r="G11" s="22"/>
      <c r="H11" s="12">
        <f t="shared" si="0"/>
        <v>44830</v>
      </c>
    </row>
    <row r="12" spans="2:11" x14ac:dyDescent="0.3">
      <c r="B12" s="6" t="s">
        <v>54</v>
      </c>
      <c r="C12" s="22"/>
      <c r="D12" s="22"/>
      <c r="E12" s="22"/>
      <c r="F12" s="22"/>
      <c r="G12" s="22"/>
      <c r="H12" s="67">
        <f t="shared" si="0"/>
        <v>44830</v>
      </c>
    </row>
    <row r="13" spans="2:11" x14ac:dyDescent="0.3">
      <c r="B13" s="6" t="s">
        <v>26</v>
      </c>
      <c r="C13" s="22"/>
      <c r="D13" s="22"/>
      <c r="E13" s="22">
        <v>140000</v>
      </c>
      <c r="F13" s="22"/>
      <c r="G13" s="22"/>
      <c r="H13" s="12">
        <f t="shared" si="0"/>
        <v>44830</v>
      </c>
    </row>
    <row r="14" spans="2:11" x14ac:dyDescent="0.3">
      <c r="B14" s="6" t="s">
        <v>22</v>
      </c>
      <c r="C14" s="22"/>
      <c r="D14" s="22"/>
      <c r="E14" s="22"/>
      <c r="F14" s="22"/>
      <c r="G14" s="22"/>
      <c r="H14" s="12">
        <f t="shared" si="0"/>
        <v>44830</v>
      </c>
      <c r="K14" s="4"/>
    </row>
    <row r="15" spans="2:11" x14ac:dyDescent="0.3">
      <c r="B15" s="6" t="s">
        <v>61</v>
      </c>
      <c r="C15" s="22"/>
      <c r="D15" s="22"/>
      <c r="E15" s="22"/>
      <c r="F15" s="22"/>
      <c r="G15" s="22"/>
      <c r="H15" s="67">
        <f t="shared" si="0"/>
        <v>44830</v>
      </c>
      <c r="K15" s="4"/>
    </row>
    <row r="16" spans="2:11" x14ac:dyDescent="0.3">
      <c r="B16" s="6" t="s">
        <v>19</v>
      </c>
      <c r="C16" s="22"/>
      <c r="D16" s="22"/>
      <c r="E16" s="23"/>
      <c r="F16" s="22"/>
      <c r="G16" s="22"/>
      <c r="H16" s="12">
        <f t="shared" si="0"/>
        <v>44830</v>
      </c>
    </row>
    <row r="17" spans="2:10" x14ac:dyDescent="0.3">
      <c r="B17" s="6" t="s">
        <v>14</v>
      </c>
      <c r="C17" s="22"/>
      <c r="D17" s="22">
        <v>469000</v>
      </c>
      <c r="E17" s="23"/>
      <c r="F17" s="23"/>
      <c r="G17" s="22"/>
      <c r="H17" s="12">
        <f t="shared" si="0"/>
        <v>44830</v>
      </c>
    </row>
    <row r="18" spans="2:10" x14ac:dyDescent="0.3">
      <c r="B18" s="6" t="s">
        <v>24</v>
      </c>
      <c r="C18" s="22"/>
      <c r="D18" s="22"/>
      <c r="E18" s="22"/>
      <c r="F18" s="49"/>
      <c r="G18" s="22"/>
      <c r="H18" s="67">
        <f t="shared" si="0"/>
        <v>44830</v>
      </c>
    </row>
    <row r="19" spans="2:10" x14ac:dyDescent="0.3">
      <c r="B19" s="6" t="s">
        <v>21</v>
      </c>
      <c r="C19" s="22"/>
      <c r="D19" s="22"/>
      <c r="E19" s="22"/>
      <c r="F19" s="22"/>
      <c r="G19" s="22"/>
      <c r="H19" s="12">
        <f t="shared" si="0"/>
        <v>44830</v>
      </c>
      <c r="J19" s="1" t="s">
        <v>66</v>
      </c>
    </row>
    <row r="20" spans="2:10" x14ac:dyDescent="0.3">
      <c r="B20" s="6" t="s">
        <v>65</v>
      </c>
      <c r="C20" s="22"/>
      <c r="D20" s="22"/>
      <c r="E20" s="22"/>
      <c r="F20" s="22"/>
      <c r="G20" s="22"/>
      <c r="H20" s="67">
        <f t="shared" si="0"/>
        <v>44830</v>
      </c>
    </row>
    <row r="21" spans="2:10" x14ac:dyDescent="0.3">
      <c r="B21" s="6" t="s">
        <v>67</v>
      </c>
      <c r="C21" s="57"/>
      <c r="D21" s="22"/>
      <c r="E21" s="22"/>
      <c r="F21" s="22"/>
      <c r="G21" s="22"/>
      <c r="H21" s="54">
        <f t="shared" si="0"/>
        <v>44830</v>
      </c>
    </row>
    <row r="22" spans="2:10" x14ac:dyDescent="0.3">
      <c r="B22" s="6" t="s">
        <v>18</v>
      </c>
      <c r="C22" s="22"/>
      <c r="D22" s="62"/>
      <c r="E22" s="62"/>
      <c r="F22" s="62"/>
      <c r="G22" s="62"/>
      <c r="H22" s="12">
        <f t="shared" si="0"/>
        <v>44830</v>
      </c>
    </row>
    <row r="23" spans="2:10" x14ac:dyDescent="0.3">
      <c r="B23" s="6" t="s">
        <v>16</v>
      </c>
      <c r="C23" s="55"/>
      <c r="D23" s="22"/>
      <c r="E23" s="62"/>
      <c r="F23" s="62"/>
      <c r="G23" s="22"/>
      <c r="H23" s="12">
        <f t="shared" si="0"/>
        <v>44830</v>
      </c>
    </row>
    <row r="24" spans="2:10" x14ac:dyDescent="0.3">
      <c r="B24" s="50" t="s">
        <v>27</v>
      </c>
      <c r="C24" s="51">
        <f>SUM(Sept26_2022[KSI_AGO])</f>
        <v>810000</v>
      </c>
      <c r="D24" s="51">
        <f>SUBTOTAL(109,Sept26_2022[KSI_PMS])</f>
        <v>1873000</v>
      </c>
      <c r="E24" s="51">
        <f>SUM(Sept26_2022[BUIPE_AGO])</f>
        <v>140000</v>
      </c>
      <c r="F24" s="51">
        <f>SUM(Sept26_2022[BUIPE_PMS])</f>
        <v>0</v>
      </c>
      <c r="G24" s="51">
        <f>SUM(Sept26_2022[AKOSOMBO_AGO])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0CDA1221-B3B2-4AC3-90C3-D941E46B52AF}">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67E8-82BC-4360-B1C9-86D3F8C44D89}">
  <dimension ref="B1:K25"/>
  <sheetViews>
    <sheetView zoomScaleNormal="100" workbookViewId="0">
      <pane xSplit="2" ySplit="5" topLeftCell="C6" activePane="bottomRight" state="frozen"/>
      <selection pane="topRight" activeCell="C1" sqref="C1"/>
      <selection pane="bottomLeft" activeCell="A6" sqref="A6"/>
      <selection pane="bottomRight" activeCell="D9" sqref="D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44831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44831</v>
      </c>
    </row>
    <row r="7" spans="2:11" ht="16.5" customHeight="1" x14ac:dyDescent="0.3">
      <c r="B7" s="6" t="s">
        <v>37</v>
      </c>
      <c r="C7" s="57"/>
      <c r="D7" s="62"/>
      <c r="E7" s="62"/>
      <c r="F7" s="62"/>
      <c r="G7" s="62"/>
      <c r="H7" s="67">
        <f t="shared" si="0"/>
        <v>44831</v>
      </c>
    </row>
    <row r="8" spans="2:11" x14ac:dyDescent="0.3">
      <c r="B8" s="6" t="s">
        <v>17</v>
      </c>
      <c r="C8" s="22">
        <v>50000</v>
      </c>
      <c r="D8" s="22"/>
      <c r="E8" s="22"/>
      <c r="F8" s="22"/>
      <c r="G8" s="22"/>
      <c r="H8" s="12">
        <f t="shared" si="0"/>
        <v>44831</v>
      </c>
    </row>
    <row r="9" spans="2:11" ht="15.6" x14ac:dyDescent="0.3">
      <c r="B9" s="34" t="s">
        <v>0</v>
      </c>
      <c r="C9" s="57"/>
      <c r="D9" s="57">
        <v>1350000</v>
      </c>
      <c r="E9" s="60"/>
      <c r="F9" s="60"/>
      <c r="G9" s="60"/>
      <c r="H9" s="12">
        <f t="shared" si="0"/>
        <v>44831</v>
      </c>
    </row>
    <row r="10" spans="2:11" x14ac:dyDescent="0.3">
      <c r="B10" s="6" t="s">
        <v>25</v>
      </c>
      <c r="C10" s="57"/>
      <c r="D10" s="22"/>
      <c r="E10" s="22"/>
      <c r="F10" s="22"/>
      <c r="G10" s="22"/>
      <c r="H10" s="12">
        <f t="shared" si="0"/>
        <v>44831</v>
      </c>
    </row>
    <row r="11" spans="2:11" x14ac:dyDescent="0.3">
      <c r="B11" s="6" t="s">
        <v>15</v>
      </c>
      <c r="C11" s="57"/>
      <c r="D11" s="45">
        <v>162000</v>
      </c>
      <c r="E11" s="22"/>
      <c r="F11" s="22"/>
      <c r="G11" s="22"/>
      <c r="H11" s="12">
        <f t="shared" si="0"/>
        <v>44831</v>
      </c>
    </row>
    <row r="12" spans="2:11" x14ac:dyDescent="0.3">
      <c r="B12" s="6" t="s">
        <v>54</v>
      </c>
      <c r="C12" s="57"/>
      <c r="D12" s="22"/>
      <c r="E12" s="22"/>
      <c r="F12" s="22"/>
      <c r="G12" s="22"/>
      <c r="H12" s="67">
        <f t="shared" si="0"/>
        <v>44831</v>
      </c>
    </row>
    <row r="13" spans="2:11" x14ac:dyDescent="0.3">
      <c r="B13" s="6" t="s">
        <v>26</v>
      </c>
      <c r="C13" s="57"/>
      <c r="D13" s="22"/>
      <c r="E13" s="22"/>
      <c r="F13" s="22"/>
      <c r="G13" s="22"/>
      <c r="H13" s="12">
        <f t="shared" si="0"/>
        <v>44831</v>
      </c>
    </row>
    <row r="14" spans="2:11" x14ac:dyDescent="0.3">
      <c r="B14" s="6" t="s">
        <v>22</v>
      </c>
      <c r="C14" s="57"/>
      <c r="D14" s="22"/>
      <c r="E14" s="22"/>
      <c r="F14" s="22"/>
      <c r="G14" s="22"/>
      <c r="H14" s="12">
        <f t="shared" si="0"/>
        <v>44831</v>
      </c>
      <c r="K14" s="4"/>
    </row>
    <row r="15" spans="2:11" x14ac:dyDescent="0.3">
      <c r="B15" s="6" t="s">
        <v>61</v>
      </c>
      <c r="C15" s="57"/>
      <c r="D15" s="22"/>
      <c r="E15" s="22"/>
      <c r="F15" s="22"/>
      <c r="G15" s="22"/>
      <c r="H15" s="67">
        <f t="shared" si="0"/>
        <v>44831</v>
      </c>
      <c r="K15" s="4"/>
    </row>
    <row r="16" spans="2:11" x14ac:dyDescent="0.3">
      <c r="B16" s="6" t="s">
        <v>19</v>
      </c>
      <c r="C16" s="57"/>
      <c r="D16" s="22"/>
      <c r="E16" s="23"/>
      <c r="F16" s="22"/>
      <c r="G16" s="22"/>
      <c r="H16" s="12">
        <f t="shared" si="0"/>
        <v>44831</v>
      </c>
    </row>
    <row r="17" spans="2:10" x14ac:dyDescent="0.3">
      <c r="B17" s="6" t="s">
        <v>14</v>
      </c>
      <c r="C17" s="57"/>
      <c r="D17" s="22">
        <v>423000</v>
      </c>
      <c r="E17" s="23"/>
      <c r="F17" s="23"/>
      <c r="G17" s="22"/>
      <c r="H17" s="12">
        <f t="shared" si="0"/>
        <v>44831</v>
      </c>
    </row>
    <row r="18" spans="2:10" x14ac:dyDescent="0.3">
      <c r="B18" s="6" t="s">
        <v>24</v>
      </c>
      <c r="C18" s="57"/>
      <c r="D18" s="22"/>
      <c r="E18" s="22"/>
      <c r="F18" s="49"/>
      <c r="G18" s="22"/>
      <c r="H18" s="67">
        <f t="shared" si="0"/>
        <v>44831</v>
      </c>
    </row>
    <row r="19" spans="2:10" x14ac:dyDescent="0.3">
      <c r="B19" s="6" t="s">
        <v>21</v>
      </c>
      <c r="C19" s="57"/>
      <c r="D19" s="22"/>
      <c r="E19" s="22"/>
      <c r="F19" s="22"/>
      <c r="G19" s="22"/>
      <c r="H19" s="12">
        <f t="shared" si="0"/>
        <v>44831</v>
      </c>
      <c r="J19" s="1" t="s">
        <v>66</v>
      </c>
    </row>
    <row r="20" spans="2:10" x14ac:dyDescent="0.3">
      <c r="B20" s="6" t="s">
        <v>65</v>
      </c>
      <c r="C20" s="57"/>
      <c r="D20" s="22"/>
      <c r="E20" s="22"/>
      <c r="F20" s="22"/>
      <c r="G20" s="22"/>
      <c r="H20" s="67">
        <f t="shared" si="0"/>
        <v>44831</v>
      </c>
    </row>
    <row r="21" spans="2:10" x14ac:dyDescent="0.3">
      <c r="B21" s="6" t="s">
        <v>67</v>
      </c>
      <c r="C21" s="57"/>
      <c r="D21" s="57"/>
      <c r="E21" s="22"/>
      <c r="F21" s="22"/>
      <c r="G21" s="22"/>
      <c r="H21" s="54">
        <f t="shared" si="0"/>
        <v>44831</v>
      </c>
    </row>
    <row r="22" spans="2:10" x14ac:dyDescent="0.3">
      <c r="B22" s="6" t="s">
        <v>18</v>
      </c>
      <c r="C22" s="57"/>
      <c r="D22" s="22"/>
      <c r="E22" s="62"/>
      <c r="F22" s="62"/>
      <c r="G22" s="62"/>
      <c r="H22" s="12">
        <f t="shared" si="0"/>
        <v>44831</v>
      </c>
    </row>
    <row r="23" spans="2:10" x14ac:dyDescent="0.3">
      <c r="B23" s="6" t="s">
        <v>16</v>
      </c>
      <c r="C23" s="121"/>
      <c r="D23" s="55">
        <v>216000</v>
      </c>
      <c r="E23" s="62"/>
      <c r="F23" s="62">
        <v>108000</v>
      </c>
      <c r="G23" s="22"/>
      <c r="H23" s="12">
        <f t="shared" si="0"/>
        <v>44831</v>
      </c>
    </row>
    <row r="24" spans="2:10" x14ac:dyDescent="0.3">
      <c r="B24" s="50" t="s">
        <v>27</v>
      </c>
      <c r="C24" s="51">
        <f>SUM(Sept27_2022[KSI_AGO])</f>
        <v>50000</v>
      </c>
      <c r="D24" s="51">
        <f>SUBTOTAL(109,Sept27_2022[KSI_PMS])</f>
        <v>2151000</v>
      </c>
      <c r="E24" s="51">
        <f>SUM(Sept27_2022[BUIPE_AGO])</f>
        <v>0</v>
      </c>
      <c r="F24" s="51">
        <f>SUM(Sept27_2022[BUIPE_PMS])</f>
        <v>108000</v>
      </c>
      <c r="G24" s="51">
        <f>SUM(Sept27_2022[AKOSOMBO_AGO])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46E6EB1D-B25A-4344-8DDB-DA51B73C7150}">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8B9D-3693-41FC-B953-4CC02B964A1C}">
  <dimension ref="B1:K25"/>
  <sheetViews>
    <sheetView zoomScaleNormal="100" workbookViewId="0">
      <pane xSplit="2" ySplit="5" topLeftCell="C6" activePane="bottomRight" state="frozen"/>
      <selection pane="topRight" activeCell="C1" sqref="C1"/>
      <selection pane="bottomLeft" activeCell="A6" sqref="A6"/>
      <selection pane="bottomRight" activeCell="C17" sqref="C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44832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44832</v>
      </c>
    </row>
    <row r="7" spans="2:11" ht="16.5" customHeight="1" x14ac:dyDescent="0.3">
      <c r="B7" s="6" t="s">
        <v>37</v>
      </c>
      <c r="C7" s="57"/>
      <c r="D7" s="62"/>
      <c r="E7" s="62"/>
      <c r="F7" s="62"/>
      <c r="G7" s="62"/>
      <c r="H7" s="67">
        <f t="shared" si="0"/>
        <v>44832</v>
      </c>
    </row>
    <row r="8" spans="2:11" x14ac:dyDescent="0.3">
      <c r="B8" s="6" t="s">
        <v>17</v>
      </c>
      <c r="C8" s="22">
        <v>50000</v>
      </c>
      <c r="D8" s="22"/>
      <c r="E8" s="22"/>
      <c r="F8" s="22"/>
      <c r="G8" s="22"/>
      <c r="H8" s="12">
        <f t="shared" si="0"/>
        <v>44832</v>
      </c>
    </row>
    <row r="9" spans="2:11" ht="15.6" x14ac:dyDescent="0.3">
      <c r="B9" s="34" t="s">
        <v>0</v>
      </c>
      <c r="C9" s="57">
        <v>2214000</v>
      </c>
      <c r="D9" s="57">
        <v>1724000</v>
      </c>
      <c r="E9" s="60">
        <v>270000</v>
      </c>
      <c r="F9" s="60"/>
      <c r="G9" s="60"/>
      <c r="H9" s="12">
        <f t="shared" si="0"/>
        <v>44832</v>
      </c>
    </row>
    <row r="10" spans="2:11" x14ac:dyDescent="0.3">
      <c r="B10" s="6" t="s">
        <v>25</v>
      </c>
      <c r="C10" s="57"/>
      <c r="D10" s="22"/>
      <c r="E10" s="22"/>
      <c r="F10" s="22"/>
      <c r="G10" s="22"/>
      <c r="H10" s="12">
        <f t="shared" si="0"/>
        <v>44832</v>
      </c>
    </row>
    <row r="11" spans="2:11" x14ac:dyDescent="0.3">
      <c r="B11" s="6" t="s">
        <v>15</v>
      </c>
      <c r="C11" s="57"/>
      <c r="D11" s="45">
        <v>54000</v>
      </c>
      <c r="E11" s="22"/>
      <c r="F11" s="22"/>
      <c r="G11" s="22"/>
      <c r="H11" s="12">
        <f t="shared" si="0"/>
        <v>44832</v>
      </c>
    </row>
    <row r="12" spans="2:11" x14ac:dyDescent="0.3">
      <c r="B12" s="6" t="s">
        <v>54</v>
      </c>
      <c r="C12" s="57"/>
      <c r="D12" s="22"/>
      <c r="E12" s="22"/>
      <c r="F12" s="22"/>
      <c r="G12" s="22"/>
      <c r="H12" s="67">
        <f t="shared" si="0"/>
        <v>44832</v>
      </c>
    </row>
    <row r="13" spans="2:11" x14ac:dyDescent="0.3">
      <c r="B13" s="6" t="s">
        <v>26</v>
      </c>
      <c r="C13" s="57"/>
      <c r="D13" s="22"/>
      <c r="E13" s="22">
        <v>50000</v>
      </c>
      <c r="F13" s="22"/>
      <c r="G13" s="22"/>
      <c r="H13" s="12">
        <f t="shared" si="0"/>
        <v>44832</v>
      </c>
    </row>
    <row r="14" spans="2:11" x14ac:dyDescent="0.3">
      <c r="B14" s="6" t="s">
        <v>22</v>
      </c>
      <c r="C14" s="57"/>
      <c r="D14" s="22"/>
      <c r="E14" s="22"/>
      <c r="F14" s="22"/>
      <c r="G14" s="22"/>
      <c r="H14" s="12">
        <f t="shared" si="0"/>
        <v>44832</v>
      </c>
      <c r="K14" s="4"/>
    </row>
    <row r="15" spans="2:11" x14ac:dyDescent="0.3">
      <c r="B15" s="6" t="s">
        <v>61</v>
      </c>
      <c r="C15" s="57"/>
      <c r="D15" s="22"/>
      <c r="E15" s="22"/>
      <c r="F15" s="22"/>
      <c r="G15" s="22"/>
      <c r="H15" s="67">
        <f t="shared" si="0"/>
        <v>44832</v>
      </c>
      <c r="K15" s="4"/>
    </row>
    <row r="16" spans="2:11" x14ac:dyDescent="0.3">
      <c r="B16" s="6" t="s">
        <v>19</v>
      </c>
      <c r="C16" s="57"/>
      <c r="D16" s="22"/>
      <c r="E16" s="23"/>
      <c r="F16" s="22"/>
      <c r="G16" s="22"/>
      <c r="H16" s="12">
        <f t="shared" si="0"/>
        <v>44832</v>
      </c>
    </row>
    <row r="17" spans="2:10" x14ac:dyDescent="0.3">
      <c r="B17" s="6" t="s">
        <v>14</v>
      </c>
      <c r="C17" s="57"/>
      <c r="D17" s="22">
        <v>202000</v>
      </c>
      <c r="E17" s="23"/>
      <c r="F17" s="23"/>
      <c r="G17" s="22"/>
      <c r="H17" s="12">
        <f t="shared" si="0"/>
        <v>44832</v>
      </c>
    </row>
    <row r="18" spans="2:10" x14ac:dyDescent="0.3">
      <c r="B18" s="6" t="s">
        <v>24</v>
      </c>
      <c r="C18" s="57"/>
      <c r="D18" s="22"/>
      <c r="E18" s="22"/>
      <c r="F18" s="49"/>
      <c r="G18" s="22"/>
      <c r="H18" s="67">
        <f t="shared" si="0"/>
        <v>44832</v>
      </c>
    </row>
    <row r="19" spans="2:10" x14ac:dyDescent="0.3">
      <c r="B19" s="6" t="s">
        <v>21</v>
      </c>
      <c r="C19" s="57"/>
      <c r="D19" s="22"/>
      <c r="E19" s="22"/>
      <c r="F19" s="22"/>
      <c r="G19" s="22"/>
      <c r="H19" s="12">
        <f t="shared" si="0"/>
        <v>44832</v>
      </c>
      <c r="J19" s="1" t="s">
        <v>66</v>
      </c>
    </row>
    <row r="20" spans="2:10" x14ac:dyDescent="0.3">
      <c r="B20" s="6" t="s">
        <v>65</v>
      </c>
      <c r="C20" s="57"/>
      <c r="D20" s="22"/>
      <c r="E20" s="22"/>
      <c r="F20" s="22"/>
      <c r="G20" s="22"/>
      <c r="H20" s="67">
        <f t="shared" si="0"/>
        <v>44832</v>
      </c>
    </row>
    <row r="21" spans="2:10" x14ac:dyDescent="0.3">
      <c r="B21" s="6" t="s">
        <v>67</v>
      </c>
      <c r="C21" s="57"/>
      <c r="D21" s="57"/>
      <c r="E21" s="22"/>
      <c r="F21" s="22"/>
      <c r="G21" s="22"/>
      <c r="H21" s="54">
        <f t="shared" si="0"/>
        <v>44832</v>
      </c>
    </row>
    <row r="22" spans="2:10" x14ac:dyDescent="0.3">
      <c r="B22" s="6" t="s">
        <v>18</v>
      </c>
      <c r="C22" s="57"/>
      <c r="D22" s="22"/>
      <c r="E22" s="62"/>
      <c r="F22" s="62">
        <v>54000</v>
      </c>
      <c r="G22" s="62"/>
      <c r="H22" s="12">
        <f t="shared" si="0"/>
        <v>44832</v>
      </c>
    </row>
    <row r="23" spans="2:10" x14ac:dyDescent="0.3">
      <c r="B23" s="6" t="s">
        <v>16</v>
      </c>
      <c r="C23" s="121"/>
      <c r="D23" s="55">
        <v>108000</v>
      </c>
      <c r="E23" s="62"/>
      <c r="F23" s="62"/>
      <c r="G23" s="22"/>
      <c r="H23" s="12">
        <f t="shared" si="0"/>
        <v>44832</v>
      </c>
    </row>
    <row r="24" spans="2:10" x14ac:dyDescent="0.3">
      <c r="B24" s="50" t="s">
        <v>27</v>
      </c>
      <c r="C24" s="51">
        <f>SUM(Sept28_2022[KSI_AGO])</f>
        <v>2264000</v>
      </c>
      <c r="D24" s="51">
        <f>SUBTOTAL(109,Sept28_2022[KSI_PMS])</f>
        <v>2088000</v>
      </c>
      <c r="E24" s="51">
        <f>SUM(Sept28_2022[BUIPE_AGO])</f>
        <v>320000</v>
      </c>
      <c r="F24" s="51">
        <f>SUM(Sept28_2022[BUIPE_PMS])</f>
        <v>54000</v>
      </c>
      <c r="G24" s="51">
        <f>SUM(Sept28_2022[AKOSOMBO_AGO])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02F643D8-3EA1-46CD-941D-4E7EE95A3503}">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D47-E54C-406B-833A-C462B44822A7}">
  <dimension ref="B1:K25"/>
  <sheetViews>
    <sheetView zoomScaleNormal="100" workbookViewId="0">
      <pane xSplit="2" ySplit="5" topLeftCell="C6" activePane="bottomRight" state="frozen"/>
      <selection pane="topRight" activeCell="C1" sqref="C1"/>
      <selection pane="bottomLeft" activeCell="A6" sqref="A6"/>
      <selection pane="bottomRight" activeCell="E11" sqref="E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44833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44833</v>
      </c>
    </row>
    <row r="7" spans="2:11" ht="16.5" customHeight="1" x14ac:dyDescent="0.3">
      <c r="B7" s="6" t="s">
        <v>37</v>
      </c>
      <c r="C7" s="57"/>
      <c r="D7" s="62"/>
      <c r="E7" s="62"/>
      <c r="F7" s="62"/>
      <c r="G7" s="62"/>
      <c r="H7" s="67">
        <f t="shared" si="0"/>
        <v>44833</v>
      </c>
    </row>
    <row r="8" spans="2:11" x14ac:dyDescent="0.3">
      <c r="B8" s="6" t="s">
        <v>17</v>
      </c>
      <c r="C8" s="22">
        <v>45000</v>
      </c>
      <c r="D8" s="22"/>
      <c r="E8" s="22"/>
      <c r="F8" s="22"/>
      <c r="G8" s="22"/>
      <c r="H8" s="12">
        <f t="shared" si="0"/>
        <v>44833</v>
      </c>
    </row>
    <row r="9" spans="2:11" ht="15.6" x14ac:dyDescent="0.3">
      <c r="B9" s="34" t="s">
        <v>0</v>
      </c>
      <c r="C9" s="57">
        <v>1728000</v>
      </c>
      <c r="D9" s="57">
        <v>486000</v>
      </c>
      <c r="E9" s="60">
        <v>216000</v>
      </c>
      <c r="F9" s="60"/>
      <c r="G9" s="60"/>
      <c r="H9" s="12">
        <f t="shared" si="0"/>
        <v>44833</v>
      </c>
    </row>
    <row r="10" spans="2:11" x14ac:dyDescent="0.3">
      <c r="B10" s="6" t="s">
        <v>25</v>
      </c>
      <c r="C10" s="57"/>
      <c r="D10" s="22"/>
      <c r="E10" s="22"/>
      <c r="F10" s="22"/>
      <c r="G10" s="22"/>
      <c r="H10" s="12">
        <f t="shared" si="0"/>
        <v>44833</v>
      </c>
    </row>
    <row r="11" spans="2:11" x14ac:dyDescent="0.3">
      <c r="B11" s="6" t="s">
        <v>15</v>
      </c>
      <c r="C11" s="57"/>
      <c r="D11" s="45"/>
      <c r="E11" s="22"/>
      <c r="F11" s="22"/>
      <c r="G11" s="22"/>
      <c r="H11" s="12">
        <f t="shared" si="0"/>
        <v>44833</v>
      </c>
    </row>
    <row r="12" spans="2:11" x14ac:dyDescent="0.3">
      <c r="B12" s="6" t="s">
        <v>54</v>
      </c>
      <c r="C12" s="57"/>
      <c r="D12" s="22"/>
      <c r="E12" s="22"/>
      <c r="F12" s="22"/>
      <c r="G12" s="22"/>
      <c r="H12" s="67">
        <f t="shared" si="0"/>
        <v>44833</v>
      </c>
    </row>
    <row r="13" spans="2:11" x14ac:dyDescent="0.3">
      <c r="B13" s="6" t="s">
        <v>26</v>
      </c>
      <c r="C13" s="57"/>
      <c r="D13" s="22"/>
      <c r="E13" s="22"/>
      <c r="F13" s="22"/>
      <c r="G13" s="22"/>
      <c r="H13" s="12">
        <f t="shared" si="0"/>
        <v>44833</v>
      </c>
    </row>
    <row r="14" spans="2:11" x14ac:dyDescent="0.3">
      <c r="B14" s="6" t="s">
        <v>22</v>
      </c>
      <c r="C14" s="57"/>
      <c r="D14" s="22"/>
      <c r="E14" s="22"/>
      <c r="F14" s="22"/>
      <c r="G14" s="22"/>
      <c r="H14" s="12">
        <f t="shared" si="0"/>
        <v>44833</v>
      </c>
      <c r="K14" s="4"/>
    </row>
    <row r="15" spans="2:11" x14ac:dyDescent="0.3">
      <c r="B15" s="6" t="s">
        <v>61</v>
      </c>
      <c r="C15" s="57"/>
      <c r="D15" s="22"/>
      <c r="E15" s="22"/>
      <c r="F15" s="22"/>
      <c r="G15" s="22"/>
      <c r="H15" s="67">
        <f t="shared" si="0"/>
        <v>44833</v>
      </c>
      <c r="K15" s="4"/>
    </row>
    <row r="16" spans="2:11" x14ac:dyDescent="0.3">
      <c r="B16" s="6" t="s">
        <v>19</v>
      </c>
      <c r="C16" s="57"/>
      <c r="D16" s="22">
        <v>504000</v>
      </c>
      <c r="E16" s="23"/>
      <c r="F16" s="22"/>
      <c r="G16" s="22"/>
      <c r="H16" s="12">
        <f t="shared" si="0"/>
        <v>44833</v>
      </c>
    </row>
    <row r="17" spans="2:10" x14ac:dyDescent="0.3">
      <c r="B17" s="6" t="s">
        <v>14</v>
      </c>
      <c r="C17" s="57"/>
      <c r="D17" s="22">
        <v>207000</v>
      </c>
      <c r="E17" s="57"/>
      <c r="F17" s="23">
        <v>540000</v>
      </c>
      <c r="G17" s="22"/>
      <c r="H17" s="12">
        <f t="shared" si="0"/>
        <v>44833</v>
      </c>
    </row>
    <row r="18" spans="2:10" x14ac:dyDescent="0.3">
      <c r="B18" s="6" t="s">
        <v>24</v>
      </c>
      <c r="C18" s="57"/>
      <c r="D18" s="22"/>
      <c r="E18" s="22"/>
      <c r="F18" s="49"/>
      <c r="G18" s="22"/>
      <c r="H18" s="67">
        <f t="shared" si="0"/>
        <v>44833</v>
      </c>
    </row>
    <row r="19" spans="2:10" x14ac:dyDescent="0.3">
      <c r="B19" s="6" t="s">
        <v>21</v>
      </c>
      <c r="C19" s="57"/>
      <c r="D19" s="22"/>
      <c r="E19" s="22"/>
      <c r="F19" s="22"/>
      <c r="G19" s="22"/>
      <c r="H19" s="12">
        <f t="shared" si="0"/>
        <v>44833</v>
      </c>
      <c r="J19" s="1" t="s">
        <v>66</v>
      </c>
    </row>
    <row r="20" spans="2:10" x14ac:dyDescent="0.3">
      <c r="B20" s="6" t="s">
        <v>65</v>
      </c>
      <c r="C20" s="57"/>
      <c r="D20" s="22"/>
      <c r="E20" s="22"/>
      <c r="F20" s="22"/>
      <c r="G20" s="22"/>
      <c r="H20" s="67">
        <f t="shared" si="0"/>
        <v>44833</v>
      </c>
    </row>
    <row r="21" spans="2:10" x14ac:dyDescent="0.3">
      <c r="B21" s="6" t="s">
        <v>67</v>
      </c>
      <c r="C21" s="57"/>
      <c r="D21" s="57"/>
      <c r="E21" s="22"/>
      <c r="F21" s="22"/>
      <c r="G21" s="22"/>
      <c r="H21" s="54">
        <f t="shared" si="0"/>
        <v>44833</v>
      </c>
    </row>
    <row r="22" spans="2:10" x14ac:dyDescent="0.3">
      <c r="B22" s="6" t="s">
        <v>18</v>
      </c>
      <c r="C22" s="57"/>
      <c r="D22" s="22"/>
      <c r="E22" s="62"/>
      <c r="F22" s="62"/>
      <c r="G22" s="62"/>
      <c r="H22" s="12">
        <f t="shared" si="0"/>
        <v>44833</v>
      </c>
    </row>
    <row r="23" spans="2:10" x14ac:dyDescent="0.3">
      <c r="B23" s="6" t="s">
        <v>16</v>
      </c>
      <c r="C23" s="121"/>
      <c r="D23" s="55"/>
      <c r="E23" s="62"/>
      <c r="F23" s="62"/>
      <c r="G23" s="22"/>
      <c r="H23" s="12">
        <f t="shared" si="0"/>
        <v>44833</v>
      </c>
    </row>
    <row r="24" spans="2:10" x14ac:dyDescent="0.3">
      <c r="B24" s="50" t="s">
        <v>27</v>
      </c>
      <c r="C24" s="51">
        <f>SUM(Sept28_202221[KSI_AGO])</f>
        <v>1773000</v>
      </c>
      <c r="D24" s="51">
        <f>SUBTOTAL(109,Sept28_202221[KSI_PMS])</f>
        <v>1197000</v>
      </c>
      <c r="E24" s="51">
        <f>SUM(Sept28_202221[BUIPE_AGO])</f>
        <v>216000</v>
      </c>
      <c r="F24" s="51">
        <f>SUM(Sept28_202221[BUIPE_PMS])</f>
        <v>540000</v>
      </c>
      <c r="G24" s="51">
        <f>SUM(Sept28_202221[AKOSOMBO_AGO])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C3B30998-2C67-4325-A7A6-0512D4CC2DFE}">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701C-533F-4364-A426-451E939957B9}">
  <dimension ref="B1:K25"/>
  <sheetViews>
    <sheetView zoomScaleNormal="100" workbookViewId="0">
      <pane xSplit="2" ySplit="5" topLeftCell="C6" activePane="bottomRight" state="frozen"/>
      <selection pane="topRight" activeCell="C1" sqref="C1"/>
      <selection pane="bottomLeft" activeCell="A6" sqref="A6"/>
      <selection pane="bottomRight" activeCell="G9" sqref="G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44834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44834</v>
      </c>
    </row>
    <row r="7" spans="2:11" ht="16.5" customHeight="1" x14ac:dyDescent="0.3">
      <c r="B7" s="6" t="s">
        <v>37</v>
      </c>
      <c r="C7" s="57"/>
      <c r="D7" s="62"/>
      <c r="E7" s="62"/>
      <c r="F7" s="62"/>
      <c r="G7" s="62"/>
      <c r="H7" s="67">
        <f t="shared" si="0"/>
        <v>44834</v>
      </c>
    </row>
    <row r="8" spans="2:11" x14ac:dyDescent="0.3">
      <c r="B8" s="6" t="s">
        <v>17</v>
      </c>
      <c r="C8" s="22"/>
      <c r="D8" s="22"/>
      <c r="E8" s="22"/>
      <c r="F8" s="22"/>
      <c r="G8" s="22"/>
      <c r="H8" s="12">
        <f t="shared" si="0"/>
        <v>44834</v>
      </c>
    </row>
    <row r="9" spans="2:11" ht="15.6" x14ac:dyDescent="0.3">
      <c r="B9" s="34" t="s">
        <v>0</v>
      </c>
      <c r="C9" s="57">
        <v>108000</v>
      </c>
      <c r="D9" s="57">
        <v>648000</v>
      </c>
      <c r="E9" s="60">
        <v>54000</v>
      </c>
      <c r="F9" s="60"/>
      <c r="G9" s="60"/>
      <c r="H9" s="12">
        <f t="shared" si="0"/>
        <v>44834</v>
      </c>
    </row>
    <row r="10" spans="2:11" x14ac:dyDescent="0.3">
      <c r="B10" s="6" t="s">
        <v>25</v>
      </c>
      <c r="C10" s="57"/>
      <c r="D10" s="22"/>
      <c r="E10" s="22"/>
      <c r="F10" s="22"/>
      <c r="G10" s="22"/>
      <c r="H10" s="12">
        <f t="shared" si="0"/>
        <v>44834</v>
      </c>
    </row>
    <row r="11" spans="2:11" x14ac:dyDescent="0.3">
      <c r="B11" s="6" t="s">
        <v>15</v>
      </c>
      <c r="C11" s="57"/>
      <c r="D11" s="45"/>
      <c r="E11" s="22"/>
      <c r="F11" s="22"/>
      <c r="G11" s="22"/>
      <c r="H11" s="12">
        <f t="shared" si="0"/>
        <v>44834</v>
      </c>
    </row>
    <row r="12" spans="2:11" x14ac:dyDescent="0.3">
      <c r="B12" s="6" t="s">
        <v>54</v>
      </c>
      <c r="C12" s="22">
        <v>1836000</v>
      </c>
      <c r="D12" s="22"/>
      <c r="E12" s="22">
        <v>594000</v>
      </c>
      <c r="F12" s="22"/>
      <c r="G12" s="22"/>
      <c r="H12" s="67">
        <f t="shared" si="0"/>
        <v>44834</v>
      </c>
    </row>
    <row r="13" spans="2:11" x14ac:dyDescent="0.3">
      <c r="B13" s="6" t="s">
        <v>26</v>
      </c>
      <c r="C13" s="57"/>
      <c r="D13" s="22"/>
      <c r="E13" s="22"/>
      <c r="F13" s="22"/>
      <c r="G13" s="22"/>
      <c r="H13" s="12">
        <f t="shared" si="0"/>
        <v>44834</v>
      </c>
    </row>
    <row r="14" spans="2:11" x14ac:dyDescent="0.3">
      <c r="B14" s="6" t="s">
        <v>22</v>
      </c>
      <c r="C14" s="57"/>
      <c r="D14" s="22"/>
      <c r="E14" s="22"/>
      <c r="F14" s="22"/>
      <c r="G14" s="22"/>
      <c r="H14" s="12">
        <f t="shared" si="0"/>
        <v>44834</v>
      </c>
      <c r="K14" s="4"/>
    </row>
    <row r="15" spans="2:11" x14ac:dyDescent="0.3">
      <c r="B15" s="6" t="s">
        <v>61</v>
      </c>
      <c r="C15" s="57"/>
      <c r="D15" s="22"/>
      <c r="E15" s="22"/>
      <c r="F15" s="22"/>
      <c r="G15" s="22"/>
      <c r="H15" s="67">
        <f t="shared" si="0"/>
        <v>44834</v>
      </c>
      <c r="K15" s="4"/>
    </row>
    <row r="16" spans="2:11" x14ac:dyDescent="0.3">
      <c r="B16" s="6" t="s">
        <v>19</v>
      </c>
      <c r="C16" s="57"/>
      <c r="D16" s="22">
        <v>531000</v>
      </c>
      <c r="E16" s="23"/>
      <c r="F16" s="22"/>
      <c r="G16" s="22"/>
      <c r="H16" s="12">
        <f t="shared" si="0"/>
        <v>44834</v>
      </c>
    </row>
    <row r="17" spans="2:10" x14ac:dyDescent="0.3">
      <c r="B17" s="6" t="s">
        <v>14</v>
      </c>
      <c r="C17" s="57"/>
      <c r="D17" s="22">
        <v>424000</v>
      </c>
      <c r="E17" s="57"/>
      <c r="F17" s="23">
        <v>54000</v>
      </c>
      <c r="G17" s="22"/>
      <c r="H17" s="12">
        <f t="shared" si="0"/>
        <v>44834</v>
      </c>
    </row>
    <row r="18" spans="2:10" x14ac:dyDescent="0.3">
      <c r="B18" s="6" t="s">
        <v>24</v>
      </c>
      <c r="C18" s="57"/>
      <c r="D18" s="22"/>
      <c r="E18" s="22"/>
      <c r="F18" s="49"/>
      <c r="G18" s="22"/>
      <c r="H18" s="67">
        <f t="shared" si="0"/>
        <v>44834</v>
      </c>
    </row>
    <row r="19" spans="2:10" x14ac:dyDescent="0.3">
      <c r="B19" s="6" t="s">
        <v>21</v>
      </c>
      <c r="C19" s="57"/>
      <c r="D19" s="22"/>
      <c r="E19" s="22"/>
      <c r="F19" s="22"/>
      <c r="G19" s="22"/>
      <c r="H19" s="12">
        <f t="shared" si="0"/>
        <v>44834</v>
      </c>
      <c r="J19" s="1" t="s">
        <v>66</v>
      </c>
    </row>
    <row r="20" spans="2:10" x14ac:dyDescent="0.3">
      <c r="B20" s="6" t="s">
        <v>65</v>
      </c>
      <c r="C20" s="57"/>
      <c r="D20" s="22"/>
      <c r="E20" s="22"/>
      <c r="F20" s="22"/>
      <c r="G20" s="22"/>
      <c r="H20" s="67">
        <f t="shared" si="0"/>
        <v>44834</v>
      </c>
    </row>
    <row r="21" spans="2:10" x14ac:dyDescent="0.3">
      <c r="B21" s="6" t="s">
        <v>67</v>
      </c>
      <c r="C21" s="57"/>
      <c r="D21" s="57"/>
      <c r="E21" s="22"/>
      <c r="F21" s="22"/>
      <c r="G21" s="22"/>
      <c r="H21" s="12">
        <f t="shared" si="0"/>
        <v>44834</v>
      </c>
    </row>
    <row r="22" spans="2:10" x14ac:dyDescent="0.3">
      <c r="B22" s="6" t="s">
        <v>18</v>
      </c>
      <c r="C22" s="57"/>
      <c r="D22" s="22"/>
      <c r="E22" s="62"/>
      <c r="F22" s="62"/>
      <c r="G22" s="62"/>
      <c r="H22" s="12">
        <f t="shared" si="0"/>
        <v>44834</v>
      </c>
    </row>
    <row r="23" spans="2:10" x14ac:dyDescent="0.3">
      <c r="B23" s="6" t="s">
        <v>16</v>
      </c>
      <c r="C23" s="121"/>
      <c r="D23" s="55">
        <v>531000</v>
      </c>
      <c r="E23" s="62"/>
      <c r="F23" s="62"/>
      <c r="G23" s="22"/>
      <c r="H23" s="12">
        <f t="shared" si="0"/>
        <v>44834</v>
      </c>
    </row>
    <row r="24" spans="2:10" x14ac:dyDescent="0.3">
      <c r="B24" s="50" t="s">
        <v>27</v>
      </c>
      <c r="C24" s="51">
        <f>SUM(Sept30_2022[KSI_AGO])</f>
        <v>1944000</v>
      </c>
      <c r="D24" s="51">
        <f>SUBTOTAL(109,Sept30_2022[KSI_PMS])</f>
        <v>2134000</v>
      </c>
      <c r="E24" s="51">
        <f>SUM(Sept30_2022[BUIPE_AGO])</f>
        <v>648000</v>
      </c>
      <c r="F24" s="51">
        <f>SUM(Sept30_2022[BUIPE_PMS])</f>
        <v>54000</v>
      </c>
      <c r="G24" s="51">
        <f>SUM(Sept30_2022[AKOSOMBO_AGO])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E4C283B2-1FDD-49EC-A7EF-BEE44A39EB2E}">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10ED2-8B14-48DB-9D61-7BF436D781F7}">
  <dimension ref="B1:K25"/>
  <sheetViews>
    <sheetView zoomScaleNormal="100" workbookViewId="0">
      <pane xSplit="2" ySplit="5" topLeftCell="C6" activePane="bottomRight" state="frozen"/>
      <selection pane="topRight" activeCell="C1" sqref="C1"/>
      <selection pane="bottomLeft" activeCell="A6" sqref="A6"/>
      <selection pane="bottomRight" activeCell="E20" sqref="E2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44837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44837</v>
      </c>
    </row>
    <row r="7" spans="2:11" ht="16.5" customHeight="1" x14ac:dyDescent="0.3">
      <c r="B7" s="6" t="s">
        <v>37</v>
      </c>
      <c r="C7" s="57"/>
      <c r="D7" s="62"/>
      <c r="E7" s="62"/>
      <c r="F7" s="62"/>
      <c r="G7" s="62"/>
      <c r="H7" s="67">
        <f t="shared" si="0"/>
        <v>44837</v>
      </c>
    </row>
    <row r="8" spans="2:11" x14ac:dyDescent="0.3">
      <c r="B8" s="6" t="s">
        <v>17</v>
      </c>
      <c r="C8" s="22"/>
      <c r="D8" s="22"/>
      <c r="E8" s="22"/>
      <c r="F8" s="22"/>
      <c r="G8" s="22"/>
      <c r="H8" s="12">
        <f t="shared" si="0"/>
        <v>44837</v>
      </c>
    </row>
    <row r="9" spans="2:11" ht="15.6" x14ac:dyDescent="0.3">
      <c r="B9" s="34" t="s">
        <v>0</v>
      </c>
      <c r="C9" s="57"/>
      <c r="D9" s="57">
        <v>324000</v>
      </c>
      <c r="E9" s="60"/>
      <c r="F9" s="60"/>
      <c r="G9" s="60"/>
      <c r="H9" s="12">
        <f t="shared" si="0"/>
        <v>44837</v>
      </c>
    </row>
    <row r="10" spans="2:11" x14ac:dyDescent="0.3">
      <c r="B10" s="6" t="s">
        <v>25</v>
      </c>
      <c r="C10" s="57"/>
      <c r="D10" s="22"/>
      <c r="E10" s="22"/>
      <c r="F10" s="22"/>
      <c r="G10" s="22"/>
      <c r="H10" s="12">
        <f t="shared" si="0"/>
        <v>44837</v>
      </c>
    </row>
    <row r="11" spans="2:11" x14ac:dyDescent="0.3">
      <c r="B11" s="6" t="s">
        <v>15</v>
      </c>
      <c r="C11" s="57"/>
      <c r="D11" s="45"/>
      <c r="E11" s="22"/>
      <c r="F11" s="22"/>
      <c r="G11" s="22"/>
      <c r="H11" s="12">
        <f t="shared" si="0"/>
        <v>44837</v>
      </c>
    </row>
    <row r="12" spans="2:11" x14ac:dyDescent="0.3">
      <c r="B12" s="6" t="s">
        <v>54</v>
      </c>
      <c r="C12" s="22">
        <v>162000</v>
      </c>
      <c r="D12" s="22"/>
      <c r="E12" s="22"/>
      <c r="F12" s="22"/>
      <c r="G12" s="22"/>
      <c r="H12" s="67">
        <f t="shared" si="0"/>
        <v>44837</v>
      </c>
    </row>
    <row r="13" spans="2:11" x14ac:dyDescent="0.3">
      <c r="B13" s="6" t="s">
        <v>26</v>
      </c>
      <c r="C13" s="57"/>
      <c r="D13" s="22"/>
      <c r="E13" s="22"/>
      <c r="F13" s="22"/>
      <c r="G13" s="22"/>
      <c r="H13" s="12">
        <f t="shared" si="0"/>
        <v>44837</v>
      </c>
    </row>
    <row r="14" spans="2:11" x14ac:dyDescent="0.3">
      <c r="B14" s="6" t="s">
        <v>22</v>
      </c>
      <c r="C14" s="57"/>
      <c r="D14" s="22"/>
      <c r="E14" s="22"/>
      <c r="F14" s="22"/>
      <c r="G14" s="22"/>
      <c r="H14" s="12">
        <f t="shared" si="0"/>
        <v>44837</v>
      </c>
      <c r="K14" s="4"/>
    </row>
    <row r="15" spans="2:11" x14ac:dyDescent="0.3">
      <c r="B15" s="6" t="s">
        <v>61</v>
      </c>
      <c r="C15" s="57"/>
      <c r="D15" s="22"/>
      <c r="E15" s="22"/>
      <c r="F15" s="22"/>
      <c r="G15" s="22"/>
      <c r="H15" s="67">
        <f t="shared" si="0"/>
        <v>44837</v>
      </c>
      <c r="K15" s="4"/>
    </row>
    <row r="16" spans="2:11" x14ac:dyDescent="0.3">
      <c r="B16" s="6" t="s">
        <v>19</v>
      </c>
      <c r="C16" s="57"/>
      <c r="D16" s="22"/>
      <c r="E16" s="23"/>
      <c r="F16" s="22"/>
      <c r="G16" s="22"/>
      <c r="H16" s="12">
        <f t="shared" si="0"/>
        <v>44837</v>
      </c>
    </row>
    <row r="17" spans="2:10" x14ac:dyDescent="0.3">
      <c r="B17" s="6" t="s">
        <v>14</v>
      </c>
      <c r="C17" s="57"/>
      <c r="D17" s="22">
        <v>162000</v>
      </c>
      <c r="E17" s="57"/>
      <c r="F17" s="23"/>
      <c r="G17" s="22"/>
      <c r="H17" s="12">
        <f t="shared" si="0"/>
        <v>44837</v>
      </c>
    </row>
    <row r="18" spans="2:10" x14ac:dyDescent="0.3">
      <c r="B18" s="6" t="s">
        <v>24</v>
      </c>
      <c r="C18" s="57"/>
      <c r="D18" s="22"/>
      <c r="E18" s="22"/>
      <c r="F18" s="49"/>
      <c r="G18" s="22"/>
      <c r="H18" s="67">
        <f t="shared" si="0"/>
        <v>44837</v>
      </c>
    </row>
    <row r="19" spans="2:10" x14ac:dyDescent="0.3">
      <c r="B19" s="6" t="s">
        <v>21</v>
      </c>
      <c r="C19" s="57">
        <v>374000</v>
      </c>
      <c r="D19" s="22"/>
      <c r="E19" s="22"/>
      <c r="F19" s="22"/>
      <c r="G19" s="22"/>
      <c r="H19" s="12">
        <f t="shared" si="0"/>
        <v>44837</v>
      </c>
      <c r="J19" s="1" t="s">
        <v>66</v>
      </c>
    </row>
    <row r="20" spans="2:10" x14ac:dyDescent="0.3">
      <c r="B20" s="6" t="s">
        <v>65</v>
      </c>
      <c r="C20" s="57"/>
      <c r="D20" s="22"/>
      <c r="E20" s="22"/>
      <c r="F20" s="22"/>
      <c r="G20" s="22"/>
      <c r="H20" s="67">
        <f t="shared" si="0"/>
        <v>44837</v>
      </c>
    </row>
    <row r="21" spans="2:10" x14ac:dyDescent="0.3">
      <c r="B21" s="6" t="s">
        <v>67</v>
      </c>
      <c r="C21" s="57"/>
      <c r="D21" s="57"/>
      <c r="E21" s="22"/>
      <c r="F21" s="22"/>
      <c r="G21" s="22"/>
      <c r="H21" s="12">
        <f t="shared" si="0"/>
        <v>44837</v>
      </c>
    </row>
    <row r="22" spans="2:10" x14ac:dyDescent="0.3">
      <c r="B22" s="6" t="s">
        <v>18</v>
      </c>
      <c r="C22" s="57"/>
      <c r="D22" s="22"/>
      <c r="E22" s="62"/>
      <c r="F22" s="62"/>
      <c r="G22" s="62"/>
      <c r="H22" s="12">
        <f t="shared" si="0"/>
        <v>44837</v>
      </c>
    </row>
    <row r="23" spans="2:10" x14ac:dyDescent="0.3">
      <c r="B23" s="6" t="s">
        <v>16</v>
      </c>
      <c r="C23" s="121"/>
      <c r="D23" s="55">
        <v>50000</v>
      </c>
      <c r="E23" s="62"/>
      <c r="F23" s="62"/>
      <c r="G23" s="22"/>
      <c r="H23" s="12">
        <f t="shared" si="0"/>
        <v>44837</v>
      </c>
    </row>
    <row r="24" spans="2:10" x14ac:dyDescent="0.3">
      <c r="B24" s="50" t="s">
        <v>27</v>
      </c>
      <c r="C24" s="51">
        <f>SUM(Oct03_2022[KSI_AGO])</f>
        <v>536000</v>
      </c>
      <c r="D24" s="51">
        <f>SUBTOTAL(109,Oct03_2022[KSI_PMS])</f>
        <v>536000</v>
      </c>
      <c r="E24" s="51">
        <f>SUM(Oct03_2022[BUIPE_AGO])</f>
        <v>0</v>
      </c>
      <c r="F24" s="51">
        <f>SUM(Oct03_2022[BUIPE_PMS])</f>
        <v>0</v>
      </c>
      <c r="G24" s="51">
        <f>SUM(Oct03_2022[AKOSOMBO_AGO])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5D1E804F-4484-4D79-B021-C296B913FCC2}">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3837C-B009-42CC-88F6-E6E3B9741B16}">
  <dimension ref="B1:K25"/>
  <sheetViews>
    <sheetView zoomScaleNormal="100" workbookViewId="0">
      <pane xSplit="2" ySplit="5" topLeftCell="C6" activePane="bottomRight" state="frozen"/>
      <selection pane="topRight" activeCell="C1" sqref="C1"/>
      <selection pane="bottomLeft" activeCell="A6" sqref="A6"/>
      <selection pane="bottomRight" activeCell="F12" sqref="F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44838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44838</v>
      </c>
    </row>
    <row r="7" spans="2:11" ht="16.5" customHeight="1" x14ac:dyDescent="0.3">
      <c r="B7" s="6" t="s">
        <v>37</v>
      </c>
      <c r="C7" s="57"/>
      <c r="D7" s="62"/>
      <c r="E7" s="62"/>
      <c r="F7" s="62"/>
      <c r="G7" s="62"/>
      <c r="H7" s="67">
        <f t="shared" si="0"/>
        <v>44838</v>
      </c>
    </row>
    <row r="8" spans="2:11" x14ac:dyDescent="0.3">
      <c r="B8" s="6" t="s">
        <v>17</v>
      </c>
      <c r="C8" s="22"/>
      <c r="D8" s="22"/>
      <c r="E8" s="22"/>
      <c r="F8" s="22"/>
      <c r="G8" s="22"/>
      <c r="H8" s="12">
        <f t="shared" si="0"/>
        <v>44838</v>
      </c>
    </row>
    <row r="9" spans="2:11" ht="15.6" x14ac:dyDescent="0.3">
      <c r="B9" s="34" t="s">
        <v>0</v>
      </c>
      <c r="C9" s="57"/>
      <c r="D9" s="57">
        <v>486000</v>
      </c>
      <c r="E9" s="60"/>
      <c r="F9" s="60"/>
      <c r="G9" s="60"/>
      <c r="H9" s="12">
        <f t="shared" si="0"/>
        <v>44838</v>
      </c>
    </row>
    <row r="10" spans="2:11" x14ac:dyDescent="0.3">
      <c r="B10" s="6" t="s">
        <v>25</v>
      </c>
      <c r="C10" s="57"/>
      <c r="D10" s="22"/>
      <c r="E10" s="22"/>
      <c r="F10" s="22"/>
      <c r="G10" s="22"/>
      <c r="H10" s="12">
        <f t="shared" si="0"/>
        <v>44838</v>
      </c>
    </row>
    <row r="11" spans="2:11" x14ac:dyDescent="0.3">
      <c r="B11" s="6" t="s">
        <v>15</v>
      </c>
      <c r="C11" s="57"/>
      <c r="D11" s="45"/>
      <c r="E11" s="22"/>
      <c r="F11" s="22"/>
      <c r="G11" s="22"/>
      <c r="H11" s="12">
        <f t="shared" si="0"/>
        <v>44838</v>
      </c>
    </row>
    <row r="12" spans="2:11" x14ac:dyDescent="0.3">
      <c r="B12" s="6" t="s">
        <v>54</v>
      </c>
      <c r="C12" s="22"/>
      <c r="D12" s="22"/>
      <c r="E12" s="22"/>
      <c r="F12" s="22"/>
      <c r="G12" s="22"/>
      <c r="H12" s="67">
        <f t="shared" si="0"/>
        <v>44838</v>
      </c>
    </row>
    <row r="13" spans="2:11" x14ac:dyDescent="0.3">
      <c r="B13" s="6" t="s">
        <v>26</v>
      </c>
      <c r="C13" s="57"/>
      <c r="D13" s="22"/>
      <c r="E13" s="22"/>
      <c r="F13" s="22"/>
      <c r="G13" s="22"/>
      <c r="H13" s="12">
        <f t="shared" si="0"/>
        <v>44838</v>
      </c>
    </row>
    <row r="14" spans="2:11" x14ac:dyDescent="0.3">
      <c r="B14" s="6" t="s">
        <v>22</v>
      </c>
      <c r="C14" s="57"/>
      <c r="D14" s="22"/>
      <c r="E14" s="22"/>
      <c r="F14" s="22"/>
      <c r="G14" s="22"/>
      <c r="H14" s="12">
        <f t="shared" si="0"/>
        <v>44838</v>
      </c>
      <c r="K14" s="4"/>
    </row>
    <row r="15" spans="2:11" x14ac:dyDescent="0.3">
      <c r="B15" s="6" t="s">
        <v>61</v>
      </c>
      <c r="C15" s="57"/>
      <c r="D15" s="22"/>
      <c r="E15" s="22"/>
      <c r="F15" s="22"/>
      <c r="G15" s="22"/>
      <c r="H15" s="67">
        <f t="shared" si="0"/>
        <v>44838</v>
      </c>
      <c r="K15" s="4"/>
    </row>
    <row r="16" spans="2:11" x14ac:dyDescent="0.3">
      <c r="B16" s="6" t="s">
        <v>19</v>
      </c>
      <c r="C16" s="57"/>
      <c r="D16" s="22">
        <v>324000</v>
      </c>
      <c r="E16" s="23"/>
      <c r="F16" s="22"/>
      <c r="G16" s="22"/>
      <c r="H16" s="12">
        <f t="shared" si="0"/>
        <v>44838</v>
      </c>
    </row>
    <row r="17" spans="2:10" x14ac:dyDescent="0.3">
      <c r="B17" s="6" t="s">
        <v>14</v>
      </c>
      <c r="C17" s="57"/>
      <c r="D17" s="22">
        <v>265500</v>
      </c>
      <c r="E17" s="57"/>
      <c r="F17" s="23">
        <v>108000</v>
      </c>
      <c r="G17" s="22"/>
      <c r="H17" s="12">
        <f t="shared" si="0"/>
        <v>44838</v>
      </c>
    </row>
    <row r="18" spans="2:10" x14ac:dyDescent="0.3">
      <c r="B18" s="6" t="s">
        <v>24</v>
      </c>
      <c r="C18" s="57"/>
      <c r="D18" s="22"/>
      <c r="E18" s="22"/>
      <c r="F18" s="49"/>
      <c r="G18" s="22"/>
      <c r="H18" s="67">
        <f t="shared" si="0"/>
        <v>44838</v>
      </c>
    </row>
    <row r="19" spans="2:10" x14ac:dyDescent="0.3">
      <c r="B19" s="6" t="s">
        <v>21</v>
      </c>
      <c r="C19" s="22">
        <v>859500</v>
      </c>
      <c r="D19" s="22"/>
      <c r="E19" s="22"/>
      <c r="F19" s="22"/>
      <c r="G19" s="22"/>
      <c r="H19" s="12">
        <f t="shared" si="0"/>
        <v>44838</v>
      </c>
      <c r="J19" s="1" t="s">
        <v>66</v>
      </c>
    </row>
    <row r="20" spans="2:10" x14ac:dyDescent="0.3">
      <c r="B20" s="6" t="s">
        <v>65</v>
      </c>
      <c r="C20" s="57"/>
      <c r="D20" s="22"/>
      <c r="E20" s="22"/>
      <c r="F20" s="22"/>
      <c r="G20" s="22"/>
      <c r="H20" s="67">
        <f t="shared" si="0"/>
        <v>44838</v>
      </c>
    </row>
    <row r="21" spans="2:10" x14ac:dyDescent="0.3">
      <c r="B21" s="6" t="s">
        <v>67</v>
      </c>
      <c r="C21" s="57"/>
      <c r="D21" s="57"/>
      <c r="E21" s="22"/>
      <c r="F21" s="22"/>
      <c r="G21" s="22"/>
      <c r="H21" s="12">
        <f t="shared" si="0"/>
        <v>44838</v>
      </c>
    </row>
    <row r="22" spans="2:10" x14ac:dyDescent="0.3">
      <c r="B22" s="6" t="s">
        <v>18</v>
      </c>
      <c r="C22" s="57"/>
      <c r="D22" s="22"/>
      <c r="E22" s="62"/>
      <c r="F22" s="62"/>
      <c r="G22" s="62"/>
      <c r="H22" s="12">
        <f t="shared" si="0"/>
        <v>44838</v>
      </c>
    </row>
    <row r="23" spans="2:10" x14ac:dyDescent="0.3">
      <c r="B23" s="6" t="s">
        <v>16</v>
      </c>
      <c r="C23" s="121"/>
      <c r="D23" s="55">
        <v>50000</v>
      </c>
      <c r="E23" s="62"/>
      <c r="F23" s="62"/>
      <c r="G23" s="22"/>
      <c r="H23" s="12">
        <f t="shared" si="0"/>
        <v>44838</v>
      </c>
    </row>
    <row r="24" spans="2:10" x14ac:dyDescent="0.3">
      <c r="B24" s="50" t="s">
        <v>27</v>
      </c>
      <c r="C24" s="51">
        <f>SUM(Oct04_20222[KSI_AGO])</f>
        <v>859500</v>
      </c>
      <c r="D24" s="51">
        <f>SUBTOTAL(109,Oct04_20222[KSI_PMS])</f>
        <v>1125500</v>
      </c>
      <c r="E24" s="51">
        <f>SUM(Oct04_20222[BUIPE_AGO])</f>
        <v>0</v>
      </c>
      <c r="F24" s="51">
        <f>SUM(Oct04_20222[BUIPE_PMS])</f>
        <v>108000</v>
      </c>
      <c r="G24" s="51">
        <f>SUM(Oct04_20222[AKOSOMBO_AGO])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C93F81AE-E012-4185-91E9-8A52C5DED4EC}">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5174D-7791-414F-AA82-D6D03F3B744E}">
  <dimension ref="B1:K25"/>
  <sheetViews>
    <sheetView zoomScaleNormal="100" workbookViewId="0">
      <pane xSplit="2" ySplit="5" topLeftCell="C6" activePane="bottomRight" state="frozen"/>
      <selection pane="topRight" activeCell="C1" sqref="C1"/>
      <selection pane="bottomLeft" activeCell="A6" sqref="A6"/>
      <selection pane="bottomRight" activeCell="E9" sqref="E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44839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44839</v>
      </c>
    </row>
    <row r="7" spans="2:11" ht="16.5" customHeight="1" x14ac:dyDescent="0.3">
      <c r="B7" s="6" t="s">
        <v>37</v>
      </c>
      <c r="C7" s="57"/>
      <c r="D7" s="62"/>
      <c r="E7" s="62"/>
      <c r="F7" s="62"/>
      <c r="G7" s="62"/>
      <c r="H7" s="67">
        <f t="shared" si="0"/>
        <v>44839</v>
      </c>
    </row>
    <row r="8" spans="2:11" x14ac:dyDescent="0.3">
      <c r="B8" s="6" t="s">
        <v>17</v>
      </c>
      <c r="C8" s="22"/>
      <c r="D8" s="22"/>
      <c r="E8" s="22"/>
      <c r="F8" s="22"/>
      <c r="G8" s="22"/>
      <c r="H8" s="12">
        <f t="shared" si="0"/>
        <v>44839</v>
      </c>
    </row>
    <row r="9" spans="2:11" ht="15.6" x14ac:dyDescent="0.3">
      <c r="B9" s="34" t="s">
        <v>0</v>
      </c>
      <c r="C9" s="57"/>
      <c r="D9" s="57">
        <v>1017000</v>
      </c>
      <c r="E9" s="60"/>
      <c r="F9" s="60"/>
      <c r="G9" s="60"/>
      <c r="H9" s="12">
        <f t="shared" si="0"/>
        <v>44839</v>
      </c>
    </row>
    <row r="10" spans="2:11" x14ac:dyDescent="0.3">
      <c r="B10" s="6" t="s">
        <v>25</v>
      </c>
      <c r="C10" s="57"/>
      <c r="D10" s="22"/>
      <c r="E10" s="22"/>
      <c r="F10" s="22"/>
      <c r="G10" s="22"/>
      <c r="H10" s="12">
        <f t="shared" si="0"/>
        <v>44839</v>
      </c>
    </row>
    <row r="11" spans="2:11" x14ac:dyDescent="0.3">
      <c r="B11" s="6" t="s">
        <v>15</v>
      </c>
      <c r="C11" s="57"/>
      <c r="D11" s="45"/>
      <c r="E11" s="22"/>
      <c r="F11" s="22"/>
      <c r="G11" s="22"/>
      <c r="H11" s="12">
        <f t="shared" si="0"/>
        <v>44839</v>
      </c>
    </row>
    <row r="12" spans="2:11" x14ac:dyDescent="0.3">
      <c r="B12" s="6" t="s">
        <v>54</v>
      </c>
      <c r="C12" s="22"/>
      <c r="D12" s="22"/>
      <c r="E12" s="22"/>
      <c r="F12" s="22"/>
      <c r="G12" s="22"/>
      <c r="H12" s="67">
        <f t="shared" si="0"/>
        <v>44839</v>
      </c>
    </row>
    <row r="13" spans="2:11" x14ac:dyDescent="0.3">
      <c r="B13" s="6" t="s">
        <v>26</v>
      </c>
      <c r="C13" s="22">
        <v>45000</v>
      </c>
      <c r="D13" s="22"/>
      <c r="E13" s="22"/>
      <c r="F13" s="22"/>
      <c r="G13" s="22"/>
      <c r="H13" s="12">
        <f t="shared" si="0"/>
        <v>44839</v>
      </c>
    </row>
    <row r="14" spans="2:11" x14ac:dyDescent="0.3">
      <c r="B14" s="6" t="s">
        <v>22</v>
      </c>
      <c r="C14" s="22"/>
      <c r="D14" s="22"/>
      <c r="E14" s="22"/>
      <c r="F14" s="22"/>
      <c r="G14" s="22"/>
      <c r="H14" s="12">
        <f t="shared" si="0"/>
        <v>44839</v>
      </c>
      <c r="K14" s="4"/>
    </row>
    <row r="15" spans="2:11" x14ac:dyDescent="0.3">
      <c r="B15" s="6" t="s">
        <v>61</v>
      </c>
      <c r="C15" s="22"/>
      <c r="D15" s="22"/>
      <c r="E15" s="22"/>
      <c r="F15" s="22"/>
      <c r="G15" s="22"/>
      <c r="H15" s="67">
        <f t="shared" si="0"/>
        <v>44839</v>
      </c>
      <c r="K15" s="4"/>
    </row>
    <row r="16" spans="2:11" x14ac:dyDescent="0.3">
      <c r="B16" s="6" t="s">
        <v>19</v>
      </c>
      <c r="C16" s="22"/>
      <c r="D16" s="22">
        <v>135000</v>
      </c>
      <c r="E16" s="23"/>
      <c r="F16" s="22"/>
      <c r="G16" s="22"/>
      <c r="H16" s="12">
        <f t="shared" si="0"/>
        <v>44839</v>
      </c>
    </row>
    <row r="17" spans="2:10" x14ac:dyDescent="0.3">
      <c r="B17" s="6" t="s">
        <v>14</v>
      </c>
      <c r="C17" s="22"/>
      <c r="D17" s="22">
        <v>469000</v>
      </c>
      <c r="E17" s="57"/>
      <c r="F17" s="23"/>
      <c r="G17" s="22"/>
      <c r="H17" s="12">
        <f t="shared" si="0"/>
        <v>44839</v>
      </c>
    </row>
    <row r="18" spans="2:10" x14ac:dyDescent="0.3">
      <c r="B18" s="6" t="s">
        <v>24</v>
      </c>
      <c r="C18" s="22"/>
      <c r="D18" s="22"/>
      <c r="E18" s="22"/>
      <c r="F18" s="49"/>
      <c r="G18" s="22"/>
      <c r="H18" s="67">
        <f t="shared" si="0"/>
        <v>44839</v>
      </c>
    </row>
    <row r="19" spans="2:10" x14ac:dyDescent="0.3">
      <c r="B19" s="6" t="s">
        <v>21</v>
      </c>
      <c r="C19" s="22">
        <v>702000</v>
      </c>
      <c r="D19" s="22"/>
      <c r="E19" s="22"/>
      <c r="F19" s="22"/>
      <c r="G19" s="22"/>
      <c r="H19" s="12">
        <f t="shared" si="0"/>
        <v>44839</v>
      </c>
      <c r="J19" s="1" t="s">
        <v>66</v>
      </c>
    </row>
    <row r="20" spans="2:10" x14ac:dyDescent="0.3">
      <c r="B20" s="6" t="s">
        <v>65</v>
      </c>
      <c r="C20" s="57"/>
      <c r="D20" s="22"/>
      <c r="E20" s="22"/>
      <c r="F20" s="22"/>
      <c r="G20" s="22"/>
      <c r="H20" s="67">
        <f t="shared" si="0"/>
        <v>44839</v>
      </c>
    </row>
    <row r="21" spans="2:10" x14ac:dyDescent="0.3">
      <c r="B21" s="6" t="s">
        <v>67</v>
      </c>
      <c r="C21" s="22"/>
      <c r="D21" s="57"/>
      <c r="E21" s="22"/>
      <c r="F21" s="22"/>
      <c r="G21" s="22"/>
      <c r="H21" s="12">
        <f t="shared" si="0"/>
        <v>44839</v>
      </c>
    </row>
    <row r="22" spans="2:10" x14ac:dyDescent="0.3">
      <c r="B22" s="6" t="s">
        <v>18</v>
      </c>
      <c r="C22" s="22">
        <v>54000</v>
      </c>
      <c r="D22" s="22"/>
      <c r="E22" s="62"/>
      <c r="F22" s="62"/>
      <c r="G22" s="62"/>
      <c r="H22" s="12">
        <f t="shared" si="0"/>
        <v>44839</v>
      </c>
    </row>
    <row r="23" spans="2:10" x14ac:dyDescent="0.3">
      <c r="B23" s="6" t="s">
        <v>16</v>
      </c>
      <c r="C23" s="22">
        <v>1076000</v>
      </c>
      <c r="D23" s="55">
        <v>99500</v>
      </c>
      <c r="E23" s="62">
        <v>162000</v>
      </c>
      <c r="F23" s="62"/>
      <c r="G23" s="22"/>
      <c r="H23" s="12">
        <f t="shared" si="0"/>
        <v>44839</v>
      </c>
    </row>
    <row r="24" spans="2:10" x14ac:dyDescent="0.3">
      <c r="B24" s="50" t="s">
        <v>27</v>
      </c>
      <c r="C24" s="51">
        <f>SUM(Oct05_2022[KSI_AGO])</f>
        <v>1877000</v>
      </c>
      <c r="D24" s="51">
        <f>SUBTOTAL(109,Oct05_2022[KSI_PMS])</f>
        <v>1720500</v>
      </c>
      <c r="E24" s="51">
        <f>SUM(Oct05_2022[BUIPE_AGO])</f>
        <v>162000</v>
      </c>
      <c r="F24" s="51">
        <f>SUM(Oct05_2022[BUIPE_PMS])</f>
        <v>0</v>
      </c>
      <c r="G24" s="51">
        <f>SUM(Oct05_2022[AKOSOMBO_AGO])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3089EDC2-B4F4-4BC4-A6BD-6779AC75143F}">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9CBFD-7D1F-453E-AA2A-2AB0B5B06E90}">
  <dimension ref="B1:K25"/>
  <sheetViews>
    <sheetView zoomScaleNormal="100" workbookViewId="0">
      <pane xSplit="2" ySplit="5" topLeftCell="C6" activePane="bottomRight" state="frozen"/>
      <selection pane="topRight" activeCell="C1" sqref="C1"/>
      <selection pane="bottomLeft" activeCell="A6" sqref="A6"/>
      <selection pane="bottomRight" activeCell="F9" sqref="F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44840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44840</v>
      </c>
    </row>
    <row r="7" spans="2:11" ht="16.5" customHeight="1" x14ac:dyDescent="0.3">
      <c r="B7" s="6" t="s">
        <v>37</v>
      </c>
      <c r="C7" s="57"/>
      <c r="D7" s="62"/>
      <c r="E7" s="62"/>
      <c r="F7" s="62"/>
      <c r="G7" s="62"/>
      <c r="H7" s="67">
        <f t="shared" si="0"/>
        <v>44840</v>
      </c>
    </row>
    <row r="8" spans="2:11" x14ac:dyDescent="0.3">
      <c r="B8" s="6" t="s">
        <v>17</v>
      </c>
      <c r="C8" s="22"/>
      <c r="D8" s="22"/>
      <c r="E8" s="22"/>
      <c r="F8" s="22"/>
      <c r="G8" s="22"/>
      <c r="H8" s="12">
        <f t="shared" si="0"/>
        <v>44840</v>
      </c>
    </row>
    <row r="9" spans="2:11" ht="15.6" x14ac:dyDescent="0.3">
      <c r="B9" s="34" t="s">
        <v>0</v>
      </c>
      <c r="C9" s="57"/>
      <c r="D9" s="57">
        <v>540000</v>
      </c>
      <c r="E9" s="60"/>
      <c r="F9" s="60"/>
      <c r="G9" s="60"/>
      <c r="H9" s="12">
        <f t="shared" si="0"/>
        <v>44840</v>
      </c>
    </row>
    <row r="10" spans="2:11" x14ac:dyDescent="0.3">
      <c r="B10" s="6" t="s">
        <v>25</v>
      </c>
      <c r="C10" s="57"/>
      <c r="D10" s="22"/>
      <c r="E10" s="22"/>
      <c r="F10" s="22"/>
      <c r="G10" s="22"/>
      <c r="H10" s="12">
        <f t="shared" si="0"/>
        <v>44840</v>
      </c>
    </row>
    <row r="11" spans="2:11" x14ac:dyDescent="0.3">
      <c r="B11" s="6" t="s">
        <v>15</v>
      </c>
      <c r="C11" s="57"/>
      <c r="D11" s="45"/>
      <c r="E11" s="22"/>
      <c r="F11" s="22"/>
      <c r="G11" s="22"/>
      <c r="H11" s="12">
        <f t="shared" si="0"/>
        <v>44840</v>
      </c>
    </row>
    <row r="12" spans="2:11" x14ac:dyDescent="0.3">
      <c r="B12" s="6" t="s">
        <v>54</v>
      </c>
      <c r="C12" s="22"/>
      <c r="D12" s="22"/>
      <c r="E12" s="22"/>
      <c r="F12" s="22"/>
      <c r="G12" s="22"/>
      <c r="H12" s="67">
        <f t="shared" si="0"/>
        <v>44840</v>
      </c>
    </row>
    <row r="13" spans="2:11" x14ac:dyDescent="0.3">
      <c r="B13" s="6" t="s">
        <v>26</v>
      </c>
      <c r="C13" s="22">
        <v>54000</v>
      </c>
      <c r="D13" s="22"/>
      <c r="E13" s="22"/>
      <c r="F13" s="22"/>
      <c r="G13" s="22"/>
      <c r="H13" s="12">
        <f t="shared" si="0"/>
        <v>44840</v>
      </c>
    </row>
    <row r="14" spans="2:11" x14ac:dyDescent="0.3">
      <c r="B14" s="6" t="s">
        <v>22</v>
      </c>
      <c r="C14" s="22">
        <v>54000</v>
      </c>
      <c r="D14" s="22"/>
      <c r="E14" s="22"/>
      <c r="F14" s="22"/>
      <c r="G14" s="22"/>
      <c r="H14" s="12">
        <f t="shared" si="0"/>
        <v>44840</v>
      </c>
      <c r="K14" s="4"/>
    </row>
    <row r="15" spans="2:11" x14ac:dyDescent="0.3">
      <c r="B15" s="6" t="s">
        <v>61</v>
      </c>
      <c r="C15" s="22"/>
      <c r="D15" s="22"/>
      <c r="E15" s="22"/>
      <c r="F15" s="22"/>
      <c r="G15" s="22"/>
      <c r="H15" s="67">
        <f t="shared" si="0"/>
        <v>44840</v>
      </c>
      <c r="K15" s="4"/>
    </row>
    <row r="16" spans="2:11" x14ac:dyDescent="0.3">
      <c r="B16" s="6" t="s">
        <v>19</v>
      </c>
      <c r="C16" s="22"/>
      <c r="D16" s="22"/>
      <c r="E16" s="23"/>
      <c r="F16" s="22"/>
      <c r="G16" s="22"/>
      <c r="H16" s="12">
        <f t="shared" si="0"/>
        <v>44840</v>
      </c>
    </row>
    <row r="17" spans="2:10" x14ac:dyDescent="0.3">
      <c r="B17" s="6" t="s">
        <v>14</v>
      </c>
      <c r="C17" s="22"/>
      <c r="D17" s="22">
        <v>1350000</v>
      </c>
      <c r="E17" s="57"/>
      <c r="F17" s="23"/>
      <c r="G17" s="22"/>
      <c r="H17" s="12">
        <f t="shared" si="0"/>
        <v>44840</v>
      </c>
    </row>
    <row r="18" spans="2:10" x14ac:dyDescent="0.3">
      <c r="B18" s="6" t="s">
        <v>24</v>
      </c>
      <c r="C18" s="22"/>
      <c r="D18" s="22"/>
      <c r="E18" s="22"/>
      <c r="F18" s="49"/>
      <c r="G18" s="22"/>
      <c r="H18" s="67">
        <f t="shared" si="0"/>
        <v>44840</v>
      </c>
    </row>
    <row r="19" spans="2:10" x14ac:dyDescent="0.3">
      <c r="B19" s="6" t="s">
        <v>21</v>
      </c>
      <c r="C19" s="22">
        <v>485500</v>
      </c>
      <c r="D19" s="22"/>
      <c r="E19" s="22"/>
      <c r="F19" s="22"/>
      <c r="G19" s="22"/>
      <c r="H19" s="12">
        <f t="shared" si="0"/>
        <v>44840</v>
      </c>
      <c r="J19" s="1" t="s">
        <v>66</v>
      </c>
    </row>
    <row r="20" spans="2:10" x14ac:dyDescent="0.3">
      <c r="B20" s="6" t="s">
        <v>65</v>
      </c>
      <c r="C20" s="57"/>
      <c r="D20" s="22"/>
      <c r="E20" s="22"/>
      <c r="F20" s="22"/>
      <c r="G20" s="22"/>
      <c r="H20" s="67">
        <f t="shared" si="0"/>
        <v>44840</v>
      </c>
    </row>
    <row r="21" spans="2:10" x14ac:dyDescent="0.3">
      <c r="B21" s="6" t="s">
        <v>67</v>
      </c>
      <c r="C21" s="22"/>
      <c r="D21" s="57"/>
      <c r="E21" s="22"/>
      <c r="F21" s="22"/>
      <c r="G21" s="22"/>
      <c r="H21" s="12">
        <f t="shared" si="0"/>
        <v>44840</v>
      </c>
    </row>
    <row r="22" spans="2:10" x14ac:dyDescent="0.3">
      <c r="B22" s="6" t="s">
        <v>18</v>
      </c>
      <c r="C22" s="22"/>
      <c r="D22" s="22"/>
      <c r="E22" s="62"/>
      <c r="F22" s="62"/>
      <c r="G22" s="62"/>
      <c r="H22" s="12">
        <f t="shared" si="0"/>
        <v>44840</v>
      </c>
    </row>
    <row r="23" spans="2:10" x14ac:dyDescent="0.3">
      <c r="B23" s="6" t="s">
        <v>16</v>
      </c>
      <c r="C23" s="22">
        <v>1291500</v>
      </c>
      <c r="D23" s="55"/>
      <c r="E23" s="62"/>
      <c r="F23" s="62"/>
      <c r="G23" s="22"/>
      <c r="H23" s="12">
        <f t="shared" si="0"/>
        <v>44840</v>
      </c>
    </row>
    <row r="24" spans="2:10" x14ac:dyDescent="0.3">
      <c r="B24" s="50" t="s">
        <v>27</v>
      </c>
      <c r="C24" s="51">
        <f>SUM(Oct06_2022[KSI_AGO])</f>
        <v>1885000</v>
      </c>
      <c r="D24" s="51">
        <f>SUBTOTAL(109,Oct06_2022[KSI_PMS])</f>
        <v>1890000</v>
      </c>
      <c r="E24" s="51">
        <f>SUM(Oct06_2022[BUIPE_AGO])</f>
        <v>0</v>
      </c>
      <c r="F24" s="51">
        <f>SUM(Oct06_2022[BUIPE_PMS])</f>
        <v>0</v>
      </c>
      <c r="G24" s="51">
        <f>SUM(Oct06_2022[AKOSOMBO_AGO])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3D4D4B6F-6824-49DB-9F77-BB473C05B689}">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FD82-8DF2-41EE-98E0-6041D2A53B38}">
  <dimension ref="B1:K25"/>
  <sheetViews>
    <sheetView zoomScaleNormal="100" workbookViewId="0">
      <pane xSplit="2" ySplit="5" topLeftCell="C6" activePane="bottomRight" state="frozen"/>
      <selection pane="topRight" activeCell="C1" sqref="C1"/>
      <selection pane="bottomLeft" activeCell="A6" sqref="A6"/>
      <selection pane="bottomRight" activeCell="G8" sqref="G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44841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44841</v>
      </c>
    </row>
    <row r="7" spans="2:11" ht="16.5" customHeight="1" x14ac:dyDescent="0.3">
      <c r="B7" s="6" t="s">
        <v>37</v>
      </c>
      <c r="C7" s="57"/>
      <c r="D7" s="62"/>
      <c r="E7" s="62"/>
      <c r="F7" s="62"/>
      <c r="G7" s="62"/>
      <c r="H7" s="67">
        <f t="shared" si="0"/>
        <v>44841</v>
      </c>
    </row>
    <row r="8" spans="2:11" x14ac:dyDescent="0.3">
      <c r="B8" s="6" t="s">
        <v>17</v>
      </c>
      <c r="C8" s="22">
        <v>45000</v>
      </c>
      <c r="D8" s="22"/>
      <c r="E8" s="22"/>
      <c r="F8" s="22"/>
      <c r="G8" s="22"/>
      <c r="H8" s="12">
        <f t="shared" si="0"/>
        <v>44841</v>
      </c>
    </row>
    <row r="9" spans="2:11" ht="15.6" x14ac:dyDescent="0.3">
      <c r="B9" s="34" t="s">
        <v>0</v>
      </c>
      <c r="C9" s="57"/>
      <c r="D9" s="57">
        <v>54000</v>
      </c>
      <c r="E9" s="60"/>
      <c r="F9" s="60"/>
      <c r="G9" s="60"/>
      <c r="H9" s="12">
        <f t="shared" si="0"/>
        <v>44841</v>
      </c>
    </row>
    <row r="10" spans="2:11" x14ac:dyDescent="0.3">
      <c r="B10" s="6" t="s">
        <v>25</v>
      </c>
      <c r="C10" s="57"/>
      <c r="D10" s="22"/>
      <c r="E10" s="22"/>
      <c r="F10" s="22"/>
      <c r="G10" s="22"/>
      <c r="H10" s="12">
        <f t="shared" si="0"/>
        <v>44841</v>
      </c>
    </row>
    <row r="11" spans="2:11" x14ac:dyDescent="0.3">
      <c r="B11" s="6" t="s">
        <v>15</v>
      </c>
      <c r="C11" s="57"/>
      <c r="D11" s="45"/>
      <c r="E11" s="22"/>
      <c r="F11" s="22"/>
      <c r="G11" s="22"/>
      <c r="H11" s="12">
        <f t="shared" si="0"/>
        <v>44841</v>
      </c>
    </row>
    <row r="12" spans="2:11" x14ac:dyDescent="0.3">
      <c r="B12" s="6" t="s">
        <v>54</v>
      </c>
      <c r="C12" s="22"/>
      <c r="D12" s="22"/>
      <c r="E12" s="22"/>
      <c r="F12" s="22"/>
      <c r="G12" s="22"/>
      <c r="H12" s="67">
        <f t="shared" si="0"/>
        <v>44841</v>
      </c>
    </row>
    <row r="13" spans="2:11" x14ac:dyDescent="0.3">
      <c r="B13" s="6" t="s">
        <v>26</v>
      </c>
      <c r="C13" s="22">
        <v>211500</v>
      </c>
      <c r="D13" s="22">
        <v>1071000</v>
      </c>
      <c r="E13" s="22"/>
      <c r="F13" s="22"/>
      <c r="G13" s="22"/>
      <c r="H13" s="12">
        <f t="shared" si="0"/>
        <v>44841</v>
      </c>
    </row>
    <row r="14" spans="2:11" x14ac:dyDescent="0.3">
      <c r="B14" s="6" t="s">
        <v>22</v>
      </c>
      <c r="C14" s="22"/>
      <c r="D14" s="22"/>
      <c r="E14" s="22"/>
      <c r="F14" s="22"/>
      <c r="G14" s="22"/>
      <c r="H14" s="12">
        <f t="shared" si="0"/>
        <v>44841</v>
      </c>
      <c r="K14" s="4"/>
    </row>
    <row r="15" spans="2:11" x14ac:dyDescent="0.3">
      <c r="B15" s="6" t="s">
        <v>61</v>
      </c>
      <c r="C15" s="22"/>
      <c r="D15" s="22"/>
      <c r="E15" s="22"/>
      <c r="F15" s="22"/>
      <c r="G15" s="22"/>
      <c r="H15" s="67">
        <f t="shared" si="0"/>
        <v>44841</v>
      </c>
      <c r="K15" s="4"/>
    </row>
    <row r="16" spans="2:11" x14ac:dyDescent="0.3">
      <c r="B16" s="6" t="s">
        <v>19</v>
      </c>
      <c r="C16" s="22"/>
      <c r="D16" s="22"/>
      <c r="E16" s="23"/>
      <c r="F16" s="22"/>
      <c r="G16" s="22"/>
      <c r="H16" s="12">
        <f t="shared" si="0"/>
        <v>44841</v>
      </c>
    </row>
    <row r="17" spans="2:10" x14ac:dyDescent="0.3">
      <c r="B17" s="6" t="s">
        <v>14</v>
      </c>
      <c r="C17" s="22"/>
      <c r="D17" s="22"/>
      <c r="E17" s="57"/>
      <c r="F17" s="23"/>
      <c r="G17" s="22"/>
      <c r="H17" s="12">
        <f t="shared" si="0"/>
        <v>44841</v>
      </c>
    </row>
    <row r="18" spans="2:10" x14ac:dyDescent="0.3">
      <c r="B18" s="6" t="s">
        <v>24</v>
      </c>
      <c r="C18" s="22"/>
      <c r="D18" s="22"/>
      <c r="E18" s="22"/>
      <c r="F18" s="49"/>
      <c r="G18" s="22"/>
      <c r="H18" s="67">
        <f t="shared" si="0"/>
        <v>44841</v>
      </c>
    </row>
    <row r="19" spans="2:10" x14ac:dyDescent="0.3">
      <c r="B19" s="6" t="s">
        <v>21</v>
      </c>
      <c r="C19" s="22">
        <v>644000</v>
      </c>
      <c r="D19" s="22"/>
      <c r="E19" s="22"/>
      <c r="F19" s="22"/>
      <c r="G19" s="22"/>
      <c r="H19" s="12">
        <f t="shared" si="0"/>
        <v>44841</v>
      </c>
      <c r="J19" s="1" t="s">
        <v>66</v>
      </c>
    </row>
    <row r="20" spans="2:10" x14ac:dyDescent="0.3">
      <c r="B20" s="6" t="s">
        <v>65</v>
      </c>
      <c r="C20" s="57"/>
      <c r="D20" s="22"/>
      <c r="E20" s="22"/>
      <c r="F20" s="22"/>
      <c r="G20" s="22"/>
      <c r="H20" s="67">
        <f t="shared" si="0"/>
        <v>44841</v>
      </c>
    </row>
    <row r="21" spans="2:10" x14ac:dyDescent="0.3">
      <c r="B21" s="6" t="s">
        <v>67</v>
      </c>
      <c r="C21" s="22"/>
      <c r="D21" s="57"/>
      <c r="E21" s="22"/>
      <c r="F21" s="22"/>
      <c r="G21" s="22"/>
      <c r="H21" s="12">
        <f t="shared" si="0"/>
        <v>44841</v>
      </c>
    </row>
    <row r="22" spans="2:10" x14ac:dyDescent="0.3">
      <c r="B22" s="6" t="s">
        <v>18</v>
      </c>
      <c r="C22" s="22"/>
      <c r="D22" s="22"/>
      <c r="E22" s="62"/>
      <c r="F22" s="62"/>
      <c r="G22" s="62"/>
      <c r="H22" s="12">
        <f t="shared" si="0"/>
        <v>44841</v>
      </c>
    </row>
    <row r="23" spans="2:10" x14ac:dyDescent="0.3">
      <c r="B23" s="6" t="s">
        <v>16</v>
      </c>
      <c r="C23" s="22">
        <v>270000</v>
      </c>
      <c r="D23" s="55">
        <v>193500</v>
      </c>
      <c r="E23" s="62"/>
      <c r="F23" s="62"/>
      <c r="G23" s="22"/>
      <c r="H23" s="12">
        <f t="shared" si="0"/>
        <v>44841</v>
      </c>
    </row>
    <row r="24" spans="2:10" x14ac:dyDescent="0.3">
      <c r="B24" s="50" t="s">
        <v>27</v>
      </c>
      <c r="C24" s="51">
        <f>SUM(Oct07_2022[KSI_AGO])</f>
        <v>1170500</v>
      </c>
      <c r="D24" s="51">
        <f>SUBTOTAL(109,Oct07_2022[KSI_PMS])</f>
        <v>1318500</v>
      </c>
      <c r="E24" s="51">
        <f>SUM(Oct07_2022[BUIPE_AGO])</f>
        <v>0</v>
      </c>
      <c r="F24" s="51">
        <f>SUM(Oct07_2022[BUIPE_PMS])</f>
        <v>0</v>
      </c>
      <c r="G24" s="51">
        <f>SUM(Oct07_2022[AKOSOMBO_AGO])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FA25CE09-9970-43A3-AACA-C5F689B7F9AB}">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C0A81-DB2B-486A-9386-8E706153CC7D}">
  <dimension ref="B1:K25"/>
  <sheetViews>
    <sheetView zoomScaleNormal="100" workbookViewId="0">
      <pane xSplit="2" ySplit="5" topLeftCell="C6" activePane="bottomRight" state="frozen"/>
      <selection pane="topRight" activeCell="C1" sqref="C1"/>
      <selection pane="bottomLeft" activeCell="A6" sqref="A6"/>
      <selection pane="bottomRight" activeCell="G10" sqref="G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44844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44844</v>
      </c>
    </row>
    <row r="7" spans="2:11" ht="16.5" customHeight="1" x14ac:dyDescent="0.3">
      <c r="B7" s="6" t="s">
        <v>37</v>
      </c>
      <c r="C7" s="57"/>
      <c r="D7" s="62"/>
      <c r="E7" s="62"/>
      <c r="F7" s="62"/>
      <c r="G7" s="62"/>
      <c r="H7" s="67">
        <f t="shared" si="0"/>
        <v>44844</v>
      </c>
    </row>
    <row r="8" spans="2:11" x14ac:dyDescent="0.3">
      <c r="B8" s="6" t="s">
        <v>17</v>
      </c>
      <c r="C8" s="22">
        <v>45000</v>
      </c>
      <c r="D8" s="22"/>
      <c r="E8" s="22"/>
      <c r="F8" s="22"/>
      <c r="G8" s="22"/>
      <c r="H8" s="12">
        <f t="shared" si="0"/>
        <v>44844</v>
      </c>
    </row>
    <row r="9" spans="2:11" ht="15.6" x14ac:dyDescent="0.3">
      <c r="B9" s="34" t="s">
        <v>0</v>
      </c>
      <c r="C9" s="57"/>
      <c r="D9" s="57">
        <v>54000</v>
      </c>
      <c r="E9" s="60"/>
      <c r="F9" s="60"/>
      <c r="G9" s="60"/>
      <c r="H9" s="12">
        <f t="shared" si="0"/>
        <v>44844</v>
      </c>
    </row>
    <row r="10" spans="2:11" x14ac:dyDescent="0.3">
      <c r="B10" s="6" t="s">
        <v>25</v>
      </c>
      <c r="C10" s="57"/>
      <c r="D10" s="22"/>
      <c r="E10" s="22"/>
      <c r="F10" s="22"/>
      <c r="G10" s="22"/>
      <c r="H10" s="12">
        <f t="shared" si="0"/>
        <v>44844</v>
      </c>
    </row>
    <row r="11" spans="2:11" x14ac:dyDescent="0.3">
      <c r="B11" s="6" t="s">
        <v>15</v>
      </c>
      <c r="C11" s="57"/>
      <c r="D11" s="45"/>
      <c r="E11" s="22"/>
      <c r="F11" s="22"/>
      <c r="G11" s="22"/>
      <c r="H11" s="12">
        <f t="shared" si="0"/>
        <v>44844</v>
      </c>
    </row>
    <row r="12" spans="2:11" x14ac:dyDescent="0.3">
      <c r="B12" s="6" t="s">
        <v>54</v>
      </c>
      <c r="C12" s="22"/>
      <c r="D12" s="22"/>
      <c r="E12" s="22"/>
      <c r="F12" s="22"/>
      <c r="G12" s="22"/>
      <c r="H12" s="67">
        <f t="shared" si="0"/>
        <v>44844</v>
      </c>
    </row>
    <row r="13" spans="2:11" x14ac:dyDescent="0.3">
      <c r="B13" s="6" t="s">
        <v>26</v>
      </c>
      <c r="C13" s="22">
        <v>365000</v>
      </c>
      <c r="D13" s="22">
        <v>54000</v>
      </c>
      <c r="E13" s="22"/>
      <c r="F13" s="22"/>
      <c r="G13" s="22"/>
      <c r="H13" s="12">
        <f t="shared" si="0"/>
        <v>44844</v>
      </c>
    </row>
    <row r="14" spans="2:11" x14ac:dyDescent="0.3">
      <c r="B14" s="6" t="s">
        <v>22</v>
      </c>
      <c r="C14" s="22"/>
      <c r="D14" s="22"/>
      <c r="E14" s="22"/>
      <c r="F14" s="22"/>
      <c r="G14" s="22"/>
      <c r="H14" s="12">
        <f t="shared" si="0"/>
        <v>44844</v>
      </c>
      <c r="K14" s="4"/>
    </row>
    <row r="15" spans="2:11" x14ac:dyDescent="0.3">
      <c r="B15" s="6" t="s">
        <v>61</v>
      </c>
      <c r="C15" s="22"/>
      <c r="D15" s="22"/>
      <c r="E15" s="22"/>
      <c r="F15" s="22"/>
      <c r="G15" s="22"/>
      <c r="H15" s="67">
        <f t="shared" si="0"/>
        <v>44844</v>
      </c>
      <c r="K15" s="4"/>
    </row>
    <row r="16" spans="2:11" x14ac:dyDescent="0.3">
      <c r="B16" s="6" t="s">
        <v>19</v>
      </c>
      <c r="C16" s="22"/>
      <c r="D16" s="22"/>
      <c r="E16" s="23"/>
      <c r="F16" s="22"/>
      <c r="G16" s="22"/>
      <c r="H16" s="12">
        <f t="shared" si="0"/>
        <v>44844</v>
      </c>
    </row>
    <row r="17" spans="2:10" x14ac:dyDescent="0.3">
      <c r="B17" s="6" t="s">
        <v>14</v>
      </c>
      <c r="C17" s="22">
        <v>594000</v>
      </c>
      <c r="D17" s="57"/>
      <c r="E17" s="22">
        <v>702000</v>
      </c>
      <c r="F17" s="23"/>
      <c r="G17" s="22"/>
      <c r="H17" s="12">
        <f t="shared" si="0"/>
        <v>44844</v>
      </c>
    </row>
    <row r="18" spans="2:10" x14ac:dyDescent="0.3">
      <c r="B18" s="6" t="s">
        <v>24</v>
      </c>
      <c r="C18" s="22"/>
      <c r="D18" s="22"/>
      <c r="E18" s="22"/>
      <c r="F18" s="49"/>
      <c r="G18" s="22"/>
      <c r="H18" s="67">
        <f t="shared" si="0"/>
        <v>44844</v>
      </c>
    </row>
    <row r="19" spans="2:10" x14ac:dyDescent="0.3">
      <c r="B19" s="6" t="s">
        <v>21</v>
      </c>
      <c r="C19" s="22">
        <v>378000</v>
      </c>
      <c r="D19" s="22"/>
      <c r="E19" s="22"/>
      <c r="F19" s="22"/>
      <c r="G19" s="22"/>
      <c r="H19" s="12">
        <f t="shared" si="0"/>
        <v>44844</v>
      </c>
      <c r="J19" s="1" t="s">
        <v>66</v>
      </c>
    </row>
    <row r="20" spans="2:10" x14ac:dyDescent="0.3">
      <c r="B20" s="6" t="s">
        <v>65</v>
      </c>
      <c r="C20" s="57"/>
      <c r="D20" s="22"/>
      <c r="E20" s="22"/>
      <c r="F20" s="22"/>
      <c r="G20" s="22"/>
      <c r="H20" s="67">
        <f t="shared" si="0"/>
        <v>44844</v>
      </c>
    </row>
    <row r="21" spans="2:10" x14ac:dyDescent="0.3">
      <c r="B21" s="6" t="s">
        <v>67</v>
      </c>
      <c r="C21" s="22"/>
      <c r="D21" s="57"/>
      <c r="E21" s="22"/>
      <c r="F21" s="22"/>
      <c r="G21" s="22"/>
      <c r="H21" s="12">
        <f t="shared" si="0"/>
        <v>44844</v>
      </c>
    </row>
    <row r="22" spans="2:10" x14ac:dyDescent="0.3">
      <c r="B22" s="6" t="s">
        <v>18</v>
      </c>
      <c r="C22" s="22"/>
      <c r="D22" s="22"/>
      <c r="E22" s="62"/>
      <c r="F22" s="62"/>
      <c r="G22" s="62"/>
      <c r="H22" s="12">
        <f t="shared" si="0"/>
        <v>44844</v>
      </c>
    </row>
    <row r="23" spans="2:10" x14ac:dyDescent="0.3">
      <c r="B23" s="6" t="s">
        <v>16</v>
      </c>
      <c r="C23" s="22">
        <v>216000</v>
      </c>
      <c r="D23" s="55"/>
      <c r="E23" s="62"/>
      <c r="F23" s="62"/>
      <c r="G23" s="22"/>
      <c r="H23" s="12">
        <f t="shared" si="0"/>
        <v>44844</v>
      </c>
    </row>
    <row r="24" spans="2:10" x14ac:dyDescent="0.3">
      <c r="B24" s="50" t="s">
        <v>27</v>
      </c>
      <c r="C24" s="51">
        <f>SUM(Oct10_2022[KSI_AGO])</f>
        <v>1598000</v>
      </c>
      <c r="D24" s="51">
        <f>SUBTOTAL(109,Oct10_2022[KSI_PMS])</f>
        <v>108000</v>
      </c>
      <c r="E24" s="51">
        <f>SUM(Oct10_2022[BUIPE_AGO])</f>
        <v>702000</v>
      </c>
      <c r="F24" s="51">
        <f>SUM(Oct10_2022[BUIPE_PMS])</f>
        <v>0</v>
      </c>
      <c r="G24" s="51">
        <f>SUM(Oct10_2022[AKOSOMBO_AGO])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89DEF798-17A9-4AE9-BD32-3D2545080E8C}">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55E6-0EF9-41EC-B17C-19EE0F764898}">
  <dimension ref="B1:K25"/>
  <sheetViews>
    <sheetView zoomScaleNormal="100" workbookViewId="0">
      <pane xSplit="2" ySplit="5" topLeftCell="C6" activePane="bottomRight" state="frozen"/>
      <selection pane="topRight" activeCell="C1" sqref="C1"/>
      <selection pane="bottomLeft" activeCell="A6" sqref="A6"/>
      <selection pane="bottomRight" activeCell="F11" sqref="F1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44844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44844</v>
      </c>
    </row>
    <row r="7" spans="2:11" ht="16.5" customHeight="1" x14ac:dyDescent="0.3">
      <c r="B7" s="6" t="s">
        <v>37</v>
      </c>
      <c r="C7" s="57"/>
      <c r="D7" s="62"/>
      <c r="E7" s="62"/>
      <c r="F7" s="62"/>
      <c r="G7" s="62"/>
      <c r="H7" s="67">
        <f t="shared" si="0"/>
        <v>44844</v>
      </c>
    </row>
    <row r="8" spans="2:11" x14ac:dyDescent="0.3">
      <c r="B8" s="6" t="s">
        <v>17</v>
      </c>
      <c r="C8" s="22"/>
      <c r="D8" s="22"/>
      <c r="E8" s="22"/>
      <c r="F8" s="22"/>
      <c r="G8" s="22"/>
      <c r="H8" s="12">
        <f t="shared" si="0"/>
        <v>44844</v>
      </c>
    </row>
    <row r="9" spans="2:11" ht="15.6" x14ac:dyDescent="0.3">
      <c r="B9" s="34" t="s">
        <v>0</v>
      </c>
      <c r="C9" s="57"/>
      <c r="D9" s="57"/>
      <c r="E9" s="60"/>
      <c r="F9" s="60"/>
      <c r="G9" s="60"/>
      <c r="H9" s="12">
        <f t="shared" si="0"/>
        <v>44844</v>
      </c>
    </row>
    <row r="10" spans="2:11" x14ac:dyDescent="0.3">
      <c r="B10" s="6" t="s">
        <v>25</v>
      </c>
      <c r="C10" s="57"/>
      <c r="D10" s="22"/>
      <c r="E10" s="22"/>
      <c r="F10" s="22"/>
      <c r="G10" s="22"/>
      <c r="H10" s="12">
        <f t="shared" si="0"/>
        <v>44844</v>
      </c>
    </row>
    <row r="11" spans="2:11" x14ac:dyDescent="0.3">
      <c r="B11" s="6" t="s">
        <v>15</v>
      </c>
      <c r="C11" s="57"/>
      <c r="D11" s="45"/>
      <c r="E11" s="22"/>
      <c r="F11" s="22"/>
      <c r="G11" s="22"/>
      <c r="H11" s="12">
        <f t="shared" si="0"/>
        <v>44844</v>
      </c>
    </row>
    <row r="12" spans="2:11" x14ac:dyDescent="0.3">
      <c r="B12" s="6" t="s">
        <v>54</v>
      </c>
      <c r="C12" s="22"/>
      <c r="D12" s="22"/>
      <c r="E12" s="22"/>
      <c r="F12" s="22"/>
      <c r="G12" s="22"/>
      <c r="H12" s="67">
        <f t="shared" si="0"/>
        <v>44844</v>
      </c>
    </row>
    <row r="13" spans="2:11" x14ac:dyDescent="0.3">
      <c r="B13" s="6" t="s">
        <v>26</v>
      </c>
      <c r="C13" s="22">
        <v>157500</v>
      </c>
      <c r="D13" s="22"/>
      <c r="E13" s="22"/>
      <c r="F13" s="22"/>
      <c r="G13" s="22"/>
      <c r="H13" s="12">
        <f t="shared" si="0"/>
        <v>44844</v>
      </c>
    </row>
    <row r="14" spans="2:11" x14ac:dyDescent="0.3">
      <c r="B14" s="6" t="s">
        <v>22</v>
      </c>
      <c r="C14" s="22"/>
      <c r="D14" s="22"/>
      <c r="E14" s="22"/>
      <c r="F14" s="22"/>
      <c r="G14" s="22"/>
      <c r="H14" s="12">
        <f t="shared" si="0"/>
        <v>44844</v>
      </c>
      <c r="K14" s="4"/>
    </row>
    <row r="15" spans="2:11" x14ac:dyDescent="0.3">
      <c r="B15" s="6" t="s">
        <v>61</v>
      </c>
      <c r="C15" s="22"/>
      <c r="D15" s="22"/>
      <c r="E15" s="22"/>
      <c r="F15" s="22"/>
      <c r="G15" s="22"/>
      <c r="H15" s="67">
        <f t="shared" si="0"/>
        <v>44844</v>
      </c>
      <c r="K15" s="4"/>
    </row>
    <row r="16" spans="2:11" x14ac:dyDescent="0.3">
      <c r="B16" s="6" t="s">
        <v>19</v>
      </c>
      <c r="C16" s="22"/>
      <c r="D16" s="22"/>
      <c r="E16" s="23"/>
      <c r="F16" s="22"/>
      <c r="G16" s="22"/>
      <c r="H16" s="12">
        <f t="shared" si="0"/>
        <v>44844</v>
      </c>
    </row>
    <row r="17" spans="2:10" x14ac:dyDescent="0.3">
      <c r="B17" s="6" t="s">
        <v>14</v>
      </c>
      <c r="C17" s="22">
        <v>594000</v>
      </c>
      <c r="D17" s="57"/>
      <c r="E17" s="22">
        <v>810000</v>
      </c>
      <c r="F17" s="23"/>
      <c r="G17" s="22"/>
      <c r="H17" s="12">
        <f t="shared" si="0"/>
        <v>44844</v>
      </c>
    </row>
    <row r="18" spans="2:10" x14ac:dyDescent="0.3">
      <c r="B18" s="6" t="s">
        <v>24</v>
      </c>
      <c r="C18" s="22"/>
      <c r="D18" s="22"/>
      <c r="E18" s="22"/>
      <c r="F18" s="49"/>
      <c r="G18" s="22"/>
      <c r="H18" s="67">
        <f t="shared" si="0"/>
        <v>44844</v>
      </c>
    </row>
    <row r="19" spans="2:10" x14ac:dyDescent="0.3">
      <c r="B19" s="6" t="s">
        <v>21</v>
      </c>
      <c r="C19" s="22">
        <v>324000</v>
      </c>
      <c r="D19" s="22"/>
      <c r="E19" s="22"/>
      <c r="F19" s="22"/>
      <c r="G19" s="22"/>
      <c r="H19" s="12">
        <f t="shared" si="0"/>
        <v>44844</v>
      </c>
      <c r="J19" s="1" t="s">
        <v>66</v>
      </c>
    </row>
    <row r="20" spans="2:10" x14ac:dyDescent="0.3">
      <c r="B20" s="6" t="s">
        <v>65</v>
      </c>
      <c r="C20" s="57"/>
      <c r="D20" s="22"/>
      <c r="E20" s="22"/>
      <c r="F20" s="22"/>
      <c r="G20" s="22"/>
      <c r="H20" s="67">
        <f t="shared" si="0"/>
        <v>44844</v>
      </c>
    </row>
    <row r="21" spans="2:10" x14ac:dyDescent="0.3">
      <c r="B21" s="6" t="s">
        <v>67</v>
      </c>
      <c r="C21" s="22"/>
      <c r="D21" s="57"/>
      <c r="E21" s="22"/>
      <c r="F21" s="22"/>
      <c r="G21" s="22"/>
      <c r="H21" s="12">
        <f t="shared" si="0"/>
        <v>44844</v>
      </c>
    </row>
    <row r="22" spans="2:10" x14ac:dyDescent="0.3">
      <c r="B22" s="6" t="s">
        <v>18</v>
      </c>
      <c r="C22" s="22">
        <v>157500</v>
      </c>
      <c r="D22" s="22"/>
      <c r="E22" s="62"/>
      <c r="F22" s="62"/>
      <c r="G22" s="62"/>
      <c r="H22" s="12">
        <f t="shared" si="0"/>
        <v>44844</v>
      </c>
    </row>
    <row r="23" spans="2:10" x14ac:dyDescent="0.3">
      <c r="B23" s="6" t="s">
        <v>16</v>
      </c>
      <c r="C23" s="22">
        <v>108000</v>
      </c>
      <c r="D23" s="55"/>
      <c r="E23" s="62"/>
      <c r="F23" s="62"/>
      <c r="G23" s="22"/>
      <c r="H23" s="12">
        <f t="shared" si="0"/>
        <v>44844</v>
      </c>
    </row>
    <row r="24" spans="2:10" x14ac:dyDescent="0.3">
      <c r="B24" s="50" t="s">
        <v>27</v>
      </c>
      <c r="C24" s="51">
        <f>SUM(Oct11_2022[KSI_AGO])</f>
        <v>1341000</v>
      </c>
      <c r="D24" s="51">
        <f>SUBTOTAL(109,Oct11_2022[KSI_PMS])</f>
        <v>0</v>
      </c>
      <c r="E24" s="51">
        <f>SUM(Oct11_2022[BUIPE_AGO])</f>
        <v>810000</v>
      </c>
      <c r="F24" s="51">
        <f>SUM(Oct11_2022[BUIPE_PMS])</f>
        <v>0</v>
      </c>
      <c r="G24" s="51">
        <f>SUM(Oct11_2022[AKOSOMBO_AGO])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D820DEF8-9480-4163-A057-002756C999A0}">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020A2-D9FD-4AC4-AE4B-DA6A520EF1DD}">
  <dimension ref="B1:K25"/>
  <sheetViews>
    <sheetView zoomScaleNormal="100" workbookViewId="0">
      <pane xSplit="2" ySplit="5" topLeftCell="C6" activePane="bottomRight" state="frozen"/>
      <selection pane="topRight" activeCell="C1" sqref="C1"/>
      <selection pane="bottomLeft" activeCell="A6" sqref="A6"/>
      <selection pane="bottomRight" activeCell="A16" sqref="A16:X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44846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44846</v>
      </c>
    </row>
    <row r="7" spans="2:11" ht="16.5" customHeight="1" x14ac:dyDescent="0.3">
      <c r="B7" s="6" t="s">
        <v>37</v>
      </c>
      <c r="C7" s="57"/>
      <c r="D7" s="62"/>
      <c r="E7" s="62"/>
      <c r="F7" s="62"/>
      <c r="G7" s="62"/>
      <c r="H7" s="67">
        <f t="shared" si="0"/>
        <v>44846</v>
      </c>
    </row>
    <row r="8" spans="2:11" x14ac:dyDescent="0.3">
      <c r="B8" s="6" t="s">
        <v>17</v>
      </c>
      <c r="C8" s="22"/>
      <c r="D8" s="22"/>
      <c r="E8" s="22"/>
      <c r="F8" s="22"/>
      <c r="G8" s="22"/>
      <c r="H8" s="12">
        <f t="shared" si="0"/>
        <v>44846</v>
      </c>
    </row>
    <row r="9" spans="2:11" ht="15.6" x14ac:dyDescent="0.3">
      <c r="B9" s="34" t="s">
        <v>0</v>
      </c>
      <c r="C9" s="57"/>
      <c r="D9" s="57">
        <v>108000</v>
      </c>
      <c r="E9" s="60"/>
      <c r="F9" s="60"/>
      <c r="G9" s="60"/>
      <c r="H9" s="12">
        <f t="shared" si="0"/>
        <v>44846</v>
      </c>
    </row>
    <row r="10" spans="2:11" x14ac:dyDescent="0.3">
      <c r="B10" s="6" t="s">
        <v>25</v>
      </c>
      <c r="C10" s="57"/>
      <c r="D10" s="22"/>
      <c r="E10" s="22"/>
      <c r="F10" s="22"/>
      <c r="G10" s="22"/>
      <c r="H10" s="12">
        <f t="shared" si="0"/>
        <v>44846</v>
      </c>
    </row>
    <row r="11" spans="2:11" x14ac:dyDescent="0.3">
      <c r="B11" s="6" t="s">
        <v>15</v>
      </c>
      <c r="C11" s="57"/>
      <c r="D11" s="45"/>
      <c r="E11" s="22"/>
      <c r="F11" s="22"/>
      <c r="G11" s="22"/>
      <c r="H11" s="12">
        <f t="shared" si="0"/>
        <v>44846</v>
      </c>
    </row>
    <row r="12" spans="2:11" x14ac:dyDescent="0.3">
      <c r="B12" s="6" t="s">
        <v>54</v>
      </c>
      <c r="C12" s="22"/>
      <c r="D12" s="22"/>
      <c r="E12" s="22"/>
      <c r="F12" s="22"/>
      <c r="G12" s="22"/>
      <c r="H12" s="67">
        <f t="shared" si="0"/>
        <v>44846</v>
      </c>
    </row>
    <row r="13" spans="2:11" x14ac:dyDescent="0.3">
      <c r="B13" s="6" t="s">
        <v>26</v>
      </c>
      <c r="C13" s="22">
        <v>216000</v>
      </c>
      <c r="D13" s="22"/>
      <c r="E13" s="22"/>
      <c r="F13" s="22"/>
      <c r="G13" s="22"/>
      <c r="H13" s="12">
        <f t="shared" si="0"/>
        <v>44846</v>
      </c>
    </row>
    <row r="14" spans="2:11" x14ac:dyDescent="0.3">
      <c r="B14" s="6" t="s">
        <v>22</v>
      </c>
      <c r="C14" s="22"/>
      <c r="D14" s="22"/>
      <c r="E14" s="22"/>
      <c r="F14" s="22"/>
      <c r="G14" s="22"/>
      <c r="H14" s="12">
        <f t="shared" si="0"/>
        <v>44846</v>
      </c>
      <c r="K14" s="4"/>
    </row>
    <row r="15" spans="2:11" x14ac:dyDescent="0.3">
      <c r="B15" s="6" t="s">
        <v>61</v>
      </c>
      <c r="C15" s="22"/>
      <c r="D15" s="22"/>
      <c r="E15" s="22"/>
      <c r="F15" s="22"/>
      <c r="G15" s="22"/>
      <c r="H15" s="67">
        <f t="shared" si="0"/>
        <v>44846</v>
      </c>
      <c r="K15" s="4"/>
    </row>
    <row r="16" spans="2:11" x14ac:dyDescent="0.3">
      <c r="B16" s="6" t="s">
        <v>19</v>
      </c>
      <c r="C16" s="22">
        <v>265500</v>
      </c>
      <c r="D16" s="22"/>
      <c r="E16" s="23">
        <v>265500</v>
      </c>
      <c r="F16" s="22"/>
      <c r="G16" s="22"/>
      <c r="H16" s="12">
        <f t="shared" si="0"/>
        <v>44846</v>
      </c>
    </row>
    <row r="17" spans="2:10" x14ac:dyDescent="0.3">
      <c r="B17" s="6" t="s">
        <v>14</v>
      </c>
      <c r="C17" s="22">
        <v>486000</v>
      </c>
      <c r="D17" s="22">
        <v>936000</v>
      </c>
      <c r="E17" s="22">
        <v>270000</v>
      </c>
      <c r="F17" s="23"/>
      <c r="G17" s="22"/>
      <c r="H17" s="12">
        <f t="shared" si="0"/>
        <v>44846</v>
      </c>
    </row>
    <row r="18" spans="2:10" x14ac:dyDescent="0.3">
      <c r="B18" s="6" t="s">
        <v>24</v>
      </c>
      <c r="C18" s="22"/>
      <c r="D18" s="22"/>
      <c r="E18" s="22"/>
      <c r="F18" s="49"/>
      <c r="G18" s="22"/>
      <c r="H18" s="67">
        <f t="shared" si="0"/>
        <v>44846</v>
      </c>
    </row>
    <row r="19" spans="2:10" x14ac:dyDescent="0.3">
      <c r="B19" s="6" t="s">
        <v>21</v>
      </c>
      <c r="C19" s="22">
        <v>270000</v>
      </c>
      <c r="D19" s="22"/>
      <c r="E19" s="22"/>
      <c r="F19" s="22"/>
      <c r="G19" s="22"/>
      <c r="H19" s="12">
        <f t="shared" si="0"/>
        <v>44846</v>
      </c>
      <c r="J19" s="1" t="s">
        <v>66</v>
      </c>
    </row>
    <row r="20" spans="2:10" x14ac:dyDescent="0.3">
      <c r="B20" s="6" t="s">
        <v>65</v>
      </c>
      <c r="C20" s="57"/>
      <c r="D20" s="22"/>
      <c r="E20" s="22"/>
      <c r="F20" s="22"/>
      <c r="G20" s="22"/>
      <c r="H20" s="67">
        <f t="shared" si="0"/>
        <v>44846</v>
      </c>
    </row>
    <row r="21" spans="2:10" x14ac:dyDescent="0.3">
      <c r="B21" s="6" t="s">
        <v>67</v>
      </c>
      <c r="C21" s="22"/>
      <c r="D21" s="57"/>
      <c r="E21" s="22"/>
      <c r="F21" s="22"/>
      <c r="G21" s="22"/>
      <c r="H21" s="12">
        <f t="shared" si="0"/>
        <v>44846</v>
      </c>
    </row>
    <row r="22" spans="2:10" x14ac:dyDescent="0.3">
      <c r="B22" s="6" t="s">
        <v>18</v>
      </c>
      <c r="C22" s="22">
        <v>158000</v>
      </c>
      <c r="D22" s="22"/>
      <c r="E22" s="62"/>
      <c r="F22" s="62"/>
      <c r="G22" s="62"/>
      <c r="H22" s="12">
        <f t="shared" si="0"/>
        <v>44846</v>
      </c>
    </row>
    <row r="23" spans="2:10" x14ac:dyDescent="0.3">
      <c r="B23" s="6" t="s">
        <v>16</v>
      </c>
      <c r="C23" s="22">
        <v>54000</v>
      </c>
      <c r="D23" s="55"/>
      <c r="E23" s="62"/>
      <c r="F23" s="62"/>
      <c r="G23" s="22"/>
      <c r="H23" s="12">
        <f t="shared" si="0"/>
        <v>44846</v>
      </c>
    </row>
    <row r="24" spans="2:10" x14ac:dyDescent="0.3">
      <c r="B24" s="50" t="s">
        <v>27</v>
      </c>
      <c r="C24" s="51">
        <f>SUM(Oct12_2022[KSI_AGO])</f>
        <v>1449500</v>
      </c>
      <c r="D24" s="51">
        <f>SUBTOTAL(109,Oct12_2022[KSI_PMS])</f>
        <v>1044000</v>
      </c>
      <c r="E24" s="51">
        <f>SUM(Oct12_2022[BUIPE_AGO])</f>
        <v>535500</v>
      </c>
      <c r="F24" s="51">
        <f>SUM(Oct12_2022[BUIPE_PMS])</f>
        <v>0</v>
      </c>
      <c r="G24" s="51">
        <f>SUM(Oct12_2022[AKOSOMBO_AGO])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1D26F0B8-A6A1-40F4-A7D1-FA85A877BA51}">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5B06B-0E68-44D3-9E52-E3FDC199F5C5}">
  <dimension ref="B1:K25"/>
  <sheetViews>
    <sheetView zoomScaleNormal="100" workbookViewId="0">
      <pane xSplit="2" ySplit="5" topLeftCell="C6" activePane="bottomRight" state="frozen"/>
      <selection pane="topRight" activeCell="C1" sqref="C1"/>
      <selection pane="bottomLeft" activeCell="A6" sqref="A6"/>
      <selection pane="bottomRight" activeCell="E13" sqref="E1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44847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44847</v>
      </c>
    </row>
    <row r="7" spans="2:11" ht="16.5" customHeight="1" x14ac:dyDescent="0.3">
      <c r="B7" s="6" t="s">
        <v>37</v>
      </c>
      <c r="C7" s="57"/>
      <c r="D7" s="62"/>
      <c r="E7" s="62"/>
      <c r="F7" s="62"/>
      <c r="G7" s="62"/>
      <c r="H7" s="67">
        <f t="shared" si="0"/>
        <v>44847</v>
      </c>
    </row>
    <row r="8" spans="2:11" x14ac:dyDescent="0.3">
      <c r="B8" s="6" t="s">
        <v>17</v>
      </c>
      <c r="C8" s="22"/>
      <c r="D8" s="22"/>
      <c r="E8" s="22"/>
      <c r="F8" s="22"/>
      <c r="G8" s="22"/>
      <c r="H8" s="12">
        <f t="shared" si="0"/>
        <v>44847</v>
      </c>
    </row>
    <row r="9" spans="2:11" ht="15.6" x14ac:dyDescent="0.3">
      <c r="B9" s="34" t="s">
        <v>0</v>
      </c>
      <c r="C9" s="57"/>
      <c r="D9" s="57">
        <v>1510000</v>
      </c>
      <c r="E9" s="60"/>
      <c r="F9" s="60"/>
      <c r="G9" s="60"/>
      <c r="H9" s="12">
        <f t="shared" si="0"/>
        <v>44847</v>
      </c>
    </row>
    <row r="10" spans="2:11" x14ac:dyDescent="0.3">
      <c r="B10" s="6" t="s">
        <v>25</v>
      </c>
      <c r="C10" s="57"/>
      <c r="D10" s="22"/>
      <c r="E10" s="22"/>
      <c r="F10" s="22"/>
      <c r="G10" s="22"/>
      <c r="H10" s="12">
        <f t="shared" si="0"/>
        <v>44847</v>
      </c>
    </row>
    <row r="11" spans="2:11" x14ac:dyDescent="0.3">
      <c r="B11" s="6" t="s">
        <v>15</v>
      </c>
      <c r="C11" s="57"/>
      <c r="D11" s="45"/>
      <c r="E11" s="22"/>
      <c r="F11" s="22"/>
      <c r="G11" s="22"/>
      <c r="H11" s="12">
        <f t="shared" si="0"/>
        <v>44847</v>
      </c>
    </row>
    <row r="12" spans="2:11" x14ac:dyDescent="0.3">
      <c r="B12" s="6" t="s">
        <v>54</v>
      </c>
      <c r="C12" s="22"/>
      <c r="D12" s="22"/>
      <c r="E12" s="22"/>
      <c r="F12" s="22"/>
      <c r="G12" s="22"/>
      <c r="H12" s="67">
        <f t="shared" si="0"/>
        <v>44847</v>
      </c>
    </row>
    <row r="13" spans="2:11" x14ac:dyDescent="0.3">
      <c r="B13" s="6" t="s">
        <v>26</v>
      </c>
      <c r="C13" s="22">
        <v>49500</v>
      </c>
      <c r="D13" s="22"/>
      <c r="E13" s="22"/>
      <c r="F13" s="22"/>
      <c r="G13" s="22"/>
      <c r="H13" s="12">
        <f t="shared" si="0"/>
        <v>44847</v>
      </c>
    </row>
    <row r="14" spans="2:11" x14ac:dyDescent="0.3">
      <c r="B14" s="6" t="s">
        <v>22</v>
      </c>
      <c r="C14" s="22"/>
      <c r="D14" s="22"/>
      <c r="E14" s="22"/>
      <c r="F14" s="22"/>
      <c r="G14" s="22"/>
      <c r="H14" s="12">
        <f t="shared" si="0"/>
        <v>44847</v>
      </c>
      <c r="K14" s="4"/>
    </row>
    <row r="15" spans="2:11" x14ac:dyDescent="0.3">
      <c r="B15" s="6" t="s">
        <v>61</v>
      </c>
      <c r="C15" s="22"/>
      <c r="D15" s="22"/>
      <c r="E15" s="22"/>
      <c r="F15" s="22"/>
      <c r="G15" s="22"/>
      <c r="H15" s="67">
        <f t="shared" si="0"/>
        <v>44847</v>
      </c>
      <c r="K15" s="4"/>
    </row>
    <row r="16" spans="2:11" x14ac:dyDescent="0.3">
      <c r="B16" s="6" t="s">
        <v>19</v>
      </c>
      <c r="C16" s="22">
        <v>540000</v>
      </c>
      <c r="D16" s="22"/>
      <c r="E16" s="23">
        <v>324000</v>
      </c>
      <c r="F16" s="22"/>
      <c r="G16" s="22"/>
      <c r="H16" s="12">
        <f t="shared" si="0"/>
        <v>44847</v>
      </c>
    </row>
    <row r="17" spans="2:10" x14ac:dyDescent="0.3">
      <c r="B17" s="6" t="s">
        <v>14</v>
      </c>
      <c r="C17" s="22">
        <v>648000</v>
      </c>
      <c r="D17" s="22"/>
      <c r="E17" s="22">
        <v>270000</v>
      </c>
      <c r="F17" s="23"/>
      <c r="G17" s="22"/>
      <c r="H17" s="12">
        <f t="shared" si="0"/>
        <v>44847</v>
      </c>
    </row>
    <row r="18" spans="2:10" x14ac:dyDescent="0.3">
      <c r="B18" s="6" t="s">
        <v>24</v>
      </c>
      <c r="C18" s="22"/>
      <c r="D18" s="22"/>
      <c r="E18" s="22"/>
      <c r="F18" s="49"/>
      <c r="G18" s="22"/>
      <c r="H18" s="67">
        <f t="shared" si="0"/>
        <v>44847</v>
      </c>
    </row>
    <row r="19" spans="2:10" x14ac:dyDescent="0.3">
      <c r="B19" s="6" t="s">
        <v>21</v>
      </c>
      <c r="C19" s="22">
        <v>378000</v>
      </c>
      <c r="D19" s="22"/>
      <c r="E19" s="22"/>
      <c r="F19" s="22"/>
      <c r="G19" s="22"/>
      <c r="H19" s="12">
        <f t="shared" si="0"/>
        <v>44847</v>
      </c>
      <c r="J19" s="1" t="s">
        <v>66</v>
      </c>
    </row>
    <row r="20" spans="2:10" x14ac:dyDescent="0.3">
      <c r="B20" s="6" t="s">
        <v>65</v>
      </c>
      <c r="C20" s="57"/>
      <c r="D20" s="22"/>
      <c r="E20" s="22"/>
      <c r="F20" s="22"/>
      <c r="G20" s="22"/>
      <c r="H20" s="67">
        <f t="shared" si="0"/>
        <v>44847</v>
      </c>
    </row>
    <row r="21" spans="2:10" x14ac:dyDescent="0.3">
      <c r="B21" s="6" t="s">
        <v>67</v>
      </c>
      <c r="C21" s="22"/>
      <c r="D21" s="57"/>
      <c r="E21" s="22"/>
      <c r="F21" s="22"/>
      <c r="G21" s="22"/>
      <c r="H21" s="12">
        <f t="shared" si="0"/>
        <v>44847</v>
      </c>
    </row>
    <row r="22" spans="2:10" x14ac:dyDescent="0.3">
      <c r="B22" s="6" t="s">
        <v>18</v>
      </c>
      <c r="C22" s="22"/>
      <c r="D22" s="22"/>
      <c r="E22" s="62"/>
      <c r="F22" s="62"/>
      <c r="G22" s="62"/>
      <c r="H22" s="12">
        <f t="shared" si="0"/>
        <v>44847</v>
      </c>
    </row>
    <row r="23" spans="2:10" x14ac:dyDescent="0.3">
      <c r="B23" s="6" t="s">
        <v>16</v>
      </c>
      <c r="C23" s="22"/>
      <c r="D23" s="55"/>
      <c r="E23" s="62"/>
      <c r="F23" s="62"/>
      <c r="G23" s="22"/>
      <c r="H23" s="12">
        <f t="shared" si="0"/>
        <v>44847</v>
      </c>
    </row>
    <row r="24" spans="2:10" x14ac:dyDescent="0.3">
      <c r="B24" s="50" t="s">
        <v>27</v>
      </c>
      <c r="C24" s="51">
        <f>SUM(Oct13_2022[KSI_AGO])</f>
        <v>1615500</v>
      </c>
      <c r="D24" s="51">
        <f>SUBTOTAL(109,Oct13_2022[KSI_PMS])</f>
        <v>1510000</v>
      </c>
      <c r="E24" s="51">
        <f>SUM(Oct13_2022[BUIPE_AGO])</f>
        <v>594000</v>
      </c>
      <c r="F24" s="51">
        <f>SUM(Oct13_2022[BUIPE_PMS])</f>
        <v>0</v>
      </c>
      <c r="G24" s="51">
        <f>SUM(Oct13_2022[AKOSOMBO_AGO])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E548E36F-514C-4FF4-B62E-89B83A9A24DC}">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5F2BF-FB17-4F5F-8B7A-B0582D2AD680}">
  <dimension ref="B1:K25"/>
  <sheetViews>
    <sheetView zoomScaleNormal="100" workbookViewId="0">
      <pane xSplit="2" ySplit="5" topLeftCell="C6" activePane="bottomRight" state="frozen"/>
      <selection pane="topRight" activeCell="C1" sqref="C1"/>
      <selection pane="bottomLeft" activeCell="A6" sqref="A6"/>
      <selection pane="bottomRight" activeCell="A16" sqref="A16:X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44848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44848</v>
      </c>
    </row>
    <row r="7" spans="2:11" ht="16.5" customHeight="1" x14ac:dyDescent="0.3">
      <c r="B7" s="6" t="s">
        <v>37</v>
      </c>
      <c r="C7" s="22">
        <v>216000</v>
      </c>
      <c r="D7" s="62"/>
      <c r="E7" s="62">
        <v>54000</v>
      </c>
      <c r="F7" s="62"/>
      <c r="G7" s="62"/>
      <c r="H7" s="67">
        <f t="shared" si="0"/>
        <v>44848</v>
      </c>
    </row>
    <row r="8" spans="2:11" x14ac:dyDescent="0.3">
      <c r="B8" s="6" t="s">
        <v>17</v>
      </c>
      <c r="C8" s="22"/>
      <c r="D8" s="22"/>
      <c r="E8" s="22"/>
      <c r="F8" s="22"/>
      <c r="G8" s="22"/>
      <c r="H8" s="12">
        <f t="shared" si="0"/>
        <v>44848</v>
      </c>
    </row>
    <row r="9" spans="2:11" ht="15.6" x14ac:dyDescent="0.3">
      <c r="B9" s="34" t="s">
        <v>0</v>
      </c>
      <c r="C9" s="57"/>
      <c r="D9" s="57">
        <v>378000</v>
      </c>
      <c r="E9" s="60"/>
      <c r="F9" s="60"/>
      <c r="G9" s="60"/>
      <c r="H9" s="12">
        <f t="shared" si="0"/>
        <v>44848</v>
      </c>
    </row>
    <row r="10" spans="2:11" x14ac:dyDescent="0.3">
      <c r="B10" s="6" t="s">
        <v>25</v>
      </c>
      <c r="C10" s="57"/>
      <c r="D10" s="22"/>
      <c r="E10" s="22"/>
      <c r="F10" s="22"/>
      <c r="G10" s="22"/>
      <c r="H10" s="12">
        <f t="shared" si="0"/>
        <v>44848</v>
      </c>
    </row>
    <row r="11" spans="2:11" x14ac:dyDescent="0.3">
      <c r="B11" s="6" t="s">
        <v>15</v>
      </c>
      <c r="C11" s="57"/>
      <c r="D11" s="45">
        <v>486000</v>
      </c>
      <c r="E11" s="22"/>
      <c r="F11" s="22"/>
      <c r="G11" s="22"/>
      <c r="H11" s="12">
        <f t="shared" si="0"/>
        <v>44848</v>
      </c>
    </row>
    <row r="12" spans="2:11" x14ac:dyDescent="0.3">
      <c r="B12" s="6" t="s">
        <v>54</v>
      </c>
      <c r="C12" s="22"/>
      <c r="D12" s="22">
        <v>54000</v>
      </c>
      <c r="E12" s="22"/>
      <c r="F12" s="22"/>
      <c r="G12" s="22"/>
      <c r="H12" s="67">
        <f t="shared" si="0"/>
        <v>44848</v>
      </c>
    </row>
    <row r="13" spans="2:11" x14ac:dyDescent="0.3">
      <c r="B13" s="6" t="s">
        <v>26</v>
      </c>
      <c r="C13" s="22"/>
      <c r="D13" s="22"/>
      <c r="E13" s="22"/>
      <c r="F13" s="22"/>
      <c r="G13" s="22"/>
      <c r="H13" s="12">
        <f t="shared" si="0"/>
        <v>44848</v>
      </c>
    </row>
    <row r="14" spans="2:11" x14ac:dyDescent="0.3">
      <c r="B14" s="6" t="s">
        <v>22</v>
      </c>
      <c r="C14" s="22"/>
      <c r="D14" s="22"/>
      <c r="E14" s="22"/>
      <c r="F14" s="22"/>
      <c r="G14" s="22"/>
      <c r="H14" s="12">
        <f t="shared" si="0"/>
        <v>44848</v>
      </c>
      <c r="K14" s="4"/>
    </row>
    <row r="15" spans="2:11" x14ac:dyDescent="0.3">
      <c r="B15" s="6" t="s">
        <v>61</v>
      </c>
      <c r="C15" s="22"/>
      <c r="D15" s="22"/>
      <c r="E15" s="22"/>
      <c r="F15" s="22"/>
      <c r="G15" s="22"/>
      <c r="H15" s="67">
        <f t="shared" si="0"/>
        <v>44848</v>
      </c>
      <c r="K15" s="4"/>
    </row>
    <row r="16" spans="2:11" x14ac:dyDescent="0.3">
      <c r="B16" s="6" t="s">
        <v>19</v>
      </c>
      <c r="C16" s="22">
        <v>1013000</v>
      </c>
      <c r="D16" s="22"/>
      <c r="E16" s="23">
        <v>270000</v>
      </c>
      <c r="F16" s="22"/>
      <c r="G16" s="22"/>
      <c r="H16" s="12">
        <f t="shared" si="0"/>
        <v>44848</v>
      </c>
    </row>
    <row r="17" spans="2:10" x14ac:dyDescent="0.3">
      <c r="B17" s="6" t="s">
        <v>14</v>
      </c>
      <c r="C17" s="22">
        <v>752000</v>
      </c>
      <c r="D17" s="22">
        <v>428000</v>
      </c>
      <c r="E17" s="22">
        <v>432000</v>
      </c>
      <c r="F17" s="23"/>
      <c r="G17" s="22"/>
      <c r="H17" s="12">
        <f t="shared" si="0"/>
        <v>44848</v>
      </c>
    </row>
    <row r="18" spans="2:10" x14ac:dyDescent="0.3">
      <c r="B18" s="6" t="s">
        <v>24</v>
      </c>
      <c r="C18" s="22"/>
      <c r="D18" s="22"/>
      <c r="E18" s="22"/>
      <c r="F18" s="49"/>
      <c r="G18" s="22"/>
      <c r="H18" s="67">
        <f t="shared" si="0"/>
        <v>44848</v>
      </c>
    </row>
    <row r="19" spans="2:10" x14ac:dyDescent="0.3">
      <c r="B19" s="6" t="s">
        <v>21</v>
      </c>
      <c r="C19" s="22"/>
      <c r="D19" s="22"/>
      <c r="E19" s="22"/>
      <c r="F19" s="22"/>
      <c r="G19" s="22"/>
      <c r="H19" s="12">
        <f t="shared" si="0"/>
        <v>44848</v>
      </c>
      <c r="J19" s="1" t="s">
        <v>66</v>
      </c>
    </row>
    <row r="20" spans="2:10" x14ac:dyDescent="0.3">
      <c r="B20" s="6" t="s">
        <v>65</v>
      </c>
      <c r="C20" s="57"/>
      <c r="D20" s="22"/>
      <c r="E20" s="22"/>
      <c r="F20" s="22"/>
      <c r="G20" s="22"/>
      <c r="H20" s="67">
        <f t="shared" si="0"/>
        <v>44848</v>
      </c>
    </row>
    <row r="21" spans="2:10" x14ac:dyDescent="0.3">
      <c r="B21" s="6" t="s">
        <v>67</v>
      </c>
      <c r="C21" s="22"/>
      <c r="D21" s="57"/>
      <c r="E21" s="22"/>
      <c r="F21" s="22"/>
      <c r="G21" s="22"/>
      <c r="H21" s="12">
        <f t="shared" si="0"/>
        <v>44848</v>
      </c>
    </row>
    <row r="22" spans="2:10" x14ac:dyDescent="0.3">
      <c r="B22" s="6" t="s">
        <v>18</v>
      </c>
      <c r="C22" s="22"/>
      <c r="D22" s="22"/>
      <c r="E22" s="62"/>
      <c r="F22" s="62"/>
      <c r="G22" s="62"/>
      <c r="H22" s="12">
        <f t="shared" si="0"/>
        <v>44848</v>
      </c>
    </row>
    <row r="23" spans="2:10" x14ac:dyDescent="0.3">
      <c r="B23" s="6" t="s">
        <v>16</v>
      </c>
      <c r="C23" s="22">
        <v>108000</v>
      </c>
      <c r="D23" s="55"/>
      <c r="E23" s="62"/>
      <c r="F23" s="62"/>
      <c r="G23" s="22"/>
      <c r="H23" s="12">
        <f t="shared" si="0"/>
        <v>44848</v>
      </c>
    </row>
    <row r="24" spans="2:10" x14ac:dyDescent="0.3">
      <c r="B24" s="50" t="s">
        <v>27</v>
      </c>
      <c r="C24" s="51">
        <f>SUM(Oct14_2022[KSI_AGO])</f>
        <v>2089000</v>
      </c>
      <c r="D24" s="51">
        <f>SUBTOTAL(109,Oct14_2022[KSI_PMS])</f>
        <v>1346000</v>
      </c>
      <c r="E24" s="51">
        <f>SUM(Oct14_2022[BUIPE_AGO])</f>
        <v>756000</v>
      </c>
      <c r="F24" s="51">
        <f>SUM(Oct14_2022[BUIPE_PMS])</f>
        <v>0</v>
      </c>
      <c r="G24" s="51">
        <f>SUM(Oct14_2022[AKOSOMBO_AGO])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405C57D5-ED0F-413C-B212-6FB64C287733}">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8333-2897-4D7B-9253-6DBF53F73E56}">
  <dimension ref="B1:K25"/>
  <sheetViews>
    <sheetView zoomScaleNormal="100" workbookViewId="0">
      <pane xSplit="2" ySplit="5" topLeftCell="C6" activePane="bottomRight" state="frozen"/>
      <selection pane="topRight" activeCell="C1" sqref="C1"/>
      <selection pane="bottomLeft" activeCell="A6" sqref="A6"/>
      <selection pane="bottomRight" activeCell="A16" sqref="A16:X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44851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44851</v>
      </c>
    </row>
    <row r="7" spans="2:11" ht="16.5" customHeight="1" x14ac:dyDescent="0.3">
      <c r="B7" s="6" t="s">
        <v>37</v>
      </c>
      <c r="C7" s="22">
        <v>108000</v>
      </c>
      <c r="D7" s="62"/>
      <c r="E7" s="62">
        <v>90000</v>
      </c>
      <c r="F7" s="62"/>
      <c r="G7" s="62"/>
      <c r="H7" s="67">
        <f t="shared" si="0"/>
        <v>44851</v>
      </c>
    </row>
    <row r="8" spans="2:11" x14ac:dyDescent="0.3">
      <c r="B8" s="6" t="s">
        <v>17</v>
      </c>
      <c r="C8" s="22"/>
      <c r="D8" s="22"/>
      <c r="E8" s="22"/>
      <c r="F8" s="22"/>
      <c r="G8" s="22"/>
      <c r="H8" s="12">
        <f t="shared" si="0"/>
        <v>44851</v>
      </c>
    </row>
    <row r="9" spans="2:11" ht="15.6" x14ac:dyDescent="0.3">
      <c r="B9" s="34" t="s">
        <v>0</v>
      </c>
      <c r="C9" s="57">
        <v>1080000</v>
      </c>
      <c r="D9" s="57"/>
      <c r="E9" s="60">
        <v>486000</v>
      </c>
      <c r="F9" s="60"/>
      <c r="G9" s="60"/>
      <c r="H9" s="12">
        <f t="shared" si="0"/>
        <v>44851</v>
      </c>
    </row>
    <row r="10" spans="2:11" x14ac:dyDescent="0.3">
      <c r="B10" s="6" t="s">
        <v>25</v>
      </c>
      <c r="C10" s="57"/>
      <c r="D10" s="22"/>
      <c r="E10" s="22"/>
      <c r="F10" s="22"/>
      <c r="G10" s="22"/>
      <c r="H10" s="12">
        <f t="shared" si="0"/>
        <v>44851</v>
      </c>
    </row>
    <row r="11" spans="2:11" x14ac:dyDescent="0.3">
      <c r="B11" s="6" t="s">
        <v>15</v>
      </c>
      <c r="C11" s="57"/>
      <c r="D11" s="45">
        <v>1012500</v>
      </c>
      <c r="E11" s="22"/>
      <c r="F11" s="22"/>
      <c r="G11" s="22"/>
      <c r="H11" s="12">
        <f t="shared" si="0"/>
        <v>44851</v>
      </c>
    </row>
    <row r="12" spans="2:11" x14ac:dyDescent="0.3">
      <c r="B12" s="6" t="s">
        <v>54</v>
      </c>
      <c r="C12" s="22"/>
      <c r="D12" s="22"/>
      <c r="E12" s="22"/>
      <c r="F12" s="22"/>
      <c r="G12" s="22"/>
      <c r="H12" s="67">
        <f t="shared" si="0"/>
        <v>44851</v>
      </c>
    </row>
    <row r="13" spans="2:11" x14ac:dyDescent="0.3">
      <c r="B13" s="6" t="s">
        <v>26</v>
      </c>
      <c r="C13" s="22"/>
      <c r="D13" s="22"/>
      <c r="E13" s="22"/>
      <c r="F13" s="22"/>
      <c r="G13" s="22"/>
      <c r="H13" s="12">
        <f t="shared" si="0"/>
        <v>44851</v>
      </c>
    </row>
    <row r="14" spans="2:11" x14ac:dyDescent="0.3">
      <c r="B14" s="6" t="s">
        <v>22</v>
      </c>
      <c r="C14" s="22"/>
      <c r="D14" s="22"/>
      <c r="E14" s="22"/>
      <c r="F14" s="22"/>
      <c r="G14" s="22"/>
      <c r="H14" s="12">
        <f t="shared" si="0"/>
        <v>44851</v>
      </c>
      <c r="K14" s="4"/>
    </row>
    <row r="15" spans="2:11" x14ac:dyDescent="0.3">
      <c r="B15" s="6" t="s">
        <v>61</v>
      </c>
      <c r="C15" s="22"/>
      <c r="D15" s="22"/>
      <c r="E15" s="22"/>
      <c r="F15" s="22"/>
      <c r="G15" s="22"/>
      <c r="H15" s="67">
        <f t="shared" si="0"/>
        <v>44851</v>
      </c>
      <c r="K15" s="4"/>
    </row>
    <row r="16" spans="2:11" x14ac:dyDescent="0.3">
      <c r="B16" s="6" t="s">
        <v>19</v>
      </c>
      <c r="C16" s="22">
        <v>107500</v>
      </c>
      <c r="D16" s="22">
        <v>270000</v>
      </c>
      <c r="E16" s="23">
        <v>54000</v>
      </c>
      <c r="F16" s="22"/>
      <c r="G16" s="22"/>
      <c r="H16" s="12">
        <f t="shared" si="0"/>
        <v>44851</v>
      </c>
    </row>
    <row r="17" spans="2:10" x14ac:dyDescent="0.3">
      <c r="B17" s="6" t="s">
        <v>14</v>
      </c>
      <c r="C17" s="22">
        <v>108000</v>
      </c>
      <c r="D17" s="22"/>
      <c r="E17" s="22"/>
      <c r="F17" s="23"/>
      <c r="G17" s="22"/>
      <c r="H17" s="12">
        <f t="shared" si="0"/>
        <v>44851</v>
      </c>
    </row>
    <row r="18" spans="2:10" x14ac:dyDescent="0.3">
      <c r="B18" s="6" t="s">
        <v>24</v>
      </c>
      <c r="C18" s="22"/>
      <c r="D18" s="22"/>
      <c r="E18" s="22"/>
      <c r="F18" s="49"/>
      <c r="G18" s="22"/>
      <c r="H18" s="67">
        <f t="shared" si="0"/>
        <v>44851</v>
      </c>
    </row>
    <row r="19" spans="2:10" x14ac:dyDescent="0.3">
      <c r="B19" s="6" t="s">
        <v>21</v>
      </c>
      <c r="C19" s="22">
        <v>108000</v>
      </c>
      <c r="D19" s="22"/>
      <c r="E19" s="22"/>
      <c r="F19" s="22"/>
      <c r="G19" s="22"/>
      <c r="H19" s="12">
        <f t="shared" si="0"/>
        <v>44851</v>
      </c>
      <c r="J19" s="1" t="s">
        <v>66</v>
      </c>
    </row>
    <row r="20" spans="2:10" x14ac:dyDescent="0.3">
      <c r="B20" s="6" t="s">
        <v>65</v>
      </c>
      <c r="C20" s="57"/>
      <c r="D20" s="22"/>
      <c r="E20" s="22"/>
      <c r="F20" s="22"/>
      <c r="G20" s="22"/>
      <c r="H20" s="67">
        <f t="shared" si="0"/>
        <v>44851</v>
      </c>
    </row>
    <row r="21" spans="2:10" x14ac:dyDescent="0.3">
      <c r="B21" s="6" t="s">
        <v>67</v>
      </c>
      <c r="C21" s="22"/>
      <c r="D21" s="57"/>
      <c r="E21" s="22"/>
      <c r="F21" s="22"/>
      <c r="G21" s="22"/>
      <c r="H21" s="12">
        <f t="shared" si="0"/>
        <v>44851</v>
      </c>
    </row>
    <row r="22" spans="2:10" x14ac:dyDescent="0.3">
      <c r="B22" s="6" t="s">
        <v>18</v>
      </c>
      <c r="C22" s="22"/>
      <c r="D22" s="22"/>
      <c r="E22" s="62"/>
      <c r="F22" s="62"/>
      <c r="G22" s="62"/>
      <c r="H22" s="12">
        <f t="shared" si="0"/>
        <v>44851</v>
      </c>
    </row>
    <row r="23" spans="2:10" x14ac:dyDescent="0.3">
      <c r="B23" s="6" t="s">
        <v>16</v>
      </c>
      <c r="C23" s="22"/>
      <c r="D23" s="55"/>
      <c r="E23" s="62"/>
      <c r="F23" s="62"/>
      <c r="G23" s="22"/>
      <c r="H23" s="12">
        <f t="shared" si="0"/>
        <v>44851</v>
      </c>
    </row>
    <row r="24" spans="2:10" x14ac:dyDescent="0.3">
      <c r="B24" s="50" t="s">
        <v>27</v>
      </c>
      <c r="C24" s="51">
        <f>SUM(Oct17_2022[KSI_AGO])</f>
        <v>1511500</v>
      </c>
      <c r="D24" s="51">
        <f>SUBTOTAL(109,Oct17_2022[KSI_PMS])</f>
        <v>1282500</v>
      </c>
      <c r="E24" s="51">
        <f>SUM(Oct17_2022[BUIPE_AGO])</f>
        <v>630000</v>
      </c>
      <c r="F24" s="51">
        <f>SUM(Oct17_2022[BUIPE_PMS])</f>
        <v>0</v>
      </c>
      <c r="G24" s="51">
        <f>SUM(Oct17_2022[AKOSOMBO_AGO])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EA10DAB0-3200-4068-8FB1-DF9349638D65}">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3B70-BF8D-45AB-989F-DE1190EF1902}">
  <dimension ref="B1:K25"/>
  <sheetViews>
    <sheetView zoomScaleNormal="100" workbookViewId="0">
      <pane xSplit="2" ySplit="5" topLeftCell="C6" activePane="bottomRight" state="frozen"/>
      <selection pane="topRight" activeCell="C1" sqref="C1"/>
      <selection pane="bottomLeft" activeCell="A6" sqref="A6"/>
      <selection pane="bottomRight" activeCell="A16" sqref="A16:X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44852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44852</v>
      </c>
    </row>
    <row r="7" spans="2:11" ht="16.5" customHeight="1" x14ac:dyDescent="0.3">
      <c r="B7" s="6" t="s">
        <v>37</v>
      </c>
      <c r="C7" s="22">
        <v>162000</v>
      </c>
      <c r="D7" s="62"/>
      <c r="E7" s="62"/>
      <c r="F7" s="62"/>
      <c r="G7" s="62"/>
      <c r="H7" s="67">
        <f t="shared" si="0"/>
        <v>44852</v>
      </c>
    </row>
    <row r="8" spans="2:11" x14ac:dyDescent="0.3">
      <c r="B8" s="6" t="s">
        <v>17</v>
      </c>
      <c r="C8" s="22"/>
      <c r="D8" s="22"/>
      <c r="E8" s="22"/>
      <c r="F8" s="22"/>
      <c r="G8" s="22"/>
      <c r="H8" s="12">
        <f t="shared" si="0"/>
        <v>44852</v>
      </c>
    </row>
    <row r="9" spans="2:11" ht="15.6" x14ac:dyDescent="0.3">
      <c r="B9" s="34" t="s">
        <v>0</v>
      </c>
      <c r="C9" s="57">
        <v>810000</v>
      </c>
      <c r="D9" s="57"/>
      <c r="E9" s="60"/>
      <c r="F9" s="60"/>
      <c r="G9" s="60"/>
      <c r="H9" s="12">
        <f t="shared" si="0"/>
        <v>44852</v>
      </c>
    </row>
    <row r="10" spans="2:11" x14ac:dyDescent="0.3">
      <c r="B10" s="6" t="s">
        <v>25</v>
      </c>
      <c r="C10" s="57"/>
      <c r="D10" s="22"/>
      <c r="E10" s="22"/>
      <c r="F10" s="22"/>
      <c r="G10" s="22"/>
      <c r="H10" s="12">
        <f t="shared" si="0"/>
        <v>44852</v>
      </c>
    </row>
    <row r="11" spans="2:11" x14ac:dyDescent="0.3">
      <c r="B11" s="6" t="s">
        <v>15</v>
      </c>
      <c r="C11" s="57"/>
      <c r="D11" s="45"/>
      <c r="E11" s="22"/>
      <c r="F11" s="22"/>
      <c r="G11" s="22"/>
      <c r="H11" s="12">
        <f t="shared" si="0"/>
        <v>44852</v>
      </c>
    </row>
    <row r="12" spans="2:11" x14ac:dyDescent="0.3">
      <c r="B12" s="6" t="s">
        <v>54</v>
      </c>
      <c r="C12" s="22"/>
      <c r="D12" s="22"/>
      <c r="E12" s="22"/>
      <c r="F12" s="22"/>
      <c r="G12" s="22"/>
      <c r="H12" s="67">
        <f t="shared" si="0"/>
        <v>44852</v>
      </c>
    </row>
    <row r="13" spans="2:11" x14ac:dyDescent="0.3">
      <c r="B13" s="6" t="s">
        <v>26</v>
      </c>
      <c r="C13" s="22"/>
      <c r="D13" s="22"/>
      <c r="E13" s="22">
        <v>162000</v>
      </c>
      <c r="F13" s="22"/>
      <c r="G13" s="22"/>
      <c r="H13" s="12">
        <f t="shared" si="0"/>
        <v>44852</v>
      </c>
    </row>
    <row r="14" spans="2:11" x14ac:dyDescent="0.3">
      <c r="B14" s="6" t="s">
        <v>22</v>
      </c>
      <c r="C14" s="22"/>
      <c r="D14" s="22"/>
      <c r="E14" s="22"/>
      <c r="F14" s="22"/>
      <c r="G14" s="22"/>
      <c r="H14" s="12">
        <f t="shared" si="0"/>
        <v>44852</v>
      </c>
      <c r="K14" s="4"/>
    </row>
    <row r="15" spans="2:11" x14ac:dyDescent="0.3">
      <c r="B15" s="6" t="s">
        <v>61</v>
      </c>
      <c r="C15" s="22"/>
      <c r="D15" s="22"/>
      <c r="E15" s="22"/>
      <c r="F15" s="22"/>
      <c r="G15" s="22"/>
      <c r="H15" s="67">
        <f t="shared" si="0"/>
        <v>44852</v>
      </c>
      <c r="K15" s="4"/>
    </row>
    <row r="16" spans="2:11" x14ac:dyDescent="0.3">
      <c r="B16" s="6" t="s">
        <v>19</v>
      </c>
      <c r="C16" s="22">
        <v>162000</v>
      </c>
      <c r="D16" s="22">
        <v>792000</v>
      </c>
      <c r="E16" s="23">
        <v>54000</v>
      </c>
      <c r="F16" s="22"/>
      <c r="G16" s="22"/>
      <c r="H16" s="12">
        <f t="shared" si="0"/>
        <v>44852</v>
      </c>
    </row>
    <row r="17" spans="2:10" x14ac:dyDescent="0.3">
      <c r="B17" s="6" t="s">
        <v>14</v>
      </c>
      <c r="C17" s="22">
        <v>162000</v>
      </c>
      <c r="D17" s="22">
        <v>94500</v>
      </c>
      <c r="E17" s="22">
        <v>162000</v>
      </c>
      <c r="F17" s="23"/>
      <c r="G17" s="22"/>
      <c r="H17" s="12">
        <f t="shared" si="0"/>
        <v>44852</v>
      </c>
    </row>
    <row r="18" spans="2:10" x14ac:dyDescent="0.3">
      <c r="B18" s="6" t="s">
        <v>24</v>
      </c>
      <c r="C18" s="22"/>
      <c r="D18" s="22"/>
      <c r="E18" s="22"/>
      <c r="F18" s="49"/>
      <c r="G18" s="22"/>
      <c r="H18" s="67">
        <f t="shared" si="0"/>
        <v>44852</v>
      </c>
    </row>
    <row r="19" spans="2:10" x14ac:dyDescent="0.3">
      <c r="B19" s="6" t="s">
        <v>21</v>
      </c>
      <c r="C19" s="22">
        <v>162000</v>
      </c>
      <c r="D19" s="22"/>
      <c r="E19" s="22"/>
      <c r="F19" s="22"/>
      <c r="G19" s="22"/>
      <c r="H19" s="12">
        <f t="shared" si="0"/>
        <v>44852</v>
      </c>
      <c r="J19" s="1" t="s">
        <v>66</v>
      </c>
    </row>
    <row r="20" spans="2:10" x14ac:dyDescent="0.3">
      <c r="B20" s="6" t="s">
        <v>65</v>
      </c>
      <c r="C20" s="57"/>
      <c r="D20" s="22"/>
      <c r="E20" s="22"/>
      <c r="F20" s="22"/>
      <c r="G20" s="22"/>
      <c r="H20" s="67">
        <f t="shared" si="0"/>
        <v>44852</v>
      </c>
    </row>
    <row r="21" spans="2:10" x14ac:dyDescent="0.3">
      <c r="B21" s="6" t="s">
        <v>67</v>
      </c>
      <c r="C21" s="22"/>
      <c r="D21" s="57"/>
      <c r="E21" s="22"/>
      <c r="F21" s="22"/>
      <c r="G21" s="22"/>
      <c r="H21" s="12">
        <f t="shared" si="0"/>
        <v>44852</v>
      </c>
    </row>
    <row r="22" spans="2:10" x14ac:dyDescent="0.3">
      <c r="B22" s="6" t="s">
        <v>18</v>
      </c>
      <c r="C22" s="22"/>
      <c r="D22" s="22"/>
      <c r="E22" s="62"/>
      <c r="F22" s="62"/>
      <c r="G22" s="62"/>
      <c r="H22" s="12">
        <f t="shared" si="0"/>
        <v>44852</v>
      </c>
    </row>
    <row r="23" spans="2:10" x14ac:dyDescent="0.3">
      <c r="B23" s="6" t="s">
        <v>16</v>
      </c>
      <c r="C23" s="22"/>
      <c r="D23" s="55"/>
      <c r="E23" s="62"/>
      <c r="F23" s="62"/>
      <c r="G23" s="22"/>
      <c r="H23" s="12">
        <f t="shared" si="0"/>
        <v>44852</v>
      </c>
    </row>
    <row r="24" spans="2:10" x14ac:dyDescent="0.3">
      <c r="B24" s="50" t="s">
        <v>27</v>
      </c>
      <c r="C24" s="51">
        <f>SUM(Oct18_2022[KSI_AGO])</f>
        <v>1458000</v>
      </c>
      <c r="D24" s="51">
        <f>SUBTOTAL(109,Oct18_2022[KSI_PMS])</f>
        <v>886500</v>
      </c>
      <c r="E24" s="51">
        <f>SUM(Oct18_2022[BUIPE_AGO])</f>
        <v>378000</v>
      </c>
      <c r="F24" s="51">
        <f>SUM(Oct18_2022[BUIPE_PMS])</f>
        <v>0</v>
      </c>
      <c r="G24" s="51">
        <f>SUM(Oct18_2022[AKOSOMBO_AGO])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385C410B-166B-4B2E-946A-2911350ADD53}">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979C-0A5F-44F6-917E-C90380C6DCC8}">
  <dimension ref="B1:K25"/>
  <sheetViews>
    <sheetView zoomScaleNormal="100" workbookViewId="0">
      <pane xSplit="2" ySplit="5" topLeftCell="C6" activePane="bottomRight" state="frozen"/>
      <selection pane="topRight" activeCell="C1" sqref="C1"/>
      <selection pane="bottomLeft" activeCell="A6" sqref="A6"/>
      <selection pane="bottomRight" activeCell="D17" sqref="D1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44853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44853</v>
      </c>
    </row>
    <row r="7" spans="2:11" ht="16.5" customHeight="1" x14ac:dyDescent="0.3">
      <c r="B7" s="6" t="s">
        <v>37</v>
      </c>
      <c r="C7" s="22">
        <v>108000</v>
      </c>
      <c r="D7" s="62"/>
      <c r="E7" s="62">
        <v>216000</v>
      </c>
      <c r="F7" s="62"/>
      <c r="G7" s="62"/>
      <c r="H7" s="67">
        <f t="shared" si="0"/>
        <v>44853</v>
      </c>
    </row>
    <row r="8" spans="2:11" x14ac:dyDescent="0.3">
      <c r="B8" s="6" t="s">
        <v>17</v>
      </c>
      <c r="C8" s="22"/>
      <c r="D8" s="22"/>
      <c r="E8" s="22"/>
      <c r="F8" s="22"/>
      <c r="G8" s="22"/>
      <c r="H8" s="12">
        <f t="shared" si="0"/>
        <v>44853</v>
      </c>
    </row>
    <row r="9" spans="2:11" ht="15.6" x14ac:dyDescent="0.3">
      <c r="B9" s="34" t="s">
        <v>0</v>
      </c>
      <c r="C9" s="57">
        <v>756000</v>
      </c>
      <c r="D9" s="57"/>
      <c r="E9" s="60"/>
      <c r="F9" s="60"/>
      <c r="G9" s="60"/>
      <c r="H9" s="12">
        <f t="shared" si="0"/>
        <v>44853</v>
      </c>
    </row>
    <row r="10" spans="2:11" x14ac:dyDescent="0.3">
      <c r="B10" s="6" t="s">
        <v>25</v>
      </c>
      <c r="C10" s="57"/>
      <c r="D10" s="22"/>
      <c r="E10" s="22"/>
      <c r="F10" s="22"/>
      <c r="G10" s="22"/>
      <c r="H10" s="12">
        <f t="shared" si="0"/>
        <v>44853</v>
      </c>
    </row>
    <row r="11" spans="2:11" x14ac:dyDescent="0.3">
      <c r="B11" s="6" t="s">
        <v>15</v>
      </c>
      <c r="C11" s="57"/>
      <c r="D11" s="45"/>
      <c r="E11" s="22"/>
      <c r="F11" s="22"/>
      <c r="G11" s="22"/>
      <c r="H11" s="12">
        <f t="shared" si="0"/>
        <v>44853</v>
      </c>
    </row>
    <row r="12" spans="2:11" x14ac:dyDescent="0.3">
      <c r="B12" s="6" t="s">
        <v>54</v>
      </c>
      <c r="C12" s="22"/>
      <c r="D12" s="22"/>
      <c r="E12" s="22"/>
      <c r="F12" s="22"/>
      <c r="G12" s="22"/>
      <c r="H12" s="67">
        <f t="shared" si="0"/>
        <v>44853</v>
      </c>
    </row>
    <row r="13" spans="2:11" x14ac:dyDescent="0.3">
      <c r="B13" s="6" t="s">
        <v>26</v>
      </c>
      <c r="C13" s="22"/>
      <c r="D13" s="22"/>
      <c r="E13" s="22">
        <v>54000</v>
      </c>
      <c r="F13" s="22"/>
      <c r="G13" s="22"/>
      <c r="H13" s="12">
        <f t="shared" si="0"/>
        <v>44853</v>
      </c>
    </row>
    <row r="14" spans="2:11" x14ac:dyDescent="0.3">
      <c r="B14" s="6" t="s">
        <v>22</v>
      </c>
      <c r="C14" s="22"/>
      <c r="D14" s="22"/>
      <c r="E14" s="22"/>
      <c r="F14" s="22"/>
      <c r="G14" s="22"/>
      <c r="H14" s="12">
        <f t="shared" si="0"/>
        <v>44853</v>
      </c>
      <c r="K14" s="4"/>
    </row>
    <row r="15" spans="2:11" x14ac:dyDescent="0.3">
      <c r="B15" s="6" t="s">
        <v>61</v>
      </c>
      <c r="C15" s="22"/>
      <c r="D15" s="22"/>
      <c r="E15" s="22"/>
      <c r="F15" s="22"/>
      <c r="G15" s="22"/>
      <c r="H15" s="67">
        <f t="shared" si="0"/>
        <v>44853</v>
      </c>
      <c r="K15" s="4"/>
    </row>
    <row r="16" spans="2:11" x14ac:dyDescent="0.3">
      <c r="B16" s="6" t="s">
        <v>19</v>
      </c>
      <c r="C16" s="22">
        <v>108000</v>
      </c>
      <c r="D16" s="22">
        <v>198000</v>
      </c>
      <c r="E16" s="23">
        <v>162000</v>
      </c>
      <c r="F16" s="22"/>
      <c r="G16" s="22"/>
      <c r="H16" s="12">
        <f t="shared" si="0"/>
        <v>44853</v>
      </c>
    </row>
    <row r="17" spans="2:10" x14ac:dyDescent="0.3">
      <c r="B17" s="6" t="s">
        <v>14</v>
      </c>
      <c r="C17" s="22">
        <v>162000</v>
      </c>
      <c r="D17" s="22"/>
      <c r="E17" s="22">
        <v>216000</v>
      </c>
      <c r="F17" s="23"/>
      <c r="G17" s="22"/>
      <c r="H17" s="12">
        <f t="shared" si="0"/>
        <v>44853</v>
      </c>
    </row>
    <row r="18" spans="2:10" x14ac:dyDescent="0.3">
      <c r="B18" s="6" t="s">
        <v>24</v>
      </c>
      <c r="C18" s="22"/>
      <c r="D18" s="22"/>
      <c r="E18" s="22"/>
      <c r="F18" s="49"/>
      <c r="G18" s="22"/>
      <c r="H18" s="67">
        <f t="shared" si="0"/>
        <v>44853</v>
      </c>
    </row>
    <row r="19" spans="2:10" x14ac:dyDescent="0.3">
      <c r="B19" s="6" t="s">
        <v>21</v>
      </c>
      <c r="C19" s="22">
        <v>162000</v>
      </c>
      <c r="D19" s="22"/>
      <c r="E19" s="22"/>
      <c r="F19" s="22"/>
      <c r="G19" s="22"/>
      <c r="H19" s="12">
        <f t="shared" si="0"/>
        <v>44853</v>
      </c>
      <c r="J19" s="1" t="s">
        <v>66</v>
      </c>
    </row>
    <row r="20" spans="2:10" x14ac:dyDescent="0.3">
      <c r="B20" s="6" t="s">
        <v>65</v>
      </c>
      <c r="C20" s="57"/>
      <c r="D20" s="22"/>
      <c r="E20" s="22"/>
      <c r="F20" s="22"/>
      <c r="G20" s="22"/>
      <c r="H20" s="67">
        <f t="shared" si="0"/>
        <v>44853</v>
      </c>
    </row>
    <row r="21" spans="2:10" x14ac:dyDescent="0.3">
      <c r="B21" s="6" t="s">
        <v>67</v>
      </c>
      <c r="C21" s="22"/>
      <c r="D21" s="57"/>
      <c r="E21" s="22"/>
      <c r="F21" s="22"/>
      <c r="G21" s="22"/>
      <c r="H21" s="12">
        <f t="shared" si="0"/>
        <v>44853</v>
      </c>
    </row>
    <row r="22" spans="2:10" x14ac:dyDescent="0.3">
      <c r="B22" s="6" t="s">
        <v>18</v>
      </c>
      <c r="C22" s="22">
        <v>90000</v>
      </c>
      <c r="D22" s="22"/>
      <c r="E22" s="62"/>
      <c r="F22" s="62"/>
      <c r="G22" s="62"/>
      <c r="H22" s="12">
        <f t="shared" si="0"/>
        <v>44853</v>
      </c>
    </row>
    <row r="23" spans="2:10" x14ac:dyDescent="0.3">
      <c r="B23" s="6" t="s">
        <v>16</v>
      </c>
      <c r="C23" s="22"/>
      <c r="D23" s="55"/>
      <c r="E23" s="62"/>
      <c r="F23" s="62"/>
      <c r="G23" s="22"/>
      <c r="H23" s="12">
        <f t="shared" si="0"/>
        <v>44853</v>
      </c>
    </row>
    <row r="24" spans="2:10" x14ac:dyDescent="0.3">
      <c r="B24" s="50" t="s">
        <v>27</v>
      </c>
      <c r="C24" s="51">
        <f>SUM(Oct19_2022[KSI_AGO])</f>
        <v>1386000</v>
      </c>
      <c r="D24" s="51">
        <f>SUBTOTAL(109,Oct19_2022[KSI_PMS])</f>
        <v>198000</v>
      </c>
      <c r="E24" s="51">
        <f>SUM(Oct19_2022[BUIPE_AGO])</f>
        <v>648000</v>
      </c>
      <c r="F24" s="51">
        <f>SUM(Oct19_2022[BUIPE_PMS])</f>
        <v>0</v>
      </c>
      <c r="G24" s="51">
        <f>SUM(Oct19_2022[AKOSOMBO_AGO])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E85407FC-9700-4BB6-8E92-9151A4BF9AC8}">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4222D-EC64-42DA-BA7D-80424C5BBD0F}">
  <dimension ref="B1:K25"/>
  <sheetViews>
    <sheetView zoomScaleNormal="100" workbookViewId="0">
      <pane xSplit="2" ySplit="5" topLeftCell="C6" activePane="bottomRight" state="frozen"/>
      <selection pane="topRight" activeCell="C1" sqref="C1"/>
      <selection pane="bottomLeft" activeCell="A6" sqref="A6"/>
      <selection pane="bottomRight" activeCell="G9" sqref="G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44854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44854</v>
      </c>
    </row>
    <row r="7" spans="2:11" ht="16.5" customHeight="1" x14ac:dyDescent="0.3">
      <c r="B7" s="6" t="s">
        <v>37</v>
      </c>
      <c r="C7" s="22"/>
      <c r="D7" s="62"/>
      <c r="E7" s="62">
        <v>50000</v>
      </c>
      <c r="F7" s="62"/>
      <c r="G7" s="62"/>
      <c r="H7" s="67">
        <f t="shared" si="0"/>
        <v>44854</v>
      </c>
    </row>
    <row r="8" spans="2:11" x14ac:dyDescent="0.3">
      <c r="B8" s="6" t="s">
        <v>17</v>
      </c>
      <c r="C8" s="22"/>
      <c r="D8" s="22"/>
      <c r="E8" s="22"/>
      <c r="F8" s="22"/>
      <c r="G8" s="22"/>
      <c r="H8" s="12">
        <f t="shared" si="0"/>
        <v>44854</v>
      </c>
    </row>
    <row r="9" spans="2:11" ht="15.6" x14ac:dyDescent="0.3">
      <c r="B9" s="34" t="s">
        <v>0</v>
      </c>
      <c r="C9" s="57">
        <v>1188000</v>
      </c>
      <c r="D9" s="57"/>
      <c r="E9" s="60"/>
      <c r="F9" s="60"/>
      <c r="G9" s="60"/>
      <c r="H9" s="12">
        <f t="shared" si="0"/>
        <v>44854</v>
      </c>
    </row>
    <row r="10" spans="2:11" x14ac:dyDescent="0.3">
      <c r="B10" s="6" t="s">
        <v>25</v>
      </c>
      <c r="C10" s="57"/>
      <c r="D10" s="22"/>
      <c r="E10" s="22"/>
      <c r="F10" s="22"/>
      <c r="G10" s="22"/>
      <c r="H10" s="12">
        <f t="shared" si="0"/>
        <v>44854</v>
      </c>
    </row>
    <row r="11" spans="2:11" x14ac:dyDescent="0.3">
      <c r="B11" s="6" t="s">
        <v>15</v>
      </c>
      <c r="C11" s="57"/>
      <c r="D11" s="45"/>
      <c r="E11" s="22"/>
      <c r="F11" s="22"/>
      <c r="G11" s="22"/>
      <c r="H11" s="12">
        <f t="shared" si="0"/>
        <v>44854</v>
      </c>
    </row>
    <row r="12" spans="2:11" x14ac:dyDescent="0.3">
      <c r="B12" s="6" t="s">
        <v>54</v>
      </c>
      <c r="C12" s="22"/>
      <c r="D12" s="22"/>
      <c r="E12" s="22"/>
      <c r="F12" s="22"/>
      <c r="G12" s="22"/>
      <c r="H12" s="67">
        <f t="shared" si="0"/>
        <v>44854</v>
      </c>
    </row>
    <row r="13" spans="2:11" x14ac:dyDescent="0.3">
      <c r="B13" s="6" t="s">
        <v>26</v>
      </c>
      <c r="C13" s="22"/>
      <c r="D13" s="22"/>
      <c r="E13" s="22">
        <v>45000</v>
      </c>
      <c r="F13" s="22"/>
      <c r="G13" s="22"/>
      <c r="H13" s="12">
        <f t="shared" si="0"/>
        <v>44854</v>
      </c>
    </row>
    <row r="14" spans="2:11" x14ac:dyDescent="0.3">
      <c r="B14" s="6" t="s">
        <v>22</v>
      </c>
      <c r="C14" s="22"/>
      <c r="D14" s="22"/>
      <c r="E14" s="22"/>
      <c r="F14" s="22"/>
      <c r="G14" s="22"/>
      <c r="H14" s="12">
        <f t="shared" si="0"/>
        <v>44854</v>
      </c>
      <c r="K14" s="4"/>
    </row>
    <row r="15" spans="2:11" x14ac:dyDescent="0.3">
      <c r="B15" s="6" t="s">
        <v>61</v>
      </c>
      <c r="C15" s="22"/>
      <c r="D15" s="22"/>
      <c r="E15" s="22"/>
      <c r="F15" s="22"/>
      <c r="G15" s="22"/>
      <c r="H15" s="67">
        <f t="shared" si="0"/>
        <v>44854</v>
      </c>
      <c r="K15" s="4"/>
    </row>
    <row r="16" spans="2:11" x14ac:dyDescent="0.3">
      <c r="B16" s="6" t="s">
        <v>19</v>
      </c>
      <c r="C16" s="22">
        <v>162000</v>
      </c>
      <c r="D16" s="22"/>
      <c r="E16" s="23">
        <v>378000</v>
      </c>
      <c r="F16" s="22"/>
      <c r="G16" s="22"/>
      <c r="H16" s="12">
        <f t="shared" si="0"/>
        <v>44854</v>
      </c>
    </row>
    <row r="17" spans="2:10" x14ac:dyDescent="0.3">
      <c r="B17" s="6" t="s">
        <v>14</v>
      </c>
      <c r="C17" s="22">
        <v>216000</v>
      </c>
      <c r="D17" s="22"/>
      <c r="E17" s="22">
        <v>135000</v>
      </c>
      <c r="F17" s="23"/>
      <c r="G17" s="22"/>
      <c r="H17" s="12">
        <f t="shared" si="0"/>
        <v>44854</v>
      </c>
    </row>
    <row r="18" spans="2:10" x14ac:dyDescent="0.3">
      <c r="B18" s="6" t="s">
        <v>24</v>
      </c>
      <c r="C18" s="22"/>
      <c r="D18" s="22"/>
      <c r="E18" s="22"/>
      <c r="F18" s="49"/>
      <c r="G18" s="22"/>
      <c r="H18" s="67">
        <f t="shared" si="0"/>
        <v>44854</v>
      </c>
    </row>
    <row r="19" spans="2:10" x14ac:dyDescent="0.3">
      <c r="B19" s="6" t="s">
        <v>21</v>
      </c>
      <c r="C19" s="22">
        <v>50000</v>
      </c>
      <c r="D19" s="22"/>
      <c r="E19" s="22"/>
      <c r="F19" s="22"/>
      <c r="G19" s="22"/>
      <c r="H19" s="12">
        <f t="shared" si="0"/>
        <v>44854</v>
      </c>
      <c r="J19" s="1" t="s">
        <v>66</v>
      </c>
    </row>
    <row r="20" spans="2:10" x14ac:dyDescent="0.3">
      <c r="B20" s="6" t="s">
        <v>65</v>
      </c>
      <c r="C20" s="57"/>
      <c r="D20" s="22"/>
      <c r="E20" s="22"/>
      <c r="F20" s="22"/>
      <c r="G20" s="22"/>
      <c r="H20" s="67">
        <f t="shared" si="0"/>
        <v>44854</v>
      </c>
    </row>
    <row r="21" spans="2:10" x14ac:dyDescent="0.3">
      <c r="B21" s="6" t="s">
        <v>67</v>
      </c>
      <c r="C21" s="22"/>
      <c r="D21" s="57"/>
      <c r="E21" s="22"/>
      <c r="F21" s="22"/>
      <c r="G21" s="22"/>
      <c r="H21" s="12">
        <f t="shared" si="0"/>
        <v>44854</v>
      </c>
    </row>
    <row r="22" spans="2:10" x14ac:dyDescent="0.3">
      <c r="B22" s="6" t="s">
        <v>18</v>
      </c>
      <c r="C22" s="22"/>
      <c r="D22" s="22"/>
      <c r="E22" s="62"/>
      <c r="F22" s="62"/>
      <c r="G22" s="62"/>
      <c r="H22" s="12">
        <f t="shared" si="0"/>
        <v>44854</v>
      </c>
    </row>
    <row r="23" spans="2:10" x14ac:dyDescent="0.3">
      <c r="B23" s="6" t="s">
        <v>16</v>
      </c>
      <c r="C23" s="22"/>
      <c r="D23" s="55"/>
      <c r="E23" s="62"/>
      <c r="F23" s="62"/>
      <c r="G23" s="22"/>
      <c r="H23" s="12">
        <f t="shared" si="0"/>
        <v>44854</v>
      </c>
    </row>
    <row r="24" spans="2:10" x14ac:dyDescent="0.3">
      <c r="B24" s="50" t="s">
        <v>27</v>
      </c>
      <c r="C24" s="51">
        <f>SUM(Oct20_2022[KSI_AGO])</f>
        <v>1616000</v>
      </c>
      <c r="D24" s="51">
        <f>SUBTOTAL(109,Oct20_2022[KSI_PMS])</f>
        <v>0</v>
      </c>
      <c r="E24" s="51">
        <f>SUM(Oct20_2022[BUIPE_AGO])</f>
        <v>608000</v>
      </c>
      <c r="F24" s="51">
        <f>SUM(Oct20_2022[BUIPE_PMS])</f>
        <v>0</v>
      </c>
      <c r="G24" s="51">
        <f>SUM(Oct20_2022[AKOSOMBO_AGO])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C3F7E2E5-F138-4CE0-B7C4-BDB0E0EFEAC3}">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2CA8-10B3-4CF2-A0F9-934F048305BE}">
  <dimension ref="B1:K25"/>
  <sheetViews>
    <sheetView zoomScaleNormal="100" workbookViewId="0">
      <pane xSplit="2" ySplit="5" topLeftCell="D6" activePane="bottomRight" state="frozen"/>
      <selection pane="topRight" activeCell="C1" sqref="C1"/>
      <selection pane="bottomLeft" activeCell="A6" sqref="A6"/>
      <selection pane="bottomRight" activeCell="F16" sqref="F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44855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44855</v>
      </c>
    </row>
    <row r="7" spans="2:11" ht="16.5" customHeight="1" x14ac:dyDescent="0.3">
      <c r="B7" s="6" t="s">
        <v>37</v>
      </c>
      <c r="C7" s="22"/>
      <c r="D7" s="62"/>
      <c r="E7" s="62"/>
      <c r="F7" s="62"/>
      <c r="G7" s="62"/>
      <c r="H7" s="67">
        <f t="shared" si="0"/>
        <v>44855</v>
      </c>
    </row>
    <row r="8" spans="2:11" x14ac:dyDescent="0.3">
      <c r="B8" s="6" t="s">
        <v>17</v>
      </c>
      <c r="C8" s="22"/>
      <c r="D8" s="22"/>
      <c r="E8" s="22"/>
      <c r="F8" s="22"/>
      <c r="G8" s="22"/>
      <c r="H8" s="12">
        <f t="shared" si="0"/>
        <v>44855</v>
      </c>
    </row>
    <row r="9" spans="2:11" ht="15.6" x14ac:dyDescent="0.3">
      <c r="B9" s="34" t="s">
        <v>0</v>
      </c>
      <c r="C9" s="57">
        <v>972000</v>
      </c>
      <c r="D9" s="57"/>
      <c r="E9" s="60"/>
      <c r="F9" s="60"/>
      <c r="G9" s="60"/>
      <c r="H9" s="12">
        <f t="shared" si="0"/>
        <v>44855</v>
      </c>
    </row>
    <row r="10" spans="2:11" x14ac:dyDescent="0.3">
      <c r="B10" s="6" t="s">
        <v>25</v>
      </c>
      <c r="C10" s="57"/>
      <c r="D10" s="22"/>
      <c r="E10" s="22"/>
      <c r="F10" s="22"/>
      <c r="G10" s="22"/>
      <c r="H10" s="12">
        <f t="shared" si="0"/>
        <v>44855</v>
      </c>
    </row>
    <row r="11" spans="2:11" x14ac:dyDescent="0.3">
      <c r="B11" s="6" t="s">
        <v>15</v>
      </c>
      <c r="C11" s="57"/>
      <c r="D11" s="45"/>
      <c r="E11" s="22"/>
      <c r="F11" s="22"/>
      <c r="G11" s="22"/>
      <c r="H11" s="12">
        <f t="shared" si="0"/>
        <v>44855</v>
      </c>
    </row>
    <row r="12" spans="2:11" x14ac:dyDescent="0.3">
      <c r="B12" s="6" t="s">
        <v>54</v>
      </c>
      <c r="C12" s="22"/>
      <c r="D12" s="22">
        <v>1404000</v>
      </c>
      <c r="E12" s="22"/>
      <c r="F12" s="22">
        <v>378000</v>
      </c>
      <c r="G12" s="22"/>
      <c r="H12" s="67">
        <f t="shared" si="0"/>
        <v>44855</v>
      </c>
    </row>
    <row r="13" spans="2:11" x14ac:dyDescent="0.3">
      <c r="B13" s="6" t="s">
        <v>26</v>
      </c>
      <c r="C13" s="22"/>
      <c r="D13" s="22"/>
      <c r="E13" s="22">
        <v>45000</v>
      </c>
      <c r="F13" s="22"/>
      <c r="G13" s="22"/>
      <c r="H13" s="12">
        <f t="shared" si="0"/>
        <v>44855</v>
      </c>
    </row>
    <row r="14" spans="2:11" x14ac:dyDescent="0.3">
      <c r="B14" s="6" t="s">
        <v>22</v>
      </c>
      <c r="C14" s="22"/>
      <c r="D14" s="22"/>
      <c r="E14" s="22"/>
      <c r="F14" s="22"/>
      <c r="G14" s="22"/>
      <c r="H14" s="12">
        <f t="shared" si="0"/>
        <v>44855</v>
      </c>
      <c r="K14" s="4"/>
    </row>
    <row r="15" spans="2:11" x14ac:dyDescent="0.3">
      <c r="B15" s="6" t="s">
        <v>61</v>
      </c>
      <c r="C15" s="22"/>
      <c r="D15" s="22"/>
      <c r="E15" s="22"/>
      <c r="F15" s="22"/>
      <c r="G15" s="22"/>
      <c r="H15" s="67">
        <f t="shared" si="0"/>
        <v>44855</v>
      </c>
      <c r="K15" s="4"/>
    </row>
    <row r="16" spans="2:11" x14ac:dyDescent="0.3">
      <c r="B16" s="6" t="s">
        <v>19</v>
      </c>
      <c r="C16" s="22">
        <v>473500</v>
      </c>
      <c r="D16" s="22"/>
      <c r="E16" s="23"/>
      <c r="F16" s="22"/>
      <c r="G16" s="22"/>
      <c r="H16" s="12">
        <f t="shared" si="0"/>
        <v>44855</v>
      </c>
    </row>
    <row r="17" spans="2:10" x14ac:dyDescent="0.3">
      <c r="B17" s="6" t="s">
        <v>14</v>
      </c>
      <c r="C17" s="22">
        <v>216000</v>
      </c>
      <c r="D17" s="22"/>
      <c r="E17" s="22"/>
      <c r="F17" s="23"/>
      <c r="G17" s="22"/>
      <c r="H17" s="12">
        <f t="shared" si="0"/>
        <v>44855</v>
      </c>
    </row>
    <row r="18" spans="2:10" x14ac:dyDescent="0.3">
      <c r="B18" s="6" t="s">
        <v>24</v>
      </c>
      <c r="C18" s="22"/>
      <c r="D18" s="22"/>
      <c r="E18" s="22"/>
      <c r="F18" s="49"/>
      <c r="G18" s="22"/>
      <c r="H18" s="67">
        <f t="shared" si="0"/>
        <v>44855</v>
      </c>
    </row>
    <row r="19" spans="2:10" x14ac:dyDescent="0.3">
      <c r="B19" s="6" t="s">
        <v>21</v>
      </c>
      <c r="C19" s="22"/>
      <c r="D19" s="22"/>
      <c r="E19" s="22"/>
      <c r="F19" s="22"/>
      <c r="G19" s="22"/>
      <c r="H19" s="12">
        <f t="shared" si="0"/>
        <v>44855</v>
      </c>
      <c r="J19" s="1" t="s">
        <v>66</v>
      </c>
    </row>
    <row r="20" spans="2:10" x14ac:dyDescent="0.3">
      <c r="B20" s="6" t="s">
        <v>65</v>
      </c>
      <c r="C20" s="57"/>
      <c r="D20" s="22"/>
      <c r="E20" s="22"/>
      <c r="F20" s="22"/>
      <c r="G20" s="22"/>
      <c r="H20" s="67">
        <f t="shared" si="0"/>
        <v>44855</v>
      </c>
    </row>
    <row r="21" spans="2:10" x14ac:dyDescent="0.3">
      <c r="B21" s="6" t="s">
        <v>67</v>
      </c>
      <c r="C21" s="22"/>
      <c r="D21" s="57"/>
      <c r="E21" s="22"/>
      <c r="F21" s="22"/>
      <c r="G21" s="22"/>
      <c r="H21" s="12">
        <f t="shared" si="0"/>
        <v>44855</v>
      </c>
    </row>
    <row r="22" spans="2:10" x14ac:dyDescent="0.3">
      <c r="B22" s="6" t="s">
        <v>18</v>
      </c>
      <c r="C22" s="22">
        <v>49500</v>
      </c>
      <c r="D22" s="22"/>
      <c r="E22" s="62"/>
      <c r="F22" s="62"/>
      <c r="G22" s="62"/>
      <c r="H22" s="12">
        <f t="shared" si="0"/>
        <v>44855</v>
      </c>
    </row>
    <row r="23" spans="2:10" x14ac:dyDescent="0.3">
      <c r="B23" s="6" t="s">
        <v>16</v>
      </c>
      <c r="C23" s="22"/>
      <c r="D23" s="55"/>
      <c r="E23" s="62"/>
      <c r="F23" s="62"/>
      <c r="G23" s="22"/>
      <c r="H23" s="12">
        <f t="shared" si="0"/>
        <v>44855</v>
      </c>
    </row>
    <row r="24" spans="2:10" x14ac:dyDescent="0.3">
      <c r="B24" s="50" t="s">
        <v>27</v>
      </c>
      <c r="C24" s="51">
        <f>SUM(Oct21_2022[KSI_AGO])</f>
        <v>1711000</v>
      </c>
      <c r="D24" s="51">
        <f>SUBTOTAL(109,Oct21_2022[KSI_PMS])</f>
        <v>1404000</v>
      </c>
      <c r="E24" s="51">
        <f>SUM(Oct21_2022[BUIPE_AGO])</f>
        <v>45000</v>
      </c>
      <c r="F24" s="51">
        <f>SUM(Oct21_2022[BUIPE_PMS])</f>
        <v>378000</v>
      </c>
      <c r="G24" s="51">
        <f>SUM(Oct21_2022[AKOSOMBO_AGO])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375A101D-1B3D-4701-BAED-BCE4222986AE}">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92FB0-4533-4078-9517-305FAD15410A}">
  <dimension ref="B1:K25"/>
  <sheetViews>
    <sheetView zoomScaleNormal="100" workbookViewId="0">
      <pane xSplit="2" ySplit="5" topLeftCell="C6" activePane="bottomRight" state="frozen"/>
      <selection pane="topRight" activeCell="C1" sqref="C1"/>
      <selection pane="bottomLeft" activeCell="A6" sqref="A6"/>
      <selection pane="bottomRight" activeCell="E12" sqref="E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44858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45"/>
      <c r="E6" s="45"/>
      <c r="F6" s="45"/>
      <c r="G6" s="45"/>
      <c r="H6" s="12">
        <f t="shared" ref="H6:H23" si="0">$G$3</f>
        <v>44858</v>
      </c>
    </row>
    <row r="7" spans="2:11" ht="16.5" customHeight="1" x14ac:dyDescent="0.3">
      <c r="B7" s="6" t="s">
        <v>37</v>
      </c>
      <c r="C7" s="22"/>
      <c r="D7" s="62"/>
      <c r="E7" s="62"/>
      <c r="F7" s="62"/>
      <c r="G7" s="62"/>
      <c r="H7" s="67">
        <f t="shared" si="0"/>
        <v>44858</v>
      </c>
    </row>
    <row r="8" spans="2:11" x14ac:dyDescent="0.3">
      <c r="B8" s="6" t="s">
        <v>17</v>
      </c>
      <c r="C8" s="22"/>
      <c r="D8" s="22"/>
      <c r="E8" s="22"/>
      <c r="F8" s="22"/>
      <c r="G8" s="22"/>
      <c r="H8" s="12">
        <f t="shared" si="0"/>
        <v>44858</v>
      </c>
    </row>
    <row r="9" spans="2:11" ht="15.6" x14ac:dyDescent="0.3">
      <c r="B9" s="34" t="s">
        <v>0</v>
      </c>
      <c r="C9" s="57"/>
      <c r="D9" s="57"/>
      <c r="E9" s="60"/>
      <c r="F9" s="60"/>
      <c r="G9" s="60"/>
      <c r="H9" s="12">
        <f t="shared" si="0"/>
        <v>44858</v>
      </c>
    </row>
    <row r="10" spans="2:11" x14ac:dyDescent="0.3">
      <c r="B10" s="6" t="s">
        <v>25</v>
      </c>
      <c r="C10" s="57"/>
      <c r="D10" s="22"/>
      <c r="E10" s="22"/>
      <c r="F10" s="22"/>
      <c r="G10" s="22"/>
      <c r="H10" s="12">
        <f t="shared" si="0"/>
        <v>44858</v>
      </c>
    </row>
    <row r="11" spans="2:11" x14ac:dyDescent="0.3">
      <c r="B11" s="6" t="s">
        <v>15</v>
      </c>
      <c r="C11" s="57"/>
      <c r="D11" s="45"/>
      <c r="E11" s="22"/>
      <c r="F11" s="22"/>
      <c r="G11" s="22"/>
      <c r="H11" s="12">
        <f t="shared" si="0"/>
        <v>44858</v>
      </c>
    </row>
    <row r="12" spans="2:11" x14ac:dyDescent="0.3">
      <c r="B12" s="6" t="s">
        <v>54</v>
      </c>
      <c r="C12" s="22"/>
      <c r="D12" s="22">
        <v>810000</v>
      </c>
      <c r="E12" s="22"/>
      <c r="F12" s="22">
        <v>324000</v>
      </c>
      <c r="G12" s="22"/>
      <c r="H12" s="67">
        <f t="shared" si="0"/>
        <v>44858</v>
      </c>
    </row>
    <row r="13" spans="2:11" x14ac:dyDescent="0.3">
      <c r="B13" s="6" t="s">
        <v>26</v>
      </c>
      <c r="C13" s="22"/>
      <c r="D13" s="22"/>
      <c r="E13" s="22"/>
      <c r="F13" s="22"/>
      <c r="G13" s="22"/>
      <c r="H13" s="12">
        <f t="shared" si="0"/>
        <v>44858</v>
      </c>
    </row>
    <row r="14" spans="2:11" x14ac:dyDescent="0.3">
      <c r="B14" s="6" t="s">
        <v>22</v>
      </c>
      <c r="C14" s="22"/>
      <c r="D14" s="22"/>
      <c r="E14" s="22"/>
      <c r="F14" s="22"/>
      <c r="G14" s="22"/>
      <c r="H14" s="12">
        <f t="shared" si="0"/>
        <v>44858</v>
      </c>
      <c r="K14" s="4"/>
    </row>
    <row r="15" spans="2:11" x14ac:dyDescent="0.3">
      <c r="B15" s="6" t="s">
        <v>61</v>
      </c>
      <c r="C15" s="22"/>
      <c r="D15" s="22"/>
      <c r="E15" s="22"/>
      <c r="F15" s="22"/>
      <c r="G15" s="22"/>
      <c r="H15" s="67">
        <f t="shared" si="0"/>
        <v>44858</v>
      </c>
      <c r="K15" s="4"/>
    </row>
    <row r="16" spans="2:11" x14ac:dyDescent="0.3">
      <c r="B16" s="6" t="s">
        <v>19</v>
      </c>
      <c r="C16" s="22">
        <v>50000</v>
      </c>
      <c r="D16" s="22"/>
      <c r="E16" s="23"/>
      <c r="F16" s="22"/>
      <c r="G16" s="22"/>
      <c r="H16" s="12">
        <f t="shared" si="0"/>
        <v>44858</v>
      </c>
    </row>
    <row r="17" spans="2:10" x14ac:dyDescent="0.3">
      <c r="B17" s="6" t="s">
        <v>14</v>
      </c>
      <c r="C17" s="22">
        <v>918000</v>
      </c>
      <c r="D17" s="22"/>
      <c r="E17" s="22"/>
      <c r="F17" s="23"/>
      <c r="G17" s="22"/>
      <c r="H17" s="12">
        <f t="shared" si="0"/>
        <v>44858</v>
      </c>
    </row>
    <row r="18" spans="2:10" x14ac:dyDescent="0.3">
      <c r="B18" s="6" t="s">
        <v>24</v>
      </c>
      <c r="C18" s="22"/>
      <c r="D18" s="22"/>
      <c r="E18" s="22"/>
      <c r="F18" s="49"/>
      <c r="G18" s="22"/>
      <c r="H18" s="67">
        <f t="shared" si="0"/>
        <v>44858</v>
      </c>
    </row>
    <row r="19" spans="2:10" x14ac:dyDescent="0.3">
      <c r="B19" s="6" t="s">
        <v>21</v>
      </c>
      <c r="C19" s="22"/>
      <c r="D19" s="22"/>
      <c r="E19" s="22"/>
      <c r="F19" s="22"/>
      <c r="G19" s="22"/>
      <c r="H19" s="12">
        <f t="shared" si="0"/>
        <v>44858</v>
      </c>
      <c r="J19" s="1" t="s">
        <v>66</v>
      </c>
    </row>
    <row r="20" spans="2:10" x14ac:dyDescent="0.3">
      <c r="B20" s="6" t="s">
        <v>65</v>
      </c>
      <c r="C20" s="57"/>
      <c r="D20" s="22"/>
      <c r="E20" s="22"/>
      <c r="F20" s="22"/>
      <c r="G20" s="22"/>
      <c r="H20" s="67">
        <f t="shared" si="0"/>
        <v>44858</v>
      </c>
    </row>
    <row r="21" spans="2:10" x14ac:dyDescent="0.3">
      <c r="B21" s="6" t="s">
        <v>67</v>
      </c>
      <c r="C21" s="22">
        <v>378000</v>
      </c>
      <c r="D21" s="57"/>
      <c r="E21" s="22"/>
      <c r="F21" s="22"/>
      <c r="G21" s="22"/>
      <c r="H21" s="12">
        <f t="shared" si="0"/>
        <v>44858</v>
      </c>
    </row>
    <row r="22" spans="2:10" x14ac:dyDescent="0.3">
      <c r="B22" s="6" t="s">
        <v>18</v>
      </c>
      <c r="C22" s="22"/>
      <c r="D22" s="22"/>
      <c r="E22" s="62"/>
      <c r="F22" s="62"/>
      <c r="G22" s="62"/>
      <c r="H22" s="12">
        <f t="shared" si="0"/>
        <v>44858</v>
      </c>
    </row>
    <row r="23" spans="2:10" x14ac:dyDescent="0.3">
      <c r="B23" s="6" t="s">
        <v>16</v>
      </c>
      <c r="C23" s="22"/>
      <c r="D23" s="55"/>
      <c r="E23" s="62"/>
      <c r="F23" s="62"/>
      <c r="G23" s="22"/>
      <c r="H23" s="12">
        <f t="shared" si="0"/>
        <v>44858</v>
      </c>
    </row>
    <row r="24" spans="2:10" x14ac:dyDescent="0.3">
      <c r="B24" s="50" t="s">
        <v>27</v>
      </c>
      <c r="C24" s="51">
        <f>SUM(Oct24_2022[KSI_AGO])</f>
        <v>1346000</v>
      </c>
      <c r="D24" s="51">
        <f>SUBTOTAL(109,Oct24_2022[KSI_PMS])</f>
        <v>810000</v>
      </c>
      <c r="E24" s="51">
        <f>SUM(Oct24_2022[BUIPE_AGO])</f>
        <v>0</v>
      </c>
      <c r="F24" s="51">
        <f>SUM(Oct24_2022[BUIPE_PMS])</f>
        <v>324000</v>
      </c>
      <c r="G24" s="51">
        <f>SUM(Oct24_2022[AKOSOMBO_AGO])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965899BD-68B4-4380-A22B-A5F0E3818FFD}">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6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1FC5-FF8E-4285-B705-A9B296BB8CD1}">
  <dimension ref="B1:K25"/>
  <sheetViews>
    <sheetView zoomScaleNormal="100" workbookViewId="0">
      <pane xSplit="2" ySplit="5" topLeftCell="D6" activePane="bottomRight" state="frozen"/>
      <selection pane="topRight" activeCell="C1" sqref="C1"/>
      <selection pane="bottomLeft" activeCell="A6" sqref="A6"/>
      <selection pane="bottomRight" activeCell="F12" sqref="F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44859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44859</v>
      </c>
    </row>
    <row r="7" spans="2:11" ht="16.5" customHeight="1" x14ac:dyDescent="0.3">
      <c r="B7" s="6" t="s">
        <v>37</v>
      </c>
      <c r="C7" s="57"/>
      <c r="D7" s="22"/>
      <c r="E7" s="62"/>
      <c r="F7" s="62"/>
      <c r="G7" s="62"/>
      <c r="H7" s="67">
        <f t="shared" si="0"/>
        <v>44859</v>
      </c>
    </row>
    <row r="8" spans="2:11" x14ac:dyDescent="0.3">
      <c r="B8" s="6" t="s">
        <v>17</v>
      </c>
      <c r="C8" s="57"/>
      <c r="D8" s="22"/>
      <c r="E8" s="22"/>
      <c r="F8" s="22"/>
      <c r="G8" s="22"/>
      <c r="H8" s="12">
        <f t="shared" si="0"/>
        <v>44859</v>
      </c>
    </row>
    <row r="9" spans="2:11" ht="15.6" x14ac:dyDescent="0.3">
      <c r="B9" s="34" t="s">
        <v>0</v>
      </c>
      <c r="C9" s="57"/>
      <c r="D9" s="57"/>
      <c r="E9" s="60"/>
      <c r="F9" s="60"/>
      <c r="G9" s="60"/>
      <c r="H9" s="12">
        <f t="shared" si="0"/>
        <v>44859</v>
      </c>
    </row>
    <row r="10" spans="2:11" x14ac:dyDescent="0.3">
      <c r="B10" s="6" t="s">
        <v>25</v>
      </c>
      <c r="C10" s="57"/>
      <c r="D10" s="57"/>
      <c r="E10" s="22"/>
      <c r="F10" s="22"/>
      <c r="G10" s="22"/>
      <c r="H10" s="12">
        <f t="shared" si="0"/>
        <v>44859</v>
      </c>
    </row>
    <row r="11" spans="2:11" x14ac:dyDescent="0.3">
      <c r="B11" s="6" t="s">
        <v>15</v>
      </c>
      <c r="C11" s="57"/>
      <c r="D11" s="57"/>
      <c r="E11" s="22"/>
      <c r="F11" s="22"/>
      <c r="G11" s="22"/>
      <c r="H11" s="12">
        <f t="shared" si="0"/>
        <v>44859</v>
      </c>
    </row>
    <row r="12" spans="2:11" x14ac:dyDescent="0.3">
      <c r="B12" s="6" t="s">
        <v>54</v>
      </c>
      <c r="C12" s="57"/>
      <c r="D12" s="22">
        <v>324000</v>
      </c>
      <c r="E12" s="22"/>
      <c r="F12" s="22">
        <v>54000</v>
      </c>
      <c r="G12" s="22"/>
      <c r="H12" s="67">
        <f t="shared" si="0"/>
        <v>44859</v>
      </c>
    </row>
    <row r="13" spans="2:11" x14ac:dyDescent="0.3">
      <c r="B13" s="6" t="s">
        <v>26</v>
      </c>
      <c r="C13" s="22"/>
      <c r="D13" s="22"/>
      <c r="E13" s="22"/>
      <c r="F13" s="22"/>
      <c r="G13" s="22"/>
      <c r="H13" s="12">
        <f t="shared" si="0"/>
        <v>44859</v>
      </c>
    </row>
    <row r="14" spans="2:11" x14ac:dyDescent="0.3">
      <c r="B14" s="6" t="s">
        <v>22</v>
      </c>
      <c r="C14" s="22"/>
      <c r="D14" s="22"/>
      <c r="E14" s="22"/>
      <c r="F14" s="22"/>
      <c r="G14" s="22"/>
      <c r="H14" s="12">
        <f t="shared" si="0"/>
        <v>44859</v>
      </c>
      <c r="K14" s="4"/>
    </row>
    <row r="15" spans="2:11" x14ac:dyDescent="0.3">
      <c r="B15" s="6" t="s">
        <v>61</v>
      </c>
      <c r="C15" s="22"/>
      <c r="D15" s="22"/>
      <c r="E15" s="22"/>
      <c r="F15" s="22"/>
      <c r="G15" s="22"/>
      <c r="H15" s="67">
        <f t="shared" si="0"/>
        <v>44859</v>
      </c>
      <c r="K15" s="4"/>
    </row>
    <row r="16" spans="2:11" x14ac:dyDescent="0.3">
      <c r="B16" s="6" t="s">
        <v>19</v>
      </c>
      <c r="C16" s="22">
        <v>95000</v>
      </c>
      <c r="D16" s="22"/>
      <c r="E16" s="23"/>
      <c r="F16" s="22"/>
      <c r="G16" s="22"/>
      <c r="H16" s="12">
        <f t="shared" si="0"/>
        <v>44859</v>
      </c>
    </row>
    <row r="17" spans="2:10" x14ac:dyDescent="0.3">
      <c r="B17" s="6" t="s">
        <v>14</v>
      </c>
      <c r="C17" s="22">
        <v>216000</v>
      </c>
      <c r="D17" s="22">
        <v>1134000</v>
      </c>
      <c r="E17" s="22"/>
      <c r="F17" s="23"/>
      <c r="G17" s="22"/>
      <c r="H17" s="12">
        <f t="shared" si="0"/>
        <v>44859</v>
      </c>
    </row>
    <row r="18" spans="2:10" x14ac:dyDescent="0.3">
      <c r="B18" s="6" t="s">
        <v>24</v>
      </c>
      <c r="C18" s="22"/>
      <c r="D18" s="22"/>
      <c r="E18" s="22"/>
      <c r="F18" s="49"/>
      <c r="G18" s="22"/>
      <c r="H18" s="67">
        <f t="shared" si="0"/>
        <v>44859</v>
      </c>
    </row>
    <row r="19" spans="2:10" x14ac:dyDescent="0.3">
      <c r="B19" s="6" t="s">
        <v>21</v>
      </c>
      <c r="C19" s="22"/>
      <c r="D19" s="22"/>
      <c r="E19" s="22"/>
      <c r="F19" s="22"/>
      <c r="G19" s="22"/>
      <c r="H19" s="12">
        <f t="shared" si="0"/>
        <v>44859</v>
      </c>
      <c r="J19" s="1" t="s">
        <v>66</v>
      </c>
    </row>
    <row r="20" spans="2:10" x14ac:dyDescent="0.3">
      <c r="B20" s="6" t="s">
        <v>65</v>
      </c>
      <c r="C20" s="22"/>
      <c r="D20" s="57"/>
      <c r="E20" s="22"/>
      <c r="F20" s="22"/>
      <c r="G20" s="22"/>
      <c r="H20" s="67">
        <f t="shared" si="0"/>
        <v>44859</v>
      </c>
    </row>
    <row r="21" spans="2:10" x14ac:dyDescent="0.3">
      <c r="B21" s="6" t="s">
        <v>67</v>
      </c>
      <c r="C21" s="22"/>
      <c r="D21" s="22">
        <v>108000</v>
      </c>
      <c r="E21" s="57"/>
      <c r="F21" s="22"/>
      <c r="G21" s="22"/>
      <c r="H21" s="12">
        <f t="shared" si="0"/>
        <v>44859</v>
      </c>
    </row>
    <row r="22" spans="2:10" x14ac:dyDescent="0.3">
      <c r="B22" s="6" t="s">
        <v>18</v>
      </c>
      <c r="C22" s="22">
        <v>45000</v>
      </c>
      <c r="D22" s="22"/>
      <c r="E22" s="62"/>
      <c r="F22" s="62"/>
      <c r="G22" s="62"/>
      <c r="H22" s="12">
        <f t="shared" si="0"/>
        <v>44859</v>
      </c>
    </row>
    <row r="23" spans="2:10" x14ac:dyDescent="0.3">
      <c r="B23" s="6" t="s">
        <v>16</v>
      </c>
      <c r="C23" s="121"/>
      <c r="D23" s="22"/>
      <c r="E23" s="62"/>
      <c r="F23" s="62"/>
      <c r="G23" s="22"/>
      <c r="H23" s="12">
        <f t="shared" si="0"/>
        <v>44859</v>
      </c>
    </row>
    <row r="24" spans="2:10" x14ac:dyDescent="0.3">
      <c r="B24" s="50" t="s">
        <v>27</v>
      </c>
      <c r="C24" s="51">
        <f>SUM(Oct25_2022[KSI_AGO])</f>
        <v>356000</v>
      </c>
      <c r="D24" s="51">
        <f>SUBTOTAL(109,Oct25_2022[KSI_PMS])</f>
        <v>1566000</v>
      </c>
      <c r="E24" s="51">
        <f>SUM(Oct25_2022[BUIPE_AGO])</f>
        <v>0</v>
      </c>
      <c r="F24" s="51">
        <f>SUM(Oct25_2022[BUIPE_PMS])</f>
        <v>54000</v>
      </c>
      <c r="G24" s="51">
        <f>SUM(Oct25_2022[AKOSOMBO_AGO])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56F7C15C-C6B8-4062-94C5-D74B3EC581D1}">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7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77EEB-755D-4B3B-B5F4-CB475D09CA5B}">
  <dimension ref="B1:K25"/>
  <sheetViews>
    <sheetView zoomScale="94" zoomScaleNormal="100" workbookViewId="0">
      <pane xSplit="2" ySplit="5" topLeftCell="D6" activePane="bottomRight" state="frozen"/>
      <selection pane="topRight" activeCell="C1" sqref="C1"/>
      <selection pane="bottomLeft" activeCell="A6" sqref="A6"/>
      <selection pane="bottomRight" activeCell="F32" sqref="F3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44860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44860</v>
      </c>
    </row>
    <row r="7" spans="2:11" ht="16.5" customHeight="1" x14ac:dyDescent="0.3">
      <c r="B7" s="6" t="s">
        <v>37</v>
      </c>
      <c r="C7" s="57"/>
      <c r="D7" s="22"/>
      <c r="E7" s="62">
        <v>90000</v>
      </c>
      <c r="F7" s="62"/>
      <c r="G7" s="62"/>
      <c r="H7" s="67">
        <f t="shared" si="0"/>
        <v>44860</v>
      </c>
    </row>
    <row r="8" spans="2:11" x14ac:dyDescent="0.3">
      <c r="B8" s="6" t="s">
        <v>17</v>
      </c>
      <c r="C8" s="57"/>
      <c r="D8" s="22"/>
      <c r="E8" s="22"/>
      <c r="F8" s="22"/>
      <c r="G8" s="22"/>
      <c r="H8" s="12">
        <f t="shared" si="0"/>
        <v>44860</v>
      </c>
    </row>
    <row r="9" spans="2:11" ht="15.6" x14ac:dyDescent="0.3">
      <c r="B9" s="34" t="s">
        <v>0</v>
      </c>
      <c r="C9" s="57"/>
      <c r="D9" s="57"/>
      <c r="E9" s="60"/>
      <c r="F9" s="60"/>
      <c r="G9" s="60"/>
      <c r="H9" s="12">
        <f t="shared" si="0"/>
        <v>44860</v>
      </c>
    </row>
    <row r="10" spans="2:11" x14ac:dyDescent="0.3">
      <c r="B10" s="6" t="s">
        <v>25</v>
      </c>
      <c r="C10" s="57"/>
      <c r="D10" s="57"/>
      <c r="E10" s="22"/>
      <c r="F10" s="22"/>
      <c r="G10" s="22"/>
      <c r="H10" s="12">
        <f t="shared" si="0"/>
        <v>44860</v>
      </c>
    </row>
    <row r="11" spans="2:11" x14ac:dyDescent="0.3">
      <c r="B11" s="6" t="s">
        <v>15</v>
      </c>
      <c r="C11" s="57"/>
      <c r="D11" s="57"/>
      <c r="E11" s="22"/>
      <c r="F11" s="22"/>
      <c r="G11" s="22"/>
      <c r="H11" s="12">
        <f t="shared" si="0"/>
        <v>44860</v>
      </c>
    </row>
    <row r="12" spans="2:11" x14ac:dyDescent="0.3">
      <c r="B12" s="6" t="s">
        <v>54</v>
      </c>
      <c r="C12" s="57"/>
      <c r="D12" s="22">
        <v>54000</v>
      </c>
      <c r="E12" s="22"/>
      <c r="F12" s="22">
        <v>54000</v>
      </c>
      <c r="G12" s="22"/>
      <c r="H12" s="67">
        <f t="shared" si="0"/>
        <v>44860</v>
      </c>
    </row>
    <row r="13" spans="2:11" x14ac:dyDescent="0.3">
      <c r="B13" s="6" t="s">
        <v>26</v>
      </c>
      <c r="C13" s="22"/>
      <c r="D13" s="22"/>
      <c r="E13" s="22">
        <v>90000</v>
      </c>
      <c r="F13" s="22"/>
      <c r="G13" s="22"/>
      <c r="H13" s="12">
        <f t="shared" si="0"/>
        <v>44860</v>
      </c>
    </row>
    <row r="14" spans="2:11" x14ac:dyDescent="0.3">
      <c r="B14" s="6" t="s">
        <v>22</v>
      </c>
      <c r="C14" s="22"/>
      <c r="D14" s="22"/>
      <c r="E14" s="22"/>
      <c r="F14" s="22"/>
      <c r="G14" s="22"/>
      <c r="H14" s="12">
        <f t="shared" si="0"/>
        <v>44860</v>
      </c>
      <c r="K14" s="4"/>
    </row>
    <row r="15" spans="2:11" x14ac:dyDescent="0.3">
      <c r="B15" s="6" t="s">
        <v>61</v>
      </c>
      <c r="C15" s="22"/>
      <c r="D15" s="22"/>
      <c r="E15" s="22"/>
      <c r="F15" s="22"/>
      <c r="G15" s="22"/>
      <c r="H15" s="67">
        <f t="shared" si="0"/>
        <v>44860</v>
      </c>
      <c r="K15" s="4"/>
    </row>
    <row r="16" spans="2:11" x14ac:dyDescent="0.3">
      <c r="B16" s="6" t="s">
        <v>19</v>
      </c>
      <c r="C16" s="22"/>
      <c r="D16" s="22">
        <v>540000</v>
      </c>
      <c r="E16" s="23"/>
      <c r="F16" s="22"/>
      <c r="G16" s="22"/>
      <c r="H16" s="12">
        <f t="shared" si="0"/>
        <v>44860</v>
      </c>
    </row>
    <row r="17" spans="2:10" x14ac:dyDescent="0.3">
      <c r="B17" s="6" t="s">
        <v>14</v>
      </c>
      <c r="C17" s="22"/>
      <c r="D17" s="22">
        <v>918000</v>
      </c>
      <c r="E17" s="22"/>
      <c r="F17" s="23"/>
      <c r="G17" s="22"/>
      <c r="H17" s="12">
        <f t="shared" si="0"/>
        <v>44860</v>
      </c>
    </row>
    <row r="18" spans="2:10" x14ac:dyDescent="0.3">
      <c r="B18" s="6" t="s">
        <v>24</v>
      </c>
      <c r="C18" s="22"/>
      <c r="D18" s="22"/>
      <c r="E18" s="22"/>
      <c r="F18" s="49"/>
      <c r="G18" s="22"/>
      <c r="H18" s="67">
        <f t="shared" si="0"/>
        <v>44860</v>
      </c>
    </row>
    <row r="19" spans="2:10" x14ac:dyDescent="0.3">
      <c r="B19" s="6" t="s">
        <v>21</v>
      </c>
      <c r="C19" s="22"/>
      <c r="D19" s="22"/>
      <c r="E19" s="22"/>
      <c r="F19" s="22"/>
      <c r="G19" s="22"/>
      <c r="H19" s="12">
        <f t="shared" si="0"/>
        <v>44860</v>
      </c>
      <c r="J19" s="1" t="s">
        <v>66</v>
      </c>
    </row>
    <row r="20" spans="2:10" x14ac:dyDescent="0.3">
      <c r="B20" s="6" t="s">
        <v>65</v>
      </c>
      <c r="C20" s="22"/>
      <c r="D20" s="57"/>
      <c r="E20" s="22"/>
      <c r="F20" s="22"/>
      <c r="G20" s="22"/>
      <c r="H20" s="67">
        <f t="shared" si="0"/>
        <v>44860</v>
      </c>
    </row>
    <row r="21" spans="2:10" x14ac:dyDescent="0.3">
      <c r="B21" s="6" t="s">
        <v>67</v>
      </c>
      <c r="C21" s="22"/>
      <c r="D21" s="22"/>
      <c r="E21" s="57"/>
      <c r="F21" s="22"/>
      <c r="G21" s="22"/>
      <c r="H21" s="12">
        <f t="shared" si="0"/>
        <v>44860</v>
      </c>
    </row>
    <row r="22" spans="2:10" x14ac:dyDescent="0.3">
      <c r="B22" s="6" t="s">
        <v>18</v>
      </c>
      <c r="C22" s="22"/>
      <c r="D22" s="22"/>
      <c r="E22" s="62"/>
      <c r="F22" s="62"/>
      <c r="G22" s="62"/>
      <c r="H22" s="12">
        <f t="shared" si="0"/>
        <v>44860</v>
      </c>
    </row>
    <row r="23" spans="2:10" x14ac:dyDescent="0.3">
      <c r="B23" s="6" t="s">
        <v>16</v>
      </c>
      <c r="C23" s="121"/>
      <c r="D23" s="22"/>
      <c r="E23" s="62"/>
      <c r="F23" s="62"/>
      <c r="G23" s="22"/>
      <c r="H23" s="12">
        <f t="shared" si="0"/>
        <v>44860</v>
      </c>
    </row>
    <row r="24" spans="2:10" x14ac:dyDescent="0.3">
      <c r="B24" s="50" t="s">
        <v>27</v>
      </c>
      <c r="C24" s="51">
        <f>SUM(Oct26_2022[KSI_AGO])</f>
        <v>0</v>
      </c>
      <c r="D24" s="51">
        <f>SUBTOTAL(109,Oct26_2022[KSI_PMS])</f>
        <v>1512000</v>
      </c>
      <c r="E24" s="51">
        <f>SUM(Oct26_2022[BUIPE_AGO])</f>
        <v>180000</v>
      </c>
      <c r="F24" s="51">
        <f>SUM(Oct26_2022[BUIPE_PMS])</f>
        <v>54000</v>
      </c>
      <c r="G24" s="51">
        <f>SUM(Oct26_2022[AKOSOMBO_AGO])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0F8EADCF-C8F5-41BE-BF0C-2B75B8B104AB}">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7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5062-F446-423F-8AF1-851295BBD5E9}">
  <dimension ref="B1:K25"/>
  <sheetViews>
    <sheetView zoomScale="82" zoomScaleNormal="100" workbookViewId="0">
      <pane xSplit="2" ySplit="5" topLeftCell="C6" activePane="bottomRight" state="frozen"/>
      <selection pane="topRight" activeCell="C1" sqref="C1"/>
      <selection pane="bottomLeft" activeCell="A6" sqref="A6"/>
      <selection pane="bottomRight" activeCell="K1" sqref="K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44862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44862</v>
      </c>
    </row>
    <row r="7" spans="2:11" ht="16.5" customHeight="1" x14ac:dyDescent="0.3">
      <c r="B7" s="6" t="s">
        <v>37</v>
      </c>
      <c r="C7" s="57"/>
      <c r="D7" s="22"/>
      <c r="E7" s="62"/>
      <c r="F7" s="62"/>
      <c r="G7" s="62"/>
      <c r="H7" s="67">
        <f t="shared" si="0"/>
        <v>44862</v>
      </c>
    </row>
    <row r="8" spans="2:11" x14ac:dyDescent="0.3">
      <c r="B8" s="6" t="s">
        <v>17</v>
      </c>
      <c r="C8" s="57"/>
      <c r="D8" s="22"/>
      <c r="E8" s="22"/>
      <c r="F8" s="22"/>
      <c r="G8" s="22"/>
      <c r="H8" s="12">
        <f t="shared" si="0"/>
        <v>44862</v>
      </c>
    </row>
    <row r="9" spans="2:11" ht="15.6" x14ac:dyDescent="0.3">
      <c r="B9" s="34" t="s">
        <v>0</v>
      </c>
      <c r="C9" s="57"/>
      <c r="D9" s="57"/>
      <c r="E9" s="60"/>
      <c r="F9" s="60"/>
      <c r="G9" s="60"/>
      <c r="H9" s="12">
        <f t="shared" si="0"/>
        <v>44862</v>
      </c>
    </row>
    <row r="10" spans="2:11" x14ac:dyDescent="0.3">
      <c r="B10" s="6" t="s">
        <v>25</v>
      </c>
      <c r="C10" s="57"/>
      <c r="D10" s="57"/>
      <c r="E10" s="22"/>
      <c r="F10" s="22"/>
      <c r="G10" s="22"/>
      <c r="H10" s="12">
        <f t="shared" si="0"/>
        <v>44862</v>
      </c>
    </row>
    <row r="11" spans="2:11" x14ac:dyDescent="0.3">
      <c r="B11" s="6" t="s">
        <v>15</v>
      </c>
      <c r="C11" s="57"/>
      <c r="D11" s="57"/>
      <c r="E11" s="22"/>
      <c r="F11" s="22"/>
      <c r="G11" s="22"/>
      <c r="H11" s="12">
        <f t="shared" si="0"/>
        <v>44862</v>
      </c>
    </row>
    <row r="12" spans="2:11" x14ac:dyDescent="0.3">
      <c r="B12" s="6" t="s">
        <v>54</v>
      </c>
      <c r="C12" s="57"/>
      <c r="D12" s="22"/>
      <c r="E12" s="22"/>
      <c r="F12" s="22"/>
      <c r="G12" s="22"/>
      <c r="H12" s="67">
        <f t="shared" si="0"/>
        <v>44862</v>
      </c>
    </row>
    <row r="13" spans="2:11" x14ac:dyDescent="0.3">
      <c r="B13" s="6" t="s">
        <v>26</v>
      </c>
      <c r="C13" s="22">
        <v>270000</v>
      </c>
      <c r="D13" s="22">
        <v>324000</v>
      </c>
      <c r="E13" s="22"/>
      <c r="F13" s="22"/>
      <c r="G13" s="22"/>
      <c r="H13" s="12">
        <f t="shared" si="0"/>
        <v>44862</v>
      </c>
    </row>
    <row r="14" spans="2:11" x14ac:dyDescent="0.3">
      <c r="B14" s="6" t="s">
        <v>22</v>
      </c>
      <c r="C14" s="22"/>
      <c r="D14" s="22"/>
      <c r="E14" s="22"/>
      <c r="F14" s="22"/>
      <c r="G14" s="22"/>
      <c r="H14" s="12">
        <f t="shared" si="0"/>
        <v>44862</v>
      </c>
      <c r="K14" s="4"/>
    </row>
    <row r="15" spans="2:11" x14ac:dyDescent="0.3">
      <c r="B15" s="6" t="s">
        <v>61</v>
      </c>
      <c r="C15" s="22"/>
      <c r="D15" s="22"/>
      <c r="E15" s="22"/>
      <c r="F15" s="22"/>
      <c r="G15" s="22"/>
      <c r="H15" s="67">
        <f t="shared" si="0"/>
        <v>44862</v>
      </c>
      <c r="K15" s="4"/>
    </row>
    <row r="16" spans="2:11" x14ac:dyDescent="0.3">
      <c r="B16" s="6" t="s">
        <v>19</v>
      </c>
      <c r="C16" s="22"/>
      <c r="D16" s="22"/>
      <c r="E16" s="23"/>
      <c r="F16" s="22"/>
      <c r="G16" s="22"/>
      <c r="H16" s="12">
        <f t="shared" si="0"/>
        <v>44862</v>
      </c>
    </row>
    <row r="17" spans="2:10" x14ac:dyDescent="0.3">
      <c r="B17" s="6" t="s">
        <v>14</v>
      </c>
      <c r="C17" s="22"/>
      <c r="D17" s="22"/>
      <c r="E17" s="22"/>
      <c r="F17" s="23"/>
      <c r="G17" s="22"/>
      <c r="H17" s="12">
        <f t="shared" si="0"/>
        <v>44862</v>
      </c>
    </row>
    <row r="18" spans="2:10" x14ac:dyDescent="0.3">
      <c r="B18" s="6" t="s">
        <v>24</v>
      </c>
      <c r="C18" s="22"/>
      <c r="D18" s="22"/>
      <c r="E18" s="22"/>
      <c r="F18" s="49"/>
      <c r="G18" s="22"/>
      <c r="H18" s="67">
        <f t="shared" si="0"/>
        <v>44862</v>
      </c>
    </row>
    <row r="19" spans="2:10" x14ac:dyDescent="0.3">
      <c r="B19" s="6" t="s">
        <v>21</v>
      </c>
      <c r="C19" s="22"/>
      <c r="D19" s="22"/>
      <c r="E19" s="22"/>
      <c r="F19" s="22"/>
      <c r="G19" s="22"/>
      <c r="H19" s="12">
        <f t="shared" si="0"/>
        <v>44862</v>
      </c>
      <c r="J19" s="1" t="s">
        <v>66</v>
      </c>
    </row>
    <row r="20" spans="2:10" x14ac:dyDescent="0.3">
      <c r="B20" s="6" t="s">
        <v>65</v>
      </c>
      <c r="C20" s="22"/>
      <c r="D20" s="57"/>
      <c r="E20" s="22"/>
      <c r="F20" s="22"/>
      <c r="G20" s="22"/>
      <c r="H20" s="67">
        <f t="shared" si="0"/>
        <v>44862</v>
      </c>
    </row>
    <row r="21" spans="2:10" x14ac:dyDescent="0.3">
      <c r="B21" s="6" t="s">
        <v>67</v>
      </c>
      <c r="C21" s="22"/>
      <c r="D21" s="22"/>
      <c r="E21" s="57"/>
      <c r="F21" s="22"/>
      <c r="G21" s="22"/>
      <c r="H21" s="12">
        <f t="shared" si="0"/>
        <v>44862</v>
      </c>
    </row>
    <row r="22" spans="2:10" x14ac:dyDescent="0.3">
      <c r="B22" s="6" t="s">
        <v>18</v>
      </c>
      <c r="C22" s="22"/>
      <c r="D22" s="22"/>
      <c r="E22" s="62"/>
      <c r="F22" s="62"/>
      <c r="G22" s="62"/>
      <c r="H22" s="12">
        <f t="shared" si="0"/>
        <v>44862</v>
      </c>
    </row>
    <row r="23" spans="2:10" x14ac:dyDescent="0.3">
      <c r="B23" s="6" t="s">
        <v>16</v>
      </c>
      <c r="C23" s="121"/>
      <c r="D23" s="22"/>
      <c r="E23" s="62"/>
      <c r="F23" s="62"/>
      <c r="G23" s="22"/>
      <c r="H23" s="12">
        <f t="shared" si="0"/>
        <v>44862</v>
      </c>
    </row>
    <row r="24" spans="2:10" x14ac:dyDescent="0.3">
      <c r="B24" s="50" t="s">
        <v>27</v>
      </c>
      <c r="C24" s="51">
        <f>SUM(Oct28_2022[KSI_AGO])</f>
        <v>270000</v>
      </c>
      <c r="D24" s="51">
        <f>SUBTOTAL(109,Oct28_2022[KSI_PMS])</f>
        <v>324000</v>
      </c>
      <c r="E24" s="51">
        <f>SUM(Oct28_2022[BUIPE_AGO])</f>
        <v>0</v>
      </c>
      <c r="F24" s="51">
        <f>SUM(Oct28_2022[BUIPE_PMS])</f>
        <v>0</v>
      </c>
      <c r="G24" s="51">
        <f>SUM(Oct28_2022[AKOSOMBO_AGO])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6FADCF0E-CE5A-4D26-87FE-B48BE0373315}">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7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6CCA-179D-4A88-8E7A-471ACF339956}">
  <dimension ref="B1:K25"/>
  <sheetViews>
    <sheetView zoomScale="82" zoomScaleNormal="100" workbookViewId="0">
      <pane xSplit="2" ySplit="5" topLeftCell="C6" activePane="bottomRight" state="frozen"/>
      <selection pane="topRight" activeCell="C1" sqref="C1"/>
      <selection pane="bottomLeft" activeCell="A6" sqref="A6"/>
      <selection pane="bottomRight" activeCell="E11" sqref="E11:E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44865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44865</v>
      </c>
    </row>
    <row r="7" spans="2:11" ht="16.5" customHeight="1" x14ac:dyDescent="0.3">
      <c r="B7" s="6" t="s">
        <v>37</v>
      </c>
      <c r="C7" s="57"/>
      <c r="D7" s="22"/>
      <c r="E7" s="62"/>
      <c r="F7" s="62"/>
      <c r="G7" s="62"/>
      <c r="H7" s="67">
        <f t="shared" si="0"/>
        <v>44865</v>
      </c>
    </row>
    <row r="8" spans="2:11" x14ac:dyDescent="0.3">
      <c r="B8" s="6" t="s">
        <v>17</v>
      </c>
      <c r="C8" s="57"/>
      <c r="D8" s="22"/>
      <c r="E8" s="22"/>
      <c r="F8" s="22"/>
      <c r="G8" s="22"/>
      <c r="H8" s="12">
        <f t="shared" si="0"/>
        <v>44865</v>
      </c>
    </row>
    <row r="9" spans="2:11" ht="15.6" x14ac:dyDescent="0.3">
      <c r="B9" s="34" t="s">
        <v>0</v>
      </c>
      <c r="C9" s="57"/>
      <c r="D9" s="57"/>
      <c r="E9" s="60"/>
      <c r="F9" s="60"/>
      <c r="G9" s="60"/>
      <c r="H9" s="12">
        <f t="shared" si="0"/>
        <v>44865</v>
      </c>
    </row>
    <row r="10" spans="2:11" x14ac:dyDescent="0.3">
      <c r="B10" s="6" t="s">
        <v>25</v>
      </c>
      <c r="C10" s="57"/>
      <c r="D10" s="57"/>
      <c r="E10" s="22"/>
      <c r="F10" s="22"/>
      <c r="G10" s="22"/>
      <c r="H10" s="12">
        <f t="shared" si="0"/>
        <v>44865</v>
      </c>
    </row>
    <row r="11" spans="2:11" x14ac:dyDescent="0.3">
      <c r="B11" s="6" t="s">
        <v>15</v>
      </c>
      <c r="C11" s="57"/>
      <c r="D11" s="22">
        <v>266000</v>
      </c>
      <c r="E11" s="22"/>
      <c r="F11" s="22">
        <v>162000</v>
      </c>
      <c r="G11" s="22"/>
      <c r="H11" s="12">
        <f t="shared" si="0"/>
        <v>44865</v>
      </c>
    </row>
    <row r="12" spans="2:11" x14ac:dyDescent="0.3">
      <c r="B12" s="6" t="s">
        <v>54</v>
      </c>
      <c r="C12" s="57"/>
      <c r="D12" s="22"/>
      <c r="E12" s="22"/>
      <c r="F12" s="22"/>
      <c r="G12" s="22"/>
      <c r="H12" s="67">
        <f t="shared" si="0"/>
        <v>44865</v>
      </c>
    </row>
    <row r="13" spans="2:11" x14ac:dyDescent="0.3">
      <c r="B13" s="6" t="s">
        <v>26</v>
      </c>
      <c r="C13" s="22">
        <v>486000</v>
      </c>
      <c r="D13" s="22">
        <v>675500</v>
      </c>
      <c r="E13" s="22"/>
      <c r="F13" s="22"/>
      <c r="G13" s="22"/>
      <c r="H13" s="12">
        <f t="shared" si="0"/>
        <v>44865</v>
      </c>
    </row>
    <row r="14" spans="2:11" x14ac:dyDescent="0.3">
      <c r="B14" s="6" t="s">
        <v>22</v>
      </c>
      <c r="C14" s="22"/>
      <c r="D14" s="22"/>
      <c r="E14" s="22"/>
      <c r="F14" s="22"/>
      <c r="G14" s="22"/>
      <c r="H14" s="12">
        <f t="shared" si="0"/>
        <v>44865</v>
      </c>
      <c r="K14" s="4"/>
    </row>
    <row r="15" spans="2:11" x14ac:dyDescent="0.3">
      <c r="B15" s="6" t="s">
        <v>61</v>
      </c>
      <c r="C15" s="22"/>
      <c r="D15" s="22"/>
      <c r="E15" s="22"/>
      <c r="F15" s="22"/>
      <c r="G15" s="22"/>
      <c r="H15" s="67">
        <f t="shared" si="0"/>
        <v>44865</v>
      </c>
      <c r="K15" s="4"/>
    </row>
    <row r="16" spans="2:11" x14ac:dyDescent="0.3">
      <c r="B16" s="6" t="s">
        <v>19</v>
      </c>
      <c r="C16" s="22"/>
      <c r="D16" s="23"/>
      <c r="E16" s="23"/>
      <c r="F16" s="22"/>
      <c r="G16" s="22"/>
      <c r="H16" s="12">
        <f t="shared" si="0"/>
        <v>44865</v>
      </c>
    </row>
    <row r="17" spans="2:10" x14ac:dyDescent="0.3">
      <c r="B17" s="6" t="s">
        <v>14</v>
      </c>
      <c r="C17" s="22">
        <v>648000</v>
      </c>
      <c r="D17" s="22">
        <v>315000</v>
      </c>
      <c r="E17" s="22"/>
      <c r="F17" s="23"/>
      <c r="G17" s="22"/>
      <c r="H17" s="12">
        <f t="shared" si="0"/>
        <v>44865</v>
      </c>
    </row>
    <row r="18" spans="2:10" x14ac:dyDescent="0.3">
      <c r="B18" s="6" t="s">
        <v>24</v>
      </c>
      <c r="C18" s="22"/>
      <c r="D18" s="22"/>
      <c r="E18" s="22"/>
      <c r="F18" s="49"/>
      <c r="G18" s="22"/>
      <c r="H18" s="67">
        <f t="shared" si="0"/>
        <v>44865</v>
      </c>
    </row>
    <row r="19" spans="2:10" x14ac:dyDescent="0.3">
      <c r="B19" s="6" t="s">
        <v>21</v>
      </c>
      <c r="C19" s="22"/>
      <c r="D19" s="22"/>
      <c r="E19" s="22"/>
      <c r="F19" s="22"/>
      <c r="G19" s="22"/>
      <c r="H19" s="12">
        <f t="shared" si="0"/>
        <v>44865</v>
      </c>
      <c r="J19" s="1" t="s">
        <v>66</v>
      </c>
    </row>
    <row r="20" spans="2:10" x14ac:dyDescent="0.3">
      <c r="B20" s="6" t="s">
        <v>65</v>
      </c>
      <c r="C20" s="22"/>
      <c r="D20" s="22"/>
      <c r="E20" s="22"/>
      <c r="F20" s="22"/>
      <c r="G20" s="22"/>
      <c r="H20" s="67">
        <f t="shared" si="0"/>
        <v>44865</v>
      </c>
    </row>
    <row r="21" spans="2:10" x14ac:dyDescent="0.3">
      <c r="B21" s="6" t="s">
        <v>67</v>
      </c>
      <c r="C21" s="22"/>
      <c r="D21" s="22">
        <v>54000</v>
      </c>
      <c r="E21" s="22"/>
      <c r="F21" s="22"/>
      <c r="G21" s="22"/>
      <c r="H21" s="12">
        <f t="shared" si="0"/>
        <v>44865</v>
      </c>
    </row>
    <row r="22" spans="2:10" x14ac:dyDescent="0.3">
      <c r="B22" s="6" t="s">
        <v>18</v>
      </c>
      <c r="C22" s="22"/>
      <c r="D22" s="62"/>
      <c r="E22" s="62"/>
      <c r="F22" s="62"/>
      <c r="G22" s="62"/>
      <c r="H22" s="12">
        <f t="shared" si="0"/>
        <v>44865</v>
      </c>
    </row>
    <row r="23" spans="2:10" x14ac:dyDescent="0.3">
      <c r="B23" s="6" t="s">
        <v>16</v>
      </c>
      <c r="C23" s="121"/>
      <c r="D23" s="62"/>
      <c r="E23" s="62"/>
      <c r="F23" s="62"/>
      <c r="G23" s="22"/>
      <c r="H23" s="12">
        <f t="shared" si="0"/>
        <v>44865</v>
      </c>
    </row>
    <row r="24" spans="2:10" x14ac:dyDescent="0.3">
      <c r="B24" s="50" t="s">
        <v>27</v>
      </c>
      <c r="C24" s="51">
        <f>SUM(Oct31_2022[KSI_AGO])</f>
        <v>1134000</v>
      </c>
      <c r="D24" s="51">
        <f>SUBTOTAL(109,Oct31_2022[KSI_PMS])</f>
        <v>1310500</v>
      </c>
      <c r="E24" s="51">
        <f>SUM(Oct31_2022[BUIPE_AGO])</f>
        <v>0</v>
      </c>
      <c r="F24" s="51">
        <f>SUM(Oct31_2022[BUIPE_PMS])</f>
        <v>162000</v>
      </c>
      <c r="G24" s="51">
        <f>SUM(Oct31_2022[AKOSOMBO_AGO])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6D1B1255-2101-457E-9696-E9E946D864F5}">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7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E6871-148E-46DD-825E-40FA36340369}">
  <dimension ref="B1:K25"/>
  <sheetViews>
    <sheetView zoomScale="106" zoomScaleNormal="100" workbookViewId="0">
      <pane xSplit="2" ySplit="5" topLeftCell="F6" activePane="bottomRight" state="frozen"/>
      <selection pane="topRight" activeCell="C1" sqref="C1"/>
      <selection pane="bottomLeft" activeCell="A6" sqref="A6"/>
      <selection pane="bottomRight" activeCell="B28" sqref="B2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44867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44867</v>
      </c>
    </row>
    <row r="7" spans="2:11" ht="16.5" customHeight="1" x14ac:dyDescent="0.3">
      <c r="B7" s="6" t="s">
        <v>37</v>
      </c>
      <c r="C7" s="57"/>
      <c r="D7" s="22"/>
      <c r="E7" s="62"/>
      <c r="F7" s="62"/>
      <c r="G7" s="62"/>
      <c r="H7" s="67">
        <f t="shared" si="0"/>
        <v>44867</v>
      </c>
    </row>
    <row r="8" spans="2:11" x14ac:dyDescent="0.3">
      <c r="B8" s="6" t="s">
        <v>17</v>
      </c>
      <c r="C8" s="57"/>
      <c r="D8" s="22"/>
      <c r="E8" s="22"/>
      <c r="F8" s="22"/>
      <c r="G8" s="22"/>
      <c r="H8" s="12">
        <f t="shared" si="0"/>
        <v>44867</v>
      </c>
    </row>
    <row r="9" spans="2:11" ht="15.6" x14ac:dyDescent="0.3">
      <c r="B9" s="34" t="s">
        <v>0</v>
      </c>
      <c r="C9" s="57"/>
      <c r="D9" s="57"/>
      <c r="E9" s="60"/>
      <c r="F9" s="60"/>
      <c r="G9" s="60"/>
      <c r="H9" s="12">
        <f t="shared" si="0"/>
        <v>44867</v>
      </c>
    </row>
    <row r="10" spans="2:11" x14ac:dyDescent="0.3">
      <c r="B10" s="6" t="s">
        <v>25</v>
      </c>
      <c r="C10" s="57"/>
      <c r="D10" s="57"/>
      <c r="E10" s="22"/>
      <c r="F10" s="22"/>
      <c r="G10" s="22"/>
      <c r="H10" s="12">
        <f t="shared" si="0"/>
        <v>44867</v>
      </c>
    </row>
    <row r="11" spans="2:11" x14ac:dyDescent="0.3">
      <c r="B11" s="6" t="s">
        <v>15</v>
      </c>
      <c r="C11" s="57"/>
      <c r="D11" s="57">
        <v>50000</v>
      </c>
      <c r="E11" s="22"/>
      <c r="F11" s="22"/>
      <c r="G11" s="22"/>
      <c r="H11" s="12">
        <f t="shared" si="0"/>
        <v>44867</v>
      </c>
    </row>
    <row r="12" spans="2:11" x14ac:dyDescent="0.3">
      <c r="B12" s="6" t="s">
        <v>54</v>
      </c>
      <c r="C12" s="57"/>
      <c r="D12" s="22"/>
      <c r="E12" s="22"/>
      <c r="F12" s="22"/>
      <c r="G12" s="22"/>
      <c r="H12" s="67">
        <f t="shared" si="0"/>
        <v>44867</v>
      </c>
    </row>
    <row r="13" spans="2:11" x14ac:dyDescent="0.3">
      <c r="B13" s="6" t="s">
        <v>26</v>
      </c>
      <c r="C13" s="22">
        <v>54000</v>
      </c>
      <c r="D13" s="22">
        <v>54000</v>
      </c>
      <c r="E13" s="22"/>
      <c r="F13" s="22"/>
      <c r="G13" s="22"/>
      <c r="H13" s="12">
        <f t="shared" si="0"/>
        <v>44867</v>
      </c>
    </row>
    <row r="14" spans="2:11" x14ac:dyDescent="0.3">
      <c r="B14" s="6" t="s">
        <v>22</v>
      </c>
      <c r="C14" s="22"/>
      <c r="D14" s="22"/>
      <c r="E14" s="22"/>
      <c r="F14" s="22"/>
      <c r="G14" s="22"/>
      <c r="H14" s="12">
        <f t="shared" si="0"/>
        <v>44867</v>
      </c>
      <c r="K14" s="4"/>
    </row>
    <row r="15" spans="2:11" x14ac:dyDescent="0.3">
      <c r="B15" s="6" t="s">
        <v>61</v>
      </c>
      <c r="C15" s="22"/>
      <c r="D15" s="22"/>
      <c r="E15" s="22"/>
      <c r="F15" s="22"/>
      <c r="G15" s="22"/>
      <c r="H15" s="67">
        <f t="shared" si="0"/>
        <v>44867</v>
      </c>
      <c r="K15" s="4"/>
    </row>
    <row r="16" spans="2:11" x14ac:dyDescent="0.3">
      <c r="B16" s="6" t="s">
        <v>19</v>
      </c>
      <c r="C16" s="22"/>
      <c r="D16" s="22">
        <v>612000</v>
      </c>
      <c r="E16" s="23"/>
      <c r="F16" s="22"/>
      <c r="G16" s="22"/>
      <c r="H16" s="12">
        <f t="shared" si="0"/>
        <v>44867</v>
      </c>
    </row>
    <row r="17" spans="2:10" x14ac:dyDescent="0.3">
      <c r="B17" s="6" t="s">
        <v>14</v>
      </c>
      <c r="C17" s="22">
        <v>1400000</v>
      </c>
      <c r="D17" s="22">
        <v>751500</v>
      </c>
      <c r="E17" s="22"/>
      <c r="F17" s="23"/>
      <c r="G17" s="22"/>
      <c r="H17" s="12">
        <f t="shared" si="0"/>
        <v>44867</v>
      </c>
    </row>
    <row r="18" spans="2:10" x14ac:dyDescent="0.3">
      <c r="B18" s="6" t="s">
        <v>24</v>
      </c>
      <c r="C18" s="22"/>
      <c r="D18" s="22"/>
      <c r="E18" s="22"/>
      <c r="F18" s="49"/>
      <c r="G18" s="22"/>
      <c r="H18" s="67">
        <f t="shared" si="0"/>
        <v>44867</v>
      </c>
    </row>
    <row r="19" spans="2:10" x14ac:dyDescent="0.3">
      <c r="B19" s="6" t="s">
        <v>21</v>
      </c>
      <c r="C19" s="22"/>
      <c r="D19" s="22"/>
      <c r="E19" s="22"/>
      <c r="F19" s="22"/>
      <c r="G19" s="22"/>
      <c r="H19" s="12">
        <f t="shared" si="0"/>
        <v>44867</v>
      </c>
      <c r="J19" s="1" t="s">
        <v>66</v>
      </c>
    </row>
    <row r="20" spans="2:10" x14ac:dyDescent="0.3">
      <c r="B20" s="6" t="s">
        <v>65</v>
      </c>
      <c r="C20" s="22"/>
      <c r="D20" s="57"/>
      <c r="E20" s="22"/>
      <c r="F20" s="22"/>
      <c r="G20" s="22"/>
      <c r="H20" s="67">
        <f t="shared" si="0"/>
        <v>44867</v>
      </c>
    </row>
    <row r="21" spans="2:10" x14ac:dyDescent="0.3">
      <c r="B21" s="6" t="s">
        <v>67</v>
      </c>
      <c r="C21" s="22"/>
      <c r="D21" s="22">
        <v>54000</v>
      </c>
      <c r="E21" s="22"/>
      <c r="F21" s="22"/>
      <c r="G21" s="22"/>
      <c r="H21" s="12">
        <f t="shared" si="0"/>
        <v>44867</v>
      </c>
    </row>
    <row r="22" spans="2:10" x14ac:dyDescent="0.3">
      <c r="B22" s="6" t="s">
        <v>18</v>
      </c>
      <c r="C22" s="22"/>
      <c r="D22" s="22"/>
      <c r="E22" s="62"/>
      <c r="F22" s="62"/>
      <c r="G22" s="62"/>
      <c r="H22" s="12">
        <f t="shared" si="0"/>
        <v>44867</v>
      </c>
    </row>
    <row r="23" spans="2:10" x14ac:dyDescent="0.3">
      <c r="B23" s="6" t="s">
        <v>16</v>
      </c>
      <c r="C23" s="121"/>
      <c r="D23" s="22"/>
      <c r="E23" s="62"/>
      <c r="F23" s="62"/>
      <c r="G23" s="22"/>
      <c r="H23" s="12">
        <f t="shared" si="0"/>
        <v>44867</v>
      </c>
    </row>
    <row r="24" spans="2:10" x14ac:dyDescent="0.3">
      <c r="B24" s="50" t="s">
        <v>27</v>
      </c>
      <c r="C24" s="51">
        <f>SUM(Nov02_2022[KSI_AGO])</f>
        <v>1454000</v>
      </c>
      <c r="D24" s="51">
        <f>SUBTOTAL(109,Nov02_2022[KSI_PMS])</f>
        <v>1521500</v>
      </c>
      <c r="E24" s="51">
        <f>SUM(Nov02_2022[BUIPE_AGO])</f>
        <v>0</v>
      </c>
      <c r="F24" s="51">
        <f>SUM(Nov02_2022[BUIPE_PMS])</f>
        <v>0</v>
      </c>
      <c r="G24" s="51">
        <f>SUM(Nov02_2022[AKOSOMBO_AGO])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7EEBB878-FB61-48B2-AEF8-8291C1CCD26D}">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7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ACC10-9857-4228-B2AC-808E1756A786}">
  <dimension ref="B1:K25"/>
  <sheetViews>
    <sheetView zoomScale="106" zoomScaleNormal="100" workbookViewId="0">
      <pane xSplit="2" ySplit="5" topLeftCell="F6" activePane="bottomRight" state="frozen"/>
      <selection pane="topRight" activeCell="C1" sqref="C1"/>
      <selection pane="bottomLeft" activeCell="A6" sqref="A6"/>
      <selection pane="bottomRight" activeCell="E14" sqref="E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44868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44868</v>
      </c>
    </row>
    <row r="7" spans="2:11" ht="16.5" customHeight="1" x14ac:dyDescent="0.3">
      <c r="B7" s="6" t="s">
        <v>37</v>
      </c>
      <c r="C7" s="57"/>
      <c r="D7" s="22"/>
      <c r="E7" s="62"/>
      <c r="F7" s="62"/>
      <c r="G7" s="62"/>
      <c r="H7" s="67">
        <f t="shared" si="0"/>
        <v>44868</v>
      </c>
    </row>
    <row r="8" spans="2:11" x14ac:dyDescent="0.3">
      <c r="B8" s="6" t="s">
        <v>17</v>
      </c>
      <c r="C8" s="57"/>
      <c r="D8" s="22"/>
      <c r="E8" s="22"/>
      <c r="F8" s="22"/>
      <c r="G8" s="22"/>
      <c r="H8" s="12">
        <f t="shared" si="0"/>
        <v>44868</v>
      </c>
    </row>
    <row r="9" spans="2:11" ht="15.6" x14ac:dyDescent="0.3">
      <c r="B9" s="34" t="s">
        <v>0</v>
      </c>
      <c r="C9" s="57"/>
      <c r="D9" s="57"/>
      <c r="E9" s="60"/>
      <c r="F9" s="60"/>
      <c r="G9" s="60"/>
      <c r="H9" s="12">
        <f t="shared" si="0"/>
        <v>44868</v>
      </c>
    </row>
    <row r="10" spans="2:11" x14ac:dyDescent="0.3">
      <c r="B10" s="6" t="s">
        <v>25</v>
      </c>
      <c r="C10" s="57"/>
      <c r="D10" s="57"/>
      <c r="E10" s="22"/>
      <c r="F10" s="22"/>
      <c r="G10" s="22"/>
      <c r="H10" s="12">
        <f t="shared" si="0"/>
        <v>44868</v>
      </c>
    </row>
    <row r="11" spans="2:11" x14ac:dyDescent="0.3">
      <c r="B11" s="6" t="s">
        <v>15</v>
      </c>
      <c r="C11" s="22">
        <v>162000</v>
      </c>
      <c r="D11" s="57"/>
      <c r="E11" s="22"/>
      <c r="F11" s="22"/>
      <c r="G11" s="22"/>
      <c r="H11" s="12">
        <f t="shared" si="0"/>
        <v>44868</v>
      </c>
    </row>
    <row r="12" spans="2:11" x14ac:dyDescent="0.3">
      <c r="B12" s="6" t="s">
        <v>54</v>
      </c>
      <c r="C12" s="22">
        <v>864000</v>
      </c>
      <c r="D12" s="22">
        <v>756000</v>
      </c>
      <c r="E12" s="22">
        <v>324000</v>
      </c>
      <c r="F12" s="22"/>
      <c r="G12" s="22"/>
      <c r="H12" s="67">
        <f t="shared" si="0"/>
        <v>44868</v>
      </c>
    </row>
    <row r="13" spans="2:11" x14ac:dyDescent="0.3">
      <c r="B13" s="6" t="s">
        <v>26</v>
      </c>
      <c r="C13" s="22"/>
      <c r="D13" s="22">
        <v>54000</v>
      </c>
      <c r="E13" s="22"/>
      <c r="F13" s="22"/>
      <c r="G13" s="22"/>
      <c r="H13" s="12">
        <f t="shared" si="0"/>
        <v>44868</v>
      </c>
    </row>
    <row r="14" spans="2:11" x14ac:dyDescent="0.3">
      <c r="B14" s="6" t="s">
        <v>22</v>
      </c>
      <c r="C14" s="22"/>
      <c r="D14" s="22"/>
      <c r="E14" s="22"/>
      <c r="F14" s="22"/>
      <c r="G14" s="22"/>
      <c r="H14" s="12">
        <f t="shared" si="0"/>
        <v>44868</v>
      </c>
      <c r="K14" s="4"/>
    </row>
    <row r="15" spans="2:11" x14ac:dyDescent="0.3">
      <c r="B15" s="6" t="s">
        <v>61</v>
      </c>
      <c r="C15" s="22"/>
      <c r="D15" s="22"/>
      <c r="E15" s="22"/>
      <c r="F15" s="22"/>
      <c r="G15" s="22"/>
      <c r="H15" s="67">
        <f t="shared" si="0"/>
        <v>44868</v>
      </c>
      <c r="K15" s="4"/>
    </row>
    <row r="16" spans="2:11" x14ac:dyDescent="0.3">
      <c r="B16" s="6" t="s">
        <v>19</v>
      </c>
      <c r="C16" s="22"/>
      <c r="D16" s="22"/>
      <c r="E16" s="23"/>
      <c r="F16" s="22"/>
      <c r="G16" s="22"/>
      <c r="H16" s="12">
        <f t="shared" si="0"/>
        <v>44868</v>
      </c>
    </row>
    <row r="17" spans="2:10" x14ac:dyDescent="0.3">
      <c r="B17" s="6" t="s">
        <v>14</v>
      </c>
      <c r="C17" s="22">
        <v>162000</v>
      </c>
      <c r="D17" s="22">
        <v>1280500</v>
      </c>
      <c r="E17" s="22"/>
      <c r="F17" s="23"/>
      <c r="G17" s="22"/>
      <c r="H17" s="12">
        <f t="shared" si="0"/>
        <v>44868</v>
      </c>
    </row>
    <row r="18" spans="2:10" x14ac:dyDescent="0.3">
      <c r="B18" s="6" t="s">
        <v>24</v>
      </c>
      <c r="C18" s="22"/>
      <c r="D18" s="22"/>
      <c r="E18" s="22"/>
      <c r="F18" s="49"/>
      <c r="G18" s="22"/>
      <c r="H18" s="67">
        <f t="shared" si="0"/>
        <v>44868</v>
      </c>
    </row>
    <row r="19" spans="2:10" x14ac:dyDescent="0.3">
      <c r="B19" s="6" t="s">
        <v>21</v>
      </c>
      <c r="C19" s="22"/>
      <c r="D19" s="22"/>
      <c r="E19" s="22"/>
      <c r="F19" s="22"/>
      <c r="G19" s="22"/>
      <c r="H19" s="12">
        <f t="shared" si="0"/>
        <v>44868</v>
      </c>
      <c r="J19" s="1" t="s">
        <v>66</v>
      </c>
    </row>
    <row r="20" spans="2:10" x14ac:dyDescent="0.3">
      <c r="B20" s="6" t="s">
        <v>65</v>
      </c>
      <c r="C20" s="22"/>
      <c r="D20" s="57"/>
      <c r="E20" s="22"/>
      <c r="F20" s="22"/>
      <c r="G20" s="22"/>
      <c r="H20" s="67">
        <f t="shared" si="0"/>
        <v>44868</v>
      </c>
    </row>
    <row r="21" spans="2:10" x14ac:dyDescent="0.3">
      <c r="B21" s="6" t="s">
        <v>67</v>
      </c>
      <c r="C21" s="22"/>
      <c r="D21" s="22"/>
      <c r="E21" s="22"/>
      <c r="F21" s="22"/>
      <c r="G21" s="22"/>
      <c r="H21" s="12">
        <f t="shared" si="0"/>
        <v>44868</v>
      </c>
    </row>
    <row r="22" spans="2:10" x14ac:dyDescent="0.3">
      <c r="B22" s="6" t="s">
        <v>18</v>
      </c>
      <c r="C22" s="22"/>
      <c r="D22" s="22"/>
      <c r="E22" s="62"/>
      <c r="F22" s="62"/>
      <c r="G22" s="62"/>
      <c r="H22" s="12">
        <f t="shared" si="0"/>
        <v>44868</v>
      </c>
    </row>
    <row r="23" spans="2:10" x14ac:dyDescent="0.3">
      <c r="B23" s="6" t="s">
        <v>16</v>
      </c>
      <c r="C23" s="121"/>
      <c r="D23" s="22"/>
      <c r="E23" s="62"/>
      <c r="F23" s="62"/>
      <c r="G23" s="22"/>
      <c r="H23" s="12">
        <f t="shared" si="0"/>
        <v>44868</v>
      </c>
    </row>
    <row r="24" spans="2:10" x14ac:dyDescent="0.3">
      <c r="B24" s="50" t="s">
        <v>27</v>
      </c>
      <c r="C24" s="51">
        <f>SUM(Nov03_2022[KSI_AGO])</f>
        <v>1188000</v>
      </c>
      <c r="D24" s="51">
        <f>SUBTOTAL(109,Nov03_2022[KSI_PMS])</f>
        <v>2090500</v>
      </c>
      <c r="E24" s="51">
        <f>SUM(Nov03_2022[BUIPE_AGO])</f>
        <v>324000</v>
      </c>
      <c r="F24" s="51">
        <f>SUM(Nov03_2022[BUIPE_PMS])</f>
        <v>0</v>
      </c>
      <c r="G24" s="51">
        <f>SUM(Nov03_2022[AKOSOMBO_AGO])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3BE066F8-7784-49D6-AD31-CB6F23DF6BE4}">
      <formula1>INDIRECT("BDC_List[BDC List]")</formula1>
    </dataValidation>
  </dataValidations>
  <pageMargins left="0.7" right="0.7" top="0.75" bottom="0.75" header="0.3" footer="0.3"/>
  <pageSetup orientation="portrait" horizontalDpi="4294967295" verticalDpi="4294967295" r:id="rId1"/>
  <drawing r:id="rId2"/>
  <legacyDrawing r:id="rId3"/>
  <tableParts count="1">
    <tablePart r:id="rId4"/>
  </tableParts>
</worksheet>
</file>

<file path=xl/worksheets/sheet7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34A8-8368-4505-9758-8FC1F9137936}">
  <sheetPr>
    <tabColor rgb="FFFFFF00"/>
  </sheetPr>
  <dimension ref="B1:K25"/>
  <sheetViews>
    <sheetView zoomScale="106" zoomScaleNormal="100" workbookViewId="0">
      <pane xSplit="2" ySplit="5" topLeftCell="C6" activePane="bottomRight" state="frozen"/>
      <selection pane="topRight" activeCell="C1" sqref="C1"/>
      <selection pane="bottomLeft" activeCell="A6" sqref="A6"/>
      <selection pane="bottomRight" activeCell="B30" sqref="B3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44869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44869</v>
      </c>
    </row>
    <row r="7" spans="2:11" ht="16.5" customHeight="1" x14ac:dyDescent="0.3">
      <c r="B7" s="6" t="s">
        <v>37</v>
      </c>
      <c r="C7" s="57"/>
      <c r="D7" s="22"/>
      <c r="E7" s="62"/>
      <c r="F7" s="62"/>
      <c r="G7" s="62"/>
      <c r="H7" s="67">
        <f t="shared" si="0"/>
        <v>44869</v>
      </c>
    </row>
    <row r="8" spans="2:11" x14ac:dyDescent="0.3">
      <c r="B8" s="6" t="s">
        <v>17</v>
      </c>
      <c r="C8" s="57"/>
      <c r="D8" s="22"/>
      <c r="E8" s="22"/>
      <c r="F8" s="22"/>
      <c r="G8" s="22"/>
      <c r="H8" s="12">
        <f t="shared" si="0"/>
        <v>44869</v>
      </c>
    </row>
    <row r="9" spans="2:11" ht="15.6" x14ac:dyDescent="0.3">
      <c r="B9" s="34" t="s">
        <v>0</v>
      </c>
      <c r="C9" s="57"/>
      <c r="D9" s="57"/>
      <c r="E9" s="60"/>
      <c r="F9" s="60"/>
      <c r="G9" s="60"/>
      <c r="H9" s="12">
        <f t="shared" si="0"/>
        <v>44869</v>
      </c>
    </row>
    <row r="10" spans="2:11" x14ac:dyDescent="0.3">
      <c r="B10" s="6" t="s">
        <v>25</v>
      </c>
      <c r="C10" s="57"/>
      <c r="D10" s="57"/>
      <c r="E10" s="22"/>
      <c r="F10" s="22"/>
      <c r="G10" s="22"/>
      <c r="H10" s="12">
        <f t="shared" si="0"/>
        <v>44869</v>
      </c>
    </row>
    <row r="11" spans="2:11" x14ac:dyDescent="0.3">
      <c r="B11" s="6" t="s">
        <v>15</v>
      </c>
      <c r="C11" s="22">
        <v>54000</v>
      </c>
      <c r="D11" s="57"/>
      <c r="E11" s="22"/>
      <c r="F11" s="22"/>
      <c r="G11" s="22"/>
      <c r="H11" s="12">
        <f t="shared" si="0"/>
        <v>44869</v>
      </c>
    </row>
    <row r="12" spans="2:11" x14ac:dyDescent="0.3">
      <c r="B12" s="6" t="s">
        <v>54</v>
      </c>
      <c r="C12" s="22">
        <v>108000</v>
      </c>
      <c r="D12" s="22">
        <v>216000</v>
      </c>
      <c r="E12" s="22"/>
      <c r="F12" s="22"/>
      <c r="G12" s="22"/>
      <c r="H12" s="67">
        <f t="shared" si="0"/>
        <v>44869</v>
      </c>
    </row>
    <row r="13" spans="2:11" x14ac:dyDescent="0.3">
      <c r="B13" s="6" t="s">
        <v>26</v>
      </c>
      <c r="C13" s="22"/>
      <c r="D13" s="22"/>
      <c r="E13" s="22"/>
      <c r="F13" s="22"/>
      <c r="G13" s="22"/>
      <c r="H13" s="12">
        <f t="shared" si="0"/>
        <v>44869</v>
      </c>
    </row>
    <row r="14" spans="2:11" x14ac:dyDescent="0.3">
      <c r="B14" s="6" t="s">
        <v>22</v>
      </c>
      <c r="C14" s="22"/>
      <c r="D14" s="22"/>
      <c r="E14" s="22"/>
      <c r="F14" s="22"/>
      <c r="G14" s="22"/>
      <c r="H14" s="12">
        <f t="shared" si="0"/>
        <v>44869</v>
      </c>
      <c r="K14" s="4"/>
    </row>
    <row r="15" spans="2:11" x14ac:dyDescent="0.3">
      <c r="B15" s="6" t="s">
        <v>61</v>
      </c>
      <c r="C15" s="22"/>
      <c r="D15" s="22"/>
      <c r="E15" s="22"/>
      <c r="F15" s="22"/>
      <c r="G15" s="22"/>
      <c r="H15" s="67">
        <f t="shared" si="0"/>
        <v>44869</v>
      </c>
      <c r="K15" s="4"/>
    </row>
    <row r="16" spans="2:11" x14ac:dyDescent="0.3">
      <c r="B16" s="6" t="s">
        <v>19</v>
      </c>
      <c r="C16" s="22">
        <v>972000</v>
      </c>
      <c r="D16" s="116">
        <v>432000</v>
      </c>
      <c r="E16" s="23">
        <v>648000</v>
      </c>
      <c r="F16" s="22"/>
      <c r="G16" s="22"/>
      <c r="H16" s="12">
        <f t="shared" si="0"/>
        <v>44869</v>
      </c>
    </row>
    <row r="17" spans="2:10" x14ac:dyDescent="0.3">
      <c r="B17" s="6" t="s">
        <v>14</v>
      </c>
      <c r="C17" s="22"/>
      <c r="D17" s="22">
        <v>859500</v>
      </c>
      <c r="E17" s="22"/>
      <c r="F17" s="23"/>
      <c r="G17" s="22"/>
      <c r="H17" s="12">
        <f t="shared" si="0"/>
        <v>44869</v>
      </c>
    </row>
    <row r="18" spans="2:10" x14ac:dyDescent="0.3">
      <c r="B18" s="6" t="s">
        <v>24</v>
      </c>
      <c r="C18" s="22"/>
      <c r="D18" s="22"/>
      <c r="E18" s="22"/>
      <c r="F18" s="49"/>
      <c r="G18" s="22"/>
      <c r="H18" s="67">
        <f t="shared" si="0"/>
        <v>44869</v>
      </c>
    </row>
    <row r="19" spans="2:10" x14ac:dyDescent="0.3">
      <c r="B19" s="6" t="s">
        <v>21</v>
      </c>
      <c r="C19" s="22"/>
      <c r="D19" s="22"/>
      <c r="E19" s="22"/>
      <c r="F19" s="22"/>
      <c r="G19" s="22"/>
      <c r="H19" s="12">
        <f t="shared" si="0"/>
        <v>44869</v>
      </c>
      <c r="J19" s="1" t="s">
        <v>66</v>
      </c>
    </row>
    <row r="20" spans="2:10" x14ac:dyDescent="0.3">
      <c r="B20" s="6" t="s">
        <v>65</v>
      </c>
      <c r="C20" s="22"/>
      <c r="D20" s="57"/>
      <c r="E20" s="22"/>
      <c r="F20" s="22"/>
      <c r="G20" s="22"/>
      <c r="H20" s="67">
        <f t="shared" si="0"/>
        <v>44869</v>
      </c>
    </row>
    <row r="21" spans="2:10" x14ac:dyDescent="0.3">
      <c r="B21" s="6" t="s">
        <v>67</v>
      </c>
      <c r="C21" s="22"/>
      <c r="D21" s="22"/>
      <c r="E21" s="22"/>
      <c r="F21" s="22"/>
      <c r="G21" s="22"/>
      <c r="H21" s="12">
        <f t="shared" si="0"/>
        <v>44869</v>
      </c>
    </row>
    <row r="22" spans="2:10" x14ac:dyDescent="0.3">
      <c r="B22" s="6" t="s">
        <v>18</v>
      </c>
      <c r="C22" s="22"/>
      <c r="D22" s="22"/>
      <c r="E22" s="62"/>
      <c r="F22" s="62"/>
      <c r="G22" s="62"/>
      <c r="H22" s="12">
        <f t="shared" si="0"/>
        <v>44869</v>
      </c>
    </row>
    <row r="23" spans="2:10" x14ac:dyDescent="0.3">
      <c r="B23" s="6" t="s">
        <v>16</v>
      </c>
      <c r="C23" s="121"/>
      <c r="D23" s="22"/>
      <c r="E23" s="62"/>
      <c r="F23" s="62"/>
      <c r="G23" s="22"/>
      <c r="H23" s="12">
        <f t="shared" si="0"/>
        <v>44869</v>
      </c>
    </row>
    <row r="24" spans="2:10" x14ac:dyDescent="0.3">
      <c r="B24" s="50" t="s">
        <v>27</v>
      </c>
      <c r="C24" s="51">
        <f>SUM(Nov04_2022[KSI_AGO])</f>
        <v>1134000</v>
      </c>
      <c r="D24" s="51">
        <f>SUBTOTAL(109,Nov04_2022[KSI_PMS])</f>
        <v>1507500</v>
      </c>
      <c r="E24" s="51">
        <f>SUM(Nov04_2022[BUIPE_AGO])</f>
        <v>648000</v>
      </c>
      <c r="F24" s="51">
        <f>SUM(Nov04_2022[BUIPE_PMS])</f>
        <v>0</v>
      </c>
      <c r="G24" s="51">
        <f>SUM(Nov04_2022[AKOSOMBO_AGO])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273A8CB1-4F81-4750-8BFA-34AF1B4BF729}">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78F5-0197-4F02-8CF1-A50D3C929FC7}">
  <dimension ref="B1:K25"/>
  <sheetViews>
    <sheetView zoomScale="89" zoomScaleNormal="85" workbookViewId="0">
      <pane xSplit="2" ySplit="5" topLeftCell="E8" activePane="bottomRight" state="frozen"/>
      <selection pane="topRight" activeCell="C1" sqref="C1"/>
      <selection pane="bottomLeft" activeCell="A6" sqref="A6"/>
      <selection pane="bottomRight" activeCell="G39" sqref="G3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44872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44872</v>
      </c>
    </row>
    <row r="7" spans="2:11" ht="16.5" customHeight="1" x14ac:dyDescent="0.3">
      <c r="B7" s="6" t="s">
        <v>37</v>
      </c>
      <c r="C7" s="57"/>
      <c r="D7" s="22"/>
      <c r="E7" s="62"/>
      <c r="F7" s="62"/>
      <c r="G7" s="62"/>
      <c r="H7" s="67">
        <f t="shared" si="0"/>
        <v>44872</v>
      </c>
    </row>
    <row r="8" spans="2:11" x14ac:dyDescent="0.3">
      <c r="B8" s="6" t="s">
        <v>17</v>
      </c>
      <c r="C8" s="57"/>
      <c r="D8" s="22"/>
      <c r="E8" s="22"/>
      <c r="F8" s="22"/>
      <c r="G8" s="22"/>
      <c r="H8" s="12">
        <f t="shared" si="0"/>
        <v>44872</v>
      </c>
    </row>
    <row r="9" spans="2:11" ht="15.6" x14ac:dyDescent="0.3">
      <c r="B9" s="34" t="s">
        <v>0</v>
      </c>
      <c r="C9" s="57"/>
      <c r="D9" s="57"/>
      <c r="E9" s="60"/>
      <c r="F9" s="60"/>
      <c r="G9" s="60"/>
      <c r="H9" s="12">
        <f t="shared" si="0"/>
        <v>44872</v>
      </c>
    </row>
    <row r="10" spans="2:11" x14ac:dyDescent="0.3">
      <c r="B10" s="6" t="s">
        <v>25</v>
      </c>
      <c r="C10" s="57"/>
      <c r="D10" s="57"/>
      <c r="E10" s="22"/>
      <c r="F10" s="22"/>
      <c r="G10" s="22"/>
      <c r="H10" s="12">
        <f t="shared" si="0"/>
        <v>44872</v>
      </c>
    </row>
    <row r="11" spans="2:11" x14ac:dyDescent="0.3">
      <c r="B11" s="6" t="s">
        <v>15</v>
      </c>
      <c r="C11" s="22">
        <v>45000</v>
      </c>
      <c r="D11" s="57"/>
      <c r="E11" s="22"/>
      <c r="F11" s="22"/>
      <c r="G11" s="22"/>
      <c r="H11" s="12">
        <f t="shared" si="0"/>
        <v>44872</v>
      </c>
    </row>
    <row r="12" spans="2:11" x14ac:dyDescent="0.3">
      <c r="B12" s="6" t="s">
        <v>54</v>
      </c>
      <c r="C12" s="22">
        <v>54000</v>
      </c>
      <c r="D12" s="22">
        <v>162000</v>
      </c>
      <c r="E12" s="22"/>
      <c r="F12" s="22"/>
      <c r="G12" s="22"/>
      <c r="H12" s="67">
        <f t="shared" si="0"/>
        <v>44872</v>
      </c>
    </row>
    <row r="13" spans="2:11" x14ac:dyDescent="0.3">
      <c r="B13" s="6" t="s">
        <v>26</v>
      </c>
      <c r="C13" s="22">
        <v>190000</v>
      </c>
      <c r="D13" s="22"/>
      <c r="E13" s="22"/>
      <c r="F13" s="22"/>
      <c r="G13" s="22"/>
      <c r="H13" s="12">
        <f t="shared" si="0"/>
        <v>44872</v>
      </c>
    </row>
    <row r="14" spans="2:11" x14ac:dyDescent="0.3">
      <c r="B14" s="6" t="s">
        <v>22</v>
      </c>
      <c r="C14" s="22"/>
      <c r="D14" s="22"/>
      <c r="E14" s="22"/>
      <c r="F14" s="22"/>
      <c r="G14" s="22"/>
      <c r="H14" s="12">
        <f t="shared" si="0"/>
        <v>44872</v>
      </c>
      <c r="K14" s="4"/>
    </row>
    <row r="15" spans="2:11" x14ac:dyDescent="0.3">
      <c r="B15" s="6" t="s">
        <v>61</v>
      </c>
      <c r="C15" s="22"/>
      <c r="D15" s="22"/>
      <c r="E15" s="22"/>
      <c r="F15" s="22"/>
      <c r="G15" s="22"/>
      <c r="H15" s="67">
        <f t="shared" si="0"/>
        <v>44872</v>
      </c>
      <c r="K15" s="4"/>
    </row>
    <row r="16" spans="2:11" x14ac:dyDescent="0.3">
      <c r="B16" s="6" t="s">
        <v>19</v>
      </c>
      <c r="C16" s="22"/>
      <c r="D16" s="22">
        <v>162000</v>
      </c>
      <c r="E16" s="23">
        <v>324000</v>
      </c>
      <c r="F16" s="22"/>
      <c r="G16" s="22"/>
      <c r="H16" s="12">
        <f t="shared" si="0"/>
        <v>44872</v>
      </c>
    </row>
    <row r="17" spans="2:10" x14ac:dyDescent="0.3">
      <c r="B17" s="6" t="s">
        <v>14</v>
      </c>
      <c r="C17" s="22"/>
      <c r="D17" s="22">
        <v>158000</v>
      </c>
      <c r="E17" s="22"/>
      <c r="F17" s="23"/>
      <c r="G17" s="22"/>
      <c r="H17" s="12">
        <f t="shared" si="0"/>
        <v>44872</v>
      </c>
    </row>
    <row r="18" spans="2:10" x14ac:dyDescent="0.3">
      <c r="B18" s="6" t="s">
        <v>24</v>
      </c>
      <c r="C18" s="22"/>
      <c r="D18" s="22"/>
      <c r="E18" s="22"/>
      <c r="F18" s="49"/>
      <c r="G18" s="22"/>
      <c r="H18" s="67">
        <f t="shared" si="0"/>
        <v>44872</v>
      </c>
    </row>
    <row r="19" spans="2:10" x14ac:dyDescent="0.3">
      <c r="B19" s="6" t="s">
        <v>21</v>
      </c>
      <c r="C19" s="22"/>
      <c r="D19" s="22"/>
      <c r="E19" s="22"/>
      <c r="F19" s="22"/>
      <c r="G19" s="22"/>
      <c r="H19" s="12">
        <f t="shared" si="0"/>
        <v>44872</v>
      </c>
      <c r="J19" s="1" t="s">
        <v>66</v>
      </c>
    </row>
    <row r="20" spans="2:10" x14ac:dyDescent="0.3">
      <c r="B20" s="6" t="s">
        <v>65</v>
      </c>
      <c r="C20" s="22"/>
      <c r="D20" s="57"/>
      <c r="E20" s="22"/>
      <c r="F20" s="22"/>
      <c r="G20" s="22"/>
      <c r="H20" s="67">
        <f t="shared" si="0"/>
        <v>44872</v>
      </c>
    </row>
    <row r="21" spans="2:10" x14ac:dyDescent="0.3">
      <c r="B21" s="6" t="s">
        <v>67</v>
      </c>
      <c r="C21" s="22"/>
      <c r="D21" s="22"/>
      <c r="E21" s="22"/>
      <c r="F21" s="22"/>
      <c r="G21" s="22"/>
      <c r="H21" s="12">
        <f t="shared" si="0"/>
        <v>44872</v>
      </c>
    </row>
    <row r="22" spans="2:10" x14ac:dyDescent="0.3">
      <c r="B22" s="6" t="s">
        <v>18</v>
      </c>
      <c r="C22" s="22"/>
      <c r="D22" s="22"/>
      <c r="E22" s="62"/>
      <c r="F22" s="62"/>
      <c r="G22" s="62"/>
      <c r="H22" s="12">
        <f t="shared" si="0"/>
        <v>44872</v>
      </c>
    </row>
    <row r="23" spans="2:10" x14ac:dyDescent="0.3">
      <c r="B23" s="6" t="s">
        <v>16</v>
      </c>
      <c r="C23" s="121"/>
      <c r="D23" s="22"/>
      <c r="E23" s="62"/>
      <c r="F23" s="62"/>
      <c r="G23" s="22"/>
      <c r="H23" s="12">
        <f t="shared" si="0"/>
        <v>44872</v>
      </c>
    </row>
    <row r="24" spans="2:10" x14ac:dyDescent="0.3">
      <c r="B24" s="50" t="s">
        <v>27</v>
      </c>
      <c r="C24" s="51">
        <f>SUM(Nov07_2022[KSI_AGO])</f>
        <v>289000</v>
      </c>
      <c r="D24" s="51">
        <f>SUBTOTAL(109,Nov07_2022[KSI_PMS])</f>
        <v>482000</v>
      </c>
      <c r="E24" s="51">
        <f>SUM(Nov07_2022[BUIPE_AGO])</f>
        <v>324000</v>
      </c>
      <c r="F24" s="51">
        <f>SUM(Nov07_2022[BUIPE_PMS])</f>
        <v>0</v>
      </c>
      <c r="G24" s="51">
        <f>SUM(Nov07_2022[AKOSOMBO_AGO])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E5DAF522-40A5-450F-B962-3B1501813027}">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C8E70-9EB0-4B68-B01F-C2D4C9807127}">
  <dimension ref="B1:K25"/>
  <sheetViews>
    <sheetView zoomScale="115" zoomScaleNormal="85" workbookViewId="0">
      <pane xSplit="2" ySplit="5" topLeftCell="F6" activePane="bottomRight" state="frozen"/>
      <selection pane="topRight" activeCell="C1" sqref="C1"/>
      <selection pane="bottomLeft" activeCell="A6" sqref="A6"/>
      <selection pane="bottomRight" activeCell="D16" sqref="D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44873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44873</v>
      </c>
    </row>
    <row r="7" spans="2:11" ht="16.5" customHeight="1" x14ac:dyDescent="0.3">
      <c r="B7" s="6" t="s">
        <v>37</v>
      </c>
      <c r="C7" s="57"/>
      <c r="D7" s="22"/>
      <c r="E7" s="62"/>
      <c r="F7" s="62"/>
      <c r="G7" s="62"/>
      <c r="H7" s="67">
        <f t="shared" si="0"/>
        <v>44873</v>
      </c>
    </row>
    <row r="8" spans="2:11" x14ac:dyDescent="0.3">
      <c r="B8" s="6" t="s">
        <v>17</v>
      </c>
      <c r="C8" s="57"/>
      <c r="D8" s="22"/>
      <c r="E8" s="22"/>
      <c r="F8" s="22"/>
      <c r="G8" s="22"/>
      <c r="H8" s="12">
        <f t="shared" si="0"/>
        <v>44873</v>
      </c>
    </row>
    <row r="9" spans="2:11" ht="15.6" x14ac:dyDescent="0.3">
      <c r="B9" s="34" t="s">
        <v>0</v>
      </c>
      <c r="C9" s="57"/>
      <c r="D9" s="57"/>
      <c r="E9" s="60"/>
      <c r="F9" s="60"/>
      <c r="G9" s="60"/>
      <c r="H9" s="12">
        <f t="shared" si="0"/>
        <v>44873</v>
      </c>
    </row>
    <row r="10" spans="2:11" x14ac:dyDescent="0.3">
      <c r="B10" s="6" t="s">
        <v>25</v>
      </c>
      <c r="C10" s="57"/>
      <c r="D10" s="57"/>
      <c r="E10" s="22"/>
      <c r="F10" s="22"/>
      <c r="G10" s="22"/>
      <c r="H10" s="12">
        <f t="shared" si="0"/>
        <v>44873</v>
      </c>
    </row>
    <row r="11" spans="2:11" x14ac:dyDescent="0.3">
      <c r="B11" s="6" t="s">
        <v>15</v>
      </c>
      <c r="C11" s="22"/>
      <c r="D11" s="57">
        <v>648000</v>
      </c>
      <c r="E11" s="22"/>
      <c r="F11" s="22"/>
      <c r="G11" s="22"/>
      <c r="H11" s="12">
        <f t="shared" si="0"/>
        <v>44873</v>
      </c>
    </row>
    <row r="12" spans="2:11" x14ac:dyDescent="0.3">
      <c r="B12" s="6" t="s">
        <v>54</v>
      </c>
      <c r="C12" s="22"/>
      <c r="D12" s="22"/>
      <c r="E12" s="22"/>
      <c r="F12" s="22"/>
      <c r="G12" s="22"/>
      <c r="H12" s="67">
        <f t="shared" si="0"/>
        <v>44873</v>
      </c>
    </row>
    <row r="13" spans="2:11" x14ac:dyDescent="0.3">
      <c r="B13" s="6" t="s">
        <v>26</v>
      </c>
      <c r="C13" s="22"/>
      <c r="D13" s="22"/>
      <c r="E13" s="22"/>
      <c r="F13" s="22"/>
      <c r="G13" s="22"/>
      <c r="H13" s="12">
        <f t="shared" si="0"/>
        <v>44873</v>
      </c>
    </row>
    <row r="14" spans="2:11" x14ac:dyDescent="0.3">
      <c r="B14" s="6" t="s">
        <v>22</v>
      </c>
      <c r="C14" s="22"/>
      <c r="D14" s="22"/>
      <c r="E14" s="22"/>
      <c r="F14" s="22"/>
      <c r="G14" s="22"/>
      <c r="H14" s="12">
        <f t="shared" si="0"/>
        <v>44873</v>
      </c>
      <c r="K14" s="4"/>
    </row>
    <row r="15" spans="2:11" x14ac:dyDescent="0.3">
      <c r="B15" s="6" t="s">
        <v>61</v>
      </c>
      <c r="C15" s="22"/>
      <c r="D15" s="22"/>
      <c r="E15" s="22"/>
      <c r="F15" s="22"/>
      <c r="G15" s="22"/>
      <c r="H15" s="67">
        <f t="shared" si="0"/>
        <v>44873</v>
      </c>
      <c r="K15" s="4"/>
    </row>
    <row r="16" spans="2:11" x14ac:dyDescent="0.3">
      <c r="B16" s="6" t="s">
        <v>19</v>
      </c>
      <c r="C16" s="22"/>
      <c r="D16" s="22">
        <v>693000</v>
      </c>
      <c r="E16" s="23"/>
      <c r="F16" s="22"/>
      <c r="G16" s="22"/>
      <c r="H16" s="12">
        <f t="shared" si="0"/>
        <v>44873</v>
      </c>
    </row>
    <row r="17" spans="2:10" x14ac:dyDescent="0.3">
      <c r="B17" s="6" t="s">
        <v>14</v>
      </c>
      <c r="C17" s="22"/>
      <c r="D17" s="22"/>
      <c r="E17" s="22"/>
      <c r="F17" s="23"/>
      <c r="G17" s="22"/>
      <c r="H17" s="12">
        <f t="shared" si="0"/>
        <v>44873</v>
      </c>
    </row>
    <row r="18" spans="2:10" x14ac:dyDescent="0.3">
      <c r="B18" s="6" t="s">
        <v>24</v>
      </c>
      <c r="C18" s="22"/>
      <c r="D18" s="22"/>
      <c r="E18" s="22"/>
      <c r="F18" s="49"/>
      <c r="G18" s="22"/>
      <c r="H18" s="67">
        <f t="shared" si="0"/>
        <v>44873</v>
      </c>
    </row>
    <row r="19" spans="2:10" x14ac:dyDescent="0.3">
      <c r="B19" s="6" t="s">
        <v>21</v>
      </c>
      <c r="C19" s="22"/>
      <c r="D19" s="22"/>
      <c r="E19" s="22"/>
      <c r="F19" s="22"/>
      <c r="G19" s="22"/>
      <c r="H19" s="12">
        <f t="shared" si="0"/>
        <v>44873</v>
      </c>
      <c r="J19" s="1" t="s">
        <v>66</v>
      </c>
    </row>
    <row r="20" spans="2:10" x14ac:dyDescent="0.3">
      <c r="B20" s="6" t="s">
        <v>65</v>
      </c>
      <c r="C20" s="22"/>
      <c r="D20" s="57"/>
      <c r="E20" s="22"/>
      <c r="F20" s="22"/>
      <c r="G20" s="22"/>
      <c r="H20" s="67">
        <f t="shared" si="0"/>
        <v>44873</v>
      </c>
    </row>
    <row r="21" spans="2:10" x14ac:dyDescent="0.3">
      <c r="B21" s="6" t="s">
        <v>67</v>
      </c>
      <c r="C21" s="22"/>
      <c r="D21" s="22"/>
      <c r="E21" s="22"/>
      <c r="F21" s="22"/>
      <c r="G21" s="22"/>
      <c r="H21" s="12">
        <f t="shared" si="0"/>
        <v>44873</v>
      </c>
    </row>
    <row r="22" spans="2:10" x14ac:dyDescent="0.3">
      <c r="B22" s="6" t="s">
        <v>18</v>
      </c>
      <c r="C22" s="22"/>
      <c r="D22" s="22"/>
      <c r="E22" s="62"/>
      <c r="F22" s="62"/>
      <c r="G22" s="62"/>
      <c r="H22" s="12">
        <f t="shared" si="0"/>
        <v>44873</v>
      </c>
    </row>
    <row r="23" spans="2:10" x14ac:dyDescent="0.3">
      <c r="B23" s="6" t="s">
        <v>16</v>
      </c>
      <c r="C23" s="121"/>
      <c r="D23" s="22"/>
      <c r="E23" s="62"/>
      <c r="F23" s="62"/>
      <c r="G23" s="22"/>
      <c r="H23" s="12">
        <f t="shared" si="0"/>
        <v>44873</v>
      </c>
    </row>
    <row r="24" spans="2:10" x14ac:dyDescent="0.3">
      <c r="B24" s="50" t="s">
        <v>27</v>
      </c>
      <c r="C24" s="51">
        <f>SUM(Nov08_2022[KSI_AGO])</f>
        <v>0</v>
      </c>
      <c r="D24" s="51">
        <f>SUBTOTAL(109,Nov08_2022[KSI_PMS])</f>
        <v>1341000</v>
      </c>
      <c r="E24" s="51">
        <f>SUM(Nov08_2022[BUIPE_AGO])</f>
        <v>0</v>
      </c>
      <c r="F24" s="51">
        <f>SUM(Nov08_2022[BUIPE_PMS])</f>
        <v>0</v>
      </c>
      <c r="G24" s="51">
        <f>SUM(Nov08_2022[AKOSOMBO_AGO])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E3A35674-649B-45AF-8B09-41A569D2388C}">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E22E-B643-47C7-8FDC-7D4442A40B25}">
  <dimension ref="B1:K25"/>
  <sheetViews>
    <sheetView zoomScale="115" zoomScaleNormal="85" workbookViewId="0">
      <pane xSplit="2" ySplit="5" topLeftCell="F6" activePane="bottomRight" state="frozen"/>
      <selection pane="topRight" activeCell="C1" sqref="C1"/>
      <selection pane="bottomLeft" activeCell="A6" sqref="A6"/>
      <selection pane="bottomRight" activeCell="E18" sqref="E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44874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44874</v>
      </c>
    </row>
    <row r="7" spans="2:11" ht="16.5" customHeight="1" x14ac:dyDescent="0.3">
      <c r="B7" s="6" t="s">
        <v>37</v>
      </c>
      <c r="C7" s="57"/>
      <c r="D7" s="22"/>
      <c r="E7" s="62"/>
      <c r="F7" s="62"/>
      <c r="G7" s="62"/>
      <c r="H7" s="67">
        <f t="shared" si="0"/>
        <v>44874</v>
      </c>
    </row>
    <row r="8" spans="2:11" x14ac:dyDescent="0.3">
      <c r="B8" s="6" t="s">
        <v>17</v>
      </c>
      <c r="C8" s="57"/>
      <c r="D8" s="22"/>
      <c r="E8" s="22"/>
      <c r="F8" s="22"/>
      <c r="G8" s="22"/>
      <c r="H8" s="12">
        <f t="shared" si="0"/>
        <v>44874</v>
      </c>
    </row>
    <row r="9" spans="2:11" ht="15.6" x14ac:dyDescent="0.3">
      <c r="B9" s="34" t="s">
        <v>0</v>
      </c>
      <c r="C9" s="57"/>
      <c r="D9" s="57"/>
      <c r="E9" s="60"/>
      <c r="F9" s="60"/>
      <c r="G9" s="60"/>
      <c r="H9" s="12">
        <f t="shared" si="0"/>
        <v>44874</v>
      </c>
    </row>
    <row r="10" spans="2:11" x14ac:dyDescent="0.3">
      <c r="B10" s="6" t="s">
        <v>25</v>
      </c>
      <c r="C10" s="57"/>
      <c r="D10" s="22">
        <v>967500</v>
      </c>
      <c r="E10" s="22"/>
      <c r="F10" s="22"/>
      <c r="G10" s="22"/>
      <c r="H10" s="12">
        <f t="shared" si="0"/>
        <v>44874</v>
      </c>
    </row>
    <row r="11" spans="2:11" x14ac:dyDescent="0.3">
      <c r="B11" s="6" t="s">
        <v>15</v>
      </c>
      <c r="C11" s="22"/>
      <c r="D11" s="22">
        <v>162000</v>
      </c>
      <c r="E11" s="22"/>
      <c r="F11" s="22"/>
      <c r="G11" s="22"/>
      <c r="H11" s="12">
        <f t="shared" si="0"/>
        <v>44874</v>
      </c>
    </row>
    <row r="12" spans="2:11" x14ac:dyDescent="0.3">
      <c r="B12" s="6" t="s">
        <v>54</v>
      </c>
      <c r="C12" s="22"/>
      <c r="D12" s="22"/>
      <c r="E12" s="22"/>
      <c r="F12" s="22"/>
      <c r="G12" s="22"/>
      <c r="H12" s="67">
        <f t="shared" si="0"/>
        <v>44874</v>
      </c>
    </row>
    <row r="13" spans="2:11" x14ac:dyDescent="0.3">
      <c r="B13" s="6" t="s">
        <v>26</v>
      </c>
      <c r="C13" s="22"/>
      <c r="D13" s="22"/>
      <c r="E13" s="22"/>
      <c r="F13" s="22"/>
      <c r="G13" s="22"/>
      <c r="H13" s="12">
        <f t="shared" si="0"/>
        <v>44874</v>
      </c>
    </row>
    <row r="14" spans="2:11" x14ac:dyDescent="0.3">
      <c r="B14" s="6" t="s">
        <v>22</v>
      </c>
      <c r="C14" s="22"/>
      <c r="D14" s="22"/>
      <c r="E14" s="22"/>
      <c r="F14" s="22"/>
      <c r="G14" s="22"/>
      <c r="H14" s="12">
        <f t="shared" si="0"/>
        <v>44874</v>
      </c>
      <c r="K14" s="4"/>
    </row>
    <row r="15" spans="2:11" x14ac:dyDescent="0.3">
      <c r="B15" s="6" t="s">
        <v>61</v>
      </c>
      <c r="C15" s="22"/>
      <c r="D15" s="22"/>
      <c r="E15" s="22"/>
      <c r="F15" s="22"/>
      <c r="G15" s="22"/>
      <c r="H15" s="67">
        <f t="shared" si="0"/>
        <v>44874</v>
      </c>
      <c r="K15" s="4"/>
    </row>
    <row r="16" spans="2:11" x14ac:dyDescent="0.3">
      <c r="B16" s="6" t="s">
        <v>19</v>
      </c>
      <c r="C16" s="22"/>
      <c r="D16" s="22"/>
      <c r="E16" s="23"/>
      <c r="F16" s="22"/>
      <c r="G16" s="22"/>
      <c r="H16" s="12">
        <f t="shared" si="0"/>
        <v>44874</v>
      </c>
    </row>
    <row r="17" spans="2:10" x14ac:dyDescent="0.3">
      <c r="B17" s="6" t="s">
        <v>14</v>
      </c>
      <c r="C17" s="22"/>
      <c r="D17" s="22"/>
      <c r="E17" s="22"/>
      <c r="F17" s="23"/>
      <c r="G17" s="22"/>
      <c r="H17" s="12">
        <f t="shared" si="0"/>
        <v>44874</v>
      </c>
    </row>
    <row r="18" spans="2:10" x14ac:dyDescent="0.3">
      <c r="B18" s="6" t="s">
        <v>24</v>
      </c>
      <c r="C18" s="22"/>
      <c r="D18" s="22"/>
      <c r="E18" s="22"/>
      <c r="F18" s="49"/>
      <c r="G18" s="22"/>
      <c r="H18" s="67">
        <f t="shared" si="0"/>
        <v>44874</v>
      </c>
    </row>
    <row r="19" spans="2:10" x14ac:dyDescent="0.3">
      <c r="B19" s="6" t="s">
        <v>21</v>
      </c>
      <c r="C19" s="22"/>
      <c r="D19" s="22"/>
      <c r="E19" s="22"/>
      <c r="F19" s="22"/>
      <c r="G19" s="22"/>
      <c r="H19" s="12">
        <f t="shared" si="0"/>
        <v>44874</v>
      </c>
      <c r="J19" s="1" t="s">
        <v>66</v>
      </c>
    </row>
    <row r="20" spans="2:10" x14ac:dyDescent="0.3">
      <c r="B20" s="6" t="s">
        <v>65</v>
      </c>
      <c r="C20" s="22"/>
      <c r="D20" s="57"/>
      <c r="E20" s="22"/>
      <c r="F20" s="22"/>
      <c r="G20" s="22"/>
      <c r="H20" s="67">
        <f t="shared" si="0"/>
        <v>44874</v>
      </c>
    </row>
    <row r="21" spans="2:10" x14ac:dyDescent="0.3">
      <c r="B21" s="6" t="s">
        <v>67</v>
      </c>
      <c r="C21" s="22"/>
      <c r="D21" s="22"/>
      <c r="E21" s="22"/>
      <c r="F21" s="22"/>
      <c r="G21" s="22"/>
      <c r="H21" s="12">
        <f t="shared" si="0"/>
        <v>44874</v>
      </c>
    </row>
    <row r="22" spans="2:10" x14ac:dyDescent="0.3">
      <c r="B22" s="6" t="s">
        <v>18</v>
      </c>
      <c r="C22" s="22"/>
      <c r="D22" s="22"/>
      <c r="E22" s="62"/>
      <c r="F22" s="62"/>
      <c r="G22" s="62"/>
      <c r="H22" s="12">
        <f t="shared" si="0"/>
        <v>44874</v>
      </c>
    </row>
    <row r="23" spans="2:10" x14ac:dyDescent="0.3">
      <c r="B23" s="6" t="s">
        <v>16</v>
      </c>
      <c r="C23" s="121"/>
      <c r="D23" s="22"/>
      <c r="E23" s="62"/>
      <c r="F23" s="62"/>
      <c r="G23" s="22"/>
      <c r="H23" s="12">
        <f t="shared" si="0"/>
        <v>44874</v>
      </c>
    </row>
    <row r="24" spans="2:10" x14ac:dyDescent="0.3">
      <c r="B24" s="50" t="s">
        <v>27</v>
      </c>
      <c r="C24" s="51">
        <f>SUM(Nov09_2022[KSI_AGO])</f>
        <v>0</v>
      </c>
      <c r="D24" s="51">
        <f>SUBTOTAL(109,Nov09_2022[KSI_PMS])</f>
        <v>1129500</v>
      </c>
      <c r="E24" s="51">
        <f>SUM(Nov09_2022[BUIPE_AGO])</f>
        <v>0</v>
      </c>
      <c r="F24" s="51">
        <f>SUM(Nov09_2022[BUIPE_PMS])</f>
        <v>0</v>
      </c>
      <c r="G24" s="51">
        <f>SUM(Nov09_2022[AKOSOMBO_AGO])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53C52134-27F7-4077-B322-83F3C7D07069}">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70D04-8F98-44CF-A933-75373D45C119}">
  <dimension ref="B1:K25"/>
  <sheetViews>
    <sheetView zoomScale="115" zoomScaleNormal="85" workbookViewId="0">
      <pane xSplit="2" ySplit="5" topLeftCell="G6" activePane="bottomRight" state="frozen"/>
      <selection pane="topRight" activeCell="C1" sqref="C1"/>
      <selection pane="bottomLeft" activeCell="A6" sqref="A6"/>
      <selection pane="bottomRight" activeCell="D14" sqref="D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44875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44875</v>
      </c>
    </row>
    <row r="7" spans="2:11" ht="16.5" customHeight="1" x14ac:dyDescent="0.3">
      <c r="B7" s="6" t="s">
        <v>37</v>
      </c>
      <c r="C7" s="57"/>
      <c r="D7" s="22"/>
      <c r="E7" s="62"/>
      <c r="F7" s="62"/>
      <c r="G7" s="62"/>
      <c r="H7" s="67">
        <f t="shared" si="0"/>
        <v>44875</v>
      </c>
    </row>
    <row r="8" spans="2:11" x14ac:dyDescent="0.3">
      <c r="B8" s="6" t="s">
        <v>17</v>
      </c>
      <c r="C8" s="57"/>
      <c r="D8" s="22"/>
      <c r="E8" s="22"/>
      <c r="F8" s="22"/>
      <c r="G8" s="22"/>
      <c r="H8" s="12">
        <f t="shared" si="0"/>
        <v>44875</v>
      </c>
    </row>
    <row r="9" spans="2:11" ht="15.6" x14ac:dyDescent="0.3">
      <c r="B9" s="34" t="s">
        <v>0</v>
      </c>
      <c r="C9" s="57"/>
      <c r="D9" s="57"/>
      <c r="E9" s="60"/>
      <c r="F9" s="60"/>
      <c r="G9" s="60"/>
      <c r="H9" s="12">
        <f t="shared" si="0"/>
        <v>44875</v>
      </c>
    </row>
    <row r="10" spans="2:11" x14ac:dyDescent="0.3">
      <c r="B10" s="6" t="s">
        <v>25</v>
      </c>
      <c r="C10" s="57"/>
      <c r="D10" s="22">
        <v>756000</v>
      </c>
      <c r="E10" s="22"/>
      <c r="F10" s="22"/>
      <c r="G10" s="22"/>
      <c r="H10" s="12">
        <f t="shared" si="0"/>
        <v>44875</v>
      </c>
    </row>
    <row r="11" spans="2:11" x14ac:dyDescent="0.3">
      <c r="B11" s="6" t="s">
        <v>15</v>
      </c>
      <c r="C11" s="22"/>
      <c r="D11" s="22">
        <v>54000</v>
      </c>
      <c r="E11" s="22"/>
      <c r="F11" s="22"/>
      <c r="G11" s="22"/>
      <c r="H11" s="12">
        <f t="shared" si="0"/>
        <v>44875</v>
      </c>
    </row>
    <row r="12" spans="2:11" x14ac:dyDescent="0.3">
      <c r="B12" s="6" t="s">
        <v>54</v>
      </c>
      <c r="C12" s="22"/>
      <c r="D12" s="22"/>
      <c r="E12" s="22"/>
      <c r="F12" s="22"/>
      <c r="G12" s="22"/>
      <c r="H12" s="67">
        <f t="shared" si="0"/>
        <v>44875</v>
      </c>
    </row>
    <row r="13" spans="2:11" x14ac:dyDescent="0.3">
      <c r="B13" s="6" t="s">
        <v>26</v>
      </c>
      <c r="C13" s="22"/>
      <c r="D13" s="22"/>
      <c r="E13" s="22"/>
      <c r="F13" s="22"/>
      <c r="G13" s="22"/>
      <c r="H13" s="12">
        <f t="shared" si="0"/>
        <v>44875</v>
      </c>
    </row>
    <row r="14" spans="2:11" x14ac:dyDescent="0.3">
      <c r="B14" s="6" t="s">
        <v>22</v>
      </c>
      <c r="C14" s="22"/>
      <c r="D14" s="22"/>
      <c r="E14" s="22"/>
      <c r="F14" s="22"/>
      <c r="G14" s="22"/>
      <c r="H14" s="12">
        <f t="shared" si="0"/>
        <v>44875</v>
      </c>
      <c r="K14" s="4"/>
    </row>
    <row r="15" spans="2:11" x14ac:dyDescent="0.3">
      <c r="B15" s="6" t="s">
        <v>61</v>
      </c>
      <c r="C15" s="22"/>
      <c r="D15" s="22"/>
      <c r="E15" s="22"/>
      <c r="F15" s="22"/>
      <c r="G15" s="22"/>
      <c r="H15" s="67">
        <f t="shared" si="0"/>
        <v>44875</v>
      </c>
      <c r="K15" s="4"/>
    </row>
    <row r="16" spans="2:11" x14ac:dyDescent="0.3">
      <c r="B16" s="6" t="s">
        <v>19</v>
      </c>
      <c r="C16" s="22">
        <v>540000</v>
      </c>
      <c r="D16" s="22"/>
      <c r="E16" s="23"/>
      <c r="F16" s="22"/>
      <c r="G16" s="22"/>
      <c r="H16" s="12">
        <f t="shared" si="0"/>
        <v>44875</v>
      </c>
    </row>
    <row r="17" spans="2:10" x14ac:dyDescent="0.3">
      <c r="B17" s="6" t="s">
        <v>14</v>
      </c>
      <c r="C17" s="22"/>
      <c r="D17" s="22"/>
      <c r="E17" s="22"/>
      <c r="F17" s="23"/>
      <c r="G17" s="22"/>
      <c r="H17" s="12">
        <f t="shared" si="0"/>
        <v>44875</v>
      </c>
    </row>
    <row r="18" spans="2:10" x14ac:dyDescent="0.3">
      <c r="B18" s="6" t="s">
        <v>24</v>
      </c>
      <c r="C18" s="22"/>
      <c r="D18" s="22"/>
      <c r="E18" s="22"/>
      <c r="F18" s="49"/>
      <c r="G18" s="22"/>
      <c r="H18" s="67">
        <f t="shared" si="0"/>
        <v>44875</v>
      </c>
    </row>
    <row r="19" spans="2:10" x14ac:dyDescent="0.3">
      <c r="B19" s="6" t="s">
        <v>21</v>
      </c>
      <c r="C19" s="22"/>
      <c r="D19" s="22"/>
      <c r="E19" s="22"/>
      <c r="F19" s="22"/>
      <c r="G19" s="22"/>
      <c r="H19" s="12">
        <f t="shared" si="0"/>
        <v>44875</v>
      </c>
      <c r="J19" s="1" t="s">
        <v>66</v>
      </c>
    </row>
    <row r="20" spans="2:10" x14ac:dyDescent="0.3">
      <c r="B20" s="6" t="s">
        <v>65</v>
      </c>
      <c r="C20" s="22"/>
      <c r="D20" s="57"/>
      <c r="E20" s="22"/>
      <c r="F20" s="22"/>
      <c r="G20" s="22"/>
      <c r="H20" s="67">
        <f t="shared" si="0"/>
        <v>44875</v>
      </c>
    </row>
    <row r="21" spans="2:10" x14ac:dyDescent="0.3">
      <c r="B21" s="6" t="s">
        <v>67</v>
      </c>
      <c r="C21" s="22"/>
      <c r="D21" s="22"/>
      <c r="E21" s="22"/>
      <c r="F21" s="22"/>
      <c r="G21" s="22"/>
      <c r="H21" s="12">
        <f t="shared" si="0"/>
        <v>44875</v>
      </c>
    </row>
    <row r="22" spans="2:10" x14ac:dyDescent="0.3">
      <c r="B22" s="6" t="s">
        <v>18</v>
      </c>
      <c r="C22" s="22"/>
      <c r="D22" s="22">
        <v>90000</v>
      </c>
      <c r="E22" s="62"/>
      <c r="F22" s="62"/>
      <c r="G22" s="62"/>
      <c r="H22" s="12">
        <f t="shared" si="0"/>
        <v>44875</v>
      </c>
    </row>
    <row r="23" spans="2:10" x14ac:dyDescent="0.3">
      <c r="B23" s="6" t="s">
        <v>16</v>
      </c>
      <c r="C23" s="121"/>
      <c r="D23" s="22"/>
      <c r="E23" s="62"/>
      <c r="F23" s="62"/>
      <c r="G23" s="22"/>
      <c r="H23" s="12">
        <f t="shared" si="0"/>
        <v>44875</v>
      </c>
    </row>
    <row r="24" spans="2:10" x14ac:dyDescent="0.3">
      <c r="B24" s="50" t="s">
        <v>27</v>
      </c>
      <c r="C24" s="51">
        <f>SUM(Nov10_2022[KSI_AGO])</f>
        <v>540000</v>
      </c>
      <c r="D24" s="51">
        <f>SUBTOTAL(109,Nov10_2022[KSI_PMS])</f>
        <v>900000</v>
      </c>
      <c r="E24" s="51">
        <f>SUM(Nov10_2022[BUIPE_AGO])</f>
        <v>0</v>
      </c>
      <c r="F24" s="51">
        <f>SUM(Nov10_2022[BUIPE_PMS])</f>
        <v>0</v>
      </c>
      <c r="G24" s="51">
        <f>SUM(Nov10_2022[AKOSOMBO_AGO])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CAF40B62-74A5-4020-AE0A-AFB185F5D30B}">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B34F-71B1-436D-840A-C7BDE9A9738A}">
  <dimension ref="B1:K25"/>
  <sheetViews>
    <sheetView zoomScale="115" zoomScaleNormal="85" workbookViewId="0">
      <pane xSplit="2" ySplit="5" topLeftCell="G6" activePane="bottomRight" state="frozen"/>
      <selection pane="topRight" activeCell="C1" sqref="C1"/>
      <selection pane="bottomLeft" activeCell="A6" sqref="A6"/>
      <selection pane="bottomRight"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44876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44876</v>
      </c>
    </row>
    <row r="7" spans="2:11" ht="16.5" customHeight="1" x14ac:dyDescent="0.3">
      <c r="B7" s="6" t="s">
        <v>37</v>
      </c>
      <c r="C7" s="57"/>
      <c r="D7" s="22"/>
      <c r="E7" s="62"/>
      <c r="F7" s="62"/>
      <c r="G7" s="62"/>
      <c r="H7" s="67">
        <f t="shared" si="0"/>
        <v>44876</v>
      </c>
    </row>
    <row r="8" spans="2:11" x14ac:dyDescent="0.3">
      <c r="B8" s="6" t="s">
        <v>17</v>
      </c>
      <c r="C8" s="57"/>
      <c r="D8" s="22"/>
      <c r="E8" s="22"/>
      <c r="F8" s="22"/>
      <c r="G8" s="22"/>
      <c r="H8" s="12">
        <f t="shared" si="0"/>
        <v>44876</v>
      </c>
    </row>
    <row r="9" spans="2:11" ht="15.6" x14ac:dyDescent="0.3">
      <c r="B9" s="34" t="s">
        <v>0</v>
      </c>
      <c r="C9" s="57"/>
      <c r="D9" s="57">
        <v>972000</v>
      </c>
      <c r="E9" s="60"/>
      <c r="F9" s="60"/>
      <c r="G9" s="60"/>
      <c r="H9" s="12">
        <f t="shared" si="0"/>
        <v>44876</v>
      </c>
    </row>
    <row r="10" spans="2:11" x14ac:dyDescent="0.3">
      <c r="B10" s="6" t="s">
        <v>25</v>
      </c>
      <c r="C10" s="57"/>
      <c r="D10" s="22">
        <v>370000</v>
      </c>
      <c r="E10" s="22"/>
      <c r="F10" s="22"/>
      <c r="G10" s="22"/>
      <c r="H10" s="12">
        <f t="shared" si="0"/>
        <v>44876</v>
      </c>
    </row>
    <row r="11" spans="2:11" x14ac:dyDescent="0.3">
      <c r="B11" s="6" t="s">
        <v>15</v>
      </c>
      <c r="C11" s="22"/>
      <c r="D11" s="22"/>
      <c r="E11" s="22"/>
      <c r="F11" s="22"/>
      <c r="G11" s="22"/>
      <c r="H11" s="12">
        <f t="shared" si="0"/>
        <v>44876</v>
      </c>
    </row>
    <row r="12" spans="2:11" x14ac:dyDescent="0.3">
      <c r="B12" s="6" t="s">
        <v>54</v>
      </c>
      <c r="C12" s="22"/>
      <c r="D12" s="22"/>
      <c r="E12" s="22"/>
      <c r="F12" s="22"/>
      <c r="G12" s="22"/>
      <c r="H12" s="67">
        <f t="shared" si="0"/>
        <v>44876</v>
      </c>
    </row>
    <row r="13" spans="2:11" x14ac:dyDescent="0.3">
      <c r="B13" s="6" t="s">
        <v>26</v>
      </c>
      <c r="C13" s="22"/>
      <c r="D13" s="22"/>
      <c r="E13" s="22"/>
      <c r="F13" s="22"/>
      <c r="G13" s="22"/>
      <c r="H13" s="12">
        <f t="shared" si="0"/>
        <v>44876</v>
      </c>
    </row>
    <row r="14" spans="2:11" x14ac:dyDescent="0.3">
      <c r="B14" s="6" t="s">
        <v>22</v>
      </c>
      <c r="C14" s="22"/>
      <c r="D14" s="22"/>
      <c r="E14" s="22"/>
      <c r="F14" s="22"/>
      <c r="G14" s="22"/>
      <c r="H14" s="12">
        <f t="shared" si="0"/>
        <v>44876</v>
      </c>
      <c r="K14" s="4"/>
    </row>
    <row r="15" spans="2:11" x14ac:dyDescent="0.3">
      <c r="B15" s="6" t="s">
        <v>61</v>
      </c>
      <c r="C15" s="22"/>
      <c r="D15" s="22"/>
      <c r="E15" s="22"/>
      <c r="F15" s="22"/>
      <c r="G15" s="22"/>
      <c r="H15" s="67">
        <f t="shared" si="0"/>
        <v>44876</v>
      </c>
      <c r="K15" s="4"/>
    </row>
    <row r="16" spans="2:11" x14ac:dyDescent="0.3">
      <c r="B16" s="6" t="s">
        <v>19</v>
      </c>
      <c r="C16" s="22">
        <v>1562000</v>
      </c>
      <c r="D16" s="22"/>
      <c r="E16" s="23">
        <v>540000</v>
      </c>
      <c r="F16" s="22"/>
      <c r="G16" s="22"/>
      <c r="H16" s="12">
        <f t="shared" si="0"/>
        <v>44876</v>
      </c>
    </row>
    <row r="17" spans="2:10" x14ac:dyDescent="0.3">
      <c r="B17" s="6" t="s">
        <v>14</v>
      </c>
      <c r="C17" s="22"/>
      <c r="D17" s="22"/>
      <c r="E17" s="22"/>
      <c r="F17" s="23"/>
      <c r="G17" s="22"/>
      <c r="H17" s="12">
        <f t="shared" si="0"/>
        <v>44876</v>
      </c>
    </row>
    <row r="18" spans="2:10" x14ac:dyDescent="0.3">
      <c r="B18" s="6" t="s">
        <v>24</v>
      </c>
      <c r="C18" s="22"/>
      <c r="D18" s="22"/>
      <c r="E18" s="22"/>
      <c r="F18" s="49"/>
      <c r="G18" s="22"/>
      <c r="H18" s="67">
        <f t="shared" si="0"/>
        <v>44876</v>
      </c>
    </row>
    <row r="19" spans="2:10" x14ac:dyDescent="0.3">
      <c r="B19" s="6" t="s">
        <v>21</v>
      </c>
      <c r="C19" s="22"/>
      <c r="D19" s="22"/>
      <c r="E19" s="22"/>
      <c r="F19" s="22"/>
      <c r="G19" s="22"/>
      <c r="H19" s="12">
        <f t="shared" si="0"/>
        <v>44876</v>
      </c>
      <c r="J19" s="1" t="s">
        <v>66</v>
      </c>
    </row>
    <row r="20" spans="2:10" x14ac:dyDescent="0.3">
      <c r="B20" s="6" t="s">
        <v>65</v>
      </c>
      <c r="C20" s="22"/>
      <c r="D20" s="57"/>
      <c r="E20" s="22"/>
      <c r="F20" s="22"/>
      <c r="G20" s="22"/>
      <c r="H20" s="67">
        <f t="shared" si="0"/>
        <v>44876</v>
      </c>
    </row>
    <row r="21" spans="2:10" x14ac:dyDescent="0.3">
      <c r="B21" s="6" t="s">
        <v>67</v>
      </c>
      <c r="C21" s="22"/>
      <c r="D21" s="22"/>
      <c r="E21" s="22"/>
      <c r="F21" s="22"/>
      <c r="G21" s="22"/>
      <c r="H21" s="12">
        <f t="shared" si="0"/>
        <v>44876</v>
      </c>
    </row>
    <row r="22" spans="2:10" x14ac:dyDescent="0.3">
      <c r="B22" s="6" t="s">
        <v>18</v>
      </c>
      <c r="C22" s="22"/>
      <c r="D22" s="22"/>
      <c r="E22" s="62"/>
      <c r="F22" s="62"/>
      <c r="G22" s="62"/>
      <c r="H22" s="12">
        <f t="shared" si="0"/>
        <v>44876</v>
      </c>
    </row>
    <row r="23" spans="2:10" x14ac:dyDescent="0.3">
      <c r="B23" s="6" t="s">
        <v>16</v>
      </c>
      <c r="C23" s="121"/>
      <c r="D23" s="22"/>
      <c r="E23" s="62"/>
      <c r="F23" s="62"/>
      <c r="G23" s="22"/>
      <c r="H23" s="12">
        <f t="shared" si="0"/>
        <v>44876</v>
      </c>
    </row>
    <row r="24" spans="2:10" x14ac:dyDescent="0.3">
      <c r="B24" s="50" t="s">
        <v>27</v>
      </c>
      <c r="C24" s="51">
        <f>SUM(Nov11_2022[KSI_AGO])</f>
        <v>1562000</v>
      </c>
      <c r="D24" s="51">
        <f>SUBTOTAL(109,Nov11_2022[KSI_PMS])</f>
        <v>1342000</v>
      </c>
      <c r="E24" s="51">
        <f>SUM(Nov11_2022[BUIPE_AGO])</f>
        <v>540000</v>
      </c>
      <c r="F24" s="51">
        <f>SUM(Nov11_2022[BUIPE_PMS])</f>
        <v>0</v>
      </c>
      <c r="G24" s="51">
        <f>SUM(Nov11_2022[AKOSOMBO_AGO])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B90FDC0C-8787-482C-ADB0-4371174BCDC7}">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1D16-630B-440F-BFE1-5AA5EEFBCE69}">
  <dimension ref="B1:K25"/>
  <sheetViews>
    <sheetView zoomScale="115" zoomScaleNormal="85" workbookViewId="0">
      <pane xSplit="2" ySplit="5" topLeftCell="G6" activePane="bottomRight" state="frozen"/>
      <selection pane="topRight" activeCell="C1" sqref="C1"/>
      <selection pane="bottomLeft" activeCell="A6" sqref="A6"/>
      <selection pane="bottomRight" activeCell="D18" sqref="D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44879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44879</v>
      </c>
    </row>
    <row r="7" spans="2:11" ht="16.5" customHeight="1" x14ac:dyDescent="0.3">
      <c r="B7" s="6" t="s">
        <v>37</v>
      </c>
      <c r="C7" s="57"/>
      <c r="D7" s="22"/>
      <c r="E7" s="62"/>
      <c r="F7" s="62"/>
      <c r="G7" s="62"/>
      <c r="H7" s="67">
        <f t="shared" si="0"/>
        <v>44879</v>
      </c>
    </row>
    <row r="8" spans="2:11" x14ac:dyDescent="0.3">
      <c r="B8" s="6" t="s">
        <v>17</v>
      </c>
      <c r="C8" s="57"/>
      <c r="D8" s="22"/>
      <c r="E8" s="22"/>
      <c r="F8" s="22"/>
      <c r="G8" s="22"/>
      <c r="H8" s="12">
        <f t="shared" si="0"/>
        <v>44879</v>
      </c>
    </row>
    <row r="9" spans="2:11" ht="15.6" x14ac:dyDescent="0.3">
      <c r="B9" s="34" t="s">
        <v>0</v>
      </c>
      <c r="C9" s="57"/>
      <c r="D9" s="57">
        <v>54000</v>
      </c>
      <c r="E9" s="60"/>
      <c r="F9" s="60"/>
      <c r="G9" s="60"/>
      <c r="H9" s="12">
        <f t="shared" si="0"/>
        <v>44879</v>
      </c>
    </row>
    <row r="10" spans="2:11" x14ac:dyDescent="0.3">
      <c r="B10" s="6" t="s">
        <v>25</v>
      </c>
      <c r="C10" s="57"/>
      <c r="D10" s="22">
        <v>851000</v>
      </c>
      <c r="E10" s="22"/>
      <c r="F10" s="22"/>
      <c r="G10" s="22"/>
      <c r="H10" s="12">
        <f t="shared" si="0"/>
        <v>44879</v>
      </c>
    </row>
    <row r="11" spans="2:11" x14ac:dyDescent="0.3">
      <c r="B11" s="6" t="s">
        <v>15</v>
      </c>
      <c r="C11" s="22"/>
      <c r="D11" s="22">
        <v>45000</v>
      </c>
      <c r="E11" s="22"/>
      <c r="F11" s="22"/>
      <c r="G11" s="22"/>
      <c r="H11" s="12">
        <f t="shared" si="0"/>
        <v>44879</v>
      </c>
    </row>
    <row r="12" spans="2:11" x14ac:dyDescent="0.3">
      <c r="B12" s="6" t="s">
        <v>54</v>
      </c>
      <c r="C12" s="22"/>
      <c r="D12" s="22"/>
      <c r="E12" s="22"/>
      <c r="F12" s="22"/>
      <c r="G12" s="22"/>
      <c r="H12" s="67">
        <f t="shared" si="0"/>
        <v>44879</v>
      </c>
    </row>
    <row r="13" spans="2:11" x14ac:dyDescent="0.3">
      <c r="B13" s="6" t="s">
        <v>26</v>
      </c>
      <c r="C13" s="22"/>
      <c r="D13" s="22"/>
      <c r="E13" s="22"/>
      <c r="F13" s="22"/>
      <c r="G13" s="22"/>
      <c r="H13" s="12">
        <f t="shared" si="0"/>
        <v>44879</v>
      </c>
    </row>
    <row r="14" spans="2:11" x14ac:dyDescent="0.3">
      <c r="B14" s="6" t="s">
        <v>22</v>
      </c>
      <c r="C14" s="22"/>
      <c r="D14" s="22"/>
      <c r="E14" s="22"/>
      <c r="F14" s="22"/>
      <c r="G14" s="22"/>
      <c r="H14" s="12">
        <f t="shared" si="0"/>
        <v>44879</v>
      </c>
      <c r="K14" s="4"/>
    </row>
    <row r="15" spans="2:11" x14ac:dyDescent="0.3">
      <c r="B15" s="6" t="s">
        <v>61</v>
      </c>
      <c r="C15" s="22"/>
      <c r="D15" s="22"/>
      <c r="E15" s="22"/>
      <c r="F15" s="22"/>
      <c r="G15" s="22"/>
      <c r="H15" s="67">
        <f t="shared" si="0"/>
        <v>44879</v>
      </c>
      <c r="K15" s="4"/>
    </row>
    <row r="16" spans="2:11" x14ac:dyDescent="0.3">
      <c r="B16" s="6" t="s">
        <v>19</v>
      </c>
      <c r="C16" s="22">
        <v>540000</v>
      </c>
      <c r="D16" s="22"/>
      <c r="E16" s="23">
        <v>486000</v>
      </c>
      <c r="F16" s="22"/>
      <c r="G16" s="22"/>
      <c r="H16" s="12">
        <f t="shared" si="0"/>
        <v>44879</v>
      </c>
    </row>
    <row r="17" spans="2:10" x14ac:dyDescent="0.3">
      <c r="B17" s="6" t="s">
        <v>14</v>
      </c>
      <c r="C17" s="22"/>
      <c r="D17" s="22"/>
      <c r="E17" s="22"/>
      <c r="F17" s="23"/>
      <c r="G17" s="22"/>
      <c r="H17" s="12">
        <f t="shared" si="0"/>
        <v>44879</v>
      </c>
    </row>
    <row r="18" spans="2:10" x14ac:dyDescent="0.3">
      <c r="B18" s="6" t="s">
        <v>24</v>
      </c>
      <c r="C18" s="22"/>
      <c r="D18" s="22"/>
      <c r="E18" s="22"/>
      <c r="F18" s="49"/>
      <c r="G18" s="22"/>
      <c r="H18" s="67">
        <f t="shared" si="0"/>
        <v>44879</v>
      </c>
    </row>
    <row r="19" spans="2:10" x14ac:dyDescent="0.3">
      <c r="B19" s="6" t="s">
        <v>21</v>
      </c>
      <c r="C19" s="22">
        <v>54000</v>
      </c>
      <c r="D19" s="22"/>
      <c r="E19" s="22"/>
      <c r="F19" s="22"/>
      <c r="G19" s="22"/>
      <c r="H19" s="12">
        <f t="shared" si="0"/>
        <v>44879</v>
      </c>
      <c r="J19" s="1" t="s">
        <v>66</v>
      </c>
    </row>
    <row r="20" spans="2:10" x14ac:dyDescent="0.3">
      <c r="B20" s="6" t="s">
        <v>65</v>
      </c>
      <c r="C20" s="22"/>
      <c r="D20" s="57"/>
      <c r="E20" s="22"/>
      <c r="F20" s="22"/>
      <c r="G20" s="22"/>
      <c r="H20" s="67">
        <f t="shared" si="0"/>
        <v>44879</v>
      </c>
    </row>
    <row r="21" spans="2:10" x14ac:dyDescent="0.3">
      <c r="B21" s="6" t="s">
        <v>67</v>
      </c>
      <c r="C21" s="22"/>
      <c r="D21" s="22"/>
      <c r="E21" s="22"/>
      <c r="F21" s="22"/>
      <c r="G21" s="22"/>
      <c r="H21" s="12">
        <f t="shared" si="0"/>
        <v>44879</v>
      </c>
    </row>
    <row r="22" spans="2:10" x14ac:dyDescent="0.3">
      <c r="B22" s="6" t="s">
        <v>18</v>
      </c>
      <c r="C22" s="22"/>
      <c r="D22" s="22"/>
      <c r="E22" s="62"/>
      <c r="F22" s="62"/>
      <c r="G22" s="62"/>
      <c r="H22" s="12">
        <f t="shared" si="0"/>
        <v>44879</v>
      </c>
    </row>
    <row r="23" spans="2:10" x14ac:dyDescent="0.3">
      <c r="B23" s="6" t="s">
        <v>16</v>
      </c>
      <c r="C23" s="121"/>
      <c r="D23" s="22"/>
      <c r="E23" s="62"/>
      <c r="F23" s="62"/>
      <c r="G23" s="22"/>
      <c r="H23" s="12">
        <f t="shared" si="0"/>
        <v>44879</v>
      </c>
    </row>
    <row r="24" spans="2:10" x14ac:dyDescent="0.3">
      <c r="B24" s="50" t="s">
        <v>27</v>
      </c>
      <c r="C24" s="51">
        <f>SUM(Nov14_2022[KSI_AGO])</f>
        <v>594000</v>
      </c>
      <c r="D24" s="51">
        <f>SUBTOTAL(109,Nov14_2022[KSI_PMS])</f>
        <v>950000</v>
      </c>
      <c r="E24" s="51">
        <f>SUM(Nov14_2022[BUIPE_AGO])</f>
        <v>486000</v>
      </c>
      <c r="F24" s="51">
        <f>SUM(Nov14_2022[BUIPE_PMS])</f>
        <v>0</v>
      </c>
      <c r="G24" s="51">
        <f>SUM(Nov14_2022[AKOSOMBO_AGO])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158A1639-58D1-48C3-A566-C922E9C4D6E6}">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BD1E2-7973-45AE-9021-86DD1C1D4781}">
  <sheetPr>
    <tabColor rgb="FFFFFF00"/>
  </sheetPr>
  <dimension ref="B1:K25"/>
  <sheetViews>
    <sheetView zoomScale="115" zoomScaleNormal="85" workbookViewId="0">
      <pane xSplit="2" ySplit="5" topLeftCell="C6" activePane="bottomRight" state="frozen"/>
      <selection pane="topRight" activeCell="C1" sqref="C1"/>
      <selection pane="bottomLeft" activeCell="A6" sqref="A6"/>
      <selection pane="bottomRight" activeCell="D10" sqref="D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44880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44880</v>
      </c>
    </row>
    <row r="7" spans="2:11" ht="16.5" customHeight="1" x14ac:dyDescent="0.3">
      <c r="B7" s="6" t="s">
        <v>37</v>
      </c>
      <c r="C7" s="57"/>
      <c r="D7" s="22"/>
      <c r="E7" s="62"/>
      <c r="F7" s="62"/>
      <c r="G7" s="62"/>
      <c r="H7" s="67">
        <f t="shared" si="0"/>
        <v>44880</v>
      </c>
    </row>
    <row r="8" spans="2:11" x14ac:dyDescent="0.3">
      <c r="B8" s="6" t="s">
        <v>17</v>
      </c>
      <c r="C8" s="57"/>
      <c r="D8" s="22"/>
      <c r="E8" s="22"/>
      <c r="F8" s="22"/>
      <c r="G8" s="22"/>
      <c r="H8" s="12">
        <f t="shared" si="0"/>
        <v>44880</v>
      </c>
    </row>
    <row r="9" spans="2:11" ht="15.6" x14ac:dyDescent="0.3">
      <c r="B9" s="34" t="s">
        <v>0</v>
      </c>
      <c r="C9" s="57">
        <v>1566000</v>
      </c>
      <c r="D9" s="57"/>
      <c r="E9" s="60"/>
      <c r="F9" s="60"/>
      <c r="G9" s="60"/>
      <c r="H9" s="12">
        <f t="shared" si="0"/>
        <v>44880</v>
      </c>
    </row>
    <row r="10" spans="2:11" x14ac:dyDescent="0.3">
      <c r="B10" s="6" t="s">
        <v>25</v>
      </c>
      <c r="C10" s="57"/>
      <c r="D10" s="116">
        <v>54000</v>
      </c>
      <c r="E10" s="22"/>
      <c r="F10" s="22"/>
      <c r="G10" s="22"/>
      <c r="H10" s="12">
        <f t="shared" si="0"/>
        <v>44880</v>
      </c>
    </row>
    <row r="11" spans="2:11" x14ac:dyDescent="0.3">
      <c r="B11" s="6" t="s">
        <v>15</v>
      </c>
      <c r="C11" s="22"/>
      <c r="D11" s="22"/>
      <c r="E11" s="22"/>
      <c r="F11" s="22"/>
      <c r="G11" s="22"/>
      <c r="H11" s="12">
        <f t="shared" si="0"/>
        <v>44880</v>
      </c>
    </row>
    <row r="12" spans="2:11" x14ac:dyDescent="0.3">
      <c r="B12" s="6" t="s">
        <v>54</v>
      </c>
      <c r="C12" s="22"/>
      <c r="D12" s="22"/>
      <c r="E12" s="22"/>
      <c r="F12" s="22"/>
      <c r="G12" s="22"/>
      <c r="H12" s="67">
        <f t="shared" si="0"/>
        <v>44880</v>
      </c>
    </row>
    <row r="13" spans="2:11" x14ac:dyDescent="0.3">
      <c r="B13" s="6" t="s">
        <v>26</v>
      </c>
      <c r="C13" s="22"/>
      <c r="D13" s="22"/>
      <c r="E13" s="22"/>
      <c r="F13" s="22"/>
      <c r="G13" s="22"/>
      <c r="H13" s="12">
        <f t="shared" si="0"/>
        <v>44880</v>
      </c>
    </row>
    <row r="14" spans="2:11" x14ac:dyDescent="0.3">
      <c r="B14" s="6" t="s">
        <v>22</v>
      </c>
      <c r="C14" s="22"/>
      <c r="D14" s="22"/>
      <c r="E14" s="22"/>
      <c r="F14" s="22"/>
      <c r="G14" s="22"/>
      <c r="H14" s="12">
        <f t="shared" si="0"/>
        <v>44880</v>
      </c>
      <c r="K14" s="4"/>
    </row>
    <row r="15" spans="2:11" x14ac:dyDescent="0.3">
      <c r="B15" s="6" t="s">
        <v>61</v>
      </c>
      <c r="C15" s="22"/>
      <c r="D15" s="22"/>
      <c r="E15" s="22"/>
      <c r="F15" s="22"/>
      <c r="G15" s="22"/>
      <c r="H15" s="67">
        <f t="shared" si="0"/>
        <v>44880</v>
      </c>
      <c r="K15" s="4"/>
    </row>
    <row r="16" spans="2:11" x14ac:dyDescent="0.3">
      <c r="B16" s="6" t="s">
        <v>19</v>
      </c>
      <c r="C16" s="22">
        <v>54000</v>
      </c>
      <c r="D16" s="22"/>
      <c r="E16" s="23">
        <v>108000</v>
      </c>
      <c r="F16" s="22"/>
      <c r="G16" s="22"/>
      <c r="H16" s="12">
        <f t="shared" si="0"/>
        <v>44880</v>
      </c>
    </row>
    <row r="17" spans="2:10" x14ac:dyDescent="0.3">
      <c r="B17" s="6" t="s">
        <v>14</v>
      </c>
      <c r="C17" s="22"/>
      <c r="D17" s="22"/>
      <c r="E17" s="22"/>
      <c r="F17" s="23"/>
      <c r="G17" s="22"/>
      <c r="H17" s="12">
        <f t="shared" si="0"/>
        <v>44880</v>
      </c>
    </row>
    <row r="18" spans="2:10" x14ac:dyDescent="0.3">
      <c r="B18" s="6" t="s">
        <v>24</v>
      </c>
      <c r="C18" s="22"/>
      <c r="D18" s="22"/>
      <c r="E18" s="22"/>
      <c r="F18" s="49"/>
      <c r="G18" s="22"/>
      <c r="H18" s="67">
        <f t="shared" si="0"/>
        <v>44880</v>
      </c>
    </row>
    <row r="19" spans="2:10" x14ac:dyDescent="0.3">
      <c r="B19" s="6" t="s">
        <v>21</v>
      </c>
      <c r="C19" s="22"/>
      <c r="D19" s="22"/>
      <c r="E19" s="22"/>
      <c r="F19" s="22"/>
      <c r="G19" s="22"/>
      <c r="H19" s="12">
        <f t="shared" si="0"/>
        <v>44880</v>
      </c>
      <c r="J19" s="1" t="s">
        <v>66</v>
      </c>
    </row>
    <row r="20" spans="2:10" x14ac:dyDescent="0.3">
      <c r="B20" s="6" t="s">
        <v>65</v>
      </c>
      <c r="C20" s="22"/>
      <c r="D20" s="57"/>
      <c r="E20" s="22"/>
      <c r="F20" s="22"/>
      <c r="G20" s="22"/>
      <c r="H20" s="67">
        <f t="shared" si="0"/>
        <v>44880</v>
      </c>
    </row>
    <row r="21" spans="2:10" x14ac:dyDescent="0.3">
      <c r="B21" s="6" t="s">
        <v>67</v>
      </c>
      <c r="C21" s="22"/>
      <c r="D21" s="22"/>
      <c r="E21" s="22"/>
      <c r="F21" s="22"/>
      <c r="G21" s="22"/>
      <c r="H21" s="12">
        <f t="shared" si="0"/>
        <v>44880</v>
      </c>
    </row>
    <row r="22" spans="2:10" x14ac:dyDescent="0.3">
      <c r="B22" s="6" t="s">
        <v>18</v>
      </c>
      <c r="C22" s="22"/>
      <c r="D22" s="22"/>
      <c r="E22" s="62"/>
      <c r="F22" s="62"/>
      <c r="G22" s="62"/>
      <c r="H22" s="12">
        <f t="shared" si="0"/>
        <v>44880</v>
      </c>
    </row>
    <row r="23" spans="2:10" x14ac:dyDescent="0.3">
      <c r="B23" s="6" t="s">
        <v>16</v>
      </c>
      <c r="C23" s="121"/>
      <c r="D23" s="22"/>
      <c r="E23" s="62"/>
      <c r="F23" s="62"/>
      <c r="G23" s="22"/>
      <c r="H23" s="12">
        <f t="shared" si="0"/>
        <v>44880</v>
      </c>
    </row>
    <row r="24" spans="2:10" x14ac:dyDescent="0.3">
      <c r="B24" s="50" t="s">
        <v>27</v>
      </c>
      <c r="C24" s="51">
        <f>SUM(Nov15_2022[KSI_AGO])</f>
        <v>1620000</v>
      </c>
      <c r="D24" s="51">
        <f>SUBTOTAL(109,Nov15_2022[KSI_PMS])</f>
        <v>54000</v>
      </c>
      <c r="E24" s="51">
        <f>SUM(Nov15_2022[BUIPE_AGO])</f>
        <v>108000</v>
      </c>
      <c r="F24" s="51">
        <f>SUM(Nov15_2022[BUIPE_PMS])</f>
        <v>0</v>
      </c>
      <c r="G24" s="51">
        <f>SUM(Nov15_2022[AKOSOMBO_AGO])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A74956F6-8C49-44D0-8B3B-ACF9EA56D6D7}">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28269-F0A9-4357-BF34-0881C7387E68}">
  <dimension ref="B1:K25"/>
  <sheetViews>
    <sheetView zoomScale="84" zoomScaleNormal="85" workbookViewId="0">
      <pane xSplit="2" ySplit="5" topLeftCell="F6" activePane="bottomRight" state="frozen"/>
      <selection pane="topRight" activeCell="C1" sqref="C1"/>
      <selection pane="bottomLeft" activeCell="A6" sqref="A6"/>
      <selection pane="bottomRight" activeCell="D14" sqref="D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44881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44881</v>
      </c>
    </row>
    <row r="7" spans="2:11" ht="16.5" customHeight="1" x14ac:dyDescent="0.3">
      <c r="B7" s="6" t="s">
        <v>37</v>
      </c>
      <c r="C7" s="57"/>
      <c r="D7" s="22"/>
      <c r="E7" s="62"/>
      <c r="F7" s="62"/>
      <c r="G7" s="62"/>
      <c r="H7" s="67">
        <f t="shared" si="0"/>
        <v>44881</v>
      </c>
    </row>
    <row r="8" spans="2:11" x14ac:dyDescent="0.3">
      <c r="B8" s="6" t="s">
        <v>17</v>
      </c>
      <c r="C8" s="22">
        <v>745500</v>
      </c>
      <c r="D8" s="22"/>
      <c r="E8" s="22"/>
      <c r="F8" s="22"/>
      <c r="G8" s="22"/>
      <c r="H8" s="12">
        <f t="shared" si="0"/>
        <v>44881</v>
      </c>
    </row>
    <row r="9" spans="2:11" ht="15.6" x14ac:dyDescent="0.3">
      <c r="B9" s="34" t="s">
        <v>0</v>
      </c>
      <c r="C9" s="57">
        <v>486000</v>
      </c>
      <c r="D9" s="57"/>
      <c r="E9" s="60"/>
      <c r="F9" s="60"/>
      <c r="G9" s="60"/>
      <c r="H9" s="12">
        <f t="shared" si="0"/>
        <v>44881</v>
      </c>
    </row>
    <row r="10" spans="2:11" x14ac:dyDescent="0.3">
      <c r="B10" s="6" t="s">
        <v>25</v>
      </c>
      <c r="C10" s="57"/>
      <c r="D10" s="22"/>
      <c r="E10" s="22"/>
      <c r="F10" s="22"/>
      <c r="G10" s="22"/>
      <c r="H10" s="12">
        <f t="shared" si="0"/>
        <v>44881</v>
      </c>
    </row>
    <row r="11" spans="2:11" x14ac:dyDescent="0.3">
      <c r="B11" s="6" t="s">
        <v>15</v>
      </c>
      <c r="C11" s="22">
        <v>45000</v>
      </c>
      <c r="D11" s="22"/>
      <c r="E11" s="22"/>
      <c r="F11" s="22"/>
      <c r="G11" s="22"/>
      <c r="H11" s="12">
        <f t="shared" si="0"/>
        <v>44881</v>
      </c>
    </row>
    <row r="12" spans="2:11" x14ac:dyDescent="0.3">
      <c r="B12" s="6" t="s">
        <v>54</v>
      </c>
      <c r="C12" s="22"/>
      <c r="D12" s="22"/>
      <c r="E12" s="22"/>
      <c r="F12" s="22"/>
      <c r="G12" s="22"/>
      <c r="H12" s="67">
        <f t="shared" si="0"/>
        <v>44881</v>
      </c>
    </row>
    <row r="13" spans="2:11" x14ac:dyDescent="0.3">
      <c r="B13" s="6" t="s">
        <v>26</v>
      </c>
      <c r="C13" s="22"/>
      <c r="D13" s="22"/>
      <c r="E13" s="22"/>
      <c r="F13" s="22"/>
      <c r="G13" s="22"/>
      <c r="H13" s="12">
        <f t="shared" si="0"/>
        <v>44881</v>
      </c>
    </row>
    <row r="14" spans="2:11" x14ac:dyDescent="0.3">
      <c r="B14" s="6" t="s">
        <v>22</v>
      </c>
      <c r="C14" s="22"/>
      <c r="D14" s="22"/>
      <c r="E14" s="22"/>
      <c r="F14" s="22"/>
      <c r="G14" s="22"/>
      <c r="H14" s="12">
        <f t="shared" si="0"/>
        <v>44881</v>
      </c>
      <c r="K14" s="4"/>
    </row>
    <row r="15" spans="2:11" x14ac:dyDescent="0.3">
      <c r="B15" s="6" t="s">
        <v>61</v>
      </c>
      <c r="C15" s="22"/>
      <c r="D15" s="22"/>
      <c r="E15" s="22"/>
      <c r="F15" s="22"/>
      <c r="G15" s="22"/>
      <c r="H15" s="67">
        <f t="shared" si="0"/>
        <v>44881</v>
      </c>
      <c r="K15" s="4"/>
    </row>
    <row r="16" spans="2:11" x14ac:dyDescent="0.3">
      <c r="B16" s="6" t="s">
        <v>19</v>
      </c>
      <c r="C16" s="22">
        <v>45000</v>
      </c>
      <c r="D16" s="22">
        <v>531000</v>
      </c>
      <c r="E16" s="23">
        <v>162000</v>
      </c>
      <c r="F16" s="22"/>
      <c r="G16" s="22"/>
      <c r="H16" s="12">
        <f t="shared" si="0"/>
        <v>44881</v>
      </c>
    </row>
    <row r="17" spans="2:10" x14ac:dyDescent="0.3">
      <c r="B17" s="6" t="s">
        <v>14</v>
      </c>
      <c r="C17" s="22"/>
      <c r="D17" s="22"/>
      <c r="E17" s="22"/>
      <c r="F17" s="23"/>
      <c r="G17" s="22"/>
      <c r="H17" s="12">
        <f t="shared" si="0"/>
        <v>44881</v>
      </c>
    </row>
    <row r="18" spans="2:10" x14ac:dyDescent="0.3">
      <c r="B18" s="6" t="s">
        <v>24</v>
      </c>
      <c r="C18" s="22"/>
      <c r="D18" s="22"/>
      <c r="E18" s="22"/>
      <c r="F18" s="49"/>
      <c r="G18" s="22"/>
      <c r="H18" s="67">
        <f t="shared" si="0"/>
        <v>44881</v>
      </c>
    </row>
    <row r="19" spans="2:10" x14ac:dyDescent="0.3">
      <c r="B19" s="6" t="s">
        <v>21</v>
      </c>
      <c r="C19" s="22"/>
      <c r="D19" s="22"/>
      <c r="E19" s="22"/>
      <c r="F19" s="22"/>
      <c r="G19" s="22"/>
      <c r="H19" s="12">
        <f t="shared" si="0"/>
        <v>44881</v>
      </c>
      <c r="J19" s="1" t="s">
        <v>66</v>
      </c>
    </row>
    <row r="20" spans="2:10" x14ac:dyDescent="0.3">
      <c r="B20" s="6" t="s">
        <v>65</v>
      </c>
      <c r="C20" s="22"/>
      <c r="D20" s="57"/>
      <c r="E20" s="22"/>
      <c r="F20" s="22"/>
      <c r="G20" s="22"/>
      <c r="H20" s="67">
        <f t="shared" si="0"/>
        <v>44881</v>
      </c>
    </row>
    <row r="21" spans="2:10" x14ac:dyDescent="0.3">
      <c r="B21" s="6" t="s">
        <v>67</v>
      </c>
      <c r="C21" s="22"/>
      <c r="D21" s="22"/>
      <c r="E21" s="22"/>
      <c r="F21" s="22"/>
      <c r="G21" s="22"/>
      <c r="H21" s="12">
        <f t="shared" si="0"/>
        <v>44881</v>
      </c>
    </row>
    <row r="22" spans="2:10" x14ac:dyDescent="0.3">
      <c r="B22" s="6" t="s">
        <v>18</v>
      </c>
      <c r="C22" s="22"/>
      <c r="D22" s="22"/>
      <c r="E22" s="62"/>
      <c r="F22" s="62"/>
      <c r="G22" s="62"/>
      <c r="H22" s="12">
        <f t="shared" si="0"/>
        <v>44881</v>
      </c>
    </row>
    <row r="23" spans="2:10" x14ac:dyDescent="0.3">
      <c r="B23" s="6" t="s">
        <v>16</v>
      </c>
      <c r="C23" s="121"/>
      <c r="D23" s="22"/>
      <c r="E23" s="62"/>
      <c r="F23" s="62"/>
      <c r="G23" s="22"/>
      <c r="H23" s="12">
        <f t="shared" si="0"/>
        <v>44881</v>
      </c>
    </row>
    <row r="24" spans="2:10" x14ac:dyDescent="0.3">
      <c r="B24" s="50" t="s">
        <v>27</v>
      </c>
      <c r="C24" s="51">
        <f>SUM(Nov16_2022[KSI_AGO])</f>
        <v>1321500</v>
      </c>
      <c r="D24" s="51">
        <f>SUBTOTAL(109,Nov16_2022[KSI_PMS])</f>
        <v>531000</v>
      </c>
      <c r="E24" s="51">
        <f>SUM(Nov16_2022[BUIPE_AGO])</f>
        <v>162000</v>
      </c>
      <c r="F24" s="51">
        <f>SUM(Nov16_2022[BUIPE_PMS])</f>
        <v>0</v>
      </c>
      <c r="G24" s="51">
        <f>SUM(Nov16_2022[AKOSOMBO_AGO])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326579F9-0B59-41ED-A0B3-BFE92D387684}">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E1369-E472-4C60-A258-FA7ED828334B}">
  <dimension ref="B1:K25"/>
  <sheetViews>
    <sheetView zoomScale="78" zoomScaleNormal="70" workbookViewId="0">
      <pane xSplit="2" ySplit="5" topLeftCell="F6" activePane="bottomRight" state="frozen"/>
      <selection pane="topRight" activeCell="C1" sqref="C1"/>
      <selection pane="bottomLeft" activeCell="A6" sqref="A6"/>
      <selection pane="bottomRight" activeCell="E28" sqref="E2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44882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44882</v>
      </c>
    </row>
    <row r="7" spans="2:11" ht="16.5" customHeight="1" x14ac:dyDescent="0.3">
      <c r="B7" s="6" t="s">
        <v>37</v>
      </c>
      <c r="C7" s="57"/>
      <c r="D7" s="22"/>
      <c r="E7" s="62"/>
      <c r="F7" s="62"/>
      <c r="G7" s="62"/>
      <c r="H7" s="67">
        <f t="shared" si="0"/>
        <v>44882</v>
      </c>
    </row>
    <row r="8" spans="2:11" x14ac:dyDescent="0.3">
      <c r="B8" s="6" t="s">
        <v>17</v>
      </c>
      <c r="C8" s="22">
        <v>54000</v>
      </c>
      <c r="D8" s="22"/>
      <c r="E8" s="22"/>
      <c r="F8" s="22"/>
      <c r="G8" s="22"/>
      <c r="H8" s="12">
        <f t="shared" si="0"/>
        <v>44882</v>
      </c>
    </row>
    <row r="9" spans="2:11" ht="15.6" x14ac:dyDescent="0.3">
      <c r="B9" s="34" t="s">
        <v>0</v>
      </c>
      <c r="C9" s="57"/>
      <c r="D9" s="57"/>
      <c r="E9" s="60"/>
      <c r="F9" s="60"/>
      <c r="G9" s="60"/>
      <c r="H9" s="12">
        <f t="shared" si="0"/>
        <v>44882</v>
      </c>
    </row>
    <row r="10" spans="2:11" x14ac:dyDescent="0.3">
      <c r="B10" s="6" t="s">
        <v>25</v>
      </c>
      <c r="C10" s="57"/>
      <c r="D10" s="22"/>
      <c r="E10" s="22"/>
      <c r="F10" s="22"/>
      <c r="G10" s="22"/>
      <c r="H10" s="12">
        <f t="shared" si="0"/>
        <v>44882</v>
      </c>
    </row>
    <row r="11" spans="2:11" x14ac:dyDescent="0.3">
      <c r="B11" s="6" t="s">
        <v>15</v>
      </c>
      <c r="C11" s="22"/>
      <c r="D11" s="22"/>
      <c r="E11" s="22"/>
      <c r="F11" s="22"/>
      <c r="G11" s="22"/>
      <c r="H11" s="12">
        <f t="shared" si="0"/>
        <v>44882</v>
      </c>
    </row>
    <row r="12" spans="2:11" x14ac:dyDescent="0.3">
      <c r="B12" s="6" t="s">
        <v>54</v>
      </c>
      <c r="C12" s="22"/>
      <c r="D12" s="22"/>
      <c r="E12" s="22"/>
      <c r="F12" s="22"/>
      <c r="G12" s="22"/>
      <c r="H12" s="67">
        <f t="shared" si="0"/>
        <v>44882</v>
      </c>
    </row>
    <row r="13" spans="2:11" x14ac:dyDescent="0.3">
      <c r="B13" s="6" t="s">
        <v>26</v>
      </c>
      <c r="C13" s="22"/>
      <c r="D13" s="22">
        <v>90000</v>
      </c>
      <c r="E13" s="22"/>
      <c r="F13" s="22"/>
      <c r="G13" s="22"/>
      <c r="H13" s="12">
        <f t="shared" si="0"/>
        <v>44882</v>
      </c>
    </row>
    <row r="14" spans="2:11" x14ac:dyDescent="0.3">
      <c r="B14" s="6" t="s">
        <v>22</v>
      </c>
      <c r="C14" s="22"/>
      <c r="D14" s="22"/>
      <c r="E14" s="22"/>
      <c r="F14" s="22"/>
      <c r="G14" s="22"/>
      <c r="H14" s="12">
        <f t="shared" si="0"/>
        <v>44882</v>
      </c>
      <c r="K14" s="4"/>
    </row>
    <row r="15" spans="2:11" x14ac:dyDescent="0.3">
      <c r="B15" s="6" t="s">
        <v>61</v>
      </c>
      <c r="C15" s="22"/>
      <c r="D15" s="22"/>
      <c r="E15" s="22"/>
      <c r="F15" s="22"/>
      <c r="G15" s="22"/>
      <c r="H15" s="67">
        <f t="shared" si="0"/>
        <v>44882</v>
      </c>
      <c r="K15" s="4"/>
    </row>
    <row r="16" spans="2:11" x14ac:dyDescent="0.3">
      <c r="B16" s="6" t="s">
        <v>19</v>
      </c>
      <c r="C16" s="22"/>
      <c r="D16" s="22"/>
      <c r="E16" s="23"/>
      <c r="F16" s="22"/>
      <c r="G16" s="22"/>
      <c r="H16" s="12">
        <f t="shared" si="0"/>
        <v>44882</v>
      </c>
    </row>
    <row r="17" spans="2:10" x14ac:dyDescent="0.3">
      <c r="B17" s="6" t="s">
        <v>14</v>
      </c>
      <c r="C17" s="22"/>
      <c r="D17" s="22">
        <v>810000</v>
      </c>
      <c r="E17" s="22"/>
      <c r="F17" s="23"/>
      <c r="G17" s="22"/>
      <c r="H17" s="12">
        <f t="shared" si="0"/>
        <v>44882</v>
      </c>
    </row>
    <row r="18" spans="2:10" x14ac:dyDescent="0.3">
      <c r="B18" s="6" t="s">
        <v>24</v>
      </c>
      <c r="C18" s="22"/>
      <c r="D18" s="22"/>
      <c r="E18" s="22"/>
      <c r="F18" s="49"/>
      <c r="G18" s="22"/>
      <c r="H18" s="67">
        <f t="shared" si="0"/>
        <v>44882</v>
      </c>
    </row>
    <row r="19" spans="2:10" x14ac:dyDescent="0.3">
      <c r="B19" s="6" t="s">
        <v>21</v>
      </c>
      <c r="C19" s="22"/>
      <c r="D19" s="22"/>
      <c r="E19" s="22"/>
      <c r="F19" s="22"/>
      <c r="G19" s="22"/>
      <c r="H19" s="12">
        <f t="shared" si="0"/>
        <v>44882</v>
      </c>
      <c r="J19" s="1" t="s">
        <v>66</v>
      </c>
    </row>
    <row r="20" spans="2:10" x14ac:dyDescent="0.3">
      <c r="B20" s="6" t="s">
        <v>65</v>
      </c>
      <c r="C20" s="22"/>
      <c r="D20" s="57"/>
      <c r="E20" s="22"/>
      <c r="F20" s="22"/>
      <c r="G20" s="22"/>
      <c r="H20" s="67">
        <f t="shared" si="0"/>
        <v>44882</v>
      </c>
    </row>
    <row r="21" spans="2:10" x14ac:dyDescent="0.3">
      <c r="B21" s="6" t="s">
        <v>67</v>
      </c>
      <c r="C21" s="22"/>
      <c r="D21" s="22"/>
      <c r="E21" s="22"/>
      <c r="F21" s="22"/>
      <c r="G21" s="22"/>
      <c r="H21" s="12">
        <f t="shared" si="0"/>
        <v>44882</v>
      </c>
    </row>
    <row r="22" spans="2:10" x14ac:dyDescent="0.3">
      <c r="B22" s="6" t="s">
        <v>18</v>
      </c>
      <c r="C22" s="22"/>
      <c r="D22" s="22"/>
      <c r="E22" s="62"/>
      <c r="F22" s="62"/>
      <c r="G22" s="62"/>
      <c r="H22" s="12">
        <f t="shared" si="0"/>
        <v>44882</v>
      </c>
    </row>
    <row r="23" spans="2:10" x14ac:dyDescent="0.3">
      <c r="B23" s="6" t="s">
        <v>16</v>
      </c>
      <c r="C23" s="121"/>
      <c r="D23" s="22">
        <v>378000</v>
      </c>
      <c r="E23" s="62"/>
      <c r="F23" s="62">
        <v>108000</v>
      </c>
      <c r="G23" s="22"/>
      <c r="H23" s="12">
        <f t="shared" si="0"/>
        <v>44882</v>
      </c>
    </row>
    <row r="24" spans="2:10" x14ac:dyDescent="0.3">
      <c r="B24" s="50" t="s">
        <v>27</v>
      </c>
      <c r="C24" s="51">
        <f>SUM(Nov17_2022[KSI_AGO])</f>
        <v>54000</v>
      </c>
      <c r="D24" s="51">
        <f>SUBTOTAL(109,Nov17_2022[KSI_PMS])</f>
        <v>1278000</v>
      </c>
      <c r="E24" s="51">
        <f>SUM(Nov17_2022[BUIPE_AGO])</f>
        <v>0</v>
      </c>
      <c r="F24" s="51">
        <f>SUM(Nov17_2022[BUIPE_PMS])</f>
        <v>108000</v>
      </c>
      <c r="G24" s="51">
        <f>SUM(Nov17_2022[AKOSOMBO_AGO])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E6C4A4A4-B468-437C-B4B6-CC3A09929FF3}">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4CC07-B2C8-4034-BFF3-6C041307AE1B}">
  <dimension ref="B1:K25"/>
  <sheetViews>
    <sheetView zoomScale="89" zoomScaleNormal="161" workbookViewId="0">
      <pane xSplit="2" ySplit="5" topLeftCell="G6" activePane="bottomRight" state="frozen"/>
      <selection pane="topRight" activeCell="C1" sqref="C1"/>
      <selection pane="bottomLeft" activeCell="A6" sqref="A6"/>
      <selection pane="bottomRight" activeCell="F14" sqref="F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44883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44883</v>
      </c>
    </row>
    <row r="7" spans="2:11" ht="16.5" customHeight="1" x14ac:dyDescent="0.3">
      <c r="B7" s="6" t="s">
        <v>37</v>
      </c>
      <c r="C7" s="57"/>
      <c r="D7" s="22"/>
      <c r="E7" s="62"/>
      <c r="F7" s="62"/>
      <c r="G7" s="62"/>
      <c r="H7" s="67">
        <f t="shared" si="0"/>
        <v>44883</v>
      </c>
    </row>
    <row r="8" spans="2:11" x14ac:dyDescent="0.3">
      <c r="B8" s="6" t="s">
        <v>17</v>
      </c>
      <c r="C8" s="22"/>
      <c r="D8" s="22"/>
      <c r="E8" s="22"/>
      <c r="F8" s="22"/>
      <c r="G8" s="22"/>
      <c r="H8" s="12">
        <f t="shared" si="0"/>
        <v>44883</v>
      </c>
    </row>
    <row r="9" spans="2:11" ht="15.6" x14ac:dyDescent="0.3">
      <c r="B9" s="34" t="s">
        <v>0</v>
      </c>
      <c r="C9" s="57"/>
      <c r="D9" s="57"/>
      <c r="E9" s="60"/>
      <c r="F9" s="60"/>
      <c r="G9" s="60"/>
      <c r="H9" s="12">
        <f t="shared" si="0"/>
        <v>44883</v>
      </c>
    </row>
    <row r="10" spans="2:11" x14ac:dyDescent="0.3">
      <c r="B10" s="6" t="s">
        <v>25</v>
      </c>
      <c r="C10" s="57"/>
      <c r="D10" s="22"/>
      <c r="E10" s="22"/>
      <c r="F10" s="22"/>
      <c r="G10" s="22"/>
      <c r="H10" s="12">
        <f t="shared" si="0"/>
        <v>44883</v>
      </c>
    </row>
    <row r="11" spans="2:11" x14ac:dyDescent="0.3">
      <c r="B11" s="6" t="s">
        <v>15</v>
      </c>
      <c r="C11" s="22"/>
      <c r="D11" s="22"/>
      <c r="E11" s="22"/>
      <c r="F11" s="22"/>
      <c r="G11" s="22"/>
      <c r="H11" s="12">
        <f t="shared" si="0"/>
        <v>44883</v>
      </c>
    </row>
    <row r="12" spans="2:11" x14ac:dyDescent="0.3">
      <c r="B12" s="6" t="s">
        <v>54</v>
      </c>
      <c r="C12" s="22"/>
      <c r="D12" s="22"/>
      <c r="E12" s="22"/>
      <c r="F12" s="22"/>
      <c r="G12" s="22"/>
      <c r="H12" s="67">
        <f t="shared" si="0"/>
        <v>44883</v>
      </c>
    </row>
    <row r="13" spans="2:11" x14ac:dyDescent="0.3">
      <c r="B13" s="6" t="s">
        <v>26</v>
      </c>
      <c r="C13" s="22"/>
      <c r="D13" s="22"/>
      <c r="E13" s="22"/>
      <c r="F13" s="22"/>
      <c r="G13" s="22"/>
      <c r="H13" s="12">
        <f t="shared" si="0"/>
        <v>44883</v>
      </c>
    </row>
    <row r="14" spans="2:11" x14ac:dyDescent="0.3">
      <c r="B14" s="6" t="s">
        <v>22</v>
      </c>
      <c r="C14" s="22"/>
      <c r="D14" s="22"/>
      <c r="E14" s="22"/>
      <c r="F14" s="22"/>
      <c r="G14" s="22"/>
      <c r="H14" s="12">
        <f t="shared" si="0"/>
        <v>44883</v>
      </c>
      <c r="K14" s="4"/>
    </row>
    <row r="15" spans="2:11" x14ac:dyDescent="0.3">
      <c r="B15" s="6" t="s">
        <v>61</v>
      </c>
      <c r="C15" s="22"/>
      <c r="D15" s="22"/>
      <c r="E15" s="22"/>
      <c r="F15" s="22"/>
      <c r="G15" s="22"/>
      <c r="H15" s="67">
        <f t="shared" si="0"/>
        <v>44883</v>
      </c>
      <c r="K15" s="4"/>
    </row>
    <row r="16" spans="2:11" x14ac:dyDescent="0.3">
      <c r="B16" s="6" t="s">
        <v>19</v>
      </c>
      <c r="C16" s="22"/>
      <c r="D16" s="22"/>
      <c r="E16" s="23">
        <v>54000</v>
      </c>
      <c r="F16" s="22"/>
      <c r="G16" s="22"/>
      <c r="H16" s="12">
        <f t="shared" si="0"/>
        <v>44883</v>
      </c>
    </row>
    <row r="17" spans="2:10" x14ac:dyDescent="0.3">
      <c r="B17" s="6" t="s">
        <v>14</v>
      </c>
      <c r="C17" s="22"/>
      <c r="D17" s="22">
        <v>648000</v>
      </c>
      <c r="E17" s="22"/>
      <c r="F17" s="23"/>
      <c r="G17" s="22"/>
      <c r="H17" s="12">
        <f t="shared" si="0"/>
        <v>44883</v>
      </c>
    </row>
    <row r="18" spans="2:10" x14ac:dyDescent="0.3">
      <c r="B18" s="6" t="s">
        <v>24</v>
      </c>
      <c r="C18" s="22"/>
      <c r="D18" s="22"/>
      <c r="E18" s="22"/>
      <c r="F18" s="49"/>
      <c r="G18" s="22"/>
      <c r="H18" s="67">
        <f t="shared" si="0"/>
        <v>44883</v>
      </c>
    </row>
    <row r="19" spans="2:10" x14ac:dyDescent="0.3">
      <c r="B19" s="6" t="s">
        <v>21</v>
      </c>
      <c r="C19" s="22"/>
      <c r="D19" s="22"/>
      <c r="E19" s="22"/>
      <c r="F19" s="22"/>
      <c r="G19" s="22"/>
      <c r="H19" s="12">
        <f t="shared" si="0"/>
        <v>44883</v>
      </c>
      <c r="J19" s="1" t="s">
        <v>66</v>
      </c>
    </row>
    <row r="20" spans="2:10" x14ac:dyDescent="0.3">
      <c r="B20" s="6" t="s">
        <v>65</v>
      </c>
      <c r="C20" s="22"/>
      <c r="D20" s="57"/>
      <c r="E20" s="22"/>
      <c r="F20" s="22"/>
      <c r="G20" s="22"/>
      <c r="H20" s="67">
        <f t="shared" si="0"/>
        <v>44883</v>
      </c>
    </row>
    <row r="21" spans="2:10" x14ac:dyDescent="0.3">
      <c r="B21" s="6" t="s">
        <v>67</v>
      </c>
      <c r="C21" s="22"/>
      <c r="D21" s="22"/>
      <c r="E21" s="22"/>
      <c r="F21" s="22"/>
      <c r="G21" s="22"/>
      <c r="H21" s="12">
        <f t="shared" si="0"/>
        <v>44883</v>
      </c>
    </row>
    <row r="22" spans="2:10" x14ac:dyDescent="0.3">
      <c r="B22" s="6" t="s">
        <v>18</v>
      </c>
      <c r="C22" s="22"/>
      <c r="D22" s="22"/>
      <c r="E22" s="62"/>
      <c r="F22" s="62"/>
      <c r="G22" s="62"/>
      <c r="H22" s="12">
        <f t="shared" si="0"/>
        <v>44883</v>
      </c>
    </row>
    <row r="23" spans="2:10" x14ac:dyDescent="0.3">
      <c r="B23" s="6" t="s">
        <v>16</v>
      </c>
      <c r="C23" s="121"/>
      <c r="D23" s="22">
        <v>377500</v>
      </c>
      <c r="E23" s="62"/>
      <c r="F23" s="62">
        <v>270000</v>
      </c>
      <c r="G23" s="22"/>
      <c r="H23" s="12">
        <f t="shared" si="0"/>
        <v>44883</v>
      </c>
    </row>
    <row r="24" spans="2:10" x14ac:dyDescent="0.3">
      <c r="B24" s="50" t="s">
        <v>27</v>
      </c>
      <c r="C24" s="51">
        <f>SUM(Nov18_2022[KSI_AGO])</f>
        <v>0</v>
      </c>
      <c r="D24" s="51">
        <f>SUBTOTAL(109,Nov18_2022[KSI_PMS])</f>
        <v>1025500</v>
      </c>
      <c r="E24" s="51">
        <f>SUM(Nov18_2022[BUIPE_AGO])</f>
        <v>54000</v>
      </c>
      <c r="F24" s="51">
        <f>SUM(Nov18_2022[BUIPE_PMS])</f>
        <v>270000</v>
      </c>
      <c r="G24" s="51">
        <f>SUM(Nov18_2022[AKOSOMBO_AGO])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EA6F72E1-782C-4953-8249-5FFDB9658822}">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41A3-8E05-4448-B054-5302920E1E2B}">
  <dimension ref="B1:K25"/>
  <sheetViews>
    <sheetView zoomScale="89" zoomScaleNormal="161" workbookViewId="0">
      <pane xSplit="2" ySplit="5" topLeftCell="E6" activePane="bottomRight" state="frozen"/>
      <selection pane="topRight" activeCell="C1" sqref="C1"/>
      <selection pane="bottomLeft" activeCell="A6" sqref="A6"/>
      <selection pane="bottomRight" activeCell="E18" sqref="E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44886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44886</v>
      </c>
    </row>
    <row r="7" spans="2:11" ht="16.5" customHeight="1" x14ac:dyDescent="0.3">
      <c r="B7" s="6" t="s">
        <v>37</v>
      </c>
      <c r="C7" s="57"/>
      <c r="D7" s="22"/>
      <c r="E7" s="62"/>
      <c r="F7" s="62"/>
      <c r="G7" s="62"/>
      <c r="H7" s="67">
        <f t="shared" si="0"/>
        <v>44886</v>
      </c>
    </row>
    <row r="8" spans="2:11" x14ac:dyDescent="0.3">
      <c r="B8" s="6" t="s">
        <v>17</v>
      </c>
      <c r="C8" s="22"/>
      <c r="D8" s="22"/>
      <c r="E8" s="22"/>
      <c r="F8" s="22"/>
      <c r="G8" s="22"/>
      <c r="H8" s="12">
        <f t="shared" si="0"/>
        <v>44886</v>
      </c>
    </row>
    <row r="9" spans="2:11" ht="15.6" x14ac:dyDescent="0.3">
      <c r="B9" s="34" t="s">
        <v>0</v>
      </c>
      <c r="C9" s="57"/>
      <c r="D9" s="57"/>
      <c r="E9" s="60"/>
      <c r="F9" s="60"/>
      <c r="G9" s="60"/>
      <c r="H9" s="12">
        <f t="shared" si="0"/>
        <v>44886</v>
      </c>
    </row>
    <row r="10" spans="2:11" x14ac:dyDescent="0.3">
      <c r="B10" s="6" t="s">
        <v>25</v>
      </c>
      <c r="C10" s="57"/>
      <c r="D10" s="22"/>
      <c r="E10" s="22"/>
      <c r="F10" s="22"/>
      <c r="G10" s="22"/>
      <c r="H10" s="12">
        <f t="shared" si="0"/>
        <v>44886</v>
      </c>
    </row>
    <row r="11" spans="2:11" x14ac:dyDescent="0.3">
      <c r="B11" s="6" t="s">
        <v>15</v>
      </c>
      <c r="C11" s="22"/>
      <c r="D11" s="22"/>
      <c r="E11" s="22"/>
      <c r="F11" s="22"/>
      <c r="G11" s="22"/>
      <c r="H11" s="12">
        <f t="shared" si="0"/>
        <v>44886</v>
      </c>
    </row>
    <row r="12" spans="2:11" x14ac:dyDescent="0.3">
      <c r="B12" s="6" t="s">
        <v>54</v>
      </c>
      <c r="C12" s="22"/>
      <c r="D12" s="22"/>
      <c r="E12" s="22"/>
      <c r="F12" s="22"/>
      <c r="G12" s="22"/>
      <c r="H12" s="67">
        <f t="shared" si="0"/>
        <v>44886</v>
      </c>
    </row>
    <row r="13" spans="2:11" x14ac:dyDescent="0.3">
      <c r="B13" s="6" t="s">
        <v>26</v>
      </c>
      <c r="C13" s="22"/>
      <c r="D13" s="22"/>
      <c r="E13" s="22"/>
      <c r="F13" s="22"/>
      <c r="G13" s="22"/>
      <c r="H13" s="12">
        <f t="shared" si="0"/>
        <v>44886</v>
      </c>
    </row>
    <row r="14" spans="2:11" x14ac:dyDescent="0.3">
      <c r="B14" s="6" t="s">
        <v>22</v>
      </c>
      <c r="C14" s="22"/>
      <c r="D14" s="22"/>
      <c r="E14" s="22"/>
      <c r="F14" s="22"/>
      <c r="G14" s="22"/>
      <c r="H14" s="12">
        <f t="shared" si="0"/>
        <v>44886</v>
      </c>
      <c r="K14" s="4"/>
    </row>
    <row r="15" spans="2:11" x14ac:dyDescent="0.3">
      <c r="B15" s="6" t="s">
        <v>61</v>
      </c>
      <c r="C15" s="22"/>
      <c r="D15" s="22"/>
      <c r="E15" s="22"/>
      <c r="F15" s="22"/>
      <c r="G15" s="22"/>
      <c r="H15" s="67">
        <f t="shared" si="0"/>
        <v>44886</v>
      </c>
      <c r="K15" s="4"/>
    </row>
    <row r="16" spans="2:11" x14ac:dyDescent="0.3">
      <c r="B16" s="6" t="s">
        <v>19</v>
      </c>
      <c r="C16" s="22"/>
      <c r="D16" s="22"/>
      <c r="E16" s="23"/>
      <c r="F16" s="22"/>
      <c r="G16" s="22"/>
      <c r="H16" s="12">
        <f t="shared" si="0"/>
        <v>44886</v>
      </c>
    </row>
    <row r="17" spans="2:10" x14ac:dyDescent="0.3">
      <c r="B17" s="6" t="s">
        <v>14</v>
      </c>
      <c r="C17" s="22"/>
      <c r="D17" s="22">
        <v>378000</v>
      </c>
      <c r="E17" s="22"/>
      <c r="F17" s="23"/>
      <c r="G17" s="22"/>
      <c r="H17" s="12">
        <f t="shared" si="0"/>
        <v>44886</v>
      </c>
    </row>
    <row r="18" spans="2:10" x14ac:dyDescent="0.3">
      <c r="B18" s="6" t="s">
        <v>24</v>
      </c>
      <c r="C18" s="22"/>
      <c r="D18" s="22"/>
      <c r="E18" s="22"/>
      <c r="F18" s="49"/>
      <c r="G18" s="22"/>
      <c r="H18" s="67">
        <f t="shared" si="0"/>
        <v>44886</v>
      </c>
    </row>
    <row r="19" spans="2:10" x14ac:dyDescent="0.3">
      <c r="B19" s="6" t="s">
        <v>21</v>
      </c>
      <c r="C19" s="22"/>
      <c r="D19" s="22"/>
      <c r="E19" s="22"/>
      <c r="F19" s="22"/>
      <c r="G19" s="22"/>
      <c r="H19" s="12">
        <f t="shared" si="0"/>
        <v>44886</v>
      </c>
      <c r="J19" s="1" t="s">
        <v>66</v>
      </c>
    </row>
    <row r="20" spans="2:10" x14ac:dyDescent="0.3">
      <c r="B20" s="6" t="s">
        <v>65</v>
      </c>
      <c r="C20" s="22"/>
      <c r="D20" s="57"/>
      <c r="E20" s="22"/>
      <c r="F20" s="22"/>
      <c r="G20" s="22"/>
      <c r="H20" s="67">
        <f t="shared" si="0"/>
        <v>44886</v>
      </c>
    </row>
    <row r="21" spans="2:10" x14ac:dyDescent="0.3">
      <c r="B21" s="6" t="s">
        <v>67</v>
      </c>
      <c r="C21" s="22"/>
      <c r="D21" s="22"/>
      <c r="E21" s="22"/>
      <c r="F21" s="22"/>
      <c r="G21" s="22"/>
      <c r="H21" s="12">
        <f t="shared" si="0"/>
        <v>44886</v>
      </c>
    </row>
    <row r="22" spans="2:10" x14ac:dyDescent="0.3">
      <c r="B22" s="6" t="s">
        <v>18</v>
      </c>
      <c r="C22" s="22"/>
      <c r="D22" s="22"/>
      <c r="E22" s="62"/>
      <c r="F22" s="62"/>
      <c r="G22" s="62"/>
      <c r="H22" s="12">
        <f t="shared" si="0"/>
        <v>44886</v>
      </c>
    </row>
    <row r="23" spans="2:10" x14ac:dyDescent="0.3">
      <c r="B23" s="6" t="s">
        <v>16</v>
      </c>
      <c r="C23" s="121"/>
      <c r="D23" s="22">
        <v>648000</v>
      </c>
      <c r="E23" s="62"/>
      <c r="F23" s="62"/>
      <c r="G23" s="22"/>
      <c r="H23" s="12">
        <f t="shared" si="0"/>
        <v>44886</v>
      </c>
    </row>
    <row r="24" spans="2:10" x14ac:dyDescent="0.3">
      <c r="B24" s="50" t="s">
        <v>27</v>
      </c>
      <c r="C24" s="51">
        <f>SUM(Nov21_2022[KSI_AGO])</f>
        <v>0</v>
      </c>
      <c r="D24" s="51">
        <f>SUBTOTAL(109,Nov21_2022[KSI_PMS])</f>
        <v>1026000</v>
      </c>
      <c r="E24" s="51">
        <f>SUM(Nov21_2022[BUIPE_AGO])</f>
        <v>0</v>
      </c>
      <c r="F24" s="51">
        <f>SUM(Nov21_2022[BUIPE_PMS])</f>
        <v>0</v>
      </c>
      <c r="G24" s="51">
        <f>SUM(Nov21_2022[AKOSOMBO_AGO])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91B40E64-D153-486F-A2A1-6E77C5AA50F1}">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4055-D902-46D7-9743-768F948D0B7A}">
  <dimension ref="B1:K25"/>
  <sheetViews>
    <sheetView zoomScale="89" zoomScaleNormal="161" workbookViewId="0">
      <pane xSplit="2" ySplit="5" topLeftCell="F7" activePane="bottomRight" state="frozen"/>
      <selection pane="topRight" activeCell="C1" sqref="C1"/>
      <selection pane="bottomLeft" activeCell="A6" sqref="A6"/>
      <selection pane="bottomRight" activeCell="G3" sqref="G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44887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44887</v>
      </c>
    </row>
    <row r="7" spans="2:11" ht="16.5" customHeight="1" x14ac:dyDescent="0.3">
      <c r="B7" s="6" t="s">
        <v>37</v>
      </c>
      <c r="C7" s="57"/>
      <c r="D7" s="22"/>
      <c r="E7" s="62"/>
      <c r="F7" s="62"/>
      <c r="G7" s="62"/>
      <c r="H7" s="67">
        <f t="shared" si="0"/>
        <v>44887</v>
      </c>
    </row>
    <row r="8" spans="2:11" x14ac:dyDescent="0.3">
      <c r="B8" s="6" t="s">
        <v>17</v>
      </c>
      <c r="C8" s="22"/>
      <c r="D8" s="22"/>
      <c r="E8" s="22"/>
      <c r="F8" s="22"/>
      <c r="G8" s="22"/>
      <c r="H8" s="12">
        <f t="shared" si="0"/>
        <v>44887</v>
      </c>
    </row>
    <row r="9" spans="2:11" ht="15.6" x14ac:dyDescent="0.3">
      <c r="B9" s="34" t="s">
        <v>0</v>
      </c>
      <c r="C9" s="57"/>
      <c r="D9" s="57"/>
      <c r="E9" s="60"/>
      <c r="F9" s="60"/>
      <c r="G9" s="60"/>
      <c r="H9" s="12">
        <f t="shared" si="0"/>
        <v>44887</v>
      </c>
    </row>
    <row r="10" spans="2:11" x14ac:dyDescent="0.3">
      <c r="B10" s="6" t="s">
        <v>25</v>
      </c>
      <c r="C10" s="57"/>
      <c r="D10" s="22"/>
      <c r="E10" s="22"/>
      <c r="F10" s="22"/>
      <c r="G10" s="22"/>
      <c r="H10" s="12">
        <f t="shared" si="0"/>
        <v>44887</v>
      </c>
    </row>
    <row r="11" spans="2:11" x14ac:dyDescent="0.3">
      <c r="B11" s="6" t="s">
        <v>15</v>
      </c>
      <c r="C11" s="22"/>
      <c r="D11" s="22"/>
      <c r="E11" s="22"/>
      <c r="F11" s="22"/>
      <c r="G11" s="22"/>
      <c r="H11" s="12">
        <f t="shared" si="0"/>
        <v>44887</v>
      </c>
    </row>
    <row r="12" spans="2:11" x14ac:dyDescent="0.3">
      <c r="B12" s="6" t="s">
        <v>54</v>
      </c>
      <c r="C12" s="22"/>
      <c r="D12" s="22"/>
      <c r="E12" s="22"/>
      <c r="F12" s="22"/>
      <c r="G12" s="22"/>
      <c r="H12" s="67">
        <f t="shared" si="0"/>
        <v>44887</v>
      </c>
    </row>
    <row r="13" spans="2:11" x14ac:dyDescent="0.3">
      <c r="B13" s="6" t="s">
        <v>26</v>
      </c>
      <c r="C13" s="22">
        <v>697500</v>
      </c>
      <c r="D13" s="22">
        <v>216000</v>
      </c>
      <c r="E13" s="22">
        <v>194000</v>
      </c>
      <c r="F13" s="22"/>
      <c r="G13" s="22"/>
      <c r="H13" s="12">
        <f t="shared" si="0"/>
        <v>44887</v>
      </c>
    </row>
    <row r="14" spans="2:11" x14ac:dyDescent="0.3">
      <c r="B14" s="6" t="s">
        <v>22</v>
      </c>
      <c r="C14" s="22"/>
      <c r="D14" s="22"/>
      <c r="E14" s="22"/>
      <c r="F14" s="22"/>
      <c r="G14" s="22"/>
      <c r="H14" s="12">
        <f t="shared" si="0"/>
        <v>44887</v>
      </c>
      <c r="K14" s="4"/>
    </row>
    <row r="15" spans="2:11" x14ac:dyDescent="0.3">
      <c r="B15" s="6" t="s">
        <v>61</v>
      </c>
      <c r="C15" s="22"/>
      <c r="D15" s="22"/>
      <c r="E15" s="22"/>
      <c r="F15" s="22"/>
      <c r="G15" s="22"/>
      <c r="H15" s="67">
        <f t="shared" si="0"/>
        <v>44887</v>
      </c>
      <c r="K15" s="4"/>
    </row>
    <row r="16" spans="2:11" x14ac:dyDescent="0.3">
      <c r="B16" s="6" t="s">
        <v>19</v>
      </c>
      <c r="C16" s="22"/>
      <c r="D16" s="22"/>
      <c r="E16" s="23"/>
      <c r="F16" s="22"/>
      <c r="G16" s="22"/>
      <c r="H16" s="12">
        <f t="shared" si="0"/>
        <v>44887</v>
      </c>
    </row>
    <row r="17" spans="2:10" x14ac:dyDescent="0.3">
      <c r="B17" s="6" t="s">
        <v>14</v>
      </c>
      <c r="C17" s="22"/>
      <c r="D17" s="22">
        <v>162000</v>
      </c>
      <c r="E17" s="22"/>
      <c r="F17" s="23"/>
      <c r="G17" s="22"/>
      <c r="H17" s="12">
        <f t="shared" si="0"/>
        <v>44887</v>
      </c>
    </row>
    <row r="18" spans="2:10" x14ac:dyDescent="0.3">
      <c r="B18" s="6" t="s">
        <v>24</v>
      </c>
      <c r="C18" s="22"/>
      <c r="D18" s="22"/>
      <c r="E18" s="22"/>
      <c r="F18" s="49"/>
      <c r="G18" s="22"/>
      <c r="H18" s="67">
        <f t="shared" si="0"/>
        <v>44887</v>
      </c>
    </row>
    <row r="19" spans="2:10" x14ac:dyDescent="0.3">
      <c r="B19" s="6" t="s">
        <v>21</v>
      </c>
      <c r="C19" s="22"/>
      <c r="D19" s="22">
        <v>648000</v>
      </c>
      <c r="E19" s="22"/>
      <c r="F19" s="22">
        <v>108000</v>
      </c>
      <c r="G19" s="22"/>
      <c r="H19" s="12">
        <f t="shared" si="0"/>
        <v>44887</v>
      </c>
      <c r="J19" s="1" t="s">
        <v>66</v>
      </c>
    </row>
    <row r="20" spans="2:10" x14ac:dyDescent="0.3">
      <c r="B20" s="6" t="s">
        <v>65</v>
      </c>
      <c r="C20" s="22"/>
      <c r="D20" s="57"/>
      <c r="E20" s="22"/>
      <c r="F20" s="22"/>
      <c r="G20" s="22"/>
      <c r="H20" s="67">
        <f t="shared" si="0"/>
        <v>44887</v>
      </c>
    </row>
    <row r="21" spans="2:10" x14ac:dyDescent="0.3">
      <c r="B21" s="6" t="s">
        <v>67</v>
      </c>
      <c r="C21" s="22"/>
      <c r="D21" s="22"/>
      <c r="E21" s="22"/>
      <c r="F21" s="22"/>
      <c r="G21" s="22"/>
      <c r="H21" s="12">
        <f t="shared" si="0"/>
        <v>44887</v>
      </c>
    </row>
    <row r="22" spans="2:10" x14ac:dyDescent="0.3">
      <c r="B22" s="6" t="s">
        <v>18</v>
      </c>
      <c r="C22" s="22"/>
      <c r="D22" s="22"/>
      <c r="E22" s="62"/>
      <c r="F22" s="62"/>
      <c r="G22" s="62"/>
      <c r="H22" s="12">
        <f t="shared" si="0"/>
        <v>44887</v>
      </c>
    </row>
    <row r="23" spans="2:10" x14ac:dyDescent="0.3">
      <c r="B23" s="6" t="s">
        <v>16</v>
      </c>
      <c r="C23" s="121"/>
      <c r="D23" s="22">
        <v>378000</v>
      </c>
      <c r="E23" s="62"/>
      <c r="F23" s="62"/>
      <c r="G23" s="22"/>
      <c r="H23" s="12">
        <f t="shared" si="0"/>
        <v>44887</v>
      </c>
    </row>
    <row r="24" spans="2:10" x14ac:dyDescent="0.3">
      <c r="B24" s="50" t="s">
        <v>27</v>
      </c>
      <c r="C24" s="51">
        <f>SUM(Nov22_2022[KSI_AGO])</f>
        <v>697500</v>
      </c>
      <c r="D24" s="51">
        <f>SUBTOTAL(109,Nov22_2022[KSI_PMS])</f>
        <v>1404000</v>
      </c>
      <c r="E24" s="51">
        <f>SUM(Nov22_2022[BUIPE_AGO])</f>
        <v>194000</v>
      </c>
      <c r="F24" s="51">
        <f>SUM(Nov22_2022[BUIPE_PMS])</f>
        <v>108000</v>
      </c>
      <c r="G24" s="51">
        <f>SUM(Nov22_2022[AKOSOMBO_AGO])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06C0ABF3-8C77-4423-989D-18A82C0B576A}">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0FED-0508-4C25-9AA3-59257FA1EC40}">
  <dimension ref="B1:K25"/>
  <sheetViews>
    <sheetView zoomScale="89" zoomScaleNormal="161" workbookViewId="0">
      <pane xSplit="2" ySplit="5" topLeftCell="F6" activePane="bottomRight" state="frozen"/>
      <selection pane="topRight" activeCell="C1" sqref="C1"/>
      <selection pane="bottomLeft" activeCell="A6" sqref="A6"/>
      <selection pane="bottomRight" activeCell="E27" sqref="E2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44888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44888</v>
      </c>
    </row>
    <row r="7" spans="2:11" ht="16.5" customHeight="1" x14ac:dyDescent="0.3">
      <c r="B7" s="6" t="s">
        <v>37</v>
      </c>
      <c r="C7" s="57"/>
      <c r="D7" s="22"/>
      <c r="E7" s="62"/>
      <c r="F7" s="62"/>
      <c r="G7" s="62"/>
      <c r="H7" s="67">
        <f t="shared" si="0"/>
        <v>44888</v>
      </c>
    </row>
    <row r="8" spans="2:11" x14ac:dyDescent="0.3">
      <c r="B8" s="6" t="s">
        <v>17</v>
      </c>
      <c r="C8" s="22"/>
      <c r="D8" s="22"/>
      <c r="E8" s="22"/>
      <c r="F8" s="22"/>
      <c r="G8" s="22"/>
      <c r="H8" s="12">
        <f t="shared" si="0"/>
        <v>44888</v>
      </c>
    </row>
    <row r="9" spans="2:11" ht="15.6" x14ac:dyDescent="0.3">
      <c r="B9" s="34" t="s">
        <v>0</v>
      </c>
      <c r="C9" s="57"/>
      <c r="D9" s="57"/>
      <c r="E9" s="60"/>
      <c r="F9" s="60"/>
      <c r="G9" s="60"/>
      <c r="H9" s="12">
        <f t="shared" si="0"/>
        <v>44888</v>
      </c>
    </row>
    <row r="10" spans="2:11" x14ac:dyDescent="0.3">
      <c r="B10" s="6" t="s">
        <v>25</v>
      </c>
      <c r="C10" s="57"/>
      <c r="D10" s="22"/>
      <c r="E10" s="22"/>
      <c r="F10" s="22"/>
      <c r="G10" s="22"/>
      <c r="H10" s="12">
        <f t="shared" si="0"/>
        <v>44888</v>
      </c>
    </row>
    <row r="11" spans="2:11" x14ac:dyDescent="0.3">
      <c r="B11" s="6" t="s">
        <v>15</v>
      </c>
      <c r="C11" s="22"/>
      <c r="D11" s="22"/>
      <c r="E11" s="22"/>
      <c r="F11" s="22"/>
      <c r="G11" s="22"/>
      <c r="H11" s="12">
        <f t="shared" si="0"/>
        <v>44888</v>
      </c>
    </row>
    <row r="12" spans="2:11" x14ac:dyDescent="0.3">
      <c r="B12" s="6" t="s">
        <v>54</v>
      </c>
      <c r="C12" s="22"/>
      <c r="D12" s="22"/>
      <c r="E12" s="22"/>
      <c r="F12" s="22"/>
      <c r="G12" s="22"/>
      <c r="H12" s="67">
        <f t="shared" si="0"/>
        <v>44888</v>
      </c>
    </row>
    <row r="13" spans="2:11" x14ac:dyDescent="0.3">
      <c r="B13" s="6" t="s">
        <v>26</v>
      </c>
      <c r="C13" s="22"/>
      <c r="D13" s="22">
        <v>432000</v>
      </c>
      <c r="E13" s="22">
        <v>106000</v>
      </c>
      <c r="F13" s="22"/>
      <c r="G13" s="22"/>
      <c r="H13" s="12">
        <f t="shared" si="0"/>
        <v>44888</v>
      </c>
    </row>
    <row r="14" spans="2:11" x14ac:dyDescent="0.3">
      <c r="B14" s="6" t="s">
        <v>22</v>
      </c>
      <c r="C14" s="22"/>
      <c r="D14" s="22"/>
      <c r="E14" s="22"/>
      <c r="F14" s="22"/>
      <c r="G14" s="22"/>
      <c r="H14" s="12">
        <f t="shared" si="0"/>
        <v>44888</v>
      </c>
      <c r="K14" s="4"/>
    </row>
    <row r="15" spans="2:11" x14ac:dyDescent="0.3">
      <c r="B15" s="6" t="s">
        <v>61</v>
      </c>
      <c r="C15" s="22"/>
      <c r="D15" s="22"/>
      <c r="E15" s="22"/>
      <c r="F15" s="22"/>
      <c r="G15" s="22"/>
      <c r="H15" s="67">
        <f t="shared" si="0"/>
        <v>44888</v>
      </c>
      <c r="K15" s="4"/>
    </row>
    <row r="16" spans="2:11" x14ac:dyDescent="0.3">
      <c r="B16" s="6" t="s">
        <v>19</v>
      </c>
      <c r="C16" s="22"/>
      <c r="D16" s="22"/>
      <c r="E16" s="23"/>
      <c r="F16" s="22"/>
      <c r="G16" s="22"/>
      <c r="H16" s="12">
        <f t="shared" si="0"/>
        <v>44888</v>
      </c>
    </row>
    <row r="17" spans="2:10" x14ac:dyDescent="0.3">
      <c r="B17" s="6" t="s">
        <v>14</v>
      </c>
      <c r="C17" s="22"/>
      <c r="D17" s="22"/>
      <c r="E17" s="22"/>
      <c r="F17" s="23"/>
      <c r="G17" s="22"/>
      <c r="H17" s="12">
        <f t="shared" si="0"/>
        <v>44888</v>
      </c>
    </row>
    <row r="18" spans="2:10" x14ac:dyDescent="0.3">
      <c r="B18" s="6" t="s">
        <v>24</v>
      </c>
      <c r="C18" s="22"/>
      <c r="D18" s="22"/>
      <c r="E18" s="22"/>
      <c r="F18" s="49"/>
      <c r="G18" s="22"/>
      <c r="H18" s="67">
        <f t="shared" si="0"/>
        <v>44888</v>
      </c>
    </row>
    <row r="19" spans="2:10" x14ac:dyDescent="0.3">
      <c r="B19" s="6" t="s">
        <v>21</v>
      </c>
      <c r="C19" s="22">
        <v>860000</v>
      </c>
      <c r="D19" s="22">
        <v>324000</v>
      </c>
      <c r="E19" s="22"/>
      <c r="F19" s="22"/>
      <c r="G19" s="22"/>
      <c r="H19" s="12">
        <f t="shared" si="0"/>
        <v>44888</v>
      </c>
      <c r="J19" s="1" t="s">
        <v>66</v>
      </c>
    </row>
    <row r="20" spans="2:10" x14ac:dyDescent="0.3">
      <c r="B20" s="6" t="s">
        <v>65</v>
      </c>
      <c r="C20" s="22"/>
      <c r="D20" s="57"/>
      <c r="E20" s="22"/>
      <c r="F20" s="22"/>
      <c r="G20" s="22"/>
      <c r="H20" s="67">
        <f t="shared" si="0"/>
        <v>44888</v>
      </c>
    </row>
    <row r="21" spans="2:10" x14ac:dyDescent="0.3">
      <c r="B21" s="6" t="s">
        <v>67</v>
      </c>
      <c r="C21" s="22"/>
      <c r="D21" s="22"/>
      <c r="E21" s="22"/>
      <c r="F21" s="22"/>
      <c r="G21" s="22"/>
      <c r="H21" s="12">
        <f t="shared" si="0"/>
        <v>44888</v>
      </c>
    </row>
    <row r="22" spans="2:10" x14ac:dyDescent="0.3">
      <c r="B22" s="6" t="s">
        <v>18</v>
      </c>
      <c r="C22" s="22"/>
      <c r="D22" s="22"/>
      <c r="E22" s="62"/>
      <c r="F22" s="62"/>
      <c r="G22" s="62"/>
      <c r="H22" s="12">
        <f t="shared" si="0"/>
        <v>44888</v>
      </c>
    </row>
    <row r="23" spans="2:10" x14ac:dyDescent="0.3">
      <c r="B23" s="6" t="s">
        <v>16</v>
      </c>
      <c r="C23" s="121"/>
      <c r="D23" s="22">
        <v>54000</v>
      </c>
      <c r="E23" s="62"/>
      <c r="F23" s="62"/>
      <c r="G23" s="22"/>
      <c r="H23" s="12">
        <f t="shared" si="0"/>
        <v>44888</v>
      </c>
    </row>
    <row r="24" spans="2:10" x14ac:dyDescent="0.3">
      <c r="B24" s="50" t="s">
        <v>27</v>
      </c>
      <c r="C24" s="51">
        <f>SUM(Nov23_2022[KSI_AGO])</f>
        <v>860000</v>
      </c>
      <c r="D24" s="51">
        <f>SUBTOTAL(109,Nov23_2022[KSI_PMS])</f>
        <v>810000</v>
      </c>
      <c r="E24" s="51">
        <f>SUM(Nov23_2022[BUIPE_AGO])</f>
        <v>106000</v>
      </c>
      <c r="F24" s="51">
        <f>SUM(Nov23_2022[BUIPE_PMS])</f>
        <v>0</v>
      </c>
      <c r="G24" s="51">
        <f>SUM(Nov23_2022[AKOSOMBO_AGO])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CF1DD31D-4FB3-4618-B4C9-7A887D740402}">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3A77D-E519-4A36-934D-F81293D6466F}">
  <dimension ref="B1:K25"/>
  <sheetViews>
    <sheetView zoomScale="89" zoomScaleNormal="161" workbookViewId="0">
      <pane xSplit="2" ySplit="5" topLeftCell="F6" activePane="bottomRight" state="frozen"/>
      <selection pane="topRight" activeCell="C1" sqref="C1"/>
      <selection pane="bottomLeft" activeCell="A6" sqref="A6"/>
      <selection pane="bottomRight" activeCell="C14" sqref="C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44889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44889</v>
      </c>
    </row>
    <row r="7" spans="2:11" ht="16.5" customHeight="1" x14ac:dyDescent="0.3">
      <c r="B7" s="6" t="s">
        <v>37</v>
      </c>
      <c r="C7" s="57"/>
      <c r="D7" s="22"/>
      <c r="E7" s="62"/>
      <c r="F7" s="62"/>
      <c r="G7" s="62"/>
      <c r="H7" s="67">
        <f t="shared" si="0"/>
        <v>44889</v>
      </c>
    </row>
    <row r="8" spans="2:11" x14ac:dyDescent="0.3">
      <c r="B8" s="6" t="s">
        <v>17</v>
      </c>
      <c r="C8" s="22"/>
      <c r="D8" s="22"/>
      <c r="E8" s="22"/>
      <c r="F8" s="22"/>
      <c r="G8" s="22"/>
      <c r="H8" s="12">
        <f t="shared" si="0"/>
        <v>44889</v>
      </c>
    </row>
    <row r="9" spans="2:11" ht="15.6" x14ac:dyDescent="0.3">
      <c r="B9" s="34" t="s">
        <v>0</v>
      </c>
      <c r="C9" s="57"/>
      <c r="D9" s="57"/>
      <c r="E9" s="60"/>
      <c r="F9" s="60"/>
      <c r="G9" s="60"/>
      <c r="H9" s="12">
        <f t="shared" si="0"/>
        <v>44889</v>
      </c>
    </row>
    <row r="10" spans="2:11" x14ac:dyDescent="0.3">
      <c r="B10" s="6" t="s">
        <v>25</v>
      </c>
      <c r="C10" s="57"/>
      <c r="D10" s="22"/>
      <c r="E10" s="22"/>
      <c r="F10" s="22"/>
      <c r="G10" s="22"/>
      <c r="H10" s="12">
        <f t="shared" si="0"/>
        <v>44889</v>
      </c>
    </row>
    <row r="11" spans="2:11" x14ac:dyDescent="0.3">
      <c r="B11" s="6" t="s">
        <v>15</v>
      </c>
      <c r="C11" s="22"/>
      <c r="D11" s="22"/>
      <c r="E11" s="22"/>
      <c r="F11" s="22"/>
      <c r="G11" s="22"/>
      <c r="H11" s="12">
        <f t="shared" si="0"/>
        <v>44889</v>
      </c>
    </row>
    <row r="12" spans="2:11" x14ac:dyDescent="0.3">
      <c r="B12" s="6" t="s">
        <v>54</v>
      </c>
      <c r="C12" s="22"/>
      <c r="D12" s="22"/>
      <c r="E12" s="22"/>
      <c r="F12" s="22"/>
      <c r="G12" s="22"/>
      <c r="H12" s="67">
        <f t="shared" si="0"/>
        <v>44889</v>
      </c>
    </row>
    <row r="13" spans="2:11" x14ac:dyDescent="0.3">
      <c r="B13" s="6" t="s">
        <v>26</v>
      </c>
      <c r="C13" s="57"/>
      <c r="D13" s="22">
        <v>324000</v>
      </c>
      <c r="E13" s="22"/>
      <c r="F13" s="22"/>
      <c r="G13" s="22"/>
      <c r="H13" s="12">
        <f t="shared" si="0"/>
        <v>44889</v>
      </c>
    </row>
    <row r="14" spans="2:11" x14ac:dyDescent="0.3">
      <c r="B14" s="6" t="s">
        <v>22</v>
      </c>
      <c r="C14" s="57"/>
      <c r="D14" s="22"/>
      <c r="E14" s="22"/>
      <c r="F14" s="22"/>
      <c r="G14" s="22"/>
      <c r="H14" s="12">
        <f t="shared" si="0"/>
        <v>44889</v>
      </c>
      <c r="K14" s="4"/>
    </row>
    <row r="15" spans="2:11" x14ac:dyDescent="0.3">
      <c r="B15" s="6" t="s">
        <v>61</v>
      </c>
      <c r="C15" s="57"/>
      <c r="D15" s="22"/>
      <c r="E15" s="22"/>
      <c r="F15" s="22"/>
      <c r="G15" s="22"/>
      <c r="H15" s="67">
        <f t="shared" si="0"/>
        <v>44889</v>
      </c>
      <c r="K15" s="4"/>
    </row>
    <row r="16" spans="2:11" x14ac:dyDescent="0.3">
      <c r="B16" s="6" t="s">
        <v>19</v>
      </c>
      <c r="C16" s="57"/>
      <c r="D16" s="22">
        <v>162000</v>
      </c>
      <c r="E16" s="23"/>
      <c r="F16" s="22"/>
      <c r="G16" s="22"/>
      <c r="H16" s="12">
        <f t="shared" si="0"/>
        <v>44889</v>
      </c>
    </row>
    <row r="17" spans="2:10" x14ac:dyDescent="0.3">
      <c r="B17" s="6" t="s">
        <v>14</v>
      </c>
      <c r="C17" s="57"/>
      <c r="D17" s="22"/>
      <c r="E17" s="22"/>
      <c r="F17" s="23"/>
      <c r="G17" s="22"/>
      <c r="H17" s="12">
        <f t="shared" si="0"/>
        <v>44889</v>
      </c>
    </row>
    <row r="18" spans="2:10" x14ac:dyDescent="0.3">
      <c r="B18" s="6" t="s">
        <v>24</v>
      </c>
      <c r="C18" s="57"/>
      <c r="D18" s="22"/>
      <c r="E18" s="22"/>
      <c r="F18" s="49"/>
      <c r="G18" s="22"/>
      <c r="H18" s="67">
        <f t="shared" si="0"/>
        <v>44889</v>
      </c>
    </row>
    <row r="19" spans="2:10" x14ac:dyDescent="0.3">
      <c r="B19" s="6" t="s">
        <v>21</v>
      </c>
      <c r="C19" s="22">
        <v>1890000</v>
      </c>
      <c r="D19" s="22">
        <v>540000</v>
      </c>
      <c r="E19" s="22">
        <v>320000</v>
      </c>
      <c r="F19" s="22">
        <v>54000</v>
      </c>
      <c r="G19" s="22"/>
      <c r="H19" s="12">
        <f t="shared" si="0"/>
        <v>44889</v>
      </c>
      <c r="J19" s="1" t="s">
        <v>66</v>
      </c>
    </row>
    <row r="20" spans="2:10" x14ac:dyDescent="0.3">
      <c r="B20" s="6" t="s">
        <v>65</v>
      </c>
      <c r="C20" s="22"/>
      <c r="D20" s="57"/>
      <c r="E20" s="22"/>
      <c r="F20" s="22"/>
      <c r="G20" s="22"/>
      <c r="H20" s="67">
        <f t="shared" si="0"/>
        <v>44889</v>
      </c>
    </row>
    <row r="21" spans="2:10" x14ac:dyDescent="0.3">
      <c r="B21" s="6" t="s">
        <v>67</v>
      </c>
      <c r="C21" s="22"/>
      <c r="D21" s="22"/>
      <c r="E21" s="22"/>
      <c r="F21" s="22"/>
      <c r="G21" s="22"/>
      <c r="H21" s="12">
        <f t="shared" si="0"/>
        <v>44889</v>
      </c>
    </row>
    <row r="22" spans="2:10" x14ac:dyDescent="0.3">
      <c r="B22" s="6" t="s">
        <v>18</v>
      </c>
      <c r="C22" s="22"/>
      <c r="D22" s="22"/>
      <c r="E22" s="62"/>
      <c r="F22" s="62"/>
      <c r="G22" s="62"/>
      <c r="H22" s="12">
        <f t="shared" si="0"/>
        <v>44889</v>
      </c>
    </row>
    <row r="23" spans="2:10" x14ac:dyDescent="0.3">
      <c r="B23" s="6" t="s">
        <v>16</v>
      </c>
      <c r="C23" s="121"/>
      <c r="D23" s="22"/>
      <c r="E23" s="62"/>
      <c r="F23" s="62"/>
      <c r="G23" s="22"/>
      <c r="H23" s="12">
        <f t="shared" si="0"/>
        <v>44889</v>
      </c>
    </row>
    <row r="24" spans="2:10" x14ac:dyDescent="0.3">
      <c r="B24" s="50" t="s">
        <v>27</v>
      </c>
      <c r="C24" s="51">
        <f>SUM(Nov24_2022[KSI_AGO])</f>
        <v>1890000</v>
      </c>
      <c r="D24" s="51">
        <f>SUBTOTAL(109,Nov24_2022[KSI_PMS])</f>
        <v>1026000</v>
      </c>
      <c r="E24" s="51">
        <f>SUM(Nov24_2022[BUIPE_AGO])</f>
        <v>320000</v>
      </c>
      <c r="F24" s="51">
        <f>SUM(Nov24_2022[BUIPE_PMS])</f>
        <v>54000</v>
      </c>
      <c r="G24" s="51">
        <f>SUM(Nov24_2022[AKOSOMBO_AGO])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D320EAA7-081B-4BD8-90F3-1096C4292CF1}">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9FEAF-C348-4D36-9B1B-22C7ADF37CC4}">
  <sheetPr>
    <tabColor rgb="FFFFFF00"/>
  </sheetPr>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B31" sqref="B3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44890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44890</v>
      </c>
    </row>
    <row r="7" spans="2:11" ht="16.5" customHeight="1" x14ac:dyDescent="0.3">
      <c r="B7" s="6" t="s">
        <v>37</v>
      </c>
      <c r="C7" s="57"/>
      <c r="D7" s="22"/>
      <c r="E7" s="62"/>
      <c r="F7" s="62"/>
      <c r="G7" s="62"/>
      <c r="H7" s="67">
        <f t="shared" si="0"/>
        <v>44890</v>
      </c>
    </row>
    <row r="8" spans="2:11" x14ac:dyDescent="0.3">
      <c r="B8" s="6" t="s">
        <v>17</v>
      </c>
      <c r="C8" s="22">
        <v>540000</v>
      </c>
      <c r="D8" s="22"/>
      <c r="E8" s="22"/>
      <c r="F8" s="22"/>
      <c r="G8" s="22"/>
      <c r="H8" s="12">
        <f t="shared" si="0"/>
        <v>44890</v>
      </c>
    </row>
    <row r="9" spans="2:11" ht="15.6" x14ac:dyDescent="0.3">
      <c r="B9" s="34" t="s">
        <v>0</v>
      </c>
      <c r="C9" s="57"/>
      <c r="D9" s="57"/>
      <c r="E9" s="60"/>
      <c r="F9" s="60"/>
      <c r="G9" s="60"/>
      <c r="H9" s="12">
        <f t="shared" si="0"/>
        <v>44890</v>
      </c>
    </row>
    <row r="10" spans="2:11" x14ac:dyDescent="0.3">
      <c r="B10" s="6" t="s">
        <v>25</v>
      </c>
      <c r="C10" s="57"/>
      <c r="D10" s="22"/>
      <c r="E10" s="22"/>
      <c r="F10" s="22"/>
      <c r="G10" s="22"/>
      <c r="H10" s="12">
        <f t="shared" si="0"/>
        <v>44890</v>
      </c>
    </row>
    <row r="11" spans="2:11" x14ac:dyDescent="0.3">
      <c r="B11" s="6" t="s">
        <v>15</v>
      </c>
      <c r="C11" s="22"/>
      <c r="D11" s="22"/>
      <c r="E11" s="22"/>
      <c r="F11" s="22"/>
      <c r="G11" s="22"/>
      <c r="H11" s="12">
        <f t="shared" si="0"/>
        <v>44890</v>
      </c>
    </row>
    <row r="12" spans="2:11" x14ac:dyDescent="0.3">
      <c r="B12" s="6" t="s">
        <v>54</v>
      </c>
      <c r="C12" s="22"/>
      <c r="D12" s="22"/>
      <c r="E12" s="22"/>
      <c r="F12" s="22"/>
      <c r="G12" s="22"/>
      <c r="H12" s="67">
        <f t="shared" si="0"/>
        <v>44890</v>
      </c>
    </row>
    <row r="13" spans="2:11" x14ac:dyDescent="0.3">
      <c r="B13" s="6" t="s">
        <v>26</v>
      </c>
      <c r="C13" s="57"/>
      <c r="D13" s="22">
        <v>54000</v>
      </c>
      <c r="E13" s="22"/>
      <c r="F13" s="22"/>
      <c r="G13" s="22"/>
      <c r="H13" s="12">
        <f t="shared" si="0"/>
        <v>44890</v>
      </c>
    </row>
    <row r="14" spans="2:11" x14ac:dyDescent="0.3">
      <c r="B14" s="6" t="s">
        <v>22</v>
      </c>
      <c r="C14" s="57"/>
      <c r="D14" s="22"/>
      <c r="E14" s="22"/>
      <c r="F14" s="22"/>
      <c r="G14" s="22"/>
      <c r="H14" s="12">
        <f t="shared" si="0"/>
        <v>44890</v>
      </c>
      <c r="K14" s="4"/>
    </row>
    <row r="15" spans="2:11" x14ac:dyDescent="0.3">
      <c r="B15" s="6" t="s">
        <v>61</v>
      </c>
      <c r="C15" s="57"/>
      <c r="D15" s="22"/>
      <c r="E15" s="22"/>
      <c r="F15" s="22"/>
      <c r="G15" s="22"/>
      <c r="H15" s="67">
        <f t="shared" si="0"/>
        <v>44890</v>
      </c>
      <c r="K15" s="4"/>
    </row>
    <row r="16" spans="2:11" x14ac:dyDescent="0.3">
      <c r="B16" s="6" t="s">
        <v>19</v>
      </c>
      <c r="C16" s="57"/>
      <c r="D16" s="22">
        <v>153000</v>
      </c>
      <c r="E16" s="23"/>
      <c r="F16" s="22"/>
      <c r="G16" s="22"/>
      <c r="H16" s="12">
        <f t="shared" si="0"/>
        <v>44890</v>
      </c>
    </row>
    <row r="17" spans="2:10" x14ac:dyDescent="0.3">
      <c r="B17" s="6" t="s">
        <v>14</v>
      </c>
      <c r="C17" s="57"/>
      <c r="D17" s="22">
        <v>810000</v>
      </c>
      <c r="E17" s="22"/>
      <c r="F17" s="132">
        <v>324000</v>
      </c>
      <c r="G17" s="22"/>
      <c r="H17" s="12">
        <f t="shared" si="0"/>
        <v>44890</v>
      </c>
    </row>
    <row r="18" spans="2:10" x14ac:dyDescent="0.3">
      <c r="B18" s="6" t="s">
        <v>24</v>
      </c>
      <c r="C18" s="57"/>
      <c r="D18" s="22"/>
      <c r="E18" s="22"/>
      <c r="F18" s="49"/>
      <c r="G18" s="22"/>
      <c r="H18" s="67">
        <f t="shared" si="0"/>
        <v>44890</v>
      </c>
    </row>
    <row r="19" spans="2:10" x14ac:dyDescent="0.3">
      <c r="B19" s="6" t="s">
        <v>21</v>
      </c>
      <c r="C19" s="22">
        <v>918000</v>
      </c>
      <c r="D19" s="22">
        <v>162000</v>
      </c>
      <c r="E19" s="22">
        <v>180000</v>
      </c>
      <c r="F19" s="22"/>
      <c r="G19" s="22"/>
      <c r="H19" s="12">
        <f t="shared" si="0"/>
        <v>44890</v>
      </c>
      <c r="J19" s="1" t="s">
        <v>66</v>
      </c>
    </row>
    <row r="20" spans="2:10" x14ac:dyDescent="0.3">
      <c r="B20" s="6" t="s">
        <v>65</v>
      </c>
      <c r="C20" s="22"/>
      <c r="D20" s="57"/>
      <c r="E20" s="22"/>
      <c r="F20" s="22"/>
      <c r="G20" s="22"/>
      <c r="H20" s="67">
        <f t="shared" si="0"/>
        <v>44890</v>
      </c>
    </row>
    <row r="21" spans="2:10" x14ac:dyDescent="0.3">
      <c r="B21" s="6" t="s">
        <v>67</v>
      </c>
      <c r="C21" s="22"/>
      <c r="D21" s="22"/>
      <c r="E21" s="22"/>
      <c r="F21" s="22"/>
      <c r="G21" s="22"/>
      <c r="H21" s="12">
        <f t="shared" si="0"/>
        <v>44890</v>
      </c>
    </row>
    <row r="22" spans="2:10" x14ac:dyDescent="0.3">
      <c r="B22" s="6" t="s">
        <v>18</v>
      </c>
      <c r="C22" s="22"/>
      <c r="D22" s="22"/>
      <c r="E22" s="62"/>
      <c r="F22" s="62"/>
      <c r="G22" s="62"/>
      <c r="H22" s="12">
        <f t="shared" si="0"/>
        <v>44890</v>
      </c>
    </row>
    <row r="23" spans="2:10" x14ac:dyDescent="0.3">
      <c r="B23" s="6" t="s">
        <v>16</v>
      </c>
      <c r="C23" s="121"/>
      <c r="D23" s="22"/>
      <c r="E23" s="62"/>
      <c r="F23" s="62"/>
      <c r="G23" s="22"/>
      <c r="H23" s="12">
        <f t="shared" si="0"/>
        <v>44890</v>
      </c>
    </row>
    <row r="24" spans="2:10" x14ac:dyDescent="0.3">
      <c r="B24" s="50" t="s">
        <v>27</v>
      </c>
      <c r="C24" s="51">
        <f>SUM(Nov25_2022[KSI_AGO])</f>
        <v>1458000</v>
      </c>
      <c r="D24" s="51">
        <f>SUBTOTAL(109,Nov25_2022[KSI_PMS])</f>
        <v>1179000</v>
      </c>
      <c r="E24" s="51">
        <f>SUM(Nov25_2022[BUIPE_AGO])</f>
        <v>180000</v>
      </c>
      <c r="F24" s="51">
        <f>SUM(Nov25_2022[BUIPE_PMS])</f>
        <v>324000</v>
      </c>
      <c r="G24" s="51">
        <f>SUM(Nov25_2022[AKOSOMBO_AGO])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39D1842B-B87D-4BEE-8F4C-0CB74F594B8E}">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33C79-FD3F-492F-99B1-35D3B9F70944}">
  <sheetPr>
    <tabColor rgb="FFFFFF00"/>
  </sheetPr>
  <dimension ref="B1:K25"/>
  <sheetViews>
    <sheetView zoomScale="89" zoomScaleNormal="161" workbookViewId="0">
      <pane xSplit="2" ySplit="5" topLeftCell="D6" activePane="bottomRight" state="frozen"/>
      <selection pane="topRight" activeCell="C1" sqref="C1"/>
      <selection pane="bottomLeft" activeCell="A6" sqref="A6"/>
      <selection pane="bottomRight" activeCell="F18" sqref="F18"/>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44893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44893</v>
      </c>
    </row>
    <row r="7" spans="2:11" ht="16.5" customHeight="1" x14ac:dyDescent="0.3">
      <c r="B7" s="6" t="s">
        <v>37</v>
      </c>
      <c r="C7" s="57"/>
      <c r="D7" s="22"/>
      <c r="E7" s="62"/>
      <c r="F7" s="62"/>
      <c r="G7" s="62"/>
      <c r="H7" s="67">
        <f t="shared" si="0"/>
        <v>44893</v>
      </c>
    </row>
    <row r="8" spans="2:11" x14ac:dyDescent="0.3">
      <c r="B8" s="6" t="s">
        <v>17</v>
      </c>
      <c r="C8" s="22"/>
      <c r="D8" s="22"/>
      <c r="E8" s="22"/>
      <c r="F8" s="22"/>
      <c r="G8" s="22"/>
      <c r="H8" s="12">
        <f t="shared" si="0"/>
        <v>44893</v>
      </c>
    </row>
    <row r="9" spans="2:11" ht="15.6" x14ac:dyDescent="0.3">
      <c r="B9" s="34" t="s">
        <v>0</v>
      </c>
      <c r="C9" s="57"/>
      <c r="D9" s="57"/>
      <c r="E9" s="60"/>
      <c r="F9" s="60"/>
      <c r="G9" s="60"/>
      <c r="H9" s="12">
        <f t="shared" si="0"/>
        <v>44893</v>
      </c>
    </row>
    <row r="10" spans="2:11" x14ac:dyDescent="0.3">
      <c r="B10" s="6" t="s">
        <v>25</v>
      </c>
      <c r="C10" s="57"/>
      <c r="D10" s="22"/>
      <c r="E10" s="22"/>
      <c r="F10" s="22"/>
      <c r="G10" s="22"/>
      <c r="H10" s="12">
        <f t="shared" si="0"/>
        <v>44893</v>
      </c>
    </row>
    <row r="11" spans="2:11" x14ac:dyDescent="0.3">
      <c r="B11" s="6" t="s">
        <v>15</v>
      </c>
      <c r="C11" s="57"/>
      <c r="D11" s="116">
        <v>486000</v>
      </c>
      <c r="E11" s="22"/>
      <c r="F11" s="22"/>
      <c r="G11" s="22"/>
      <c r="H11" s="12">
        <f t="shared" si="0"/>
        <v>44893</v>
      </c>
    </row>
    <row r="12" spans="2:11" x14ac:dyDescent="0.3">
      <c r="B12" s="6" t="s">
        <v>54</v>
      </c>
      <c r="C12" s="57"/>
      <c r="D12" s="116"/>
      <c r="E12" s="22"/>
      <c r="F12" s="22"/>
      <c r="G12" s="22"/>
      <c r="H12" s="67">
        <f t="shared" si="0"/>
        <v>44893</v>
      </c>
    </row>
    <row r="13" spans="2:11" x14ac:dyDescent="0.3">
      <c r="B13" s="6" t="s">
        <v>26</v>
      </c>
      <c r="C13" s="57"/>
      <c r="D13" s="116">
        <v>108000</v>
      </c>
      <c r="E13" s="22"/>
      <c r="F13" s="22"/>
      <c r="G13" s="22"/>
      <c r="H13" s="12">
        <f t="shared" si="0"/>
        <v>44893</v>
      </c>
    </row>
    <row r="14" spans="2:11" x14ac:dyDescent="0.3">
      <c r="B14" s="6" t="s">
        <v>22</v>
      </c>
      <c r="C14" s="57"/>
      <c r="D14" s="116"/>
      <c r="E14" s="22"/>
      <c r="F14" s="22"/>
      <c r="G14" s="22"/>
      <c r="H14" s="12">
        <f t="shared" si="0"/>
        <v>44893</v>
      </c>
      <c r="K14" s="4"/>
    </row>
    <row r="15" spans="2:11" x14ac:dyDescent="0.3">
      <c r="B15" s="6" t="s">
        <v>61</v>
      </c>
      <c r="C15" s="57"/>
      <c r="D15" s="116"/>
      <c r="E15" s="22"/>
      <c r="F15" s="22"/>
      <c r="G15" s="22"/>
      <c r="H15" s="67">
        <f t="shared" si="0"/>
        <v>44893</v>
      </c>
      <c r="K15" s="4"/>
    </row>
    <row r="16" spans="2:11" x14ac:dyDescent="0.3">
      <c r="B16" s="6" t="s">
        <v>19</v>
      </c>
      <c r="C16" s="57"/>
      <c r="D16" s="116"/>
      <c r="E16" s="23"/>
      <c r="F16" s="22"/>
      <c r="G16" s="22"/>
      <c r="H16" s="12">
        <f t="shared" si="0"/>
        <v>44893</v>
      </c>
    </row>
    <row r="17" spans="2:10" x14ac:dyDescent="0.3">
      <c r="B17" s="6" t="s">
        <v>14</v>
      </c>
      <c r="C17" s="57"/>
      <c r="D17" s="116">
        <v>864000</v>
      </c>
      <c r="E17" s="22"/>
      <c r="F17" s="23">
        <v>324000</v>
      </c>
      <c r="G17" s="22"/>
      <c r="H17" s="12">
        <f t="shared" si="0"/>
        <v>44893</v>
      </c>
    </row>
    <row r="18" spans="2:10" x14ac:dyDescent="0.3">
      <c r="B18" s="6" t="s">
        <v>24</v>
      </c>
      <c r="C18" s="57"/>
      <c r="D18" s="116"/>
      <c r="E18" s="22"/>
      <c r="F18" s="49"/>
      <c r="G18" s="22"/>
      <c r="H18" s="67">
        <f t="shared" si="0"/>
        <v>44893</v>
      </c>
    </row>
    <row r="19" spans="2:10" x14ac:dyDescent="0.3">
      <c r="B19" s="6" t="s">
        <v>21</v>
      </c>
      <c r="C19" s="57"/>
      <c r="D19" s="116"/>
      <c r="E19" s="22"/>
      <c r="F19" s="22"/>
      <c r="G19" s="22"/>
      <c r="H19" s="12">
        <f t="shared" si="0"/>
        <v>44893</v>
      </c>
      <c r="J19" s="1" t="s">
        <v>66</v>
      </c>
    </row>
    <row r="20" spans="2:10" x14ac:dyDescent="0.3">
      <c r="B20" s="6" t="s">
        <v>65</v>
      </c>
      <c r="C20" s="57"/>
      <c r="D20" s="116"/>
      <c r="E20" s="22"/>
      <c r="F20" s="22"/>
      <c r="G20" s="22"/>
      <c r="H20" s="67">
        <f t="shared" si="0"/>
        <v>44893</v>
      </c>
    </row>
    <row r="21" spans="2:10" x14ac:dyDescent="0.3">
      <c r="B21" s="6" t="s">
        <v>67</v>
      </c>
      <c r="C21" s="57"/>
      <c r="D21" s="116">
        <v>108000</v>
      </c>
      <c r="E21" s="22"/>
      <c r="F21" s="22"/>
      <c r="G21" s="22"/>
      <c r="H21" s="12">
        <f t="shared" si="0"/>
        <v>44893</v>
      </c>
    </row>
    <row r="22" spans="2:10" x14ac:dyDescent="0.3">
      <c r="B22" s="6" t="s">
        <v>18</v>
      </c>
      <c r="C22" s="57"/>
      <c r="D22" s="116"/>
      <c r="E22" s="62"/>
      <c r="F22" s="62"/>
      <c r="G22" s="62"/>
      <c r="H22" s="12">
        <f t="shared" si="0"/>
        <v>44893</v>
      </c>
    </row>
    <row r="23" spans="2:10" x14ac:dyDescent="0.3">
      <c r="B23" s="6" t="s">
        <v>16</v>
      </c>
      <c r="C23" s="121"/>
      <c r="D23" s="133"/>
      <c r="E23" s="62"/>
      <c r="F23" s="62"/>
      <c r="G23" s="22"/>
      <c r="H23" s="12">
        <f t="shared" si="0"/>
        <v>44893</v>
      </c>
    </row>
    <row r="24" spans="2:10" x14ac:dyDescent="0.3">
      <c r="B24" s="50" t="s">
        <v>27</v>
      </c>
      <c r="C24" s="51">
        <f>SUM(Nov28_2022[KSI_AGO])</f>
        <v>0</v>
      </c>
      <c r="D24" s="51">
        <f>SUBTOTAL(109,Nov28_2022[KSI_PMS])</f>
        <v>1566000</v>
      </c>
      <c r="E24" s="51">
        <f>SUM(Nov28_2022[BUIPE_AGO])</f>
        <v>0</v>
      </c>
      <c r="F24" s="51">
        <f>SUM(Nov28_2022[BUIPE_PMS])</f>
        <v>324000</v>
      </c>
      <c r="G24" s="51">
        <f>SUM(Nov28_2022[AKOSOMBO_AGO])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047A80C2-40BD-422B-8182-1DDF6E249F12}">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BED84-EE47-4AA3-995D-E6353B0009C9}">
  <dimension ref="B1:K25"/>
  <sheetViews>
    <sheetView zoomScale="89" zoomScaleNormal="161" workbookViewId="0">
      <pane xSplit="2" ySplit="5" topLeftCell="F6" activePane="bottomRight" state="frozen"/>
      <selection pane="topRight" activeCell="C1" sqref="C1"/>
      <selection pane="bottomLeft" activeCell="A6" sqref="A6"/>
      <selection pane="bottomRight" activeCell="D19" sqref="D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44894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44894</v>
      </c>
    </row>
    <row r="7" spans="2:11" ht="16.5" customHeight="1" x14ac:dyDescent="0.3">
      <c r="B7" s="6" t="s">
        <v>37</v>
      </c>
      <c r="C7" s="57"/>
      <c r="D7" s="22"/>
      <c r="E7" s="62"/>
      <c r="F7" s="62"/>
      <c r="G7" s="62"/>
      <c r="H7" s="67">
        <f t="shared" si="0"/>
        <v>44894</v>
      </c>
    </row>
    <row r="8" spans="2:11" x14ac:dyDescent="0.3">
      <c r="B8" s="6" t="s">
        <v>17</v>
      </c>
      <c r="C8" s="22"/>
      <c r="D8" s="22"/>
      <c r="E8" s="22"/>
      <c r="F8" s="22"/>
      <c r="G8" s="22"/>
      <c r="H8" s="12">
        <f t="shared" si="0"/>
        <v>44894</v>
      </c>
    </row>
    <row r="9" spans="2:11" ht="15.6" x14ac:dyDescent="0.3">
      <c r="B9" s="34" t="s">
        <v>0</v>
      </c>
      <c r="C9" s="57"/>
      <c r="D9" s="57"/>
      <c r="E9" s="60"/>
      <c r="F9" s="60"/>
      <c r="G9" s="60"/>
      <c r="H9" s="12">
        <f t="shared" si="0"/>
        <v>44894</v>
      </c>
    </row>
    <row r="10" spans="2:11" x14ac:dyDescent="0.3">
      <c r="B10" s="6" t="s">
        <v>25</v>
      </c>
      <c r="C10" s="57"/>
      <c r="D10" s="22"/>
      <c r="E10" s="22"/>
      <c r="F10" s="22"/>
      <c r="G10" s="22"/>
      <c r="H10" s="12">
        <f t="shared" si="0"/>
        <v>44894</v>
      </c>
    </row>
    <row r="11" spans="2:11" x14ac:dyDescent="0.3">
      <c r="B11" s="6" t="s">
        <v>15</v>
      </c>
      <c r="C11" s="22"/>
      <c r="D11" s="22">
        <v>216000</v>
      </c>
      <c r="E11" s="22"/>
      <c r="F11" s="22"/>
      <c r="G11" s="22"/>
      <c r="H11" s="12">
        <f t="shared" si="0"/>
        <v>44894</v>
      </c>
    </row>
    <row r="12" spans="2:11" x14ac:dyDescent="0.3">
      <c r="B12" s="6" t="s">
        <v>54</v>
      </c>
      <c r="C12" s="22"/>
      <c r="D12" s="22"/>
      <c r="E12" s="22"/>
      <c r="F12" s="22"/>
      <c r="G12" s="22"/>
      <c r="H12" s="67">
        <f t="shared" si="0"/>
        <v>44894</v>
      </c>
    </row>
    <row r="13" spans="2:11" x14ac:dyDescent="0.3">
      <c r="B13" s="6" t="s">
        <v>26</v>
      </c>
      <c r="C13" s="22"/>
      <c r="D13" s="22"/>
      <c r="E13" s="22"/>
      <c r="F13" s="22"/>
      <c r="G13" s="22"/>
      <c r="H13" s="12">
        <f t="shared" si="0"/>
        <v>44894</v>
      </c>
    </row>
    <row r="14" spans="2:11" x14ac:dyDescent="0.3">
      <c r="B14" s="6" t="s">
        <v>22</v>
      </c>
      <c r="C14" s="22"/>
      <c r="D14" s="22"/>
      <c r="E14" s="22"/>
      <c r="F14" s="22"/>
      <c r="G14" s="22"/>
      <c r="H14" s="12">
        <f t="shared" si="0"/>
        <v>44894</v>
      </c>
      <c r="K14" s="4"/>
    </row>
    <row r="15" spans="2:11" x14ac:dyDescent="0.3">
      <c r="B15" s="6" t="s">
        <v>61</v>
      </c>
      <c r="C15" s="22"/>
      <c r="D15" s="22"/>
      <c r="E15" s="22"/>
      <c r="F15" s="22"/>
      <c r="G15" s="22"/>
      <c r="H15" s="67">
        <f t="shared" si="0"/>
        <v>44894</v>
      </c>
      <c r="K15" s="4"/>
    </row>
    <row r="16" spans="2:11" x14ac:dyDescent="0.3">
      <c r="B16" s="6" t="s">
        <v>19</v>
      </c>
      <c r="C16" s="22"/>
      <c r="D16" s="22"/>
      <c r="E16" s="23"/>
      <c r="F16" s="22"/>
      <c r="G16" s="22"/>
      <c r="H16" s="12">
        <f t="shared" si="0"/>
        <v>44894</v>
      </c>
    </row>
    <row r="17" spans="2:10" x14ac:dyDescent="0.3">
      <c r="B17" s="6" t="s">
        <v>14</v>
      </c>
      <c r="C17" s="22"/>
      <c r="D17" s="22">
        <v>972000</v>
      </c>
      <c r="E17" s="22"/>
      <c r="F17" s="23">
        <v>54000</v>
      </c>
      <c r="G17" s="22"/>
      <c r="H17" s="12">
        <f t="shared" si="0"/>
        <v>44894</v>
      </c>
    </row>
    <row r="18" spans="2:10" x14ac:dyDescent="0.3">
      <c r="B18" s="6" t="s">
        <v>24</v>
      </c>
      <c r="C18" s="22"/>
      <c r="D18" s="22"/>
      <c r="E18" s="22"/>
      <c r="F18" s="49"/>
      <c r="G18" s="22"/>
      <c r="H18" s="67">
        <f t="shared" si="0"/>
        <v>44894</v>
      </c>
    </row>
    <row r="19" spans="2:10" x14ac:dyDescent="0.3">
      <c r="B19" s="6" t="s">
        <v>21</v>
      </c>
      <c r="C19" s="22"/>
      <c r="D19" s="22"/>
      <c r="E19" s="22"/>
      <c r="F19" s="22"/>
      <c r="G19" s="22"/>
      <c r="H19" s="12">
        <f t="shared" si="0"/>
        <v>44894</v>
      </c>
      <c r="J19" s="1" t="s">
        <v>66</v>
      </c>
    </row>
    <row r="20" spans="2:10" x14ac:dyDescent="0.3">
      <c r="B20" s="6" t="s">
        <v>65</v>
      </c>
      <c r="C20" s="22"/>
      <c r="D20" s="57"/>
      <c r="E20" s="22"/>
      <c r="F20" s="22"/>
      <c r="G20" s="22"/>
      <c r="H20" s="67">
        <f t="shared" si="0"/>
        <v>44894</v>
      </c>
    </row>
    <row r="21" spans="2:10" x14ac:dyDescent="0.3">
      <c r="B21" s="6" t="s">
        <v>67</v>
      </c>
      <c r="C21" s="22"/>
      <c r="D21" s="22"/>
      <c r="E21" s="22"/>
      <c r="F21" s="22"/>
      <c r="G21" s="22"/>
      <c r="H21" s="12">
        <f t="shared" si="0"/>
        <v>44894</v>
      </c>
    </row>
    <row r="22" spans="2:10" x14ac:dyDescent="0.3">
      <c r="B22" s="6" t="s">
        <v>18</v>
      </c>
      <c r="C22" s="22"/>
      <c r="D22" s="22"/>
      <c r="E22" s="62"/>
      <c r="F22" s="62"/>
      <c r="G22" s="62"/>
      <c r="H22" s="12">
        <f t="shared" si="0"/>
        <v>44894</v>
      </c>
    </row>
    <row r="23" spans="2:10" x14ac:dyDescent="0.3">
      <c r="B23" s="6" t="s">
        <v>16</v>
      </c>
      <c r="C23" s="121"/>
      <c r="D23" s="22"/>
      <c r="E23" s="62"/>
      <c r="F23" s="62"/>
      <c r="G23" s="22"/>
      <c r="H23" s="12">
        <f t="shared" si="0"/>
        <v>44894</v>
      </c>
    </row>
    <row r="24" spans="2:10" x14ac:dyDescent="0.3">
      <c r="B24" s="50" t="s">
        <v>27</v>
      </c>
      <c r="C24" s="51">
        <f>SUM(Nov29_2022[KSI_AGO])</f>
        <v>0</v>
      </c>
      <c r="D24" s="51">
        <f>SUBTOTAL(109,Nov29_2022[KSI_PMS])</f>
        <v>1188000</v>
      </c>
      <c r="E24" s="51">
        <f>SUM(Nov29_2022[BUIPE_AGO])</f>
        <v>0</v>
      </c>
      <c r="F24" s="51">
        <f>SUM(Nov29_2022[BUIPE_PMS])</f>
        <v>54000</v>
      </c>
      <c r="G24" s="51">
        <f>SUM(Nov29_2022[AKOSOMBO_AGO])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0B8BE0E7-6B5D-475E-AED5-2A7C1A5B35A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CB70-2BC9-40A0-93D6-539915C133ED}">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E33" sqref="E3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44895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44895</v>
      </c>
    </row>
    <row r="7" spans="2:11" ht="16.5" customHeight="1" x14ac:dyDescent="0.3">
      <c r="B7" s="6" t="s">
        <v>37</v>
      </c>
      <c r="C7" s="57"/>
      <c r="D7" s="22"/>
      <c r="E7" s="62"/>
      <c r="F7" s="62"/>
      <c r="G7" s="62"/>
      <c r="H7" s="67">
        <f t="shared" si="0"/>
        <v>44895</v>
      </c>
    </row>
    <row r="8" spans="2:11" x14ac:dyDescent="0.3">
      <c r="B8" s="6" t="s">
        <v>17</v>
      </c>
      <c r="C8" s="22"/>
      <c r="D8" s="22"/>
      <c r="E8" s="22"/>
      <c r="F8" s="22"/>
      <c r="G8" s="22"/>
      <c r="H8" s="12">
        <f t="shared" si="0"/>
        <v>44895</v>
      </c>
    </row>
    <row r="9" spans="2:11" ht="15.6" x14ac:dyDescent="0.3">
      <c r="B9" s="34" t="s">
        <v>0</v>
      </c>
      <c r="C9" s="57"/>
      <c r="D9" s="57"/>
      <c r="E9" s="60"/>
      <c r="F9" s="60"/>
      <c r="G9" s="60"/>
      <c r="H9" s="12">
        <f t="shared" si="0"/>
        <v>44895</v>
      </c>
    </row>
    <row r="10" spans="2:11" x14ac:dyDescent="0.3">
      <c r="B10" s="6" t="s">
        <v>25</v>
      </c>
      <c r="C10" s="57"/>
      <c r="D10" s="22"/>
      <c r="E10" s="22"/>
      <c r="F10" s="22"/>
      <c r="G10" s="22"/>
      <c r="H10" s="12">
        <f t="shared" si="0"/>
        <v>44895</v>
      </c>
    </row>
    <row r="11" spans="2:11" x14ac:dyDescent="0.3">
      <c r="B11" s="6" t="s">
        <v>15</v>
      </c>
      <c r="C11" s="22"/>
      <c r="D11" s="22">
        <v>270000</v>
      </c>
      <c r="E11" s="22"/>
      <c r="F11" s="22"/>
      <c r="G11" s="22"/>
      <c r="H11" s="12">
        <f t="shared" si="0"/>
        <v>44895</v>
      </c>
    </row>
    <row r="12" spans="2:11" x14ac:dyDescent="0.3">
      <c r="B12" s="6" t="s">
        <v>54</v>
      </c>
      <c r="C12" s="22">
        <v>432000</v>
      </c>
      <c r="D12" s="22"/>
      <c r="E12" s="22">
        <v>270000</v>
      </c>
      <c r="F12" s="22"/>
      <c r="G12" s="22"/>
      <c r="H12" s="67">
        <f t="shared" si="0"/>
        <v>44895</v>
      </c>
    </row>
    <row r="13" spans="2:11" x14ac:dyDescent="0.3">
      <c r="B13" s="6" t="s">
        <v>26</v>
      </c>
      <c r="C13" s="22"/>
      <c r="D13" s="22"/>
      <c r="E13" s="22"/>
      <c r="F13" s="22"/>
      <c r="G13" s="22"/>
      <c r="H13" s="12">
        <f t="shared" si="0"/>
        <v>44895</v>
      </c>
    </row>
    <row r="14" spans="2:11" x14ac:dyDescent="0.3">
      <c r="B14" s="6" t="s">
        <v>22</v>
      </c>
      <c r="C14" s="22"/>
      <c r="D14" s="22"/>
      <c r="E14" s="22"/>
      <c r="F14" s="22"/>
      <c r="G14" s="22"/>
      <c r="H14" s="12">
        <f t="shared" si="0"/>
        <v>44895</v>
      </c>
      <c r="K14" s="4"/>
    </row>
    <row r="15" spans="2:11" x14ac:dyDescent="0.3">
      <c r="B15" s="6" t="s">
        <v>61</v>
      </c>
      <c r="C15" s="22"/>
      <c r="D15" s="22"/>
      <c r="E15" s="22"/>
      <c r="F15" s="22"/>
      <c r="G15" s="22"/>
      <c r="H15" s="67">
        <f t="shared" si="0"/>
        <v>44895</v>
      </c>
      <c r="K15" s="4"/>
    </row>
    <row r="16" spans="2:11" x14ac:dyDescent="0.3">
      <c r="B16" s="6" t="s">
        <v>19</v>
      </c>
      <c r="C16" s="22"/>
      <c r="D16" s="22">
        <v>567000</v>
      </c>
      <c r="E16" s="23"/>
      <c r="F16" s="22"/>
      <c r="G16" s="22"/>
      <c r="H16" s="12">
        <f t="shared" si="0"/>
        <v>44895</v>
      </c>
    </row>
    <row r="17" spans="2:10" x14ac:dyDescent="0.3">
      <c r="B17" s="6" t="s">
        <v>14</v>
      </c>
      <c r="C17" s="22">
        <v>162000</v>
      </c>
      <c r="D17" s="22">
        <v>644000</v>
      </c>
      <c r="E17" s="22"/>
      <c r="F17" s="23"/>
      <c r="G17" s="22"/>
      <c r="H17" s="12">
        <f t="shared" si="0"/>
        <v>44895</v>
      </c>
    </row>
    <row r="18" spans="2:10" x14ac:dyDescent="0.3">
      <c r="B18" s="6" t="s">
        <v>24</v>
      </c>
      <c r="C18" s="22"/>
      <c r="D18" s="22"/>
      <c r="E18" s="22"/>
      <c r="F18" s="49"/>
      <c r="G18" s="22"/>
      <c r="H18" s="67">
        <f t="shared" si="0"/>
        <v>44895</v>
      </c>
    </row>
    <row r="19" spans="2:10" x14ac:dyDescent="0.3">
      <c r="B19" s="6" t="s">
        <v>21</v>
      </c>
      <c r="C19" s="22"/>
      <c r="D19" s="22"/>
      <c r="E19" s="22"/>
      <c r="F19" s="22"/>
      <c r="G19" s="22"/>
      <c r="H19" s="12">
        <f t="shared" si="0"/>
        <v>44895</v>
      </c>
      <c r="J19" s="1" t="s">
        <v>66</v>
      </c>
    </row>
    <row r="20" spans="2:10" x14ac:dyDescent="0.3">
      <c r="B20" s="6" t="s">
        <v>65</v>
      </c>
      <c r="C20" s="22"/>
      <c r="D20" s="57"/>
      <c r="E20" s="22"/>
      <c r="F20" s="22"/>
      <c r="G20" s="22"/>
      <c r="H20" s="67">
        <f t="shared" si="0"/>
        <v>44895</v>
      </c>
    </row>
    <row r="21" spans="2:10" x14ac:dyDescent="0.3">
      <c r="B21" s="6" t="s">
        <v>67</v>
      </c>
      <c r="C21" s="22"/>
      <c r="D21" s="22"/>
      <c r="E21" s="22"/>
      <c r="F21" s="22"/>
      <c r="G21" s="22"/>
      <c r="H21" s="12">
        <f t="shared" si="0"/>
        <v>44895</v>
      </c>
    </row>
    <row r="22" spans="2:10" x14ac:dyDescent="0.3">
      <c r="B22" s="6" t="s">
        <v>18</v>
      </c>
      <c r="C22" s="22"/>
      <c r="D22" s="22"/>
      <c r="E22" s="62"/>
      <c r="F22" s="62"/>
      <c r="G22" s="62"/>
      <c r="H22" s="12">
        <f t="shared" si="0"/>
        <v>44895</v>
      </c>
    </row>
    <row r="23" spans="2:10" x14ac:dyDescent="0.3">
      <c r="B23" s="6" t="s">
        <v>16</v>
      </c>
      <c r="C23" s="121"/>
      <c r="D23" s="22"/>
      <c r="E23" s="62"/>
      <c r="F23" s="62"/>
      <c r="G23" s="22"/>
      <c r="H23" s="12">
        <f t="shared" si="0"/>
        <v>44895</v>
      </c>
    </row>
    <row r="24" spans="2:10" x14ac:dyDescent="0.3">
      <c r="B24" s="50" t="s">
        <v>27</v>
      </c>
      <c r="C24" s="51">
        <f>SUM(Nov30_2022[KSI_AGO])</f>
        <v>594000</v>
      </c>
      <c r="D24" s="51">
        <f>SUBTOTAL(109,Nov30_2022[KSI_PMS])</f>
        <v>1481000</v>
      </c>
      <c r="E24" s="51">
        <f>SUM(Nov30_2022[BUIPE_AGO])</f>
        <v>270000</v>
      </c>
      <c r="F24" s="51">
        <f>SUM(Nov30_2022[BUIPE_PMS])</f>
        <v>0</v>
      </c>
      <c r="G24" s="51">
        <f>SUM(Nov30_2022[AKOSOMBO_AGO])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6249484E-7033-4452-B4D5-1476825A69E0}">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9A3C-12A2-43E1-B2C3-0F03D8EF3A01}">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J19" sqref="J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44896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44896</v>
      </c>
    </row>
    <row r="7" spans="2:11" ht="16.5" customHeight="1" x14ac:dyDescent="0.3">
      <c r="B7" s="6" t="s">
        <v>37</v>
      </c>
      <c r="C7" s="57"/>
      <c r="D7" s="22"/>
      <c r="E7" s="62"/>
      <c r="F7" s="62"/>
      <c r="G7" s="62"/>
      <c r="H7" s="67">
        <f t="shared" si="0"/>
        <v>44896</v>
      </c>
    </row>
    <row r="8" spans="2:11" x14ac:dyDescent="0.3">
      <c r="B8" s="6" t="s">
        <v>17</v>
      </c>
      <c r="C8" s="22"/>
      <c r="D8" s="22"/>
      <c r="E8" s="22"/>
      <c r="F8" s="22"/>
      <c r="G8" s="22"/>
      <c r="H8" s="12">
        <f t="shared" si="0"/>
        <v>44896</v>
      </c>
    </row>
    <row r="9" spans="2:11" ht="15.6" x14ac:dyDescent="0.3">
      <c r="B9" s="34" t="s">
        <v>0</v>
      </c>
      <c r="C9" s="57"/>
      <c r="D9" s="57"/>
      <c r="E9" s="60"/>
      <c r="F9" s="60"/>
      <c r="G9" s="60"/>
      <c r="H9" s="12">
        <f t="shared" si="0"/>
        <v>44896</v>
      </c>
    </row>
    <row r="10" spans="2:11" x14ac:dyDescent="0.3">
      <c r="B10" s="6" t="s">
        <v>25</v>
      </c>
      <c r="C10" s="57"/>
      <c r="D10" s="22"/>
      <c r="E10" s="22"/>
      <c r="F10" s="22"/>
      <c r="G10" s="22"/>
      <c r="H10" s="12">
        <f t="shared" si="0"/>
        <v>44896</v>
      </c>
    </row>
    <row r="11" spans="2:11" x14ac:dyDescent="0.3">
      <c r="B11" s="6" t="s">
        <v>15</v>
      </c>
      <c r="C11" s="22"/>
      <c r="D11" s="22">
        <v>162000</v>
      </c>
      <c r="E11" s="22"/>
      <c r="F11" s="22"/>
      <c r="G11" s="22"/>
      <c r="H11" s="12">
        <f t="shared" si="0"/>
        <v>44896</v>
      </c>
    </row>
    <row r="12" spans="2:11" x14ac:dyDescent="0.3">
      <c r="B12" s="6" t="s">
        <v>54</v>
      </c>
      <c r="C12" s="22"/>
      <c r="D12" s="22"/>
      <c r="E12" s="22"/>
      <c r="F12" s="22"/>
      <c r="G12" s="22"/>
      <c r="H12" s="67">
        <f t="shared" si="0"/>
        <v>44896</v>
      </c>
    </row>
    <row r="13" spans="2:11" x14ac:dyDescent="0.3">
      <c r="B13" s="6" t="s">
        <v>26</v>
      </c>
      <c r="C13" s="22"/>
      <c r="D13" s="22"/>
      <c r="E13" s="22"/>
      <c r="F13" s="22"/>
      <c r="G13" s="22"/>
      <c r="H13" s="12">
        <f t="shared" si="0"/>
        <v>44896</v>
      </c>
    </row>
    <row r="14" spans="2:11" x14ac:dyDescent="0.3">
      <c r="B14" s="6" t="s">
        <v>22</v>
      </c>
      <c r="C14" s="22"/>
      <c r="D14" s="22"/>
      <c r="E14" s="22"/>
      <c r="F14" s="22"/>
      <c r="G14" s="22"/>
      <c r="H14" s="12">
        <f t="shared" si="0"/>
        <v>44896</v>
      </c>
      <c r="K14" s="4"/>
    </row>
    <row r="15" spans="2:11" x14ac:dyDescent="0.3">
      <c r="B15" s="6" t="s">
        <v>61</v>
      </c>
      <c r="C15" s="22"/>
      <c r="D15" s="22"/>
      <c r="E15" s="22"/>
      <c r="F15" s="22"/>
      <c r="G15" s="22"/>
      <c r="H15" s="67">
        <f t="shared" si="0"/>
        <v>44896</v>
      </c>
      <c r="K15" s="4"/>
    </row>
    <row r="16" spans="2:11" x14ac:dyDescent="0.3">
      <c r="B16" s="6" t="s">
        <v>19</v>
      </c>
      <c r="C16" s="22"/>
      <c r="D16" s="22"/>
      <c r="E16" s="23"/>
      <c r="F16" s="22"/>
      <c r="G16" s="22"/>
      <c r="H16" s="12">
        <f t="shared" si="0"/>
        <v>44896</v>
      </c>
    </row>
    <row r="17" spans="2:10" x14ac:dyDescent="0.3">
      <c r="B17" s="6" t="s">
        <v>14</v>
      </c>
      <c r="C17" s="22">
        <v>702000</v>
      </c>
      <c r="D17" s="22"/>
      <c r="E17" s="22"/>
      <c r="F17" s="23"/>
      <c r="G17" s="22"/>
      <c r="H17" s="12">
        <f t="shared" si="0"/>
        <v>44896</v>
      </c>
    </row>
    <row r="18" spans="2:10" x14ac:dyDescent="0.3">
      <c r="B18" s="6" t="s">
        <v>24</v>
      </c>
      <c r="C18" s="22"/>
      <c r="D18" s="22"/>
      <c r="E18" s="22"/>
      <c r="F18" s="49"/>
      <c r="G18" s="22"/>
      <c r="H18" s="67">
        <f t="shared" si="0"/>
        <v>44896</v>
      </c>
    </row>
    <row r="19" spans="2:10" x14ac:dyDescent="0.3">
      <c r="B19" s="6" t="s">
        <v>21</v>
      </c>
      <c r="C19" s="22"/>
      <c r="D19" s="22"/>
      <c r="E19" s="22"/>
      <c r="F19" s="22"/>
      <c r="G19" s="22"/>
      <c r="H19" s="12">
        <f t="shared" si="0"/>
        <v>44896</v>
      </c>
      <c r="J19" s="1" t="s">
        <v>66</v>
      </c>
    </row>
    <row r="20" spans="2:10" x14ac:dyDescent="0.3">
      <c r="B20" s="6" t="s">
        <v>65</v>
      </c>
      <c r="C20" s="22"/>
      <c r="D20" s="57"/>
      <c r="E20" s="22"/>
      <c r="F20" s="22"/>
      <c r="G20" s="22"/>
      <c r="H20" s="67">
        <f t="shared" si="0"/>
        <v>44896</v>
      </c>
    </row>
    <row r="21" spans="2:10" x14ac:dyDescent="0.3">
      <c r="B21" s="6" t="s">
        <v>67</v>
      </c>
      <c r="C21" s="22"/>
      <c r="D21" s="22">
        <v>108000</v>
      </c>
      <c r="E21" s="22"/>
      <c r="F21" s="22"/>
      <c r="G21" s="22"/>
      <c r="H21" s="12">
        <f t="shared" si="0"/>
        <v>44896</v>
      </c>
    </row>
    <row r="22" spans="2:10" x14ac:dyDescent="0.3">
      <c r="B22" s="6" t="s">
        <v>18</v>
      </c>
      <c r="C22" s="22"/>
      <c r="D22" s="22"/>
      <c r="E22" s="62"/>
      <c r="F22" s="62"/>
      <c r="G22" s="62"/>
      <c r="H22" s="12">
        <f t="shared" si="0"/>
        <v>44896</v>
      </c>
    </row>
    <row r="23" spans="2:10" x14ac:dyDescent="0.3">
      <c r="B23" s="6" t="s">
        <v>16</v>
      </c>
      <c r="C23" s="121"/>
      <c r="D23" s="22"/>
      <c r="E23" s="62"/>
      <c r="F23" s="62"/>
      <c r="G23" s="22"/>
      <c r="H23" s="12">
        <f t="shared" si="0"/>
        <v>44896</v>
      </c>
    </row>
    <row r="24" spans="2:10" x14ac:dyDescent="0.3">
      <c r="B24" s="50" t="s">
        <v>27</v>
      </c>
      <c r="C24" s="51">
        <f>SUM(Dec01_2022[KSI_AGO])</f>
        <v>702000</v>
      </c>
      <c r="D24" s="51">
        <f>SUBTOTAL(109,Dec01_2022[KSI_PMS])</f>
        <v>270000</v>
      </c>
      <c r="E24" s="51">
        <f>SUM(Dec01_2022[BUIPE_AGO])</f>
        <v>0</v>
      </c>
      <c r="F24" s="51">
        <f>SUM(Dec01_2022[BUIPE_PMS])</f>
        <v>0</v>
      </c>
      <c r="G24" s="51">
        <f>SUM(Dec01_2022[AKOSOMBO_AGO])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2A302B38-262B-42C5-AC48-70DB1BF50A0C}">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24ACA-3580-4C01-B2A3-6EA9622E3376}">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F30" sqref="F3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44900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44900</v>
      </c>
    </row>
    <row r="7" spans="2:11" ht="16.5" customHeight="1" x14ac:dyDescent="0.3">
      <c r="B7" s="6" t="s">
        <v>37</v>
      </c>
      <c r="C7" s="57"/>
      <c r="D7" s="22"/>
      <c r="E7" s="62"/>
      <c r="F7" s="62"/>
      <c r="G7" s="62"/>
      <c r="H7" s="67">
        <f t="shared" si="0"/>
        <v>44900</v>
      </c>
    </row>
    <row r="8" spans="2:11" x14ac:dyDescent="0.3">
      <c r="B8" s="6" t="s">
        <v>17</v>
      </c>
      <c r="C8" s="22"/>
      <c r="D8" s="22"/>
      <c r="E8" s="22"/>
      <c r="F8" s="22"/>
      <c r="G8" s="22"/>
      <c r="H8" s="12">
        <f t="shared" si="0"/>
        <v>44900</v>
      </c>
    </row>
    <row r="9" spans="2:11" ht="15.6" x14ac:dyDescent="0.3">
      <c r="B9" s="34" t="s">
        <v>0</v>
      </c>
      <c r="C9" s="57"/>
      <c r="D9" s="57"/>
      <c r="E9" s="60"/>
      <c r="F9" s="60"/>
      <c r="G9" s="60"/>
      <c r="H9" s="12">
        <f t="shared" si="0"/>
        <v>44900</v>
      </c>
    </row>
    <row r="10" spans="2:11" x14ac:dyDescent="0.3">
      <c r="B10" s="6" t="s">
        <v>25</v>
      </c>
      <c r="C10" s="57"/>
      <c r="D10" s="22"/>
      <c r="E10" s="22"/>
      <c r="F10" s="22"/>
      <c r="G10" s="22"/>
      <c r="H10" s="12">
        <f t="shared" si="0"/>
        <v>44900</v>
      </c>
    </row>
    <row r="11" spans="2:11" x14ac:dyDescent="0.3">
      <c r="B11" s="6" t="s">
        <v>15</v>
      </c>
      <c r="C11" s="22"/>
      <c r="D11" s="22">
        <v>324000</v>
      </c>
      <c r="E11" s="22"/>
      <c r="F11" s="22"/>
      <c r="G11" s="22"/>
      <c r="H11" s="12">
        <f t="shared" si="0"/>
        <v>44900</v>
      </c>
    </row>
    <row r="12" spans="2:11" x14ac:dyDescent="0.3">
      <c r="B12" s="6" t="s">
        <v>54</v>
      </c>
      <c r="C12" s="22">
        <v>806000</v>
      </c>
      <c r="D12" s="22"/>
      <c r="E12" s="22">
        <v>270000</v>
      </c>
      <c r="F12" s="22"/>
      <c r="G12" s="22"/>
      <c r="H12" s="67">
        <f t="shared" si="0"/>
        <v>44900</v>
      </c>
    </row>
    <row r="13" spans="2:11" x14ac:dyDescent="0.3">
      <c r="B13" s="6" t="s">
        <v>26</v>
      </c>
      <c r="C13" s="22"/>
      <c r="D13" s="22">
        <v>54000</v>
      </c>
      <c r="E13" s="22"/>
      <c r="F13" s="22"/>
      <c r="G13" s="22"/>
      <c r="H13" s="12">
        <f t="shared" si="0"/>
        <v>44900</v>
      </c>
    </row>
    <row r="14" spans="2:11" x14ac:dyDescent="0.3">
      <c r="B14" s="6" t="s">
        <v>22</v>
      </c>
      <c r="C14" s="22"/>
      <c r="D14" s="22"/>
      <c r="E14" s="22"/>
      <c r="F14" s="22"/>
      <c r="G14" s="22"/>
      <c r="H14" s="12">
        <f t="shared" si="0"/>
        <v>44900</v>
      </c>
      <c r="K14" s="4"/>
    </row>
    <row r="15" spans="2:11" x14ac:dyDescent="0.3">
      <c r="B15" s="6" t="s">
        <v>61</v>
      </c>
      <c r="C15" s="22"/>
      <c r="D15" s="22"/>
      <c r="E15" s="22"/>
      <c r="F15" s="22"/>
      <c r="G15" s="22"/>
      <c r="H15" s="67">
        <f t="shared" si="0"/>
        <v>44900</v>
      </c>
      <c r="K15" s="4"/>
    </row>
    <row r="16" spans="2:11" x14ac:dyDescent="0.3">
      <c r="B16" s="6" t="s">
        <v>19</v>
      </c>
      <c r="C16" s="22"/>
      <c r="D16" s="22">
        <v>243000</v>
      </c>
      <c r="E16" s="23"/>
      <c r="F16" s="22"/>
      <c r="G16" s="22"/>
      <c r="H16" s="12">
        <f t="shared" si="0"/>
        <v>44900</v>
      </c>
    </row>
    <row r="17" spans="2:10" x14ac:dyDescent="0.3">
      <c r="B17" s="6" t="s">
        <v>14</v>
      </c>
      <c r="C17" s="22">
        <v>1242000</v>
      </c>
      <c r="D17" s="22">
        <v>486000</v>
      </c>
      <c r="E17" s="22"/>
      <c r="F17" s="23"/>
      <c r="G17" s="22"/>
      <c r="H17" s="12">
        <f t="shared" si="0"/>
        <v>44900</v>
      </c>
    </row>
    <row r="18" spans="2:10" x14ac:dyDescent="0.3">
      <c r="B18" s="6" t="s">
        <v>24</v>
      </c>
      <c r="C18" s="22"/>
      <c r="D18" s="22"/>
      <c r="E18" s="22"/>
      <c r="F18" s="49"/>
      <c r="G18" s="22"/>
      <c r="H18" s="67">
        <f t="shared" si="0"/>
        <v>44900</v>
      </c>
    </row>
    <row r="19" spans="2:10" x14ac:dyDescent="0.3">
      <c r="B19" s="6" t="s">
        <v>21</v>
      </c>
      <c r="C19" s="22"/>
      <c r="D19" s="22"/>
      <c r="E19" s="22"/>
      <c r="F19" s="22"/>
      <c r="G19" s="22"/>
      <c r="H19" s="12">
        <f t="shared" si="0"/>
        <v>44900</v>
      </c>
      <c r="J19" s="1" t="s">
        <v>66</v>
      </c>
    </row>
    <row r="20" spans="2:10" x14ac:dyDescent="0.3">
      <c r="B20" s="6" t="s">
        <v>65</v>
      </c>
      <c r="C20" s="22"/>
      <c r="D20" s="57"/>
      <c r="E20" s="22"/>
      <c r="F20" s="22"/>
      <c r="G20" s="22"/>
      <c r="H20" s="67">
        <f t="shared" si="0"/>
        <v>44900</v>
      </c>
    </row>
    <row r="21" spans="2:10" x14ac:dyDescent="0.3">
      <c r="B21" s="6" t="s">
        <v>67</v>
      </c>
      <c r="C21" s="22"/>
      <c r="D21" s="22"/>
      <c r="E21" s="22"/>
      <c r="F21" s="22"/>
      <c r="G21" s="22"/>
      <c r="H21" s="12">
        <f t="shared" si="0"/>
        <v>44900</v>
      </c>
    </row>
    <row r="22" spans="2:10" x14ac:dyDescent="0.3">
      <c r="B22" s="6" t="s">
        <v>18</v>
      </c>
      <c r="C22" s="22"/>
      <c r="D22" s="22"/>
      <c r="E22" s="62"/>
      <c r="F22" s="62"/>
      <c r="G22" s="62"/>
      <c r="H22" s="12">
        <f t="shared" si="0"/>
        <v>44900</v>
      </c>
    </row>
    <row r="23" spans="2:10" x14ac:dyDescent="0.3">
      <c r="B23" s="6" t="s">
        <v>16</v>
      </c>
      <c r="C23" s="121"/>
      <c r="D23" s="22"/>
      <c r="E23" s="62"/>
      <c r="F23" s="62"/>
      <c r="G23" s="22"/>
      <c r="H23" s="12">
        <f t="shared" si="0"/>
        <v>44900</v>
      </c>
    </row>
    <row r="24" spans="2:10" x14ac:dyDescent="0.3">
      <c r="B24" s="50" t="s">
        <v>27</v>
      </c>
      <c r="C24" s="51">
        <f>SUM(Dec05_20222[KSI_AGO])</f>
        <v>2048000</v>
      </c>
      <c r="D24" s="51">
        <f>SUBTOTAL(109,Dec05_20222[KSI_PMS])</f>
        <v>1107000</v>
      </c>
      <c r="E24" s="51">
        <f>SUM(Dec05_20222[BUIPE_AGO])</f>
        <v>270000</v>
      </c>
      <c r="F24" s="51">
        <f>SUM(Dec05_20222[BUIPE_PMS])</f>
        <v>0</v>
      </c>
      <c r="G24" s="51">
        <f>SUM(Dec05_20222[AKOSOMBO_AGO])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2C13C1AE-0399-4574-B21D-021ED2938FC0}">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C8BC-1AE6-4184-9D74-AF03F6554BE9}">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E21" sqref="E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44901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44901</v>
      </c>
    </row>
    <row r="7" spans="2:11" ht="16.5" customHeight="1" x14ac:dyDescent="0.3">
      <c r="B7" s="6" t="s">
        <v>37</v>
      </c>
      <c r="C7" s="57"/>
      <c r="D7" s="22"/>
      <c r="E7" s="62"/>
      <c r="F7" s="62"/>
      <c r="G7" s="62"/>
      <c r="H7" s="67">
        <f t="shared" si="0"/>
        <v>44901</v>
      </c>
    </row>
    <row r="8" spans="2:11" x14ac:dyDescent="0.3">
      <c r="B8" s="6" t="s">
        <v>17</v>
      </c>
      <c r="C8" s="22"/>
      <c r="D8" s="22"/>
      <c r="E8" s="22"/>
      <c r="F8" s="22"/>
      <c r="G8" s="22"/>
      <c r="H8" s="12">
        <f t="shared" si="0"/>
        <v>44901</v>
      </c>
    </row>
    <row r="9" spans="2:11" ht="15.6" x14ac:dyDescent="0.3">
      <c r="B9" s="34" t="s">
        <v>0</v>
      </c>
      <c r="C9" s="57"/>
      <c r="D9" s="57"/>
      <c r="E9" s="60"/>
      <c r="F9" s="60"/>
      <c r="G9" s="60"/>
      <c r="H9" s="12">
        <f t="shared" si="0"/>
        <v>44901</v>
      </c>
    </row>
    <row r="10" spans="2:11" x14ac:dyDescent="0.3">
      <c r="B10" s="6" t="s">
        <v>25</v>
      </c>
      <c r="C10" s="57"/>
      <c r="D10" s="22"/>
      <c r="E10" s="22"/>
      <c r="F10" s="22"/>
      <c r="G10" s="22"/>
      <c r="H10" s="12">
        <f t="shared" si="0"/>
        <v>44901</v>
      </c>
    </row>
    <row r="11" spans="2:11" x14ac:dyDescent="0.3">
      <c r="B11" s="6" t="s">
        <v>15</v>
      </c>
      <c r="C11" s="22"/>
      <c r="D11" s="22">
        <v>50000</v>
      </c>
      <c r="E11" s="22"/>
      <c r="F11" s="22"/>
      <c r="G11" s="22"/>
      <c r="H11" s="12">
        <f t="shared" si="0"/>
        <v>44901</v>
      </c>
    </row>
    <row r="12" spans="2:11" x14ac:dyDescent="0.3">
      <c r="B12" s="6" t="s">
        <v>54</v>
      </c>
      <c r="C12" s="22">
        <v>324000</v>
      </c>
      <c r="D12" s="22"/>
      <c r="E12" s="22"/>
      <c r="F12" s="22"/>
      <c r="G12" s="22"/>
      <c r="H12" s="67">
        <f t="shared" si="0"/>
        <v>44901</v>
      </c>
    </row>
    <row r="13" spans="2:11" x14ac:dyDescent="0.3">
      <c r="B13" s="6" t="s">
        <v>26</v>
      </c>
      <c r="C13" s="22">
        <v>432000</v>
      </c>
      <c r="D13" s="22">
        <v>486000</v>
      </c>
      <c r="E13" s="22"/>
      <c r="F13" s="22"/>
      <c r="G13" s="22"/>
      <c r="H13" s="12">
        <f t="shared" si="0"/>
        <v>44901</v>
      </c>
    </row>
    <row r="14" spans="2:11" x14ac:dyDescent="0.3">
      <c r="B14" s="6" t="s">
        <v>22</v>
      </c>
      <c r="C14" s="22"/>
      <c r="D14" s="22"/>
      <c r="E14" s="22"/>
      <c r="F14" s="22"/>
      <c r="G14" s="22"/>
      <c r="H14" s="12">
        <f t="shared" si="0"/>
        <v>44901</v>
      </c>
      <c r="K14" s="4"/>
    </row>
    <row r="15" spans="2:11" x14ac:dyDescent="0.3">
      <c r="B15" s="6" t="s">
        <v>61</v>
      </c>
      <c r="C15" s="22"/>
      <c r="D15" s="22"/>
      <c r="E15" s="22"/>
      <c r="F15" s="22"/>
      <c r="G15" s="22"/>
      <c r="H15" s="67">
        <f t="shared" si="0"/>
        <v>44901</v>
      </c>
      <c r="K15" s="4"/>
    </row>
    <row r="16" spans="2:11" x14ac:dyDescent="0.3">
      <c r="B16" s="6" t="s">
        <v>19</v>
      </c>
      <c r="C16" s="22"/>
      <c r="D16" s="22"/>
      <c r="E16" s="23"/>
      <c r="F16" s="22"/>
      <c r="G16" s="22"/>
      <c r="H16" s="12">
        <f t="shared" si="0"/>
        <v>44901</v>
      </c>
    </row>
    <row r="17" spans="2:10" x14ac:dyDescent="0.3">
      <c r="B17" s="6" t="s">
        <v>14</v>
      </c>
      <c r="C17" s="22">
        <v>1184000</v>
      </c>
      <c r="D17" s="22">
        <v>108000</v>
      </c>
      <c r="E17" s="22"/>
      <c r="F17" s="23"/>
      <c r="G17" s="22"/>
      <c r="H17" s="12">
        <f t="shared" si="0"/>
        <v>44901</v>
      </c>
    </row>
    <row r="18" spans="2:10" x14ac:dyDescent="0.3">
      <c r="B18" s="6" t="s">
        <v>24</v>
      </c>
      <c r="C18" s="22"/>
      <c r="D18" s="22"/>
      <c r="E18" s="22"/>
      <c r="F18" s="49"/>
      <c r="G18" s="22"/>
      <c r="H18" s="67">
        <f t="shared" si="0"/>
        <v>44901</v>
      </c>
    </row>
    <row r="19" spans="2:10" x14ac:dyDescent="0.3">
      <c r="B19" s="6" t="s">
        <v>21</v>
      </c>
      <c r="C19" s="22"/>
      <c r="D19" s="22">
        <v>756000</v>
      </c>
      <c r="E19" s="22"/>
      <c r="F19" s="22"/>
      <c r="G19" s="22"/>
      <c r="H19" s="12">
        <f t="shared" si="0"/>
        <v>44901</v>
      </c>
      <c r="J19" s="1" t="s">
        <v>66</v>
      </c>
    </row>
    <row r="20" spans="2:10" x14ac:dyDescent="0.3">
      <c r="B20" s="6" t="s">
        <v>65</v>
      </c>
      <c r="C20" s="22"/>
      <c r="D20" s="57"/>
      <c r="E20" s="22"/>
      <c r="F20" s="22"/>
      <c r="G20" s="22"/>
      <c r="H20" s="67">
        <f t="shared" si="0"/>
        <v>44901</v>
      </c>
    </row>
    <row r="21" spans="2:10" x14ac:dyDescent="0.3">
      <c r="B21" s="6" t="s">
        <v>67</v>
      </c>
      <c r="C21" s="22"/>
      <c r="D21" s="22"/>
      <c r="E21" s="22"/>
      <c r="F21" s="22"/>
      <c r="G21" s="22"/>
      <c r="H21" s="12">
        <f t="shared" si="0"/>
        <v>44901</v>
      </c>
    </row>
    <row r="22" spans="2:10" x14ac:dyDescent="0.3">
      <c r="B22" s="6" t="s">
        <v>18</v>
      </c>
      <c r="C22" s="22"/>
      <c r="D22" s="22"/>
      <c r="E22" s="62"/>
      <c r="F22" s="62"/>
      <c r="G22" s="62"/>
      <c r="H22" s="12">
        <f t="shared" si="0"/>
        <v>44901</v>
      </c>
    </row>
    <row r="23" spans="2:10" x14ac:dyDescent="0.3">
      <c r="B23" s="6" t="s">
        <v>16</v>
      </c>
      <c r="C23" s="121"/>
      <c r="D23" s="22"/>
      <c r="E23" s="62"/>
      <c r="F23" s="62"/>
      <c r="G23" s="22"/>
      <c r="H23" s="12">
        <f t="shared" si="0"/>
        <v>44901</v>
      </c>
    </row>
    <row r="24" spans="2:10" x14ac:dyDescent="0.3">
      <c r="B24" s="50" t="s">
        <v>27</v>
      </c>
      <c r="C24" s="51">
        <f>SUM(Dec06_2022[KSI_AGO])</f>
        <v>1940000</v>
      </c>
      <c r="D24" s="51">
        <f>SUBTOTAL(109,Dec06_2022[KSI_PMS])</f>
        <v>1400000</v>
      </c>
      <c r="E24" s="51">
        <f>SUM(Dec06_2022[BUIPE_AGO])</f>
        <v>0</v>
      </c>
      <c r="F24" s="51">
        <f>SUM(Dec06_2022[BUIPE_PMS])</f>
        <v>0</v>
      </c>
      <c r="G24" s="51">
        <f>SUM(Dec06_2022[AKOSOMBO_AGO])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56ACFAF3-34FB-4A3A-B04F-7A3B4689123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92AC-AB45-4AE9-8AF5-EFBC279FBE2D}">
  <dimension ref="B1:K25"/>
  <sheetViews>
    <sheetView zoomScale="89" zoomScaleNormal="161" workbookViewId="0">
      <pane xSplit="2" ySplit="5" topLeftCell="D6" activePane="bottomRight" state="frozen"/>
      <selection pane="topRight" activeCell="C1" sqref="C1"/>
      <selection pane="bottomLeft" activeCell="A6" sqref="A6"/>
      <selection pane="bottomRight" activeCell="G9" sqref="G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44902</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44902</v>
      </c>
    </row>
    <row r="7" spans="2:11" ht="16.5" customHeight="1" x14ac:dyDescent="0.3">
      <c r="B7" s="6" t="s">
        <v>37</v>
      </c>
      <c r="C7" s="57"/>
      <c r="D7" s="22"/>
      <c r="E7" s="62"/>
      <c r="F7" s="62"/>
      <c r="G7" s="62"/>
      <c r="H7" s="67">
        <f t="shared" si="0"/>
        <v>44902</v>
      </c>
    </row>
    <row r="8" spans="2:11" x14ac:dyDescent="0.3">
      <c r="B8" s="6" t="s">
        <v>17</v>
      </c>
      <c r="C8" s="22">
        <v>539500</v>
      </c>
      <c r="D8" s="22"/>
      <c r="E8" s="22"/>
      <c r="F8" s="22"/>
      <c r="G8" s="22"/>
      <c r="H8" s="12">
        <f t="shared" si="0"/>
        <v>44902</v>
      </c>
    </row>
    <row r="9" spans="2:11" ht="15.6" x14ac:dyDescent="0.3">
      <c r="B9" s="34" t="s">
        <v>0</v>
      </c>
      <c r="C9" s="57"/>
      <c r="D9" s="57"/>
      <c r="E9" s="60"/>
      <c r="F9" s="60"/>
      <c r="G9" s="60"/>
      <c r="H9" s="12">
        <f t="shared" si="0"/>
        <v>44902</v>
      </c>
    </row>
    <row r="10" spans="2:11" x14ac:dyDescent="0.3">
      <c r="B10" s="6" t="s">
        <v>25</v>
      </c>
      <c r="C10" s="57"/>
      <c r="D10" s="22"/>
      <c r="E10" s="22"/>
      <c r="F10" s="22"/>
      <c r="G10" s="22"/>
      <c r="H10" s="12">
        <f t="shared" si="0"/>
        <v>44902</v>
      </c>
    </row>
    <row r="11" spans="2:11" x14ac:dyDescent="0.3">
      <c r="B11" s="6" t="s">
        <v>15</v>
      </c>
      <c r="C11" s="22"/>
      <c r="D11" s="22"/>
      <c r="E11" s="22"/>
      <c r="F11" s="22"/>
      <c r="G11" s="22"/>
      <c r="H11" s="12">
        <f t="shared" si="0"/>
        <v>44902</v>
      </c>
    </row>
    <row r="12" spans="2:11" x14ac:dyDescent="0.3">
      <c r="B12" s="6" t="s">
        <v>54</v>
      </c>
      <c r="C12" s="22"/>
      <c r="D12" s="22"/>
      <c r="E12" s="22">
        <v>54000</v>
      </c>
      <c r="F12" s="22"/>
      <c r="G12" s="22"/>
      <c r="H12" s="67">
        <f t="shared" si="0"/>
        <v>44902</v>
      </c>
    </row>
    <row r="13" spans="2:11" x14ac:dyDescent="0.3">
      <c r="B13" s="6" t="s">
        <v>26</v>
      </c>
      <c r="C13" s="22">
        <v>311000</v>
      </c>
      <c r="D13" s="22">
        <v>324000</v>
      </c>
      <c r="E13" s="22"/>
      <c r="F13" s="22"/>
      <c r="G13" s="22"/>
      <c r="H13" s="12">
        <f t="shared" si="0"/>
        <v>44902</v>
      </c>
    </row>
    <row r="14" spans="2:11" x14ac:dyDescent="0.3">
      <c r="B14" s="6" t="s">
        <v>22</v>
      </c>
      <c r="C14" s="22"/>
      <c r="D14" s="22"/>
      <c r="E14" s="22"/>
      <c r="F14" s="22"/>
      <c r="G14" s="22"/>
      <c r="H14" s="12">
        <f t="shared" si="0"/>
        <v>44902</v>
      </c>
      <c r="K14" s="4"/>
    </row>
    <row r="15" spans="2:11" x14ac:dyDescent="0.3">
      <c r="B15" s="6" t="s">
        <v>61</v>
      </c>
      <c r="C15" s="22"/>
      <c r="D15" s="22"/>
      <c r="E15" s="22"/>
      <c r="F15" s="22"/>
      <c r="G15" s="22"/>
      <c r="H15" s="67">
        <f t="shared" si="0"/>
        <v>44902</v>
      </c>
      <c r="K15" s="4"/>
    </row>
    <row r="16" spans="2:11" x14ac:dyDescent="0.3">
      <c r="B16" s="6" t="s">
        <v>19</v>
      </c>
      <c r="C16" s="22"/>
      <c r="D16" s="22"/>
      <c r="E16" s="23"/>
      <c r="F16" s="22"/>
      <c r="G16" s="22"/>
      <c r="H16" s="12">
        <f t="shared" si="0"/>
        <v>44902</v>
      </c>
    </row>
    <row r="17" spans="2:10" x14ac:dyDescent="0.3">
      <c r="B17" s="6" t="s">
        <v>14</v>
      </c>
      <c r="C17" s="22">
        <v>540000</v>
      </c>
      <c r="D17" s="22"/>
      <c r="E17" s="22"/>
      <c r="F17" s="23"/>
      <c r="G17" s="22"/>
      <c r="H17" s="12">
        <f t="shared" si="0"/>
        <v>44902</v>
      </c>
    </row>
    <row r="18" spans="2:10" x14ac:dyDescent="0.3">
      <c r="B18" s="6" t="s">
        <v>24</v>
      </c>
      <c r="C18" s="22"/>
      <c r="D18" s="22"/>
      <c r="E18" s="22"/>
      <c r="F18" s="49"/>
      <c r="G18" s="22"/>
      <c r="H18" s="67">
        <f t="shared" si="0"/>
        <v>44902</v>
      </c>
    </row>
    <row r="19" spans="2:10" x14ac:dyDescent="0.3">
      <c r="B19" s="6" t="s">
        <v>21</v>
      </c>
      <c r="C19" s="22"/>
      <c r="D19" s="22">
        <v>702000</v>
      </c>
      <c r="E19" s="22"/>
      <c r="F19" s="22"/>
      <c r="G19" s="22"/>
      <c r="H19" s="12">
        <f t="shared" si="0"/>
        <v>44902</v>
      </c>
      <c r="J19" s="1" t="s">
        <v>66</v>
      </c>
    </row>
    <row r="20" spans="2:10" x14ac:dyDescent="0.3">
      <c r="B20" s="6" t="s">
        <v>65</v>
      </c>
      <c r="C20" s="22"/>
      <c r="D20" s="57"/>
      <c r="E20" s="22"/>
      <c r="F20" s="22"/>
      <c r="G20" s="22"/>
      <c r="H20" s="67">
        <f t="shared" si="0"/>
        <v>44902</v>
      </c>
    </row>
    <row r="21" spans="2:10" x14ac:dyDescent="0.3">
      <c r="B21" s="6" t="s">
        <v>67</v>
      </c>
      <c r="C21" s="22"/>
      <c r="D21" s="22"/>
      <c r="E21" s="22"/>
      <c r="F21" s="22"/>
      <c r="G21" s="22"/>
      <c r="H21" s="12">
        <f t="shared" si="0"/>
        <v>44902</v>
      </c>
    </row>
    <row r="22" spans="2:10" x14ac:dyDescent="0.3">
      <c r="B22" s="6" t="s">
        <v>18</v>
      </c>
      <c r="C22" s="22"/>
      <c r="D22" s="22"/>
      <c r="E22" s="62"/>
      <c r="F22" s="62"/>
      <c r="G22" s="62"/>
      <c r="H22" s="12">
        <f t="shared" si="0"/>
        <v>44902</v>
      </c>
    </row>
    <row r="23" spans="2:10" x14ac:dyDescent="0.3">
      <c r="B23" s="6" t="s">
        <v>16</v>
      </c>
      <c r="C23" s="121"/>
      <c r="D23" s="22"/>
      <c r="E23" s="62"/>
      <c r="F23" s="62">
        <v>428000</v>
      </c>
      <c r="G23" s="22"/>
      <c r="H23" s="12">
        <f t="shared" si="0"/>
        <v>44902</v>
      </c>
    </row>
    <row r="24" spans="2:10" x14ac:dyDescent="0.3">
      <c r="B24" s="50" t="s">
        <v>27</v>
      </c>
      <c r="C24" s="51">
        <f>SUM(Dec07_2022[KSI_AGO])</f>
        <v>1390500</v>
      </c>
      <c r="D24" s="51">
        <f>SUBTOTAL(109,Dec07_2022[KSI_PMS])</f>
        <v>1026000</v>
      </c>
      <c r="E24" s="51">
        <f>SUM(Dec07_2022[BUIPE_AGO])</f>
        <v>54000</v>
      </c>
      <c r="F24" s="51">
        <f>SUM(Dec07_2022[BUIPE_PMS])</f>
        <v>428000</v>
      </c>
      <c r="G24" s="51">
        <f>SUM(Dec07_2022[AKOSOMBO_AGO])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785A19C4-61C7-40E2-B28E-BE2576AF3268}">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EA085-55FD-4111-9A8C-B86E645A7611}">
  <dimension ref="B1:K25"/>
  <sheetViews>
    <sheetView zoomScale="89" zoomScaleNormal="161" workbookViewId="0">
      <pane xSplit="2" ySplit="5" topLeftCell="D6" activePane="bottomRight" state="frozen"/>
      <selection pane="topRight" activeCell="C1" sqref="C1"/>
      <selection pane="bottomLeft" activeCell="A6" sqref="A6"/>
      <selection pane="bottomRight" activeCell="G15" sqref="G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44903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44903</v>
      </c>
    </row>
    <row r="7" spans="2:11" ht="16.5" customHeight="1" x14ac:dyDescent="0.3">
      <c r="B7" s="6" t="s">
        <v>37</v>
      </c>
      <c r="C7" s="57"/>
      <c r="D7" s="22"/>
      <c r="E7" s="62"/>
      <c r="F7" s="62"/>
      <c r="G7" s="62"/>
      <c r="H7" s="67">
        <f t="shared" si="0"/>
        <v>44903</v>
      </c>
    </row>
    <row r="8" spans="2:11" x14ac:dyDescent="0.3">
      <c r="B8" s="6" t="s">
        <v>17</v>
      </c>
      <c r="C8" s="22"/>
      <c r="D8" s="22"/>
      <c r="E8" s="22"/>
      <c r="F8" s="22"/>
      <c r="G8" s="22"/>
      <c r="H8" s="12">
        <f t="shared" si="0"/>
        <v>44903</v>
      </c>
    </row>
    <row r="9" spans="2:11" ht="15.6" x14ac:dyDescent="0.3">
      <c r="B9" s="34" t="s">
        <v>0</v>
      </c>
      <c r="C9" s="57"/>
      <c r="D9" s="57"/>
      <c r="E9" s="60"/>
      <c r="F9" s="60"/>
      <c r="G9" s="60"/>
      <c r="H9" s="12">
        <f t="shared" si="0"/>
        <v>44903</v>
      </c>
    </row>
    <row r="10" spans="2:11" x14ac:dyDescent="0.3">
      <c r="B10" s="6" t="s">
        <v>25</v>
      </c>
      <c r="C10" s="57"/>
      <c r="D10" s="22"/>
      <c r="E10" s="22"/>
      <c r="F10" s="22"/>
      <c r="G10" s="22"/>
      <c r="H10" s="12">
        <f t="shared" si="0"/>
        <v>44903</v>
      </c>
    </row>
    <row r="11" spans="2:11" x14ac:dyDescent="0.3">
      <c r="B11" s="6" t="s">
        <v>15</v>
      </c>
      <c r="C11" s="22">
        <v>1184000</v>
      </c>
      <c r="D11" s="22"/>
      <c r="E11" s="22"/>
      <c r="F11" s="22"/>
      <c r="G11" s="22"/>
      <c r="H11" s="12">
        <f t="shared" si="0"/>
        <v>44903</v>
      </c>
    </row>
    <row r="12" spans="2:11" x14ac:dyDescent="0.3">
      <c r="B12" s="6" t="s">
        <v>54</v>
      </c>
      <c r="C12" s="22"/>
      <c r="D12" s="22"/>
      <c r="E12" s="22"/>
      <c r="F12" s="22"/>
      <c r="G12" s="22"/>
      <c r="H12" s="67">
        <f t="shared" si="0"/>
        <v>44903</v>
      </c>
    </row>
    <row r="13" spans="2:11" x14ac:dyDescent="0.3">
      <c r="B13" s="6" t="s">
        <v>26</v>
      </c>
      <c r="C13" s="22"/>
      <c r="D13" s="22"/>
      <c r="E13" s="22"/>
      <c r="F13" s="22"/>
      <c r="G13" s="22"/>
      <c r="H13" s="12">
        <f t="shared" si="0"/>
        <v>44903</v>
      </c>
    </row>
    <row r="14" spans="2:11" x14ac:dyDescent="0.3">
      <c r="B14" s="6" t="s">
        <v>22</v>
      </c>
      <c r="C14" s="22"/>
      <c r="D14" s="22"/>
      <c r="E14" s="22"/>
      <c r="F14" s="22"/>
      <c r="G14" s="22"/>
      <c r="H14" s="12">
        <f t="shared" si="0"/>
        <v>44903</v>
      </c>
      <c r="K14" s="4"/>
    </row>
    <row r="15" spans="2:11" x14ac:dyDescent="0.3">
      <c r="B15" s="6" t="s">
        <v>61</v>
      </c>
      <c r="C15" s="22"/>
      <c r="D15" s="22"/>
      <c r="E15" s="22"/>
      <c r="F15" s="22"/>
      <c r="G15" s="22"/>
      <c r="H15" s="67">
        <f t="shared" si="0"/>
        <v>44903</v>
      </c>
      <c r="K15" s="4"/>
    </row>
    <row r="16" spans="2:11" x14ac:dyDescent="0.3">
      <c r="B16" s="6" t="s">
        <v>19</v>
      </c>
      <c r="C16" s="22">
        <v>162000</v>
      </c>
      <c r="D16" s="22">
        <v>324000</v>
      </c>
      <c r="E16" s="23">
        <v>54000</v>
      </c>
      <c r="F16" s="22"/>
      <c r="G16" s="22"/>
      <c r="H16" s="12">
        <f t="shared" si="0"/>
        <v>44903</v>
      </c>
    </row>
    <row r="17" spans="2:10" x14ac:dyDescent="0.3">
      <c r="B17" s="6" t="s">
        <v>14</v>
      </c>
      <c r="C17" s="22">
        <v>918000</v>
      </c>
      <c r="D17" s="22">
        <v>207000</v>
      </c>
      <c r="E17" s="22">
        <v>378000</v>
      </c>
      <c r="F17" s="23"/>
      <c r="G17" s="22"/>
      <c r="H17" s="12">
        <f t="shared" si="0"/>
        <v>44903</v>
      </c>
    </row>
    <row r="18" spans="2:10" x14ac:dyDescent="0.3">
      <c r="B18" s="6" t="s">
        <v>24</v>
      </c>
      <c r="C18" s="22"/>
      <c r="D18" s="22"/>
      <c r="E18" s="22"/>
      <c r="F18" s="49"/>
      <c r="G18" s="22"/>
      <c r="H18" s="67">
        <f t="shared" si="0"/>
        <v>44903</v>
      </c>
    </row>
    <row r="19" spans="2:10" x14ac:dyDescent="0.3">
      <c r="B19" s="6" t="s">
        <v>21</v>
      </c>
      <c r="C19" s="22"/>
      <c r="D19" s="22">
        <v>54000</v>
      </c>
      <c r="E19" s="22"/>
      <c r="F19" s="22"/>
      <c r="G19" s="22"/>
      <c r="H19" s="12">
        <f t="shared" si="0"/>
        <v>44903</v>
      </c>
      <c r="J19" s="1" t="s">
        <v>66</v>
      </c>
    </row>
    <row r="20" spans="2:10" x14ac:dyDescent="0.3">
      <c r="B20" s="6" t="s">
        <v>65</v>
      </c>
      <c r="C20" s="22"/>
      <c r="D20" s="57"/>
      <c r="E20" s="22"/>
      <c r="F20" s="22"/>
      <c r="G20" s="22"/>
      <c r="H20" s="67">
        <f t="shared" si="0"/>
        <v>44903</v>
      </c>
    </row>
    <row r="21" spans="2:10" x14ac:dyDescent="0.3">
      <c r="B21" s="6" t="s">
        <v>67</v>
      </c>
      <c r="C21" s="22">
        <v>108000</v>
      </c>
      <c r="D21" s="22"/>
      <c r="E21" s="22"/>
      <c r="F21" s="22"/>
      <c r="G21" s="22"/>
      <c r="H21" s="12">
        <f t="shared" si="0"/>
        <v>44903</v>
      </c>
    </row>
    <row r="22" spans="2:10" x14ac:dyDescent="0.3">
      <c r="B22" s="6" t="s">
        <v>18</v>
      </c>
      <c r="C22" s="22"/>
      <c r="D22" s="22"/>
      <c r="E22" s="62"/>
      <c r="F22" s="62"/>
      <c r="G22" s="62"/>
      <c r="H22" s="12">
        <f t="shared" si="0"/>
        <v>44903</v>
      </c>
    </row>
    <row r="23" spans="2:10" x14ac:dyDescent="0.3">
      <c r="B23" s="6" t="s">
        <v>16</v>
      </c>
      <c r="C23" s="121"/>
      <c r="D23" s="22">
        <v>378000</v>
      </c>
      <c r="E23" s="62"/>
      <c r="F23" s="62">
        <v>54000</v>
      </c>
      <c r="G23" s="22"/>
      <c r="H23" s="12">
        <f t="shared" si="0"/>
        <v>44903</v>
      </c>
    </row>
    <row r="24" spans="2:10" x14ac:dyDescent="0.3">
      <c r="B24" s="50" t="s">
        <v>27</v>
      </c>
      <c r="C24" s="51">
        <f>SUM(Dec08_2022[KSI_AGO])</f>
        <v>2372000</v>
      </c>
      <c r="D24" s="51">
        <f>SUBTOTAL(109,Dec08_2022[KSI_PMS])</f>
        <v>963000</v>
      </c>
      <c r="E24" s="51">
        <f>SUM(Dec08_2022[BUIPE_AGO])</f>
        <v>432000</v>
      </c>
      <c r="F24" s="51">
        <f>SUM(Dec08_2022[BUIPE_PMS])</f>
        <v>54000</v>
      </c>
      <c r="G24" s="51">
        <f>SUM(Dec08_2022[AKOSOMBO_AGO])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B3EC824B-75E3-4E54-89EF-B33B647CED1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6E27-EDA7-473C-80F3-3C2FB2EAA3C4}">
  <dimension ref="B1:K25"/>
  <sheetViews>
    <sheetView zoomScale="89" zoomScaleNormal="161" workbookViewId="0">
      <pane xSplit="2" ySplit="5" topLeftCell="F6" activePane="bottomRight" state="frozen"/>
      <selection pane="topRight" activeCell="C1" sqref="C1"/>
      <selection pane="bottomLeft" activeCell="A6" sqref="A6"/>
      <selection pane="bottomRight" activeCell="G19" sqref="G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44904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44904</v>
      </c>
    </row>
    <row r="7" spans="2:11" ht="16.5" customHeight="1" x14ac:dyDescent="0.3">
      <c r="B7" s="6" t="s">
        <v>37</v>
      </c>
      <c r="C7" s="57"/>
      <c r="D7" s="22"/>
      <c r="E7" s="62"/>
      <c r="F7" s="62"/>
      <c r="G7" s="62"/>
      <c r="H7" s="67">
        <f t="shared" si="0"/>
        <v>44904</v>
      </c>
    </row>
    <row r="8" spans="2:11" x14ac:dyDescent="0.3">
      <c r="B8" s="6" t="s">
        <v>17</v>
      </c>
      <c r="C8" s="22"/>
      <c r="D8" s="22"/>
      <c r="E8" s="22"/>
      <c r="F8" s="22"/>
      <c r="G8" s="22"/>
      <c r="H8" s="12">
        <f t="shared" si="0"/>
        <v>44904</v>
      </c>
    </row>
    <row r="9" spans="2:11" ht="15.6" x14ac:dyDescent="0.3">
      <c r="B9" s="34" t="s">
        <v>0</v>
      </c>
      <c r="C9" s="57"/>
      <c r="D9" s="57"/>
      <c r="E9" s="60"/>
      <c r="F9" s="60"/>
      <c r="G9" s="60"/>
      <c r="H9" s="12">
        <f t="shared" si="0"/>
        <v>44904</v>
      </c>
    </row>
    <row r="10" spans="2:11" x14ac:dyDescent="0.3">
      <c r="B10" s="6" t="s">
        <v>25</v>
      </c>
      <c r="C10" s="57"/>
      <c r="D10" s="22">
        <v>216000</v>
      </c>
      <c r="E10" s="22"/>
      <c r="F10" s="22"/>
      <c r="G10" s="22"/>
      <c r="H10" s="12">
        <f t="shared" si="0"/>
        <v>44904</v>
      </c>
    </row>
    <row r="11" spans="2:11" x14ac:dyDescent="0.3">
      <c r="B11" s="6" t="s">
        <v>15</v>
      </c>
      <c r="C11" s="22">
        <v>644000</v>
      </c>
      <c r="D11" s="22"/>
      <c r="E11" s="22"/>
      <c r="F11" s="22"/>
      <c r="G11" s="22"/>
      <c r="H11" s="12">
        <f t="shared" si="0"/>
        <v>44904</v>
      </c>
    </row>
    <row r="12" spans="2:11" x14ac:dyDescent="0.3">
      <c r="B12" s="6" t="s">
        <v>54</v>
      </c>
      <c r="C12" s="22"/>
      <c r="D12" s="22"/>
      <c r="E12" s="22"/>
      <c r="F12" s="22"/>
      <c r="G12" s="22"/>
      <c r="H12" s="67">
        <f t="shared" si="0"/>
        <v>44904</v>
      </c>
    </row>
    <row r="13" spans="2:11" x14ac:dyDescent="0.3">
      <c r="B13" s="6" t="s">
        <v>26</v>
      </c>
      <c r="C13" s="22"/>
      <c r="D13" s="22"/>
      <c r="E13" s="22"/>
      <c r="F13" s="22"/>
      <c r="G13" s="22"/>
      <c r="H13" s="12">
        <f t="shared" si="0"/>
        <v>44904</v>
      </c>
    </row>
    <row r="14" spans="2:11" x14ac:dyDescent="0.3">
      <c r="B14" s="6" t="s">
        <v>22</v>
      </c>
      <c r="C14" s="22"/>
      <c r="D14" s="22"/>
      <c r="E14" s="22"/>
      <c r="F14" s="22"/>
      <c r="G14" s="22"/>
      <c r="H14" s="12">
        <f t="shared" si="0"/>
        <v>44904</v>
      </c>
      <c r="K14" s="4"/>
    </row>
    <row r="15" spans="2:11" x14ac:dyDescent="0.3">
      <c r="B15" s="6" t="s">
        <v>61</v>
      </c>
      <c r="C15" s="22"/>
      <c r="D15" s="22"/>
      <c r="E15" s="22"/>
      <c r="F15" s="22"/>
      <c r="G15" s="22"/>
      <c r="H15" s="67">
        <f t="shared" si="0"/>
        <v>44904</v>
      </c>
      <c r="K15" s="4"/>
    </row>
    <row r="16" spans="2:11" x14ac:dyDescent="0.3">
      <c r="B16" s="6" t="s">
        <v>19</v>
      </c>
      <c r="C16" s="22">
        <v>594000</v>
      </c>
      <c r="D16" s="22">
        <v>432000</v>
      </c>
      <c r="E16" s="23">
        <v>378000</v>
      </c>
      <c r="F16" s="22"/>
      <c r="G16" s="22"/>
      <c r="H16" s="12">
        <f t="shared" si="0"/>
        <v>44904</v>
      </c>
    </row>
    <row r="17" spans="2:10" x14ac:dyDescent="0.3">
      <c r="B17" s="6" t="s">
        <v>14</v>
      </c>
      <c r="C17" s="22">
        <v>644000</v>
      </c>
      <c r="D17" s="22">
        <v>270000</v>
      </c>
      <c r="E17" s="22">
        <v>266000</v>
      </c>
      <c r="F17" s="23">
        <v>216000</v>
      </c>
      <c r="G17" s="22"/>
      <c r="H17" s="12">
        <f t="shared" si="0"/>
        <v>44904</v>
      </c>
    </row>
    <row r="18" spans="2:10" x14ac:dyDescent="0.3">
      <c r="B18" s="6" t="s">
        <v>24</v>
      </c>
      <c r="C18" s="22"/>
      <c r="D18" s="22"/>
      <c r="E18" s="22"/>
      <c r="F18" s="49"/>
      <c r="G18" s="22"/>
      <c r="H18" s="67">
        <f t="shared" si="0"/>
        <v>44904</v>
      </c>
    </row>
    <row r="19" spans="2:10" x14ac:dyDescent="0.3">
      <c r="B19" s="6" t="s">
        <v>21</v>
      </c>
      <c r="C19" s="22"/>
      <c r="D19" s="22">
        <v>54000</v>
      </c>
      <c r="E19" s="22"/>
      <c r="F19" s="22"/>
      <c r="G19" s="22"/>
      <c r="H19" s="12">
        <f t="shared" si="0"/>
        <v>44904</v>
      </c>
      <c r="J19" s="1" t="s">
        <v>66</v>
      </c>
    </row>
    <row r="20" spans="2:10" x14ac:dyDescent="0.3">
      <c r="B20" s="6" t="s">
        <v>65</v>
      </c>
      <c r="C20" s="22"/>
      <c r="D20" s="57"/>
      <c r="E20" s="22"/>
      <c r="F20" s="22"/>
      <c r="G20" s="22"/>
      <c r="H20" s="67">
        <f t="shared" si="0"/>
        <v>44904</v>
      </c>
    </row>
    <row r="21" spans="2:10" x14ac:dyDescent="0.3">
      <c r="B21" s="6" t="s">
        <v>67</v>
      </c>
      <c r="C21" s="22"/>
      <c r="D21" s="22"/>
      <c r="E21" s="22"/>
      <c r="F21" s="22"/>
      <c r="G21" s="22"/>
      <c r="H21" s="12">
        <f t="shared" si="0"/>
        <v>44904</v>
      </c>
    </row>
    <row r="22" spans="2:10" x14ac:dyDescent="0.3">
      <c r="B22" s="6" t="s">
        <v>18</v>
      </c>
      <c r="C22" s="22"/>
      <c r="D22" s="22"/>
      <c r="E22" s="62"/>
      <c r="F22" s="62"/>
      <c r="G22" s="62"/>
      <c r="H22" s="12">
        <f t="shared" si="0"/>
        <v>44904</v>
      </c>
    </row>
    <row r="23" spans="2:10" x14ac:dyDescent="0.3">
      <c r="B23" s="6" t="s">
        <v>16</v>
      </c>
      <c r="C23" s="121"/>
      <c r="D23" s="22">
        <v>162000</v>
      </c>
      <c r="E23" s="62"/>
      <c r="F23" s="62"/>
      <c r="G23" s="22"/>
      <c r="H23" s="12">
        <f t="shared" si="0"/>
        <v>44904</v>
      </c>
    </row>
    <row r="24" spans="2:10" x14ac:dyDescent="0.3">
      <c r="B24" s="50" t="s">
        <v>27</v>
      </c>
      <c r="C24" s="51">
        <f>SUM(Dec09_2022[KSI_AGO])</f>
        <v>1882000</v>
      </c>
      <c r="D24" s="51">
        <f>SUBTOTAL(109,Dec09_2022[KSI_PMS])</f>
        <v>1134000</v>
      </c>
      <c r="E24" s="51">
        <f>SUM(Dec09_2022[BUIPE_AGO])</f>
        <v>644000</v>
      </c>
      <c r="F24" s="51">
        <f>SUM(Dec09_2022[BUIPE_PMS])</f>
        <v>216000</v>
      </c>
      <c r="G24" s="51">
        <f>SUM(Dec09_2022[AKOSOMBO_AGO])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06A458AE-1222-4BDC-9AAF-28CC87A85225}">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74E15-6F60-4DAB-A00D-49F1B7E7F305}">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D15" sqref="D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44907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44907</v>
      </c>
    </row>
    <row r="7" spans="2:11" ht="16.5" customHeight="1" x14ac:dyDescent="0.3">
      <c r="B7" s="6" t="s">
        <v>37</v>
      </c>
      <c r="C7" s="57"/>
      <c r="D7" s="22"/>
      <c r="E7" s="62"/>
      <c r="F7" s="62"/>
      <c r="G7" s="62"/>
      <c r="H7" s="67">
        <f t="shared" si="0"/>
        <v>44907</v>
      </c>
    </row>
    <row r="8" spans="2:11" x14ac:dyDescent="0.3">
      <c r="B8" s="6" t="s">
        <v>17</v>
      </c>
      <c r="C8" s="22"/>
      <c r="D8" s="22"/>
      <c r="E8" s="22"/>
      <c r="F8" s="22"/>
      <c r="G8" s="22"/>
      <c r="H8" s="12">
        <f t="shared" si="0"/>
        <v>44907</v>
      </c>
    </row>
    <row r="9" spans="2:11" ht="15.6" x14ac:dyDescent="0.3">
      <c r="B9" s="34" t="s">
        <v>0</v>
      </c>
      <c r="C9" s="57">
        <v>324000</v>
      </c>
      <c r="D9" s="57"/>
      <c r="E9" s="60"/>
      <c r="F9" s="60"/>
      <c r="G9" s="60"/>
      <c r="H9" s="12">
        <f t="shared" si="0"/>
        <v>44907</v>
      </c>
    </row>
    <row r="10" spans="2:11" x14ac:dyDescent="0.3">
      <c r="B10" s="6" t="s">
        <v>25</v>
      </c>
      <c r="C10" s="57"/>
      <c r="D10" s="22"/>
      <c r="E10" s="22"/>
      <c r="F10" s="22"/>
      <c r="G10" s="22"/>
      <c r="H10" s="12">
        <f t="shared" si="0"/>
        <v>44907</v>
      </c>
    </row>
    <row r="11" spans="2:11" x14ac:dyDescent="0.3">
      <c r="B11" s="6" t="s">
        <v>15</v>
      </c>
      <c r="C11" s="22"/>
      <c r="D11" s="22">
        <v>810000</v>
      </c>
      <c r="E11" s="22"/>
      <c r="F11" s="22"/>
      <c r="G11" s="22"/>
      <c r="H11" s="12">
        <f t="shared" si="0"/>
        <v>44907</v>
      </c>
    </row>
    <row r="12" spans="2:11" x14ac:dyDescent="0.3">
      <c r="B12" s="6" t="s">
        <v>54</v>
      </c>
      <c r="C12" s="22"/>
      <c r="D12" s="22"/>
      <c r="E12" s="22"/>
      <c r="F12" s="22"/>
      <c r="G12" s="22"/>
      <c r="H12" s="67">
        <f t="shared" si="0"/>
        <v>44907</v>
      </c>
    </row>
    <row r="13" spans="2:11" x14ac:dyDescent="0.3">
      <c r="B13" s="6" t="s">
        <v>26</v>
      </c>
      <c r="C13" s="22"/>
      <c r="D13" s="22">
        <v>50000</v>
      </c>
      <c r="E13" s="22"/>
      <c r="F13" s="22"/>
      <c r="G13" s="22"/>
      <c r="H13" s="12">
        <f t="shared" si="0"/>
        <v>44907</v>
      </c>
    </row>
    <row r="14" spans="2:11" x14ac:dyDescent="0.3">
      <c r="B14" s="6" t="s">
        <v>22</v>
      </c>
      <c r="C14" s="22"/>
      <c r="D14" s="22"/>
      <c r="E14" s="22"/>
      <c r="F14" s="22"/>
      <c r="G14" s="22"/>
      <c r="H14" s="12">
        <f t="shared" si="0"/>
        <v>44907</v>
      </c>
      <c r="K14" s="4"/>
    </row>
    <row r="15" spans="2:11" x14ac:dyDescent="0.3">
      <c r="B15" s="6" t="s">
        <v>61</v>
      </c>
      <c r="C15" s="22"/>
      <c r="D15" s="22"/>
      <c r="E15" s="22"/>
      <c r="F15" s="22"/>
      <c r="G15" s="22"/>
      <c r="H15" s="67">
        <f t="shared" si="0"/>
        <v>44907</v>
      </c>
      <c r="K15" s="4"/>
    </row>
    <row r="16" spans="2:11" x14ac:dyDescent="0.3">
      <c r="B16" s="6" t="s">
        <v>19</v>
      </c>
      <c r="C16" s="22">
        <v>540000</v>
      </c>
      <c r="D16" s="22"/>
      <c r="E16" s="23">
        <v>810000</v>
      </c>
      <c r="F16" s="22"/>
      <c r="G16" s="22"/>
      <c r="H16" s="12">
        <f t="shared" si="0"/>
        <v>44907</v>
      </c>
    </row>
    <row r="17" spans="2:10" x14ac:dyDescent="0.3">
      <c r="B17" s="6" t="s">
        <v>14</v>
      </c>
      <c r="C17" s="22">
        <v>594000</v>
      </c>
      <c r="D17" s="22"/>
      <c r="E17" s="22">
        <v>45000</v>
      </c>
      <c r="F17" s="23"/>
      <c r="G17" s="22"/>
      <c r="H17" s="12">
        <f t="shared" si="0"/>
        <v>44907</v>
      </c>
    </row>
    <row r="18" spans="2:10" x14ac:dyDescent="0.3">
      <c r="B18" s="6" t="s">
        <v>24</v>
      </c>
      <c r="C18" s="22"/>
      <c r="D18" s="22"/>
      <c r="E18" s="22"/>
      <c r="F18" s="49"/>
      <c r="G18" s="22"/>
      <c r="H18" s="67">
        <f t="shared" si="0"/>
        <v>44907</v>
      </c>
    </row>
    <row r="19" spans="2:10" x14ac:dyDescent="0.3">
      <c r="B19" s="6" t="s">
        <v>21</v>
      </c>
      <c r="C19" s="22"/>
      <c r="D19" s="22"/>
      <c r="E19" s="22"/>
      <c r="F19" s="22"/>
      <c r="G19" s="22"/>
      <c r="H19" s="12">
        <f t="shared" si="0"/>
        <v>44907</v>
      </c>
      <c r="J19" s="1" t="s">
        <v>66</v>
      </c>
    </row>
    <row r="20" spans="2:10" x14ac:dyDescent="0.3">
      <c r="B20" s="6" t="s">
        <v>65</v>
      </c>
      <c r="C20" s="22"/>
      <c r="D20" s="57"/>
      <c r="E20" s="22"/>
      <c r="F20" s="22"/>
      <c r="G20" s="22"/>
      <c r="H20" s="67">
        <f t="shared" si="0"/>
        <v>44907</v>
      </c>
    </row>
    <row r="21" spans="2:10" x14ac:dyDescent="0.3">
      <c r="B21" s="6" t="s">
        <v>67</v>
      </c>
      <c r="C21" s="22"/>
      <c r="D21" s="22"/>
      <c r="E21" s="22"/>
      <c r="F21" s="22"/>
      <c r="G21" s="22"/>
      <c r="H21" s="12">
        <f t="shared" si="0"/>
        <v>44907</v>
      </c>
    </row>
    <row r="22" spans="2:10" x14ac:dyDescent="0.3">
      <c r="B22" s="6" t="s">
        <v>18</v>
      </c>
      <c r="C22" s="22"/>
      <c r="D22" s="22"/>
      <c r="E22" s="62"/>
      <c r="F22" s="62"/>
      <c r="G22" s="62"/>
      <c r="H22" s="12">
        <f t="shared" si="0"/>
        <v>44907</v>
      </c>
    </row>
    <row r="23" spans="2:10" x14ac:dyDescent="0.3">
      <c r="B23" s="6" t="s">
        <v>16</v>
      </c>
      <c r="C23" s="121"/>
      <c r="D23" s="22">
        <v>378000</v>
      </c>
      <c r="E23" s="62"/>
      <c r="F23" s="62"/>
      <c r="G23" s="22"/>
      <c r="H23" s="12">
        <f t="shared" si="0"/>
        <v>44907</v>
      </c>
    </row>
    <row r="24" spans="2:10" x14ac:dyDescent="0.3">
      <c r="B24" s="50" t="s">
        <v>27</v>
      </c>
      <c r="C24" s="51">
        <f>SUM(Dec12_2022[KSI_AGO])</f>
        <v>1458000</v>
      </c>
      <c r="D24" s="51">
        <f>SUBTOTAL(109,Dec12_2022[KSI_PMS])</f>
        <v>1238000</v>
      </c>
      <c r="E24" s="51">
        <f>SUM(Dec12_2022[BUIPE_AGO])</f>
        <v>855000</v>
      </c>
      <c r="F24" s="51">
        <f>SUM(Dec12_2022[BUIPE_PMS])</f>
        <v>0</v>
      </c>
      <c r="G24" s="51">
        <f>SUM(Dec12_2022[AKOSOMBO_AGO])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90B567C5-959D-415B-9537-CF5D6D42C463}">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A7BD-BE49-4059-89F2-E2EE0B7B2F9B}">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E32" sqref="E3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44908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44908</v>
      </c>
    </row>
    <row r="7" spans="2:11" ht="16.5" customHeight="1" x14ac:dyDescent="0.3">
      <c r="B7" s="6" t="s">
        <v>37</v>
      </c>
      <c r="C7" s="57"/>
      <c r="D7" s="22"/>
      <c r="E7" s="62"/>
      <c r="F7" s="62"/>
      <c r="G7" s="62"/>
      <c r="H7" s="67">
        <f t="shared" si="0"/>
        <v>44908</v>
      </c>
    </row>
    <row r="8" spans="2:11" x14ac:dyDescent="0.3">
      <c r="B8" s="6" t="s">
        <v>17</v>
      </c>
      <c r="C8" s="22"/>
      <c r="D8" s="22"/>
      <c r="E8" s="22"/>
      <c r="F8" s="22"/>
      <c r="G8" s="22"/>
      <c r="H8" s="12">
        <f t="shared" si="0"/>
        <v>44908</v>
      </c>
    </row>
    <row r="9" spans="2:11" ht="15.6" x14ac:dyDescent="0.3">
      <c r="B9" s="34" t="s">
        <v>0</v>
      </c>
      <c r="C9" s="57">
        <v>1350000</v>
      </c>
      <c r="D9" s="57"/>
      <c r="E9" s="60"/>
      <c r="F9" s="60"/>
      <c r="G9" s="60"/>
      <c r="H9" s="12">
        <f t="shared" si="0"/>
        <v>44908</v>
      </c>
    </row>
    <row r="10" spans="2:11" x14ac:dyDescent="0.3">
      <c r="B10" s="6" t="s">
        <v>25</v>
      </c>
      <c r="C10" s="57"/>
      <c r="D10" s="22"/>
      <c r="E10" s="22"/>
      <c r="F10" s="22"/>
      <c r="G10" s="22"/>
      <c r="H10" s="12">
        <f t="shared" si="0"/>
        <v>44908</v>
      </c>
    </row>
    <row r="11" spans="2:11" x14ac:dyDescent="0.3">
      <c r="B11" s="6" t="s">
        <v>15</v>
      </c>
      <c r="C11" s="22"/>
      <c r="D11" s="22">
        <v>373500</v>
      </c>
      <c r="E11" s="22">
        <v>298000</v>
      </c>
      <c r="F11" s="22"/>
      <c r="G11" s="22"/>
      <c r="H11" s="12">
        <f t="shared" si="0"/>
        <v>44908</v>
      </c>
    </row>
    <row r="12" spans="2:11" x14ac:dyDescent="0.3">
      <c r="B12" s="6" t="s">
        <v>54</v>
      </c>
      <c r="C12" s="22"/>
      <c r="D12" s="22"/>
      <c r="E12" s="22"/>
      <c r="F12" s="22"/>
      <c r="G12" s="22"/>
      <c r="H12" s="67">
        <f t="shared" si="0"/>
        <v>44908</v>
      </c>
    </row>
    <row r="13" spans="2:11" x14ac:dyDescent="0.3">
      <c r="B13" s="6" t="s">
        <v>26</v>
      </c>
      <c r="C13" s="22"/>
      <c r="D13" s="22"/>
      <c r="E13" s="22"/>
      <c r="F13" s="22"/>
      <c r="G13" s="22"/>
      <c r="H13" s="12">
        <f t="shared" si="0"/>
        <v>44908</v>
      </c>
    </row>
    <row r="14" spans="2:11" x14ac:dyDescent="0.3">
      <c r="B14" s="6" t="s">
        <v>22</v>
      </c>
      <c r="C14" s="22"/>
      <c r="D14" s="22"/>
      <c r="E14" s="22"/>
      <c r="F14" s="22"/>
      <c r="G14" s="22"/>
      <c r="H14" s="12">
        <f t="shared" si="0"/>
        <v>44908</v>
      </c>
      <c r="K14" s="4"/>
    </row>
    <row r="15" spans="2:11" x14ac:dyDescent="0.3">
      <c r="B15" s="6" t="s">
        <v>61</v>
      </c>
      <c r="C15" s="22"/>
      <c r="D15" s="22"/>
      <c r="E15" s="22"/>
      <c r="F15" s="22"/>
      <c r="G15" s="22"/>
      <c r="H15" s="67">
        <f t="shared" si="0"/>
        <v>44908</v>
      </c>
      <c r="K15" s="4"/>
    </row>
    <row r="16" spans="2:11" x14ac:dyDescent="0.3">
      <c r="B16" s="6" t="s">
        <v>19</v>
      </c>
      <c r="C16" s="22">
        <v>162000</v>
      </c>
      <c r="D16" s="22"/>
      <c r="E16" s="23">
        <v>216000</v>
      </c>
      <c r="F16" s="22"/>
      <c r="G16" s="22"/>
      <c r="H16" s="12">
        <f t="shared" si="0"/>
        <v>44908</v>
      </c>
    </row>
    <row r="17" spans="2:10" x14ac:dyDescent="0.3">
      <c r="B17" s="6" t="s">
        <v>14</v>
      </c>
      <c r="C17" s="22">
        <v>108000</v>
      </c>
      <c r="D17" s="22">
        <v>216000</v>
      </c>
      <c r="E17" s="22">
        <v>162000</v>
      </c>
      <c r="F17" s="23"/>
      <c r="G17" s="22"/>
      <c r="H17" s="12">
        <f t="shared" si="0"/>
        <v>44908</v>
      </c>
    </row>
    <row r="18" spans="2:10" x14ac:dyDescent="0.3">
      <c r="B18" s="6" t="s">
        <v>24</v>
      </c>
      <c r="C18" s="22"/>
      <c r="D18" s="22"/>
      <c r="E18" s="22"/>
      <c r="F18" s="49"/>
      <c r="G18" s="22"/>
      <c r="H18" s="67">
        <f t="shared" si="0"/>
        <v>44908</v>
      </c>
    </row>
    <row r="19" spans="2:10" x14ac:dyDescent="0.3">
      <c r="B19" s="6" t="s">
        <v>21</v>
      </c>
      <c r="C19" s="22"/>
      <c r="D19" s="22">
        <v>162000</v>
      </c>
      <c r="E19" s="22"/>
      <c r="F19" s="22"/>
      <c r="G19" s="22"/>
      <c r="H19" s="12">
        <f t="shared" si="0"/>
        <v>44908</v>
      </c>
      <c r="J19" s="1" t="s">
        <v>66</v>
      </c>
    </row>
    <row r="20" spans="2:10" x14ac:dyDescent="0.3">
      <c r="B20" s="6" t="s">
        <v>65</v>
      </c>
      <c r="C20" s="22"/>
      <c r="D20" s="57"/>
      <c r="E20" s="22"/>
      <c r="F20" s="22"/>
      <c r="G20" s="22"/>
      <c r="H20" s="67">
        <f t="shared" si="0"/>
        <v>44908</v>
      </c>
    </row>
    <row r="21" spans="2:10" x14ac:dyDescent="0.3">
      <c r="B21" s="6" t="s">
        <v>67</v>
      </c>
      <c r="C21" s="22"/>
      <c r="D21" s="22"/>
      <c r="E21" s="22"/>
      <c r="F21" s="22"/>
      <c r="G21" s="22"/>
      <c r="H21" s="12">
        <f t="shared" si="0"/>
        <v>44908</v>
      </c>
    </row>
    <row r="22" spans="2:10" x14ac:dyDescent="0.3">
      <c r="B22" s="6" t="s">
        <v>18</v>
      </c>
      <c r="C22" s="22"/>
      <c r="D22" s="22"/>
      <c r="E22" s="62"/>
      <c r="F22" s="62"/>
      <c r="G22" s="62"/>
      <c r="H22" s="12">
        <f t="shared" si="0"/>
        <v>44908</v>
      </c>
    </row>
    <row r="23" spans="2:10" x14ac:dyDescent="0.3">
      <c r="B23" s="6" t="s">
        <v>16</v>
      </c>
      <c r="C23" s="121"/>
      <c r="D23" s="22">
        <v>108000</v>
      </c>
      <c r="E23" s="62"/>
      <c r="F23" s="62"/>
      <c r="G23" s="22"/>
      <c r="H23" s="12">
        <f t="shared" si="0"/>
        <v>44908</v>
      </c>
    </row>
    <row r="24" spans="2:10" x14ac:dyDescent="0.3">
      <c r="B24" s="50" t="s">
        <v>27</v>
      </c>
      <c r="C24" s="51">
        <f>SUM(Dec13_2022[KSI_AGO])</f>
        <v>1620000</v>
      </c>
      <c r="D24" s="51">
        <f>SUBTOTAL(109,Dec13_2022[KSI_PMS])</f>
        <v>859500</v>
      </c>
      <c r="E24" s="51">
        <f>SUM(Dec13_2022[BUIPE_AGO])</f>
        <v>676000</v>
      </c>
      <c r="F24" s="51">
        <f>SUM(Dec13_2022[BUIPE_PMS])</f>
        <v>0</v>
      </c>
      <c r="G24" s="51">
        <f>SUM(Dec13_2022[AKOSOMBO_AGO])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4F54998C-C448-4C0A-8238-F161A9F5F292}">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2CCB-C2D4-47E3-9368-9350728C1057}">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D21" sqref="D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44909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44909</v>
      </c>
    </row>
    <row r="7" spans="2:11" ht="16.5" customHeight="1" x14ac:dyDescent="0.3">
      <c r="B7" s="6" t="s">
        <v>37</v>
      </c>
      <c r="C7" s="57"/>
      <c r="D7" s="22"/>
      <c r="E7" s="62"/>
      <c r="F7" s="62"/>
      <c r="G7" s="62"/>
      <c r="H7" s="67">
        <f t="shared" si="0"/>
        <v>44909</v>
      </c>
    </row>
    <row r="8" spans="2:11" x14ac:dyDescent="0.3">
      <c r="B8" s="6" t="s">
        <v>17</v>
      </c>
      <c r="C8" s="22"/>
      <c r="D8" s="22"/>
      <c r="E8" s="22"/>
      <c r="F8" s="22"/>
      <c r="G8" s="22"/>
      <c r="H8" s="12">
        <f t="shared" si="0"/>
        <v>44909</v>
      </c>
    </row>
    <row r="9" spans="2:11" ht="15.6" x14ac:dyDescent="0.3">
      <c r="B9" s="34" t="s">
        <v>0</v>
      </c>
      <c r="C9" s="57">
        <v>324000</v>
      </c>
      <c r="D9" s="57"/>
      <c r="E9" s="60"/>
      <c r="F9" s="60"/>
      <c r="G9" s="60"/>
      <c r="H9" s="12">
        <f t="shared" si="0"/>
        <v>44909</v>
      </c>
    </row>
    <row r="10" spans="2:11" x14ac:dyDescent="0.3">
      <c r="B10" s="6" t="s">
        <v>25</v>
      </c>
      <c r="C10" s="57"/>
      <c r="D10" s="22"/>
      <c r="E10" s="22"/>
      <c r="F10" s="22"/>
      <c r="G10" s="22"/>
      <c r="H10" s="12">
        <f t="shared" si="0"/>
        <v>44909</v>
      </c>
    </row>
    <row r="11" spans="2:11" x14ac:dyDescent="0.3">
      <c r="B11" s="6" t="s">
        <v>15</v>
      </c>
      <c r="C11" s="22"/>
      <c r="D11" s="22">
        <v>162000</v>
      </c>
      <c r="E11" s="22">
        <v>212000</v>
      </c>
      <c r="F11" s="22"/>
      <c r="G11" s="22"/>
      <c r="H11" s="12">
        <f t="shared" si="0"/>
        <v>44909</v>
      </c>
    </row>
    <row r="12" spans="2:11" x14ac:dyDescent="0.3">
      <c r="B12" s="6" t="s">
        <v>54</v>
      </c>
      <c r="C12" s="22"/>
      <c r="D12" s="22"/>
      <c r="E12" s="22"/>
      <c r="F12" s="22"/>
      <c r="G12" s="22"/>
      <c r="H12" s="67">
        <f t="shared" si="0"/>
        <v>44909</v>
      </c>
    </row>
    <row r="13" spans="2:11" x14ac:dyDescent="0.3">
      <c r="B13" s="6" t="s">
        <v>26</v>
      </c>
      <c r="C13" s="22"/>
      <c r="D13" s="22"/>
      <c r="E13" s="22"/>
      <c r="F13" s="22"/>
      <c r="G13" s="22"/>
      <c r="H13" s="12">
        <f t="shared" si="0"/>
        <v>44909</v>
      </c>
    </row>
    <row r="14" spans="2:11" x14ac:dyDescent="0.3">
      <c r="B14" s="6" t="s">
        <v>22</v>
      </c>
      <c r="C14" s="22"/>
      <c r="D14" s="22"/>
      <c r="E14" s="22"/>
      <c r="F14" s="22"/>
      <c r="G14" s="22"/>
      <c r="H14" s="12">
        <f t="shared" si="0"/>
        <v>44909</v>
      </c>
      <c r="K14" s="4"/>
    </row>
    <row r="15" spans="2:11" x14ac:dyDescent="0.3">
      <c r="B15" s="6" t="s">
        <v>61</v>
      </c>
      <c r="C15" s="22"/>
      <c r="D15" s="22"/>
      <c r="E15" s="22"/>
      <c r="F15" s="22"/>
      <c r="G15" s="22"/>
      <c r="H15" s="67">
        <f t="shared" si="0"/>
        <v>44909</v>
      </c>
      <c r="K15" s="4"/>
    </row>
    <row r="16" spans="2:11" x14ac:dyDescent="0.3">
      <c r="B16" s="6" t="s">
        <v>19</v>
      </c>
      <c r="C16" s="22">
        <v>486000</v>
      </c>
      <c r="D16" s="22">
        <v>216000</v>
      </c>
      <c r="E16" s="23"/>
      <c r="F16" s="22"/>
      <c r="G16" s="22"/>
      <c r="H16" s="12">
        <f t="shared" si="0"/>
        <v>44909</v>
      </c>
    </row>
    <row r="17" spans="2:10" x14ac:dyDescent="0.3">
      <c r="B17" s="6" t="s">
        <v>14</v>
      </c>
      <c r="C17" s="22">
        <v>698000</v>
      </c>
      <c r="D17" s="22">
        <v>54000</v>
      </c>
      <c r="E17" s="22">
        <v>149000</v>
      </c>
      <c r="F17" s="23"/>
      <c r="G17" s="22"/>
      <c r="H17" s="12">
        <f t="shared" si="0"/>
        <v>44909</v>
      </c>
    </row>
    <row r="18" spans="2:10" x14ac:dyDescent="0.3">
      <c r="B18" s="6" t="s">
        <v>24</v>
      </c>
      <c r="C18" s="22"/>
      <c r="D18" s="22"/>
      <c r="E18" s="22"/>
      <c r="F18" s="49"/>
      <c r="G18" s="22"/>
      <c r="H18" s="67">
        <f t="shared" si="0"/>
        <v>44909</v>
      </c>
    </row>
    <row r="19" spans="2:10" x14ac:dyDescent="0.3">
      <c r="B19" s="6" t="s">
        <v>21</v>
      </c>
      <c r="C19" s="22"/>
      <c r="D19" s="22">
        <v>108000</v>
      </c>
      <c r="E19" s="22"/>
      <c r="F19" s="22"/>
      <c r="G19" s="22"/>
      <c r="H19" s="12">
        <f t="shared" si="0"/>
        <v>44909</v>
      </c>
      <c r="J19" s="1" t="s">
        <v>66</v>
      </c>
    </row>
    <row r="20" spans="2:10" x14ac:dyDescent="0.3">
      <c r="B20" s="6" t="s">
        <v>65</v>
      </c>
      <c r="C20" s="22"/>
      <c r="D20" s="57"/>
      <c r="E20" s="22"/>
      <c r="F20" s="22"/>
      <c r="G20" s="22"/>
      <c r="H20" s="67">
        <f t="shared" si="0"/>
        <v>44909</v>
      </c>
    </row>
    <row r="21" spans="2:10" x14ac:dyDescent="0.3">
      <c r="B21" s="6" t="s">
        <v>67</v>
      </c>
      <c r="C21" s="22"/>
      <c r="D21" s="22"/>
      <c r="E21" s="22"/>
      <c r="F21" s="22"/>
      <c r="G21" s="22"/>
      <c r="H21" s="12">
        <f t="shared" si="0"/>
        <v>44909</v>
      </c>
    </row>
    <row r="22" spans="2:10" x14ac:dyDescent="0.3">
      <c r="B22" s="6" t="s">
        <v>18</v>
      </c>
      <c r="C22" s="22"/>
      <c r="D22" s="22"/>
      <c r="E22" s="62"/>
      <c r="F22" s="62"/>
      <c r="G22" s="62"/>
      <c r="H22" s="12">
        <f t="shared" si="0"/>
        <v>44909</v>
      </c>
    </row>
    <row r="23" spans="2:10" x14ac:dyDescent="0.3">
      <c r="B23" s="6" t="s">
        <v>16</v>
      </c>
      <c r="C23" s="121"/>
      <c r="D23" s="22">
        <v>540000</v>
      </c>
      <c r="E23" s="62"/>
      <c r="F23" s="62"/>
      <c r="G23" s="22"/>
      <c r="H23" s="12">
        <f t="shared" si="0"/>
        <v>44909</v>
      </c>
    </row>
    <row r="24" spans="2:10" x14ac:dyDescent="0.3">
      <c r="B24" s="50" t="s">
        <v>27</v>
      </c>
      <c r="C24" s="51">
        <f>SUM(Dec14_2022[KSI_AGO])</f>
        <v>1508000</v>
      </c>
      <c r="D24" s="51">
        <f>SUBTOTAL(109,Dec14_2022[KSI_PMS])</f>
        <v>1080000</v>
      </c>
      <c r="E24" s="51">
        <f>SUM(Dec14_2022[BUIPE_AGO])</f>
        <v>361000</v>
      </c>
      <c r="F24" s="51">
        <f>SUM(Dec14_2022[BUIPE_PMS])</f>
        <v>0</v>
      </c>
      <c r="G24" s="51">
        <f>SUM(Dec14_2022[AKOSOMBO_AGO])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3F9B1F34-FEEA-471E-B2A6-354798BADB5E}">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2DBB7-6B1F-4F93-9059-271F1F7B43A5}">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E14" sqref="E14"/>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44910</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44910</v>
      </c>
    </row>
    <row r="7" spans="2:11" ht="16.5" customHeight="1" x14ac:dyDescent="0.3">
      <c r="B7" s="6" t="s">
        <v>37</v>
      </c>
      <c r="C7" s="57"/>
      <c r="D7" s="22"/>
      <c r="E7" s="62"/>
      <c r="F7" s="62"/>
      <c r="G7" s="62"/>
      <c r="H7" s="67">
        <f t="shared" si="0"/>
        <v>44910</v>
      </c>
    </row>
    <row r="8" spans="2:11" x14ac:dyDescent="0.3">
      <c r="B8" s="6" t="s">
        <v>17</v>
      </c>
      <c r="C8" s="22"/>
      <c r="D8" s="22"/>
      <c r="E8" s="22"/>
      <c r="F8" s="22"/>
      <c r="G8" s="22"/>
      <c r="H8" s="12">
        <f t="shared" si="0"/>
        <v>44910</v>
      </c>
    </row>
    <row r="9" spans="2:11" ht="15.6" x14ac:dyDescent="0.3">
      <c r="B9" s="34" t="s">
        <v>0</v>
      </c>
      <c r="C9" s="57"/>
      <c r="D9" s="57"/>
      <c r="E9" s="60"/>
      <c r="F9" s="60"/>
      <c r="G9" s="60"/>
      <c r="H9" s="12">
        <f t="shared" si="0"/>
        <v>44910</v>
      </c>
    </row>
    <row r="10" spans="2:11" x14ac:dyDescent="0.3">
      <c r="B10" s="6" t="s">
        <v>25</v>
      </c>
      <c r="C10" s="57"/>
      <c r="D10" s="22"/>
      <c r="E10" s="22"/>
      <c r="F10" s="22"/>
      <c r="G10" s="22"/>
      <c r="H10" s="12">
        <f t="shared" si="0"/>
        <v>44910</v>
      </c>
    </row>
    <row r="11" spans="2:11" x14ac:dyDescent="0.3">
      <c r="B11" s="6" t="s">
        <v>15</v>
      </c>
      <c r="C11" s="22"/>
      <c r="D11" s="22">
        <v>540000</v>
      </c>
      <c r="E11" s="22"/>
      <c r="F11" s="22"/>
      <c r="G11" s="22"/>
      <c r="H11" s="12">
        <f t="shared" si="0"/>
        <v>44910</v>
      </c>
    </row>
    <row r="12" spans="2:11" x14ac:dyDescent="0.3">
      <c r="B12" s="6" t="s">
        <v>54</v>
      </c>
      <c r="C12" s="22"/>
      <c r="D12" s="22"/>
      <c r="E12" s="22"/>
      <c r="F12" s="22"/>
      <c r="G12" s="22"/>
      <c r="H12" s="67">
        <f t="shared" si="0"/>
        <v>44910</v>
      </c>
    </row>
    <row r="13" spans="2:11" x14ac:dyDescent="0.3">
      <c r="B13" s="6" t="s">
        <v>26</v>
      </c>
      <c r="C13" s="22"/>
      <c r="D13" s="22"/>
      <c r="E13" s="22"/>
      <c r="F13" s="22"/>
      <c r="G13" s="22"/>
      <c r="H13" s="12">
        <f t="shared" si="0"/>
        <v>44910</v>
      </c>
    </row>
    <row r="14" spans="2:11" x14ac:dyDescent="0.3">
      <c r="B14" s="6" t="s">
        <v>22</v>
      </c>
      <c r="C14" s="22"/>
      <c r="D14" s="22"/>
      <c r="E14" s="22"/>
      <c r="F14" s="22"/>
      <c r="G14" s="22"/>
      <c r="H14" s="12">
        <f t="shared" si="0"/>
        <v>44910</v>
      </c>
      <c r="K14" s="4"/>
    </row>
    <row r="15" spans="2:11" x14ac:dyDescent="0.3">
      <c r="B15" s="6" t="s">
        <v>61</v>
      </c>
      <c r="C15" s="22"/>
      <c r="D15" s="22"/>
      <c r="E15" s="22"/>
      <c r="F15" s="22"/>
      <c r="G15" s="22"/>
      <c r="H15" s="67">
        <f t="shared" si="0"/>
        <v>44910</v>
      </c>
      <c r="K15" s="4"/>
    </row>
    <row r="16" spans="2:11" x14ac:dyDescent="0.3">
      <c r="B16" s="6" t="s">
        <v>19</v>
      </c>
      <c r="C16" s="22"/>
      <c r="D16" s="22">
        <v>639000</v>
      </c>
      <c r="E16" s="23"/>
      <c r="F16" s="22"/>
      <c r="G16" s="22"/>
      <c r="H16" s="12">
        <f t="shared" si="0"/>
        <v>44910</v>
      </c>
    </row>
    <row r="17" spans="2:10" x14ac:dyDescent="0.3">
      <c r="B17" s="6" t="s">
        <v>14</v>
      </c>
      <c r="C17" s="22">
        <v>1856000</v>
      </c>
      <c r="D17" s="22">
        <v>317500</v>
      </c>
      <c r="E17" s="22"/>
      <c r="F17" s="23"/>
      <c r="G17" s="22"/>
      <c r="H17" s="12">
        <f t="shared" si="0"/>
        <v>44910</v>
      </c>
    </row>
    <row r="18" spans="2:10" x14ac:dyDescent="0.3">
      <c r="B18" s="6" t="s">
        <v>24</v>
      </c>
      <c r="C18" s="22"/>
      <c r="D18" s="22"/>
      <c r="E18" s="22"/>
      <c r="F18" s="49"/>
      <c r="G18" s="22"/>
      <c r="H18" s="67">
        <f t="shared" si="0"/>
        <v>44910</v>
      </c>
    </row>
    <row r="19" spans="2:10" x14ac:dyDescent="0.3">
      <c r="B19" s="6" t="s">
        <v>21</v>
      </c>
      <c r="C19" s="22"/>
      <c r="D19" s="22"/>
      <c r="E19" s="22"/>
      <c r="F19" s="22"/>
      <c r="G19" s="22"/>
      <c r="H19" s="12">
        <f t="shared" si="0"/>
        <v>44910</v>
      </c>
      <c r="J19" s="1" t="s">
        <v>66</v>
      </c>
    </row>
    <row r="20" spans="2:10" x14ac:dyDescent="0.3">
      <c r="B20" s="6" t="s">
        <v>65</v>
      </c>
      <c r="C20" s="22"/>
      <c r="D20" s="57"/>
      <c r="E20" s="22"/>
      <c r="F20" s="22"/>
      <c r="G20" s="22"/>
      <c r="H20" s="67">
        <f t="shared" si="0"/>
        <v>44910</v>
      </c>
    </row>
    <row r="21" spans="2:10" x14ac:dyDescent="0.3">
      <c r="B21" s="6" t="s">
        <v>67</v>
      </c>
      <c r="C21" s="22"/>
      <c r="D21" s="22"/>
      <c r="E21" s="22"/>
      <c r="F21" s="22"/>
      <c r="G21" s="22"/>
      <c r="H21" s="12">
        <f t="shared" si="0"/>
        <v>44910</v>
      </c>
    </row>
    <row r="22" spans="2:10" x14ac:dyDescent="0.3">
      <c r="B22" s="6" t="s">
        <v>18</v>
      </c>
      <c r="C22" s="22"/>
      <c r="D22" s="22"/>
      <c r="E22" s="62"/>
      <c r="F22" s="62"/>
      <c r="G22" s="62"/>
      <c r="H22" s="12">
        <f t="shared" si="0"/>
        <v>44910</v>
      </c>
    </row>
    <row r="23" spans="2:10" x14ac:dyDescent="0.3">
      <c r="B23" s="6" t="s">
        <v>16</v>
      </c>
      <c r="C23" s="121"/>
      <c r="D23" s="22">
        <v>216000</v>
      </c>
      <c r="E23" s="62"/>
      <c r="F23" s="62"/>
      <c r="G23" s="22"/>
      <c r="H23" s="12">
        <f t="shared" si="0"/>
        <v>44910</v>
      </c>
    </row>
    <row r="24" spans="2:10" x14ac:dyDescent="0.3">
      <c r="B24" s="50" t="s">
        <v>27</v>
      </c>
      <c r="C24" s="51">
        <f>SUM(Dec15_2022[KSI_AGO])</f>
        <v>1856000</v>
      </c>
      <c r="D24" s="51">
        <f>SUBTOTAL(109,Dec15_2022[KSI_PMS])</f>
        <v>1712500</v>
      </c>
      <c r="E24" s="51">
        <f>SUM(Dec15_2022[BUIPE_AGO])</f>
        <v>0</v>
      </c>
      <c r="F24" s="51">
        <f>SUM(Dec15_2022[BUIPE_PMS])</f>
        <v>0</v>
      </c>
      <c r="G24" s="51">
        <f>SUM(Dec15_2022[AKOSOMBO_AGO])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21455643-3568-41E3-B06C-FE50C2659D4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C258-BCDC-45BA-A259-1108927A484A}">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J5" sqref="J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44911</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44911</v>
      </c>
    </row>
    <row r="7" spans="2:11" ht="16.5" customHeight="1" x14ac:dyDescent="0.3">
      <c r="B7" s="6" t="s">
        <v>37</v>
      </c>
      <c r="C7" s="57"/>
      <c r="D7" s="22"/>
      <c r="E7" s="62"/>
      <c r="F7" s="62"/>
      <c r="G7" s="62"/>
      <c r="H7" s="67">
        <f t="shared" si="0"/>
        <v>44911</v>
      </c>
    </row>
    <row r="8" spans="2:11" x14ac:dyDescent="0.3">
      <c r="B8" s="6" t="s">
        <v>17</v>
      </c>
      <c r="C8" s="22"/>
      <c r="D8" s="22"/>
      <c r="E8" s="22"/>
      <c r="F8" s="22"/>
      <c r="G8" s="22"/>
      <c r="H8" s="12">
        <f t="shared" si="0"/>
        <v>44911</v>
      </c>
    </row>
    <row r="9" spans="2:11" ht="15.6" x14ac:dyDescent="0.3">
      <c r="B9" s="34" t="s">
        <v>0</v>
      </c>
      <c r="C9" s="57"/>
      <c r="D9" s="57"/>
      <c r="E9" s="60"/>
      <c r="F9" s="60"/>
      <c r="G9" s="60"/>
      <c r="H9" s="12">
        <f t="shared" si="0"/>
        <v>44911</v>
      </c>
    </row>
    <row r="10" spans="2:11" x14ac:dyDescent="0.3">
      <c r="B10" s="6" t="s">
        <v>25</v>
      </c>
      <c r="C10" s="57"/>
      <c r="D10" s="22"/>
      <c r="E10" s="22"/>
      <c r="F10" s="22"/>
      <c r="G10" s="22"/>
      <c r="H10" s="12">
        <f t="shared" si="0"/>
        <v>44911</v>
      </c>
    </row>
    <row r="11" spans="2:11" x14ac:dyDescent="0.3">
      <c r="B11" s="6" t="s">
        <v>15</v>
      </c>
      <c r="C11" s="22">
        <v>207000</v>
      </c>
      <c r="D11" s="22">
        <v>590000</v>
      </c>
      <c r="E11" s="22"/>
      <c r="F11" s="22"/>
      <c r="G11" s="22"/>
      <c r="H11" s="12">
        <f t="shared" si="0"/>
        <v>44911</v>
      </c>
    </row>
    <row r="12" spans="2:11" x14ac:dyDescent="0.3">
      <c r="B12" s="6" t="s">
        <v>54</v>
      </c>
      <c r="C12" s="22"/>
      <c r="D12" s="22">
        <v>378000</v>
      </c>
      <c r="E12" s="22"/>
      <c r="F12" s="22">
        <v>54000</v>
      </c>
      <c r="G12" s="22"/>
      <c r="H12" s="67">
        <f t="shared" si="0"/>
        <v>44911</v>
      </c>
    </row>
    <row r="13" spans="2:11" x14ac:dyDescent="0.3">
      <c r="B13" s="6" t="s">
        <v>26</v>
      </c>
      <c r="C13" s="22"/>
      <c r="D13" s="22"/>
      <c r="E13" s="22"/>
      <c r="F13" s="22"/>
      <c r="G13" s="22"/>
      <c r="H13" s="12">
        <f t="shared" si="0"/>
        <v>44911</v>
      </c>
    </row>
    <row r="14" spans="2:11" x14ac:dyDescent="0.3">
      <c r="B14" s="6" t="s">
        <v>22</v>
      </c>
      <c r="C14" s="22"/>
      <c r="D14" s="22"/>
      <c r="E14" s="22"/>
      <c r="F14" s="22"/>
      <c r="G14" s="22"/>
      <c r="H14" s="12">
        <f t="shared" si="0"/>
        <v>44911</v>
      </c>
      <c r="K14" s="4"/>
    </row>
    <row r="15" spans="2:11" x14ac:dyDescent="0.3">
      <c r="B15" s="6" t="s">
        <v>61</v>
      </c>
      <c r="C15" s="22"/>
      <c r="D15" s="22"/>
      <c r="E15" s="22"/>
      <c r="F15" s="22"/>
      <c r="G15" s="22"/>
      <c r="H15" s="67">
        <f t="shared" si="0"/>
        <v>44911</v>
      </c>
      <c r="K15" s="4"/>
    </row>
    <row r="16" spans="2:11" x14ac:dyDescent="0.3">
      <c r="B16" s="6" t="s">
        <v>19</v>
      </c>
      <c r="C16" s="22"/>
      <c r="D16" s="22"/>
      <c r="E16" s="23"/>
      <c r="F16" s="22"/>
      <c r="G16" s="22"/>
      <c r="H16" s="12">
        <f t="shared" si="0"/>
        <v>44911</v>
      </c>
    </row>
    <row r="17" spans="2:10" x14ac:dyDescent="0.3">
      <c r="B17" s="6" t="s">
        <v>14</v>
      </c>
      <c r="C17" s="22">
        <v>1508000</v>
      </c>
      <c r="D17" s="22">
        <v>108000</v>
      </c>
      <c r="E17" s="22"/>
      <c r="F17" s="23">
        <v>54000</v>
      </c>
      <c r="G17" s="22"/>
      <c r="H17" s="12">
        <f t="shared" si="0"/>
        <v>44911</v>
      </c>
    </row>
    <row r="18" spans="2:10" x14ac:dyDescent="0.3">
      <c r="B18" s="6" t="s">
        <v>24</v>
      </c>
      <c r="C18" s="22"/>
      <c r="D18" s="22"/>
      <c r="E18" s="22"/>
      <c r="F18" s="49"/>
      <c r="G18" s="22"/>
      <c r="H18" s="67">
        <f t="shared" si="0"/>
        <v>44911</v>
      </c>
    </row>
    <row r="19" spans="2:10" x14ac:dyDescent="0.3">
      <c r="B19" s="6" t="s">
        <v>21</v>
      </c>
      <c r="C19" s="22"/>
      <c r="D19" s="22">
        <v>54000</v>
      </c>
      <c r="E19" s="22"/>
      <c r="F19" s="22"/>
      <c r="G19" s="22"/>
      <c r="H19" s="12">
        <f t="shared" si="0"/>
        <v>44911</v>
      </c>
      <c r="J19" s="1" t="s">
        <v>66</v>
      </c>
    </row>
    <row r="20" spans="2:10" x14ac:dyDescent="0.3">
      <c r="B20" s="6" t="s">
        <v>65</v>
      </c>
      <c r="C20" s="22"/>
      <c r="D20" s="57"/>
      <c r="E20" s="22"/>
      <c r="F20" s="22"/>
      <c r="G20" s="22"/>
      <c r="H20" s="67">
        <f t="shared" si="0"/>
        <v>44911</v>
      </c>
    </row>
    <row r="21" spans="2:10" x14ac:dyDescent="0.3">
      <c r="B21" s="6" t="s">
        <v>67</v>
      </c>
      <c r="C21" s="22"/>
      <c r="D21" s="22"/>
      <c r="E21" s="22"/>
      <c r="F21" s="22"/>
      <c r="G21" s="22"/>
      <c r="H21" s="12">
        <f t="shared" si="0"/>
        <v>44911</v>
      </c>
    </row>
    <row r="22" spans="2:10" x14ac:dyDescent="0.3">
      <c r="B22" s="6" t="s">
        <v>18</v>
      </c>
      <c r="C22" s="22"/>
      <c r="D22" s="22"/>
      <c r="E22" s="62"/>
      <c r="F22" s="62"/>
      <c r="G22" s="62"/>
      <c r="H22" s="12">
        <f t="shared" si="0"/>
        <v>44911</v>
      </c>
    </row>
    <row r="23" spans="2:10" x14ac:dyDescent="0.3">
      <c r="B23" s="6" t="s">
        <v>16</v>
      </c>
      <c r="C23" s="121"/>
      <c r="D23" s="22">
        <v>54000</v>
      </c>
      <c r="E23" s="62"/>
      <c r="F23" s="62"/>
      <c r="G23" s="22"/>
      <c r="H23" s="12">
        <f t="shared" si="0"/>
        <v>44911</v>
      </c>
    </row>
    <row r="24" spans="2:10" x14ac:dyDescent="0.3">
      <c r="B24" s="50" t="s">
        <v>27</v>
      </c>
      <c r="C24" s="51">
        <f>SUM(Dec15_202213[KSI_AGO])</f>
        <v>1715000</v>
      </c>
      <c r="D24" s="51">
        <f>SUBTOTAL(109,Dec15_202213[KSI_PMS])</f>
        <v>1184000</v>
      </c>
      <c r="E24" s="51">
        <f>SUM(Dec15_202213[BUIPE_AGO])</f>
        <v>0</v>
      </c>
      <c r="F24" s="51">
        <f>SUM(Dec15_202213[BUIPE_PMS])</f>
        <v>108000</v>
      </c>
      <c r="G24" s="51">
        <f>SUM(Dec15_202213[AKOSOMBO_AGO])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871A20A0-CE69-47FC-9E3E-611C1CBBA34C}">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FD37-EBD4-4588-8BB5-E20F68CF8C96}">
  <dimension ref="B1:K25"/>
  <sheetViews>
    <sheetView zoomScale="89" zoomScaleNormal="161" workbookViewId="0">
      <pane xSplit="2" ySplit="5" topLeftCell="D6" activePane="bottomRight" state="frozen"/>
      <selection pane="topRight" activeCell="C1" sqref="C1"/>
      <selection pane="bottomLeft" activeCell="A6" sqref="A6"/>
      <selection pane="bottomRight" activeCell="D12" sqref="D12"/>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44914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44914</v>
      </c>
    </row>
    <row r="7" spans="2:11" ht="16.5" customHeight="1" x14ac:dyDescent="0.3">
      <c r="B7" s="6" t="s">
        <v>37</v>
      </c>
      <c r="C7" s="57"/>
      <c r="D7" s="22"/>
      <c r="E7" s="62"/>
      <c r="F7" s="62"/>
      <c r="G7" s="62"/>
      <c r="H7" s="67">
        <f t="shared" si="0"/>
        <v>44914</v>
      </c>
    </row>
    <row r="8" spans="2:11" x14ac:dyDescent="0.3">
      <c r="B8" s="6" t="s">
        <v>17</v>
      </c>
      <c r="C8" s="22"/>
      <c r="D8" s="22"/>
      <c r="E8" s="22"/>
      <c r="F8" s="22"/>
      <c r="G8" s="22"/>
      <c r="H8" s="12">
        <f t="shared" si="0"/>
        <v>44914</v>
      </c>
    </row>
    <row r="9" spans="2:11" ht="15.6" x14ac:dyDescent="0.3">
      <c r="B9" s="34" t="s">
        <v>0</v>
      </c>
      <c r="C9" s="57">
        <v>216000</v>
      </c>
      <c r="D9" s="57"/>
      <c r="E9" s="60"/>
      <c r="F9" s="60"/>
      <c r="G9" s="60"/>
      <c r="H9" s="12">
        <f t="shared" si="0"/>
        <v>44914</v>
      </c>
    </row>
    <row r="10" spans="2:11" x14ac:dyDescent="0.3">
      <c r="B10" s="6" t="s">
        <v>25</v>
      </c>
      <c r="C10" s="57"/>
      <c r="D10" s="22"/>
      <c r="E10" s="22"/>
      <c r="F10" s="22"/>
      <c r="G10" s="22"/>
      <c r="H10" s="12">
        <f t="shared" si="0"/>
        <v>44914</v>
      </c>
    </row>
    <row r="11" spans="2:11" x14ac:dyDescent="0.3">
      <c r="B11" s="6" t="s">
        <v>15</v>
      </c>
      <c r="C11" s="22"/>
      <c r="D11" s="22">
        <v>108000</v>
      </c>
      <c r="E11" s="22">
        <v>54000</v>
      </c>
      <c r="F11" s="22"/>
      <c r="G11" s="22"/>
      <c r="H11" s="12">
        <f t="shared" si="0"/>
        <v>44914</v>
      </c>
    </row>
    <row r="12" spans="2:11" x14ac:dyDescent="0.3">
      <c r="B12" s="6" t="s">
        <v>54</v>
      </c>
      <c r="C12" s="22">
        <v>108000</v>
      </c>
      <c r="D12" s="22">
        <v>162000</v>
      </c>
      <c r="E12" s="22"/>
      <c r="F12" s="22">
        <v>324000</v>
      </c>
      <c r="G12" s="22"/>
      <c r="H12" s="67">
        <f t="shared" si="0"/>
        <v>44914</v>
      </c>
    </row>
    <row r="13" spans="2:11" x14ac:dyDescent="0.3">
      <c r="B13" s="6" t="s">
        <v>26</v>
      </c>
      <c r="C13" s="22">
        <v>902000</v>
      </c>
      <c r="D13" s="22">
        <v>54000</v>
      </c>
      <c r="E13" s="22">
        <v>270000</v>
      </c>
      <c r="F13" s="22"/>
      <c r="G13" s="22"/>
      <c r="H13" s="12">
        <f t="shared" si="0"/>
        <v>44914</v>
      </c>
    </row>
    <row r="14" spans="2:11" x14ac:dyDescent="0.3">
      <c r="B14" s="6" t="s">
        <v>22</v>
      </c>
      <c r="C14" s="22"/>
      <c r="D14" s="22"/>
      <c r="E14" s="22"/>
      <c r="F14" s="22"/>
      <c r="G14" s="22"/>
      <c r="H14" s="12">
        <f t="shared" si="0"/>
        <v>44914</v>
      </c>
      <c r="K14" s="4"/>
    </row>
    <row r="15" spans="2:11" x14ac:dyDescent="0.3">
      <c r="B15" s="6" t="s">
        <v>61</v>
      </c>
      <c r="C15" s="22"/>
      <c r="D15" s="22"/>
      <c r="E15" s="22"/>
      <c r="F15" s="22"/>
      <c r="G15" s="22"/>
      <c r="H15" s="67">
        <f t="shared" si="0"/>
        <v>44914</v>
      </c>
      <c r="K15" s="4"/>
    </row>
    <row r="16" spans="2:11" x14ac:dyDescent="0.3">
      <c r="B16" s="6" t="s">
        <v>19</v>
      </c>
      <c r="C16" s="22"/>
      <c r="D16" s="22"/>
      <c r="E16" s="23"/>
      <c r="F16" s="22"/>
      <c r="G16" s="22"/>
      <c r="H16" s="12">
        <f t="shared" si="0"/>
        <v>44914</v>
      </c>
    </row>
    <row r="17" spans="2:10" x14ac:dyDescent="0.3">
      <c r="B17" s="6" t="s">
        <v>14</v>
      </c>
      <c r="C17" s="22">
        <v>639000</v>
      </c>
      <c r="D17" s="22">
        <v>211500</v>
      </c>
      <c r="E17" s="22"/>
      <c r="F17" s="23"/>
      <c r="G17" s="22"/>
      <c r="H17" s="12">
        <f t="shared" si="0"/>
        <v>44914</v>
      </c>
    </row>
    <row r="18" spans="2:10" x14ac:dyDescent="0.3">
      <c r="B18" s="6" t="s">
        <v>24</v>
      </c>
      <c r="C18" s="22"/>
      <c r="D18" s="22"/>
      <c r="E18" s="22"/>
      <c r="F18" s="49"/>
      <c r="G18" s="22"/>
      <c r="H18" s="67">
        <f t="shared" si="0"/>
        <v>44914</v>
      </c>
    </row>
    <row r="19" spans="2:10" x14ac:dyDescent="0.3">
      <c r="B19" s="6" t="s">
        <v>21</v>
      </c>
      <c r="C19" s="22"/>
      <c r="D19" s="22">
        <v>54000</v>
      </c>
      <c r="E19" s="22"/>
      <c r="F19" s="22"/>
      <c r="G19" s="22"/>
      <c r="H19" s="12">
        <f t="shared" si="0"/>
        <v>44914</v>
      </c>
      <c r="J19" s="1" t="s">
        <v>66</v>
      </c>
    </row>
    <row r="20" spans="2:10" x14ac:dyDescent="0.3">
      <c r="B20" s="6" t="s">
        <v>65</v>
      </c>
      <c r="C20" s="22"/>
      <c r="D20" s="57"/>
      <c r="E20" s="22"/>
      <c r="F20" s="22"/>
      <c r="G20" s="22"/>
      <c r="H20" s="67">
        <f t="shared" si="0"/>
        <v>44914</v>
      </c>
    </row>
    <row r="21" spans="2:10" x14ac:dyDescent="0.3">
      <c r="B21" s="6" t="s">
        <v>67</v>
      </c>
      <c r="C21" s="22"/>
      <c r="D21" s="22"/>
      <c r="E21" s="22"/>
      <c r="F21" s="22"/>
      <c r="G21" s="22"/>
      <c r="H21" s="12">
        <f t="shared" si="0"/>
        <v>44914</v>
      </c>
    </row>
    <row r="22" spans="2:10" x14ac:dyDescent="0.3">
      <c r="B22" s="6" t="s">
        <v>18</v>
      </c>
      <c r="C22" s="22"/>
      <c r="D22" s="22"/>
      <c r="E22" s="62"/>
      <c r="F22" s="62"/>
      <c r="G22" s="62"/>
      <c r="H22" s="12">
        <f t="shared" si="0"/>
        <v>44914</v>
      </c>
    </row>
    <row r="23" spans="2:10" x14ac:dyDescent="0.3">
      <c r="B23" s="6" t="s">
        <v>16</v>
      </c>
      <c r="C23" s="121"/>
      <c r="D23" s="22">
        <v>158000</v>
      </c>
      <c r="E23" s="62"/>
      <c r="F23" s="62"/>
      <c r="G23" s="22"/>
      <c r="H23" s="12">
        <f t="shared" si="0"/>
        <v>44914</v>
      </c>
    </row>
    <row r="24" spans="2:10" x14ac:dyDescent="0.3">
      <c r="B24" s="50" t="s">
        <v>27</v>
      </c>
      <c r="C24" s="51">
        <f>SUM(Dec19_2022[KSI_AGO])</f>
        <v>1865000</v>
      </c>
      <c r="D24" s="51">
        <f>SUBTOTAL(109,Dec19_2022[KSI_PMS])</f>
        <v>747500</v>
      </c>
      <c r="E24" s="51">
        <f>SUM(Dec19_2022[BUIPE_AGO])</f>
        <v>324000</v>
      </c>
      <c r="F24" s="51">
        <f>SUM(Dec19_2022[BUIPE_PMS])</f>
        <v>324000</v>
      </c>
      <c r="G24" s="51">
        <f>SUM(Dec19_2022[AKOSOMBO_AGO])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AC631719-B136-44DC-82ED-C1E0A0D2DC44}">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8D3B-47C9-43C4-A2E0-D4CC2C739EA3}">
  <dimension ref="B1:K25"/>
  <sheetViews>
    <sheetView zoomScale="89" zoomScaleNormal="161" workbookViewId="0">
      <pane xSplit="2" ySplit="5" topLeftCell="D6" activePane="bottomRight" state="frozen"/>
      <selection pane="topRight" activeCell="C1" sqref="C1"/>
      <selection pane="bottomLeft" activeCell="A6" sqref="A6"/>
      <selection pane="bottomRight" activeCell="G19" sqref="G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44915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44915</v>
      </c>
    </row>
    <row r="7" spans="2:11" ht="16.5" customHeight="1" x14ac:dyDescent="0.3">
      <c r="B7" s="6" t="s">
        <v>37</v>
      </c>
      <c r="C7" s="57"/>
      <c r="D7" s="22"/>
      <c r="E7" s="62"/>
      <c r="F7" s="62"/>
      <c r="G7" s="62"/>
      <c r="H7" s="67">
        <f t="shared" si="0"/>
        <v>44915</v>
      </c>
    </row>
    <row r="8" spans="2:11" x14ac:dyDescent="0.3">
      <c r="B8" s="6" t="s">
        <v>17</v>
      </c>
      <c r="C8" s="22">
        <v>162000</v>
      </c>
      <c r="D8" s="22"/>
      <c r="E8" s="22"/>
      <c r="F8" s="22"/>
      <c r="G8" s="22"/>
      <c r="H8" s="12">
        <f t="shared" si="0"/>
        <v>44915</v>
      </c>
    </row>
    <row r="9" spans="2:11" ht="15.6" x14ac:dyDescent="0.3">
      <c r="B9" s="34" t="s">
        <v>0</v>
      </c>
      <c r="C9" s="57">
        <v>1242000</v>
      </c>
      <c r="D9" s="57"/>
      <c r="E9" s="60">
        <v>324000</v>
      </c>
      <c r="F9" s="60"/>
      <c r="G9" s="60"/>
      <c r="H9" s="12">
        <f t="shared" si="0"/>
        <v>44915</v>
      </c>
    </row>
    <row r="10" spans="2:11" x14ac:dyDescent="0.3">
      <c r="B10" s="6" t="s">
        <v>25</v>
      </c>
      <c r="C10" s="57"/>
      <c r="D10" s="22"/>
      <c r="E10" s="22"/>
      <c r="F10" s="22"/>
      <c r="G10" s="22"/>
      <c r="H10" s="12">
        <f t="shared" si="0"/>
        <v>44915</v>
      </c>
    </row>
    <row r="11" spans="2:11" x14ac:dyDescent="0.3">
      <c r="B11" s="6" t="s">
        <v>15</v>
      </c>
      <c r="C11" s="22"/>
      <c r="D11" s="22">
        <v>270000</v>
      </c>
      <c r="E11" s="22"/>
      <c r="F11" s="22"/>
      <c r="G11" s="22"/>
      <c r="H11" s="12">
        <f t="shared" si="0"/>
        <v>44915</v>
      </c>
    </row>
    <row r="12" spans="2:11" x14ac:dyDescent="0.3">
      <c r="B12" s="6" t="s">
        <v>54</v>
      </c>
      <c r="C12" s="22"/>
      <c r="D12" s="22">
        <v>216000</v>
      </c>
      <c r="E12" s="22"/>
      <c r="F12" s="22">
        <v>432000</v>
      </c>
      <c r="G12" s="22"/>
      <c r="H12" s="67">
        <f t="shared" si="0"/>
        <v>44915</v>
      </c>
    </row>
    <row r="13" spans="2:11" x14ac:dyDescent="0.3">
      <c r="B13" s="6" t="s">
        <v>26</v>
      </c>
      <c r="C13" s="22"/>
      <c r="D13" s="22">
        <v>216000</v>
      </c>
      <c r="E13" s="22"/>
      <c r="F13" s="22"/>
      <c r="G13" s="22"/>
      <c r="H13" s="12">
        <f t="shared" si="0"/>
        <v>44915</v>
      </c>
    </row>
    <row r="14" spans="2:11" x14ac:dyDescent="0.3">
      <c r="B14" s="6" t="s">
        <v>22</v>
      </c>
      <c r="C14" s="22"/>
      <c r="D14" s="22"/>
      <c r="E14" s="22"/>
      <c r="F14" s="22"/>
      <c r="G14" s="22"/>
      <c r="H14" s="12">
        <f t="shared" si="0"/>
        <v>44915</v>
      </c>
      <c r="K14" s="4"/>
    </row>
    <row r="15" spans="2:11" x14ac:dyDescent="0.3">
      <c r="B15" s="6" t="s">
        <v>61</v>
      </c>
      <c r="C15" s="22"/>
      <c r="D15" s="22"/>
      <c r="E15" s="22"/>
      <c r="F15" s="22"/>
      <c r="G15" s="22"/>
      <c r="H15" s="67">
        <f t="shared" si="0"/>
        <v>44915</v>
      </c>
      <c r="K15" s="4"/>
    </row>
    <row r="16" spans="2:11" x14ac:dyDescent="0.3">
      <c r="B16" s="6" t="s">
        <v>19</v>
      </c>
      <c r="C16" s="22">
        <v>54000</v>
      </c>
      <c r="D16" s="22">
        <v>324000</v>
      </c>
      <c r="E16" s="23"/>
      <c r="F16" s="22"/>
      <c r="G16" s="22"/>
      <c r="H16" s="12">
        <f t="shared" si="0"/>
        <v>44915</v>
      </c>
    </row>
    <row r="17" spans="2:10" x14ac:dyDescent="0.3">
      <c r="B17" s="6" t="s">
        <v>14</v>
      </c>
      <c r="C17" s="22">
        <v>864000</v>
      </c>
      <c r="D17" s="22">
        <v>162000</v>
      </c>
      <c r="E17" s="22"/>
      <c r="F17" s="23">
        <v>199000</v>
      </c>
      <c r="G17" s="22"/>
      <c r="H17" s="12">
        <f t="shared" si="0"/>
        <v>44915</v>
      </c>
    </row>
    <row r="18" spans="2:10" x14ac:dyDescent="0.3">
      <c r="B18" s="6" t="s">
        <v>24</v>
      </c>
      <c r="C18" s="22"/>
      <c r="D18" s="22"/>
      <c r="E18" s="22"/>
      <c r="F18" s="49"/>
      <c r="G18" s="22"/>
      <c r="H18" s="67">
        <f t="shared" si="0"/>
        <v>44915</v>
      </c>
    </row>
    <row r="19" spans="2:10" x14ac:dyDescent="0.3">
      <c r="B19" s="6" t="s">
        <v>21</v>
      </c>
      <c r="C19" s="22"/>
      <c r="D19" s="22"/>
      <c r="E19" s="22"/>
      <c r="F19" s="22"/>
      <c r="G19" s="22"/>
      <c r="H19" s="12">
        <f t="shared" si="0"/>
        <v>44915</v>
      </c>
      <c r="J19" s="1" t="s">
        <v>66</v>
      </c>
    </row>
    <row r="20" spans="2:10" x14ac:dyDescent="0.3">
      <c r="B20" s="6" t="s">
        <v>65</v>
      </c>
      <c r="C20" s="22"/>
      <c r="D20" s="57"/>
      <c r="E20" s="22"/>
      <c r="F20" s="22"/>
      <c r="G20" s="22"/>
      <c r="H20" s="67">
        <f t="shared" si="0"/>
        <v>44915</v>
      </c>
    </row>
    <row r="21" spans="2:10" x14ac:dyDescent="0.3">
      <c r="B21" s="6" t="s">
        <v>67</v>
      </c>
      <c r="C21" s="22"/>
      <c r="D21" s="22"/>
      <c r="E21" s="22"/>
      <c r="F21" s="22"/>
      <c r="G21" s="22"/>
      <c r="H21" s="12">
        <f t="shared" si="0"/>
        <v>44915</v>
      </c>
    </row>
    <row r="22" spans="2:10" x14ac:dyDescent="0.3">
      <c r="B22" s="6" t="s">
        <v>18</v>
      </c>
      <c r="C22" s="22"/>
      <c r="D22" s="22"/>
      <c r="E22" s="62"/>
      <c r="F22" s="62"/>
      <c r="G22" s="62"/>
      <c r="H22" s="12">
        <f t="shared" si="0"/>
        <v>44915</v>
      </c>
    </row>
    <row r="23" spans="2:10" x14ac:dyDescent="0.3">
      <c r="B23" s="6" t="s">
        <v>16</v>
      </c>
      <c r="C23" s="121"/>
      <c r="D23" s="22">
        <v>108000</v>
      </c>
      <c r="E23" s="62"/>
      <c r="F23" s="62"/>
      <c r="G23" s="22"/>
      <c r="H23" s="12">
        <f t="shared" si="0"/>
        <v>44915</v>
      </c>
    </row>
    <row r="24" spans="2:10" x14ac:dyDescent="0.3">
      <c r="B24" s="50" t="s">
        <v>27</v>
      </c>
      <c r="C24" s="51">
        <f>SUM(Dec19_202215[KSI_AGO])</f>
        <v>2322000</v>
      </c>
      <c r="D24" s="51">
        <f>SUBTOTAL(109,Dec19_202215[KSI_PMS])</f>
        <v>1296000</v>
      </c>
      <c r="E24" s="51">
        <f>SUM(Dec19_202215[BUIPE_AGO])</f>
        <v>324000</v>
      </c>
      <c r="F24" s="51">
        <f>SUM(Dec19_202215[BUIPE_PMS])</f>
        <v>631000</v>
      </c>
      <c r="G24" s="51">
        <f>SUM(Dec19_202215[AKOSOMBO_AGO])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7F96C884-F288-48D4-9091-2F5B1DEB7239}">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A85F-5276-4BCF-A21A-18D4D1ED9F84}">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F21" sqref="F21"/>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44916</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44916</v>
      </c>
    </row>
    <row r="7" spans="2:11" ht="16.5" customHeight="1" x14ac:dyDescent="0.3">
      <c r="B7" s="6" t="s">
        <v>37</v>
      </c>
      <c r="C7" s="57"/>
      <c r="D7" s="22"/>
      <c r="E7" s="62"/>
      <c r="F7" s="62"/>
      <c r="G7" s="62"/>
      <c r="H7" s="67">
        <f t="shared" si="0"/>
        <v>44916</v>
      </c>
    </row>
    <row r="8" spans="2:11" x14ac:dyDescent="0.3">
      <c r="B8" s="6" t="s">
        <v>17</v>
      </c>
      <c r="C8" s="22"/>
      <c r="D8" s="22"/>
      <c r="E8" s="22"/>
      <c r="F8" s="22"/>
      <c r="G8" s="22"/>
      <c r="H8" s="12">
        <f t="shared" si="0"/>
        <v>44916</v>
      </c>
    </row>
    <row r="9" spans="2:11" ht="15.6" x14ac:dyDescent="0.3">
      <c r="B9" s="34" t="s">
        <v>0</v>
      </c>
      <c r="C9" s="57">
        <v>54000</v>
      </c>
      <c r="D9" s="57"/>
      <c r="E9" s="60"/>
      <c r="F9" s="60"/>
      <c r="G9" s="60"/>
      <c r="H9" s="12">
        <f t="shared" si="0"/>
        <v>44916</v>
      </c>
    </row>
    <row r="10" spans="2:11" x14ac:dyDescent="0.3">
      <c r="B10" s="6" t="s">
        <v>25</v>
      </c>
      <c r="C10" s="57"/>
      <c r="D10" s="22"/>
      <c r="E10" s="22"/>
      <c r="F10" s="22"/>
      <c r="G10" s="22"/>
      <c r="H10" s="12">
        <f t="shared" si="0"/>
        <v>44916</v>
      </c>
    </row>
    <row r="11" spans="2:11" x14ac:dyDescent="0.3">
      <c r="B11" s="6" t="s">
        <v>15</v>
      </c>
      <c r="C11" s="22"/>
      <c r="D11" s="22">
        <v>324000</v>
      </c>
      <c r="E11" s="22"/>
      <c r="F11" s="22"/>
      <c r="G11" s="22"/>
      <c r="H11" s="12">
        <f t="shared" si="0"/>
        <v>44916</v>
      </c>
    </row>
    <row r="12" spans="2:11" x14ac:dyDescent="0.3">
      <c r="B12" s="6" t="s">
        <v>54</v>
      </c>
      <c r="C12" s="22">
        <v>54000</v>
      </c>
      <c r="D12" s="22">
        <v>162000</v>
      </c>
      <c r="E12" s="22"/>
      <c r="F12" s="22"/>
      <c r="G12" s="22"/>
      <c r="H12" s="67">
        <f t="shared" si="0"/>
        <v>44916</v>
      </c>
    </row>
    <row r="13" spans="2:11" x14ac:dyDescent="0.3">
      <c r="B13" s="6" t="s">
        <v>26</v>
      </c>
      <c r="C13" s="22">
        <v>95000</v>
      </c>
      <c r="D13" s="22">
        <v>162000</v>
      </c>
      <c r="E13" s="22"/>
      <c r="F13" s="22"/>
      <c r="G13" s="22"/>
      <c r="H13" s="12">
        <f t="shared" si="0"/>
        <v>44916</v>
      </c>
    </row>
    <row r="14" spans="2:11" x14ac:dyDescent="0.3">
      <c r="B14" s="6" t="s">
        <v>22</v>
      </c>
      <c r="C14" s="22"/>
      <c r="D14" s="22"/>
      <c r="E14" s="22"/>
      <c r="F14" s="22"/>
      <c r="G14" s="22"/>
      <c r="H14" s="12">
        <f t="shared" si="0"/>
        <v>44916</v>
      </c>
      <c r="K14" s="4"/>
    </row>
    <row r="15" spans="2:11" x14ac:dyDescent="0.3">
      <c r="B15" s="6" t="s">
        <v>61</v>
      </c>
      <c r="C15" s="22"/>
      <c r="D15" s="22"/>
      <c r="E15" s="22"/>
      <c r="F15" s="22"/>
      <c r="G15" s="22"/>
      <c r="H15" s="67">
        <f t="shared" si="0"/>
        <v>44916</v>
      </c>
      <c r="K15" s="4"/>
    </row>
    <row r="16" spans="2:11" x14ac:dyDescent="0.3">
      <c r="B16" s="6" t="s">
        <v>19</v>
      </c>
      <c r="C16" s="22">
        <v>918000</v>
      </c>
      <c r="D16" s="22">
        <v>405000</v>
      </c>
      <c r="E16" s="23"/>
      <c r="F16" s="22"/>
      <c r="G16" s="22"/>
      <c r="H16" s="12">
        <f t="shared" si="0"/>
        <v>44916</v>
      </c>
    </row>
    <row r="17" spans="2:10" x14ac:dyDescent="0.3">
      <c r="B17" s="6" t="s">
        <v>14</v>
      </c>
      <c r="C17" s="22">
        <v>324000</v>
      </c>
      <c r="D17" s="22">
        <v>540000</v>
      </c>
      <c r="E17" s="22"/>
      <c r="F17" s="23">
        <v>644000</v>
      </c>
      <c r="G17" s="22"/>
      <c r="H17" s="12">
        <f t="shared" si="0"/>
        <v>44916</v>
      </c>
    </row>
    <row r="18" spans="2:10" x14ac:dyDescent="0.3">
      <c r="B18" s="6" t="s">
        <v>24</v>
      </c>
      <c r="C18" s="22"/>
      <c r="D18" s="22"/>
      <c r="E18" s="22"/>
      <c r="F18" s="49"/>
      <c r="G18" s="22"/>
      <c r="H18" s="67">
        <f t="shared" si="0"/>
        <v>44916</v>
      </c>
    </row>
    <row r="19" spans="2:10" x14ac:dyDescent="0.3">
      <c r="B19" s="6" t="s">
        <v>21</v>
      </c>
      <c r="C19" s="22">
        <v>216000</v>
      </c>
      <c r="D19" s="22">
        <v>54000</v>
      </c>
      <c r="E19" s="22"/>
      <c r="F19" s="22"/>
      <c r="G19" s="22"/>
      <c r="H19" s="12">
        <f t="shared" si="0"/>
        <v>44916</v>
      </c>
      <c r="J19" s="1" t="s">
        <v>66</v>
      </c>
    </row>
    <row r="20" spans="2:10" x14ac:dyDescent="0.3">
      <c r="B20" s="6" t="s">
        <v>65</v>
      </c>
      <c r="C20" s="22"/>
      <c r="D20" s="57"/>
      <c r="E20" s="22"/>
      <c r="F20" s="22"/>
      <c r="G20" s="22"/>
      <c r="H20" s="67">
        <f t="shared" si="0"/>
        <v>44916</v>
      </c>
    </row>
    <row r="21" spans="2:10" x14ac:dyDescent="0.3">
      <c r="B21" s="6" t="s">
        <v>67</v>
      </c>
      <c r="C21" s="22"/>
      <c r="D21" s="22"/>
      <c r="E21" s="22"/>
      <c r="F21" s="22"/>
      <c r="G21" s="22"/>
      <c r="H21" s="12">
        <f t="shared" si="0"/>
        <v>44916</v>
      </c>
    </row>
    <row r="22" spans="2:10" x14ac:dyDescent="0.3">
      <c r="B22" s="6" t="s">
        <v>18</v>
      </c>
      <c r="C22" s="22"/>
      <c r="D22" s="22"/>
      <c r="E22" s="62"/>
      <c r="F22" s="62"/>
      <c r="G22" s="62"/>
      <c r="H22" s="12">
        <f t="shared" si="0"/>
        <v>44916</v>
      </c>
    </row>
    <row r="23" spans="2:10" x14ac:dyDescent="0.3">
      <c r="B23" s="6" t="s">
        <v>16</v>
      </c>
      <c r="C23" s="121"/>
      <c r="D23" s="22">
        <v>162000</v>
      </c>
      <c r="E23" s="62"/>
      <c r="F23" s="62"/>
      <c r="G23" s="22"/>
      <c r="H23" s="12">
        <f t="shared" si="0"/>
        <v>44916</v>
      </c>
    </row>
    <row r="24" spans="2:10" x14ac:dyDescent="0.3">
      <c r="B24" s="50" t="s">
        <v>27</v>
      </c>
      <c r="C24" s="51">
        <f>SUM(Dec21_2022[KSI_AGO])</f>
        <v>1661000</v>
      </c>
      <c r="D24" s="51">
        <f>SUBTOTAL(109,Dec21_2022[KSI_PMS])</f>
        <v>1809000</v>
      </c>
      <c r="E24" s="51">
        <f>SUM(Dec21_2022[BUIPE_AGO])</f>
        <v>0</v>
      </c>
      <c r="F24" s="51">
        <f>SUM(Dec21_2022[BUIPE_PMS])</f>
        <v>644000</v>
      </c>
      <c r="G24" s="51">
        <f>SUM(Dec21_2022[AKOSOMBO_AGO])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3C67E129-6859-452B-8D08-778CE27E8029}">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B784-5388-4CC0-9A2C-92D0BF505749}">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K3" sqref="K3"/>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44917</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44917</v>
      </c>
    </row>
    <row r="7" spans="2:11" ht="16.5" customHeight="1" x14ac:dyDescent="0.3">
      <c r="B7" s="6" t="s">
        <v>37</v>
      </c>
      <c r="C7" s="57"/>
      <c r="D7" s="22"/>
      <c r="E7" s="62"/>
      <c r="F7" s="62"/>
      <c r="G7" s="62"/>
      <c r="H7" s="67">
        <f t="shared" si="0"/>
        <v>44917</v>
      </c>
    </row>
    <row r="8" spans="2:11" x14ac:dyDescent="0.3">
      <c r="B8" s="6" t="s">
        <v>17</v>
      </c>
      <c r="C8" s="22"/>
      <c r="D8" s="22"/>
      <c r="E8" s="22"/>
      <c r="F8" s="22"/>
      <c r="G8" s="22"/>
      <c r="H8" s="12">
        <f t="shared" si="0"/>
        <v>44917</v>
      </c>
    </row>
    <row r="9" spans="2:11" ht="15.6" x14ac:dyDescent="0.3">
      <c r="B9" s="34" t="s">
        <v>0</v>
      </c>
      <c r="C9" s="57"/>
      <c r="D9" s="57"/>
      <c r="E9" s="60"/>
      <c r="F9" s="60"/>
      <c r="G9" s="60"/>
      <c r="H9" s="12">
        <f t="shared" si="0"/>
        <v>44917</v>
      </c>
    </row>
    <row r="10" spans="2:11" x14ac:dyDescent="0.3">
      <c r="B10" s="6" t="s">
        <v>25</v>
      </c>
      <c r="C10" s="57"/>
      <c r="D10" s="22"/>
      <c r="E10" s="22"/>
      <c r="F10" s="22"/>
      <c r="G10" s="22"/>
      <c r="H10" s="12">
        <f t="shared" si="0"/>
        <v>44917</v>
      </c>
    </row>
    <row r="11" spans="2:11" x14ac:dyDescent="0.3">
      <c r="B11" s="6" t="s">
        <v>15</v>
      </c>
      <c r="C11" s="22"/>
      <c r="D11" s="22">
        <v>317500</v>
      </c>
      <c r="E11" s="22"/>
      <c r="F11" s="22"/>
      <c r="G11" s="22"/>
      <c r="H11" s="12">
        <f t="shared" si="0"/>
        <v>44917</v>
      </c>
    </row>
    <row r="12" spans="2:11" x14ac:dyDescent="0.3">
      <c r="B12" s="6" t="s">
        <v>54</v>
      </c>
      <c r="C12" s="22"/>
      <c r="D12" s="22">
        <v>108000</v>
      </c>
      <c r="E12" s="22"/>
      <c r="F12" s="22"/>
      <c r="G12" s="22"/>
      <c r="H12" s="67">
        <f t="shared" si="0"/>
        <v>44917</v>
      </c>
    </row>
    <row r="13" spans="2:11" x14ac:dyDescent="0.3">
      <c r="B13" s="6" t="s">
        <v>26</v>
      </c>
      <c r="C13" s="22"/>
      <c r="D13" s="22">
        <v>270000</v>
      </c>
      <c r="E13" s="22"/>
      <c r="F13" s="22"/>
      <c r="G13" s="22"/>
      <c r="H13" s="12">
        <f t="shared" si="0"/>
        <v>44917</v>
      </c>
    </row>
    <row r="14" spans="2:11" x14ac:dyDescent="0.3">
      <c r="B14" s="6" t="s">
        <v>22</v>
      </c>
      <c r="C14" s="22"/>
      <c r="D14" s="22"/>
      <c r="E14" s="22"/>
      <c r="F14" s="22"/>
      <c r="G14" s="22"/>
      <c r="H14" s="12">
        <f t="shared" si="0"/>
        <v>44917</v>
      </c>
      <c r="K14" s="4"/>
    </row>
    <row r="15" spans="2:11" x14ac:dyDescent="0.3">
      <c r="B15" s="6" t="s">
        <v>61</v>
      </c>
      <c r="C15" s="22"/>
      <c r="D15" s="22"/>
      <c r="E15" s="22"/>
      <c r="F15" s="22"/>
      <c r="G15" s="22"/>
      <c r="H15" s="67">
        <f t="shared" si="0"/>
        <v>44917</v>
      </c>
      <c r="K15" s="4"/>
    </row>
    <row r="16" spans="2:11" x14ac:dyDescent="0.3">
      <c r="B16" s="6" t="s">
        <v>19</v>
      </c>
      <c r="C16" s="22"/>
      <c r="D16" s="22">
        <v>216000</v>
      </c>
      <c r="E16" s="23"/>
      <c r="F16" s="22"/>
      <c r="G16" s="22"/>
      <c r="H16" s="12">
        <f t="shared" si="0"/>
        <v>44917</v>
      </c>
    </row>
    <row r="17" spans="2:10" x14ac:dyDescent="0.3">
      <c r="B17" s="6" t="s">
        <v>14</v>
      </c>
      <c r="C17" s="22"/>
      <c r="D17" s="22">
        <v>536000</v>
      </c>
      <c r="E17" s="22"/>
      <c r="F17" s="23">
        <v>108000</v>
      </c>
      <c r="G17" s="22"/>
      <c r="H17" s="12">
        <f t="shared" si="0"/>
        <v>44917</v>
      </c>
    </row>
    <row r="18" spans="2:10" x14ac:dyDescent="0.3">
      <c r="B18" s="6" t="s">
        <v>24</v>
      </c>
      <c r="C18" s="22"/>
      <c r="D18" s="22"/>
      <c r="E18" s="22"/>
      <c r="F18" s="49"/>
      <c r="G18" s="22"/>
      <c r="H18" s="67">
        <f t="shared" si="0"/>
        <v>44917</v>
      </c>
    </row>
    <row r="19" spans="2:10" x14ac:dyDescent="0.3">
      <c r="B19" s="6" t="s">
        <v>21</v>
      </c>
      <c r="C19" s="22"/>
      <c r="D19" s="22"/>
      <c r="E19" s="22"/>
      <c r="F19" s="22"/>
      <c r="G19" s="22"/>
      <c r="H19" s="12">
        <f t="shared" si="0"/>
        <v>44917</v>
      </c>
      <c r="J19" s="1" t="s">
        <v>66</v>
      </c>
    </row>
    <row r="20" spans="2:10" x14ac:dyDescent="0.3">
      <c r="B20" s="6" t="s">
        <v>65</v>
      </c>
      <c r="C20" s="22"/>
      <c r="D20" s="57"/>
      <c r="E20" s="22"/>
      <c r="F20" s="22"/>
      <c r="G20" s="22"/>
      <c r="H20" s="67">
        <f t="shared" si="0"/>
        <v>44917</v>
      </c>
    </row>
    <row r="21" spans="2:10" x14ac:dyDescent="0.3">
      <c r="B21" s="6" t="s">
        <v>67</v>
      </c>
      <c r="C21" s="22"/>
      <c r="D21" s="22"/>
      <c r="E21" s="22"/>
      <c r="F21" s="22"/>
      <c r="G21" s="22"/>
      <c r="H21" s="12">
        <f t="shared" si="0"/>
        <v>44917</v>
      </c>
    </row>
    <row r="22" spans="2:10" x14ac:dyDescent="0.3">
      <c r="B22" s="6" t="s">
        <v>18</v>
      </c>
      <c r="C22" s="22"/>
      <c r="D22" s="22"/>
      <c r="E22" s="62"/>
      <c r="F22" s="62"/>
      <c r="G22" s="62"/>
      <c r="H22" s="12">
        <f t="shared" si="0"/>
        <v>44917</v>
      </c>
    </row>
    <row r="23" spans="2:10" x14ac:dyDescent="0.3">
      <c r="B23" s="6" t="s">
        <v>16</v>
      </c>
      <c r="C23" s="121"/>
      <c r="D23" s="22">
        <v>266000</v>
      </c>
      <c r="E23" s="62"/>
      <c r="F23" s="62"/>
      <c r="G23" s="22"/>
      <c r="H23" s="12">
        <f t="shared" si="0"/>
        <v>44917</v>
      </c>
    </row>
    <row r="24" spans="2:10" x14ac:dyDescent="0.3">
      <c r="B24" s="50" t="s">
        <v>27</v>
      </c>
      <c r="C24" s="51">
        <f>SUM(Dec22_2022[KSI_AGO])</f>
        <v>0</v>
      </c>
      <c r="D24" s="51">
        <f>SUBTOTAL(109,Dec22_2022[KSI_PMS])</f>
        <v>1713500</v>
      </c>
      <c r="E24" s="51">
        <f>SUM(Dec22_2022[BUIPE_AGO])</f>
        <v>0</v>
      </c>
      <c r="F24" s="51">
        <f>SUM(Dec22_2022[BUIPE_PMS])</f>
        <v>108000</v>
      </c>
      <c r="G24" s="51">
        <f>SUM(Dec22_2022[AKOSOMBO_AGO])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B789AE8F-1F1D-48D2-80E7-D67907A757AE}">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465FF-47AE-462D-A381-B115F19E7A6B}">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K10" sqref="K10"/>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44918</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44918</v>
      </c>
    </row>
    <row r="7" spans="2:11" ht="16.5" customHeight="1" x14ac:dyDescent="0.3">
      <c r="B7" s="6" t="s">
        <v>37</v>
      </c>
      <c r="C7" s="57"/>
      <c r="D7" s="22"/>
      <c r="E7" s="62"/>
      <c r="F7" s="62"/>
      <c r="G7" s="62"/>
      <c r="H7" s="67">
        <f t="shared" si="0"/>
        <v>44918</v>
      </c>
    </row>
    <row r="8" spans="2:11" x14ac:dyDescent="0.3">
      <c r="B8" s="6" t="s">
        <v>17</v>
      </c>
      <c r="C8" s="22"/>
      <c r="D8" s="22"/>
      <c r="E8" s="22"/>
      <c r="F8" s="22"/>
      <c r="G8" s="22"/>
      <c r="H8" s="12">
        <f t="shared" si="0"/>
        <v>44918</v>
      </c>
    </row>
    <row r="9" spans="2:11" ht="15.6" x14ac:dyDescent="0.3">
      <c r="B9" s="34" t="s">
        <v>0</v>
      </c>
      <c r="C9" s="57"/>
      <c r="D9" s="57"/>
      <c r="E9" s="60"/>
      <c r="F9" s="60"/>
      <c r="G9" s="60"/>
      <c r="H9" s="12">
        <f t="shared" si="0"/>
        <v>44918</v>
      </c>
    </row>
    <row r="10" spans="2:11" x14ac:dyDescent="0.3">
      <c r="B10" s="6" t="s">
        <v>25</v>
      </c>
      <c r="C10" s="57"/>
      <c r="D10" s="22"/>
      <c r="E10" s="22"/>
      <c r="F10" s="22"/>
      <c r="G10" s="22"/>
      <c r="H10" s="12">
        <f t="shared" si="0"/>
        <v>44918</v>
      </c>
    </row>
    <row r="11" spans="2:11" x14ac:dyDescent="0.3">
      <c r="B11" s="6" t="s">
        <v>15</v>
      </c>
      <c r="C11" s="22"/>
      <c r="D11" s="22">
        <v>54000</v>
      </c>
      <c r="E11" s="22"/>
      <c r="F11" s="22"/>
      <c r="G11" s="22"/>
      <c r="H11" s="12">
        <f t="shared" si="0"/>
        <v>44918</v>
      </c>
    </row>
    <row r="12" spans="2:11" x14ac:dyDescent="0.3">
      <c r="B12" s="6" t="s">
        <v>54</v>
      </c>
      <c r="C12" s="22"/>
      <c r="D12" s="22"/>
      <c r="E12" s="22"/>
      <c r="F12" s="22"/>
      <c r="G12" s="22"/>
      <c r="H12" s="67">
        <f t="shared" si="0"/>
        <v>44918</v>
      </c>
    </row>
    <row r="13" spans="2:11" x14ac:dyDescent="0.3">
      <c r="B13" s="6" t="s">
        <v>26</v>
      </c>
      <c r="C13" s="22">
        <v>297000</v>
      </c>
      <c r="D13" s="22">
        <v>108000</v>
      </c>
      <c r="E13" s="22"/>
      <c r="F13" s="22"/>
      <c r="G13" s="22"/>
      <c r="H13" s="12">
        <f t="shared" si="0"/>
        <v>44918</v>
      </c>
    </row>
    <row r="14" spans="2:11" x14ac:dyDescent="0.3">
      <c r="B14" s="6" t="s">
        <v>22</v>
      </c>
      <c r="C14" s="22"/>
      <c r="D14" s="22"/>
      <c r="E14" s="22"/>
      <c r="F14" s="22"/>
      <c r="G14" s="22"/>
      <c r="H14" s="12">
        <f t="shared" si="0"/>
        <v>44918</v>
      </c>
      <c r="K14" s="4"/>
    </row>
    <row r="15" spans="2:11" x14ac:dyDescent="0.3">
      <c r="B15" s="6" t="s">
        <v>61</v>
      </c>
      <c r="C15" s="22"/>
      <c r="D15" s="22"/>
      <c r="E15" s="22"/>
      <c r="F15" s="22"/>
      <c r="G15" s="22"/>
      <c r="H15" s="67">
        <f t="shared" si="0"/>
        <v>44918</v>
      </c>
      <c r="K15" s="4"/>
    </row>
    <row r="16" spans="2:11" x14ac:dyDescent="0.3">
      <c r="B16" s="6" t="s">
        <v>19</v>
      </c>
      <c r="C16" s="22"/>
      <c r="D16" s="22">
        <v>324000</v>
      </c>
      <c r="E16" s="23"/>
      <c r="F16" s="22"/>
      <c r="G16" s="22"/>
      <c r="H16" s="12">
        <f t="shared" si="0"/>
        <v>44918</v>
      </c>
    </row>
    <row r="17" spans="2:10" x14ac:dyDescent="0.3">
      <c r="B17" s="6" t="s">
        <v>14</v>
      </c>
      <c r="C17" s="22">
        <v>648000</v>
      </c>
      <c r="D17" s="22">
        <v>756000</v>
      </c>
      <c r="E17" s="22"/>
      <c r="F17" s="23"/>
      <c r="G17" s="22"/>
      <c r="H17" s="12">
        <f t="shared" si="0"/>
        <v>44918</v>
      </c>
    </row>
    <row r="18" spans="2:10" x14ac:dyDescent="0.3">
      <c r="B18" s="6" t="s">
        <v>24</v>
      </c>
      <c r="C18" s="22"/>
      <c r="D18" s="22"/>
      <c r="E18" s="22"/>
      <c r="F18" s="49"/>
      <c r="G18" s="22"/>
      <c r="H18" s="67">
        <f t="shared" si="0"/>
        <v>44918</v>
      </c>
    </row>
    <row r="19" spans="2:10" x14ac:dyDescent="0.3">
      <c r="B19" s="6" t="s">
        <v>21</v>
      </c>
      <c r="C19" s="22"/>
      <c r="D19" s="22"/>
      <c r="E19" s="22"/>
      <c r="F19" s="22"/>
      <c r="G19" s="22"/>
      <c r="H19" s="12">
        <f t="shared" si="0"/>
        <v>44918</v>
      </c>
      <c r="J19" s="1" t="s">
        <v>66</v>
      </c>
    </row>
    <row r="20" spans="2:10" x14ac:dyDescent="0.3">
      <c r="B20" s="6" t="s">
        <v>65</v>
      </c>
      <c r="C20" s="22"/>
      <c r="D20" s="57"/>
      <c r="E20" s="22"/>
      <c r="F20" s="22"/>
      <c r="G20" s="22"/>
      <c r="H20" s="67">
        <f t="shared" si="0"/>
        <v>44918</v>
      </c>
    </row>
    <row r="21" spans="2:10" x14ac:dyDescent="0.3">
      <c r="B21" s="6" t="s">
        <v>67</v>
      </c>
      <c r="C21" s="22"/>
      <c r="D21" s="22"/>
      <c r="E21" s="22"/>
      <c r="F21" s="22"/>
      <c r="G21" s="22"/>
      <c r="H21" s="12">
        <f t="shared" si="0"/>
        <v>44918</v>
      </c>
    </row>
    <row r="22" spans="2:10" x14ac:dyDescent="0.3">
      <c r="B22" s="6" t="s">
        <v>18</v>
      </c>
      <c r="C22" s="22"/>
      <c r="D22" s="22"/>
      <c r="E22" s="62"/>
      <c r="F22" s="62"/>
      <c r="G22" s="62"/>
      <c r="H22" s="12">
        <f t="shared" si="0"/>
        <v>44918</v>
      </c>
    </row>
    <row r="23" spans="2:10" x14ac:dyDescent="0.3">
      <c r="B23" s="6" t="s">
        <v>16</v>
      </c>
      <c r="C23" s="121"/>
      <c r="D23" s="22"/>
      <c r="E23" s="62"/>
      <c r="F23" s="62"/>
      <c r="G23" s="22"/>
      <c r="H23" s="12">
        <f t="shared" si="0"/>
        <v>44918</v>
      </c>
    </row>
    <row r="24" spans="2:10" x14ac:dyDescent="0.3">
      <c r="B24" s="50" t="s">
        <v>27</v>
      </c>
      <c r="C24" s="51">
        <f>SUM(Dec23_2022[KSI_AGO])</f>
        <v>945000</v>
      </c>
      <c r="D24" s="51">
        <f>SUBTOTAL(109,Dec23_2022[KSI_PMS])</f>
        <v>1242000</v>
      </c>
      <c r="E24" s="51">
        <f>SUM(Dec23_2022[BUIPE_AGO])</f>
        <v>0</v>
      </c>
      <c r="F24" s="51">
        <f>SUM(Dec23_2022[BUIPE_PMS])</f>
        <v>0</v>
      </c>
      <c r="G24" s="51">
        <f>SUM(Dec23_2022[AKOSOMBO_AGO])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072050E2-DB07-4C0E-87E9-34273E7C2B57}">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C16C3-5F9B-47C2-8070-8E47F6E4DDF6}">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L7" sqref="L7"/>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44923</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44923</v>
      </c>
    </row>
    <row r="7" spans="2:11" ht="16.5" customHeight="1" x14ac:dyDescent="0.3">
      <c r="B7" s="6" t="s">
        <v>37</v>
      </c>
      <c r="C7" s="57"/>
      <c r="D7" s="22"/>
      <c r="E7" s="62"/>
      <c r="F7" s="62"/>
      <c r="G7" s="62"/>
      <c r="H7" s="67">
        <f t="shared" si="0"/>
        <v>44923</v>
      </c>
    </row>
    <row r="8" spans="2:11" x14ac:dyDescent="0.3">
      <c r="B8" s="6" t="s">
        <v>17</v>
      </c>
      <c r="C8" s="22"/>
      <c r="D8" s="22"/>
      <c r="E8" s="22"/>
      <c r="F8" s="22"/>
      <c r="G8" s="22"/>
      <c r="H8" s="12">
        <f t="shared" si="0"/>
        <v>44923</v>
      </c>
    </row>
    <row r="9" spans="2:11" ht="15.6" x14ac:dyDescent="0.3">
      <c r="B9" s="34" t="s">
        <v>0</v>
      </c>
      <c r="C9" s="57"/>
      <c r="D9" s="57"/>
      <c r="E9" s="60"/>
      <c r="F9" s="60"/>
      <c r="G9" s="60"/>
      <c r="H9" s="12">
        <f t="shared" si="0"/>
        <v>44923</v>
      </c>
    </row>
    <row r="10" spans="2:11" x14ac:dyDescent="0.3">
      <c r="B10" s="6" t="s">
        <v>25</v>
      </c>
      <c r="C10" s="57"/>
      <c r="D10" s="22"/>
      <c r="E10" s="22"/>
      <c r="F10" s="22"/>
      <c r="G10" s="22"/>
      <c r="H10" s="12">
        <f t="shared" si="0"/>
        <v>44923</v>
      </c>
    </row>
    <row r="11" spans="2:11" x14ac:dyDescent="0.3">
      <c r="B11" s="6" t="s">
        <v>15</v>
      </c>
      <c r="C11" s="22"/>
      <c r="D11" s="22"/>
      <c r="E11" s="22"/>
      <c r="F11" s="22"/>
      <c r="G11" s="22"/>
      <c r="H11" s="12">
        <f t="shared" si="0"/>
        <v>44923</v>
      </c>
    </row>
    <row r="12" spans="2:11" x14ac:dyDescent="0.3">
      <c r="B12" s="6" t="s">
        <v>54</v>
      </c>
      <c r="C12" s="22"/>
      <c r="D12" s="22">
        <v>162000</v>
      </c>
      <c r="E12" s="22"/>
      <c r="F12" s="22"/>
      <c r="G12" s="22"/>
      <c r="H12" s="67">
        <f t="shared" si="0"/>
        <v>44923</v>
      </c>
    </row>
    <row r="13" spans="2:11" x14ac:dyDescent="0.3">
      <c r="B13" s="6" t="s">
        <v>26</v>
      </c>
      <c r="C13" s="22"/>
      <c r="D13" s="22">
        <v>162000</v>
      </c>
      <c r="E13" s="22"/>
      <c r="F13" s="22"/>
      <c r="G13" s="22"/>
      <c r="H13" s="12">
        <f t="shared" si="0"/>
        <v>44923</v>
      </c>
    </row>
    <row r="14" spans="2:11" x14ac:dyDescent="0.3">
      <c r="B14" s="6" t="s">
        <v>22</v>
      </c>
      <c r="C14" s="22"/>
      <c r="D14" s="22"/>
      <c r="E14" s="22"/>
      <c r="F14" s="22"/>
      <c r="G14" s="22"/>
      <c r="H14" s="12">
        <f t="shared" si="0"/>
        <v>44923</v>
      </c>
      <c r="K14" s="4"/>
    </row>
    <row r="15" spans="2:11" x14ac:dyDescent="0.3">
      <c r="B15" s="6" t="s">
        <v>61</v>
      </c>
      <c r="C15" s="22"/>
      <c r="D15" s="22"/>
      <c r="E15" s="22"/>
      <c r="F15" s="22"/>
      <c r="G15" s="22"/>
      <c r="H15" s="67">
        <f t="shared" si="0"/>
        <v>44923</v>
      </c>
      <c r="K15" s="4"/>
    </row>
    <row r="16" spans="2:11" x14ac:dyDescent="0.3">
      <c r="B16" s="6" t="s">
        <v>19</v>
      </c>
      <c r="C16" s="22"/>
      <c r="D16" s="22">
        <v>513000</v>
      </c>
      <c r="E16" s="23"/>
      <c r="F16" s="22"/>
      <c r="G16" s="22"/>
      <c r="H16" s="12">
        <f t="shared" si="0"/>
        <v>44923</v>
      </c>
    </row>
    <row r="17" spans="2:10" x14ac:dyDescent="0.3">
      <c r="B17" s="6" t="s">
        <v>14</v>
      </c>
      <c r="C17" s="22">
        <v>918000</v>
      </c>
      <c r="D17" s="22">
        <v>378000</v>
      </c>
      <c r="E17" s="22"/>
      <c r="F17" s="23"/>
      <c r="G17" s="22"/>
      <c r="H17" s="12">
        <f t="shared" si="0"/>
        <v>44923</v>
      </c>
    </row>
    <row r="18" spans="2:10" x14ac:dyDescent="0.3">
      <c r="B18" s="6" t="s">
        <v>24</v>
      </c>
      <c r="C18" s="22"/>
      <c r="D18" s="22"/>
      <c r="E18" s="22"/>
      <c r="F18" s="49"/>
      <c r="G18" s="22"/>
      <c r="H18" s="67">
        <f t="shared" si="0"/>
        <v>44923</v>
      </c>
    </row>
    <row r="19" spans="2:10" x14ac:dyDescent="0.3">
      <c r="B19" s="6" t="s">
        <v>21</v>
      </c>
      <c r="C19" s="22"/>
      <c r="D19" s="22"/>
      <c r="E19" s="22"/>
      <c r="F19" s="22"/>
      <c r="G19" s="22"/>
      <c r="H19" s="12">
        <f t="shared" si="0"/>
        <v>44923</v>
      </c>
      <c r="J19" s="1" t="s">
        <v>66</v>
      </c>
    </row>
    <row r="20" spans="2:10" x14ac:dyDescent="0.3">
      <c r="B20" s="6" t="s">
        <v>65</v>
      </c>
      <c r="C20" s="22"/>
      <c r="D20" s="57"/>
      <c r="E20" s="22"/>
      <c r="F20" s="22"/>
      <c r="G20" s="22"/>
      <c r="H20" s="67">
        <f t="shared" si="0"/>
        <v>44923</v>
      </c>
    </row>
    <row r="21" spans="2:10" x14ac:dyDescent="0.3">
      <c r="B21" s="6" t="s">
        <v>67</v>
      </c>
      <c r="C21" s="22"/>
      <c r="D21" s="22"/>
      <c r="E21" s="22"/>
      <c r="F21" s="22"/>
      <c r="G21" s="22"/>
      <c r="H21" s="12">
        <f t="shared" si="0"/>
        <v>44923</v>
      </c>
    </row>
    <row r="22" spans="2:10" x14ac:dyDescent="0.3">
      <c r="B22" s="6" t="s">
        <v>18</v>
      </c>
      <c r="C22" s="22"/>
      <c r="D22" s="22">
        <v>162000</v>
      </c>
      <c r="E22" s="62"/>
      <c r="F22" s="62"/>
      <c r="G22" s="62"/>
      <c r="H22" s="12">
        <f t="shared" si="0"/>
        <v>44923</v>
      </c>
    </row>
    <row r="23" spans="2:10" x14ac:dyDescent="0.3">
      <c r="B23" s="6" t="s">
        <v>16</v>
      </c>
      <c r="C23" s="121"/>
      <c r="D23" s="22"/>
      <c r="E23" s="62"/>
      <c r="F23" s="62"/>
      <c r="G23" s="22"/>
      <c r="H23" s="12">
        <f t="shared" si="0"/>
        <v>44923</v>
      </c>
    </row>
    <row r="24" spans="2:10" x14ac:dyDescent="0.3">
      <c r="B24" s="50" t="s">
        <v>27</v>
      </c>
      <c r="C24" s="51">
        <f>SUM(Dec28_2022[KSI_AGO])</f>
        <v>918000</v>
      </c>
      <c r="D24" s="51">
        <f>SUBTOTAL(109,Dec28_2022[KSI_PMS])</f>
        <v>1377000</v>
      </c>
      <c r="E24" s="51">
        <f>SUM(Dec28_2022[BUIPE_AGO])</f>
        <v>0</v>
      </c>
      <c r="F24" s="51">
        <f>SUM(Dec28_2022[BUIPE_PMS])</f>
        <v>0</v>
      </c>
      <c r="G24" s="51">
        <f>SUM(Dec28_2022[AKOSOMBO_AGO])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0741B778-2A87-4ED7-B1B9-62E4DEB3C48F}">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7B0F-3AF0-49F9-B71C-3014AC3D180D}">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C19" sqref="C19"/>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44924</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44924</v>
      </c>
    </row>
    <row r="7" spans="2:11" ht="16.5" customHeight="1" x14ac:dyDescent="0.3">
      <c r="B7" s="6" t="s">
        <v>37</v>
      </c>
      <c r="C7" s="57"/>
      <c r="D7" s="22"/>
      <c r="E7" s="62"/>
      <c r="F7" s="62"/>
      <c r="G7" s="62"/>
      <c r="H7" s="67">
        <f t="shared" si="0"/>
        <v>44924</v>
      </c>
    </row>
    <row r="8" spans="2:11" x14ac:dyDescent="0.3">
      <c r="B8" s="6" t="s">
        <v>17</v>
      </c>
      <c r="C8" s="22"/>
      <c r="D8" s="22"/>
      <c r="E8" s="22"/>
      <c r="F8" s="22"/>
      <c r="G8" s="22"/>
      <c r="H8" s="12">
        <f t="shared" si="0"/>
        <v>44924</v>
      </c>
    </row>
    <row r="9" spans="2:11" ht="15.6" x14ac:dyDescent="0.3">
      <c r="B9" s="34" t="s">
        <v>0</v>
      </c>
      <c r="C9" s="57"/>
      <c r="D9" s="57"/>
      <c r="E9" s="60"/>
      <c r="F9" s="60"/>
      <c r="G9" s="60"/>
      <c r="H9" s="12">
        <f t="shared" si="0"/>
        <v>44924</v>
      </c>
    </row>
    <row r="10" spans="2:11" x14ac:dyDescent="0.3">
      <c r="B10" s="6" t="s">
        <v>25</v>
      </c>
      <c r="C10" s="57"/>
      <c r="D10" s="22"/>
      <c r="E10" s="22"/>
      <c r="F10" s="22"/>
      <c r="G10" s="22"/>
      <c r="H10" s="12">
        <f t="shared" si="0"/>
        <v>44924</v>
      </c>
    </row>
    <row r="11" spans="2:11" x14ac:dyDescent="0.3">
      <c r="B11" s="6" t="s">
        <v>15</v>
      </c>
      <c r="C11" s="22"/>
      <c r="D11" s="22"/>
      <c r="E11" s="22"/>
      <c r="F11" s="22"/>
      <c r="G11" s="22"/>
      <c r="H11" s="12">
        <f t="shared" si="0"/>
        <v>44924</v>
      </c>
    </row>
    <row r="12" spans="2:11" x14ac:dyDescent="0.3">
      <c r="B12" s="6" t="s">
        <v>54</v>
      </c>
      <c r="C12" s="22"/>
      <c r="D12" s="22">
        <v>540000</v>
      </c>
      <c r="E12" s="22"/>
      <c r="F12" s="22"/>
      <c r="G12" s="22"/>
      <c r="H12" s="67">
        <f t="shared" si="0"/>
        <v>44924</v>
      </c>
    </row>
    <row r="13" spans="2:11" x14ac:dyDescent="0.3">
      <c r="B13" s="6" t="s">
        <v>26</v>
      </c>
      <c r="C13" s="22"/>
      <c r="D13" s="22">
        <v>104000</v>
      </c>
      <c r="E13" s="22"/>
      <c r="F13" s="22"/>
      <c r="G13" s="22"/>
      <c r="H13" s="12">
        <f t="shared" si="0"/>
        <v>44924</v>
      </c>
    </row>
    <row r="14" spans="2:11" x14ac:dyDescent="0.3">
      <c r="B14" s="6" t="s">
        <v>22</v>
      </c>
      <c r="C14" s="22"/>
      <c r="D14" s="22"/>
      <c r="E14" s="22"/>
      <c r="F14" s="22"/>
      <c r="G14" s="22"/>
      <c r="H14" s="12">
        <f t="shared" si="0"/>
        <v>44924</v>
      </c>
      <c r="K14" s="4"/>
    </row>
    <row r="15" spans="2:11" x14ac:dyDescent="0.3">
      <c r="B15" s="6" t="s">
        <v>61</v>
      </c>
      <c r="C15" s="22"/>
      <c r="D15" s="22"/>
      <c r="E15" s="22"/>
      <c r="F15" s="22"/>
      <c r="G15" s="22"/>
      <c r="H15" s="67">
        <f t="shared" si="0"/>
        <v>44924</v>
      </c>
      <c r="K15" s="4"/>
    </row>
    <row r="16" spans="2:11" x14ac:dyDescent="0.3">
      <c r="B16" s="6" t="s">
        <v>19</v>
      </c>
      <c r="C16" s="22"/>
      <c r="D16" s="22"/>
      <c r="E16" s="23"/>
      <c r="F16" s="22"/>
      <c r="G16" s="22"/>
      <c r="H16" s="12">
        <f t="shared" si="0"/>
        <v>44924</v>
      </c>
    </row>
    <row r="17" spans="2:10" x14ac:dyDescent="0.3">
      <c r="B17" s="6" t="s">
        <v>14</v>
      </c>
      <c r="C17" s="22">
        <v>54000</v>
      </c>
      <c r="D17" s="22">
        <v>970000</v>
      </c>
      <c r="E17" s="22"/>
      <c r="F17" s="23">
        <v>378000</v>
      </c>
      <c r="G17" s="22"/>
      <c r="H17" s="12">
        <f t="shared" si="0"/>
        <v>44924</v>
      </c>
    </row>
    <row r="18" spans="2:10" x14ac:dyDescent="0.3">
      <c r="B18" s="6" t="s">
        <v>24</v>
      </c>
      <c r="C18" s="22"/>
      <c r="D18" s="22"/>
      <c r="E18" s="22"/>
      <c r="F18" s="49"/>
      <c r="G18" s="22"/>
      <c r="H18" s="67">
        <f t="shared" si="0"/>
        <v>44924</v>
      </c>
    </row>
    <row r="19" spans="2:10" x14ac:dyDescent="0.3">
      <c r="B19" s="6" t="s">
        <v>21</v>
      </c>
      <c r="C19" s="22">
        <v>315000</v>
      </c>
      <c r="D19" s="22"/>
      <c r="E19" s="22"/>
      <c r="F19" s="22"/>
      <c r="G19" s="22"/>
      <c r="H19" s="12">
        <f t="shared" si="0"/>
        <v>44924</v>
      </c>
      <c r="J19" s="1" t="s">
        <v>66</v>
      </c>
    </row>
    <row r="20" spans="2:10" x14ac:dyDescent="0.3">
      <c r="B20" s="6" t="s">
        <v>65</v>
      </c>
      <c r="C20" s="22"/>
      <c r="D20" s="57"/>
      <c r="E20" s="22"/>
      <c r="F20" s="22"/>
      <c r="G20" s="22"/>
      <c r="H20" s="67">
        <f t="shared" si="0"/>
        <v>44924</v>
      </c>
    </row>
    <row r="21" spans="2:10" x14ac:dyDescent="0.3">
      <c r="B21" s="6" t="s">
        <v>67</v>
      </c>
      <c r="C21" s="22"/>
      <c r="D21" s="22"/>
      <c r="E21" s="22"/>
      <c r="F21" s="22"/>
      <c r="G21" s="22"/>
      <c r="H21" s="12">
        <f t="shared" si="0"/>
        <v>44924</v>
      </c>
    </row>
    <row r="22" spans="2:10" x14ac:dyDescent="0.3">
      <c r="B22" s="6" t="s">
        <v>18</v>
      </c>
      <c r="C22" s="22"/>
      <c r="D22" s="22">
        <v>54000</v>
      </c>
      <c r="E22" s="62"/>
      <c r="F22" s="62"/>
      <c r="G22" s="62"/>
      <c r="H22" s="12">
        <f t="shared" si="0"/>
        <v>44924</v>
      </c>
    </row>
    <row r="23" spans="2:10" x14ac:dyDescent="0.3">
      <c r="B23" s="6" t="s">
        <v>16</v>
      </c>
      <c r="C23" s="121"/>
      <c r="D23" s="22">
        <v>54000</v>
      </c>
      <c r="E23" s="62"/>
      <c r="F23" s="62"/>
      <c r="G23" s="22"/>
      <c r="H23" s="12">
        <f t="shared" si="0"/>
        <v>44924</v>
      </c>
    </row>
    <row r="24" spans="2:10" x14ac:dyDescent="0.3">
      <c r="B24" s="50" t="s">
        <v>27</v>
      </c>
      <c r="C24" s="51">
        <f>SUM(Dec29_2022[KSI_AGO])</f>
        <v>369000</v>
      </c>
      <c r="D24" s="51">
        <f>SUBTOTAL(109,Dec29_2022[KSI_PMS])</f>
        <v>1722000</v>
      </c>
      <c r="E24" s="51">
        <f>SUM(Dec29_2022[BUIPE_AGO])</f>
        <v>0</v>
      </c>
      <c r="F24" s="51">
        <f>SUM(Dec29_2022[BUIPE_PMS])</f>
        <v>378000</v>
      </c>
      <c r="G24" s="51">
        <f>SUM(Dec29_2022[AKOSOMBO_AGO])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4575E3D4-4CB5-4F47-91BF-7F4C1526FD21}">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F291E-C06A-469E-859D-572EC5BAEBA8}">
  <dimension ref="B1:K25"/>
  <sheetViews>
    <sheetView tabSelected="1" zoomScale="89" zoomScaleNormal="161" workbookViewId="0">
      <pane xSplit="2" ySplit="5" topLeftCell="C6" activePane="bottomRight" state="frozen"/>
      <selection pane="topRight" activeCell="C1" sqref="C1"/>
      <selection pane="bottomLeft" activeCell="A6" sqref="A6"/>
      <selection pane="bottomRight" activeCell="M15" sqref="M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44925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44925</v>
      </c>
    </row>
    <row r="7" spans="2:11" ht="16.5" customHeight="1" x14ac:dyDescent="0.3">
      <c r="B7" s="6" t="s">
        <v>37</v>
      </c>
      <c r="C7" s="134"/>
      <c r="D7" s="62"/>
      <c r="E7" s="62"/>
      <c r="F7" s="62"/>
      <c r="G7" s="62"/>
      <c r="H7" s="67">
        <f t="shared" si="0"/>
        <v>44925</v>
      </c>
    </row>
    <row r="8" spans="2:11" x14ac:dyDescent="0.3">
      <c r="B8" s="6" t="s">
        <v>17</v>
      </c>
      <c r="C8" s="62"/>
      <c r="D8" s="62"/>
      <c r="E8" s="62"/>
      <c r="F8" s="62"/>
      <c r="G8" s="22"/>
      <c r="H8" s="12">
        <f t="shared" si="0"/>
        <v>44925</v>
      </c>
    </row>
    <row r="9" spans="2:11" ht="15.6" x14ac:dyDescent="0.3">
      <c r="B9" s="34" t="s">
        <v>0</v>
      </c>
      <c r="C9" s="134"/>
      <c r="D9" s="134"/>
      <c r="E9" s="74"/>
      <c r="F9" s="74"/>
      <c r="G9" s="60"/>
      <c r="H9" s="12">
        <f t="shared" si="0"/>
        <v>44925</v>
      </c>
    </row>
    <row r="10" spans="2:11" x14ac:dyDescent="0.3">
      <c r="B10" s="6" t="s">
        <v>25</v>
      </c>
      <c r="C10" s="134"/>
      <c r="D10" s="62"/>
      <c r="E10" s="62"/>
      <c r="F10" s="62"/>
      <c r="G10" s="22"/>
      <c r="H10" s="12">
        <f t="shared" si="0"/>
        <v>44925</v>
      </c>
    </row>
    <row r="11" spans="2:11" x14ac:dyDescent="0.3">
      <c r="B11" s="6" t="s">
        <v>15</v>
      </c>
      <c r="C11" s="62"/>
      <c r="D11" s="62"/>
      <c r="E11" s="62"/>
      <c r="F11" s="62"/>
      <c r="G11" s="22"/>
      <c r="H11" s="12">
        <f t="shared" si="0"/>
        <v>44925</v>
      </c>
    </row>
    <row r="12" spans="2:11" x14ac:dyDescent="0.3">
      <c r="B12" s="6" t="s">
        <v>54</v>
      </c>
      <c r="C12" s="62">
        <v>216000</v>
      </c>
      <c r="D12" s="62"/>
      <c r="E12" s="62"/>
      <c r="F12" s="62"/>
      <c r="G12" s="22"/>
      <c r="H12" s="67">
        <f t="shared" si="0"/>
        <v>44925</v>
      </c>
    </row>
    <row r="13" spans="2:11" x14ac:dyDescent="0.3">
      <c r="B13" s="6" t="s">
        <v>26</v>
      </c>
      <c r="C13" s="62"/>
      <c r="D13" s="62"/>
      <c r="E13" s="62"/>
      <c r="F13" s="62"/>
      <c r="G13" s="22"/>
      <c r="H13" s="12">
        <f t="shared" si="0"/>
        <v>44925</v>
      </c>
    </row>
    <row r="14" spans="2:11" x14ac:dyDescent="0.3">
      <c r="B14" s="6" t="s">
        <v>22</v>
      </c>
      <c r="C14" s="62"/>
      <c r="D14" s="62"/>
      <c r="E14" s="62"/>
      <c r="F14" s="62"/>
      <c r="G14" s="22"/>
      <c r="H14" s="12">
        <f t="shared" si="0"/>
        <v>44925</v>
      </c>
      <c r="K14" s="4"/>
    </row>
    <row r="15" spans="2:11" x14ac:dyDescent="0.3">
      <c r="B15" s="6" t="s">
        <v>61</v>
      </c>
      <c r="C15" s="62"/>
      <c r="D15" s="62"/>
      <c r="E15" s="62"/>
      <c r="F15" s="62"/>
      <c r="G15" s="22"/>
      <c r="H15" s="67">
        <f t="shared" si="0"/>
        <v>44925</v>
      </c>
      <c r="K15" s="4"/>
    </row>
    <row r="16" spans="2:11" x14ac:dyDescent="0.3">
      <c r="B16" s="6" t="s">
        <v>19</v>
      </c>
      <c r="C16" s="62"/>
      <c r="D16" s="62"/>
      <c r="E16" s="43"/>
      <c r="F16" s="62"/>
      <c r="G16" s="22"/>
      <c r="H16" s="12">
        <f t="shared" si="0"/>
        <v>44925</v>
      </c>
    </row>
    <row r="17" spans="2:10" x14ac:dyDescent="0.3">
      <c r="B17" s="6" t="s">
        <v>14</v>
      </c>
      <c r="C17" s="62">
        <v>752000</v>
      </c>
      <c r="D17" s="62"/>
      <c r="E17" s="62">
        <v>590000</v>
      </c>
      <c r="F17" s="43"/>
      <c r="G17" s="22"/>
      <c r="H17" s="12">
        <f t="shared" si="0"/>
        <v>44925</v>
      </c>
    </row>
    <row r="18" spans="2:10" x14ac:dyDescent="0.3">
      <c r="B18" s="6" t="s">
        <v>24</v>
      </c>
      <c r="C18" s="62"/>
      <c r="D18" s="62"/>
      <c r="E18" s="62"/>
      <c r="F18" s="49"/>
      <c r="G18" s="22"/>
      <c r="H18" s="67">
        <f t="shared" si="0"/>
        <v>44925</v>
      </c>
    </row>
    <row r="19" spans="2:10" x14ac:dyDescent="0.3">
      <c r="B19" s="6" t="s">
        <v>21</v>
      </c>
      <c r="C19" s="62"/>
      <c r="D19" s="62"/>
      <c r="E19" s="62"/>
      <c r="F19" s="62"/>
      <c r="G19" s="22"/>
      <c r="H19" s="12">
        <f t="shared" si="0"/>
        <v>44925</v>
      </c>
      <c r="J19" s="1" t="s">
        <v>66</v>
      </c>
    </row>
    <row r="20" spans="2:10" x14ac:dyDescent="0.3">
      <c r="B20" s="6" t="s">
        <v>65</v>
      </c>
      <c r="C20" s="62"/>
      <c r="D20" s="134"/>
      <c r="E20" s="62"/>
      <c r="F20" s="62"/>
      <c r="G20" s="22"/>
      <c r="H20" s="67">
        <f t="shared" si="0"/>
        <v>44925</v>
      </c>
    </row>
    <row r="21" spans="2:10" x14ac:dyDescent="0.3">
      <c r="B21" s="6" t="s">
        <v>67</v>
      </c>
      <c r="C21" s="62"/>
      <c r="D21" s="62"/>
      <c r="E21" s="62"/>
      <c r="F21" s="62"/>
      <c r="G21" s="22"/>
      <c r="H21" s="12">
        <f t="shared" si="0"/>
        <v>44925</v>
      </c>
    </row>
    <row r="22" spans="2:10" x14ac:dyDescent="0.3">
      <c r="B22" s="6" t="s">
        <v>18</v>
      </c>
      <c r="C22" s="62"/>
      <c r="D22" s="62"/>
      <c r="E22" s="62"/>
      <c r="F22" s="62"/>
      <c r="G22" s="62"/>
      <c r="H22" s="12">
        <f t="shared" si="0"/>
        <v>44925</v>
      </c>
    </row>
    <row r="23" spans="2:10" x14ac:dyDescent="0.3">
      <c r="B23" s="6" t="s">
        <v>16</v>
      </c>
      <c r="C23" s="135">
        <v>108000</v>
      </c>
      <c r="D23" s="62"/>
      <c r="E23" s="62"/>
      <c r="F23" s="62"/>
      <c r="G23" s="22"/>
      <c r="H23" s="12">
        <f t="shared" si="0"/>
        <v>44925</v>
      </c>
    </row>
    <row r="24" spans="2:10" x14ac:dyDescent="0.3">
      <c r="B24" s="50" t="s">
        <v>27</v>
      </c>
      <c r="C24" s="51">
        <f>SUM(Dec30_2022[KSI_AGO])</f>
        <v>1076000</v>
      </c>
      <c r="D24" s="51">
        <f>SUBTOTAL(109,Dec30_2022[KSI_PMS])</f>
        <v>0</v>
      </c>
      <c r="E24" s="51">
        <f>SUM(Dec30_2022[BUIPE_AGO])</f>
        <v>590000</v>
      </c>
      <c r="F24" s="51">
        <f>SUM(Dec30_2022[BUIPE_PMS])</f>
        <v>0</v>
      </c>
      <c r="G24" s="51">
        <f>SUM(Dec30_2022[AKOSOMBO_AGO])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B70AA54D-D69A-42A6-AF9B-AC3D90185EC7}">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7D10-5A62-4185-811F-CB75AF8A16A3}">
  <dimension ref="B1:K25"/>
  <sheetViews>
    <sheetView zoomScale="89" zoomScaleNormal="161" workbookViewId="0">
      <pane xSplit="2" ySplit="5" topLeftCell="C6" activePane="bottomRight" state="frozen"/>
      <selection pane="topRight" activeCell="C1" sqref="C1"/>
      <selection pane="bottomLeft" activeCell="A6" sqref="A6"/>
      <selection pane="bottomRight" activeCell="B16" sqref="B16"/>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44929</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44929</v>
      </c>
    </row>
    <row r="7" spans="2:11" ht="16.5" customHeight="1" x14ac:dyDescent="0.3">
      <c r="B7" s="6" t="s">
        <v>37</v>
      </c>
      <c r="C7" s="134"/>
      <c r="D7" s="62"/>
      <c r="E7" s="62"/>
      <c r="F7" s="62"/>
      <c r="G7" s="62"/>
      <c r="H7" s="67">
        <f t="shared" si="0"/>
        <v>44929</v>
      </c>
    </row>
    <row r="8" spans="2:11" x14ac:dyDescent="0.3">
      <c r="B8" s="6" t="s">
        <v>17</v>
      </c>
      <c r="C8" s="62"/>
      <c r="D8" s="62"/>
      <c r="E8" s="62"/>
      <c r="F8" s="62"/>
      <c r="G8" s="22"/>
      <c r="H8" s="12">
        <f t="shared" si="0"/>
        <v>44929</v>
      </c>
    </row>
    <row r="9" spans="2:11" ht="15.6" x14ac:dyDescent="0.3">
      <c r="B9" s="34" t="s">
        <v>0</v>
      </c>
      <c r="C9" s="134"/>
      <c r="D9" s="134"/>
      <c r="E9" s="74"/>
      <c r="F9" s="74"/>
      <c r="G9" s="60"/>
      <c r="H9" s="12">
        <f t="shared" si="0"/>
        <v>44929</v>
      </c>
    </row>
    <row r="10" spans="2:11" x14ac:dyDescent="0.3">
      <c r="B10" s="6" t="s">
        <v>25</v>
      </c>
      <c r="C10" s="134"/>
      <c r="D10" s="62"/>
      <c r="E10" s="62"/>
      <c r="F10" s="62"/>
      <c r="G10" s="22"/>
      <c r="H10" s="12">
        <f t="shared" si="0"/>
        <v>44929</v>
      </c>
    </row>
    <row r="11" spans="2:11" x14ac:dyDescent="0.3">
      <c r="B11" s="6" t="s">
        <v>15</v>
      </c>
      <c r="C11" s="62"/>
      <c r="D11" s="62"/>
      <c r="E11" s="62"/>
      <c r="F11" s="62"/>
      <c r="G11" s="22"/>
      <c r="H11" s="12">
        <f t="shared" si="0"/>
        <v>44929</v>
      </c>
    </row>
    <row r="12" spans="2:11" x14ac:dyDescent="0.3">
      <c r="B12" s="6" t="s">
        <v>54</v>
      </c>
      <c r="C12" s="62"/>
      <c r="D12" s="62"/>
      <c r="E12" s="62"/>
      <c r="F12" s="62"/>
      <c r="G12" s="22"/>
      <c r="H12" s="67">
        <f t="shared" si="0"/>
        <v>44929</v>
      </c>
    </row>
    <row r="13" spans="2:11" x14ac:dyDescent="0.3">
      <c r="B13" s="6" t="s">
        <v>26</v>
      </c>
      <c r="C13" s="62"/>
      <c r="D13" s="62"/>
      <c r="E13" s="62"/>
      <c r="F13" s="62"/>
      <c r="G13" s="22"/>
      <c r="H13" s="12">
        <f t="shared" si="0"/>
        <v>44929</v>
      </c>
    </row>
    <row r="14" spans="2:11" x14ac:dyDescent="0.3">
      <c r="B14" s="6" t="s">
        <v>22</v>
      </c>
      <c r="C14" s="62"/>
      <c r="D14" s="62"/>
      <c r="E14" s="62"/>
      <c r="F14" s="62"/>
      <c r="G14" s="22"/>
      <c r="H14" s="12">
        <f t="shared" si="0"/>
        <v>44929</v>
      </c>
      <c r="K14" s="4"/>
    </row>
    <row r="15" spans="2:11" x14ac:dyDescent="0.3">
      <c r="B15" s="6" t="s">
        <v>61</v>
      </c>
      <c r="C15" s="62"/>
      <c r="D15" s="62"/>
      <c r="E15" s="62"/>
      <c r="F15" s="62"/>
      <c r="G15" s="22"/>
      <c r="H15" s="67">
        <f t="shared" si="0"/>
        <v>44929</v>
      </c>
      <c r="K15" s="4"/>
    </row>
    <row r="16" spans="2:11" x14ac:dyDescent="0.3">
      <c r="B16" s="6" t="s">
        <v>19</v>
      </c>
      <c r="C16" s="62"/>
      <c r="D16" s="62"/>
      <c r="E16" s="43"/>
      <c r="F16" s="62"/>
      <c r="G16" s="22"/>
      <c r="H16" s="12">
        <f t="shared" si="0"/>
        <v>44929</v>
      </c>
    </row>
    <row r="17" spans="2:10" x14ac:dyDescent="0.3">
      <c r="B17" s="6" t="s">
        <v>14</v>
      </c>
      <c r="C17" s="62"/>
      <c r="D17" s="62">
        <v>324000</v>
      </c>
      <c r="E17" s="62"/>
      <c r="F17" s="43"/>
      <c r="G17" s="22"/>
      <c r="H17" s="12">
        <f t="shared" si="0"/>
        <v>44929</v>
      </c>
    </row>
    <row r="18" spans="2:10" x14ac:dyDescent="0.3">
      <c r="B18" s="6" t="s">
        <v>24</v>
      </c>
      <c r="C18" s="62"/>
      <c r="D18" s="62"/>
      <c r="E18" s="62"/>
      <c r="F18" s="49"/>
      <c r="G18" s="22"/>
      <c r="H18" s="67">
        <f t="shared" si="0"/>
        <v>44929</v>
      </c>
    </row>
    <row r="19" spans="2:10" x14ac:dyDescent="0.3">
      <c r="B19" s="6" t="s">
        <v>21</v>
      </c>
      <c r="C19" s="62"/>
      <c r="D19" s="62"/>
      <c r="E19" s="62"/>
      <c r="F19" s="62"/>
      <c r="G19" s="22"/>
      <c r="H19" s="12">
        <f t="shared" si="0"/>
        <v>44929</v>
      </c>
      <c r="J19" s="1" t="s">
        <v>66</v>
      </c>
    </row>
    <row r="20" spans="2:10" x14ac:dyDescent="0.3">
      <c r="B20" s="6" t="s">
        <v>65</v>
      </c>
      <c r="C20" s="62"/>
      <c r="D20" s="134"/>
      <c r="E20" s="62"/>
      <c r="F20" s="62"/>
      <c r="G20" s="22"/>
      <c r="H20" s="67">
        <f t="shared" si="0"/>
        <v>44929</v>
      </c>
    </row>
    <row r="21" spans="2:10" x14ac:dyDescent="0.3">
      <c r="B21" s="6" t="s">
        <v>67</v>
      </c>
      <c r="C21" s="62"/>
      <c r="D21" s="62"/>
      <c r="E21" s="62"/>
      <c r="F21" s="62"/>
      <c r="G21" s="22"/>
      <c r="H21" s="12">
        <f t="shared" si="0"/>
        <v>44929</v>
      </c>
    </row>
    <row r="22" spans="2:10" x14ac:dyDescent="0.3">
      <c r="B22" s="6" t="s">
        <v>18</v>
      </c>
      <c r="C22" s="62"/>
      <c r="D22" s="62"/>
      <c r="E22" s="62"/>
      <c r="F22" s="62"/>
      <c r="G22" s="62"/>
      <c r="H22" s="12">
        <f t="shared" si="0"/>
        <v>44929</v>
      </c>
    </row>
    <row r="23" spans="2:10" x14ac:dyDescent="0.3">
      <c r="B23" s="6" t="s">
        <v>16</v>
      </c>
      <c r="C23" s="135"/>
      <c r="D23" s="62"/>
      <c r="E23" s="62"/>
      <c r="F23" s="62"/>
      <c r="G23" s="22"/>
      <c r="H23" s="12">
        <f t="shared" si="0"/>
        <v>44929</v>
      </c>
    </row>
    <row r="24" spans="2:10" x14ac:dyDescent="0.3">
      <c r="B24" s="50" t="s">
        <v>27</v>
      </c>
      <c r="C24" s="51">
        <f>SUM(Dec30_2022746747[KSI_AGO])</f>
        <v>0</v>
      </c>
      <c r="D24" s="51">
        <f>SUBTOTAL(109,Dec30_2022746747[KSI_PMS])</f>
        <v>324000</v>
      </c>
      <c r="E24" s="51">
        <f>SUM(Dec30_2022746747[BUIPE_AGO])</f>
        <v>0</v>
      </c>
      <c r="F24" s="51">
        <f>SUM(Dec30_2022746747[BUIPE_PMS])</f>
        <v>0</v>
      </c>
      <c r="G24" s="51">
        <f>SUM(Dec30_2022746747[AKOSOMBO_AGO])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6D7104B2-2C2D-4A15-9054-25AE10FDFDE7}">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xl/worksheets/sheet7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sheetPr codeName="Sheet602"/>
  <dimension ref="A1:I32"/>
  <sheetViews>
    <sheetView zoomScale="99" zoomScaleNormal="99" zoomScaleSheetLayoutView="102" workbookViewId="0">
      <pane xSplit="1" ySplit="5" topLeftCell="B6" activePane="bottomRight" state="frozen"/>
      <selection pane="topRight" activeCell="B1" sqref="B1"/>
      <selection pane="bottomLeft" activeCell="A6" sqref="A6"/>
      <selection pane="bottomRight" activeCell="I18" sqref="I18"/>
    </sheetView>
  </sheetViews>
  <sheetFormatPr defaultRowHeight="14.4" x14ac:dyDescent="0.3"/>
  <cols>
    <col min="1" max="1" width="32.6640625" bestFit="1" customWidth="1"/>
    <col min="2" max="2" width="16.44140625" bestFit="1" customWidth="1"/>
    <col min="3" max="3" width="16.21875" bestFit="1" customWidth="1"/>
    <col min="4" max="4" width="19.44140625" bestFit="1" customWidth="1"/>
    <col min="5" max="5" width="19.21875" bestFit="1" customWidth="1"/>
    <col min="6" max="6" width="25.33203125" bestFit="1" customWidth="1"/>
    <col min="7" max="7" width="8.33203125" bestFit="1" customWidth="1"/>
    <col min="8" max="8" width="12.109375" bestFit="1" customWidth="1"/>
    <col min="9" max="9" width="11.33203125" bestFit="1" customWidth="1"/>
  </cols>
  <sheetData>
    <row r="1" spans="1:6" ht="15" thickBot="1" x14ac:dyDescent="0.35">
      <c r="A1" s="76" t="s">
        <v>3</v>
      </c>
      <c r="B1" s="77" t="s">
        <v>63</v>
      </c>
    </row>
    <row r="2" spans="1:6" ht="15" thickBot="1" x14ac:dyDescent="0.35">
      <c r="A2" s="76" t="s">
        <v>40</v>
      </c>
      <c r="B2" s="122">
        <v>2022</v>
      </c>
    </row>
    <row r="3" spans="1:6" ht="15" thickBot="1" x14ac:dyDescent="0.35">
      <c r="A3" s="76" t="s">
        <v>41</v>
      </c>
      <c r="B3" s="77" t="s">
        <v>53</v>
      </c>
    </row>
    <row r="4" spans="1:6" ht="15" thickBot="1" x14ac:dyDescent="0.35"/>
    <row r="5" spans="1:6" ht="16.2" thickBot="1" x14ac:dyDescent="0.35">
      <c r="A5" s="78" t="s">
        <v>30</v>
      </c>
      <c r="B5" s="79" t="s">
        <v>32</v>
      </c>
      <c r="C5" s="80" t="s">
        <v>33</v>
      </c>
      <c r="D5" s="80" t="s">
        <v>34</v>
      </c>
      <c r="E5" s="80" t="s">
        <v>35</v>
      </c>
      <c r="F5" s="81" t="s">
        <v>36</v>
      </c>
    </row>
    <row r="6" spans="1:6" x14ac:dyDescent="0.3">
      <c r="A6" s="115" t="s">
        <v>20</v>
      </c>
      <c r="B6" s="108"/>
      <c r="C6" s="109"/>
      <c r="D6" s="109"/>
      <c r="E6" s="109"/>
      <c r="F6" s="110"/>
    </row>
    <row r="7" spans="1:6" x14ac:dyDescent="0.3">
      <c r="A7" s="113" t="s">
        <v>37</v>
      </c>
      <c r="B7" s="111"/>
      <c r="C7" s="53"/>
      <c r="D7" s="53"/>
      <c r="E7" s="53"/>
      <c r="F7" s="112"/>
    </row>
    <row r="8" spans="1:6" x14ac:dyDescent="0.3">
      <c r="A8" s="113" t="s">
        <v>17</v>
      </c>
      <c r="B8" s="111">
        <v>701500</v>
      </c>
      <c r="C8" s="53"/>
      <c r="D8" s="53"/>
      <c r="E8" s="53"/>
      <c r="F8" s="112"/>
    </row>
    <row r="9" spans="1:6" x14ac:dyDescent="0.3">
      <c r="A9" s="113" t="s">
        <v>0</v>
      </c>
      <c r="B9" s="111">
        <v>3510000</v>
      </c>
      <c r="C9" s="53"/>
      <c r="D9" s="53">
        <v>324000</v>
      </c>
      <c r="E9" s="53"/>
      <c r="F9" s="112"/>
    </row>
    <row r="10" spans="1:6" x14ac:dyDescent="0.3">
      <c r="A10" s="113" t="s">
        <v>25</v>
      </c>
      <c r="B10" s="111"/>
      <c r="C10" s="53">
        <v>216000</v>
      </c>
      <c r="D10" s="53"/>
      <c r="E10" s="53"/>
      <c r="F10" s="112"/>
    </row>
    <row r="11" spans="1:6" x14ac:dyDescent="0.3">
      <c r="A11" s="113" t="s">
        <v>15</v>
      </c>
      <c r="B11" s="111">
        <v>2035000</v>
      </c>
      <c r="C11" s="53">
        <v>4085000</v>
      </c>
      <c r="D11" s="53">
        <v>564000</v>
      </c>
      <c r="E11" s="53"/>
      <c r="F11" s="112"/>
    </row>
    <row r="12" spans="1:6" x14ac:dyDescent="0.3">
      <c r="A12" s="113" t="s">
        <v>54</v>
      </c>
      <c r="B12" s="111">
        <v>1724000</v>
      </c>
      <c r="C12" s="53">
        <v>1728000</v>
      </c>
      <c r="D12" s="53">
        <v>324000</v>
      </c>
      <c r="E12" s="53">
        <v>810000</v>
      </c>
      <c r="F12" s="112"/>
    </row>
    <row r="13" spans="1:6" x14ac:dyDescent="0.3">
      <c r="A13" s="113" t="s">
        <v>26</v>
      </c>
      <c r="B13" s="111">
        <v>2037000</v>
      </c>
      <c r="C13" s="53">
        <v>1990000</v>
      </c>
      <c r="D13" s="53">
        <v>270000</v>
      </c>
      <c r="E13" s="53"/>
      <c r="F13" s="112"/>
    </row>
    <row r="14" spans="1:6" x14ac:dyDescent="0.3">
      <c r="A14" s="113" t="s">
        <v>22</v>
      </c>
      <c r="B14" s="111"/>
      <c r="C14" s="53"/>
      <c r="D14" s="53"/>
      <c r="E14" s="53"/>
      <c r="F14" s="112"/>
    </row>
    <row r="15" spans="1:6" x14ac:dyDescent="0.3">
      <c r="A15" s="113" t="s">
        <v>61</v>
      </c>
      <c r="B15" s="111"/>
      <c r="C15" s="53"/>
      <c r="D15" s="53"/>
      <c r="E15" s="53"/>
      <c r="F15" s="112"/>
    </row>
    <row r="16" spans="1:6" x14ac:dyDescent="0.3">
      <c r="A16" s="113" t="s">
        <v>19</v>
      </c>
      <c r="B16" s="111">
        <v>2916000</v>
      </c>
      <c r="C16" s="53">
        <v>3636000</v>
      </c>
      <c r="D16" s="53">
        <v>1458000</v>
      </c>
      <c r="E16" s="53"/>
      <c r="F16" s="112"/>
    </row>
    <row r="17" spans="1:9" x14ac:dyDescent="0.3">
      <c r="A17" s="113" t="s">
        <v>14</v>
      </c>
      <c r="B17" s="111">
        <v>14945000</v>
      </c>
      <c r="C17" s="53">
        <v>5320000</v>
      </c>
      <c r="D17" s="53">
        <v>2180000</v>
      </c>
      <c r="E17" s="53">
        <v>1599000</v>
      </c>
      <c r="F17" s="112"/>
    </row>
    <row r="18" spans="1:9" x14ac:dyDescent="0.3">
      <c r="A18" s="113" t="s">
        <v>24</v>
      </c>
      <c r="B18" s="111"/>
      <c r="C18" s="53"/>
      <c r="D18" s="53"/>
      <c r="E18" s="53"/>
      <c r="F18" s="112"/>
    </row>
    <row r="19" spans="1:9" ht="13.5" customHeight="1" x14ac:dyDescent="0.3">
      <c r="A19" s="113" t="s">
        <v>21</v>
      </c>
      <c r="B19" s="111">
        <v>531000</v>
      </c>
      <c r="C19" s="53">
        <v>1998000</v>
      </c>
      <c r="D19" s="53"/>
      <c r="E19" s="53"/>
      <c r="F19" s="112"/>
    </row>
    <row r="20" spans="1:9" x14ac:dyDescent="0.3">
      <c r="A20" s="113" t="s">
        <v>65</v>
      </c>
      <c r="B20" s="111"/>
      <c r="C20" s="53"/>
      <c r="D20" s="53"/>
      <c r="E20" s="53"/>
      <c r="F20" s="112"/>
    </row>
    <row r="21" spans="1:9" x14ac:dyDescent="0.3">
      <c r="A21" s="113" t="s">
        <v>67</v>
      </c>
      <c r="B21" s="111">
        <v>108000</v>
      </c>
      <c r="C21" s="53">
        <v>108000</v>
      </c>
      <c r="D21" s="53"/>
      <c r="E21" s="53"/>
      <c r="F21" s="112"/>
    </row>
    <row r="22" spans="1:9" x14ac:dyDescent="0.3">
      <c r="A22" s="113" t="s">
        <v>18</v>
      </c>
      <c r="B22" s="111"/>
      <c r="C22" s="53">
        <v>216000</v>
      </c>
      <c r="D22" s="53"/>
      <c r="E22" s="53"/>
      <c r="F22" s="112"/>
    </row>
    <row r="23" spans="1:9" ht="15" thickBot="1" x14ac:dyDescent="0.35">
      <c r="A23" s="114" t="s">
        <v>16</v>
      </c>
      <c r="B23" s="111">
        <v>216000</v>
      </c>
      <c r="C23" s="53">
        <v>2584000</v>
      </c>
      <c r="D23" s="53"/>
      <c r="E23" s="53">
        <v>482000</v>
      </c>
      <c r="F23" s="112"/>
    </row>
    <row r="24" spans="1:9" ht="16.2" thickBot="1" x14ac:dyDescent="0.35">
      <c r="A24" s="82" t="s">
        <v>31</v>
      </c>
      <c r="B24" s="98">
        <v>28723500</v>
      </c>
      <c r="C24" s="99">
        <v>21881000</v>
      </c>
      <c r="D24" s="99">
        <v>5120000</v>
      </c>
      <c r="E24" s="99">
        <v>2891000</v>
      </c>
      <c r="F24" s="100"/>
    </row>
    <row r="25" spans="1:9" ht="16.2" thickBot="1" x14ac:dyDescent="0.35">
      <c r="A25" s="129"/>
      <c r="B25" s="130"/>
      <c r="C25" s="131"/>
      <c r="D25" s="131"/>
      <c r="E25" s="131"/>
      <c r="F25" s="131"/>
    </row>
    <row r="26" spans="1:9" x14ac:dyDescent="0.3">
      <c r="A26" s="83" t="s">
        <v>56</v>
      </c>
      <c r="B26" s="84">
        <f>SUM(B24:C24)</f>
        <v>50604500</v>
      </c>
    </row>
    <row r="27" spans="1:9" x14ac:dyDescent="0.3">
      <c r="A27" s="85" t="s">
        <v>57</v>
      </c>
      <c r="B27" s="86">
        <f>SUM(D24:E24)</f>
        <v>8011000</v>
      </c>
    </row>
    <row r="28" spans="1:9" ht="15" thickBot="1" x14ac:dyDescent="0.35">
      <c r="A28" s="87" t="s">
        <v>58</v>
      </c>
      <c r="B28" s="88">
        <f>GETPIVOTDATA("Sum of AKOSOMBO_AGO",$A$5)</f>
        <v>0</v>
      </c>
    </row>
    <row r="29" spans="1:9" ht="15" thickBot="1" x14ac:dyDescent="0.35">
      <c r="I29" t="e" cm="1">
        <f t="array" ref="I29">ta</f>
        <v>#NAME?</v>
      </c>
    </row>
    <row r="30" spans="1:9" x14ac:dyDescent="0.3">
      <c r="A30" s="101" t="s">
        <v>59</v>
      </c>
      <c r="B30" s="102">
        <f>SUM(GETPIVOTDATA("Sum of KSI_PMS",$A$5),GETPIVOTDATA("Sum of BUIPE_PMS",$A$5))</f>
        <v>24772000</v>
      </c>
    </row>
    <row r="31" spans="1:9" x14ac:dyDescent="0.3">
      <c r="A31" s="103" t="s">
        <v>60</v>
      </c>
      <c r="B31" s="104">
        <f>SUM(GETPIVOTDATA("Sum of KSI_AGO",$A$5),GETPIVOTDATA("Sum of BUIPE_AGO",$A$5))</f>
        <v>33843500</v>
      </c>
    </row>
    <row r="32" spans="1:9" ht="15" thickBot="1" x14ac:dyDescent="0.35">
      <c r="A32" s="105" t="s">
        <v>58</v>
      </c>
      <c r="B32" s="106">
        <f>GETPIVOTDATA("Sum of AKOSOMBO_AGO",$A$5)</f>
        <v>0</v>
      </c>
    </row>
  </sheetData>
  <conditionalFormatting pivot="1" sqref="B6:F6 B8:F11 B13:F14 B16:F19 B22:F23">
    <cfRule type="dataBar" priority="1">
      <dataBar>
        <cfvo type="min"/>
        <cfvo type="max"/>
        <color rgb="FF638EC6"/>
      </dataBar>
      <extLst>
        <ext xmlns:x14="http://schemas.microsoft.com/office/spreadsheetml/2009/9/main" uri="{B025F937-C7B1-47D3-B67F-A62EFF666E3E}">
          <x14:id>{71D94DA7-1C46-46EA-8AE6-08D2B090C391}</x14:id>
        </ext>
      </extLst>
    </cfRule>
  </conditionalFormatting>
  <pageMargins left="0.7" right="0.7" top="0.75" bottom="0.75" header="0.3" footer="0.3"/>
  <pageSetup scale="57" orientation="portrait" horizontalDpi="4294967295" verticalDpi="4294967295" r:id="rId2"/>
  <extLst>
    <ext xmlns:x14="http://schemas.microsoft.com/office/spreadsheetml/2009/9/main" uri="{78C0D931-6437-407d-A8EE-F0AAD7539E65}">
      <x14:conditionalFormattings>
        <x14:conditionalFormatting xmlns:xm="http://schemas.microsoft.com/office/excel/2006/main" pivot="1">
          <x14:cfRule type="dataBar" id="{71D94DA7-1C46-46EA-8AE6-08D2B090C391}">
            <x14:dataBar minLength="0" maxLength="100" border="1" negativeBarBorderColorSameAsPositive="0">
              <x14:cfvo type="autoMin"/>
              <x14:cfvo type="autoMax"/>
              <x14:borderColor rgb="FF638EC6"/>
              <x14:negativeFillColor rgb="FFFF0000"/>
              <x14:negativeBorderColor rgb="FFFF0000"/>
              <x14:axisColor rgb="FF000000"/>
            </x14:dataBar>
          </x14:cfRule>
          <xm:sqref>B6:F6 B8:F11 B13:F14 B16:F19 B22:F23</xm:sqref>
        </x14:conditionalFormatting>
      </x14:conditionalFormattings>
    </ext>
  </extLst>
</worksheet>
</file>

<file path=xl/worksheets/sheet7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sheetPr codeName="Sheet603"/>
  <dimension ref="A1:I11590"/>
  <sheetViews>
    <sheetView workbookViewId="0">
      <selection activeCell="M11" sqref="M11"/>
    </sheetView>
  </sheetViews>
  <sheetFormatPr defaultRowHeight="14.4" x14ac:dyDescent="0.3"/>
  <cols>
    <col min="1" max="1" width="32.33203125" bestFit="1" customWidth="1"/>
    <col min="2" max="2" width="10.6640625" bestFit="1" customWidth="1"/>
    <col min="3" max="3" width="10.77734375" bestFit="1" customWidth="1"/>
    <col min="4" max="4" width="13.109375" bestFit="1" customWidth="1"/>
    <col min="5" max="5" width="13.21875" bestFit="1" customWidth="1"/>
    <col min="6" max="6" width="18.33203125" bestFit="1" customWidth="1"/>
    <col min="7" max="7" width="10.5546875" bestFit="1" customWidth="1"/>
    <col min="8" max="8" width="6.88671875" bestFit="1" customWidth="1"/>
    <col min="9" max="9" width="14.44140625" bestFit="1" customWidth="1"/>
  </cols>
  <sheetData>
    <row r="1" spans="1:9" x14ac:dyDescent="0.3">
      <c r="A1" t="s">
        <v>13</v>
      </c>
      <c r="B1" t="s">
        <v>8</v>
      </c>
      <c r="C1" t="s">
        <v>9</v>
      </c>
      <c r="D1" t="s">
        <v>10</v>
      </c>
      <c r="E1" t="s">
        <v>11</v>
      </c>
      <c r="F1" t="s">
        <v>12</v>
      </c>
      <c r="G1" t="s">
        <v>3</v>
      </c>
      <c r="H1" t="s">
        <v>40</v>
      </c>
      <c r="I1" t="s">
        <v>41</v>
      </c>
    </row>
    <row r="2" spans="1:9" x14ac:dyDescent="0.3">
      <c r="A2" t="s">
        <v>20</v>
      </c>
      <c r="B2" s="73"/>
      <c r="C2" s="73"/>
      <c r="D2" s="73"/>
      <c r="E2" s="73"/>
      <c r="F2" s="73"/>
      <c r="G2" s="25">
        <v>43833</v>
      </c>
      <c r="H2">
        <v>2020</v>
      </c>
      <c r="I2" t="s">
        <v>42</v>
      </c>
    </row>
    <row r="3" spans="1:9" x14ac:dyDescent="0.3">
      <c r="A3" t="s">
        <v>37</v>
      </c>
      <c r="B3" s="73"/>
      <c r="C3" s="73"/>
      <c r="D3" s="73"/>
      <c r="E3" s="73"/>
      <c r="F3" s="73"/>
      <c r="G3" s="25">
        <v>43833</v>
      </c>
      <c r="H3">
        <v>2020</v>
      </c>
      <c r="I3" t="s">
        <v>42</v>
      </c>
    </row>
    <row r="4" spans="1:9" x14ac:dyDescent="0.3">
      <c r="A4" t="s">
        <v>17</v>
      </c>
      <c r="B4" s="73"/>
      <c r="C4" s="73"/>
      <c r="D4" s="73"/>
      <c r="E4" s="73"/>
      <c r="F4" s="73"/>
      <c r="G4" s="25">
        <v>43833</v>
      </c>
      <c r="H4">
        <v>2020</v>
      </c>
      <c r="I4" t="s">
        <v>42</v>
      </c>
    </row>
    <row r="5" spans="1:9" x14ac:dyDescent="0.3">
      <c r="A5" t="s">
        <v>0</v>
      </c>
      <c r="B5" s="73"/>
      <c r="C5" s="73"/>
      <c r="D5" s="73"/>
      <c r="E5" s="73"/>
      <c r="F5" s="73"/>
      <c r="G5" s="25">
        <v>43833</v>
      </c>
      <c r="H5">
        <v>2020</v>
      </c>
      <c r="I5" t="s">
        <v>42</v>
      </c>
    </row>
    <row r="6" spans="1:9" x14ac:dyDescent="0.3">
      <c r="A6" t="s">
        <v>25</v>
      </c>
      <c r="B6" s="73"/>
      <c r="C6" s="73">
        <v>54000</v>
      </c>
      <c r="D6" s="73"/>
      <c r="E6" s="73"/>
      <c r="F6" s="73"/>
      <c r="G6" s="25">
        <v>43833</v>
      </c>
      <c r="H6">
        <v>2020</v>
      </c>
      <c r="I6" t="s">
        <v>42</v>
      </c>
    </row>
    <row r="7" spans="1:9" x14ac:dyDescent="0.3">
      <c r="A7" t="s">
        <v>15</v>
      </c>
      <c r="B7" s="73"/>
      <c r="C7" s="73"/>
      <c r="D7" s="73"/>
      <c r="E7" s="73"/>
      <c r="F7" s="73"/>
      <c r="G7" s="25">
        <v>43833</v>
      </c>
      <c r="H7">
        <v>2020</v>
      </c>
      <c r="I7" t="s">
        <v>42</v>
      </c>
    </row>
    <row r="8" spans="1:9" x14ac:dyDescent="0.3">
      <c r="A8" t="s">
        <v>26</v>
      </c>
      <c r="B8" s="73"/>
      <c r="C8" s="73"/>
      <c r="D8" s="73"/>
      <c r="E8" s="73"/>
      <c r="F8" s="73"/>
      <c r="G8" s="25">
        <v>43833</v>
      </c>
      <c r="H8">
        <v>2020</v>
      </c>
      <c r="I8" t="s">
        <v>42</v>
      </c>
    </row>
    <row r="9" spans="1:9" x14ac:dyDescent="0.3">
      <c r="A9" t="s">
        <v>22</v>
      </c>
      <c r="B9" s="73"/>
      <c r="C9" s="73"/>
      <c r="D9" s="73"/>
      <c r="E9" s="73"/>
      <c r="F9" s="73"/>
      <c r="G9" s="25">
        <v>43833</v>
      </c>
      <c r="H9">
        <v>2020</v>
      </c>
      <c r="I9" t="s">
        <v>42</v>
      </c>
    </row>
    <row r="10" spans="1:9" x14ac:dyDescent="0.3">
      <c r="A10" t="s">
        <v>19</v>
      </c>
      <c r="B10" s="73"/>
      <c r="C10" s="73"/>
      <c r="D10" s="73"/>
      <c r="E10" s="73"/>
      <c r="F10" s="73"/>
      <c r="G10" s="25">
        <v>43833</v>
      </c>
      <c r="H10">
        <v>2020</v>
      </c>
      <c r="I10" t="s">
        <v>42</v>
      </c>
    </row>
    <row r="11" spans="1:9" x14ac:dyDescent="0.3">
      <c r="A11" t="s">
        <v>14</v>
      </c>
      <c r="B11" s="73">
        <v>784000</v>
      </c>
      <c r="C11" s="73">
        <v>801000</v>
      </c>
      <c r="D11" s="73"/>
      <c r="E11" s="73"/>
      <c r="F11" s="73"/>
      <c r="G11" s="25">
        <v>43833</v>
      </c>
      <c r="H11">
        <v>2020</v>
      </c>
      <c r="I11" t="s">
        <v>42</v>
      </c>
    </row>
    <row r="12" spans="1:9" x14ac:dyDescent="0.3">
      <c r="A12" t="s">
        <v>24</v>
      </c>
      <c r="B12" s="73"/>
      <c r="C12" s="73"/>
      <c r="D12" s="73"/>
      <c r="E12" s="73"/>
      <c r="F12" s="73"/>
      <c r="G12" s="25">
        <v>43833</v>
      </c>
      <c r="H12">
        <v>2020</v>
      </c>
      <c r="I12" t="s">
        <v>42</v>
      </c>
    </row>
    <row r="13" spans="1:9" x14ac:dyDescent="0.3">
      <c r="A13" t="s">
        <v>21</v>
      </c>
      <c r="B13" s="73"/>
      <c r="C13" s="73"/>
      <c r="D13" s="73"/>
      <c r="E13" s="73"/>
      <c r="F13" s="73"/>
      <c r="G13" s="25">
        <v>43833</v>
      </c>
      <c r="H13">
        <v>2020</v>
      </c>
      <c r="I13" t="s">
        <v>42</v>
      </c>
    </row>
    <row r="14" spans="1:9" x14ac:dyDescent="0.3">
      <c r="A14" t="s">
        <v>18</v>
      </c>
      <c r="B14" s="73"/>
      <c r="C14" s="73"/>
      <c r="D14" s="73"/>
      <c r="E14" s="73"/>
      <c r="F14" s="73"/>
      <c r="G14" s="25">
        <v>43833</v>
      </c>
      <c r="H14">
        <v>2020</v>
      </c>
      <c r="I14" t="s">
        <v>42</v>
      </c>
    </row>
    <row r="15" spans="1:9" x14ac:dyDescent="0.3">
      <c r="A15" t="s">
        <v>16</v>
      </c>
      <c r="G15" s="25">
        <v>43833</v>
      </c>
      <c r="H15">
        <v>2020</v>
      </c>
      <c r="I15" t="s">
        <v>42</v>
      </c>
    </row>
    <row r="16" spans="1:9" x14ac:dyDescent="0.3">
      <c r="A16" t="s">
        <v>20</v>
      </c>
      <c r="G16" s="25">
        <v>43836</v>
      </c>
      <c r="H16">
        <v>2020</v>
      </c>
      <c r="I16" t="s">
        <v>42</v>
      </c>
    </row>
    <row r="17" spans="1:9" x14ac:dyDescent="0.3">
      <c r="A17" t="s">
        <v>37</v>
      </c>
      <c r="G17" s="25">
        <v>43836</v>
      </c>
      <c r="H17">
        <v>2020</v>
      </c>
      <c r="I17" t="s">
        <v>42</v>
      </c>
    </row>
    <row r="18" spans="1:9" x14ac:dyDescent="0.3">
      <c r="A18" t="s">
        <v>17</v>
      </c>
      <c r="G18" s="25">
        <v>43836</v>
      </c>
      <c r="H18">
        <v>2020</v>
      </c>
      <c r="I18" t="s">
        <v>42</v>
      </c>
    </row>
    <row r="19" spans="1:9" x14ac:dyDescent="0.3">
      <c r="A19" t="s">
        <v>0</v>
      </c>
      <c r="G19" s="25">
        <v>43836</v>
      </c>
      <c r="H19">
        <v>2020</v>
      </c>
      <c r="I19" t="s">
        <v>42</v>
      </c>
    </row>
    <row r="20" spans="1:9" x14ac:dyDescent="0.3">
      <c r="A20" t="s">
        <v>25</v>
      </c>
      <c r="C20">
        <v>54000</v>
      </c>
      <c r="G20" s="25">
        <v>43836</v>
      </c>
      <c r="H20">
        <v>2020</v>
      </c>
      <c r="I20" t="s">
        <v>42</v>
      </c>
    </row>
    <row r="21" spans="1:9" x14ac:dyDescent="0.3">
      <c r="A21" t="s">
        <v>15</v>
      </c>
      <c r="G21" s="25">
        <v>43836</v>
      </c>
      <c r="H21">
        <v>2020</v>
      </c>
      <c r="I21" t="s">
        <v>42</v>
      </c>
    </row>
    <row r="22" spans="1:9" x14ac:dyDescent="0.3">
      <c r="A22" t="s">
        <v>26</v>
      </c>
      <c r="G22" s="25">
        <v>43836</v>
      </c>
      <c r="H22">
        <v>2020</v>
      </c>
      <c r="I22" t="s">
        <v>42</v>
      </c>
    </row>
    <row r="23" spans="1:9" x14ac:dyDescent="0.3">
      <c r="A23" t="s">
        <v>22</v>
      </c>
      <c r="G23" s="25">
        <v>43836</v>
      </c>
      <c r="H23">
        <v>2020</v>
      </c>
      <c r="I23" t="s">
        <v>42</v>
      </c>
    </row>
    <row r="24" spans="1:9" x14ac:dyDescent="0.3">
      <c r="A24" t="s">
        <v>19</v>
      </c>
      <c r="G24" s="25">
        <v>43836</v>
      </c>
      <c r="H24">
        <v>2020</v>
      </c>
      <c r="I24" t="s">
        <v>42</v>
      </c>
    </row>
    <row r="25" spans="1:9" x14ac:dyDescent="0.3">
      <c r="A25" t="s">
        <v>14</v>
      </c>
      <c r="B25">
        <v>784000</v>
      </c>
      <c r="C25">
        <v>801000</v>
      </c>
      <c r="G25" s="25">
        <v>43836</v>
      </c>
      <c r="H25">
        <v>2020</v>
      </c>
      <c r="I25" t="s">
        <v>42</v>
      </c>
    </row>
    <row r="26" spans="1:9" x14ac:dyDescent="0.3">
      <c r="A26" t="s">
        <v>24</v>
      </c>
      <c r="G26" s="25">
        <v>43836</v>
      </c>
      <c r="H26">
        <v>2020</v>
      </c>
      <c r="I26" t="s">
        <v>42</v>
      </c>
    </row>
    <row r="27" spans="1:9" x14ac:dyDescent="0.3">
      <c r="A27" t="s">
        <v>21</v>
      </c>
      <c r="G27" s="25">
        <v>43836</v>
      </c>
      <c r="H27">
        <v>2020</v>
      </c>
      <c r="I27" t="s">
        <v>42</v>
      </c>
    </row>
    <row r="28" spans="1:9" x14ac:dyDescent="0.3">
      <c r="A28" t="s">
        <v>18</v>
      </c>
      <c r="G28" s="25">
        <v>43836</v>
      </c>
      <c r="H28">
        <v>2020</v>
      </c>
      <c r="I28" t="s">
        <v>42</v>
      </c>
    </row>
    <row r="29" spans="1:9" x14ac:dyDescent="0.3">
      <c r="A29" t="s">
        <v>16</v>
      </c>
      <c r="G29" s="25">
        <v>43836</v>
      </c>
      <c r="H29">
        <v>2020</v>
      </c>
      <c r="I29" t="s">
        <v>42</v>
      </c>
    </row>
    <row r="30" spans="1:9" x14ac:dyDescent="0.3">
      <c r="A30" t="s">
        <v>20</v>
      </c>
      <c r="G30" s="25">
        <v>43838</v>
      </c>
      <c r="H30">
        <v>2020</v>
      </c>
      <c r="I30" t="s">
        <v>42</v>
      </c>
    </row>
    <row r="31" spans="1:9" x14ac:dyDescent="0.3">
      <c r="A31" t="s">
        <v>37</v>
      </c>
      <c r="G31" s="25">
        <v>43838</v>
      </c>
      <c r="H31">
        <v>2020</v>
      </c>
      <c r="I31" t="s">
        <v>42</v>
      </c>
    </row>
    <row r="32" spans="1:9" x14ac:dyDescent="0.3">
      <c r="A32" t="s">
        <v>17</v>
      </c>
      <c r="B32">
        <v>1657000</v>
      </c>
      <c r="C32">
        <v>594000</v>
      </c>
      <c r="G32" s="25">
        <v>43838</v>
      </c>
      <c r="H32">
        <v>2020</v>
      </c>
      <c r="I32" t="s">
        <v>42</v>
      </c>
    </row>
    <row r="33" spans="1:9" x14ac:dyDescent="0.3">
      <c r="A33" t="s">
        <v>0</v>
      </c>
      <c r="G33" s="25">
        <v>43838</v>
      </c>
      <c r="H33">
        <v>2020</v>
      </c>
      <c r="I33" t="s">
        <v>42</v>
      </c>
    </row>
    <row r="34" spans="1:9" x14ac:dyDescent="0.3">
      <c r="A34" t="s">
        <v>25</v>
      </c>
      <c r="C34">
        <v>54000</v>
      </c>
      <c r="G34" s="25">
        <v>43838</v>
      </c>
      <c r="H34">
        <v>2020</v>
      </c>
      <c r="I34" t="s">
        <v>42</v>
      </c>
    </row>
    <row r="35" spans="1:9" x14ac:dyDescent="0.3">
      <c r="A35" t="s">
        <v>15</v>
      </c>
      <c r="C35">
        <v>299000</v>
      </c>
      <c r="G35" s="25">
        <v>43838</v>
      </c>
      <c r="H35">
        <v>2020</v>
      </c>
      <c r="I35" t="s">
        <v>42</v>
      </c>
    </row>
    <row r="36" spans="1:9" x14ac:dyDescent="0.3">
      <c r="A36" t="s">
        <v>26</v>
      </c>
      <c r="C36">
        <v>49500</v>
      </c>
      <c r="G36" s="25">
        <v>43838</v>
      </c>
      <c r="H36">
        <v>2020</v>
      </c>
      <c r="I36" t="s">
        <v>42</v>
      </c>
    </row>
    <row r="37" spans="1:9" x14ac:dyDescent="0.3">
      <c r="A37" t="s">
        <v>22</v>
      </c>
      <c r="G37" s="25">
        <v>43838</v>
      </c>
      <c r="H37">
        <v>2020</v>
      </c>
      <c r="I37" t="s">
        <v>42</v>
      </c>
    </row>
    <row r="38" spans="1:9" x14ac:dyDescent="0.3">
      <c r="A38" t="s">
        <v>19</v>
      </c>
      <c r="G38" s="25">
        <v>43838</v>
      </c>
      <c r="H38">
        <v>2020</v>
      </c>
      <c r="I38" t="s">
        <v>42</v>
      </c>
    </row>
    <row r="39" spans="1:9" x14ac:dyDescent="0.3">
      <c r="A39" t="s">
        <v>14</v>
      </c>
      <c r="B39">
        <v>299000</v>
      </c>
      <c r="C39">
        <v>752000</v>
      </c>
      <c r="G39" s="25">
        <v>43838</v>
      </c>
      <c r="H39">
        <v>2020</v>
      </c>
      <c r="I39" t="s">
        <v>42</v>
      </c>
    </row>
    <row r="40" spans="1:9" x14ac:dyDescent="0.3">
      <c r="A40" t="s">
        <v>24</v>
      </c>
      <c r="G40" s="25">
        <v>43838</v>
      </c>
      <c r="H40">
        <v>2020</v>
      </c>
      <c r="I40" t="s">
        <v>42</v>
      </c>
    </row>
    <row r="41" spans="1:9" x14ac:dyDescent="0.3">
      <c r="A41" t="s">
        <v>21</v>
      </c>
      <c r="G41" s="25">
        <v>43838</v>
      </c>
      <c r="H41">
        <v>2020</v>
      </c>
      <c r="I41" t="s">
        <v>42</v>
      </c>
    </row>
    <row r="42" spans="1:9" x14ac:dyDescent="0.3">
      <c r="A42" t="s">
        <v>18</v>
      </c>
      <c r="G42" s="25">
        <v>43838</v>
      </c>
      <c r="H42">
        <v>2020</v>
      </c>
      <c r="I42" t="s">
        <v>42</v>
      </c>
    </row>
    <row r="43" spans="1:9" x14ac:dyDescent="0.3">
      <c r="A43" t="s">
        <v>16</v>
      </c>
      <c r="G43" s="25">
        <v>43838</v>
      </c>
      <c r="H43">
        <v>2020</v>
      </c>
      <c r="I43" t="s">
        <v>42</v>
      </c>
    </row>
    <row r="44" spans="1:9" x14ac:dyDescent="0.3">
      <c r="A44" t="s">
        <v>20</v>
      </c>
      <c r="G44" s="25">
        <v>43839</v>
      </c>
      <c r="H44">
        <v>2020</v>
      </c>
      <c r="I44" t="s">
        <v>42</v>
      </c>
    </row>
    <row r="45" spans="1:9" x14ac:dyDescent="0.3">
      <c r="A45" t="s">
        <v>37</v>
      </c>
      <c r="G45" s="25">
        <v>43839</v>
      </c>
      <c r="H45">
        <v>2020</v>
      </c>
      <c r="I45" t="s">
        <v>42</v>
      </c>
    </row>
    <row r="46" spans="1:9" x14ac:dyDescent="0.3">
      <c r="A46" t="s">
        <v>17</v>
      </c>
      <c r="B46">
        <v>1323000</v>
      </c>
      <c r="C46">
        <v>54000</v>
      </c>
      <c r="G46" s="25">
        <v>43839</v>
      </c>
      <c r="H46">
        <v>2020</v>
      </c>
      <c r="I46" t="s">
        <v>42</v>
      </c>
    </row>
    <row r="47" spans="1:9" x14ac:dyDescent="0.3">
      <c r="A47" t="s">
        <v>0</v>
      </c>
      <c r="G47" s="25">
        <v>43839</v>
      </c>
      <c r="H47">
        <v>2020</v>
      </c>
      <c r="I47" t="s">
        <v>42</v>
      </c>
    </row>
    <row r="48" spans="1:9" x14ac:dyDescent="0.3">
      <c r="A48" t="s">
        <v>25</v>
      </c>
      <c r="G48" s="25">
        <v>43839</v>
      </c>
      <c r="H48">
        <v>2020</v>
      </c>
      <c r="I48" t="s">
        <v>42</v>
      </c>
    </row>
    <row r="49" spans="1:9" x14ac:dyDescent="0.3">
      <c r="A49" t="s">
        <v>15</v>
      </c>
      <c r="C49">
        <v>481500</v>
      </c>
      <c r="G49" s="25">
        <v>43839</v>
      </c>
      <c r="H49">
        <v>2020</v>
      </c>
      <c r="I49" t="s">
        <v>42</v>
      </c>
    </row>
    <row r="50" spans="1:9" x14ac:dyDescent="0.3">
      <c r="A50" t="s">
        <v>26</v>
      </c>
      <c r="G50" s="25">
        <v>43839</v>
      </c>
      <c r="H50">
        <v>2020</v>
      </c>
      <c r="I50" t="s">
        <v>42</v>
      </c>
    </row>
    <row r="51" spans="1:9" x14ac:dyDescent="0.3">
      <c r="A51" t="s">
        <v>22</v>
      </c>
      <c r="G51" s="25">
        <v>43839</v>
      </c>
      <c r="H51">
        <v>2020</v>
      </c>
      <c r="I51" t="s">
        <v>42</v>
      </c>
    </row>
    <row r="52" spans="1:9" x14ac:dyDescent="0.3">
      <c r="A52" t="s">
        <v>19</v>
      </c>
      <c r="G52" s="25">
        <v>43839</v>
      </c>
      <c r="H52">
        <v>2020</v>
      </c>
      <c r="I52" t="s">
        <v>42</v>
      </c>
    </row>
    <row r="53" spans="1:9" x14ac:dyDescent="0.3">
      <c r="A53" t="s">
        <v>14</v>
      </c>
      <c r="C53">
        <v>1561500</v>
      </c>
      <c r="G53" s="25">
        <v>43839</v>
      </c>
      <c r="H53">
        <v>2020</v>
      </c>
      <c r="I53" t="s">
        <v>42</v>
      </c>
    </row>
    <row r="54" spans="1:9" x14ac:dyDescent="0.3">
      <c r="A54" t="s">
        <v>24</v>
      </c>
      <c r="G54" s="25">
        <v>43839</v>
      </c>
      <c r="H54">
        <v>2020</v>
      </c>
      <c r="I54" t="s">
        <v>42</v>
      </c>
    </row>
    <row r="55" spans="1:9" x14ac:dyDescent="0.3">
      <c r="A55" t="s">
        <v>21</v>
      </c>
      <c r="G55" s="25">
        <v>43839</v>
      </c>
      <c r="H55">
        <v>2020</v>
      </c>
      <c r="I55" t="s">
        <v>42</v>
      </c>
    </row>
    <row r="56" spans="1:9" x14ac:dyDescent="0.3">
      <c r="A56" t="s">
        <v>18</v>
      </c>
      <c r="G56" s="25">
        <v>43839</v>
      </c>
      <c r="H56">
        <v>2020</v>
      </c>
      <c r="I56" t="s">
        <v>42</v>
      </c>
    </row>
    <row r="57" spans="1:9" x14ac:dyDescent="0.3">
      <c r="A57" t="s">
        <v>16</v>
      </c>
      <c r="G57" s="25">
        <v>43839</v>
      </c>
      <c r="H57">
        <v>2020</v>
      </c>
      <c r="I57" t="s">
        <v>42</v>
      </c>
    </row>
    <row r="58" spans="1:9" x14ac:dyDescent="0.3">
      <c r="A58" t="s">
        <v>20</v>
      </c>
      <c r="G58" s="25">
        <v>43840</v>
      </c>
      <c r="H58">
        <v>2020</v>
      </c>
      <c r="I58" t="s">
        <v>42</v>
      </c>
    </row>
    <row r="59" spans="1:9" x14ac:dyDescent="0.3">
      <c r="A59" t="s">
        <v>37</v>
      </c>
      <c r="G59" s="25">
        <v>43840</v>
      </c>
      <c r="H59">
        <v>2020</v>
      </c>
      <c r="I59" t="s">
        <v>42</v>
      </c>
    </row>
    <row r="60" spans="1:9" x14ac:dyDescent="0.3">
      <c r="A60" t="s">
        <v>17</v>
      </c>
      <c r="B60">
        <v>94500</v>
      </c>
      <c r="C60">
        <v>572000</v>
      </c>
      <c r="G60" s="25">
        <v>43840</v>
      </c>
      <c r="H60">
        <v>2020</v>
      </c>
      <c r="I60" t="s">
        <v>42</v>
      </c>
    </row>
    <row r="61" spans="1:9" x14ac:dyDescent="0.3">
      <c r="A61" t="s">
        <v>0</v>
      </c>
      <c r="G61" s="25">
        <v>43840</v>
      </c>
      <c r="H61">
        <v>2020</v>
      </c>
      <c r="I61" t="s">
        <v>42</v>
      </c>
    </row>
    <row r="62" spans="1:9" x14ac:dyDescent="0.3">
      <c r="A62" t="s">
        <v>25</v>
      </c>
      <c r="G62" s="25">
        <v>43840</v>
      </c>
      <c r="H62">
        <v>2020</v>
      </c>
      <c r="I62" t="s">
        <v>42</v>
      </c>
    </row>
    <row r="63" spans="1:9" x14ac:dyDescent="0.3">
      <c r="A63" t="s">
        <v>15</v>
      </c>
      <c r="C63">
        <v>162000</v>
      </c>
      <c r="G63" s="25">
        <v>43840</v>
      </c>
      <c r="H63">
        <v>2020</v>
      </c>
      <c r="I63" t="s">
        <v>42</v>
      </c>
    </row>
    <row r="64" spans="1:9" x14ac:dyDescent="0.3">
      <c r="A64" t="s">
        <v>26</v>
      </c>
      <c r="G64" s="25">
        <v>43840</v>
      </c>
      <c r="H64">
        <v>2020</v>
      </c>
      <c r="I64" t="s">
        <v>42</v>
      </c>
    </row>
    <row r="65" spans="1:9" x14ac:dyDescent="0.3">
      <c r="A65" t="s">
        <v>22</v>
      </c>
      <c r="G65" s="25">
        <v>43840</v>
      </c>
      <c r="H65">
        <v>2020</v>
      </c>
      <c r="I65" t="s">
        <v>42</v>
      </c>
    </row>
    <row r="66" spans="1:9" x14ac:dyDescent="0.3">
      <c r="A66" t="s">
        <v>19</v>
      </c>
      <c r="G66" s="25">
        <v>43840</v>
      </c>
      <c r="H66">
        <v>2020</v>
      </c>
      <c r="I66" t="s">
        <v>42</v>
      </c>
    </row>
    <row r="67" spans="1:9" x14ac:dyDescent="0.3">
      <c r="A67" t="s">
        <v>14</v>
      </c>
      <c r="C67">
        <v>945000</v>
      </c>
      <c r="G67" s="25">
        <v>43840</v>
      </c>
      <c r="H67">
        <v>2020</v>
      </c>
      <c r="I67" t="s">
        <v>42</v>
      </c>
    </row>
    <row r="68" spans="1:9" x14ac:dyDescent="0.3">
      <c r="A68" t="s">
        <v>24</v>
      </c>
      <c r="G68" s="25">
        <v>43840</v>
      </c>
      <c r="H68">
        <v>2020</v>
      </c>
      <c r="I68" t="s">
        <v>42</v>
      </c>
    </row>
    <row r="69" spans="1:9" x14ac:dyDescent="0.3">
      <c r="A69" t="s">
        <v>21</v>
      </c>
      <c r="G69" s="25">
        <v>43840</v>
      </c>
      <c r="H69">
        <v>2020</v>
      </c>
      <c r="I69" t="s">
        <v>42</v>
      </c>
    </row>
    <row r="70" spans="1:9" x14ac:dyDescent="0.3">
      <c r="A70" t="s">
        <v>18</v>
      </c>
      <c r="G70" s="25">
        <v>43840</v>
      </c>
      <c r="H70">
        <v>2020</v>
      </c>
      <c r="I70" t="s">
        <v>42</v>
      </c>
    </row>
    <row r="71" spans="1:9" x14ac:dyDescent="0.3">
      <c r="A71" t="s">
        <v>16</v>
      </c>
      <c r="G71" s="25">
        <v>43840</v>
      </c>
      <c r="H71">
        <v>2020</v>
      </c>
      <c r="I71" t="s">
        <v>42</v>
      </c>
    </row>
    <row r="72" spans="1:9" x14ac:dyDescent="0.3">
      <c r="A72" t="s">
        <v>20</v>
      </c>
      <c r="G72" s="25">
        <v>43843</v>
      </c>
      <c r="H72">
        <v>2020</v>
      </c>
      <c r="I72" t="s">
        <v>42</v>
      </c>
    </row>
    <row r="73" spans="1:9" x14ac:dyDescent="0.3">
      <c r="A73" t="s">
        <v>37</v>
      </c>
      <c r="G73" s="25">
        <v>43843</v>
      </c>
      <c r="H73">
        <v>2020</v>
      </c>
      <c r="I73" t="s">
        <v>42</v>
      </c>
    </row>
    <row r="74" spans="1:9" x14ac:dyDescent="0.3">
      <c r="A74" t="s">
        <v>17</v>
      </c>
      <c r="G74" s="25">
        <v>43843</v>
      </c>
      <c r="H74">
        <v>2020</v>
      </c>
      <c r="I74" t="s">
        <v>42</v>
      </c>
    </row>
    <row r="75" spans="1:9" x14ac:dyDescent="0.3">
      <c r="A75" t="s">
        <v>0</v>
      </c>
      <c r="G75" s="25">
        <v>43843</v>
      </c>
      <c r="H75">
        <v>2020</v>
      </c>
      <c r="I75" t="s">
        <v>42</v>
      </c>
    </row>
    <row r="76" spans="1:9" x14ac:dyDescent="0.3">
      <c r="A76" t="s">
        <v>25</v>
      </c>
      <c r="B76">
        <v>54000</v>
      </c>
      <c r="C76">
        <v>54000</v>
      </c>
      <c r="G76" s="25">
        <v>43843</v>
      </c>
      <c r="H76">
        <v>2020</v>
      </c>
      <c r="I76" t="s">
        <v>42</v>
      </c>
    </row>
    <row r="77" spans="1:9" x14ac:dyDescent="0.3">
      <c r="A77" t="s">
        <v>15</v>
      </c>
      <c r="G77" s="25">
        <v>43843</v>
      </c>
      <c r="H77">
        <v>2020</v>
      </c>
      <c r="I77" t="s">
        <v>42</v>
      </c>
    </row>
    <row r="78" spans="1:9" x14ac:dyDescent="0.3">
      <c r="A78" t="s">
        <v>26</v>
      </c>
      <c r="G78" s="25">
        <v>43843</v>
      </c>
      <c r="H78">
        <v>2020</v>
      </c>
      <c r="I78" t="s">
        <v>42</v>
      </c>
    </row>
    <row r="79" spans="1:9" x14ac:dyDescent="0.3">
      <c r="A79" t="s">
        <v>22</v>
      </c>
      <c r="G79" s="25">
        <v>43843</v>
      </c>
      <c r="H79">
        <v>2020</v>
      </c>
      <c r="I79" t="s">
        <v>42</v>
      </c>
    </row>
    <row r="80" spans="1:9" x14ac:dyDescent="0.3">
      <c r="A80" t="s">
        <v>19</v>
      </c>
      <c r="G80" s="25">
        <v>43843</v>
      </c>
      <c r="H80">
        <v>2020</v>
      </c>
      <c r="I80" t="s">
        <v>42</v>
      </c>
    </row>
    <row r="81" spans="1:9" x14ac:dyDescent="0.3">
      <c r="A81" t="s">
        <v>14</v>
      </c>
      <c r="C81">
        <v>1634000</v>
      </c>
      <c r="E81">
        <v>749000</v>
      </c>
      <c r="G81" s="25">
        <v>43843</v>
      </c>
      <c r="H81">
        <v>2020</v>
      </c>
      <c r="I81" t="s">
        <v>42</v>
      </c>
    </row>
    <row r="82" spans="1:9" x14ac:dyDescent="0.3">
      <c r="A82" t="s">
        <v>24</v>
      </c>
      <c r="G82" s="25">
        <v>43843</v>
      </c>
      <c r="H82">
        <v>2020</v>
      </c>
      <c r="I82" t="s">
        <v>42</v>
      </c>
    </row>
    <row r="83" spans="1:9" x14ac:dyDescent="0.3">
      <c r="A83" t="s">
        <v>21</v>
      </c>
      <c r="G83" s="25">
        <v>43843</v>
      </c>
      <c r="H83">
        <v>2020</v>
      </c>
      <c r="I83" t="s">
        <v>42</v>
      </c>
    </row>
    <row r="84" spans="1:9" x14ac:dyDescent="0.3">
      <c r="A84" t="s">
        <v>18</v>
      </c>
      <c r="G84" s="25">
        <v>43843</v>
      </c>
      <c r="H84">
        <v>2020</v>
      </c>
      <c r="I84" t="s">
        <v>42</v>
      </c>
    </row>
    <row r="85" spans="1:9" x14ac:dyDescent="0.3">
      <c r="A85" t="s">
        <v>16</v>
      </c>
      <c r="G85" s="25">
        <v>43843</v>
      </c>
      <c r="H85">
        <v>2020</v>
      </c>
      <c r="I85" t="s">
        <v>42</v>
      </c>
    </row>
    <row r="86" spans="1:9" x14ac:dyDescent="0.3">
      <c r="A86" t="s">
        <v>20</v>
      </c>
      <c r="G86" s="25">
        <v>43844</v>
      </c>
      <c r="H86">
        <v>2020</v>
      </c>
      <c r="I86" t="s">
        <v>42</v>
      </c>
    </row>
    <row r="87" spans="1:9" x14ac:dyDescent="0.3">
      <c r="A87" t="s">
        <v>37</v>
      </c>
      <c r="G87" s="25">
        <v>43844</v>
      </c>
      <c r="H87">
        <v>2020</v>
      </c>
      <c r="I87" t="s">
        <v>42</v>
      </c>
    </row>
    <row r="88" spans="1:9" x14ac:dyDescent="0.3">
      <c r="A88" t="s">
        <v>17</v>
      </c>
      <c r="G88" s="25">
        <v>43844</v>
      </c>
      <c r="H88">
        <v>2020</v>
      </c>
      <c r="I88" t="s">
        <v>42</v>
      </c>
    </row>
    <row r="89" spans="1:9" x14ac:dyDescent="0.3">
      <c r="A89" t="s">
        <v>0</v>
      </c>
      <c r="G89" s="25">
        <v>43844</v>
      </c>
      <c r="H89">
        <v>2020</v>
      </c>
      <c r="I89" t="s">
        <v>42</v>
      </c>
    </row>
    <row r="90" spans="1:9" x14ac:dyDescent="0.3">
      <c r="A90" t="s">
        <v>25</v>
      </c>
      <c r="C90">
        <v>162000</v>
      </c>
      <c r="G90" s="25">
        <v>43844</v>
      </c>
      <c r="H90">
        <v>2020</v>
      </c>
      <c r="I90" t="s">
        <v>42</v>
      </c>
    </row>
    <row r="91" spans="1:9" x14ac:dyDescent="0.3">
      <c r="A91" t="s">
        <v>15</v>
      </c>
      <c r="G91" s="25">
        <v>43844</v>
      </c>
      <c r="H91">
        <v>2020</v>
      </c>
      <c r="I91" t="s">
        <v>42</v>
      </c>
    </row>
    <row r="92" spans="1:9" x14ac:dyDescent="0.3">
      <c r="A92" t="s">
        <v>26</v>
      </c>
      <c r="G92" s="25">
        <v>43844</v>
      </c>
      <c r="H92">
        <v>2020</v>
      </c>
      <c r="I92" t="s">
        <v>42</v>
      </c>
    </row>
    <row r="93" spans="1:9" x14ac:dyDescent="0.3">
      <c r="A93" t="s">
        <v>22</v>
      </c>
      <c r="G93" s="25">
        <v>43844</v>
      </c>
      <c r="H93">
        <v>2020</v>
      </c>
      <c r="I93" t="s">
        <v>42</v>
      </c>
    </row>
    <row r="94" spans="1:9" x14ac:dyDescent="0.3">
      <c r="A94" t="s">
        <v>19</v>
      </c>
      <c r="G94" s="25">
        <v>43844</v>
      </c>
      <c r="H94">
        <v>2020</v>
      </c>
      <c r="I94" t="s">
        <v>42</v>
      </c>
    </row>
    <row r="95" spans="1:9" x14ac:dyDescent="0.3">
      <c r="A95" t="s">
        <v>14</v>
      </c>
      <c r="B95">
        <v>1269000</v>
      </c>
      <c r="C95">
        <v>1642500</v>
      </c>
      <c r="D95">
        <v>1269000</v>
      </c>
      <c r="E95">
        <v>536000</v>
      </c>
      <c r="G95" s="25">
        <v>43844</v>
      </c>
      <c r="H95">
        <v>2020</v>
      </c>
      <c r="I95" t="s">
        <v>42</v>
      </c>
    </row>
    <row r="96" spans="1:9" x14ac:dyDescent="0.3">
      <c r="A96" t="s">
        <v>24</v>
      </c>
      <c r="G96" s="25">
        <v>43844</v>
      </c>
      <c r="H96">
        <v>2020</v>
      </c>
      <c r="I96" t="s">
        <v>42</v>
      </c>
    </row>
    <row r="97" spans="1:9" x14ac:dyDescent="0.3">
      <c r="A97" t="s">
        <v>21</v>
      </c>
      <c r="G97" s="25">
        <v>43844</v>
      </c>
      <c r="H97">
        <v>2020</v>
      </c>
      <c r="I97" t="s">
        <v>42</v>
      </c>
    </row>
    <row r="98" spans="1:9" x14ac:dyDescent="0.3">
      <c r="A98" t="s">
        <v>18</v>
      </c>
      <c r="G98" s="25">
        <v>43844</v>
      </c>
      <c r="H98">
        <v>2020</v>
      </c>
      <c r="I98" t="s">
        <v>42</v>
      </c>
    </row>
    <row r="99" spans="1:9" x14ac:dyDescent="0.3">
      <c r="A99" t="s">
        <v>16</v>
      </c>
      <c r="G99" s="25">
        <v>43844</v>
      </c>
      <c r="H99">
        <v>2020</v>
      </c>
      <c r="I99" t="s">
        <v>42</v>
      </c>
    </row>
    <row r="100" spans="1:9" x14ac:dyDescent="0.3">
      <c r="A100" t="s">
        <v>20</v>
      </c>
      <c r="G100" s="25">
        <v>43845</v>
      </c>
      <c r="H100">
        <v>2020</v>
      </c>
      <c r="I100" t="s">
        <v>42</v>
      </c>
    </row>
    <row r="101" spans="1:9" x14ac:dyDescent="0.3">
      <c r="A101" t="s">
        <v>37</v>
      </c>
      <c r="G101" s="25">
        <v>43845</v>
      </c>
      <c r="H101">
        <v>2020</v>
      </c>
      <c r="I101" t="s">
        <v>42</v>
      </c>
    </row>
    <row r="102" spans="1:9" x14ac:dyDescent="0.3">
      <c r="A102" t="s">
        <v>17</v>
      </c>
      <c r="G102" s="25">
        <v>43845</v>
      </c>
      <c r="H102">
        <v>2020</v>
      </c>
      <c r="I102" t="s">
        <v>42</v>
      </c>
    </row>
    <row r="103" spans="1:9" x14ac:dyDescent="0.3">
      <c r="A103" t="s">
        <v>0</v>
      </c>
      <c r="G103" s="25">
        <v>43845</v>
      </c>
      <c r="H103">
        <v>2020</v>
      </c>
      <c r="I103" t="s">
        <v>42</v>
      </c>
    </row>
    <row r="104" spans="1:9" x14ac:dyDescent="0.3">
      <c r="A104" t="s">
        <v>25</v>
      </c>
      <c r="G104" s="25">
        <v>43845</v>
      </c>
      <c r="H104">
        <v>2020</v>
      </c>
      <c r="I104" t="s">
        <v>42</v>
      </c>
    </row>
    <row r="105" spans="1:9" x14ac:dyDescent="0.3">
      <c r="A105" t="s">
        <v>15</v>
      </c>
      <c r="C105">
        <v>216000</v>
      </c>
      <c r="E105">
        <v>162000</v>
      </c>
      <c r="G105" s="25">
        <v>43845</v>
      </c>
      <c r="H105">
        <v>2020</v>
      </c>
      <c r="I105" t="s">
        <v>42</v>
      </c>
    </row>
    <row r="106" spans="1:9" x14ac:dyDescent="0.3">
      <c r="A106" t="s">
        <v>26</v>
      </c>
      <c r="C106">
        <v>306000</v>
      </c>
      <c r="G106" s="25">
        <v>43845</v>
      </c>
      <c r="H106">
        <v>2020</v>
      </c>
      <c r="I106" t="s">
        <v>42</v>
      </c>
    </row>
    <row r="107" spans="1:9" x14ac:dyDescent="0.3">
      <c r="A107" t="s">
        <v>22</v>
      </c>
      <c r="G107" s="25">
        <v>43845</v>
      </c>
      <c r="H107">
        <v>2020</v>
      </c>
      <c r="I107" t="s">
        <v>42</v>
      </c>
    </row>
    <row r="108" spans="1:9" x14ac:dyDescent="0.3">
      <c r="A108" t="s">
        <v>19</v>
      </c>
      <c r="B108">
        <v>992000</v>
      </c>
      <c r="C108">
        <v>870000</v>
      </c>
      <c r="D108">
        <v>798000</v>
      </c>
      <c r="E108">
        <v>320000</v>
      </c>
      <c r="G108" s="25">
        <v>43845</v>
      </c>
      <c r="H108">
        <v>2020</v>
      </c>
      <c r="I108" t="s">
        <v>42</v>
      </c>
    </row>
    <row r="109" spans="1:9" x14ac:dyDescent="0.3">
      <c r="A109" t="s">
        <v>14</v>
      </c>
      <c r="B109">
        <v>472500</v>
      </c>
      <c r="C109">
        <v>206000</v>
      </c>
      <c r="E109">
        <v>54000</v>
      </c>
      <c r="G109" s="25">
        <v>43845</v>
      </c>
      <c r="H109">
        <v>2020</v>
      </c>
      <c r="I109" t="s">
        <v>42</v>
      </c>
    </row>
    <row r="110" spans="1:9" x14ac:dyDescent="0.3">
      <c r="A110" t="s">
        <v>24</v>
      </c>
      <c r="G110" s="25">
        <v>43845</v>
      </c>
      <c r="H110">
        <v>2020</v>
      </c>
      <c r="I110" t="s">
        <v>42</v>
      </c>
    </row>
    <row r="111" spans="1:9" x14ac:dyDescent="0.3">
      <c r="A111" t="s">
        <v>21</v>
      </c>
      <c r="G111" s="25">
        <v>43845</v>
      </c>
      <c r="H111">
        <v>2020</v>
      </c>
      <c r="I111" t="s">
        <v>42</v>
      </c>
    </row>
    <row r="112" spans="1:9" x14ac:dyDescent="0.3">
      <c r="A112" t="s">
        <v>18</v>
      </c>
      <c r="G112" s="25">
        <v>43845</v>
      </c>
      <c r="H112">
        <v>2020</v>
      </c>
      <c r="I112" t="s">
        <v>42</v>
      </c>
    </row>
    <row r="113" spans="1:9" x14ac:dyDescent="0.3">
      <c r="A113" t="s">
        <v>16</v>
      </c>
      <c r="G113" s="25">
        <v>43845</v>
      </c>
      <c r="H113">
        <v>2020</v>
      </c>
      <c r="I113" t="s">
        <v>42</v>
      </c>
    </row>
    <row r="114" spans="1:9" x14ac:dyDescent="0.3">
      <c r="A114" t="s">
        <v>20</v>
      </c>
      <c r="G114" s="25">
        <v>43846</v>
      </c>
      <c r="H114">
        <v>2020</v>
      </c>
      <c r="I114" t="s">
        <v>42</v>
      </c>
    </row>
    <row r="115" spans="1:9" x14ac:dyDescent="0.3">
      <c r="A115" t="s">
        <v>37</v>
      </c>
      <c r="G115" s="25">
        <v>43846</v>
      </c>
      <c r="H115">
        <v>2020</v>
      </c>
      <c r="I115" t="s">
        <v>42</v>
      </c>
    </row>
    <row r="116" spans="1:9" x14ac:dyDescent="0.3">
      <c r="A116" t="s">
        <v>17</v>
      </c>
      <c r="G116" s="25">
        <v>43846</v>
      </c>
      <c r="H116">
        <v>2020</v>
      </c>
      <c r="I116" t="s">
        <v>42</v>
      </c>
    </row>
    <row r="117" spans="1:9" x14ac:dyDescent="0.3">
      <c r="A117" t="s">
        <v>0</v>
      </c>
      <c r="G117" s="25">
        <v>43846</v>
      </c>
      <c r="H117">
        <v>2020</v>
      </c>
      <c r="I117" t="s">
        <v>42</v>
      </c>
    </row>
    <row r="118" spans="1:9" x14ac:dyDescent="0.3">
      <c r="A118" t="s">
        <v>25</v>
      </c>
      <c r="B118">
        <v>472000</v>
      </c>
      <c r="G118" s="25">
        <v>43846</v>
      </c>
      <c r="H118">
        <v>2020</v>
      </c>
      <c r="I118" t="s">
        <v>42</v>
      </c>
    </row>
    <row r="119" spans="1:9" x14ac:dyDescent="0.3">
      <c r="A119" t="s">
        <v>15</v>
      </c>
      <c r="G119" s="25">
        <v>43846</v>
      </c>
      <c r="H119">
        <v>2020</v>
      </c>
      <c r="I119" t="s">
        <v>42</v>
      </c>
    </row>
    <row r="120" spans="1:9" x14ac:dyDescent="0.3">
      <c r="A120" t="s">
        <v>26</v>
      </c>
      <c r="C120">
        <v>216000</v>
      </c>
      <c r="G120" s="25">
        <v>43846</v>
      </c>
      <c r="H120">
        <v>2020</v>
      </c>
      <c r="I120" t="s">
        <v>42</v>
      </c>
    </row>
    <row r="121" spans="1:9" x14ac:dyDescent="0.3">
      <c r="A121" t="s">
        <v>22</v>
      </c>
      <c r="G121" s="25">
        <v>43846</v>
      </c>
      <c r="H121">
        <v>2020</v>
      </c>
      <c r="I121" t="s">
        <v>42</v>
      </c>
    </row>
    <row r="122" spans="1:9" x14ac:dyDescent="0.3">
      <c r="A122" t="s">
        <v>19</v>
      </c>
      <c r="C122">
        <v>698000</v>
      </c>
      <c r="D122">
        <v>162000</v>
      </c>
      <c r="E122">
        <v>270000</v>
      </c>
      <c r="G122" s="25">
        <v>43846</v>
      </c>
      <c r="H122">
        <v>2020</v>
      </c>
      <c r="I122" t="s">
        <v>42</v>
      </c>
    </row>
    <row r="123" spans="1:9" x14ac:dyDescent="0.3">
      <c r="A123" t="s">
        <v>14</v>
      </c>
      <c r="G123" s="25">
        <v>43846</v>
      </c>
      <c r="H123">
        <v>2020</v>
      </c>
      <c r="I123" t="s">
        <v>42</v>
      </c>
    </row>
    <row r="124" spans="1:9" x14ac:dyDescent="0.3">
      <c r="A124" t="s">
        <v>24</v>
      </c>
      <c r="G124" s="25">
        <v>43846</v>
      </c>
      <c r="H124">
        <v>2020</v>
      </c>
      <c r="I124" t="s">
        <v>42</v>
      </c>
    </row>
    <row r="125" spans="1:9" x14ac:dyDescent="0.3">
      <c r="A125" t="s">
        <v>21</v>
      </c>
      <c r="G125" s="25">
        <v>43846</v>
      </c>
      <c r="H125">
        <v>2020</v>
      </c>
      <c r="I125" t="s">
        <v>42</v>
      </c>
    </row>
    <row r="126" spans="1:9" x14ac:dyDescent="0.3">
      <c r="A126" t="s">
        <v>18</v>
      </c>
      <c r="B126">
        <v>432000</v>
      </c>
      <c r="C126">
        <v>529000</v>
      </c>
      <c r="E126">
        <v>108000</v>
      </c>
      <c r="G126" s="25">
        <v>43846</v>
      </c>
      <c r="H126">
        <v>2020</v>
      </c>
      <c r="I126" t="s">
        <v>42</v>
      </c>
    </row>
    <row r="127" spans="1:9" x14ac:dyDescent="0.3">
      <c r="A127" t="s">
        <v>16</v>
      </c>
      <c r="B127">
        <v>270000</v>
      </c>
      <c r="D127">
        <v>216000</v>
      </c>
      <c r="G127" s="25">
        <v>43846</v>
      </c>
      <c r="H127">
        <v>2020</v>
      </c>
      <c r="I127" t="s">
        <v>42</v>
      </c>
    </row>
    <row r="128" spans="1:9" x14ac:dyDescent="0.3">
      <c r="A128" t="s">
        <v>20</v>
      </c>
      <c r="G128" s="25">
        <v>43847</v>
      </c>
      <c r="H128">
        <v>2020</v>
      </c>
      <c r="I128" t="s">
        <v>42</v>
      </c>
    </row>
    <row r="129" spans="1:9" x14ac:dyDescent="0.3">
      <c r="A129" t="s">
        <v>37</v>
      </c>
      <c r="G129" s="25">
        <v>43847</v>
      </c>
      <c r="H129">
        <v>2020</v>
      </c>
      <c r="I129" t="s">
        <v>42</v>
      </c>
    </row>
    <row r="130" spans="1:9" x14ac:dyDescent="0.3">
      <c r="A130" t="s">
        <v>17</v>
      </c>
      <c r="G130" s="25">
        <v>43847</v>
      </c>
      <c r="H130">
        <v>2020</v>
      </c>
      <c r="I130" t="s">
        <v>42</v>
      </c>
    </row>
    <row r="131" spans="1:9" x14ac:dyDescent="0.3">
      <c r="A131" t="s">
        <v>0</v>
      </c>
      <c r="G131" s="25">
        <v>43847</v>
      </c>
      <c r="H131">
        <v>2020</v>
      </c>
      <c r="I131" t="s">
        <v>42</v>
      </c>
    </row>
    <row r="132" spans="1:9" x14ac:dyDescent="0.3">
      <c r="A132" t="s">
        <v>25</v>
      </c>
      <c r="B132">
        <v>369500</v>
      </c>
      <c r="G132" s="25">
        <v>43847</v>
      </c>
      <c r="H132">
        <v>2020</v>
      </c>
      <c r="I132" t="s">
        <v>42</v>
      </c>
    </row>
    <row r="133" spans="1:9" x14ac:dyDescent="0.3">
      <c r="A133" t="s">
        <v>15</v>
      </c>
      <c r="C133">
        <v>216000</v>
      </c>
      <c r="G133" s="25">
        <v>43847</v>
      </c>
      <c r="H133">
        <v>2020</v>
      </c>
      <c r="I133" t="s">
        <v>42</v>
      </c>
    </row>
    <row r="134" spans="1:9" x14ac:dyDescent="0.3">
      <c r="A134" t="s">
        <v>26</v>
      </c>
      <c r="C134">
        <v>154000</v>
      </c>
      <c r="G134" s="25">
        <v>43847</v>
      </c>
      <c r="H134">
        <v>2020</v>
      </c>
      <c r="I134" t="s">
        <v>42</v>
      </c>
    </row>
    <row r="135" spans="1:9" x14ac:dyDescent="0.3">
      <c r="A135" t="s">
        <v>22</v>
      </c>
      <c r="G135" s="25">
        <v>43847</v>
      </c>
      <c r="H135">
        <v>2020</v>
      </c>
      <c r="I135" t="s">
        <v>42</v>
      </c>
    </row>
    <row r="136" spans="1:9" x14ac:dyDescent="0.3">
      <c r="A136" t="s">
        <v>19</v>
      </c>
      <c r="C136">
        <v>891000</v>
      </c>
      <c r="G136" s="25">
        <v>43847</v>
      </c>
      <c r="H136">
        <v>2020</v>
      </c>
      <c r="I136" t="s">
        <v>42</v>
      </c>
    </row>
    <row r="137" spans="1:9" x14ac:dyDescent="0.3">
      <c r="A137" t="s">
        <v>14</v>
      </c>
      <c r="G137" s="25">
        <v>43847</v>
      </c>
      <c r="H137">
        <v>2020</v>
      </c>
      <c r="I137" t="s">
        <v>42</v>
      </c>
    </row>
    <row r="138" spans="1:9" x14ac:dyDescent="0.3">
      <c r="A138" t="s">
        <v>24</v>
      </c>
      <c r="G138" s="25">
        <v>43847</v>
      </c>
      <c r="H138">
        <v>2020</v>
      </c>
      <c r="I138" t="s">
        <v>42</v>
      </c>
    </row>
    <row r="139" spans="1:9" x14ac:dyDescent="0.3">
      <c r="A139" t="s">
        <v>21</v>
      </c>
      <c r="G139" s="25">
        <v>43847</v>
      </c>
      <c r="H139">
        <v>2020</v>
      </c>
      <c r="I139" t="s">
        <v>42</v>
      </c>
    </row>
    <row r="140" spans="1:9" x14ac:dyDescent="0.3">
      <c r="A140" t="s">
        <v>18</v>
      </c>
      <c r="B140">
        <v>54000</v>
      </c>
      <c r="G140" s="25">
        <v>43847</v>
      </c>
      <c r="H140">
        <v>2020</v>
      </c>
      <c r="I140" t="s">
        <v>42</v>
      </c>
    </row>
    <row r="141" spans="1:9" x14ac:dyDescent="0.3">
      <c r="A141" t="s">
        <v>16</v>
      </c>
      <c r="B141">
        <v>594000</v>
      </c>
      <c r="D141">
        <v>374000</v>
      </c>
      <c r="G141" s="25">
        <v>43847</v>
      </c>
      <c r="H141">
        <v>2020</v>
      </c>
      <c r="I141" t="s">
        <v>42</v>
      </c>
    </row>
    <row r="142" spans="1:9" x14ac:dyDescent="0.3">
      <c r="A142" t="s">
        <v>20</v>
      </c>
      <c r="G142" s="25">
        <v>43850</v>
      </c>
      <c r="H142">
        <v>2020</v>
      </c>
      <c r="I142" t="s">
        <v>42</v>
      </c>
    </row>
    <row r="143" spans="1:9" x14ac:dyDescent="0.3">
      <c r="A143" t="s">
        <v>37</v>
      </c>
      <c r="G143" s="25">
        <v>43850</v>
      </c>
      <c r="H143">
        <v>2020</v>
      </c>
      <c r="I143" t="s">
        <v>42</v>
      </c>
    </row>
    <row r="144" spans="1:9" x14ac:dyDescent="0.3">
      <c r="A144" t="s">
        <v>17</v>
      </c>
      <c r="C144">
        <v>579000</v>
      </c>
      <c r="G144" s="25">
        <v>43850</v>
      </c>
      <c r="H144">
        <v>2020</v>
      </c>
      <c r="I144" t="s">
        <v>42</v>
      </c>
    </row>
    <row r="145" spans="1:9" x14ac:dyDescent="0.3">
      <c r="A145" t="s">
        <v>0</v>
      </c>
      <c r="G145" s="25">
        <v>43850</v>
      </c>
      <c r="H145">
        <v>2020</v>
      </c>
      <c r="I145" t="s">
        <v>42</v>
      </c>
    </row>
    <row r="146" spans="1:9" x14ac:dyDescent="0.3">
      <c r="A146" t="s">
        <v>25</v>
      </c>
      <c r="B146">
        <v>419500</v>
      </c>
      <c r="C146">
        <v>97000</v>
      </c>
      <c r="F146">
        <v>581500</v>
      </c>
      <c r="G146" s="25">
        <v>43850</v>
      </c>
      <c r="H146">
        <v>2020</v>
      </c>
      <c r="I146" t="s">
        <v>42</v>
      </c>
    </row>
    <row r="147" spans="1:9" x14ac:dyDescent="0.3">
      <c r="A147" t="s">
        <v>15</v>
      </c>
      <c r="C147">
        <v>797000</v>
      </c>
      <c r="E147">
        <v>108000</v>
      </c>
      <c r="G147" s="25">
        <v>43850</v>
      </c>
      <c r="H147">
        <v>2020</v>
      </c>
      <c r="I147" t="s">
        <v>42</v>
      </c>
    </row>
    <row r="148" spans="1:9" x14ac:dyDescent="0.3">
      <c r="A148" t="s">
        <v>26</v>
      </c>
      <c r="C148">
        <v>157500</v>
      </c>
      <c r="G148" s="25">
        <v>43850</v>
      </c>
      <c r="H148">
        <v>2020</v>
      </c>
      <c r="I148" t="s">
        <v>42</v>
      </c>
    </row>
    <row r="149" spans="1:9" x14ac:dyDescent="0.3">
      <c r="A149" t="s">
        <v>22</v>
      </c>
      <c r="G149" s="25">
        <v>43850</v>
      </c>
      <c r="H149">
        <v>2020</v>
      </c>
      <c r="I149" t="s">
        <v>42</v>
      </c>
    </row>
    <row r="150" spans="1:9" x14ac:dyDescent="0.3">
      <c r="A150" t="s">
        <v>19</v>
      </c>
      <c r="B150">
        <v>54000</v>
      </c>
      <c r="E150">
        <v>270000</v>
      </c>
      <c r="G150" s="25">
        <v>43850</v>
      </c>
      <c r="H150">
        <v>2020</v>
      </c>
      <c r="I150" t="s">
        <v>42</v>
      </c>
    </row>
    <row r="151" spans="1:9" x14ac:dyDescent="0.3">
      <c r="A151" t="s">
        <v>14</v>
      </c>
      <c r="B151">
        <v>99000</v>
      </c>
      <c r="E151">
        <v>108000</v>
      </c>
      <c r="G151" s="25">
        <v>43850</v>
      </c>
      <c r="H151">
        <v>2020</v>
      </c>
      <c r="I151" t="s">
        <v>42</v>
      </c>
    </row>
    <row r="152" spans="1:9" x14ac:dyDescent="0.3">
      <c r="A152" t="s">
        <v>24</v>
      </c>
      <c r="G152" s="25">
        <v>43850</v>
      </c>
      <c r="H152">
        <v>2020</v>
      </c>
      <c r="I152" t="s">
        <v>42</v>
      </c>
    </row>
    <row r="153" spans="1:9" x14ac:dyDescent="0.3">
      <c r="A153" t="s">
        <v>21</v>
      </c>
      <c r="G153" s="25">
        <v>43850</v>
      </c>
      <c r="H153">
        <v>2020</v>
      </c>
      <c r="I153" t="s">
        <v>42</v>
      </c>
    </row>
    <row r="154" spans="1:9" x14ac:dyDescent="0.3">
      <c r="A154" t="s">
        <v>18</v>
      </c>
      <c r="B154">
        <v>374000</v>
      </c>
      <c r="G154" s="25">
        <v>43850</v>
      </c>
      <c r="H154">
        <v>2020</v>
      </c>
      <c r="I154" t="s">
        <v>42</v>
      </c>
    </row>
    <row r="155" spans="1:9" x14ac:dyDescent="0.3">
      <c r="A155" t="s">
        <v>16</v>
      </c>
      <c r="B155">
        <v>425000</v>
      </c>
      <c r="D155">
        <v>207000</v>
      </c>
      <c r="E155">
        <v>108000</v>
      </c>
      <c r="G155" s="25">
        <v>43850</v>
      </c>
      <c r="H155">
        <v>2020</v>
      </c>
      <c r="I155" t="s">
        <v>42</v>
      </c>
    </row>
    <row r="156" spans="1:9" x14ac:dyDescent="0.3">
      <c r="A156" t="s">
        <v>20</v>
      </c>
      <c r="G156" s="25">
        <v>43851</v>
      </c>
      <c r="H156">
        <v>2020</v>
      </c>
      <c r="I156" t="s">
        <v>42</v>
      </c>
    </row>
    <row r="157" spans="1:9" x14ac:dyDescent="0.3">
      <c r="A157" t="s">
        <v>37</v>
      </c>
      <c r="G157" s="25">
        <v>43851</v>
      </c>
      <c r="H157">
        <v>2020</v>
      </c>
      <c r="I157" t="s">
        <v>42</v>
      </c>
    </row>
    <row r="158" spans="1:9" x14ac:dyDescent="0.3">
      <c r="A158" t="s">
        <v>17</v>
      </c>
      <c r="C158">
        <v>729000</v>
      </c>
      <c r="G158" s="25">
        <v>43851</v>
      </c>
      <c r="H158">
        <v>2020</v>
      </c>
      <c r="I158" t="s">
        <v>42</v>
      </c>
    </row>
    <row r="159" spans="1:9" x14ac:dyDescent="0.3">
      <c r="A159" t="s">
        <v>0</v>
      </c>
      <c r="G159" s="25">
        <v>43851</v>
      </c>
      <c r="H159">
        <v>2020</v>
      </c>
      <c r="I159" t="s">
        <v>42</v>
      </c>
    </row>
    <row r="160" spans="1:9" x14ac:dyDescent="0.3">
      <c r="A160" t="s">
        <v>25</v>
      </c>
      <c r="B160">
        <v>950500</v>
      </c>
      <c r="F160">
        <v>415000</v>
      </c>
      <c r="G160" s="25">
        <v>43851</v>
      </c>
      <c r="H160">
        <v>2020</v>
      </c>
      <c r="I160" t="s">
        <v>42</v>
      </c>
    </row>
    <row r="161" spans="1:9" x14ac:dyDescent="0.3">
      <c r="A161" t="s">
        <v>15</v>
      </c>
      <c r="C161">
        <v>320000</v>
      </c>
      <c r="G161" s="25">
        <v>43851</v>
      </c>
      <c r="H161">
        <v>2020</v>
      </c>
      <c r="I161" t="s">
        <v>42</v>
      </c>
    </row>
    <row r="162" spans="1:9" x14ac:dyDescent="0.3">
      <c r="A162" t="s">
        <v>26</v>
      </c>
      <c r="C162">
        <v>162000</v>
      </c>
      <c r="G162" s="25">
        <v>43851</v>
      </c>
      <c r="H162">
        <v>2020</v>
      </c>
      <c r="I162" t="s">
        <v>42</v>
      </c>
    </row>
    <row r="163" spans="1:9" x14ac:dyDescent="0.3">
      <c r="A163" t="s">
        <v>22</v>
      </c>
      <c r="G163" s="25">
        <v>43851</v>
      </c>
      <c r="H163">
        <v>2020</v>
      </c>
      <c r="I163" t="s">
        <v>42</v>
      </c>
    </row>
    <row r="164" spans="1:9" x14ac:dyDescent="0.3">
      <c r="A164" t="s">
        <v>19</v>
      </c>
      <c r="G164" s="25">
        <v>43851</v>
      </c>
      <c r="H164">
        <v>2020</v>
      </c>
      <c r="I164" t="s">
        <v>42</v>
      </c>
    </row>
    <row r="165" spans="1:9" x14ac:dyDescent="0.3">
      <c r="A165" t="s">
        <v>14</v>
      </c>
      <c r="B165">
        <v>207000</v>
      </c>
      <c r="G165" s="25">
        <v>43851</v>
      </c>
      <c r="H165">
        <v>2020</v>
      </c>
      <c r="I165" t="s">
        <v>42</v>
      </c>
    </row>
    <row r="166" spans="1:9" x14ac:dyDescent="0.3">
      <c r="A166" t="s">
        <v>24</v>
      </c>
      <c r="G166" s="25">
        <v>43851</v>
      </c>
      <c r="H166">
        <v>2020</v>
      </c>
      <c r="I166" t="s">
        <v>42</v>
      </c>
    </row>
    <row r="167" spans="1:9" x14ac:dyDescent="0.3">
      <c r="A167" t="s">
        <v>21</v>
      </c>
      <c r="G167" s="25">
        <v>43851</v>
      </c>
      <c r="H167">
        <v>2020</v>
      </c>
      <c r="I167" t="s">
        <v>42</v>
      </c>
    </row>
    <row r="168" spans="1:9" x14ac:dyDescent="0.3">
      <c r="A168" t="s">
        <v>18</v>
      </c>
      <c r="G168" s="25">
        <v>43851</v>
      </c>
      <c r="H168">
        <v>2020</v>
      </c>
      <c r="I168" t="s">
        <v>42</v>
      </c>
    </row>
    <row r="169" spans="1:9" x14ac:dyDescent="0.3">
      <c r="A169" t="s">
        <v>16</v>
      </c>
      <c r="B169">
        <v>578000</v>
      </c>
      <c r="C169">
        <v>420500</v>
      </c>
      <c r="E169">
        <v>851500</v>
      </c>
      <c r="G169" s="25">
        <v>43851</v>
      </c>
      <c r="H169">
        <v>2020</v>
      </c>
      <c r="I169" t="s">
        <v>42</v>
      </c>
    </row>
    <row r="170" spans="1:9" x14ac:dyDescent="0.3">
      <c r="A170" t="s">
        <v>20</v>
      </c>
      <c r="G170" s="25">
        <v>43852</v>
      </c>
      <c r="H170">
        <v>2020</v>
      </c>
      <c r="I170" t="s">
        <v>42</v>
      </c>
    </row>
    <row r="171" spans="1:9" x14ac:dyDescent="0.3">
      <c r="A171" t="s">
        <v>37</v>
      </c>
      <c r="G171" s="25">
        <v>43852</v>
      </c>
      <c r="H171">
        <v>2020</v>
      </c>
      <c r="I171" t="s">
        <v>42</v>
      </c>
    </row>
    <row r="172" spans="1:9" x14ac:dyDescent="0.3">
      <c r="A172" t="s">
        <v>17</v>
      </c>
      <c r="C172">
        <v>362000</v>
      </c>
      <c r="G172" s="25">
        <v>43852</v>
      </c>
      <c r="H172">
        <v>2020</v>
      </c>
      <c r="I172" t="s">
        <v>42</v>
      </c>
    </row>
    <row r="173" spans="1:9" x14ac:dyDescent="0.3">
      <c r="A173" t="s">
        <v>0</v>
      </c>
      <c r="G173" s="25">
        <v>43852</v>
      </c>
      <c r="H173">
        <v>2020</v>
      </c>
      <c r="I173" t="s">
        <v>42</v>
      </c>
    </row>
    <row r="174" spans="1:9" x14ac:dyDescent="0.3">
      <c r="A174" t="s">
        <v>25</v>
      </c>
      <c r="B174">
        <v>756000</v>
      </c>
      <c r="F174">
        <v>503000</v>
      </c>
      <c r="G174" s="25">
        <v>43852</v>
      </c>
      <c r="H174">
        <v>2020</v>
      </c>
      <c r="I174" t="s">
        <v>42</v>
      </c>
    </row>
    <row r="175" spans="1:9" x14ac:dyDescent="0.3">
      <c r="A175" t="s">
        <v>15</v>
      </c>
      <c r="C175">
        <v>104000</v>
      </c>
      <c r="G175" s="25">
        <v>43852</v>
      </c>
      <c r="H175">
        <v>2020</v>
      </c>
      <c r="I175" t="s">
        <v>42</v>
      </c>
    </row>
    <row r="176" spans="1:9" x14ac:dyDescent="0.3">
      <c r="A176" t="s">
        <v>26</v>
      </c>
      <c r="G176" s="25">
        <v>43852</v>
      </c>
      <c r="H176">
        <v>2020</v>
      </c>
      <c r="I176" t="s">
        <v>42</v>
      </c>
    </row>
    <row r="177" spans="1:9" x14ac:dyDescent="0.3">
      <c r="A177" t="s">
        <v>22</v>
      </c>
      <c r="G177" s="25">
        <v>43852</v>
      </c>
      <c r="H177">
        <v>2020</v>
      </c>
      <c r="I177" t="s">
        <v>42</v>
      </c>
    </row>
    <row r="178" spans="1:9" x14ac:dyDescent="0.3">
      <c r="A178" t="s">
        <v>19</v>
      </c>
      <c r="E178">
        <v>153000</v>
      </c>
      <c r="G178" s="25">
        <v>43852</v>
      </c>
      <c r="H178">
        <v>2020</v>
      </c>
      <c r="I178" t="s">
        <v>42</v>
      </c>
    </row>
    <row r="179" spans="1:9" x14ac:dyDescent="0.3">
      <c r="A179" t="s">
        <v>14</v>
      </c>
      <c r="B179">
        <v>50000</v>
      </c>
      <c r="C179">
        <v>320000</v>
      </c>
      <c r="E179">
        <v>212000</v>
      </c>
      <c r="G179" s="25">
        <v>43852</v>
      </c>
      <c r="H179">
        <v>2020</v>
      </c>
      <c r="I179" t="s">
        <v>42</v>
      </c>
    </row>
    <row r="180" spans="1:9" x14ac:dyDescent="0.3">
      <c r="A180" t="s">
        <v>24</v>
      </c>
      <c r="G180" s="25">
        <v>43852</v>
      </c>
      <c r="H180">
        <v>2020</v>
      </c>
      <c r="I180" t="s">
        <v>42</v>
      </c>
    </row>
    <row r="181" spans="1:9" x14ac:dyDescent="0.3">
      <c r="A181" t="s">
        <v>21</v>
      </c>
      <c r="G181" s="25">
        <v>43852</v>
      </c>
      <c r="H181">
        <v>2020</v>
      </c>
      <c r="I181" t="s">
        <v>42</v>
      </c>
    </row>
    <row r="182" spans="1:9" x14ac:dyDescent="0.3">
      <c r="A182" t="s">
        <v>18</v>
      </c>
      <c r="B182">
        <v>153000</v>
      </c>
      <c r="G182" s="25">
        <v>43852</v>
      </c>
      <c r="H182">
        <v>2020</v>
      </c>
      <c r="I182" t="s">
        <v>42</v>
      </c>
    </row>
    <row r="183" spans="1:9" x14ac:dyDescent="0.3">
      <c r="A183" t="s">
        <v>16</v>
      </c>
      <c r="B183">
        <v>54000</v>
      </c>
      <c r="C183">
        <v>693000</v>
      </c>
      <c r="G183" s="25">
        <v>43852</v>
      </c>
      <c r="H183">
        <v>2020</v>
      </c>
      <c r="I183" t="s">
        <v>42</v>
      </c>
    </row>
    <row r="184" spans="1:9" x14ac:dyDescent="0.3">
      <c r="A184" t="s">
        <v>20</v>
      </c>
      <c r="G184" s="25">
        <v>43853</v>
      </c>
      <c r="H184">
        <v>2020</v>
      </c>
      <c r="I184" t="s">
        <v>42</v>
      </c>
    </row>
    <row r="185" spans="1:9" x14ac:dyDescent="0.3">
      <c r="A185" t="s">
        <v>37</v>
      </c>
      <c r="G185" s="25">
        <v>43853</v>
      </c>
      <c r="H185">
        <v>2020</v>
      </c>
      <c r="I185" t="s">
        <v>42</v>
      </c>
    </row>
    <row r="186" spans="1:9" x14ac:dyDescent="0.3">
      <c r="A186" t="s">
        <v>17</v>
      </c>
      <c r="C186">
        <v>751500</v>
      </c>
      <c r="G186" s="25">
        <v>43853</v>
      </c>
      <c r="H186">
        <v>2020</v>
      </c>
      <c r="I186" t="s">
        <v>42</v>
      </c>
    </row>
    <row r="187" spans="1:9" x14ac:dyDescent="0.3">
      <c r="A187" t="s">
        <v>0</v>
      </c>
      <c r="G187" s="25">
        <v>43853</v>
      </c>
      <c r="H187">
        <v>2020</v>
      </c>
      <c r="I187" t="s">
        <v>42</v>
      </c>
    </row>
    <row r="188" spans="1:9" x14ac:dyDescent="0.3">
      <c r="A188" t="s">
        <v>25</v>
      </c>
      <c r="G188" s="25">
        <v>43853</v>
      </c>
      <c r="H188">
        <v>2020</v>
      </c>
      <c r="I188" t="s">
        <v>42</v>
      </c>
    </row>
    <row r="189" spans="1:9" x14ac:dyDescent="0.3">
      <c r="A189" t="s">
        <v>15</v>
      </c>
      <c r="C189">
        <v>104000</v>
      </c>
      <c r="G189" s="25">
        <v>43853</v>
      </c>
      <c r="H189">
        <v>2020</v>
      </c>
      <c r="I189" t="s">
        <v>42</v>
      </c>
    </row>
    <row r="190" spans="1:9" x14ac:dyDescent="0.3">
      <c r="A190" t="s">
        <v>26</v>
      </c>
      <c r="G190" s="25">
        <v>43853</v>
      </c>
      <c r="H190">
        <v>2020</v>
      </c>
      <c r="I190" t="s">
        <v>42</v>
      </c>
    </row>
    <row r="191" spans="1:9" x14ac:dyDescent="0.3">
      <c r="A191" t="s">
        <v>22</v>
      </c>
      <c r="G191" s="25">
        <v>43853</v>
      </c>
      <c r="H191">
        <v>2020</v>
      </c>
      <c r="I191" t="s">
        <v>42</v>
      </c>
    </row>
    <row r="192" spans="1:9" x14ac:dyDescent="0.3">
      <c r="A192" t="s">
        <v>19</v>
      </c>
      <c r="C192">
        <v>103500</v>
      </c>
      <c r="E192">
        <v>680000</v>
      </c>
      <c r="G192" s="25">
        <v>43853</v>
      </c>
      <c r="H192">
        <v>2020</v>
      </c>
      <c r="I192" t="s">
        <v>42</v>
      </c>
    </row>
    <row r="193" spans="1:9" x14ac:dyDescent="0.3">
      <c r="A193" t="s">
        <v>14</v>
      </c>
      <c r="C193">
        <v>157500</v>
      </c>
      <c r="G193" s="25">
        <v>43853</v>
      </c>
      <c r="H193">
        <v>2020</v>
      </c>
      <c r="I193" t="s">
        <v>42</v>
      </c>
    </row>
    <row r="194" spans="1:9" x14ac:dyDescent="0.3">
      <c r="A194" t="s">
        <v>24</v>
      </c>
      <c r="G194" s="25">
        <v>43853</v>
      </c>
      <c r="H194">
        <v>2020</v>
      </c>
      <c r="I194" t="s">
        <v>42</v>
      </c>
    </row>
    <row r="195" spans="1:9" x14ac:dyDescent="0.3">
      <c r="A195" t="s">
        <v>21</v>
      </c>
      <c r="G195" s="25">
        <v>43853</v>
      </c>
      <c r="H195">
        <v>2020</v>
      </c>
      <c r="I195" t="s">
        <v>42</v>
      </c>
    </row>
    <row r="196" spans="1:9" x14ac:dyDescent="0.3">
      <c r="A196" t="s">
        <v>18</v>
      </c>
      <c r="D196">
        <v>431000</v>
      </c>
      <c r="G196" s="25">
        <v>43853</v>
      </c>
      <c r="H196">
        <v>2020</v>
      </c>
      <c r="I196" t="s">
        <v>42</v>
      </c>
    </row>
    <row r="197" spans="1:9" x14ac:dyDescent="0.3">
      <c r="A197" t="s">
        <v>16</v>
      </c>
      <c r="C197">
        <v>748000</v>
      </c>
      <c r="G197" s="25">
        <v>43853</v>
      </c>
      <c r="H197">
        <v>2020</v>
      </c>
      <c r="I197" t="s">
        <v>42</v>
      </c>
    </row>
    <row r="198" spans="1:9" x14ac:dyDescent="0.3">
      <c r="A198" t="s">
        <v>20</v>
      </c>
      <c r="G198" s="25">
        <v>43854</v>
      </c>
      <c r="H198">
        <v>2020</v>
      </c>
      <c r="I198" t="s">
        <v>42</v>
      </c>
    </row>
    <row r="199" spans="1:9" x14ac:dyDescent="0.3">
      <c r="A199" t="s">
        <v>37</v>
      </c>
      <c r="G199" s="25">
        <v>43854</v>
      </c>
      <c r="H199">
        <v>2020</v>
      </c>
      <c r="I199" t="s">
        <v>42</v>
      </c>
    </row>
    <row r="200" spans="1:9" x14ac:dyDescent="0.3">
      <c r="A200" t="s">
        <v>17</v>
      </c>
      <c r="G200" s="25">
        <v>43854</v>
      </c>
      <c r="H200">
        <v>2020</v>
      </c>
      <c r="I200" t="s">
        <v>42</v>
      </c>
    </row>
    <row r="201" spans="1:9" x14ac:dyDescent="0.3">
      <c r="A201" t="s">
        <v>0</v>
      </c>
      <c r="G201" s="25">
        <v>43854</v>
      </c>
      <c r="H201">
        <v>2020</v>
      </c>
      <c r="I201" t="s">
        <v>42</v>
      </c>
    </row>
    <row r="202" spans="1:9" x14ac:dyDescent="0.3">
      <c r="A202" t="s">
        <v>25</v>
      </c>
      <c r="B202">
        <v>450000</v>
      </c>
      <c r="G202" s="25">
        <v>43854</v>
      </c>
      <c r="H202">
        <v>2020</v>
      </c>
      <c r="I202" t="s">
        <v>42</v>
      </c>
    </row>
    <row r="203" spans="1:9" x14ac:dyDescent="0.3">
      <c r="A203" t="s">
        <v>15</v>
      </c>
      <c r="G203" s="25">
        <v>43854</v>
      </c>
      <c r="H203">
        <v>2020</v>
      </c>
      <c r="I203" t="s">
        <v>42</v>
      </c>
    </row>
    <row r="204" spans="1:9" x14ac:dyDescent="0.3">
      <c r="A204" t="s">
        <v>26</v>
      </c>
      <c r="G204" s="25">
        <v>43854</v>
      </c>
      <c r="H204">
        <v>2020</v>
      </c>
      <c r="I204" t="s">
        <v>42</v>
      </c>
    </row>
    <row r="205" spans="1:9" x14ac:dyDescent="0.3">
      <c r="A205" t="s">
        <v>22</v>
      </c>
      <c r="G205" s="25">
        <v>43854</v>
      </c>
      <c r="H205">
        <v>2020</v>
      </c>
      <c r="I205" t="s">
        <v>42</v>
      </c>
    </row>
    <row r="206" spans="1:9" x14ac:dyDescent="0.3">
      <c r="A206" t="s">
        <v>19</v>
      </c>
      <c r="E206">
        <v>1088500</v>
      </c>
      <c r="G206" s="25">
        <v>43854</v>
      </c>
      <c r="H206">
        <v>2020</v>
      </c>
      <c r="I206" t="s">
        <v>42</v>
      </c>
    </row>
    <row r="207" spans="1:9" x14ac:dyDescent="0.3">
      <c r="A207" t="s">
        <v>14</v>
      </c>
      <c r="G207" s="25">
        <v>43854</v>
      </c>
      <c r="H207">
        <v>2020</v>
      </c>
      <c r="I207" t="s">
        <v>42</v>
      </c>
    </row>
    <row r="208" spans="1:9" x14ac:dyDescent="0.3">
      <c r="A208" t="s">
        <v>24</v>
      </c>
      <c r="G208" s="25">
        <v>43854</v>
      </c>
      <c r="H208">
        <v>2020</v>
      </c>
      <c r="I208" t="s">
        <v>42</v>
      </c>
    </row>
    <row r="209" spans="1:9" x14ac:dyDescent="0.3">
      <c r="A209" t="s">
        <v>21</v>
      </c>
      <c r="G209" s="25">
        <v>43854</v>
      </c>
      <c r="H209">
        <v>2020</v>
      </c>
      <c r="I209" t="s">
        <v>42</v>
      </c>
    </row>
    <row r="210" spans="1:9" x14ac:dyDescent="0.3">
      <c r="A210" t="s">
        <v>18</v>
      </c>
      <c r="B210">
        <v>755500</v>
      </c>
      <c r="G210" s="25">
        <v>43854</v>
      </c>
      <c r="H210">
        <v>2020</v>
      </c>
      <c r="I210" t="s">
        <v>42</v>
      </c>
    </row>
    <row r="211" spans="1:9" x14ac:dyDescent="0.3">
      <c r="A211" t="s">
        <v>16</v>
      </c>
      <c r="G211" s="25">
        <v>43854</v>
      </c>
      <c r="H211">
        <v>2020</v>
      </c>
      <c r="I211" t="s">
        <v>42</v>
      </c>
    </row>
    <row r="212" spans="1:9" x14ac:dyDescent="0.3">
      <c r="A212" t="s">
        <v>20</v>
      </c>
      <c r="G212" s="25">
        <v>43857</v>
      </c>
      <c r="H212">
        <v>2020</v>
      </c>
      <c r="I212" t="s">
        <v>42</v>
      </c>
    </row>
    <row r="213" spans="1:9" x14ac:dyDescent="0.3">
      <c r="A213" t="s">
        <v>37</v>
      </c>
      <c r="G213" s="25">
        <v>43857</v>
      </c>
      <c r="H213">
        <v>2020</v>
      </c>
      <c r="I213" t="s">
        <v>42</v>
      </c>
    </row>
    <row r="214" spans="1:9" x14ac:dyDescent="0.3">
      <c r="A214" t="s">
        <v>17</v>
      </c>
      <c r="C214">
        <v>207000</v>
      </c>
      <c r="G214" s="25">
        <v>43857</v>
      </c>
      <c r="H214">
        <v>2020</v>
      </c>
      <c r="I214" t="s">
        <v>42</v>
      </c>
    </row>
    <row r="215" spans="1:9" x14ac:dyDescent="0.3">
      <c r="A215" t="s">
        <v>0</v>
      </c>
      <c r="G215" s="25">
        <v>43857</v>
      </c>
      <c r="H215">
        <v>2020</v>
      </c>
      <c r="I215" t="s">
        <v>42</v>
      </c>
    </row>
    <row r="216" spans="1:9" x14ac:dyDescent="0.3">
      <c r="A216" t="s">
        <v>25</v>
      </c>
      <c r="G216" s="25">
        <v>43857</v>
      </c>
      <c r="H216">
        <v>2020</v>
      </c>
      <c r="I216" t="s">
        <v>42</v>
      </c>
    </row>
    <row r="217" spans="1:9" x14ac:dyDescent="0.3">
      <c r="A217" t="s">
        <v>15</v>
      </c>
      <c r="C217">
        <v>154000</v>
      </c>
      <c r="G217" s="25">
        <v>43857</v>
      </c>
      <c r="H217">
        <v>2020</v>
      </c>
      <c r="I217" t="s">
        <v>42</v>
      </c>
    </row>
    <row r="218" spans="1:9" x14ac:dyDescent="0.3">
      <c r="A218" t="s">
        <v>26</v>
      </c>
      <c r="G218" s="25">
        <v>43857</v>
      </c>
      <c r="H218">
        <v>2020</v>
      </c>
      <c r="I218" t="s">
        <v>42</v>
      </c>
    </row>
    <row r="219" spans="1:9" x14ac:dyDescent="0.3">
      <c r="A219" t="s">
        <v>22</v>
      </c>
      <c r="G219" s="25">
        <v>43857</v>
      </c>
      <c r="H219">
        <v>2020</v>
      </c>
      <c r="I219" t="s">
        <v>42</v>
      </c>
    </row>
    <row r="220" spans="1:9" x14ac:dyDescent="0.3">
      <c r="A220" t="s">
        <v>19</v>
      </c>
      <c r="C220">
        <v>692000</v>
      </c>
      <c r="D220">
        <v>212000</v>
      </c>
      <c r="G220" s="25">
        <v>43857</v>
      </c>
      <c r="H220">
        <v>2020</v>
      </c>
      <c r="I220" t="s">
        <v>42</v>
      </c>
    </row>
    <row r="221" spans="1:9" x14ac:dyDescent="0.3">
      <c r="A221" t="s">
        <v>14</v>
      </c>
      <c r="D221">
        <v>162000</v>
      </c>
      <c r="G221" s="25">
        <v>43857</v>
      </c>
      <c r="H221">
        <v>2020</v>
      </c>
      <c r="I221" t="s">
        <v>42</v>
      </c>
    </row>
    <row r="222" spans="1:9" x14ac:dyDescent="0.3">
      <c r="A222" t="s">
        <v>24</v>
      </c>
      <c r="G222" s="25">
        <v>43857</v>
      </c>
      <c r="H222">
        <v>2020</v>
      </c>
      <c r="I222" t="s">
        <v>42</v>
      </c>
    </row>
    <row r="223" spans="1:9" x14ac:dyDescent="0.3">
      <c r="A223" t="s">
        <v>21</v>
      </c>
      <c r="G223" s="25">
        <v>43857</v>
      </c>
      <c r="H223">
        <v>2020</v>
      </c>
      <c r="I223" t="s">
        <v>42</v>
      </c>
    </row>
    <row r="224" spans="1:9" x14ac:dyDescent="0.3">
      <c r="A224" t="s">
        <v>18</v>
      </c>
      <c r="C224">
        <v>108000</v>
      </c>
      <c r="G224" s="25">
        <v>43857</v>
      </c>
      <c r="H224">
        <v>2020</v>
      </c>
      <c r="I224" t="s">
        <v>42</v>
      </c>
    </row>
    <row r="225" spans="1:9" x14ac:dyDescent="0.3">
      <c r="A225" t="s">
        <v>16</v>
      </c>
      <c r="C225">
        <v>263000</v>
      </c>
      <c r="G225" s="25">
        <v>43857</v>
      </c>
      <c r="H225">
        <v>2020</v>
      </c>
      <c r="I225" t="s">
        <v>42</v>
      </c>
    </row>
    <row r="226" spans="1:9" x14ac:dyDescent="0.3">
      <c r="A226" t="s">
        <v>20</v>
      </c>
      <c r="G226" s="25">
        <v>43858</v>
      </c>
      <c r="H226">
        <v>2020</v>
      </c>
      <c r="I226" t="s">
        <v>42</v>
      </c>
    </row>
    <row r="227" spans="1:9" x14ac:dyDescent="0.3">
      <c r="A227" t="s">
        <v>37</v>
      </c>
      <c r="G227" s="25">
        <v>43858</v>
      </c>
      <c r="H227">
        <v>2020</v>
      </c>
      <c r="I227" t="s">
        <v>42</v>
      </c>
    </row>
    <row r="228" spans="1:9" x14ac:dyDescent="0.3">
      <c r="A228" t="s">
        <v>17</v>
      </c>
      <c r="C228">
        <v>216000</v>
      </c>
      <c r="G228" s="25">
        <v>43858</v>
      </c>
      <c r="H228">
        <v>2020</v>
      </c>
      <c r="I228" t="s">
        <v>42</v>
      </c>
    </row>
    <row r="229" spans="1:9" x14ac:dyDescent="0.3">
      <c r="A229" t="s">
        <v>0</v>
      </c>
      <c r="G229" s="25">
        <v>43858</v>
      </c>
      <c r="H229">
        <v>2020</v>
      </c>
      <c r="I229" t="s">
        <v>42</v>
      </c>
    </row>
    <row r="230" spans="1:9" x14ac:dyDescent="0.3">
      <c r="A230" t="s">
        <v>25</v>
      </c>
      <c r="G230" s="25">
        <v>43858</v>
      </c>
      <c r="H230">
        <v>2020</v>
      </c>
      <c r="I230" t="s">
        <v>42</v>
      </c>
    </row>
    <row r="231" spans="1:9" x14ac:dyDescent="0.3">
      <c r="A231" t="s">
        <v>15</v>
      </c>
      <c r="C231">
        <v>155000</v>
      </c>
      <c r="G231" s="25">
        <v>43858</v>
      </c>
      <c r="H231">
        <v>2020</v>
      </c>
      <c r="I231" t="s">
        <v>42</v>
      </c>
    </row>
    <row r="232" spans="1:9" x14ac:dyDescent="0.3">
      <c r="A232" t="s">
        <v>26</v>
      </c>
      <c r="C232">
        <v>270000</v>
      </c>
      <c r="G232" s="25">
        <v>43858</v>
      </c>
      <c r="H232">
        <v>2020</v>
      </c>
      <c r="I232" t="s">
        <v>42</v>
      </c>
    </row>
    <row r="233" spans="1:9" x14ac:dyDescent="0.3">
      <c r="A233" t="s">
        <v>22</v>
      </c>
      <c r="G233" s="25">
        <v>43858</v>
      </c>
      <c r="H233">
        <v>2020</v>
      </c>
      <c r="I233" t="s">
        <v>42</v>
      </c>
    </row>
    <row r="234" spans="1:9" x14ac:dyDescent="0.3">
      <c r="A234" t="s">
        <v>19</v>
      </c>
      <c r="C234">
        <v>216000</v>
      </c>
      <c r="G234" s="25">
        <v>43858</v>
      </c>
      <c r="H234">
        <v>2020</v>
      </c>
      <c r="I234" t="s">
        <v>42</v>
      </c>
    </row>
    <row r="235" spans="1:9" x14ac:dyDescent="0.3">
      <c r="A235" t="s">
        <v>14</v>
      </c>
      <c r="C235">
        <v>432000</v>
      </c>
      <c r="E235">
        <v>914000</v>
      </c>
      <c r="G235" s="25">
        <v>43858</v>
      </c>
      <c r="H235">
        <v>2020</v>
      </c>
      <c r="I235" t="s">
        <v>42</v>
      </c>
    </row>
    <row r="236" spans="1:9" x14ac:dyDescent="0.3">
      <c r="A236" t="s">
        <v>24</v>
      </c>
      <c r="G236" s="25">
        <v>43858</v>
      </c>
      <c r="H236">
        <v>2020</v>
      </c>
      <c r="I236" t="s">
        <v>42</v>
      </c>
    </row>
    <row r="237" spans="1:9" x14ac:dyDescent="0.3">
      <c r="A237" t="s">
        <v>21</v>
      </c>
      <c r="G237" s="25">
        <v>43858</v>
      </c>
      <c r="H237">
        <v>2020</v>
      </c>
      <c r="I237" t="s">
        <v>42</v>
      </c>
    </row>
    <row r="238" spans="1:9" x14ac:dyDescent="0.3">
      <c r="A238" t="s">
        <v>18</v>
      </c>
      <c r="G238" s="25">
        <v>43858</v>
      </c>
      <c r="H238">
        <v>2020</v>
      </c>
      <c r="I238" t="s">
        <v>42</v>
      </c>
    </row>
    <row r="239" spans="1:9" x14ac:dyDescent="0.3">
      <c r="A239" t="s">
        <v>16</v>
      </c>
      <c r="C239">
        <v>424000</v>
      </c>
      <c r="G239" s="25">
        <v>43858</v>
      </c>
      <c r="H239">
        <v>2020</v>
      </c>
      <c r="I239" t="s">
        <v>42</v>
      </c>
    </row>
    <row r="240" spans="1:9" x14ac:dyDescent="0.3">
      <c r="A240" t="s">
        <v>20</v>
      </c>
      <c r="G240" s="25">
        <v>43859</v>
      </c>
      <c r="H240">
        <v>2020</v>
      </c>
      <c r="I240" t="s">
        <v>42</v>
      </c>
    </row>
    <row r="241" spans="1:9" x14ac:dyDescent="0.3">
      <c r="A241" t="s">
        <v>37</v>
      </c>
      <c r="G241" s="25">
        <v>43859</v>
      </c>
      <c r="H241">
        <v>2020</v>
      </c>
      <c r="I241" t="s">
        <v>42</v>
      </c>
    </row>
    <row r="242" spans="1:9" x14ac:dyDescent="0.3">
      <c r="A242" t="s">
        <v>17</v>
      </c>
      <c r="C242">
        <v>352000</v>
      </c>
      <c r="G242" s="25">
        <v>43859</v>
      </c>
      <c r="H242">
        <v>2020</v>
      </c>
      <c r="I242" t="s">
        <v>42</v>
      </c>
    </row>
    <row r="243" spans="1:9" x14ac:dyDescent="0.3">
      <c r="A243" t="s">
        <v>0</v>
      </c>
      <c r="G243" s="25">
        <v>43859</v>
      </c>
      <c r="H243">
        <v>2020</v>
      </c>
      <c r="I243" t="s">
        <v>42</v>
      </c>
    </row>
    <row r="244" spans="1:9" x14ac:dyDescent="0.3">
      <c r="A244" t="s">
        <v>25</v>
      </c>
      <c r="G244" s="25">
        <v>43859</v>
      </c>
      <c r="H244">
        <v>2020</v>
      </c>
      <c r="I244" t="s">
        <v>42</v>
      </c>
    </row>
    <row r="245" spans="1:9" x14ac:dyDescent="0.3">
      <c r="A245" t="s">
        <v>15</v>
      </c>
      <c r="C245">
        <v>216000</v>
      </c>
      <c r="G245" s="25">
        <v>43859</v>
      </c>
      <c r="H245">
        <v>2020</v>
      </c>
      <c r="I245" t="s">
        <v>42</v>
      </c>
    </row>
    <row r="246" spans="1:9" x14ac:dyDescent="0.3">
      <c r="A246" t="s">
        <v>26</v>
      </c>
      <c r="B246">
        <v>698000</v>
      </c>
      <c r="C246">
        <v>157000</v>
      </c>
      <c r="D246">
        <v>270000</v>
      </c>
      <c r="G246" s="25">
        <v>43859</v>
      </c>
      <c r="H246">
        <v>2020</v>
      </c>
      <c r="I246" t="s">
        <v>42</v>
      </c>
    </row>
    <row r="247" spans="1:9" x14ac:dyDescent="0.3">
      <c r="A247" t="s">
        <v>22</v>
      </c>
      <c r="G247" s="25">
        <v>43859</v>
      </c>
      <c r="H247">
        <v>2020</v>
      </c>
      <c r="I247" t="s">
        <v>42</v>
      </c>
    </row>
    <row r="248" spans="1:9" x14ac:dyDescent="0.3">
      <c r="A248" t="s">
        <v>19</v>
      </c>
      <c r="C248">
        <v>532000</v>
      </c>
      <c r="G248" s="25">
        <v>43859</v>
      </c>
      <c r="H248">
        <v>2020</v>
      </c>
      <c r="I248" t="s">
        <v>42</v>
      </c>
    </row>
    <row r="249" spans="1:9" x14ac:dyDescent="0.3">
      <c r="A249" t="s">
        <v>14</v>
      </c>
      <c r="C249">
        <v>162000</v>
      </c>
      <c r="E249">
        <v>744000</v>
      </c>
      <c r="G249" s="25">
        <v>43859</v>
      </c>
      <c r="H249">
        <v>2020</v>
      </c>
      <c r="I249" t="s">
        <v>42</v>
      </c>
    </row>
    <row r="250" spans="1:9" x14ac:dyDescent="0.3">
      <c r="A250" t="s">
        <v>24</v>
      </c>
      <c r="G250" s="25">
        <v>43859</v>
      </c>
      <c r="H250">
        <v>2020</v>
      </c>
      <c r="I250" t="s">
        <v>42</v>
      </c>
    </row>
    <row r="251" spans="1:9" x14ac:dyDescent="0.3">
      <c r="A251" t="s">
        <v>21</v>
      </c>
      <c r="G251" s="25">
        <v>43859</v>
      </c>
      <c r="H251">
        <v>2020</v>
      </c>
      <c r="I251" t="s">
        <v>42</v>
      </c>
    </row>
    <row r="252" spans="1:9" x14ac:dyDescent="0.3">
      <c r="A252" t="s">
        <v>18</v>
      </c>
      <c r="G252" s="25">
        <v>43859</v>
      </c>
      <c r="H252">
        <v>2020</v>
      </c>
      <c r="I252" t="s">
        <v>42</v>
      </c>
    </row>
    <row r="253" spans="1:9" x14ac:dyDescent="0.3">
      <c r="A253" t="s">
        <v>16</v>
      </c>
      <c r="B253">
        <v>684000</v>
      </c>
      <c r="C253">
        <v>370000</v>
      </c>
      <c r="D253">
        <v>270000</v>
      </c>
      <c r="G253" s="25">
        <v>43859</v>
      </c>
      <c r="H253">
        <v>2020</v>
      </c>
      <c r="I253" t="s">
        <v>42</v>
      </c>
    </row>
    <row r="254" spans="1:9" x14ac:dyDescent="0.3">
      <c r="A254" t="s">
        <v>20</v>
      </c>
      <c r="G254" s="25">
        <v>43860</v>
      </c>
      <c r="H254">
        <v>2020</v>
      </c>
      <c r="I254" t="s">
        <v>42</v>
      </c>
    </row>
    <row r="255" spans="1:9" x14ac:dyDescent="0.3">
      <c r="A255" t="s">
        <v>37</v>
      </c>
      <c r="G255" s="25">
        <v>43860</v>
      </c>
      <c r="H255">
        <v>2020</v>
      </c>
      <c r="I255" t="s">
        <v>42</v>
      </c>
    </row>
    <row r="256" spans="1:9" x14ac:dyDescent="0.3">
      <c r="A256" t="s">
        <v>17</v>
      </c>
      <c r="C256">
        <v>54000</v>
      </c>
      <c r="G256" s="25">
        <v>43860</v>
      </c>
      <c r="H256">
        <v>2020</v>
      </c>
      <c r="I256" t="s">
        <v>42</v>
      </c>
    </row>
    <row r="257" spans="1:9" x14ac:dyDescent="0.3">
      <c r="A257" t="s">
        <v>0</v>
      </c>
      <c r="G257" s="25">
        <v>43860</v>
      </c>
      <c r="H257">
        <v>2020</v>
      </c>
      <c r="I257" t="s">
        <v>42</v>
      </c>
    </row>
    <row r="258" spans="1:9" x14ac:dyDescent="0.3">
      <c r="A258" t="s">
        <v>25</v>
      </c>
      <c r="B258">
        <v>50000</v>
      </c>
      <c r="G258" s="25">
        <v>43860</v>
      </c>
      <c r="H258">
        <v>2020</v>
      </c>
      <c r="I258" t="s">
        <v>42</v>
      </c>
    </row>
    <row r="259" spans="1:9" x14ac:dyDescent="0.3">
      <c r="A259" t="s">
        <v>15</v>
      </c>
      <c r="C259">
        <v>135000</v>
      </c>
      <c r="D259">
        <v>200000</v>
      </c>
      <c r="G259" s="25">
        <v>43860</v>
      </c>
      <c r="H259">
        <v>2020</v>
      </c>
      <c r="I259" t="s">
        <v>42</v>
      </c>
    </row>
    <row r="260" spans="1:9" x14ac:dyDescent="0.3">
      <c r="A260" t="s">
        <v>26</v>
      </c>
      <c r="C260">
        <v>144000</v>
      </c>
      <c r="D260">
        <v>104000</v>
      </c>
      <c r="G260" s="25">
        <v>43860</v>
      </c>
      <c r="H260">
        <v>2020</v>
      </c>
      <c r="I260" t="s">
        <v>42</v>
      </c>
    </row>
    <row r="261" spans="1:9" x14ac:dyDescent="0.3">
      <c r="A261" t="s">
        <v>22</v>
      </c>
      <c r="G261" s="25">
        <v>43860</v>
      </c>
      <c r="H261">
        <v>2020</v>
      </c>
      <c r="I261" t="s">
        <v>42</v>
      </c>
    </row>
    <row r="262" spans="1:9" x14ac:dyDescent="0.3">
      <c r="A262" t="s">
        <v>19</v>
      </c>
      <c r="B262">
        <v>320000</v>
      </c>
      <c r="C262">
        <v>539500</v>
      </c>
      <c r="D262">
        <v>216000</v>
      </c>
      <c r="E262">
        <v>54000</v>
      </c>
      <c r="G262" s="25">
        <v>43860</v>
      </c>
      <c r="H262">
        <v>2020</v>
      </c>
      <c r="I262" t="s">
        <v>42</v>
      </c>
    </row>
    <row r="263" spans="1:9" x14ac:dyDescent="0.3">
      <c r="A263" t="s">
        <v>14</v>
      </c>
      <c r="B263">
        <v>378000</v>
      </c>
      <c r="C263">
        <v>431000</v>
      </c>
      <c r="D263">
        <v>270000</v>
      </c>
      <c r="E263">
        <v>797000</v>
      </c>
      <c r="F263">
        <v>502000</v>
      </c>
      <c r="G263" s="25">
        <v>43860</v>
      </c>
      <c r="H263">
        <v>2020</v>
      </c>
      <c r="I263" t="s">
        <v>42</v>
      </c>
    </row>
    <row r="264" spans="1:9" x14ac:dyDescent="0.3">
      <c r="A264" t="s">
        <v>24</v>
      </c>
      <c r="G264" s="25">
        <v>43860</v>
      </c>
      <c r="H264">
        <v>2020</v>
      </c>
      <c r="I264" t="s">
        <v>42</v>
      </c>
    </row>
    <row r="265" spans="1:9" x14ac:dyDescent="0.3">
      <c r="A265" t="s">
        <v>21</v>
      </c>
      <c r="G265" s="25">
        <v>43860</v>
      </c>
      <c r="H265">
        <v>2020</v>
      </c>
      <c r="I265" t="s">
        <v>42</v>
      </c>
    </row>
    <row r="266" spans="1:9" x14ac:dyDescent="0.3">
      <c r="A266" t="s">
        <v>18</v>
      </c>
      <c r="G266" s="25">
        <v>43860</v>
      </c>
      <c r="H266">
        <v>2020</v>
      </c>
      <c r="I266" t="s">
        <v>42</v>
      </c>
    </row>
    <row r="267" spans="1:9" x14ac:dyDescent="0.3">
      <c r="A267" t="s">
        <v>16</v>
      </c>
      <c r="B267">
        <v>54000</v>
      </c>
      <c r="C267">
        <v>311000</v>
      </c>
      <c r="D267">
        <v>216000</v>
      </c>
      <c r="G267" s="25">
        <v>43860</v>
      </c>
      <c r="H267">
        <v>2020</v>
      </c>
      <c r="I267" t="s">
        <v>42</v>
      </c>
    </row>
    <row r="268" spans="1:9" x14ac:dyDescent="0.3">
      <c r="A268" t="s">
        <v>20</v>
      </c>
      <c r="G268" s="25">
        <v>43861</v>
      </c>
      <c r="H268">
        <v>2020</v>
      </c>
      <c r="I268" t="s">
        <v>42</v>
      </c>
    </row>
    <row r="269" spans="1:9" x14ac:dyDescent="0.3">
      <c r="A269" t="s">
        <v>37</v>
      </c>
      <c r="G269" s="25">
        <v>43861</v>
      </c>
      <c r="H269">
        <v>2020</v>
      </c>
      <c r="I269" t="s">
        <v>42</v>
      </c>
    </row>
    <row r="270" spans="1:9" x14ac:dyDescent="0.3">
      <c r="A270" t="s">
        <v>17</v>
      </c>
      <c r="C270">
        <v>362000</v>
      </c>
      <c r="G270" s="25">
        <v>43861</v>
      </c>
      <c r="H270">
        <v>2020</v>
      </c>
      <c r="I270" t="s">
        <v>42</v>
      </c>
    </row>
    <row r="271" spans="1:9" x14ac:dyDescent="0.3">
      <c r="A271" t="s">
        <v>0</v>
      </c>
      <c r="G271" s="25">
        <v>43861</v>
      </c>
      <c r="H271">
        <v>2020</v>
      </c>
      <c r="I271" t="s">
        <v>42</v>
      </c>
    </row>
    <row r="272" spans="1:9" x14ac:dyDescent="0.3">
      <c r="A272" t="s">
        <v>25</v>
      </c>
      <c r="B272">
        <v>307000</v>
      </c>
      <c r="G272" s="25">
        <v>43861</v>
      </c>
      <c r="H272">
        <v>2020</v>
      </c>
      <c r="I272" t="s">
        <v>42</v>
      </c>
    </row>
    <row r="273" spans="1:9" x14ac:dyDescent="0.3">
      <c r="A273" t="s">
        <v>15</v>
      </c>
      <c r="B273">
        <v>47000</v>
      </c>
      <c r="C273">
        <v>205000</v>
      </c>
      <c r="D273">
        <v>162000</v>
      </c>
      <c r="G273" s="25">
        <v>43861</v>
      </c>
      <c r="H273">
        <v>2020</v>
      </c>
      <c r="I273" t="s">
        <v>42</v>
      </c>
    </row>
    <row r="274" spans="1:9" x14ac:dyDescent="0.3">
      <c r="A274" t="s">
        <v>26</v>
      </c>
      <c r="B274">
        <v>108000</v>
      </c>
      <c r="G274" s="25">
        <v>43861</v>
      </c>
      <c r="H274">
        <v>2020</v>
      </c>
      <c r="I274" t="s">
        <v>42</v>
      </c>
    </row>
    <row r="275" spans="1:9" x14ac:dyDescent="0.3">
      <c r="A275" t="s">
        <v>22</v>
      </c>
      <c r="G275" s="25">
        <v>43861</v>
      </c>
      <c r="H275">
        <v>2020</v>
      </c>
      <c r="I275" t="s">
        <v>42</v>
      </c>
    </row>
    <row r="276" spans="1:9" x14ac:dyDescent="0.3">
      <c r="A276" t="s">
        <v>19</v>
      </c>
      <c r="B276">
        <v>205000</v>
      </c>
      <c r="C276">
        <v>418500</v>
      </c>
      <c r="D276">
        <v>199000</v>
      </c>
      <c r="F276">
        <v>412000</v>
      </c>
      <c r="G276" s="25">
        <v>43861</v>
      </c>
      <c r="H276">
        <v>2020</v>
      </c>
      <c r="I276" t="s">
        <v>42</v>
      </c>
    </row>
    <row r="277" spans="1:9" x14ac:dyDescent="0.3">
      <c r="A277" t="s">
        <v>14</v>
      </c>
      <c r="B277">
        <v>139000</v>
      </c>
      <c r="C277">
        <v>344000</v>
      </c>
      <c r="D277">
        <v>374000</v>
      </c>
      <c r="E277">
        <v>432000</v>
      </c>
      <c r="F277">
        <v>158000</v>
      </c>
      <c r="G277" s="25">
        <v>43861</v>
      </c>
      <c r="H277">
        <v>2020</v>
      </c>
      <c r="I277" t="s">
        <v>42</v>
      </c>
    </row>
    <row r="278" spans="1:9" x14ac:dyDescent="0.3">
      <c r="A278" t="s">
        <v>24</v>
      </c>
      <c r="G278" s="25">
        <v>43861</v>
      </c>
      <c r="H278">
        <v>2020</v>
      </c>
      <c r="I278" t="s">
        <v>42</v>
      </c>
    </row>
    <row r="279" spans="1:9" x14ac:dyDescent="0.3">
      <c r="A279" t="s">
        <v>21</v>
      </c>
      <c r="G279" s="25">
        <v>43861</v>
      </c>
      <c r="H279">
        <v>2020</v>
      </c>
      <c r="I279" t="s">
        <v>42</v>
      </c>
    </row>
    <row r="280" spans="1:9" x14ac:dyDescent="0.3">
      <c r="A280" t="s">
        <v>18</v>
      </c>
      <c r="G280" s="25">
        <v>43861</v>
      </c>
      <c r="H280">
        <v>2020</v>
      </c>
      <c r="I280" t="s">
        <v>42</v>
      </c>
    </row>
    <row r="281" spans="1:9" x14ac:dyDescent="0.3">
      <c r="A281" t="s">
        <v>16</v>
      </c>
      <c r="B281">
        <v>99000</v>
      </c>
      <c r="C281">
        <v>378000</v>
      </c>
      <c r="D281">
        <v>108000</v>
      </c>
      <c r="G281" s="25">
        <v>43861</v>
      </c>
      <c r="H281">
        <v>2020</v>
      </c>
      <c r="I281" t="s">
        <v>42</v>
      </c>
    </row>
    <row r="282" spans="1:9" x14ac:dyDescent="0.3">
      <c r="A282" t="s">
        <v>20</v>
      </c>
      <c r="G282" s="25">
        <v>43864</v>
      </c>
      <c r="H282">
        <v>2020</v>
      </c>
      <c r="I282" t="s">
        <v>43</v>
      </c>
    </row>
    <row r="283" spans="1:9" x14ac:dyDescent="0.3">
      <c r="A283" t="s">
        <v>37</v>
      </c>
      <c r="G283" s="25">
        <v>43864</v>
      </c>
      <c r="H283">
        <v>2020</v>
      </c>
      <c r="I283" t="s">
        <v>43</v>
      </c>
    </row>
    <row r="284" spans="1:9" x14ac:dyDescent="0.3">
      <c r="A284" t="s">
        <v>17</v>
      </c>
      <c r="G284" s="25">
        <v>43864</v>
      </c>
      <c r="H284">
        <v>2020</v>
      </c>
      <c r="I284" t="s">
        <v>43</v>
      </c>
    </row>
    <row r="285" spans="1:9" x14ac:dyDescent="0.3">
      <c r="A285" t="s">
        <v>0</v>
      </c>
      <c r="G285" s="25">
        <v>43864</v>
      </c>
      <c r="H285">
        <v>2020</v>
      </c>
      <c r="I285" t="s">
        <v>43</v>
      </c>
    </row>
    <row r="286" spans="1:9" x14ac:dyDescent="0.3">
      <c r="A286" t="s">
        <v>25</v>
      </c>
      <c r="B286">
        <v>162000</v>
      </c>
      <c r="D286">
        <v>54000</v>
      </c>
      <c r="G286" s="25">
        <v>43864</v>
      </c>
      <c r="H286">
        <v>2020</v>
      </c>
      <c r="I286" t="s">
        <v>43</v>
      </c>
    </row>
    <row r="287" spans="1:9" x14ac:dyDescent="0.3">
      <c r="A287" t="s">
        <v>15</v>
      </c>
      <c r="C287">
        <v>54000</v>
      </c>
      <c r="D287">
        <v>54000</v>
      </c>
      <c r="F287">
        <v>100000</v>
      </c>
      <c r="G287" s="25">
        <v>43864</v>
      </c>
      <c r="H287">
        <v>2020</v>
      </c>
      <c r="I287" t="s">
        <v>43</v>
      </c>
    </row>
    <row r="288" spans="1:9" x14ac:dyDescent="0.3">
      <c r="A288" t="s">
        <v>26</v>
      </c>
      <c r="G288" s="25">
        <v>43864</v>
      </c>
      <c r="H288">
        <v>2020</v>
      </c>
      <c r="I288" t="s">
        <v>43</v>
      </c>
    </row>
    <row r="289" spans="1:9" x14ac:dyDescent="0.3">
      <c r="A289" t="s">
        <v>22</v>
      </c>
      <c r="G289" s="25">
        <v>43864</v>
      </c>
      <c r="H289">
        <v>2020</v>
      </c>
      <c r="I289" t="s">
        <v>43</v>
      </c>
    </row>
    <row r="290" spans="1:9" x14ac:dyDescent="0.3">
      <c r="A290" t="s">
        <v>19</v>
      </c>
      <c r="C290">
        <v>162000</v>
      </c>
      <c r="D290">
        <v>54000</v>
      </c>
      <c r="F290">
        <v>54000</v>
      </c>
      <c r="G290" s="25">
        <v>43864</v>
      </c>
      <c r="H290">
        <v>2020</v>
      </c>
      <c r="I290" t="s">
        <v>43</v>
      </c>
    </row>
    <row r="291" spans="1:9" x14ac:dyDescent="0.3">
      <c r="A291" t="s">
        <v>14</v>
      </c>
      <c r="D291">
        <v>108000</v>
      </c>
      <c r="G291" s="25">
        <v>43864</v>
      </c>
      <c r="H291">
        <v>2020</v>
      </c>
      <c r="I291" t="s">
        <v>43</v>
      </c>
    </row>
    <row r="292" spans="1:9" x14ac:dyDescent="0.3">
      <c r="A292" t="s">
        <v>24</v>
      </c>
      <c r="G292" s="25">
        <v>43864</v>
      </c>
      <c r="H292">
        <v>2020</v>
      </c>
      <c r="I292" t="s">
        <v>43</v>
      </c>
    </row>
    <row r="293" spans="1:9" x14ac:dyDescent="0.3">
      <c r="A293" t="s">
        <v>21</v>
      </c>
      <c r="G293" s="25">
        <v>43864</v>
      </c>
      <c r="H293">
        <v>2020</v>
      </c>
      <c r="I293" t="s">
        <v>43</v>
      </c>
    </row>
    <row r="294" spans="1:9" x14ac:dyDescent="0.3">
      <c r="A294" t="s">
        <v>18</v>
      </c>
      <c r="G294" s="25">
        <v>43864</v>
      </c>
      <c r="H294">
        <v>2020</v>
      </c>
      <c r="I294" t="s">
        <v>43</v>
      </c>
    </row>
    <row r="295" spans="1:9" x14ac:dyDescent="0.3">
      <c r="A295" t="s">
        <v>16</v>
      </c>
      <c r="G295" s="25">
        <v>43864</v>
      </c>
      <c r="H295">
        <v>2020</v>
      </c>
      <c r="I295" t="s">
        <v>43</v>
      </c>
    </row>
    <row r="296" spans="1:9" x14ac:dyDescent="0.3">
      <c r="A296" t="s">
        <v>20</v>
      </c>
      <c r="G296" s="25">
        <v>43865</v>
      </c>
      <c r="H296">
        <v>2020</v>
      </c>
      <c r="I296" t="s">
        <v>43</v>
      </c>
    </row>
    <row r="297" spans="1:9" x14ac:dyDescent="0.3">
      <c r="A297" t="s">
        <v>37</v>
      </c>
      <c r="G297" s="25">
        <v>43865</v>
      </c>
      <c r="H297">
        <v>2020</v>
      </c>
      <c r="I297" t="s">
        <v>43</v>
      </c>
    </row>
    <row r="298" spans="1:9" x14ac:dyDescent="0.3">
      <c r="A298" t="s">
        <v>17</v>
      </c>
      <c r="C298">
        <v>320000</v>
      </c>
      <c r="D298">
        <v>216000</v>
      </c>
      <c r="G298" s="25">
        <v>43865</v>
      </c>
      <c r="H298">
        <v>2020</v>
      </c>
      <c r="I298" t="s">
        <v>43</v>
      </c>
    </row>
    <row r="299" spans="1:9" x14ac:dyDescent="0.3">
      <c r="A299" t="s">
        <v>0</v>
      </c>
      <c r="G299" s="25">
        <v>43865</v>
      </c>
      <c r="H299">
        <v>2020</v>
      </c>
      <c r="I299" t="s">
        <v>43</v>
      </c>
    </row>
    <row r="300" spans="1:9" x14ac:dyDescent="0.3">
      <c r="A300" t="s">
        <v>25</v>
      </c>
      <c r="B300">
        <v>162000</v>
      </c>
      <c r="D300">
        <v>265500</v>
      </c>
      <c r="G300" s="25">
        <v>43865</v>
      </c>
      <c r="H300">
        <v>2020</v>
      </c>
      <c r="I300" t="s">
        <v>43</v>
      </c>
    </row>
    <row r="301" spans="1:9" x14ac:dyDescent="0.3">
      <c r="A301" t="s">
        <v>15</v>
      </c>
      <c r="C301">
        <v>99000</v>
      </c>
      <c r="D301">
        <v>54000</v>
      </c>
      <c r="F301">
        <v>99000</v>
      </c>
      <c r="G301" s="25">
        <v>43865</v>
      </c>
      <c r="H301">
        <v>2020</v>
      </c>
      <c r="I301" t="s">
        <v>43</v>
      </c>
    </row>
    <row r="302" spans="1:9" x14ac:dyDescent="0.3">
      <c r="A302" t="s">
        <v>26</v>
      </c>
      <c r="D302">
        <v>50000</v>
      </c>
      <c r="G302" s="25">
        <v>43865</v>
      </c>
      <c r="H302">
        <v>2020</v>
      </c>
      <c r="I302" t="s">
        <v>43</v>
      </c>
    </row>
    <row r="303" spans="1:9" x14ac:dyDescent="0.3">
      <c r="A303" t="s">
        <v>22</v>
      </c>
      <c r="G303" s="25">
        <v>43865</v>
      </c>
      <c r="H303">
        <v>2020</v>
      </c>
      <c r="I303" t="s">
        <v>43</v>
      </c>
    </row>
    <row r="304" spans="1:9" x14ac:dyDescent="0.3">
      <c r="A304" t="s">
        <v>19</v>
      </c>
      <c r="B304">
        <v>162000</v>
      </c>
      <c r="C304">
        <v>481500</v>
      </c>
      <c r="D304">
        <v>265500</v>
      </c>
      <c r="G304" s="25">
        <v>43865</v>
      </c>
      <c r="H304">
        <v>2020</v>
      </c>
      <c r="I304" t="s">
        <v>43</v>
      </c>
    </row>
    <row r="305" spans="1:9" x14ac:dyDescent="0.3">
      <c r="A305" t="s">
        <v>14</v>
      </c>
      <c r="B305">
        <v>162000</v>
      </c>
      <c r="C305">
        <v>486000</v>
      </c>
      <c r="D305">
        <v>162000</v>
      </c>
      <c r="F305">
        <v>305500</v>
      </c>
      <c r="G305" s="25">
        <v>43865</v>
      </c>
      <c r="H305">
        <v>2020</v>
      </c>
      <c r="I305" t="s">
        <v>43</v>
      </c>
    </row>
    <row r="306" spans="1:9" x14ac:dyDescent="0.3">
      <c r="A306" t="s">
        <v>24</v>
      </c>
      <c r="G306" s="25">
        <v>43865</v>
      </c>
      <c r="H306">
        <v>2020</v>
      </c>
      <c r="I306" t="s">
        <v>43</v>
      </c>
    </row>
    <row r="307" spans="1:9" x14ac:dyDescent="0.3">
      <c r="A307" t="s">
        <v>21</v>
      </c>
      <c r="G307" s="25">
        <v>43865</v>
      </c>
      <c r="H307">
        <v>2020</v>
      </c>
      <c r="I307" t="s">
        <v>43</v>
      </c>
    </row>
    <row r="308" spans="1:9" x14ac:dyDescent="0.3">
      <c r="A308" t="s">
        <v>18</v>
      </c>
      <c r="B308">
        <v>216000</v>
      </c>
      <c r="D308">
        <v>315000</v>
      </c>
      <c r="G308" s="25">
        <v>43865</v>
      </c>
      <c r="H308">
        <v>2020</v>
      </c>
      <c r="I308" t="s">
        <v>43</v>
      </c>
    </row>
    <row r="309" spans="1:9" x14ac:dyDescent="0.3">
      <c r="A309" t="s">
        <v>16</v>
      </c>
      <c r="B309">
        <v>54000</v>
      </c>
      <c r="C309">
        <v>369000</v>
      </c>
      <c r="G309" s="25">
        <v>43865</v>
      </c>
      <c r="H309">
        <v>2020</v>
      </c>
      <c r="I309" t="s">
        <v>43</v>
      </c>
    </row>
    <row r="310" spans="1:9" x14ac:dyDescent="0.3">
      <c r="A310" t="s">
        <v>20</v>
      </c>
      <c r="G310" s="25">
        <v>43866</v>
      </c>
      <c r="H310">
        <v>2020</v>
      </c>
      <c r="I310" t="s">
        <v>43</v>
      </c>
    </row>
    <row r="311" spans="1:9" x14ac:dyDescent="0.3">
      <c r="A311" t="s">
        <v>37</v>
      </c>
      <c r="G311" s="25">
        <v>43866</v>
      </c>
      <c r="H311">
        <v>2020</v>
      </c>
      <c r="I311" t="s">
        <v>43</v>
      </c>
    </row>
    <row r="312" spans="1:9" x14ac:dyDescent="0.3">
      <c r="A312" t="s">
        <v>17</v>
      </c>
      <c r="C312">
        <v>204000</v>
      </c>
      <c r="G312" s="25">
        <v>43866</v>
      </c>
      <c r="H312">
        <v>2020</v>
      </c>
      <c r="I312" t="s">
        <v>43</v>
      </c>
    </row>
    <row r="313" spans="1:9" x14ac:dyDescent="0.3">
      <c r="A313" t="s">
        <v>0</v>
      </c>
      <c r="F313">
        <v>108000</v>
      </c>
      <c r="G313" s="25">
        <v>43866</v>
      </c>
      <c r="H313">
        <v>2020</v>
      </c>
      <c r="I313" t="s">
        <v>43</v>
      </c>
    </row>
    <row r="314" spans="1:9" x14ac:dyDescent="0.3">
      <c r="A314" t="s">
        <v>25</v>
      </c>
      <c r="B314">
        <v>208000</v>
      </c>
      <c r="D314">
        <v>198000</v>
      </c>
      <c r="G314" s="25">
        <v>43866</v>
      </c>
      <c r="H314">
        <v>2020</v>
      </c>
      <c r="I314" t="s">
        <v>43</v>
      </c>
    </row>
    <row r="315" spans="1:9" x14ac:dyDescent="0.3">
      <c r="A315" t="s">
        <v>15</v>
      </c>
      <c r="B315">
        <v>153000</v>
      </c>
      <c r="C315">
        <v>45000</v>
      </c>
      <c r="G315" s="25">
        <v>43866</v>
      </c>
      <c r="H315">
        <v>2020</v>
      </c>
      <c r="I315" t="s">
        <v>43</v>
      </c>
    </row>
    <row r="316" spans="1:9" x14ac:dyDescent="0.3">
      <c r="A316" t="s">
        <v>26</v>
      </c>
      <c r="G316" s="25">
        <v>43866</v>
      </c>
      <c r="H316">
        <v>2020</v>
      </c>
      <c r="I316" t="s">
        <v>43</v>
      </c>
    </row>
    <row r="317" spans="1:9" x14ac:dyDescent="0.3">
      <c r="A317" t="s">
        <v>22</v>
      </c>
      <c r="G317" s="25">
        <v>43866</v>
      </c>
      <c r="H317">
        <v>2020</v>
      </c>
      <c r="I317" t="s">
        <v>43</v>
      </c>
    </row>
    <row r="318" spans="1:9" x14ac:dyDescent="0.3">
      <c r="A318" t="s">
        <v>19</v>
      </c>
      <c r="B318">
        <v>316000</v>
      </c>
      <c r="C318">
        <v>68000</v>
      </c>
      <c r="D318">
        <v>162000</v>
      </c>
      <c r="G318" s="25">
        <v>43866</v>
      </c>
      <c r="H318">
        <v>2020</v>
      </c>
      <c r="I318" t="s">
        <v>43</v>
      </c>
    </row>
    <row r="319" spans="1:9" x14ac:dyDescent="0.3">
      <c r="A319" t="s">
        <v>14</v>
      </c>
      <c r="B319">
        <v>378000</v>
      </c>
      <c r="C319">
        <v>558000</v>
      </c>
      <c r="D319">
        <v>54000</v>
      </c>
      <c r="G319" s="25">
        <v>43866</v>
      </c>
      <c r="H319">
        <v>2020</v>
      </c>
      <c r="I319" t="s">
        <v>43</v>
      </c>
    </row>
    <row r="320" spans="1:9" x14ac:dyDescent="0.3">
      <c r="A320" t="s">
        <v>24</v>
      </c>
      <c r="G320" s="25">
        <v>43866</v>
      </c>
      <c r="H320">
        <v>2020</v>
      </c>
      <c r="I320" t="s">
        <v>43</v>
      </c>
    </row>
    <row r="321" spans="1:9" x14ac:dyDescent="0.3">
      <c r="A321" t="s">
        <v>21</v>
      </c>
      <c r="G321" s="25">
        <v>43866</v>
      </c>
      <c r="H321">
        <v>2020</v>
      </c>
      <c r="I321" t="s">
        <v>43</v>
      </c>
    </row>
    <row r="322" spans="1:9" x14ac:dyDescent="0.3">
      <c r="A322" t="s">
        <v>18</v>
      </c>
      <c r="B322">
        <v>378000</v>
      </c>
      <c r="D322">
        <v>270000</v>
      </c>
      <c r="G322" s="25">
        <v>43866</v>
      </c>
      <c r="H322">
        <v>2020</v>
      </c>
      <c r="I322" t="s">
        <v>43</v>
      </c>
    </row>
    <row r="323" spans="1:9" x14ac:dyDescent="0.3">
      <c r="A323" t="s">
        <v>16</v>
      </c>
      <c r="B323">
        <v>158000</v>
      </c>
      <c r="C323">
        <v>320000</v>
      </c>
      <c r="D323">
        <v>54000</v>
      </c>
      <c r="G323" s="25">
        <v>43866</v>
      </c>
      <c r="H323">
        <v>2020</v>
      </c>
      <c r="I323" t="s">
        <v>43</v>
      </c>
    </row>
    <row r="324" spans="1:9" x14ac:dyDescent="0.3">
      <c r="A324" t="s">
        <v>20</v>
      </c>
      <c r="G324" s="25">
        <v>43867</v>
      </c>
      <c r="H324">
        <v>2020</v>
      </c>
      <c r="I324" t="s">
        <v>43</v>
      </c>
    </row>
    <row r="325" spans="1:9" x14ac:dyDescent="0.3">
      <c r="A325" t="s">
        <v>37</v>
      </c>
      <c r="G325" s="25">
        <v>43867</v>
      </c>
      <c r="H325">
        <v>2020</v>
      </c>
      <c r="I325" t="s">
        <v>43</v>
      </c>
    </row>
    <row r="326" spans="1:9" x14ac:dyDescent="0.3">
      <c r="A326" t="s">
        <v>17</v>
      </c>
      <c r="B326">
        <v>216000</v>
      </c>
      <c r="C326">
        <v>54000</v>
      </c>
      <c r="D326">
        <v>162000</v>
      </c>
      <c r="G326" s="25">
        <v>43867</v>
      </c>
      <c r="H326">
        <v>2020</v>
      </c>
      <c r="I326" t="s">
        <v>43</v>
      </c>
    </row>
    <row r="327" spans="1:9" x14ac:dyDescent="0.3">
      <c r="A327" t="s">
        <v>0</v>
      </c>
      <c r="G327" s="25">
        <v>43867</v>
      </c>
      <c r="H327">
        <v>2020</v>
      </c>
      <c r="I327" t="s">
        <v>43</v>
      </c>
    </row>
    <row r="328" spans="1:9" x14ac:dyDescent="0.3">
      <c r="A328" t="s">
        <v>25</v>
      </c>
      <c r="B328">
        <v>54000</v>
      </c>
      <c r="D328">
        <v>212000</v>
      </c>
      <c r="G328" s="25">
        <v>43867</v>
      </c>
      <c r="H328">
        <v>2020</v>
      </c>
      <c r="I328" t="s">
        <v>43</v>
      </c>
    </row>
    <row r="329" spans="1:9" x14ac:dyDescent="0.3">
      <c r="A329" t="s">
        <v>15</v>
      </c>
      <c r="B329">
        <v>252000</v>
      </c>
      <c r="G329" s="25">
        <v>43867</v>
      </c>
      <c r="H329">
        <v>2020</v>
      </c>
      <c r="I329" t="s">
        <v>43</v>
      </c>
    </row>
    <row r="330" spans="1:9" x14ac:dyDescent="0.3">
      <c r="A330" t="s">
        <v>26</v>
      </c>
      <c r="B330">
        <v>101000</v>
      </c>
      <c r="C330">
        <v>108000</v>
      </c>
      <c r="G330" s="25">
        <v>43867</v>
      </c>
      <c r="H330">
        <v>2020</v>
      </c>
      <c r="I330" t="s">
        <v>43</v>
      </c>
    </row>
    <row r="331" spans="1:9" x14ac:dyDescent="0.3">
      <c r="A331" t="s">
        <v>22</v>
      </c>
      <c r="G331" s="25">
        <v>43867</v>
      </c>
      <c r="H331">
        <v>2020</v>
      </c>
      <c r="I331" t="s">
        <v>43</v>
      </c>
    </row>
    <row r="332" spans="1:9" x14ac:dyDescent="0.3">
      <c r="A332" t="s">
        <v>19</v>
      </c>
      <c r="B332">
        <v>419000</v>
      </c>
      <c r="C332">
        <v>54000</v>
      </c>
      <c r="D332">
        <v>50000</v>
      </c>
      <c r="G332" s="25">
        <v>43867</v>
      </c>
      <c r="H332">
        <v>2020</v>
      </c>
      <c r="I332" t="s">
        <v>43</v>
      </c>
    </row>
    <row r="333" spans="1:9" x14ac:dyDescent="0.3">
      <c r="A333" t="s">
        <v>14</v>
      </c>
      <c r="B333">
        <v>519000</v>
      </c>
      <c r="C333">
        <v>1576500</v>
      </c>
      <c r="G333" s="25">
        <v>43867</v>
      </c>
      <c r="H333">
        <v>2020</v>
      </c>
      <c r="I333" t="s">
        <v>43</v>
      </c>
    </row>
    <row r="334" spans="1:9" x14ac:dyDescent="0.3">
      <c r="A334" t="s">
        <v>24</v>
      </c>
      <c r="G334" s="25">
        <v>43867</v>
      </c>
      <c r="H334">
        <v>2020</v>
      </c>
      <c r="I334" t="s">
        <v>43</v>
      </c>
    </row>
    <row r="335" spans="1:9" x14ac:dyDescent="0.3">
      <c r="A335" t="s">
        <v>21</v>
      </c>
      <c r="G335" s="25">
        <v>43867</v>
      </c>
      <c r="H335">
        <v>2020</v>
      </c>
      <c r="I335" t="s">
        <v>43</v>
      </c>
    </row>
    <row r="336" spans="1:9" x14ac:dyDescent="0.3">
      <c r="A336" t="s">
        <v>18</v>
      </c>
      <c r="B336">
        <v>320000</v>
      </c>
      <c r="C336">
        <v>54000</v>
      </c>
      <c r="G336" s="25">
        <v>43867</v>
      </c>
      <c r="H336">
        <v>2020</v>
      </c>
      <c r="I336" t="s">
        <v>43</v>
      </c>
    </row>
    <row r="337" spans="1:9" x14ac:dyDescent="0.3">
      <c r="A337" t="s">
        <v>16</v>
      </c>
      <c r="B337">
        <v>212000</v>
      </c>
      <c r="D337">
        <v>162000</v>
      </c>
      <c r="G337" s="25">
        <v>43867</v>
      </c>
      <c r="H337">
        <v>2020</v>
      </c>
      <c r="I337" t="s">
        <v>43</v>
      </c>
    </row>
    <row r="338" spans="1:9" x14ac:dyDescent="0.3">
      <c r="A338" t="s">
        <v>20</v>
      </c>
      <c r="G338" s="25">
        <v>43868</v>
      </c>
      <c r="H338">
        <v>2020</v>
      </c>
      <c r="I338" t="s">
        <v>43</v>
      </c>
    </row>
    <row r="339" spans="1:9" x14ac:dyDescent="0.3">
      <c r="A339" t="s">
        <v>37</v>
      </c>
      <c r="G339" s="25">
        <v>43868</v>
      </c>
      <c r="H339">
        <v>2020</v>
      </c>
      <c r="I339" t="s">
        <v>43</v>
      </c>
    </row>
    <row r="340" spans="1:9" x14ac:dyDescent="0.3">
      <c r="A340" t="s">
        <v>17</v>
      </c>
      <c r="B340">
        <v>47000</v>
      </c>
      <c r="C340">
        <v>428000</v>
      </c>
      <c r="D340">
        <v>270000</v>
      </c>
      <c r="E340">
        <v>161000</v>
      </c>
      <c r="G340" s="25">
        <v>43868</v>
      </c>
      <c r="H340">
        <v>2020</v>
      </c>
      <c r="I340" t="s">
        <v>43</v>
      </c>
    </row>
    <row r="341" spans="1:9" x14ac:dyDescent="0.3">
      <c r="A341" t="s">
        <v>0</v>
      </c>
      <c r="G341" s="25">
        <v>43868</v>
      </c>
      <c r="H341">
        <v>2020</v>
      </c>
      <c r="I341" t="s">
        <v>43</v>
      </c>
    </row>
    <row r="342" spans="1:9" x14ac:dyDescent="0.3">
      <c r="A342" t="s">
        <v>25</v>
      </c>
      <c r="B342">
        <v>263000</v>
      </c>
      <c r="C342">
        <v>378000</v>
      </c>
      <c r="D342">
        <v>162000</v>
      </c>
      <c r="E342">
        <v>374000</v>
      </c>
      <c r="G342" s="25">
        <v>43868</v>
      </c>
      <c r="H342">
        <v>2020</v>
      </c>
      <c r="I342" t="s">
        <v>43</v>
      </c>
    </row>
    <row r="343" spans="1:9" x14ac:dyDescent="0.3">
      <c r="A343" t="s">
        <v>15</v>
      </c>
      <c r="B343">
        <v>108000</v>
      </c>
      <c r="C343">
        <v>54000</v>
      </c>
      <c r="G343" s="25">
        <v>43868</v>
      </c>
      <c r="H343">
        <v>2020</v>
      </c>
      <c r="I343" t="s">
        <v>43</v>
      </c>
    </row>
    <row r="344" spans="1:9" x14ac:dyDescent="0.3">
      <c r="A344" t="s">
        <v>26</v>
      </c>
      <c r="B344">
        <v>104000</v>
      </c>
      <c r="C344">
        <v>252000</v>
      </c>
      <c r="D344">
        <v>158000</v>
      </c>
      <c r="G344" s="25">
        <v>43868</v>
      </c>
      <c r="H344">
        <v>2020</v>
      </c>
      <c r="I344" t="s">
        <v>43</v>
      </c>
    </row>
    <row r="345" spans="1:9" x14ac:dyDescent="0.3">
      <c r="A345" t="s">
        <v>22</v>
      </c>
      <c r="G345" s="25">
        <v>43868</v>
      </c>
      <c r="H345">
        <v>2020</v>
      </c>
      <c r="I345" t="s">
        <v>43</v>
      </c>
    </row>
    <row r="346" spans="1:9" x14ac:dyDescent="0.3">
      <c r="A346" t="s">
        <v>19</v>
      </c>
      <c r="B346">
        <v>315000</v>
      </c>
      <c r="G346" s="25">
        <v>43868</v>
      </c>
      <c r="H346">
        <v>2020</v>
      </c>
      <c r="I346" t="s">
        <v>43</v>
      </c>
    </row>
    <row r="347" spans="1:9" x14ac:dyDescent="0.3">
      <c r="A347" t="s">
        <v>14</v>
      </c>
      <c r="B347">
        <v>378000</v>
      </c>
      <c r="C347">
        <v>155000</v>
      </c>
      <c r="E347">
        <v>108000</v>
      </c>
      <c r="G347" s="25">
        <v>43868</v>
      </c>
      <c r="H347">
        <v>2020</v>
      </c>
      <c r="I347" t="s">
        <v>43</v>
      </c>
    </row>
    <row r="348" spans="1:9" x14ac:dyDescent="0.3">
      <c r="A348" t="s">
        <v>24</v>
      </c>
      <c r="G348" s="25">
        <v>43868</v>
      </c>
      <c r="H348">
        <v>2020</v>
      </c>
      <c r="I348" t="s">
        <v>43</v>
      </c>
    </row>
    <row r="349" spans="1:9" x14ac:dyDescent="0.3">
      <c r="A349" t="s">
        <v>21</v>
      </c>
      <c r="G349" s="25">
        <v>43868</v>
      </c>
      <c r="H349">
        <v>2020</v>
      </c>
      <c r="I349" t="s">
        <v>43</v>
      </c>
    </row>
    <row r="350" spans="1:9" x14ac:dyDescent="0.3">
      <c r="A350" t="s">
        <v>18</v>
      </c>
      <c r="B350">
        <v>266000</v>
      </c>
      <c r="D350">
        <v>216000</v>
      </c>
      <c r="G350" s="25">
        <v>43868</v>
      </c>
      <c r="H350">
        <v>2020</v>
      </c>
      <c r="I350" t="s">
        <v>43</v>
      </c>
    </row>
    <row r="351" spans="1:9" x14ac:dyDescent="0.3">
      <c r="A351" t="s">
        <v>16</v>
      </c>
      <c r="B351">
        <v>54000</v>
      </c>
      <c r="D351">
        <v>162000</v>
      </c>
      <c r="G351" s="25">
        <v>43868</v>
      </c>
      <c r="H351">
        <v>2020</v>
      </c>
      <c r="I351" t="s">
        <v>43</v>
      </c>
    </row>
    <row r="352" spans="1:9" x14ac:dyDescent="0.3">
      <c r="A352" t="s">
        <v>20</v>
      </c>
      <c r="G352" s="25">
        <v>43871</v>
      </c>
      <c r="H352">
        <v>2020</v>
      </c>
      <c r="I352" t="s">
        <v>43</v>
      </c>
    </row>
    <row r="353" spans="1:9" x14ac:dyDescent="0.3">
      <c r="A353" t="s">
        <v>37</v>
      </c>
      <c r="G353" s="25">
        <v>43871</v>
      </c>
      <c r="H353">
        <v>2020</v>
      </c>
      <c r="I353" t="s">
        <v>43</v>
      </c>
    </row>
    <row r="354" spans="1:9" x14ac:dyDescent="0.3">
      <c r="A354" t="s">
        <v>17</v>
      </c>
      <c r="B354">
        <v>324000</v>
      </c>
      <c r="C354">
        <v>428000</v>
      </c>
      <c r="D354">
        <v>108000</v>
      </c>
      <c r="E354">
        <v>365000</v>
      </c>
      <c r="G354" s="25">
        <v>43871</v>
      </c>
      <c r="H354">
        <v>2020</v>
      </c>
      <c r="I354" t="s">
        <v>43</v>
      </c>
    </row>
    <row r="355" spans="1:9" x14ac:dyDescent="0.3">
      <c r="A355" t="s">
        <v>0</v>
      </c>
      <c r="G355" s="25">
        <v>43871</v>
      </c>
      <c r="H355">
        <v>2020</v>
      </c>
      <c r="I355" t="s">
        <v>43</v>
      </c>
    </row>
    <row r="356" spans="1:9" x14ac:dyDescent="0.3">
      <c r="A356" t="s">
        <v>25</v>
      </c>
      <c r="B356">
        <v>99500</v>
      </c>
      <c r="C356">
        <v>421000</v>
      </c>
      <c r="D356">
        <v>107500</v>
      </c>
      <c r="E356">
        <v>366000</v>
      </c>
      <c r="G356" s="25">
        <v>43871</v>
      </c>
      <c r="H356">
        <v>2020</v>
      </c>
      <c r="I356" t="s">
        <v>43</v>
      </c>
    </row>
    <row r="357" spans="1:9" x14ac:dyDescent="0.3">
      <c r="A357" t="s">
        <v>15</v>
      </c>
      <c r="B357">
        <v>416000</v>
      </c>
      <c r="G357" s="25">
        <v>43871</v>
      </c>
      <c r="H357">
        <v>2020</v>
      </c>
      <c r="I357" t="s">
        <v>43</v>
      </c>
    </row>
    <row r="358" spans="1:9" x14ac:dyDescent="0.3">
      <c r="A358" t="s">
        <v>26</v>
      </c>
      <c r="B358">
        <v>305000</v>
      </c>
      <c r="D358">
        <v>150000</v>
      </c>
      <c r="G358" s="25">
        <v>43871</v>
      </c>
      <c r="H358">
        <v>2020</v>
      </c>
      <c r="I358" t="s">
        <v>43</v>
      </c>
    </row>
    <row r="359" spans="1:9" x14ac:dyDescent="0.3">
      <c r="A359" t="s">
        <v>22</v>
      </c>
      <c r="G359" s="25">
        <v>43871</v>
      </c>
      <c r="H359">
        <v>2020</v>
      </c>
      <c r="I359" t="s">
        <v>43</v>
      </c>
    </row>
    <row r="360" spans="1:9" x14ac:dyDescent="0.3">
      <c r="A360" t="s">
        <v>19</v>
      </c>
      <c r="B360">
        <v>54000</v>
      </c>
      <c r="G360" s="25">
        <v>43871</v>
      </c>
      <c r="H360">
        <v>2020</v>
      </c>
      <c r="I360" t="s">
        <v>43</v>
      </c>
    </row>
    <row r="361" spans="1:9" x14ac:dyDescent="0.3">
      <c r="A361" t="s">
        <v>14</v>
      </c>
      <c r="B361">
        <v>464000</v>
      </c>
      <c r="C361">
        <v>462000</v>
      </c>
      <c r="E361">
        <v>324000</v>
      </c>
      <c r="G361" s="25">
        <v>43871</v>
      </c>
      <c r="H361">
        <v>2020</v>
      </c>
      <c r="I361" t="s">
        <v>43</v>
      </c>
    </row>
    <row r="362" spans="1:9" x14ac:dyDescent="0.3">
      <c r="A362" t="s">
        <v>24</v>
      </c>
      <c r="G362" s="25">
        <v>43871</v>
      </c>
      <c r="H362">
        <v>2020</v>
      </c>
      <c r="I362" t="s">
        <v>43</v>
      </c>
    </row>
    <row r="363" spans="1:9" x14ac:dyDescent="0.3">
      <c r="A363" t="s">
        <v>21</v>
      </c>
      <c r="G363" s="25">
        <v>43871</v>
      </c>
      <c r="H363">
        <v>2020</v>
      </c>
      <c r="I363" t="s">
        <v>43</v>
      </c>
    </row>
    <row r="364" spans="1:9" x14ac:dyDescent="0.3">
      <c r="A364" t="s">
        <v>18</v>
      </c>
      <c r="B364">
        <v>50000</v>
      </c>
      <c r="G364" s="25">
        <v>43871</v>
      </c>
      <c r="H364">
        <v>2020</v>
      </c>
      <c r="I364" t="s">
        <v>43</v>
      </c>
    </row>
    <row r="365" spans="1:9" x14ac:dyDescent="0.3">
      <c r="A365" t="s">
        <v>16</v>
      </c>
      <c r="B365">
        <v>108000</v>
      </c>
      <c r="G365" s="25">
        <v>43871</v>
      </c>
      <c r="H365">
        <v>2020</v>
      </c>
      <c r="I365" t="s">
        <v>43</v>
      </c>
    </row>
    <row r="366" spans="1:9" x14ac:dyDescent="0.3">
      <c r="A366" t="s">
        <v>20</v>
      </c>
      <c r="G366" s="25">
        <v>43872</v>
      </c>
      <c r="H366">
        <v>2020</v>
      </c>
      <c r="I366" t="s">
        <v>43</v>
      </c>
    </row>
    <row r="367" spans="1:9" x14ac:dyDescent="0.3">
      <c r="A367" t="s">
        <v>37</v>
      </c>
      <c r="G367" s="25">
        <v>43872</v>
      </c>
      <c r="H367">
        <v>2020</v>
      </c>
      <c r="I367" t="s">
        <v>43</v>
      </c>
    </row>
    <row r="368" spans="1:9" x14ac:dyDescent="0.3">
      <c r="A368" t="s">
        <v>17</v>
      </c>
      <c r="C368">
        <v>689500</v>
      </c>
      <c r="E368">
        <v>423000</v>
      </c>
      <c r="G368" s="25">
        <v>43872</v>
      </c>
      <c r="H368">
        <v>2020</v>
      </c>
      <c r="I368" t="s">
        <v>43</v>
      </c>
    </row>
    <row r="369" spans="1:9" x14ac:dyDescent="0.3">
      <c r="A369" t="s">
        <v>0</v>
      </c>
      <c r="G369" s="25">
        <v>43872</v>
      </c>
      <c r="H369">
        <v>2020</v>
      </c>
      <c r="I369" t="s">
        <v>43</v>
      </c>
    </row>
    <row r="370" spans="1:9" x14ac:dyDescent="0.3">
      <c r="A370" t="s">
        <v>25</v>
      </c>
      <c r="C370">
        <v>428000</v>
      </c>
      <c r="E370">
        <v>162000</v>
      </c>
      <c r="G370" s="25">
        <v>43872</v>
      </c>
      <c r="H370">
        <v>2020</v>
      </c>
      <c r="I370" t="s">
        <v>43</v>
      </c>
    </row>
    <row r="371" spans="1:9" x14ac:dyDescent="0.3">
      <c r="A371" t="s">
        <v>15</v>
      </c>
      <c r="B371">
        <v>162000</v>
      </c>
      <c r="G371" s="25">
        <v>43872</v>
      </c>
      <c r="H371">
        <v>2020</v>
      </c>
      <c r="I371" t="s">
        <v>43</v>
      </c>
    </row>
    <row r="372" spans="1:9" x14ac:dyDescent="0.3">
      <c r="A372" t="s">
        <v>26</v>
      </c>
      <c r="B372">
        <v>216000</v>
      </c>
      <c r="G372" s="25">
        <v>43872</v>
      </c>
      <c r="H372">
        <v>2020</v>
      </c>
      <c r="I372" t="s">
        <v>43</v>
      </c>
    </row>
    <row r="373" spans="1:9" x14ac:dyDescent="0.3">
      <c r="A373" t="s">
        <v>22</v>
      </c>
      <c r="G373" s="25">
        <v>43872</v>
      </c>
      <c r="H373">
        <v>2020</v>
      </c>
      <c r="I373" t="s">
        <v>43</v>
      </c>
    </row>
    <row r="374" spans="1:9" x14ac:dyDescent="0.3">
      <c r="A374" t="s">
        <v>19</v>
      </c>
      <c r="G374" s="25">
        <v>43872</v>
      </c>
      <c r="H374">
        <v>2020</v>
      </c>
      <c r="I374" t="s">
        <v>43</v>
      </c>
    </row>
    <row r="375" spans="1:9" x14ac:dyDescent="0.3">
      <c r="A375" t="s">
        <v>14</v>
      </c>
      <c r="B375">
        <v>478000</v>
      </c>
      <c r="C375">
        <v>422500</v>
      </c>
      <c r="E375">
        <v>432000</v>
      </c>
      <c r="G375" s="25">
        <v>43872</v>
      </c>
      <c r="H375">
        <v>2020</v>
      </c>
      <c r="I375" t="s">
        <v>43</v>
      </c>
    </row>
    <row r="376" spans="1:9" x14ac:dyDescent="0.3">
      <c r="A376" t="s">
        <v>24</v>
      </c>
      <c r="G376" s="25">
        <v>43872</v>
      </c>
      <c r="H376">
        <v>2020</v>
      </c>
      <c r="I376" t="s">
        <v>43</v>
      </c>
    </row>
    <row r="377" spans="1:9" x14ac:dyDescent="0.3">
      <c r="A377" t="s">
        <v>21</v>
      </c>
      <c r="G377" s="25">
        <v>43872</v>
      </c>
      <c r="H377">
        <v>2020</v>
      </c>
      <c r="I377" t="s">
        <v>43</v>
      </c>
    </row>
    <row r="378" spans="1:9" x14ac:dyDescent="0.3">
      <c r="A378" t="s">
        <v>18</v>
      </c>
      <c r="B378">
        <v>108000</v>
      </c>
      <c r="G378" s="25">
        <v>43872</v>
      </c>
      <c r="H378">
        <v>2020</v>
      </c>
      <c r="I378" t="s">
        <v>43</v>
      </c>
    </row>
    <row r="379" spans="1:9" x14ac:dyDescent="0.3">
      <c r="A379" t="s">
        <v>16</v>
      </c>
      <c r="B379">
        <v>47000</v>
      </c>
      <c r="G379" s="25">
        <v>43872</v>
      </c>
      <c r="H379">
        <v>2020</v>
      </c>
      <c r="I379" t="s">
        <v>43</v>
      </c>
    </row>
    <row r="380" spans="1:9" x14ac:dyDescent="0.3">
      <c r="A380" t="s">
        <v>20</v>
      </c>
      <c r="C380">
        <v>513000</v>
      </c>
      <c r="E380">
        <v>266000</v>
      </c>
      <c r="G380" s="25">
        <v>43873</v>
      </c>
      <c r="H380">
        <v>2020</v>
      </c>
      <c r="I380" t="s">
        <v>43</v>
      </c>
    </row>
    <row r="381" spans="1:9" x14ac:dyDescent="0.3">
      <c r="A381" t="s">
        <v>37</v>
      </c>
      <c r="G381" s="25">
        <v>43873</v>
      </c>
      <c r="H381">
        <v>2020</v>
      </c>
      <c r="I381" t="s">
        <v>43</v>
      </c>
    </row>
    <row r="382" spans="1:9" x14ac:dyDescent="0.3">
      <c r="A382" t="s">
        <v>17</v>
      </c>
      <c r="B382">
        <v>412000</v>
      </c>
      <c r="C382">
        <v>307000</v>
      </c>
      <c r="E382">
        <v>324000</v>
      </c>
      <c r="G382" s="25">
        <v>43873</v>
      </c>
      <c r="H382">
        <v>2020</v>
      </c>
      <c r="I382" t="s">
        <v>43</v>
      </c>
    </row>
    <row r="383" spans="1:9" x14ac:dyDescent="0.3">
      <c r="A383" t="s">
        <v>0</v>
      </c>
      <c r="G383" s="25">
        <v>43873</v>
      </c>
      <c r="H383">
        <v>2020</v>
      </c>
      <c r="I383" t="s">
        <v>43</v>
      </c>
    </row>
    <row r="384" spans="1:9" x14ac:dyDescent="0.3">
      <c r="A384" t="s">
        <v>25</v>
      </c>
      <c r="C384">
        <v>887000</v>
      </c>
      <c r="G384" s="25">
        <v>43873</v>
      </c>
      <c r="H384">
        <v>2020</v>
      </c>
      <c r="I384" t="s">
        <v>43</v>
      </c>
    </row>
    <row r="385" spans="1:9" x14ac:dyDescent="0.3">
      <c r="A385" t="s">
        <v>15</v>
      </c>
      <c r="B385">
        <v>54000</v>
      </c>
      <c r="G385" s="25">
        <v>43873</v>
      </c>
      <c r="H385">
        <v>2020</v>
      </c>
      <c r="I385" t="s">
        <v>43</v>
      </c>
    </row>
    <row r="386" spans="1:9" x14ac:dyDescent="0.3">
      <c r="A386" t="s">
        <v>26</v>
      </c>
      <c r="B386">
        <v>54000</v>
      </c>
      <c r="G386" s="25">
        <v>43873</v>
      </c>
      <c r="H386">
        <v>2020</v>
      </c>
      <c r="I386" t="s">
        <v>43</v>
      </c>
    </row>
    <row r="387" spans="1:9" x14ac:dyDescent="0.3">
      <c r="A387" t="s">
        <v>22</v>
      </c>
      <c r="G387" s="25">
        <v>43873</v>
      </c>
      <c r="H387">
        <v>2020</v>
      </c>
      <c r="I387" t="s">
        <v>43</v>
      </c>
    </row>
    <row r="388" spans="1:9" x14ac:dyDescent="0.3">
      <c r="A388" t="s">
        <v>19</v>
      </c>
      <c r="G388" s="25">
        <v>43873</v>
      </c>
      <c r="H388">
        <v>2020</v>
      </c>
      <c r="I388" t="s">
        <v>43</v>
      </c>
    </row>
    <row r="389" spans="1:9" x14ac:dyDescent="0.3">
      <c r="A389" t="s">
        <v>14</v>
      </c>
      <c r="B389">
        <v>324000</v>
      </c>
      <c r="E389">
        <v>477500</v>
      </c>
      <c r="G389" s="25">
        <v>43873</v>
      </c>
      <c r="H389">
        <v>2020</v>
      </c>
      <c r="I389" t="s">
        <v>43</v>
      </c>
    </row>
    <row r="390" spans="1:9" x14ac:dyDescent="0.3">
      <c r="A390" t="s">
        <v>24</v>
      </c>
      <c r="G390" s="25">
        <v>43873</v>
      </c>
      <c r="H390">
        <v>2020</v>
      </c>
      <c r="I390" t="s">
        <v>43</v>
      </c>
    </row>
    <row r="391" spans="1:9" x14ac:dyDescent="0.3">
      <c r="A391" t="s">
        <v>21</v>
      </c>
      <c r="G391" s="25">
        <v>43873</v>
      </c>
      <c r="H391">
        <v>2020</v>
      </c>
      <c r="I391" t="s">
        <v>43</v>
      </c>
    </row>
    <row r="392" spans="1:9" x14ac:dyDescent="0.3">
      <c r="A392" t="s">
        <v>18</v>
      </c>
      <c r="G392" s="25">
        <v>43873</v>
      </c>
      <c r="H392">
        <v>2020</v>
      </c>
      <c r="I392" t="s">
        <v>43</v>
      </c>
    </row>
    <row r="393" spans="1:9" x14ac:dyDescent="0.3">
      <c r="A393" t="s">
        <v>16</v>
      </c>
      <c r="B393">
        <v>54000</v>
      </c>
      <c r="G393" s="25">
        <v>43873</v>
      </c>
      <c r="H393">
        <v>2020</v>
      </c>
      <c r="I393" t="s">
        <v>43</v>
      </c>
    </row>
    <row r="394" spans="1:9" x14ac:dyDescent="0.3">
      <c r="A394" t="s">
        <v>20</v>
      </c>
      <c r="C394">
        <v>306000</v>
      </c>
      <c r="E394">
        <v>212000</v>
      </c>
      <c r="G394" s="25">
        <v>43874</v>
      </c>
      <c r="H394">
        <v>2020</v>
      </c>
      <c r="I394" t="s">
        <v>43</v>
      </c>
    </row>
    <row r="395" spans="1:9" x14ac:dyDescent="0.3">
      <c r="A395" t="s">
        <v>37</v>
      </c>
      <c r="G395" s="25">
        <v>43874</v>
      </c>
      <c r="H395">
        <v>2020</v>
      </c>
      <c r="I395" t="s">
        <v>43</v>
      </c>
    </row>
    <row r="396" spans="1:9" x14ac:dyDescent="0.3">
      <c r="A396" t="s">
        <v>17</v>
      </c>
      <c r="C396">
        <v>459000</v>
      </c>
      <c r="E396">
        <v>482000</v>
      </c>
      <c r="G396" s="25">
        <v>43874</v>
      </c>
      <c r="H396">
        <v>2020</v>
      </c>
      <c r="I396" t="s">
        <v>43</v>
      </c>
    </row>
    <row r="397" spans="1:9" x14ac:dyDescent="0.3">
      <c r="A397" t="s">
        <v>0</v>
      </c>
      <c r="G397" s="25">
        <v>43874</v>
      </c>
      <c r="H397">
        <v>2020</v>
      </c>
      <c r="I397" t="s">
        <v>43</v>
      </c>
    </row>
    <row r="398" spans="1:9" x14ac:dyDescent="0.3">
      <c r="A398" t="s">
        <v>25</v>
      </c>
      <c r="C398">
        <v>324000</v>
      </c>
      <c r="G398" s="25">
        <v>43874</v>
      </c>
      <c r="H398">
        <v>2020</v>
      </c>
      <c r="I398" t="s">
        <v>43</v>
      </c>
    </row>
    <row r="399" spans="1:9" x14ac:dyDescent="0.3">
      <c r="A399" t="s">
        <v>15</v>
      </c>
      <c r="G399" s="25">
        <v>43874</v>
      </c>
      <c r="H399">
        <v>2020</v>
      </c>
      <c r="I399" t="s">
        <v>43</v>
      </c>
    </row>
    <row r="400" spans="1:9" x14ac:dyDescent="0.3">
      <c r="A400" t="s">
        <v>26</v>
      </c>
      <c r="G400" s="25">
        <v>43874</v>
      </c>
      <c r="H400">
        <v>2020</v>
      </c>
      <c r="I400" t="s">
        <v>43</v>
      </c>
    </row>
    <row r="401" spans="1:9" x14ac:dyDescent="0.3">
      <c r="A401" t="s">
        <v>22</v>
      </c>
      <c r="G401" s="25">
        <v>43874</v>
      </c>
      <c r="H401">
        <v>2020</v>
      </c>
      <c r="I401" t="s">
        <v>43</v>
      </c>
    </row>
    <row r="402" spans="1:9" x14ac:dyDescent="0.3">
      <c r="A402" t="s">
        <v>19</v>
      </c>
      <c r="G402" s="25">
        <v>43874</v>
      </c>
      <c r="H402">
        <v>2020</v>
      </c>
      <c r="I402" t="s">
        <v>43</v>
      </c>
    </row>
    <row r="403" spans="1:9" x14ac:dyDescent="0.3">
      <c r="A403" t="s">
        <v>14</v>
      </c>
      <c r="C403">
        <v>424000</v>
      </c>
      <c r="E403">
        <v>315000</v>
      </c>
      <c r="G403" s="25">
        <v>43874</v>
      </c>
      <c r="H403">
        <v>2020</v>
      </c>
      <c r="I403" t="s">
        <v>43</v>
      </c>
    </row>
    <row r="404" spans="1:9" x14ac:dyDescent="0.3">
      <c r="A404" t="s">
        <v>24</v>
      </c>
      <c r="G404" s="25">
        <v>43874</v>
      </c>
      <c r="H404">
        <v>2020</v>
      </c>
      <c r="I404" t="s">
        <v>43</v>
      </c>
    </row>
    <row r="405" spans="1:9" x14ac:dyDescent="0.3">
      <c r="A405" t="s">
        <v>21</v>
      </c>
      <c r="G405" s="25">
        <v>43874</v>
      </c>
      <c r="H405">
        <v>2020</v>
      </c>
      <c r="I405" t="s">
        <v>43</v>
      </c>
    </row>
    <row r="406" spans="1:9" x14ac:dyDescent="0.3">
      <c r="A406" t="s">
        <v>18</v>
      </c>
      <c r="G406" s="25">
        <v>43874</v>
      </c>
      <c r="H406">
        <v>2020</v>
      </c>
      <c r="I406" t="s">
        <v>43</v>
      </c>
    </row>
    <row r="407" spans="1:9" x14ac:dyDescent="0.3">
      <c r="A407" t="s">
        <v>16</v>
      </c>
      <c r="G407" s="25">
        <v>43874</v>
      </c>
      <c r="H407">
        <v>2020</v>
      </c>
      <c r="I407" t="s">
        <v>43</v>
      </c>
    </row>
    <row r="408" spans="1:9" x14ac:dyDescent="0.3">
      <c r="A408" t="s">
        <v>20</v>
      </c>
      <c r="C408">
        <v>146000</v>
      </c>
      <c r="G408" s="25">
        <v>43875</v>
      </c>
      <c r="H408">
        <v>2020</v>
      </c>
      <c r="I408" t="s">
        <v>43</v>
      </c>
    </row>
    <row r="409" spans="1:9" x14ac:dyDescent="0.3">
      <c r="A409" t="s">
        <v>37</v>
      </c>
      <c r="G409" s="25">
        <v>43875</v>
      </c>
      <c r="H409">
        <v>2020</v>
      </c>
      <c r="I409" t="s">
        <v>43</v>
      </c>
    </row>
    <row r="410" spans="1:9" x14ac:dyDescent="0.3">
      <c r="A410" t="s">
        <v>17</v>
      </c>
      <c r="C410">
        <v>324000</v>
      </c>
      <c r="E410">
        <v>104000</v>
      </c>
      <c r="G410" s="25">
        <v>43875</v>
      </c>
      <c r="H410">
        <v>2020</v>
      </c>
      <c r="I410" t="s">
        <v>43</v>
      </c>
    </row>
    <row r="411" spans="1:9" x14ac:dyDescent="0.3">
      <c r="A411" t="s">
        <v>0</v>
      </c>
      <c r="G411" s="25">
        <v>43875</v>
      </c>
      <c r="H411">
        <v>2020</v>
      </c>
      <c r="I411" t="s">
        <v>43</v>
      </c>
    </row>
    <row r="412" spans="1:9" x14ac:dyDescent="0.3">
      <c r="A412" t="s">
        <v>25</v>
      </c>
      <c r="C412">
        <v>317000</v>
      </c>
      <c r="G412" s="25">
        <v>43875</v>
      </c>
      <c r="H412">
        <v>2020</v>
      </c>
      <c r="I412" t="s">
        <v>43</v>
      </c>
    </row>
    <row r="413" spans="1:9" x14ac:dyDescent="0.3">
      <c r="A413" t="s">
        <v>15</v>
      </c>
      <c r="G413" s="25">
        <v>43875</v>
      </c>
      <c r="H413">
        <v>2020</v>
      </c>
      <c r="I413" t="s">
        <v>43</v>
      </c>
    </row>
    <row r="414" spans="1:9" x14ac:dyDescent="0.3">
      <c r="A414" t="s">
        <v>26</v>
      </c>
      <c r="G414" s="25">
        <v>43875</v>
      </c>
      <c r="H414">
        <v>2020</v>
      </c>
      <c r="I414" t="s">
        <v>43</v>
      </c>
    </row>
    <row r="415" spans="1:9" x14ac:dyDescent="0.3">
      <c r="A415" t="s">
        <v>22</v>
      </c>
      <c r="G415" s="25">
        <v>43875</v>
      </c>
      <c r="H415">
        <v>2020</v>
      </c>
      <c r="I415" t="s">
        <v>43</v>
      </c>
    </row>
    <row r="416" spans="1:9" x14ac:dyDescent="0.3">
      <c r="A416" t="s">
        <v>19</v>
      </c>
      <c r="G416" s="25">
        <v>43875</v>
      </c>
      <c r="H416">
        <v>2020</v>
      </c>
      <c r="I416" t="s">
        <v>43</v>
      </c>
    </row>
    <row r="417" spans="1:9" x14ac:dyDescent="0.3">
      <c r="A417" t="s">
        <v>14</v>
      </c>
      <c r="C417">
        <v>324000</v>
      </c>
      <c r="E417">
        <v>911000</v>
      </c>
      <c r="G417" s="25">
        <v>43875</v>
      </c>
      <c r="H417">
        <v>2020</v>
      </c>
      <c r="I417" t="s">
        <v>43</v>
      </c>
    </row>
    <row r="418" spans="1:9" x14ac:dyDescent="0.3">
      <c r="A418" t="s">
        <v>24</v>
      </c>
      <c r="G418" s="25">
        <v>43875</v>
      </c>
      <c r="H418">
        <v>2020</v>
      </c>
      <c r="I418" t="s">
        <v>43</v>
      </c>
    </row>
    <row r="419" spans="1:9" x14ac:dyDescent="0.3">
      <c r="A419" t="s">
        <v>21</v>
      </c>
      <c r="G419" s="25">
        <v>43875</v>
      </c>
      <c r="H419">
        <v>2020</v>
      </c>
      <c r="I419" t="s">
        <v>43</v>
      </c>
    </row>
    <row r="420" spans="1:9" x14ac:dyDescent="0.3">
      <c r="A420" t="s">
        <v>18</v>
      </c>
      <c r="G420" s="25">
        <v>43875</v>
      </c>
      <c r="H420">
        <v>2020</v>
      </c>
      <c r="I420" t="s">
        <v>43</v>
      </c>
    </row>
    <row r="421" spans="1:9" x14ac:dyDescent="0.3">
      <c r="A421" t="s">
        <v>16</v>
      </c>
      <c r="G421" s="25">
        <v>43875</v>
      </c>
      <c r="H421">
        <v>2020</v>
      </c>
      <c r="I421" t="s">
        <v>43</v>
      </c>
    </row>
    <row r="422" spans="1:9" x14ac:dyDescent="0.3">
      <c r="A422" t="s">
        <v>20</v>
      </c>
      <c r="C422">
        <v>207000</v>
      </c>
      <c r="G422" s="25">
        <v>43878</v>
      </c>
      <c r="H422">
        <v>2020</v>
      </c>
      <c r="I422" t="s">
        <v>43</v>
      </c>
    </row>
    <row r="423" spans="1:9" x14ac:dyDescent="0.3">
      <c r="A423" t="s">
        <v>37</v>
      </c>
      <c r="G423" s="25">
        <v>43878</v>
      </c>
      <c r="H423">
        <v>2020</v>
      </c>
      <c r="I423" t="s">
        <v>43</v>
      </c>
    </row>
    <row r="424" spans="1:9" x14ac:dyDescent="0.3">
      <c r="A424" t="s">
        <v>17</v>
      </c>
      <c r="C424">
        <v>423000</v>
      </c>
      <c r="G424" s="25">
        <v>43878</v>
      </c>
      <c r="H424">
        <v>2020</v>
      </c>
      <c r="I424" t="s">
        <v>43</v>
      </c>
    </row>
    <row r="425" spans="1:9" x14ac:dyDescent="0.3">
      <c r="A425" t="s">
        <v>0</v>
      </c>
      <c r="G425" s="25">
        <v>43878</v>
      </c>
      <c r="H425">
        <v>2020</v>
      </c>
      <c r="I425" t="s">
        <v>43</v>
      </c>
    </row>
    <row r="426" spans="1:9" x14ac:dyDescent="0.3">
      <c r="A426" t="s">
        <v>25</v>
      </c>
      <c r="C426">
        <v>108000</v>
      </c>
      <c r="E426">
        <v>50000</v>
      </c>
      <c r="G426" s="25">
        <v>43878</v>
      </c>
      <c r="H426">
        <v>2020</v>
      </c>
      <c r="I426" t="s">
        <v>43</v>
      </c>
    </row>
    <row r="427" spans="1:9" x14ac:dyDescent="0.3">
      <c r="A427" t="s">
        <v>15</v>
      </c>
      <c r="G427" s="25">
        <v>43878</v>
      </c>
      <c r="H427">
        <v>2020</v>
      </c>
      <c r="I427" t="s">
        <v>43</v>
      </c>
    </row>
    <row r="428" spans="1:9" x14ac:dyDescent="0.3">
      <c r="A428" t="s">
        <v>26</v>
      </c>
      <c r="G428" s="25">
        <v>43878</v>
      </c>
      <c r="H428">
        <v>2020</v>
      </c>
      <c r="I428" t="s">
        <v>43</v>
      </c>
    </row>
    <row r="429" spans="1:9" x14ac:dyDescent="0.3">
      <c r="A429" t="s">
        <v>22</v>
      </c>
      <c r="G429" s="25">
        <v>43878</v>
      </c>
      <c r="H429">
        <v>2020</v>
      </c>
      <c r="I429" t="s">
        <v>43</v>
      </c>
    </row>
    <row r="430" spans="1:9" x14ac:dyDescent="0.3">
      <c r="A430" t="s">
        <v>19</v>
      </c>
      <c r="G430" s="25">
        <v>43878</v>
      </c>
      <c r="H430">
        <v>2020</v>
      </c>
      <c r="I430" t="s">
        <v>43</v>
      </c>
    </row>
    <row r="431" spans="1:9" x14ac:dyDescent="0.3">
      <c r="A431" t="s">
        <v>14</v>
      </c>
      <c r="C431">
        <v>207000</v>
      </c>
      <c r="E431">
        <v>216000</v>
      </c>
      <c r="G431" s="25">
        <v>43878</v>
      </c>
      <c r="H431">
        <v>2020</v>
      </c>
      <c r="I431" t="s">
        <v>43</v>
      </c>
    </row>
    <row r="432" spans="1:9" x14ac:dyDescent="0.3">
      <c r="A432" t="s">
        <v>24</v>
      </c>
      <c r="G432" s="25">
        <v>43878</v>
      </c>
      <c r="H432">
        <v>2020</v>
      </c>
      <c r="I432" t="s">
        <v>43</v>
      </c>
    </row>
    <row r="433" spans="1:9" x14ac:dyDescent="0.3">
      <c r="A433" t="s">
        <v>21</v>
      </c>
      <c r="G433" s="25">
        <v>43878</v>
      </c>
      <c r="H433">
        <v>2020</v>
      </c>
      <c r="I433" t="s">
        <v>43</v>
      </c>
    </row>
    <row r="434" spans="1:9" x14ac:dyDescent="0.3">
      <c r="A434" t="s">
        <v>18</v>
      </c>
      <c r="G434" s="25">
        <v>43878</v>
      </c>
      <c r="H434">
        <v>2020</v>
      </c>
      <c r="I434" t="s">
        <v>43</v>
      </c>
    </row>
    <row r="435" spans="1:9" x14ac:dyDescent="0.3">
      <c r="A435" t="s">
        <v>16</v>
      </c>
      <c r="G435" s="25">
        <v>43878</v>
      </c>
      <c r="H435">
        <v>2020</v>
      </c>
      <c r="I435" t="s">
        <v>43</v>
      </c>
    </row>
    <row r="436" spans="1:9" x14ac:dyDescent="0.3">
      <c r="A436" t="s">
        <v>20</v>
      </c>
      <c r="C436">
        <v>378000</v>
      </c>
      <c r="G436" s="25">
        <v>43879</v>
      </c>
      <c r="H436">
        <v>2020</v>
      </c>
      <c r="I436" t="s">
        <v>43</v>
      </c>
    </row>
    <row r="437" spans="1:9" x14ac:dyDescent="0.3">
      <c r="A437" t="s">
        <v>37</v>
      </c>
      <c r="G437" s="25">
        <v>43879</v>
      </c>
      <c r="H437">
        <v>2020</v>
      </c>
      <c r="I437" t="s">
        <v>43</v>
      </c>
    </row>
    <row r="438" spans="1:9" x14ac:dyDescent="0.3">
      <c r="A438" t="s">
        <v>17</v>
      </c>
      <c r="C438">
        <v>644000</v>
      </c>
      <c r="E438">
        <v>54000</v>
      </c>
      <c r="G438" s="25">
        <v>43879</v>
      </c>
      <c r="H438">
        <v>2020</v>
      </c>
      <c r="I438" t="s">
        <v>43</v>
      </c>
    </row>
    <row r="439" spans="1:9" x14ac:dyDescent="0.3">
      <c r="A439" t="s">
        <v>0</v>
      </c>
      <c r="G439" s="25">
        <v>43879</v>
      </c>
      <c r="H439">
        <v>2020</v>
      </c>
      <c r="I439" t="s">
        <v>43</v>
      </c>
    </row>
    <row r="440" spans="1:9" x14ac:dyDescent="0.3">
      <c r="A440" t="s">
        <v>25</v>
      </c>
      <c r="C440">
        <v>265000</v>
      </c>
      <c r="G440" s="25">
        <v>43879</v>
      </c>
      <c r="H440">
        <v>2020</v>
      </c>
      <c r="I440" t="s">
        <v>43</v>
      </c>
    </row>
    <row r="441" spans="1:9" x14ac:dyDescent="0.3">
      <c r="A441" t="s">
        <v>15</v>
      </c>
      <c r="G441" s="25">
        <v>43879</v>
      </c>
      <c r="H441">
        <v>2020</v>
      </c>
      <c r="I441" t="s">
        <v>43</v>
      </c>
    </row>
    <row r="442" spans="1:9" x14ac:dyDescent="0.3">
      <c r="A442" t="s">
        <v>26</v>
      </c>
      <c r="G442" s="25">
        <v>43879</v>
      </c>
      <c r="H442">
        <v>2020</v>
      </c>
      <c r="I442" t="s">
        <v>43</v>
      </c>
    </row>
    <row r="443" spans="1:9" x14ac:dyDescent="0.3">
      <c r="A443" t="s">
        <v>22</v>
      </c>
      <c r="G443" s="25">
        <v>43879</v>
      </c>
      <c r="H443">
        <v>2020</v>
      </c>
      <c r="I443" t="s">
        <v>43</v>
      </c>
    </row>
    <row r="444" spans="1:9" x14ac:dyDescent="0.3">
      <c r="A444" t="s">
        <v>19</v>
      </c>
      <c r="G444" s="25">
        <v>43879</v>
      </c>
      <c r="H444">
        <v>2020</v>
      </c>
      <c r="I444" t="s">
        <v>43</v>
      </c>
    </row>
    <row r="445" spans="1:9" x14ac:dyDescent="0.3">
      <c r="A445" t="s">
        <v>14</v>
      </c>
      <c r="C445">
        <v>531000</v>
      </c>
      <c r="E445">
        <v>216000</v>
      </c>
      <c r="G445" s="25">
        <v>43879</v>
      </c>
      <c r="H445">
        <v>2020</v>
      </c>
      <c r="I445" t="s">
        <v>43</v>
      </c>
    </row>
    <row r="446" spans="1:9" x14ac:dyDescent="0.3">
      <c r="A446" t="s">
        <v>24</v>
      </c>
      <c r="G446" s="25">
        <v>43879</v>
      </c>
      <c r="H446">
        <v>2020</v>
      </c>
      <c r="I446" t="s">
        <v>43</v>
      </c>
    </row>
    <row r="447" spans="1:9" x14ac:dyDescent="0.3">
      <c r="A447" t="s">
        <v>21</v>
      </c>
      <c r="G447" s="25">
        <v>43879</v>
      </c>
      <c r="H447">
        <v>2020</v>
      </c>
      <c r="I447" t="s">
        <v>43</v>
      </c>
    </row>
    <row r="448" spans="1:9" x14ac:dyDescent="0.3">
      <c r="A448" t="s">
        <v>18</v>
      </c>
      <c r="G448" s="25">
        <v>43879</v>
      </c>
      <c r="H448">
        <v>2020</v>
      </c>
      <c r="I448" t="s">
        <v>43</v>
      </c>
    </row>
    <row r="449" spans="1:9" x14ac:dyDescent="0.3">
      <c r="A449" t="s">
        <v>16</v>
      </c>
      <c r="G449" s="25">
        <v>43879</v>
      </c>
      <c r="H449">
        <v>2020</v>
      </c>
      <c r="I449" t="s">
        <v>43</v>
      </c>
    </row>
    <row r="450" spans="1:9" x14ac:dyDescent="0.3">
      <c r="A450" t="s">
        <v>20</v>
      </c>
      <c r="C450">
        <v>352000</v>
      </c>
      <c r="G450" s="25">
        <v>43880</v>
      </c>
      <c r="H450">
        <v>2020</v>
      </c>
      <c r="I450" t="s">
        <v>43</v>
      </c>
    </row>
    <row r="451" spans="1:9" x14ac:dyDescent="0.3">
      <c r="A451" t="s">
        <v>37</v>
      </c>
      <c r="G451" s="25">
        <v>43880</v>
      </c>
      <c r="H451">
        <v>2020</v>
      </c>
      <c r="I451" t="s">
        <v>43</v>
      </c>
    </row>
    <row r="452" spans="1:9" x14ac:dyDescent="0.3">
      <c r="A452" t="s">
        <v>17</v>
      </c>
      <c r="C452">
        <v>792000</v>
      </c>
      <c r="G452" s="25">
        <v>43880</v>
      </c>
      <c r="H452">
        <v>2020</v>
      </c>
      <c r="I452" t="s">
        <v>43</v>
      </c>
    </row>
    <row r="453" spans="1:9" x14ac:dyDescent="0.3">
      <c r="A453" t="s">
        <v>0</v>
      </c>
      <c r="G453" s="25">
        <v>43880</v>
      </c>
      <c r="H453">
        <v>2020</v>
      </c>
      <c r="I453" t="s">
        <v>43</v>
      </c>
    </row>
    <row r="454" spans="1:9" x14ac:dyDescent="0.3">
      <c r="A454" t="s">
        <v>25</v>
      </c>
      <c r="C454">
        <v>50000</v>
      </c>
      <c r="G454" s="25">
        <v>43880</v>
      </c>
      <c r="H454">
        <v>2020</v>
      </c>
      <c r="I454" t="s">
        <v>43</v>
      </c>
    </row>
    <row r="455" spans="1:9" x14ac:dyDescent="0.3">
      <c r="A455" t="s">
        <v>15</v>
      </c>
      <c r="G455" s="25">
        <v>43880</v>
      </c>
      <c r="H455">
        <v>2020</v>
      </c>
      <c r="I455" t="s">
        <v>43</v>
      </c>
    </row>
    <row r="456" spans="1:9" x14ac:dyDescent="0.3">
      <c r="A456" t="s">
        <v>26</v>
      </c>
      <c r="G456" s="25">
        <v>43880</v>
      </c>
      <c r="H456">
        <v>2020</v>
      </c>
      <c r="I456" t="s">
        <v>43</v>
      </c>
    </row>
    <row r="457" spans="1:9" x14ac:dyDescent="0.3">
      <c r="A457" t="s">
        <v>22</v>
      </c>
      <c r="G457" s="25">
        <v>43880</v>
      </c>
      <c r="H457">
        <v>2020</v>
      </c>
      <c r="I457" t="s">
        <v>43</v>
      </c>
    </row>
    <row r="458" spans="1:9" x14ac:dyDescent="0.3">
      <c r="A458" t="s">
        <v>19</v>
      </c>
      <c r="G458" s="25">
        <v>43880</v>
      </c>
      <c r="H458">
        <v>2020</v>
      </c>
      <c r="I458" t="s">
        <v>43</v>
      </c>
    </row>
    <row r="459" spans="1:9" x14ac:dyDescent="0.3">
      <c r="A459" t="s">
        <v>14</v>
      </c>
      <c r="C459">
        <v>738500</v>
      </c>
      <c r="E459">
        <v>54000</v>
      </c>
      <c r="G459" s="25">
        <v>43880</v>
      </c>
      <c r="H459">
        <v>2020</v>
      </c>
      <c r="I459" t="s">
        <v>43</v>
      </c>
    </row>
    <row r="460" spans="1:9" x14ac:dyDescent="0.3">
      <c r="A460" t="s">
        <v>24</v>
      </c>
      <c r="G460" s="25">
        <v>43880</v>
      </c>
      <c r="H460">
        <v>2020</v>
      </c>
      <c r="I460" t="s">
        <v>43</v>
      </c>
    </row>
    <row r="461" spans="1:9" x14ac:dyDescent="0.3">
      <c r="A461" t="s">
        <v>21</v>
      </c>
      <c r="G461" s="25">
        <v>43880</v>
      </c>
      <c r="H461">
        <v>2020</v>
      </c>
      <c r="I461" t="s">
        <v>43</v>
      </c>
    </row>
    <row r="462" spans="1:9" x14ac:dyDescent="0.3">
      <c r="A462" t="s">
        <v>18</v>
      </c>
      <c r="G462" s="25">
        <v>43880</v>
      </c>
      <c r="H462">
        <v>2020</v>
      </c>
      <c r="I462" t="s">
        <v>43</v>
      </c>
    </row>
    <row r="463" spans="1:9" x14ac:dyDescent="0.3">
      <c r="A463" t="s">
        <v>16</v>
      </c>
      <c r="G463" s="25">
        <v>43880</v>
      </c>
      <c r="H463">
        <v>2020</v>
      </c>
      <c r="I463" t="s">
        <v>43</v>
      </c>
    </row>
    <row r="464" spans="1:9" x14ac:dyDescent="0.3">
      <c r="A464" t="s">
        <v>20</v>
      </c>
      <c r="C464">
        <v>47000</v>
      </c>
      <c r="G464" s="25">
        <v>43881</v>
      </c>
      <c r="H464">
        <v>2020</v>
      </c>
      <c r="I464" t="s">
        <v>43</v>
      </c>
    </row>
    <row r="465" spans="1:9" x14ac:dyDescent="0.3">
      <c r="A465" t="s">
        <v>37</v>
      </c>
      <c r="G465" s="25">
        <v>43881</v>
      </c>
      <c r="H465">
        <v>2020</v>
      </c>
      <c r="I465" t="s">
        <v>43</v>
      </c>
    </row>
    <row r="466" spans="1:9" x14ac:dyDescent="0.3">
      <c r="A466" t="s">
        <v>17</v>
      </c>
      <c r="B466">
        <v>500000</v>
      </c>
      <c r="C466">
        <v>1440000</v>
      </c>
      <c r="E466">
        <v>54000</v>
      </c>
      <c r="G466" s="25">
        <v>43881</v>
      </c>
      <c r="H466">
        <v>2020</v>
      </c>
      <c r="I466" t="s">
        <v>43</v>
      </c>
    </row>
    <row r="467" spans="1:9" x14ac:dyDescent="0.3">
      <c r="A467" t="s">
        <v>0</v>
      </c>
      <c r="G467" s="25">
        <v>43881</v>
      </c>
      <c r="H467">
        <v>2020</v>
      </c>
      <c r="I467" t="s">
        <v>43</v>
      </c>
    </row>
    <row r="468" spans="1:9" x14ac:dyDescent="0.3">
      <c r="A468" t="s">
        <v>25</v>
      </c>
      <c r="C468">
        <v>45000</v>
      </c>
      <c r="E468">
        <v>95000</v>
      </c>
      <c r="G468" s="25">
        <v>43881</v>
      </c>
      <c r="H468">
        <v>2020</v>
      </c>
      <c r="I468" t="s">
        <v>43</v>
      </c>
    </row>
    <row r="469" spans="1:9" x14ac:dyDescent="0.3">
      <c r="A469" t="s">
        <v>15</v>
      </c>
      <c r="G469" s="25">
        <v>43881</v>
      </c>
      <c r="H469">
        <v>2020</v>
      </c>
      <c r="I469" t="s">
        <v>43</v>
      </c>
    </row>
    <row r="470" spans="1:9" x14ac:dyDescent="0.3">
      <c r="A470" t="s">
        <v>26</v>
      </c>
      <c r="G470" s="25">
        <v>43881</v>
      </c>
      <c r="H470">
        <v>2020</v>
      </c>
      <c r="I470" t="s">
        <v>43</v>
      </c>
    </row>
    <row r="471" spans="1:9" x14ac:dyDescent="0.3">
      <c r="A471" t="s">
        <v>22</v>
      </c>
      <c r="G471" s="25">
        <v>43881</v>
      </c>
      <c r="H471">
        <v>2020</v>
      </c>
      <c r="I471" t="s">
        <v>43</v>
      </c>
    </row>
    <row r="472" spans="1:9" x14ac:dyDescent="0.3">
      <c r="A472" t="s">
        <v>19</v>
      </c>
      <c r="G472" s="25">
        <v>43881</v>
      </c>
      <c r="H472">
        <v>2020</v>
      </c>
      <c r="I472" t="s">
        <v>43</v>
      </c>
    </row>
    <row r="473" spans="1:9" x14ac:dyDescent="0.3">
      <c r="A473" t="s">
        <v>14</v>
      </c>
      <c r="E473">
        <v>54000</v>
      </c>
      <c r="G473" s="25">
        <v>43881</v>
      </c>
      <c r="H473">
        <v>2020</v>
      </c>
      <c r="I473" t="s">
        <v>43</v>
      </c>
    </row>
    <row r="474" spans="1:9" x14ac:dyDescent="0.3">
      <c r="A474" t="s">
        <v>24</v>
      </c>
      <c r="G474" s="25">
        <v>43881</v>
      </c>
      <c r="H474">
        <v>2020</v>
      </c>
      <c r="I474" t="s">
        <v>43</v>
      </c>
    </row>
    <row r="475" spans="1:9" x14ac:dyDescent="0.3">
      <c r="A475" t="s">
        <v>21</v>
      </c>
      <c r="G475" s="25">
        <v>43881</v>
      </c>
      <c r="H475">
        <v>2020</v>
      </c>
      <c r="I475" t="s">
        <v>43</v>
      </c>
    </row>
    <row r="476" spans="1:9" x14ac:dyDescent="0.3">
      <c r="A476" t="s">
        <v>18</v>
      </c>
      <c r="G476" s="25">
        <v>43881</v>
      </c>
      <c r="H476">
        <v>2020</v>
      </c>
      <c r="I476" t="s">
        <v>43</v>
      </c>
    </row>
    <row r="477" spans="1:9" x14ac:dyDescent="0.3">
      <c r="A477" t="s">
        <v>16</v>
      </c>
      <c r="C477">
        <v>54000</v>
      </c>
      <c r="G477" s="25">
        <v>43881</v>
      </c>
      <c r="H477">
        <v>2020</v>
      </c>
      <c r="I477" t="s">
        <v>43</v>
      </c>
    </row>
    <row r="478" spans="1:9" x14ac:dyDescent="0.3">
      <c r="A478" t="s">
        <v>20</v>
      </c>
      <c r="G478" s="25">
        <v>43882</v>
      </c>
      <c r="H478">
        <v>2020</v>
      </c>
      <c r="I478" t="s">
        <v>43</v>
      </c>
    </row>
    <row r="479" spans="1:9" x14ac:dyDescent="0.3">
      <c r="A479" t="s">
        <v>37</v>
      </c>
      <c r="G479" s="25">
        <v>43882</v>
      </c>
      <c r="H479">
        <v>2020</v>
      </c>
      <c r="I479" t="s">
        <v>43</v>
      </c>
    </row>
    <row r="480" spans="1:9" x14ac:dyDescent="0.3">
      <c r="A480" t="s">
        <v>17</v>
      </c>
      <c r="G480" s="25">
        <v>43882</v>
      </c>
      <c r="H480">
        <v>2020</v>
      </c>
      <c r="I480" t="s">
        <v>43</v>
      </c>
    </row>
    <row r="481" spans="1:9" x14ac:dyDescent="0.3">
      <c r="A481" t="s">
        <v>0</v>
      </c>
      <c r="G481" s="25">
        <v>43882</v>
      </c>
      <c r="H481">
        <v>2020</v>
      </c>
      <c r="I481" t="s">
        <v>43</v>
      </c>
    </row>
    <row r="482" spans="1:9" x14ac:dyDescent="0.3">
      <c r="A482" t="s">
        <v>25</v>
      </c>
      <c r="C482">
        <v>45000</v>
      </c>
      <c r="G482" s="25">
        <v>43882</v>
      </c>
      <c r="H482">
        <v>2020</v>
      </c>
      <c r="I482" t="s">
        <v>43</v>
      </c>
    </row>
    <row r="483" spans="1:9" x14ac:dyDescent="0.3">
      <c r="A483" t="s">
        <v>15</v>
      </c>
      <c r="B483">
        <v>50000</v>
      </c>
      <c r="G483" s="25">
        <v>43882</v>
      </c>
      <c r="H483">
        <v>2020</v>
      </c>
      <c r="I483" t="s">
        <v>43</v>
      </c>
    </row>
    <row r="484" spans="1:9" x14ac:dyDescent="0.3">
      <c r="A484" t="s">
        <v>26</v>
      </c>
      <c r="G484" s="25">
        <v>43882</v>
      </c>
      <c r="H484">
        <v>2020</v>
      </c>
      <c r="I484" t="s">
        <v>43</v>
      </c>
    </row>
    <row r="485" spans="1:9" x14ac:dyDescent="0.3">
      <c r="A485" t="s">
        <v>22</v>
      </c>
      <c r="G485" s="25">
        <v>43882</v>
      </c>
      <c r="H485">
        <v>2020</v>
      </c>
      <c r="I485" t="s">
        <v>43</v>
      </c>
    </row>
    <row r="486" spans="1:9" x14ac:dyDescent="0.3">
      <c r="A486" t="s">
        <v>19</v>
      </c>
      <c r="G486" s="25">
        <v>43882</v>
      </c>
      <c r="H486">
        <v>2020</v>
      </c>
      <c r="I486" t="s">
        <v>43</v>
      </c>
    </row>
    <row r="487" spans="1:9" x14ac:dyDescent="0.3">
      <c r="A487" t="s">
        <v>14</v>
      </c>
      <c r="G487" s="25">
        <v>43882</v>
      </c>
      <c r="H487">
        <v>2020</v>
      </c>
      <c r="I487" t="s">
        <v>43</v>
      </c>
    </row>
    <row r="488" spans="1:9" x14ac:dyDescent="0.3">
      <c r="A488" t="s">
        <v>24</v>
      </c>
      <c r="G488" s="25">
        <v>43882</v>
      </c>
      <c r="H488">
        <v>2020</v>
      </c>
      <c r="I488" t="s">
        <v>43</v>
      </c>
    </row>
    <row r="489" spans="1:9" x14ac:dyDescent="0.3">
      <c r="A489" t="s">
        <v>21</v>
      </c>
      <c r="G489" s="25">
        <v>43882</v>
      </c>
      <c r="H489">
        <v>2020</v>
      </c>
      <c r="I489" t="s">
        <v>43</v>
      </c>
    </row>
    <row r="490" spans="1:9" x14ac:dyDescent="0.3">
      <c r="A490" t="s">
        <v>18</v>
      </c>
      <c r="G490" s="25">
        <v>43882</v>
      </c>
      <c r="H490">
        <v>2020</v>
      </c>
      <c r="I490" t="s">
        <v>43</v>
      </c>
    </row>
    <row r="491" spans="1:9" x14ac:dyDescent="0.3">
      <c r="A491" t="s">
        <v>16</v>
      </c>
      <c r="C491">
        <v>1318000</v>
      </c>
      <c r="E491">
        <v>702000</v>
      </c>
      <c r="G491" s="25">
        <v>43882</v>
      </c>
      <c r="H491">
        <v>2020</v>
      </c>
      <c r="I491" t="s">
        <v>43</v>
      </c>
    </row>
    <row r="492" spans="1:9" x14ac:dyDescent="0.3">
      <c r="A492" t="s">
        <v>20</v>
      </c>
      <c r="G492" s="25">
        <v>43885</v>
      </c>
      <c r="H492">
        <v>2020</v>
      </c>
      <c r="I492" t="s">
        <v>43</v>
      </c>
    </row>
    <row r="493" spans="1:9" x14ac:dyDescent="0.3">
      <c r="A493" t="s">
        <v>37</v>
      </c>
      <c r="G493" s="25">
        <v>43885</v>
      </c>
      <c r="H493">
        <v>2020</v>
      </c>
      <c r="I493" t="s">
        <v>43</v>
      </c>
    </row>
    <row r="494" spans="1:9" x14ac:dyDescent="0.3">
      <c r="A494" t="s">
        <v>17</v>
      </c>
      <c r="G494" s="25">
        <v>43885</v>
      </c>
      <c r="H494">
        <v>2020</v>
      </c>
      <c r="I494" t="s">
        <v>43</v>
      </c>
    </row>
    <row r="495" spans="1:9" x14ac:dyDescent="0.3">
      <c r="A495" t="s">
        <v>0</v>
      </c>
      <c r="C495">
        <v>1206500</v>
      </c>
      <c r="E495">
        <v>540000</v>
      </c>
      <c r="G495" s="25">
        <v>43885</v>
      </c>
      <c r="H495">
        <v>2020</v>
      </c>
      <c r="I495" t="s">
        <v>43</v>
      </c>
    </row>
    <row r="496" spans="1:9" x14ac:dyDescent="0.3">
      <c r="A496" t="s">
        <v>25</v>
      </c>
      <c r="G496" s="25">
        <v>43885</v>
      </c>
      <c r="H496">
        <v>2020</v>
      </c>
      <c r="I496" t="s">
        <v>43</v>
      </c>
    </row>
    <row r="497" spans="1:9" x14ac:dyDescent="0.3">
      <c r="A497" t="s">
        <v>15</v>
      </c>
      <c r="G497" s="25">
        <v>43885</v>
      </c>
      <c r="H497">
        <v>2020</v>
      </c>
      <c r="I497" t="s">
        <v>43</v>
      </c>
    </row>
    <row r="498" spans="1:9" x14ac:dyDescent="0.3">
      <c r="A498" t="s">
        <v>26</v>
      </c>
      <c r="G498" s="25">
        <v>43885</v>
      </c>
      <c r="H498">
        <v>2020</v>
      </c>
      <c r="I498" t="s">
        <v>43</v>
      </c>
    </row>
    <row r="499" spans="1:9" x14ac:dyDescent="0.3">
      <c r="A499" t="s">
        <v>22</v>
      </c>
      <c r="G499" s="25">
        <v>43885</v>
      </c>
      <c r="H499">
        <v>2020</v>
      </c>
      <c r="I499" t="s">
        <v>43</v>
      </c>
    </row>
    <row r="500" spans="1:9" x14ac:dyDescent="0.3">
      <c r="A500" t="s">
        <v>19</v>
      </c>
      <c r="G500" s="25">
        <v>43885</v>
      </c>
      <c r="H500">
        <v>2020</v>
      </c>
      <c r="I500" t="s">
        <v>43</v>
      </c>
    </row>
    <row r="501" spans="1:9" x14ac:dyDescent="0.3">
      <c r="A501" t="s">
        <v>14</v>
      </c>
      <c r="G501" s="25">
        <v>43885</v>
      </c>
      <c r="H501">
        <v>2020</v>
      </c>
      <c r="I501" t="s">
        <v>43</v>
      </c>
    </row>
    <row r="502" spans="1:9" x14ac:dyDescent="0.3">
      <c r="A502" t="s">
        <v>24</v>
      </c>
      <c r="G502" s="25">
        <v>43885</v>
      </c>
      <c r="H502">
        <v>2020</v>
      </c>
      <c r="I502" t="s">
        <v>43</v>
      </c>
    </row>
    <row r="503" spans="1:9" x14ac:dyDescent="0.3">
      <c r="A503" t="s">
        <v>21</v>
      </c>
      <c r="G503" s="25">
        <v>43885</v>
      </c>
      <c r="H503">
        <v>2020</v>
      </c>
      <c r="I503" t="s">
        <v>43</v>
      </c>
    </row>
    <row r="504" spans="1:9" x14ac:dyDescent="0.3">
      <c r="A504" t="s">
        <v>18</v>
      </c>
      <c r="G504" s="25">
        <v>43885</v>
      </c>
      <c r="H504">
        <v>2020</v>
      </c>
      <c r="I504" t="s">
        <v>43</v>
      </c>
    </row>
    <row r="505" spans="1:9" x14ac:dyDescent="0.3">
      <c r="A505" t="s">
        <v>16</v>
      </c>
      <c r="C505">
        <v>476500</v>
      </c>
      <c r="E505">
        <v>270000</v>
      </c>
      <c r="G505" s="25">
        <v>43885</v>
      </c>
      <c r="H505">
        <v>2020</v>
      </c>
      <c r="I505" t="s">
        <v>43</v>
      </c>
    </row>
    <row r="506" spans="1:9" x14ac:dyDescent="0.3">
      <c r="A506" t="s">
        <v>20</v>
      </c>
      <c r="G506" s="25">
        <v>43886</v>
      </c>
      <c r="H506">
        <v>2020</v>
      </c>
      <c r="I506" t="s">
        <v>43</v>
      </c>
    </row>
    <row r="507" spans="1:9" x14ac:dyDescent="0.3">
      <c r="A507" t="s">
        <v>37</v>
      </c>
      <c r="G507" s="25">
        <v>43886</v>
      </c>
      <c r="H507">
        <v>2020</v>
      </c>
      <c r="I507" t="s">
        <v>43</v>
      </c>
    </row>
    <row r="508" spans="1:9" x14ac:dyDescent="0.3">
      <c r="A508" t="s">
        <v>17</v>
      </c>
      <c r="B508">
        <v>810000</v>
      </c>
      <c r="D508">
        <v>648000</v>
      </c>
      <c r="G508" s="25">
        <v>43886</v>
      </c>
      <c r="H508">
        <v>2020</v>
      </c>
      <c r="I508" t="s">
        <v>43</v>
      </c>
    </row>
    <row r="509" spans="1:9" x14ac:dyDescent="0.3">
      <c r="A509" t="s">
        <v>0</v>
      </c>
      <c r="C509">
        <v>1782000</v>
      </c>
      <c r="E509">
        <v>270000</v>
      </c>
      <c r="G509" s="25">
        <v>43886</v>
      </c>
      <c r="H509">
        <v>2020</v>
      </c>
      <c r="I509" t="s">
        <v>43</v>
      </c>
    </row>
    <row r="510" spans="1:9" x14ac:dyDescent="0.3">
      <c r="A510" t="s">
        <v>25</v>
      </c>
      <c r="G510" s="25">
        <v>43886</v>
      </c>
      <c r="H510">
        <v>2020</v>
      </c>
      <c r="I510" t="s">
        <v>43</v>
      </c>
    </row>
    <row r="511" spans="1:9" x14ac:dyDescent="0.3">
      <c r="A511" t="s">
        <v>15</v>
      </c>
      <c r="B511">
        <v>54000</v>
      </c>
      <c r="G511" s="25">
        <v>43886</v>
      </c>
      <c r="H511">
        <v>2020</v>
      </c>
      <c r="I511" t="s">
        <v>43</v>
      </c>
    </row>
    <row r="512" spans="1:9" x14ac:dyDescent="0.3">
      <c r="A512" t="s">
        <v>26</v>
      </c>
      <c r="G512" s="25">
        <v>43886</v>
      </c>
      <c r="H512">
        <v>2020</v>
      </c>
      <c r="I512" t="s">
        <v>43</v>
      </c>
    </row>
    <row r="513" spans="1:9" x14ac:dyDescent="0.3">
      <c r="A513" t="s">
        <v>22</v>
      </c>
      <c r="G513" s="25">
        <v>43886</v>
      </c>
      <c r="H513">
        <v>2020</v>
      </c>
      <c r="I513" t="s">
        <v>43</v>
      </c>
    </row>
    <row r="514" spans="1:9" x14ac:dyDescent="0.3">
      <c r="A514" t="s">
        <v>19</v>
      </c>
      <c r="G514" s="25">
        <v>43886</v>
      </c>
      <c r="H514">
        <v>2020</v>
      </c>
      <c r="I514" t="s">
        <v>43</v>
      </c>
    </row>
    <row r="515" spans="1:9" x14ac:dyDescent="0.3">
      <c r="A515" t="s">
        <v>14</v>
      </c>
      <c r="C515">
        <v>54000</v>
      </c>
      <c r="G515" s="25">
        <v>43886</v>
      </c>
      <c r="H515">
        <v>2020</v>
      </c>
      <c r="I515" t="s">
        <v>43</v>
      </c>
    </row>
    <row r="516" spans="1:9" x14ac:dyDescent="0.3">
      <c r="A516" t="s">
        <v>24</v>
      </c>
      <c r="G516" s="25">
        <v>43886</v>
      </c>
      <c r="H516">
        <v>2020</v>
      </c>
      <c r="I516" t="s">
        <v>43</v>
      </c>
    </row>
    <row r="517" spans="1:9" x14ac:dyDescent="0.3">
      <c r="A517" t="s">
        <v>21</v>
      </c>
      <c r="G517" s="25">
        <v>43886</v>
      </c>
      <c r="H517">
        <v>2020</v>
      </c>
      <c r="I517" t="s">
        <v>43</v>
      </c>
    </row>
    <row r="518" spans="1:9" x14ac:dyDescent="0.3">
      <c r="A518" t="s">
        <v>18</v>
      </c>
      <c r="G518" s="25">
        <v>43886</v>
      </c>
      <c r="H518">
        <v>2020</v>
      </c>
      <c r="I518" t="s">
        <v>43</v>
      </c>
    </row>
    <row r="519" spans="1:9" x14ac:dyDescent="0.3">
      <c r="A519" t="s">
        <v>16</v>
      </c>
      <c r="C519">
        <v>50000</v>
      </c>
      <c r="G519" s="25">
        <v>43886</v>
      </c>
      <c r="H519">
        <v>2020</v>
      </c>
      <c r="I519" t="s">
        <v>43</v>
      </c>
    </row>
    <row r="520" spans="1:9" x14ac:dyDescent="0.3">
      <c r="A520" t="s">
        <v>20</v>
      </c>
      <c r="G520" s="25">
        <v>43887</v>
      </c>
      <c r="H520">
        <v>2020</v>
      </c>
      <c r="I520" t="s">
        <v>43</v>
      </c>
    </row>
    <row r="521" spans="1:9" x14ac:dyDescent="0.3">
      <c r="A521" t="s">
        <v>37</v>
      </c>
      <c r="G521" s="25">
        <v>43887</v>
      </c>
      <c r="H521">
        <v>2020</v>
      </c>
      <c r="I521" t="s">
        <v>43</v>
      </c>
    </row>
    <row r="522" spans="1:9" x14ac:dyDescent="0.3">
      <c r="A522" t="s">
        <v>17</v>
      </c>
      <c r="B522">
        <v>1754500</v>
      </c>
      <c r="D522">
        <v>648000</v>
      </c>
      <c r="G522" s="25">
        <v>43887</v>
      </c>
      <c r="H522">
        <v>2020</v>
      </c>
      <c r="I522" t="s">
        <v>43</v>
      </c>
    </row>
    <row r="523" spans="1:9" x14ac:dyDescent="0.3">
      <c r="A523" t="s">
        <v>0</v>
      </c>
      <c r="E523">
        <v>189500</v>
      </c>
      <c r="G523" s="25">
        <v>43887</v>
      </c>
      <c r="H523">
        <v>2020</v>
      </c>
      <c r="I523" t="s">
        <v>43</v>
      </c>
    </row>
    <row r="524" spans="1:9" x14ac:dyDescent="0.3">
      <c r="A524" t="s">
        <v>25</v>
      </c>
      <c r="G524" s="25">
        <v>43887</v>
      </c>
      <c r="H524">
        <v>2020</v>
      </c>
      <c r="I524" t="s">
        <v>43</v>
      </c>
    </row>
    <row r="525" spans="1:9" x14ac:dyDescent="0.3">
      <c r="A525" t="s">
        <v>15</v>
      </c>
      <c r="C525">
        <v>162000</v>
      </c>
      <c r="E525">
        <v>324000</v>
      </c>
      <c r="G525" s="25">
        <v>43887</v>
      </c>
      <c r="H525">
        <v>2020</v>
      </c>
      <c r="I525" t="s">
        <v>43</v>
      </c>
    </row>
    <row r="526" spans="1:9" x14ac:dyDescent="0.3">
      <c r="A526" t="s">
        <v>26</v>
      </c>
      <c r="C526">
        <v>423000</v>
      </c>
      <c r="G526" s="25">
        <v>43887</v>
      </c>
      <c r="H526">
        <v>2020</v>
      </c>
      <c r="I526" t="s">
        <v>43</v>
      </c>
    </row>
    <row r="527" spans="1:9" x14ac:dyDescent="0.3">
      <c r="A527" t="s">
        <v>22</v>
      </c>
      <c r="G527" s="25">
        <v>43887</v>
      </c>
      <c r="H527">
        <v>2020</v>
      </c>
      <c r="I527" t="s">
        <v>43</v>
      </c>
    </row>
    <row r="528" spans="1:9" x14ac:dyDescent="0.3">
      <c r="A528" t="s">
        <v>19</v>
      </c>
      <c r="G528" s="25">
        <v>43887</v>
      </c>
      <c r="H528">
        <v>2020</v>
      </c>
      <c r="I528" t="s">
        <v>43</v>
      </c>
    </row>
    <row r="529" spans="1:9" x14ac:dyDescent="0.3">
      <c r="A529" t="s">
        <v>14</v>
      </c>
      <c r="G529" s="25">
        <v>43887</v>
      </c>
      <c r="H529">
        <v>2020</v>
      </c>
      <c r="I529" t="s">
        <v>43</v>
      </c>
    </row>
    <row r="530" spans="1:9" x14ac:dyDescent="0.3">
      <c r="A530" t="s">
        <v>24</v>
      </c>
      <c r="G530" s="25">
        <v>43887</v>
      </c>
      <c r="H530">
        <v>2020</v>
      </c>
      <c r="I530" t="s">
        <v>43</v>
      </c>
    </row>
    <row r="531" spans="1:9" x14ac:dyDescent="0.3">
      <c r="A531" t="s">
        <v>21</v>
      </c>
      <c r="G531" s="25">
        <v>43887</v>
      </c>
      <c r="H531">
        <v>2020</v>
      </c>
      <c r="I531" t="s">
        <v>43</v>
      </c>
    </row>
    <row r="532" spans="1:9" x14ac:dyDescent="0.3">
      <c r="A532" t="s">
        <v>18</v>
      </c>
      <c r="G532" s="25">
        <v>43887</v>
      </c>
      <c r="H532">
        <v>2020</v>
      </c>
      <c r="I532" t="s">
        <v>43</v>
      </c>
    </row>
    <row r="533" spans="1:9" x14ac:dyDescent="0.3">
      <c r="A533" t="s">
        <v>16</v>
      </c>
      <c r="G533" s="25">
        <v>43887</v>
      </c>
      <c r="H533">
        <v>2020</v>
      </c>
      <c r="I533" t="s">
        <v>43</v>
      </c>
    </row>
    <row r="534" spans="1:9" x14ac:dyDescent="0.3">
      <c r="A534" t="s">
        <v>20</v>
      </c>
      <c r="G534" s="25">
        <v>43888</v>
      </c>
      <c r="H534">
        <v>2020</v>
      </c>
      <c r="I534" t="s">
        <v>43</v>
      </c>
    </row>
    <row r="535" spans="1:9" x14ac:dyDescent="0.3">
      <c r="A535" t="s">
        <v>37</v>
      </c>
      <c r="G535" s="25">
        <v>43888</v>
      </c>
      <c r="H535">
        <v>2020</v>
      </c>
      <c r="I535" t="s">
        <v>43</v>
      </c>
    </row>
    <row r="536" spans="1:9" x14ac:dyDescent="0.3">
      <c r="A536" t="s">
        <v>17</v>
      </c>
      <c r="B536">
        <v>1265000</v>
      </c>
      <c r="D536">
        <v>636000</v>
      </c>
      <c r="G536" s="25">
        <v>43888</v>
      </c>
      <c r="H536">
        <v>2020</v>
      </c>
      <c r="I536" t="s">
        <v>43</v>
      </c>
    </row>
    <row r="537" spans="1:9" x14ac:dyDescent="0.3">
      <c r="A537" t="s">
        <v>0</v>
      </c>
      <c r="G537" s="25">
        <v>43888</v>
      </c>
      <c r="H537">
        <v>2020</v>
      </c>
      <c r="I537" t="s">
        <v>43</v>
      </c>
    </row>
    <row r="538" spans="1:9" x14ac:dyDescent="0.3">
      <c r="A538" t="s">
        <v>25</v>
      </c>
      <c r="G538" s="25">
        <v>43888</v>
      </c>
      <c r="H538">
        <v>2020</v>
      </c>
      <c r="I538" t="s">
        <v>43</v>
      </c>
    </row>
    <row r="539" spans="1:9" x14ac:dyDescent="0.3">
      <c r="A539" t="s">
        <v>15</v>
      </c>
      <c r="C539">
        <v>664000</v>
      </c>
      <c r="E539">
        <v>311500</v>
      </c>
      <c r="G539" s="25">
        <v>43888</v>
      </c>
      <c r="H539">
        <v>2020</v>
      </c>
      <c r="I539" t="s">
        <v>43</v>
      </c>
    </row>
    <row r="540" spans="1:9" x14ac:dyDescent="0.3">
      <c r="A540" t="s">
        <v>26</v>
      </c>
      <c r="C540">
        <v>639500</v>
      </c>
      <c r="G540" s="25">
        <v>43888</v>
      </c>
      <c r="H540">
        <v>2020</v>
      </c>
      <c r="I540" t="s">
        <v>43</v>
      </c>
    </row>
    <row r="541" spans="1:9" x14ac:dyDescent="0.3">
      <c r="A541" t="s">
        <v>22</v>
      </c>
      <c r="G541" s="25">
        <v>43888</v>
      </c>
      <c r="H541">
        <v>2020</v>
      </c>
      <c r="I541" t="s">
        <v>43</v>
      </c>
    </row>
    <row r="542" spans="1:9" x14ac:dyDescent="0.3">
      <c r="A542" t="s">
        <v>19</v>
      </c>
      <c r="G542" s="25">
        <v>43888</v>
      </c>
      <c r="H542">
        <v>2020</v>
      </c>
      <c r="I542" t="s">
        <v>43</v>
      </c>
    </row>
    <row r="543" spans="1:9" x14ac:dyDescent="0.3">
      <c r="A543" t="s">
        <v>14</v>
      </c>
      <c r="B543">
        <v>851000</v>
      </c>
      <c r="D543">
        <v>212000</v>
      </c>
      <c r="G543" s="25">
        <v>43888</v>
      </c>
      <c r="H543">
        <v>2020</v>
      </c>
      <c r="I543" t="s">
        <v>43</v>
      </c>
    </row>
    <row r="544" spans="1:9" x14ac:dyDescent="0.3">
      <c r="A544" t="s">
        <v>24</v>
      </c>
      <c r="G544" s="25">
        <v>43888</v>
      </c>
      <c r="H544">
        <v>2020</v>
      </c>
      <c r="I544" t="s">
        <v>43</v>
      </c>
    </row>
    <row r="545" spans="1:9" x14ac:dyDescent="0.3">
      <c r="A545" t="s">
        <v>21</v>
      </c>
      <c r="G545" s="25">
        <v>43888</v>
      </c>
      <c r="H545">
        <v>2020</v>
      </c>
      <c r="I545" t="s">
        <v>43</v>
      </c>
    </row>
    <row r="546" spans="1:9" x14ac:dyDescent="0.3">
      <c r="A546" t="s">
        <v>18</v>
      </c>
      <c r="C546">
        <v>424000</v>
      </c>
      <c r="G546" s="25">
        <v>43888</v>
      </c>
      <c r="H546">
        <v>2020</v>
      </c>
      <c r="I546" t="s">
        <v>43</v>
      </c>
    </row>
    <row r="547" spans="1:9" x14ac:dyDescent="0.3">
      <c r="A547" t="s">
        <v>16</v>
      </c>
      <c r="G547" s="25">
        <v>43888</v>
      </c>
      <c r="H547">
        <v>2020</v>
      </c>
      <c r="I547" t="s">
        <v>43</v>
      </c>
    </row>
    <row r="548" spans="1:9" x14ac:dyDescent="0.3">
      <c r="A548" t="s">
        <v>20</v>
      </c>
      <c r="C548">
        <v>50000</v>
      </c>
      <c r="G548" s="25">
        <v>43889</v>
      </c>
      <c r="H548">
        <v>2020</v>
      </c>
      <c r="I548" t="s">
        <v>43</v>
      </c>
    </row>
    <row r="549" spans="1:9" x14ac:dyDescent="0.3">
      <c r="A549" t="s">
        <v>37</v>
      </c>
      <c r="G549" s="25">
        <v>43889</v>
      </c>
      <c r="H549">
        <v>2020</v>
      </c>
      <c r="I549" t="s">
        <v>43</v>
      </c>
    </row>
    <row r="550" spans="1:9" x14ac:dyDescent="0.3">
      <c r="A550" t="s">
        <v>17</v>
      </c>
      <c r="B550">
        <v>953000</v>
      </c>
      <c r="D550">
        <v>528000</v>
      </c>
      <c r="G550" s="25">
        <v>43889</v>
      </c>
      <c r="H550">
        <v>2020</v>
      </c>
      <c r="I550" t="s">
        <v>43</v>
      </c>
    </row>
    <row r="551" spans="1:9" x14ac:dyDescent="0.3">
      <c r="A551" t="s">
        <v>0</v>
      </c>
      <c r="G551" s="25">
        <v>43889</v>
      </c>
      <c r="H551">
        <v>2020</v>
      </c>
      <c r="I551" t="s">
        <v>43</v>
      </c>
    </row>
    <row r="552" spans="1:9" x14ac:dyDescent="0.3">
      <c r="A552" t="s">
        <v>25</v>
      </c>
      <c r="E552">
        <v>478000</v>
      </c>
      <c r="G552" s="25">
        <v>43889</v>
      </c>
      <c r="H552">
        <v>2020</v>
      </c>
      <c r="I552" t="s">
        <v>43</v>
      </c>
    </row>
    <row r="553" spans="1:9" x14ac:dyDescent="0.3">
      <c r="A553" t="s">
        <v>15</v>
      </c>
      <c r="C553">
        <v>968000</v>
      </c>
      <c r="E553">
        <v>150000</v>
      </c>
      <c r="G553" s="25">
        <v>43889</v>
      </c>
      <c r="H553">
        <v>2020</v>
      </c>
      <c r="I553" t="s">
        <v>43</v>
      </c>
    </row>
    <row r="554" spans="1:9" x14ac:dyDescent="0.3">
      <c r="A554" t="s">
        <v>26</v>
      </c>
      <c r="C554">
        <v>108000</v>
      </c>
      <c r="G554" s="25">
        <v>43889</v>
      </c>
      <c r="H554">
        <v>2020</v>
      </c>
      <c r="I554" t="s">
        <v>43</v>
      </c>
    </row>
    <row r="555" spans="1:9" x14ac:dyDescent="0.3">
      <c r="A555" t="s">
        <v>22</v>
      </c>
      <c r="G555" s="25">
        <v>43889</v>
      </c>
      <c r="H555">
        <v>2020</v>
      </c>
      <c r="I555" t="s">
        <v>43</v>
      </c>
    </row>
    <row r="556" spans="1:9" x14ac:dyDescent="0.3">
      <c r="A556" t="s">
        <v>19</v>
      </c>
      <c r="G556" s="25">
        <v>43889</v>
      </c>
      <c r="H556">
        <v>2020</v>
      </c>
      <c r="I556" t="s">
        <v>43</v>
      </c>
    </row>
    <row r="557" spans="1:9" x14ac:dyDescent="0.3">
      <c r="A557" t="s">
        <v>14</v>
      </c>
      <c r="B557">
        <v>1330000</v>
      </c>
      <c r="D557">
        <v>158000</v>
      </c>
      <c r="G557" s="25">
        <v>43889</v>
      </c>
      <c r="H557">
        <v>2020</v>
      </c>
      <c r="I557" t="s">
        <v>43</v>
      </c>
    </row>
    <row r="558" spans="1:9" x14ac:dyDescent="0.3">
      <c r="A558" t="s">
        <v>24</v>
      </c>
      <c r="G558" s="25">
        <v>43889</v>
      </c>
      <c r="H558">
        <v>2020</v>
      </c>
      <c r="I558" t="s">
        <v>43</v>
      </c>
    </row>
    <row r="559" spans="1:9" x14ac:dyDescent="0.3">
      <c r="A559" t="s">
        <v>21</v>
      </c>
      <c r="G559" s="25">
        <v>43889</v>
      </c>
      <c r="H559">
        <v>2020</v>
      </c>
      <c r="I559" t="s">
        <v>43</v>
      </c>
    </row>
    <row r="560" spans="1:9" x14ac:dyDescent="0.3">
      <c r="A560" t="s">
        <v>18</v>
      </c>
      <c r="C560">
        <v>108000</v>
      </c>
      <c r="G560" s="25">
        <v>43889</v>
      </c>
      <c r="H560">
        <v>2020</v>
      </c>
      <c r="I560" t="s">
        <v>43</v>
      </c>
    </row>
    <row r="561" spans="1:9" x14ac:dyDescent="0.3">
      <c r="A561" t="s">
        <v>16</v>
      </c>
      <c r="G561" s="25">
        <v>43889</v>
      </c>
      <c r="H561">
        <v>2020</v>
      </c>
      <c r="I561" t="s">
        <v>43</v>
      </c>
    </row>
    <row r="562" spans="1:9" x14ac:dyDescent="0.3">
      <c r="A562" t="s">
        <v>20</v>
      </c>
      <c r="G562" s="25">
        <v>43892</v>
      </c>
      <c r="H562">
        <v>2020</v>
      </c>
      <c r="I562" t="s">
        <v>45</v>
      </c>
    </row>
    <row r="563" spans="1:9" x14ac:dyDescent="0.3">
      <c r="A563" t="s">
        <v>37</v>
      </c>
      <c r="G563" s="25">
        <v>43892</v>
      </c>
      <c r="H563">
        <v>2020</v>
      </c>
      <c r="I563" t="s">
        <v>45</v>
      </c>
    </row>
    <row r="564" spans="1:9" x14ac:dyDescent="0.3">
      <c r="A564" t="s">
        <v>17</v>
      </c>
      <c r="C564">
        <v>162000</v>
      </c>
      <c r="G564" s="25">
        <v>43892</v>
      </c>
      <c r="H564">
        <v>2020</v>
      </c>
      <c r="I564" t="s">
        <v>45</v>
      </c>
    </row>
    <row r="565" spans="1:9" x14ac:dyDescent="0.3">
      <c r="A565" t="s">
        <v>0</v>
      </c>
      <c r="G565" s="25">
        <v>43892</v>
      </c>
      <c r="H565">
        <v>2020</v>
      </c>
      <c r="I565" t="s">
        <v>45</v>
      </c>
    </row>
    <row r="566" spans="1:9" x14ac:dyDescent="0.3">
      <c r="A566" t="s">
        <v>25</v>
      </c>
      <c r="G566" s="25">
        <v>43892</v>
      </c>
      <c r="H566">
        <v>2020</v>
      </c>
      <c r="I566" t="s">
        <v>45</v>
      </c>
    </row>
    <row r="567" spans="1:9" x14ac:dyDescent="0.3">
      <c r="A567" t="s">
        <v>15</v>
      </c>
      <c r="G567" s="25">
        <v>43892</v>
      </c>
      <c r="H567">
        <v>2020</v>
      </c>
      <c r="I567" t="s">
        <v>45</v>
      </c>
    </row>
    <row r="568" spans="1:9" x14ac:dyDescent="0.3">
      <c r="A568" t="s">
        <v>26</v>
      </c>
      <c r="G568" s="25">
        <v>43892</v>
      </c>
      <c r="H568">
        <v>2020</v>
      </c>
      <c r="I568" t="s">
        <v>45</v>
      </c>
    </row>
    <row r="569" spans="1:9" x14ac:dyDescent="0.3">
      <c r="A569" t="s">
        <v>22</v>
      </c>
      <c r="G569" s="25">
        <v>43892</v>
      </c>
      <c r="H569">
        <v>2020</v>
      </c>
      <c r="I569" t="s">
        <v>45</v>
      </c>
    </row>
    <row r="570" spans="1:9" x14ac:dyDescent="0.3">
      <c r="A570" t="s">
        <v>19</v>
      </c>
      <c r="B570">
        <v>731500</v>
      </c>
      <c r="D570">
        <v>270000</v>
      </c>
      <c r="G570" s="25">
        <v>43892</v>
      </c>
      <c r="H570">
        <v>2020</v>
      </c>
      <c r="I570" t="s">
        <v>45</v>
      </c>
    </row>
    <row r="571" spans="1:9" x14ac:dyDescent="0.3">
      <c r="A571" t="s">
        <v>14</v>
      </c>
      <c r="G571" s="25">
        <v>43892</v>
      </c>
      <c r="H571">
        <v>2020</v>
      </c>
      <c r="I571" t="s">
        <v>45</v>
      </c>
    </row>
    <row r="572" spans="1:9" x14ac:dyDescent="0.3">
      <c r="A572" t="s">
        <v>24</v>
      </c>
      <c r="G572" s="25">
        <v>43892</v>
      </c>
      <c r="H572">
        <v>2020</v>
      </c>
      <c r="I572" t="s">
        <v>45</v>
      </c>
    </row>
    <row r="573" spans="1:9" x14ac:dyDescent="0.3">
      <c r="A573" t="s">
        <v>21</v>
      </c>
      <c r="G573" s="25">
        <v>43892</v>
      </c>
      <c r="H573">
        <v>2020</v>
      </c>
      <c r="I573" t="s">
        <v>45</v>
      </c>
    </row>
    <row r="574" spans="1:9" x14ac:dyDescent="0.3">
      <c r="A574" t="s">
        <v>18</v>
      </c>
      <c r="G574" s="25">
        <v>43892</v>
      </c>
      <c r="H574">
        <v>2020</v>
      </c>
      <c r="I574" t="s">
        <v>45</v>
      </c>
    </row>
    <row r="575" spans="1:9" x14ac:dyDescent="0.3">
      <c r="A575" t="s">
        <v>16</v>
      </c>
      <c r="B575">
        <v>162000</v>
      </c>
      <c r="C575">
        <v>108000</v>
      </c>
      <c r="D575">
        <v>216000</v>
      </c>
      <c r="G575" s="25">
        <v>43892</v>
      </c>
      <c r="H575">
        <v>2020</v>
      </c>
      <c r="I575" t="s">
        <v>45</v>
      </c>
    </row>
    <row r="576" spans="1:9" x14ac:dyDescent="0.3">
      <c r="A576" t="s">
        <v>20</v>
      </c>
      <c r="G576" s="25">
        <v>43893</v>
      </c>
      <c r="H576">
        <v>2020</v>
      </c>
      <c r="I576" t="s">
        <v>45</v>
      </c>
    </row>
    <row r="577" spans="1:9" x14ac:dyDescent="0.3">
      <c r="A577" t="s">
        <v>37</v>
      </c>
      <c r="G577" s="25">
        <v>43893</v>
      </c>
      <c r="H577">
        <v>2020</v>
      </c>
      <c r="I577" t="s">
        <v>45</v>
      </c>
    </row>
    <row r="578" spans="1:9" x14ac:dyDescent="0.3">
      <c r="A578" t="s">
        <v>17</v>
      </c>
      <c r="B578">
        <v>54000</v>
      </c>
      <c r="C578">
        <v>914000</v>
      </c>
      <c r="G578" s="25">
        <v>43893</v>
      </c>
      <c r="H578">
        <v>2020</v>
      </c>
      <c r="I578" t="s">
        <v>45</v>
      </c>
    </row>
    <row r="579" spans="1:9" x14ac:dyDescent="0.3">
      <c r="A579" t="s">
        <v>0</v>
      </c>
      <c r="G579" s="25">
        <v>43893</v>
      </c>
      <c r="H579">
        <v>2020</v>
      </c>
      <c r="I579" t="s">
        <v>45</v>
      </c>
    </row>
    <row r="580" spans="1:9" x14ac:dyDescent="0.3">
      <c r="A580" t="s">
        <v>25</v>
      </c>
      <c r="G580" s="25">
        <v>43893</v>
      </c>
      <c r="H580">
        <v>2020</v>
      </c>
      <c r="I580" t="s">
        <v>45</v>
      </c>
    </row>
    <row r="581" spans="1:9" x14ac:dyDescent="0.3">
      <c r="A581" t="s">
        <v>15</v>
      </c>
      <c r="G581" s="25">
        <v>43893</v>
      </c>
      <c r="H581">
        <v>2020</v>
      </c>
      <c r="I581" t="s">
        <v>45</v>
      </c>
    </row>
    <row r="582" spans="1:9" x14ac:dyDescent="0.3">
      <c r="A582" t="s">
        <v>26</v>
      </c>
      <c r="G582" s="25">
        <v>43893</v>
      </c>
      <c r="H582">
        <v>2020</v>
      </c>
      <c r="I582" t="s">
        <v>45</v>
      </c>
    </row>
    <row r="583" spans="1:9" x14ac:dyDescent="0.3">
      <c r="A583" t="s">
        <v>22</v>
      </c>
      <c r="G583" s="25">
        <v>43893</v>
      </c>
      <c r="H583">
        <v>2020</v>
      </c>
      <c r="I583" t="s">
        <v>45</v>
      </c>
    </row>
    <row r="584" spans="1:9" x14ac:dyDescent="0.3">
      <c r="A584" t="s">
        <v>19</v>
      </c>
      <c r="B584">
        <v>403000</v>
      </c>
      <c r="D584">
        <v>424000</v>
      </c>
      <c r="G584" s="25">
        <v>43893</v>
      </c>
      <c r="H584">
        <v>2020</v>
      </c>
      <c r="I584" t="s">
        <v>45</v>
      </c>
    </row>
    <row r="585" spans="1:9" x14ac:dyDescent="0.3">
      <c r="A585" t="s">
        <v>14</v>
      </c>
      <c r="B585">
        <v>478000</v>
      </c>
      <c r="D585">
        <v>270000</v>
      </c>
      <c r="G585" s="25">
        <v>43893</v>
      </c>
      <c r="H585">
        <v>2020</v>
      </c>
      <c r="I585" t="s">
        <v>45</v>
      </c>
    </row>
    <row r="586" spans="1:9" x14ac:dyDescent="0.3">
      <c r="A586" t="s">
        <v>24</v>
      </c>
      <c r="G586" s="25">
        <v>43893</v>
      </c>
      <c r="H586">
        <v>2020</v>
      </c>
      <c r="I586" t="s">
        <v>45</v>
      </c>
    </row>
    <row r="587" spans="1:9" x14ac:dyDescent="0.3">
      <c r="A587" t="s">
        <v>21</v>
      </c>
      <c r="G587" s="25">
        <v>43893</v>
      </c>
      <c r="H587">
        <v>2020</v>
      </c>
      <c r="I587" t="s">
        <v>45</v>
      </c>
    </row>
    <row r="588" spans="1:9" x14ac:dyDescent="0.3">
      <c r="A588" t="s">
        <v>18</v>
      </c>
      <c r="G588" s="25">
        <v>43893</v>
      </c>
      <c r="H588">
        <v>2020</v>
      </c>
      <c r="I588" t="s">
        <v>45</v>
      </c>
    </row>
    <row r="589" spans="1:9" x14ac:dyDescent="0.3">
      <c r="A589" t="s">
        <v>16</v>
      </c>
      <c r="B589">
        <v>347000</v>
      </c>
      <c r="D589">
        <v>324000</v>
      </c>
      <c r="G589" s="25">
        <v>43893</v>
      </c>
      <c r="H589">
        <v>2020</v>
      </c>
      <c r="I589" t="s">
        <v>45</v>
      </c>
    </row>
    <row r="590" spans="1:9" x14ac:dyDescent="0.3">
      <c r="A590" t="s">
        <v>20</v>
      </c>
      <c r="G590" s="25">
        <v>43894</v>
      </c>
      <c r="H590">
        <v>2020</v>
      </c>
      <c r="I590" t="s">
        <v>45</v>
      </c>
    </row>
    <row r="591" spans="1:9" x14ac:dyDescent="0.3">
      <c r="A591" t="s">
        <v>37</v>
      </c>
      <c r="G591" s="25">
        <v>43894</v>
      </c>
      <c r="H591">
        <v>2020</v>
      </c>
      <c r="I591" t="s">
        <v>45</v>
      </c>
    </row>
    <row r="592" spans="1:9" x14ac:dyDescent="0.3">
      <c r="A592" t="s">
        <v>17</v>
      </c>
      <c r="B592">
        <v>258000</v>
      </c>
      <c r="C592">
        <v>719000</v>
      </c>
      <c r="G592" s="25">
        <v>43894</v>
      </c>
      <c r="H592">
        <v>2020</v>
      </c>
      <c r="I592" t="s">
        <v>45</v>
      </c>
    </row>
    <row r="593" spans="1:9" x14ac:dyDescent="0.3">
      <c r="A593" t="s">
        <v>0</v>
      </c>
      <c r="G593" s="25">
        <v>43894</v>
      </c>
      <c r="H593">
        <v>2020</v>
      </c>
      <c r="I593" t="s">
        <v>45</v>
      </c>
    </row>
    <row r="594" spans="1:9" x14ac:dyDescent="0.3">
      <c r="A594" t="s">
        <v>25</v>
      </c>
      <c r="B594">
        <v>266000</v>
      </c>
      <c r="C594">
        <v>819000</v>
      </c>
      <c r="D594">
        <v>108000</v>
      </c>
      <c r="G594" s="25">
        <v>43894</v>
      </c>
      <c r="H594">
        <v>2020</v>
      </c>
      <c r="I594" t="s">
        <v>45</v>
      </c>
    </row>
    <row r="595" spans="1:9" x14ac:dyDescent="0.3">
      <c r="A595" t="s">
        <v>15</v>
      </c>
      <c r="G595" s="25">
        <v>43894</v>
      </c>
      <c r="H595">
        <v>2020</v>
      </c>
      <c r="I595" t="s">
        <v>45</v>
      </c>
    </row>
    <row r="596" spans="1:9" x14ac:dyDescent="0.3">
      <c r="A596" t="s">
        <v>26</v>
      </c>
      <c r="G596" s="25">
        <v>43894</v>
      </c>
      <c r="H596">
        <v>2020</v>
      </c>
      <c r="I596" t="s">
        <v>45</v>
      </c>
    </row>
    <row r="597" spans="1:9" x14ac:dyDescent="0.3">
      <c r="A597" t="s">
        <v>22</v>
      </c>
      <c r="G597" s="25">
        <v>43894</v>
      </c>
      <c r="H597">
        <v>2020</v>
      </c>
      <c r="I597" t="s">
        <v>45</v>
      </c>
    </row>
    <row r="598" spans="1:9" x14ac:dyDescent="0.3">
      <c r="A598" t="s">
        <v>19</v>
      </c>
      <c r="B598">
        <v>473500</v>
      </c>
      <c r="D598">
        <v>374000</v>
      </c>
      <c r="G598" s="25">
        <v>43894</v>
      </c>
      <c r="H598">
        <v>2020</v>
      </c>
      <c r="I598" t="s">
        <v>45</v>
      </c>
    </row>
    <row r="599" spans="1:9" x14ac:dyDescent="0.3">
      <c r="A599" t="s">
        <v>14</v>
      </c>
      <c r="B599">
        <v>378000</v>
      </c>
      <c r="D599">
        <v>216000</v>
      </c>
      <c r="G599" s="25">
        <v>43894</v>
      </c>
      <c r="H599">
        <v>2020</v>
      </c>
      <c r="I599" t="s">
        <v>45</v>
      </c>
    </row>
    <row r="600" spans="1:9" x14ac:dyDescent="0.3">
      <c r="A600" t="s">
        <v>24</v>
      </c>
      <c r="G600" s="25">
        <v>43894</v>
      </c>
      <c r="H600">
        <v>2020</v>
      </c>
      <c r="I600" t="s">
        <v>45</v>
      </c>
    </row>
    <row r="601" spans="1:9" x14ac:dyDescent="0.3">
      <c r="A601" t="s">
        <v>21</v>
      </c>
      <c r="G601" s="25">
        <v>43894</v>
      </c>
      <c r="H601">
        <v>2020</v>
      </c>
      <c r="I601" t="s">
        <v>45</v>
      </c>
    </row>
    <row r="602" spans="1:9" x14ac:dyDescent="0.3">
      <c r="A602" t="s">
        <v>18</v>
      </c>
      <c r="G602" s="25">
        <v>43894</v>
      </c>
      <c r="H602">
        <v>2020</v>
      </c>
      <c r="I602" t="s">
        <v>45</v>
      </c>
    </row>
    <row r="603" spans="1:9" x14ac:dyDescent="0.3">
      <c r="A603" t="s">
        <v>16</v>
      </c>
      <c r="B603">
        <v>270000</v>
      </c>
      <c r="D603">
        <v>216000</v>
      </c>
      <c r="G603" s="25">
        <v>43894</v>
      </c>
      <c r="H603">
        <v>2020</v>
      </c>
      <c r="I603" t="s">
        <v>45</v>
      </c>
    </row>
    <row r="604" spans="1:9" x14ac:dyDescent="0.3">
      <c r="A604" t="s">
        <v>20</v>
      </c>
      <c r="G604" s="25">
        <v>43895</v>
      </c>
      <c r="H604">
        <v>2020</v>
      </c>
      <c r="I604" t="s">
        <v>45</v>
      </c>
    </row>
    <row r="605" spans="1:9" x14ac:dyDescent="0.3">
      <c r="A605" t="s">
        <v>37</v>
      </c>
      <c r="G605" s="25">
        <v>43895</v>
      </c>
      <c r="H605">
        <v>2020</v>
      </c>
      <c r="I605" t="s">
        <v>45</v>
      </c>
    </row>
    <row r="606" spans="1:9" x14ac:dyDescent="0.3">
      <c r="A606" t="s">
        <v>17</v>
      </c>
      <c r="C606">
        <v>153000</v>
      </c>
      <c r="G606" s="25">
        <v>43895</v>
      </c>
      <c r="H606">
        <v>2020</v>
      </c>
      <c r="I606" t="s">
        <v>45</v>
      </c>
    </row>
    <row r="607" spans="1:9" x14ac:dyDescent="0.3">
      <c r="A607" t="s">
        <v>0</v>
      </c>
      <c r="C607">
        <v>1758500</v>
      </c>
      <c r="G607" s="25">
        <v>43895</v>
      </c>
      <c r="H607">
        <v>2020</v>
      </c>
      <c r="I607" t="s">
        <v>45</v>
      </c>
    </row>
    <row r="608" spans="1:9" x14ac:dyDescent="0.3">
      <c r="A608" t="s">
        <v>25</v>
      </c>
      <c r="B608">
        <v>162000</v>
      </c>
      <c r="C608">
        <v>90000</v>
      </c>
      <c r="D608">
        <v>162000</v>
      </c>
      <c r="G608" s="25">
        <v>43895</v>
      </c>
      <c r="H608">
        <v>2020</v>
      </c>
      <c r="I608" t="s">
        <v>45</v>
      </c>
    </row>
    <row r="609" spans="1:9" x14ac:dyDescent="0.3">
      <c r="A609" t="s">
        <v>15</v>
      </c>
      <c r="G609" s="25">
        <v>43895</v>
      </c>
      <c r="H609">
        <v>2020</v>
      </c>
      <c r="I609" t="s">
        <v>45</v>
      </c>
    </row>
    <row r="610" spans="1:9" x14ac:dyDescent="0.3">
      <c r="A610" t="s">
        <v>26</v>
      </c>
      <c r="B610">
        <v>162000</v>
      </c>
      <c r="D610">
        <v>266000</v>
      </c>
      <c r="G610" s="25">
        <v>43895</v>
      </c>
      <c r="H610">
        <v>2020</v>
      </c>
      <c r="I610" t="s">
        <v>45</v>
      </c>
    </row>
    <row r="611" spans="1:9" x14ac:dyDescent="0.3">
      <c r="A611" t="s">
        <v>22</v>
      </c>
      <c r="G611" s="25">
        <v>43895</v>
      </c>
      <c r="H611">
        <v>2020</v>
      </c>
      <c r="I611" t="s">
        <v>45</v>
      </c>
    </row>
    <row r="612" spans="1:9" x14ac:dyDescent="0.3">
      <c r="A612" t="s">
        <v>19</v>
      </c>
      <c r="B612">
        <v>99500</v>
      </c>
      <c r="D612">
        <v>378000</v>
      </c>
      <c r="G612" s="25">
        <v>43895</v>
      </c>
      <c r="H612">
        <v>2020</v>
      </c>
      <c r="I612" t="s">
        <v>45</v>
      </c>
    </row>
    <row r="613" spans="1:9" x14ac:dyDescent="0.3">
      <c r="A613" t="s">
        <v>14</v>
      </c>
      <c r="B613">
        <v>153000</v>
      </c>
      <c r="D613">
        <v>324000</v>
      </c>
      <c r="G613" s="25">
        <v>43895</v>
      </c>
      <c r="H613">
        <v>2020</v>
      </c>
      <c r="I613" t="s">
        <v>45</v>
      </c>
    </row>
    <row r="614" spans="1:9" x14ac:dyDescent="0.3">
      <c r="A614" t="s">
        <v>24</v>
      </c>
      <c r="G614" s="25">
        <v>43895</v>
      </c>
      <c r="H614">
        <v>2020</v>
      </c>
      <c r="I614" t="s">
        <v>45</v>
      </c>
    </row>
    <row r="615" spans="1:9" x14ac:dyDescent="0.3">
      <c r="A615" t="s">
        <v>21</v>
      </c>
      <c r="G615" s="25">
        <v>43895</v>
      </c>
      <c r="H615">
        <v>2020</v>
      </c>
      <c r="I615" t="s">
        <v>45</v>
      </c>
    </row>
    <row r="616" spans="1:9" x14ac:dyDescent="0.3">
      <c r="A616" t="s">
        <v>18</v>
      </c>
      <c r="C616">
        <v>216000</v>
      </c>
      <c r="G616" s="25">
        <v>43895</v>
      </c>
      <c r="H616">
        <v>2020</v>
      </c>
      <c r="I616" t="s">
        <v>45</v>
      </c>
    </row>
    <row r="617" spans="1:9" x14ac:dyDescent="0.3">
      <c r="A617" t="s">
        <v>16</v>
      </c>
      <c r="B617">
        <v>1015000</v>
      </c>
      <c r="D617">
        <v>54000</v>
      </c>
      <c r="G617" s="25">
        <v>43895</v>
      </c>
      <c r="H617">
        <v>2020</v>
      </c>
      <c r="I617" t="s">
        <v>45</v>
      </c>
    </row>
    <row r="618" spans="1:9" x14ac:dyDescent="0.3">
      <c r="A618" t="s">
        <v>20</v>
      </c>
      <c r="G618" s="25">
        <v>43899</v>
      </c>
      <c r="H618">
        <v>2020</v>
      </c>
      <c r="I618" t="s">
        <v>45</v>
      </c>
    </row>
    <row r="619" spans="1:9" x14ac:dyDescent="0.3">
      <c r="A619" t="s">
        <v>37</v>
      </c>
      <c r="G619" s="25">
        <v>43899</v>
      </c>
      <c r="H619">
        <v>2020</v>
      </c>
      <c r="I619" t="s">
        <v>45</v>
      </c>
    </row>
    <row r="620" spans="1:9" x14ac:dyDescent="0.3">
      <c r="A620" t="s">
        <v>17</v>
      </c>
      <c r="C620">
        <v>914000</v>
      </c>
      <c r="G620" s="25">
        <v>43899</v>
      </c>
      <c r="H620">
        <v>2020</v>
      </c>
      <c r="I620" t="s">
        <v>45</v>
      </c>
    </row>
    <row r="621" spans="1:9" x14ac:dyDescent="0.3">
      <c r="A621" t="s">
        <v>0</v>
      </c>
      <c r="C621">
        <v>239500</v>
      </c>
      <c r="G621" s="25">
        <v>43899</v>
      </c>
      <c r="H621">
        <v>2020</v>
      </c>
      <c r="I621" t="s">
        <v>45</v>
      </c>
    </row>
    <row r="622" spans="1:9" x14ac:dyDescent="0.3">
      <c r="A622" t="s">
        <v>25</v>
      </c>
      <c r="D622">
        <v>54000</v>
      </c>
      <c r="G622" s="25">
        <v>43899</v>
      </c>
      <c r="H622">
        <v>2020</v>
      </c>
      <c r="I622" t="s">
        <v>45</v>
      </c>
    </row>
    <row r="623" spans="1:9" x14ac:dyDescent="0.3">
      <c r="A623" t="s">
        <v>15</v>
      </c>
      <c r="G623" s="25">
        <v>43899</v>
      </c>
      <c r="H623">
        <v>2020</v>
      </c>
      <c r="I623" t="s">
        <v>45</v>
      </c>
    </row>
    <row r="624" spans="1:9" x14ac:dyDescent="0.3">
      <c r="A624" t="s">
        <v>26</v>
      </c>
      <c r="B624">
        <v>252000</v>
      </c>
      <c r="D624">
        <v>162000</v>
      </c>
      <c r="G624" s="25">
        <v>43899</v>
      </c>
      <c r="H624">
        <v>2020</v>
      </c>
      <c r="I624" t="s">
        <v>45</v>
      </c>
    </row>
    <row r="625" spans="1:9" x14ac:dyDescent="0.3">
      <c r="A625" t="s">
        <v>22</v>
      </c>
      <c r="G625" s="25">
        <v>43899</v>
      </c>
      <c r="H625">
        <v>2020</v>
      </c>
      <c r="I625" t="s">
        <v>45</v>
      </c>
    </row>
    <row r="626" spans="1:9" x14ac:dyDescent="0.3">
      <c r="A626" t="s">
        <v>19</v>
      </c>
      <c r="B626">
        <v>696000</v>
      </c>
      <c r="D626">
        <v>378000</v>
      </c>
      <c r="G626" s="25">
        <v>43899</v>
      </c>
      <c r="H626">
        <v>2020</v>
      </c>
      <c r="I626" t="s">
        <v>45</v>
      </c>
    </row>
    <row r="627" spans="1:9" x14ac:dyDescent="0.3">
      <c r="A627" t="s">
        <v>14</v>
      </c>
      <c r="B627">
        <v>737500</v>
      </c>
      <c r="D627">
        <v>324000</v>
      </c>
      <c r="G627" s="25">
        <v>43899</v>
      </c>
      <c r="H627">
        <v>2020</v>
      </c>
      <c r="I627" t="s">
        <v>45</v>
      </c>
    </row>
    <row r="628" spans="1:9" x14ac:dyDescent="0.3">
      <c r="A628" t="s">
        <v>24</v>
      </c>
      <c r="G628" s="25">
        <v>43899</v>
      </c>
      <c r="H628">
        <v>2020</v>
      </c>
      <c r="I628" t="s">
        <v>45</v>
      </c>
    </row>
    <row r="629" spans="1:9" x14ac:dyDescent="0.3">
      <c r="A629" t="s">
        <v>21</v>
      </c>
      <c r="G629" s="25">
        <v>43899</v>
      </c>
      <c r="H629">
        <v>2020</v>
      </c>
      <c r="I629" t="s">
        <v>45</v>
      </c>
    </row>
    <row r="630" spans="1:9" x14ac:dyDescent="0.3">
      <c r="A630" t="s">
        <v>18</v>
      </c>
      <c r="G630" s="25">
        <v>43899</v>
      </c>
      <c r="H630">
        <v>2020</v>
      </c>
      <c r="I630" t="s">
        <v>45</v>
      </c>
    </row>
    <row r="631" spans="1:9" x14ac:dyDescent="0.3">
      <c r="A631" t="s">
        <v>16</v>
      </c>
      <c r="C631">
        <v>413000</v>
      </c>
      <c r="E631">
        <v>374000</v>
      </c>
      <c r="G631" s="25">
        <v>43899</v>
      </c>
      <c r="H631">
        <v>2020</v>
      </c>
      <c r="I631" t="s">
        <v>45</v>
      </c>
    </row>
    <row r="632" spans="1:9" x14ac:dyDescent="0.3">
      <c r="A632" t="s">
        <v>20</v>
      </c>
      <c r="G632" s="25">
        <v>43900</v>
      </c>
      <c r="H632">
        <v>2020</v>
      </c>
      <c r="I632" t="s">
        <v>45</v>
      </c>
    </row>
    <row r="633" spans="1:9" x14ac:dyDescent="0.3">
      <c r="A633" t="s">
        <v>37</v>
      </c>
      <c r="G633" s="25">
        <v>43900</v>
      </c>
      <c r="H633">
        <v>2020</v>
      </c>
      <c r="I633" t="s">
        <v>45</v>
      </c>
    </row>
    <row r="634" spans="1:9" x14ac:dyDescent="0.3">
      <c r="A634" t="s">
        <v>17</v>
      </c>
      <c r="B634">
        <v>270000</v>
      </c>
      <c r="C634">
        <v>531500</v>
      </c>
      <c r="D634">
        <v>315000</v>
      </c>
      <c r="G634" s="25">
        <v>43900</v>
      </c>
      <c r="H634">
        <v>2020</v>
      </c>
      <c r="I634" t="s">
        <v>45</v>
      </c>
    </row>
    <row r="635" spans="1:9" x14ac:dyDescent="0.3">
      <c r="A635" t="s">
        <v>0</v>
      </c>
      <c r="E635">
        <v>1328000</v>
      </c>
      <c r="G635" s="25">
        <v>43900</v>
      </c>
      <c r="H635">
        <v>2020</v>
      </c>
      <c r="I635" t="s">
        <v>45</v>
      </c>
    </row>
    <row r="636" spans="1:9" x14ac:dyDescent="0.3">
      <c r="A636" t="s">
        <v>25</v>
      </c>
      <c r="B636">
        <v>428000</v>
      </c>
      <c r="C636">
        <v>45000</v>
      </c>
      <c r="G636" s="25">
        <v>43900</v>
      </c>
      <c r="H636">
        <v>2020</v>
      </c>
      <c r="I636" t="s">
        <v>45</v>
      </c>
    </row>
    <row r="637" spans="1:9" x14ac:dyDescent="0.3">
      <c r="A637" t="s">
        <v>15</v>
      </c>
      <c r="G637" s="25">
        <v>43900</v>
      </c>
      <c r="H637">
        <v>2020</v>
      </c>
      <c r="I637" t="s">
        <v>45</v>
      </c>
    </row>
    <row r="638" spans="1:9" x14ac:dyDescent="0.3">
      <c r="A638" t="s">
        <v>26</v>
      </c>
      <c r="B638">
        <v>211500</v>
      </c>
      <c r="G638" s="25">
        <v>43900</v>
      </c>
      <c r="H638">
        <v>2020</v>
      </c>
      <c r="I638" t="s">
        <v>45</v>
      </c>
    </row>
    <row r="639" spans="1:9" x14ac:dyDescent="0.3">
      <c r="A639" t="s">
        <v>22</v>
      </c>
      <c r="G639" s="25">
        <v>43900</v>
      </c>
      <c r="H639">
        <v>2020</v>
      </c>
      <c r="I639" t="s">
        <v>45</v>
      </c>
    </row>
    <row r="640" spans="1:9" x14ac:dyDescent="0.3">
      <c r="A640" t="s">
        <v>19</v>
      </c>
      <c r="B640">
        <v>254000</v>
      </c>
      <c r="G640" s="25">
        <v>43900</v>
      </c>
      <c r="H640">
        <v>2020</v>
      </c>
      <c r="I640" t="s">
        <v>45</v>
      </c>
    </row>
    <row r="641" spans="1:9" x14ac:dyDescent="0.3">
      <c r="A641" t="s">
        <v>14</v>
      </c>
      <c r="B641">
        <v>207000</v>
      </c>
      <c r="D641">
        <v>432000</v>
      </c>
      <c r="G641" s="25">
        <v>43900</v>
      </c>
      <c r="H641">
        <v>2020</v>
      </c>
      <c r="I641" t="s">
        <v>45</v>
      </c>
    </row>
    <row r="642" spans="1:9" x14ac:dyDescent="0.3">
      <c r="A642" t="s">
        <v>24</v>
      </c>
      <c r="G642" s="25">
        <v>43900</v>
      </c>
      <c r="H642">
        <v>2020</v>
      </c>
      <c r="I642" t="s">
        <v>45</v>
      </c>
    </row>
    <row r="643" spans="1:9" x14ac:dyDescent="0.3">
      <c r="A643" t="s">
        <v>21</v>
      </c>
      <c r="G643" s="25">
        <v>43900</v>
      </c>
      <c r="H643">
        <v>2020</v>
      </c>
      <c r="I643" t="s">
        <v>45</v>
      </c>
    </row>
    <row r="644" spans="1:9" x14ac:dyDescent="0.3">
      <c r="A644" t="s">
        <v>18</v>
      </c>
      <c r="B644">
        <v>108000</v>
      </c>
      <c r="G644" s="25">
        <v>43900</v>
      </c>
      <c r="H644">
        <v>2020</v>
      </c>
      <c r="I644" t="s">
        <v>45</v>
      </c>
    </row>
    <row r="645" spans="1:9" x14ac:dyDescent="0.3">
      <c r="A645" t="s">
        <v>16</v>
      </c>
      <c r="C645">
        <v>569000</v>
      </c>
      <c r="G645" s="25">
        <v>43900</v>
      </c>
      <c r="H645">
        <v>2020</v>
      </c>
      <c r="I645" t="s">
        <v>45</v>
      </c>
    </row>
    <row r="646" spans="1:9" x14ac:dyDescent="0.3">
      <c r="A646" t="s">
        <v>20</v>
      </c>
      <c r="E646">
        <v>581000</v>
      </c>
      <c r="G646" s="25">
        <v>43901</v>
      </c>
      <c r="H646">
        <v>2020</v>
      </c>
      <c r="I646" t="s">
        <v>45</v>
      </c>
    </row>
    <row r="647" spans="1:9" x14ac:dyDescent="0.3">
      <c r="A647" t="s">
        <v>37</v>
      </c>
      <c r="G647" s="25">
        <v>43901</v>
      </c>
      <c r="H647">
        <v>2020</v>
      </c>
      <c r="I647" t="s">
        <v>45</v>
      </c>
    </row>
    <row r="648" spans="1:9" x14ac:dyDescent="0.3">
      <c r="A648" t="s">
        <v>17</v>
      </c>
      <c r="B648">
        <v>477000</v>
      </c>
      <c r="C648">
        <v>482000</v>
      </c>
      <c r="D648">
        <v>108000</v>
      </c>
      <c r="G648" s="25">
        <v>43901</v>
      </c>
      <c r="H648">
        <v>2020</v>
      </c>
      <c r="I648" t="s">
        <v>45</v>
      </c>
    </row>
    <row r="649" spans="1:9" x14ac:dyDescent="0.3">
      <c r="A649" t="s">
        <v>0</v>
      </c>
      <c r="G649" s="25">
        <v>43901</v>
      </c>
      <c r="H649">
        <v>2020</v>
      </c>
      <c r="I649" t="s">
        <v>45</v>
      </c>
    </row>
    <row r="650" spans="1:9" x14ac:dyDescent="0.3">
      <c r="A650" t="s">
        <v>25</v>
      </c>
      <c r="B650">
        <v>479000</v>
      </c>
      <c r="G650" s="25">
        <v>43901</v>
      </c>
      <c r="H650">
        <v>2020</v>
      </c>
      <c r="I650" t="s">
        <v>45</v>
      </c>
    </row>
    <row r="651" spans="1:9" x14ac:dyDescent="0.3">
      <c r="A651" t="s">
        <v>15</v>
      </c>
      <c r="G651" s="25">
        <v>43901</v>
      </c>
      <c r="H651">
        <v>2020</v>
      </c>
      <c r="I651" t="s">
        <v>45</v>
      </c>
    </row>
    <row r="652" spans="1:9" x14ac:dyDescent="0.3">
      <c r="A652" t="s">
        <v>26</v>
      </c>
      <c r="B652">
        <v>266000</v>
      </c>
      <c r="G652" s="25">
        <v>43901</v>
      </c>
      <c r="H652">
        <v>2020</v>
      </c>
      <c r="I652" t="s">
        <v>45</v>
      </c>
    </row>
    <row r="653" spans="1:9" x14ac:dyDescent="0.3">
      <c r="A653" t="s">
        <v>22</v>
      </c>
      <c r="G653" s="25">
        <v>43901</v>
      </c>
      <c r="H653">
        <v>2020</v>
      </c>
      <c r="I653" t="s">
        <v>45</v>
      </c>
    </row>
    <row r="654" spans="1:9" x14ac:dyDescent="0.3">
      <c r="A654" t="s">
        <v>19</v>
      </c>
      <c r="B654">
        <v>586000</v>
      </c>
      <c r="G654" s="25">
        <v>43901</v>
      </c>
      <c r="H654">
        <v>2020</v>
      </c>
      <c r="I654" t="s">
        <v>45</v>
      </c>
    </row>
    <row r="655" spans="1:9" x14ac:dyDescent="0.3">
      <c r="A655" t="s">
        <v>14</v>
      </c>
      <c r="B655">
        <v>270000</v>
      </c>
      <c r="C655">
        <v>582000</v>
      </c>
      <c r="D655">
        <v>532000</v>
      </c>
      <c r="E655">
        <v>324000</v>
      </c>
      <c r="G655" s="25">
        <v>43901</v>
      </c>
      <c r="H655">
        <v>2020</v>
      </c>
      <c r="I655" t="s">
        <v>45</v>
      </c>
    </row>
    <row r="656" spans="1:9" x14ac:dyDescent="0.3">
      <c r="A656" t="s">
        <v>24</v>
      </c>
      <c r="G656" s="25">
        <v>43901</v>
      </c>
      <c r="H656">
        <v>2020</v>
      </c>
      <c r="I656" t="s">
        <v>45</v>
      </c>
    </row>
    <row r="657" spans="1:9" x14ac:dyDescent="0.3">
      <c r="A657" t="s">
        <v>21</v>
      </c>
      <c r="G657" s="25">
        <v>43901</v>
      </c>
      <c r="H657">
        <v>2020</v>
      </c>
      <c r="I657" t="s">
        <v>45</v>
      </c>
    </row>
    <row r="658" spans="1:9" x14ac:dyDescent="0.3">
      <c r="A658" t="s">
        <v>18</v>
      </c>
      <c r="B658">
        <v>108000</v>
      </c>
      <c r="G658" s="25">
        <v>43901</v>
      </c>
      <c r="H658">
        <v>2020</v>
      </c>
      <c r="I658" t="s">
        <v>45</v>
      </c>
    </row>
    <row r="659" spans="1:9" x14ac:dyDescent="0.3">
      <c r="A659" t="s">
        <v>16</v>
      </c>
      <c r="C659">
        <v>470000</v>
      </c>
      <c r="E659">
        <v>54000</v>
      </c>
      <c r="G659" s="25">
        <v>43901</v>
      </c>
      <c r="H659">
        <v>2020</v>
      </c>
      <c r="I659" t="s">
        <v>45</v>
      </c>
    </row>
    <row r="660" spans="1:9" x14ac:dyDescent="0.3">
      <c r="A660" t="s">
        <v>20</v>
      </c>
      <c r="G660" s="25">
        <v>43902</v>
      </c>
      <c r="H660">
        <v>2020</v>
      </c>
      <c r="I660" t="s">
        <v>45</v>
      </c>
    </row>
    <row r="661" spans="1:9" x14ac:dyDescent="0.3">
      <c r="A661" t="s">
        <v>37</v>
      </c>
      <c r="G661" s="25">
        <v>43902</v>
      </c>
      <c r="H661">
        <v>2020</v>
      </c>
      <c r="I661" t="s">
        <v>45</v>
      </c>
    </row>
    <row r="662" spans="1:9" x14ac:dyDescent="0.3">
      <c r="A662" t="s">
        <v>17</v>
      </c>
      <c r="B662">
        <v>632500</v>
      </c>
      <c r="C662">
        <v>295000</v>
      </c>
      <c r="D662">
        <v>108000</v>
      </c>
      <c r="G662" s="25">
        <v>43902</v>
      </c>
      <c r="H662">
        <v>2020</v>
      </c>
      <c r="I662" t="s">
        <v>45</v>
      </c>
    </row>
    <row r="663" spans="1:9" x14ac:dyDescent="0.3">
      <c r="A663" t="s">
        <v>0</v>
      </c>
      <c r="C663">
        <v>640000</v>
      </c>
      <c r="E663">
        <v>468000</v>
      </c>
      <c r="G663" s="25">
        <v>43902</v>
      </c>
      <c r="H663">
        <v>2020</v>
      </c>
      <c r="I663" t="s">
        <v>45</v>
      </c>
    </row>
    <row r="664" spans="1:9" x14ac:dyDescent="0.3">
      <c r="A664" t="s">
        <v>25</v>
      </c>
      <c r="B664">
        <v>245000</v>
      </c>
      <c r="D664">
        <v>162000</v>
      </c>
      <c r="G664" s="25">
        <v>43902</v>
      </c>
      <c r="H664">
        <v>2020</v>
      </c>
      <c r="I664" t="s">
        <v>45</v>
      </c>
    </row>
    <row r="665" spans="1:9" x14ac:dyDescent="0.3">
      <c r="A665" t="s">
        <v>15</v>
      </c>
      <c r="E665">
        <v>50000</v>
      </c>
      <c r="G665" s="25">
        <v>43902</v>
      </c>
      <c r="H665">
        <v>2020</v>
      </c>
      <c r="I665" t="s">
        <v>45</v>
      </c>
    </row>
    <row r="666" spans="1:9" x14ac:dyDescent="0.3">
      <c r="A666" t="s">
        <v>26</v>
      </c>
      <c r="C666">
        <v>108000</v>
      </c>
      <c r="G666" s="25">
        <v>43902</v>
      </c>
      <c r="H666">
        <v>2020</v>
      </c>
      <c r="I666" t="s">
        <v>45</v>
      </c>
    </row>
    <row r="667" spans="1:9" x14ac:dyDescent="0.3">
      <c r="A667" t="s">
        <v>22</v>
      </c>
      <c r="G667" s="25">
        <v>43902</v>
      </c>
      <c r="H667">
        <v>2020</v>
      </c>
      <c r="I667" t="s">
        <v>45</v>
      </c>
    </row>
    <row r="668" spans="1:9" x14ac:dyDescent="0.3">
      <c r="A668" t="s">
        <v>19</v>
      </c>
      <c r="B668">
        <v>478000</v>
      </c>
      <c r="D668">
        <v>215000</v>
      </c>
      <c r="G668" s="25">
        <v>43902</v>
      </c>
      <c r="H668">
        <v>2020</v>
      </c>
      <c r="I668" t="s">
        <v>45</v>
      </c>
    </row>
    <row r="669" spans="1:9" x14ac:dyDescent="0.3">
      <c r="A669" t="s">
        <v>14</v>
      </c>
      <c r="B669">
        <v>216000</v>
      </c>
      <c r="C669">
        <v>207000</v>
      </c>
      <c r="D669">
        <v>582000</v>
      </c>
      <c r="E669">
        <v>414000</v>
      </c>
      <c r="G669" s="25">
        <v>43902</v>
      </c>
      <c r="H669">
        <v>2020</v>
      </c>
      <c r="I669" t="s">
        <v>45</v>
      </c>
    </row>
    <row r="670" spans="1:9" x14ac:dyDescent="0.3">
      <c r="A670" t="s">
        <v>24</v>
      </c>
      <c r="G670" s="25">
        <v>43902</v>
      </c>
      <c r="H670">
        <v>2020</v>
      </c>
      <c r="I670" t="s">
        <v>45</v>
      </c>
    </row>
    <row r="671" spans="1:9" x14ac:dyDescent="0.3">
      <c r="A671" t="s">
        <v>21</v>
      </c>
      <c r="G671" s="25">
        <v>43902</v>
      </c>
      <c r="H671">
        <v>2020</v>
      </c>
      <c r="I671" t="s">
        <v>45</v>
      </c>
    </row>
    <row r="672" spans="1:9" x14ac:dyDescent="0.3">
      <c r="A672" t="s">
        <v>18</v>
      </c>
      <c r="B672">
        <v>108000</v>
      </c>
      <c r="G672" s="25">
        <v>43902</v>
      </c>
      <c r="H672">
        <v>2020</v>
      </c>
      <c r="I672" t="s">
        <v>45</v>
      </c>
    </row>
    <row r="673" spans="1:9" x14ac:dyDescent="0.3">
      <c r="A673" t="s">
        <v>16</v>
      </c>
      <c r="C673">
        <v>162000</v>
      </c>
      <c r="D673">
        <v>100000</v>
      </c>
      <c r="E673">
        <v>108000</v>
      </c>
      <c r="G673" s="25">
        <v>43902</v>
      </c>
      <c r="H673">
        <v>2020</v>
      </c>
      <c r="I673" t="s">
        <v>45</v>
      </c>
    </row>
    <row r="674" spans="1:9" x14ac:dyDescent="0.3">
      <c r="A674" t="s">
        <v>20</v>
      </c>
      <c r="G674" s="25">
        <v>43903</v>
      </c>
      <c r="H674">
        <v>2020</v>
      </c>
      <c r="I674" t="s">
        <v>45</v>
      </c>
    </row>
    <row r="675" spans="1:9" x14ac:dyDescent="0.3">
      <c r="A675" t="s">
        <v>37</v>
      </c>
      <c r="G675" s="25">
        <v>43903</v>
      </c>
      <c r="H675">
        <v>2020</v>
      </c>
      <c r="I675" t="s">
        <v>45</v>
      </c>
    </row>
    <row r="676" spans="1:9" x14ac:dyDescent="0.3">
      <c r="A676" t="s">
        <v>17</v>
      </c>
      <c r="B676">
        <v>324000</v>
      </c>
      <c r="G676" s="25">
        <v>43903</v>
      </c>
      <c r="H676">
        <v>2020</v>
      </c>
      <c r="I676" t="s">
        <v>45</v>
      </c>
    </row>
    <row r="677" spans="1:9" x14ac:dyDescent="0.3">
      <c r="A677" t="s">
        <v>0</v>
      </c>
      <c r="C677">
        <v>162000</v>
      </c>
      <c r="E677">
        <v>622000</v>
      </c>
      <c r="G677" s="25">
        <v>43903</v>
      </c>
      <c r="H677">
        <v>2020</v>
      </c>
      <c r="I677" t="s">
        <v>45</v>
      </c>
    </row>
    <row r="678" spans="1:9" x14ac:dyDescent="0.3">
      <c r="A678" t="s">
        <v>25</v>
      </c>
      <c r="B678">
        <v>162000</v>
      </c>
      <c r="G678" s="25">
        <v>43903</v>
      </c>
      <c r="H678">
        <v>2020</v>
      </c>
      <c r="I678" t="s">
        <v>45</v>
      </c>
    </row>
    <row r="679" spans="1:9" x14ac:dyDescent="0.3">
      <c r="A679" t="s">
        <v>15</v>
      </c>
      <c r="G679" s="25">
        <v>43903</v>
      </c>
      <c r="H679">
        <v>2020</v>
      </c>
      <c r="I679" t="s">
        <v>45</v>
      </c>
    </row>
    <row r="680" spans="1:9" x14ac:dyDescent="0.3">
      <c r="A680" t="s">
        <v>26</v>
      </c>
      <c r="B680">
        <v>108000</v>
      </c>
      <c r="G680" s="25">
        <v>43903</v>
      </c>
      <c r="H680">
        <v>2020</v>
      </c>
      <c r="I680" t="s">
        <v>45</v>
      </c>
    </row>
    <row r="681" spans="1:9" x14ac:dyDescent="0.3">
      <c r="A681" t="s">
        <v>22</v>
      </c>
      <c r="G681" s="25">
        <v>43903</v>
      </c>
      <c r="H681">
        <v>2020</v>
      </c>
      <c r="I681" t="s">
        <v>45</v>
      </c>
    </row>
    <row r="682" spans="1:9" x14ac:dyDescent="0.3">
      <c r="A682" t="s">
        <v>19</v>
      </c>
      <c r="B682">
        <v>54000</v>
      </c>
      <c r="G682" s="25">
        <v>43903</v>
      </c>
      <c r="H682">
        <v>2020</v>
      </c>
      <c r="I682" t="s">
        <v>45</v>
      </c>
    </row>
    <row r="683" spans="1:9" x14ac:dyDescent="0.3">
      <c r="A683" t="s">
        <v>14</v>
      </c>
      <c r="B683">
        <v>265500</v>
      </c>
      <c r="D683">
        <v>968000</v>
      </c>
      <c r="E683">
        <v>378000</v>
      </c>
      <c r="G683" s="25">
        <v>43903</v>
      </c>
      <c r="H683">
        <v>2020</v>
      </c>
      <c r="I683" t="s">
        <v>45</v>
      </c>
    </row>
    <row r="684" spans="1:9" x14ac:dyDescent="0.3">
      <c r="A684" t="s">
        <v>24</v>
      </c>
      <c r="G684" s="25">
        <v>43903</v>
      </c>
      <c r="H684">
        <v>2020</v>
      </c>
      <c r="I684" t="s">
        <v>45</v>
      </c>
    </row>
    <row r="685" spans="1:9" x14ac:dyDescent="0.3">
      <c r="A685" t="s">
        <v>21</v>
      </c>
      <c r="G685" s="25">
        <v>43903</v>
      </c>
      <c r="H685">
        <v>2020</v>
      </c>
      <c r="I685" t="s">
        <v>45</v>
      </c>
    </row>
    <row r="686" spans="1:9" x14ac:dyDescent="0.3">
      <c r="A686" t="s">
        <v>18</v>
      </c>
      <c r="B686">
        <v>162000</v>
      </c>
      <c r="G686" s="25">
        <v>43903</v>
      </c>
      <c r="H686">
        <v>2020</v>
      </c>
      <c r="I686" t="s">
        <v>45</v>
      </c>
    </row>
    <row r="687" spans="1:9" x14ac:dyDescent="0.3">
      <c r="A687" t="s">
        <v>16</v>
      </c>
      <c r="B687">
        <v>523000</v>
      </c>
      <c r="D687">
        <v>45000</v>
      </c>
      <c r="G687" s="25">
        <v>43903</v>
      </c>
      <c r="H687">
        <v>2020</v>
      </c>
      <c r="I687" t="s">
        <v>45</v>
      </c>
    </row>
    <row r="688" spans="1:9" x14ac:dyDescent="0.3">
      <c r="A688" t="s">
        <v>20</v>
      </c>
      <c r="G688" s="25">
        <v>43906</v>
      </c>
      <c r="H688">
        <v>2020</v>
      </c>
      <c r="I688" t="s">
        <v>45</v>
      </c>
    </row>
    <row r="689" spans="1:9" x14ac:dyDescent="0.3">
      <c r="A689" t="s">
        <v>37</v>
      </c>
      <c r="G689" s="25">
        <v>43906</v>
      </c>
      <c r="H689">
        <v>2020</v>
      </c>
      <c r="I689" t="s">
        <v>45</v>
      </c>
    </row>
    <row r="690" spans="1:9" x14ac:dyDescent="0.3">
      <c r="A690" t="s">
        <v>17</v>
      </c>
      <c r="B690">
        <v>371000</v>
      </c>
      <c r="G690" s="25">
        <v>43906</v>
      </c>
      <c r="H690">
        <v>2020</v>
      </c>
      <c r="I690" t="s">
        <v>45</v>
      </c>
    </row>
    <row r="691" spans="1:9" x14ac:dyDescent="0.3">
      <c r="A691" t="s">
        <v>0</v>
      </c>
      <c r="C691">
        <v>698000</v>
      </c>
      <c r="G691" s="25">
        <v>43906</v>
      </c>
      <c r="H691">
        <v>2020</v>
      </c>
      <c r="I691" t="s">
        <v>45</v>
      </c>
    </row>
    <row r="692" spans="1:9" x14ac:dyDescent="0.3">
      <c r="A692" t="s">
        <v>25</v>
      </c>
      <c r="G692" s="25">
        <v>43906</v>
      </c>
      <c r="H692">
        <v>2020</v>
      </c>
      <c r="I692" t="s">
        <v>45</v>
      </c>
    </row>
    <row r="693" spans="1:9" x14ac:dyDescent="0.3">
      <c r="A693" t="s">
        <v>15</v>
      </c>
      <c r="G693" s="25">
        <v>43906</v>
      </c>
      <c r="H693">
        <v>2020</v>
      </c>
      <c r="I693" t="s">
        <v>45</v>
      </c>
    </row>
    <row r="694" spans="1:9" x14ac:dyDescent="0.3">
      <c r="A694" t="s">
        <v>26</v>
      </c>
      <c r="C694">
        <v>253000</v>
      </c>
      <c r="G694" s="25">
        <v>43906</v>
      </c>
      <c r="H694">
        <v>2020</v>
      </c>
      <c r="I694" t="s">
        <v>45</v>
      </c>
    </row>
    <row r="695" spans="1:9" x14ac:dyDescent="0.3">
      <c r="A695" t="s">
        <v>22</v>
      </c>
      <c r="G695" s="25">
        <v>43906</v>
      </c>
      <c r="H695">
        <v>2020</v>
      </c>
      <c r="I695" t="s">
        <v>45</v>
      </c>
    </row>
    <row r="696" spans="1:9" x14ac:dyDescent="0.3">
      <c r="A696" t="s">
        <v>19</v>
      </c>
      <c r="B696">
        <v>266000</v>
      </c>
      <c r="D696">
        <v>378000</v>
      </c>
      <c r="G696" s="25">
        <v>43906</v>
      </c>
      <c r="H696">
        <v>2020</v>
      </c>
      <c r="I696" t="s">
        <v>45</v>
      </c>
    </row>
    <row r="697" spans="1:9" x14ac:dyDescent="0.3">
      <c r="A697" t="s">
        <v>14</v>
      </c>
      <c r="B697">
        <v>428000</v>
      </c>
      <c r="C697">
        <v>410000</v>
      </c>
      <c r="D697">
        <v>108000</v>
      </c>
      <c r="G697" s="25">
        <v>43906</v>
      </c>
      <c r="H697">
        <v>2020</v>
      </c>
      <c r="I697" t="s">
        <v>45</v>
      </c>
    </row>
    <row r="698" spans="1:9" x14ac:dyDescent="0.3">
      <c r="A698" t="s">
        <v>24</v>
      </c>
      <c r="G698" s="25">
        <v>43906</v>
      </c>
      <c r="H698">
        <v>2020</v>
      </c>
      <c r="I698" t="s">
        <v>45</v>
      </c>
    </row>
    <row r="699" spans="1:9" x14ac:dyDescent="0.3">
      <c r="A699" t="s">
        <v>21</v>
      </c>
      <c r="G699" s="25">
        <v>43906</v>
      </c>
      <c r="H699">
        <v>2020</v>
      </c>
      <c r="I699" t="s">
        <v>45</v>
      </c>
    </row>
    <row r="700" spans="1:9" x14ac:dyDescent="0.3">
      <c r="A700" t="s">
        <v>18</v>
      </c>
      <c r="G700" s="25">
        <v>43906</v>
      </c>
      <c r="H700">
        <v>2020</v>
      </c>
      <c r="I700" t="s">
        <v>45</v>
      </c>
    </row>
    <row r="701" spans="1:9" x14ac:dyDescent="0.3">
      <c r="A701" t="s">
        <v>16</v>
      </c>
      <c r="B701">
        <v>422500</v>
      </c>
      <c r="C701">
        <v>270000</v>
      </c>
      <c r="G701" s="25">
        <v>43906</v>
      </c>
      <c r="H701">
        <v>2020</v>
      </c>
      <c r="I701" t="s">
        <v>45</v>
      </c>
    </row>
    <row r="702" spans="1:9" x14ac:dyDescent="0.3">
      <c r="A702" t="s">
        <v>20</v>
      </c>
      <c r="G702" s="25">
        <v>43907</v>
      </c>
      <c r="H702">
        <v>2020</v>
      </c>
      <c r="I702" t="s">
        <v>45</v>
      </c>
    </row>
    <row r="703" spans="1:9" x14ac:dyDescent="0.3">
      <c r="A703" t="s">
        <v>37</v>
      </c>
      <c r="G703" s="25">
        <v>43907</v>
      </c>
      <c r="H703">
        <v>2020</v>
      </c>
      <c r="I703" t="s">
        <v>45</v>
      </c>
    </row>
    <row r="704" spans="1:9" x14ac:dyDescent="0.3">
      <c r="A704" t="s">
        <v>17</v>
      </c>
      <c r="B704">
        <v>517000</v>
      </c>
      <c r="G704" s="25">
        <v>43907</v>
      </c>
      <c r="H704">
        <v>2020</v>
      </c>
      <c r="I704" t="s">
        <v>45</v>
      </c>
    </row>
    <row r="705" spans="1:9" x14ac:dyDescent="0.3">
      <c r="A705" t="s">
        <v>0</v>
      </c>
      <c r="C705">
        <v>162000</v>
      </c>
      <c r="G705" s="25">
        <v>43907</v>
      </c>
      <c r="H705">
        <v>2020</v>
      </c>
      <c r="I705" t="s">
        <v>45</v>
      </c>
    </row>
    <row r="706" spans="1:9" x14ac:dyDescent="0.3">
      <c r="A706" t="s">
        <v>25</v>
      </c>
      <c r="B706">
        <v>216000</v>
      </c>
      <c r="G706" s="25">
        <v>43907</v>
      </c>
      <c r="H706">
        <v>2020</v>
      </c>
      <c r="I706" t="s">
        <v>45</v>
      </c>
    </row>
    <row r="707" spans="1:9" x14ac:dyDescent="0.3">
      <c r="A707" t="s">
        <v>15</v>
      </c>
      <c r="G707" s="25">
        <v>43907</v>
      </c>
      <c r="H707">
        <v>2020</v>
      </c>
      <c r="I707" t="s">
        <v>45</v>
      </c>
    </row>
    <row r="708" spans="1:9" x14ac:dyDescent="0.3">
      <c r="A708" t="s">
        <v>26</v>
      </c>
      <c r="B708">
        <v>54000</v>
      </c>
      <c r="C708">
        <v>460000</v>
      </c>
      <c r="G708" s="25">
        <v>43907</v>
      </c>
      <c r="H708">
        <v>2020</v>
      </c>
      <c r="I708" t="s">
        <v>45</v>
      </c>
    </row>
    <row r="709" spans="1:9" x14ac:dyDescent="0.3">
      <c r="A709" t="s">
        <v>22</v>
      </c>
      <c r="G709" s="25">
        <v>43907</v>
      </c>
      <c r="H709">
        <v>2020</v>
      </c>
      <c r="I709" t="s">
        <v>45</v>
      </c>
    </row>
    <row r="710" spans="1:9" x14ac:dyDescent="0.3">
      <c r="A710" t="s">
        <v>19</v>
      </c>
      <c r="B710">
        <v>324000</v>
      </c>
      <c r="D710">
        <v>802000</v>
      </c>
      <c r="G710" s="25">
        <v>43907</v>
      </c>
      <c r="H710">
        <v>2020</v>
      </c>
      <c r="I710" t="s">
        <v>45</v>
      </c>
    </row>
    <row r="711" spans="1:9" x14ac:dyDescent="0.3">
      <c r="A711" t="s">
        <v>14</v>
      </c>
      <c r="B711">
        <v>47000</v>
      </c>
      <c r="C711">
        <v>890500</v>
      </c>
      <c r="D711">
        <v>108000</v>
      </c>
      <c r="G711" s="25">
        <v>43907</v>
      </c>
      <c r="H711">
        <v>2020</v>
      </c>
      <c r="I711" t="s">
        <v>45</v>
      </c>
    </row>
    <row r="712" spans="1:9" x14ac:dyDescent="0.3">
      <c r="A712" t="s">
        <v>24</v>
      </c>
      <c r="G712" s="25">
        <v>43907</v>
      </c>
      <c r="H712">
        <v>2020</v>
      </c>
      <c r="I712" t="s">
        <v>45</v>
      </c>
    </row>
    <row r="713" spans="1:9" x14ac:dyDescent="0.3">
      <c r="A713" t="s">
        <v>21</v>
      </c>
      <c r="G713" s="25">
        <v>43907</v>
      </c>
      <c r="H713">
        <v>2020</v>
      </c>
      <c r="I713" t="s">
        <v>45</v>
      </c>
    </row>
    <row r="714" spans="1:9" x14ac:dyDescent="0.3">
      <c r="A714" t="s">
        <v>18</v>
      </c>
      <c r="B714">
        <v>108000</v>
      </c>
      <c r="G714" s="25">
        <v>43907</v>
      </c>
      <c r="H714">
        <v>2020</v>
      </c>
      <c r="I714" t="s">
        <v>45</v>
      </c>
    </row>
    <row r="715" spans="1:9" x14ac:dyDescent="0.3">
      <c r="A715" t="s">
        <v>16</v>
      </c>
      <c r="B715">
        <v>216000</v>
      </c>
      <c r="C715">
        <v>378000</v>
      </c>
      <c r="E715">
        <v>54000</v>
      </c>
      <c r="G715" s="25">
        <v>43907</v>
      </c>
      <c r="H715">
        <v>2020</v>
      </c>
      <c r="I715" t="s">
        <v>45</v>
      </c>
    </row>
    <row r="716" spans="1:9" x14ac:dyDescent="0.3">
      <c r="A716" t="s">
        <v>20</v>
      </c>
      <c r="G716" s="25">
        <v>43908</v>
      </c>
      <c r="H716">
        <v>2020</v>
      </c>
      <c r="I716" t="s">
        <v>45</v>
      </c>
    </row>
    <row r="717" spans="1:9" x14ac:dyDescent="0.3">
      <c r="A717" t="s">
        <v>37</v>
      </c>
      <c r="G717" s="25">
        <v>43908</v>
      </c>
      <c r="H717">
        <v>2020</v>
      </c>
      <c r="I717" t="s">
        <v>45</v>
      </c>
    </row>
    <row r="718" spans="1:9" x14ac:dyDescent="0.3">
      <c r="A718" t="s">
        <v>17</v>
      </c>
      <c r="B718">
        <v>771500</v>
      </c>
      <c r="G718" s="25">
        <v>43908</v>
      </c>
      <c r="H718">
        <v>2020</v>
      </c>
      <c r="I718" t="s">
        <v>45</v>
      </c>
    </row>
    <row r="719" spans="1:9" x14ac:dyDescent="0.3">
      <c r="A719" t="s">
        <v>0</v>
      </c>
      <c r="G719" s="25">
        <v>43908</v>
      </c>
      <c r="H719">
        <v>2020</v>
      </c>
      <c r="I719" t="s">
        <v>45</v>
      </c>
    </row>
    <row r="720" spans="1:9" x14ac:dyDescent="0.3">
      <c r="A720" t="s">
        <v>25</v>
      </c>
      <c r="B720">
        <v>324000</v>
      </c>
      <c r="G720" s="25">
        <v>43908</v>
      </c>
      <c r="H720">
        <v>2020</v>
      </c>
      <c r="I720" t="s">
        <v>45</v>
      </c>
    </row>
    <row r="721" spans="1:9" x14ac:dyDescent="0.3">
      <c r="A721" t="s">
        <v>15</v>
      </c>
      <c r="G721" s="25">
        <v>43908</v>
      </c>
      <c r="H721">
        <v>2020</v>
      </c>
      <c r="I721" t="s">
        <v>45</v>
      </c>
    </row>
    <row r="722" spans="1:9" x14ac:dyDescent="0.3">
      <c r="A722" t="s">
        <v>26</v>
      </c>
      <c r="B722">
        <v>108000</v>
      </c>
      <c r="C722">
        <v>108000</v>
      </c>
      <c r="G722" s="25">
        <v>43908</v>
      </c>
      <c r="H722">
        <v>2020</v>
      </c>
      <c r="I722" t="s">
        <v>45</v>
      </c>
    </row>
    <row r="723" spans="1:9" x14ac:dyDescent="0.3">
      <c r="A723" t="s">
        <v>22</v>
      </c>
      <c r="G723" s="25">
        <v>43908</v>
      </c>
      <c r="H723">
        <v>2020</v>
      </c>
      <c r="I723" t="s">
        <v>45</v>
      </c>
    </row>
    <row r="724" spans="1:9" x14ac:dyDescent="0.3">
      <c r="A724" t="s">
        <v>19</v>
      </c>
      <c r="B724">
        <v>428000</v>
      </c>
      <c r="D724">
        <v>266000</v>
      </c>
      <c r="G724" s="25">
        <v>43908</v>
      </c>
      <c r="H724">
        <v>2020</v>
      </c>
      <c r="I724" t="s">
        <v>45</v>
      </c>
    </row>
    <row r="725" spans="1:9" x14ac:dyDescent="0.3">
      <c r="A725" t="s">
        <v>14</v>
      </c>
      <c r="B725">
        <v>795000</v>
      </c>
      <c r="C725">
        <v>806000</v>
      </c>
      <c r="G725" s="25">
        <v>43908</v>
      </c>
      <c r="H725">
        <v>2020</v>
      </c>
      <c r="I725" t="s">
        <v>45</v>
      </c>
    </row>
    <row r="726" spans="1:9" x14ac:dyDescent="0.3">
      <c r="A726" t="s">
        <v>24</v>
      </c>
      <c r="G726" s="25">
        <v>43908</v>
      </c>
      <c r="H726">
        <v>2020</v>
      </c>
      <c r="I726" t="s">
        <v>45</v>
      </c>
    </row>
    <row r="727" spans="1:9" x14ac:dyDescent="0.3">
      <c r="A727" t="s">
        <v>21</v>
      </c>
      <c r="G727" s="25">
        <v>43908</v>
      </c>
      <c r="H727">
        <v>2020</v>
      </c>
      <c r="I727" t="s">
        <v>45</v>
      </c>
    </row>
    <row r="728" spans="1:9" x14ac:dyDescent="0.3">
      <c r="A728" t="s">
        <v>18</v>
      </c>
      <c r="G728" s="25">
        <v>43908</v>
      </c>
      <c r="H728">
        <v>2020</v>
      </c>
      <c r="I728" t="s">
        <v>45</v>
      </c>
    </row>
    <row r="729" spans="1:9" x14ac:dyDescent="0.3">
      <c r="A729" t="s">
        <v>16</v>
      </c>
      <c r="B729">
        <v>108000</v>
      </c>
      <c r="C729">
        <v>343000</v>
      </c>
      <c r="G729" s="25">
        <v>43908</v>
      </c>
      <c r="H729">
        <v>2020</v>
      </c>
      <c r="I729" t="s">
        <v>45</v>
      </c>
    </row>
    <row r="730" spans="1:9" x14ac:dyDescent="0.3">
      <c r="A730" t="s">
        <v>20</v>
      </c>
      <c r="G730" s="25">
        <v>43909</v>
      </c>
      <c r="H730">
        <v>2020</v>
      </c>
      <c r="I730" t="s">
        <v>45</v>
      </c>
    </row>
    <row r="731" spans="1:9" x14ac:dyDescent="0.3">
      <c r="A731" t="s">
        <v>37</v>
      </c>
      <c r="G731" s="25">
        <v>43909</v>
      </c>
      <c r="H731">
        <v>2020</v>
      </c>
      <c r="I731" t="s">
        <v>45</v>
      </c>
    </row>
    <row r="732" spans="1:9" x14ac:dyDescent="0.3">
      <c r="A732" t="s">
        <v>17</v>
      </c>
      <c r="B732">
        <v>410000</v>
      </c>
      <c r="G732" s="25">
        <v>43909</v>
      </c>
      <c r="H732">
        <v>2020</v>
      </c>
      <c r="I732" t="s">
        <v>45</v>
      </c>
    </row>
    <row r="733" spans="1:9" x14ac:dyDescent="0.3">
      <c r="A733" t="s">
        <v>0</v>
      </c>
      <c r="G733" s="25">
        <v>43909</v>
      </c>
      <c r="H733">
        <v>2020</v>
      </c>
      <c r="I733" t="s">
        <v>45</v>
      </c>
    </row>
    <row r="734" spans="1:9" x14ac:dyDescent="0.3">
      <c r="A734" t="s">
        <v>25</v>
      </c>
      <c r="G734" s="25">
        <v>43909</v>
      </c>
      <c r="H734">
        <v>2020</v>
      </c>
      <c r="I734" t="s">
        <v>45</v>
      </c>
    </row>
    <row r="735" spans="1:9" x14ac:dyDescent="0.3">
      <c r="A735" t="s">
        <v>15</v>
      </c>
      <c r="G735" s="25">
        <v>43909</v>
      </c>
      <c r="H735">
        <v>2020</v>
      </c>
      <c r="I735" t="s">
        <v>45</v>
      </c>
    </row>
    <row r="736" spans="1:9" x14ac:dyDescent="0.3">
      <c r="A736" t="s">
        <v>26</v>
      </c>
      <c r="G736" s="25">
        <v>43909</v>
      </c>
      <c r="H736">
        <v>2020</v>
      </c>
      <c r="I736" t="s">
        <v>45</v>
      </c>
    </row>
    <row r="737" spans="1:9" x14ac:dyDescent="0.3">
      <c r="A737" t="s">
        <v>22</v>
      </c>
      <c r="G737" s="25">
        <v>43909</v>
      </c>
      <c r="H737">
        <v>2020</v>
      </c>
      <c r="I737" t="s">
        <v>45</v>
      </c>
    </row>
    <row r="738" spans="1:9" x14ac:dyDescent="0.3">
      <c r="A738" t="s">
        <v>19</v>
      </c>
      <c r="B738">
        <v>432000</v>
      </c>
      <c r="G738" s="25">
        <v>43909</v>
      </c>
      <c r="H738">
        <v>2020</v>
      </c>
      <c r="I738" t="s">
        <v>45</v>
      </c>
    </row>
    <row r="739" spans="1:9" x14ac:dyDescent="0.3">
      <c r="A739" t="s">
        <v>14</v>
      </c>
      <c r="B739">
        <v>683000</v>
      </c>
      <c r="C739">
        <v>572000</v>
      </c>
      <c r="D739">
        <v>590000</v>
      </c>
      <c r="G739" s="25">
        <v>43909</v>
      </c>
      <c r="H739">
        <v>2020</v>
      </c>
      <c r="I739" t="s">
        <v>45</v>
      </c>
    </row>
    <row r="740" spans="1:9" x14ac:dyDescent="0.3">
      <c r="A740" t="s">
        <v>24</v>
      </c>
      <c r="G740" s="25">
        <v>43909</v>
      </c>
      <c r="H740">
        <v>2020</v>
      </c>
      <c r="I740" t="s">
        <v>45</v>
      </c>
    </row>
    <row r="741" spans="1:9" x14ac:dyDescent="0.3">
      <c r="A741" t="s">
        <v>21</v>
      </c>
      <c r="G741" s="25">
        <v>43909</v>
      </c>
      <c r="H741">
        <v>2020</v>
      </c>
      <c r="I741" t="s">
        <v>45</v>
      </c>
    </row>
    <row r="742" spans="1:9" x14ac:dyDescent="0.3">
      <c r="A742" t="s">
        <v>18</v>
      </c>
      <c r="G742" s="25">
        <v>43909</v>
      </c>
      <c r="H742">
        <v>2020</v>
      </c>
      <c r="I742" t="s">
        <v>45</v>
      </c>
    </row>
    <row r="743" spans="1:9" x14ac:dyDescent="0.3">
      <c r="A743" t="s">
        <v>16</v>
      </c>
      <c r="G743" s="25">
        <v>43909</v>
      </c>
      <c r="H743">
        <v>2020</v>
      </c>
      <c r="I743" t="s">
        <v>45</v>
      </c>
    </row>
    <row r="744" spans="1:9" x14ac:dyDescent="0.3">
      <c r="A744" t="s">
        <v>20</v>
      </c>
      <c r="G744" s="25">
        <v>43910</v>
      </c>
      <c r="H744">
        <v>2020</v>
      </c>
      <c r="I744" t="s">
        <v>45</v>
      </c>
    </row>
    <row r="745" spans="1:9" x14ac:dyDescent="0.3">
      <c r="A745" t="s">
        <v>37</v>
      </c>
      <c r="G745" s="25">
        <v>43910</v>
      </c>
      <c r="H745">
        <v>2020</v>
      </c>
      <c r="I745" t="s">
        <v>45</v>
      </c>
    </row>
    <row r="746" spans="1:9" x14ac:dyDescent="0.3">
      <c r="A746" t="s">
        <v>17</v>
      </c>
      <c r="B746">
        <v>270000</v>
      </c>
      <c r="G746" s="25">
        <v>43910</v>
      </c>
      <c r="H746">
        <v>2020</v>
      </c>
      <c r="I746" t="s">
        <v>45</v>
      </c>
    </row>
    <row r="747" spans="1:9" x14ac:dyDescent="0.3">
      <c r="A747" t="s">
        <v>0</v>
      </c>
      <c r="G747" s="25">
        <v>43910</v>
      </c>
      <c r="H747">
        <v>2020</v>
      </c>
      <c r="I747" t="s">
        <v>45</v>
      </c>
    </row>
    <row r="748" spans="1:9" x14ac:dyDescent="0.3">
      <c r="A748" t="s">
        <v>25</v>
      </c>
      <c r="G748" s="25">
        <v>43910</v>
      </c>
      <c r="H748">
        <v>2020</v>
      </c>
      <c r="I748" t="s">
        <v>45</v>
      </c>
    </row>
    <row r="749" spans="1:9" x14ac:dyDescent="0.3">
      <c r="A749" t="s">
        <v>15</v>
      </c>
      <c r="G749" s="25">
        <v>43910</v>
      </c>
      <c r="H749">
        <v>2020</v>
      </c>
      <c r="I749" t="s">
        <v>45</v>
      </c>
    </row>
    <row r="750" spans="1:9" x14ac:dyDescent="0.3">
      <c r="A750" t="s">
        <v>26</v>
      </c>
      <c r="G750" s="25">
        <v>43910</v>
      </c>
      <c r="H750">
        <v>2020</v>
      </c>
      <c r="I750" t="s">
        <v>45</v>
      </c>
    </row>
    <row r="751" spans="1:9" x14ac:dyDescent="0.3">
      <c r="A751" t="s">
        <v>22</v>
      </c>
      <c r="G751" s="25">
        <v>43910</v>
      </c>
      <c r="H751">
        <v>2020</v>
      </c>
      <c r="I751" t="s">
        <v>45</v>
      </c>
    </row>
    <row r="752" spans="1:9" x14ac:dyDescent="0.3">
      <c r="A752" t="s">
        <v>19</v>
      </c>
      <c r="B752">
        <v>261000</v>
      </c>
      <c r="G752" s="25">
        <v>43910</v>
      </c>
      <c r="H752">
        <v>2020</v>
      </c>
      <c r="I752" t="s">
        <v>45</v>
      </c>
    </row>
    <row r="753" spans="1:9" x14ac:dyDescent="0.3">
      <c r="A753" t="s">
        <v>14</v>
      </c>
      <c r="B753">
        <v>479000</v>
      </c>
      <c r="C753">
        <v>689000</v>
      </c>
      <c r="D753">
        <v>906000</v>
      </c>
      <c r="E753">
        <v>54000</v>
      </c>
      <c r="G753" s="25">
        <v>43910</v>
      </c>
      <c r="H753">
        <v>2020</v>
      </c>
      <c r="I753" t="s">
        <v>45</v>
      </c>
    </row>
    <row r="754" spans="1:9" x14ac:dyDescent="0.3">
      <c r="A754" t="s">
        <v>24</v>
      </c>
      <c r="G754" s="25">
        <v>43910</v>
      </c>
      <c r="H754">
        <v>2020</v>
      </c>
      <c r="I754" t="s">
        <v>45</v>
      </c>
    </row>
    <row r="755" spans="1:9" x14ac:dyDescent="0.3">
      <c r="A755" t="s">
        <v>21</v>
      </c>
      <c r="G755" s="25">
        <v>43910</v>
      </c>
      <c r="H755">
        <v>2020</v>
      </c>
      <c r="I755" t="s">
        <v>45</v>
      </c>
    </row>
    <row r="756" spans="1:9" x14ac:dyDescent="0.3">
      <c r="A756" t="s">
        <v>18</v>
      </c>
      <c r="G756" s="25">
        <v>43910</v>
      </c>
      <c r="H756">
        <v>2020</v>
      </c>
      <c r="I756" t="s">
        <v>45</v>
      </c>
    </row>
    <row r="757" spans="1:9" x14ac:dyDescent="0.3">
      <c r="A757" t="s">
        <v>16</v>
      </c>
      <c r="G757" s="25">
        <v>43910</v>
      </c>
      <c r="H757">
        <v>2020</v>
      </c>
      <c r="I757" t="s">
        <v>45</v>
      </c>
    </row>
    <row r="758" spans="1:9" x14ac:dyDescent="0.3">
      <c r="A758" t="s">
        <v>20</v>
      </c>
      <c r="G758" s="25">
        <v>43913</v>
      </c>
      <c r="H758">
        <v>2020</v>
      </c>
      <c r="I758" t="s">
        <v>45</v>
      </c>
    </row>
    <row r="759" spans="1:9" x14ac:dyDescent="0.3">
      <c r="A759" t="s">
        <v>37</v>
      </c>
      <c r="G759" s="25">
        <v>43913</v>
      </c>
      <c r="H759">
        <v>2020</v>
      </c>
      <c r="I759" t="s">
        <v>45</v>
      </c>
    </row>
    <row r="760" spans="1:9" x14ac:dyDescent="0.3">
      <c r="A760" t="s">
        <v>17</v>
      </c>
      <c r="B760">
        <v>730000</v>
      </c>
      <c r="G760" s="25">
        <v>43913</v>
      </c>
      <c r="H760">
        <v>2020</v>
      </c>
      <c r="I760" t="s">
        <v>45</v>
      </c>
    </row>
    <row r="761" spans="1:9" x14ac:dyDescent="0.3">
      <c r="A761" t="s">
        <v>0</v>
      </c>
      <c r="C761">
        <v>207000</v>
      </c>
      <c r="G761" s="25">
        <v>43913</v>
      </c>
      <c r="H761">
        <v>2020</v>
      </c>
      <c r="I761" t="s">
        <v>45</v>
      </c>
    </row>
    <row r="762" spans="1:9" x14ac:dyDescent="0.3">
      <c r="A762" t="s">
        <v>25</v>
      </c>
      <c r="G762" s="25">
        <v>43913</v>
      </c>
      <c r="H762">
        <v>2020</v>
      </c>
      <c r="I762" t="s">
        <v>45</v>
      </c>
    </row>
    <row r="763" spans="1:9" x14ac:dyDescent="0.3">
      <c r="A763" t="s">
        <v>15</v>
      </c>
      <c r="G763" s="25">
        <v>43913</v>
      </c>
      <c r="H763">
        <v>2020</v>
      </c>
      <c r="I763" t="s">
        <v>45</v>
      </c>
    </row>
    <row r="764" spans="1:9" x14ac:dyDescent="0.3">
      <c r="A764" t="s">
        <v>26</v>
      </c>
      <c r="B764">
        <v>162000</v>
      </c>
      <c r="G764" s="25">
        <v>43913</v>
      </c>
      <c r="H764">
        <v>2020</v>
      </c>
      <c r="I764" t="s">
        <v>45</v>
      </c>
    </row>
    <row r="765" spans="1:9" x14ac:dyDescent="0.3">
      <c r="A765" t="s">
        <v>22</v>
      </c>
      <c r="G765" s="25">
        <v>43913</v>
      </c>
      <c r="H765">
        <v>2020</v>
      </c>
      <c r="I765" t="s">
        <v>45</v>
      </c>
    </row>
    <row r="766" spans="1:9" x14ac:dyDescent="0.3">
      <c r="A766" t="s">
        <v>19</v>
      </c>
      <c r="B766">
        <v>324000</v>
      </c>
      <c r="G766" s="25">
        <v>43913</v>
      </c>
      <c r="H766">
        <v>2020</v>
      </c>
      <c r="I766" t="s">
        <v>45</v>
      </c>
    </row>
    <row r="767" spans="1:9" x14ac:dyDescent="0.3">
      <c r="A767" t="s">
        <v>14</v>
      </c>
      <c r="B767">
        <v>108000</v>
      </c>
      <c r="C767">
        <v>324000</v>
      </c>
      <c r="G767" s="25">
        <v>43913</v>
      </c>
      <c r="H767">
        <v>2020</v>
      </c>
      <c r="I767" t="s">
        <v>45</v>
      </c>
    </row>
    <row r="768" spans="1:9" x14ac:dyDescent="0.3">
      <c r="A768" t="s">
        <v>24</v>
      </c>
      <c r="G768" s="25">
        <v>43913</v>
      </c>
      <c r="H768">
        <v>2020</v>
      </c>
      <c r="I768" t="s">
        <v>45</v>
      </c>
    </row>
    <row r="769" spans="1:9" x14ac:dyDescent="0.3">
      <c r="A769" t="s">
        <v>21</v>
      </c>
      <c r="G769" s="25">
        <v>43913</v>
      </c>
      <c r="H769">
        <v>2020</v>
      </c>
      <c r="I769" t="s">
        <v>45</v>
      </c>
    </row>
    <row r="770" spans="1:9" x14ac:dyDescent="0.3">
      <c r="A770" t="s">
        <v>18</v>
      </c>
      <c r="G770" s="25">
        <v>43913</v>
      </c>
      <c r="H770">
        <v>2020</v>
      </c>
      <c r="I770" t="s">
        <v>45</v>
      </c>
    </row>
    <row r="771" spans="1:9" x14ac:dyDescent="0.3">
      <c r="A771" t="s">
        <v>16</v>
      </c>
      <c r="G771" s="25">
        <v>43913</v>
      </c>
      <c r="H771">
        <v>2020</v>
      </c>
      <c r="I771" t="s">
        <v>45</v>
      </c>
    </row>
    <row r="772" spans="1:9" x14ac:dyDescent="0.3">
      <c r="A772" t="s">
        <v>20</v>
      </c>
      <c r="G772" s="25">
        <v>43914</v>
      </c>
      <c r="H772">
        <v>2020</v>
      </c>
      <c r="I772" t="s">
        <v>45</v>
      </c>
    </row>
    <row r="773" spans="1:9" x14ac:dyDescent="0.3">
      <c r="A773" t="s">
        <v>37</v>
      </c>
      <c r="G773" s="25">
        <v>43914</v>
      </c>
      <c r="H773">
        <v>2020</v>
      </c>
      <c r="I773" t="s">
        <v>45</v>
      </c>
    </row>
    <row r="774" spans="1:9" x14ac:dyDescent="0.3">
      <c r="A774" t="s">
        <v>17</v>
      </c>
      <c r="B774">
        <v>909500</v>
      </c>
      <c r="G774" s="25">
        <v>43914</v>
      </c>
      <c r="H774">
        <v>2020</v>
      </c>
      <c r="I774" t="s">
        <v>45</v>
      </c>
    </row>
    <row r="775" spans="1:9" x14ac:dyDescent="0.3">
      <c r="A775" t="s">
        <v>0</v>
      </c>
      <c r="G775" s="25">
        <v>43914</v>
      </c>
      <c r="H775">
        <v>2020</v>
      </c>
      <c r="I775" t="s">
        <v>45</v>
      </c>
    </row>
    <row r="776" spans="1:9" x14ac:dyDescent="0.3">
      <c r="A776" t="s">
        <v>25</v>
      </c>
      <c r="B776">
        <v>216000</v>
      </c>
      <c r="G776" s="25">
        <v>43914</v>
      </c>
      <c r="H776">
        <v>2020</v>
      </c>
      <c r="I776" t="s">
        <v>45</v>
      </c>
    </row>
    <row r="777" spans="1:9" x14ac:dyDescent="0.3">
      <c r="A777" t="s">
        <v>15</v>
      </c>
      <c r="G777" s="25">
        <v>43914</v>
      </c>
      <c r="H777">
        <v>2020</v>
      </c>
      <c r="I777" t="s">
        <v>45</v>
      </c>
    </row>
    <row r="778" spans="1:9" x14ac:dyDescent="0.3">
      <c r="A778" t="s">
        <v>26</v>
      </c>
      <c r="B778">
        <v>90000</v>
      </c>
      <c r="G778" s="25">
        <v>43914</v>
      </c>
      <c r="H778">
        <v>2020</v>
      </c>
      <c r="I778" t="s">
        <v>45</v>
      </c>
    </row>
    <row r="779" spans="1:9" x14ac:dyDescent="0.3">
      <c r="A779" t="s">
        <v>22</v>
      </c>
      <c r="G779" s="25">
        <v>43914</v>
      </c>
      <c r="H779">
        <v>2020</v>
      </c>
      <c r="I779" t="s">
        <v>45</v>
      </c>
    </row>
    <row r="780" spans="1:9" x14ac:dyDescent="0.3">
      <c r="A780" t="s">
        <v>19</v>
      </c>
      <c r="G780" s="25">
        <v>43914</v>
      </c>
      <c r="H780">
        <v>2020</v>
      </c>
      <c r="I780" t="s">
        <v>45</v>
      </c>
    </row>
    <row r="781" spans="1:9" x14ac:dyDescent="0.3">
      <c r="A781" t="s">
        <v>14</v>
      </c>
      <c r="B781">
        <v>693500</v>
      </c>
      <c r="G781" s="25">
        <v>43914</v>
      </c>
      <c r="H781">
        <v>2020</v>
      </c>
      <c r="I781" t="s">
        <v>45</v>
      </c>
    </row>
    <row r="782" spans="1:9" x14ac:dyDescent="0.3">
      <c r="A782" t="s">
        <v>24</v>
      </c>
      <c r="G782" s="25">
        <v>43914</v>
      </c>
      <c r="H782">
        <v>2020</v>
      </c>
      <c r="I782" t="s">
        <v>45</v>
      </c>
    </row>
    <row r="783" spans="1:9" x14ac:dyDescent="0.3">
      <c r="A783" t="s">
        <v>21</v>
      </c>
      <c r="G783" s="25">
        <v>43914</v>
      </c>
      <c r="H783">
        <v>2020</v>
      </c>
      <c r="I783" t="s">
        <v>45</v>
      </c>
    </row>
    <row r="784" spans="1:9" x14ac:dyDescent="0.3">
      <c r="A784" t="s">
        <v>18</v>
      </c>
      <c r="G784" s="25">
        <v>43914</v>
      </c>
      <c r="H784">
        <v>2020</v>
      </c>
      <c r="I784" t="s">
        <v>45</v>
      </c>
    </row>
    <row r="785" spans="1:9" x14ac:dyDescent="0.3">
      <c r="A785" t="s">
        <v>16</v>
      </c>
      <c r="G785" s="25">
        <v>43914</v>
      </c>
      <c r="H785">
        <v>2020</v>
      </c>
      <c r="I785" t="s">
        <v>45</v>
      </c>
    </row>
    <row r="786" spans="1:9" x14ac:dyDescent="0.3">
      <c r="A786" t="s">
        <v>20</v>
      </c>
      <c r="G786" s="25">
        <v>43915</v>
      </c>
      <c r="H786">
        <v>2020</v>
      </c>
      <c r="I786" t="s">
        <v>45</v>
      </c>
    </row>
    <row r="787" spans="1:9" x14ac:dyDescent="0.3">
      <c r="A787" t="s">
        <v>37</v>
      </c>
      <c r="G787" s="25">
        <v>43915</v>
      </c>
      <c r="H787">
        <v>2020</v>
      </c>
      <c r="I787" t="s">
        <v>45</v>
      </c>
    </row>
    <row r="788" spans="1:9" x14ac:dyDescent="0.3">
      <c r="A788" t="s">
        <v>17</v>
      </c>
      <c r="B788">
        <v>730000</v>
      </c>
      <c r="G788" s="25">
        <v>43915</v>
      </c>
      <c r="H788">
        <v>2020</v>
      </c>
      <c r="I788" t="s">
        <v>45</v>
      </c>
    </row>
    <row r="789" spans="1:9" x14ac:dyDescent="0.3">
      <c r="A789" t="s">
        <v>0</v>
      </c>
      <c r="G789" s="25">
        <v>43915</v>
      </c>
      <c r="H789">
        <v>2020</v>
      </c>
      <c r="I789" t="s">
        <v>45</v>
      </c>
    </row>
    <row r="790" spans="1:9" x14ac:dyDescent="0.3">
      <c r="A790" t="s">
        <v>25</v>
      </c>
      <c r="G790" s="25">
        <v>43915</v>
      </c>
      <c r="H790">
        <v>2020</v>
      </c>
      <c r="I790" t="s">
        <v>45</v>
      </c>
    </row>
    <row r="791" spans="1:9" x14ac:dyDescent="0.3">
      <c r="A791" t="s">
        <v>15</v>
      </c>
      <c r="G791" s="25">
        <v>43915</v>
      </c>
      <c r="H791">
        <v>2020</v>
      </c>
      <c r="I791" t="s">
        <v>45</v>
      </c>
    </row>
    <row r="792" spans="1:9" x14ac:dyDescent="0.3">
      <c r="A792" t="s">
        <v>26</v>
      </c>
      <c r="G792" s="25">
        <v>43915</v>
      </c>
      <c r="H792">
        <v>2020</v>
      </c>
      <c r="I792" t="s">
        <v>45</v>
      </c>
    </row>
    <row r="793" spans="1:9" x14ac:dyDescent="0.3">
      <c r="A793" t="s">
        <v>22</v>
      </c>
      <c r="G793" s="25">
        <v>43915</v>
      </c>
      <c r="H793">
        <v>2020</v>
      </c>
      <c r="I793" t="s">
        <v>45</v>
      </c>
    </row>
    <row r="794" spans="1:9" x14ac:dyDescent="0.3">
      <c r="A794" t="s">
        <v>19</v>
      </c>
      <c r="G794" s="25">
        <v>43915</v>
      </c>
      <c r="H794">
        <v>2020</v>
      </c>
      <c r="I794" t="s">
        <v>45</v>
      </c>
    </row>
    <row r="795" spans="1:9" x14ac:dyDescent="0.3">
      <c r="A795" t="s">
        <v>14</v>
      </c>
      <c r="B795">
        <v>864000</v>
      </c>
      <c r="G795" s="25">
        <v>43915</v>
      </c>
      <c r="H795">
        <v>2020</v>
      </c>
      <c r="I795" t="s">
        <v>45</v>
      </c>
    </row>
    <row r="796" spans="1:9" x14ac:dyDescent="0.3">
      <c r="A796" t="s">
        <v>24</v>
      </c>
      <c r="G796" s="25">
        <v>43915</v>
      </c>
      <c r="H796">
        <v>2020</v>
      </c>
      <c r="I796" t="s">
        <v>45</v>
      </c>
    </row>
    <row r="797" spans="1:9" x14ac:dyDescent="0.3">
      <c r="A797" t="s">
        <v>21</v>
      </c>
      <c r="G797" s="25">
        <v>43915</v>
      </c>
      <c r="H797">
        <v>2020</v>
      </c>
      <c r="I797" t="s">
        <v>45</v>
      </c>
    </row>
    <row r="798" spans="1:9" x14ac:dyDescent="0.3">
      <c r="A798" t="s">
        <v>18</v>
      </c>
      <c r="G798" s="25">
        <v>43915</v>
      </c>
      <c r="H798">
        <v>2020</v>
      </c>
      <c r="I798" t="s">
        <v>45</v>
      </c>
    </row>
    <row r="799" spans="1:9" x14ac:dyDescent="0.3">
      <c r="A799" t="s">
        <v>16</v>
      </c>
      <c r="B799">
        <v>270000</v>
      </c>
      <c r="D799">
        <v>540000</v>
      </c>
      <c r="G799" s="25">
        <v>43915</v>
      </c>
      <c r="H799">
        <v>2020</v>
      </c>
      <c r="I799" t="s">
        <v>45</v>
      </c>
    </row>
    <row r="800" spans="1:9" x14ac:dyDescent="0.3">
      <c r="A800" t="s">
        <v>20</v>
      </c>
      <c r="G800" s="25">
        <v>43916</v>
      </c>
      <c r="H800">
        <v>2020</v>
      </c>
      <c r="I800" t="s">
        <v>45</v>
      </c>
    </row>
    <row r="801" spans="1:9" x14ac:dyDescent="0.3">
      <c r="A801" t="s">
        <v>37</v>
      </c>
      <c r="G801" s="25">
        <v>43916</v>
      </c>
      <c r="H801">
        <v>2020</v>
      </c>
      <c r="I801" t="s">
        <v>45</v>
      </c>
    </row>
    <row r="802" spans="1:9" x14ac:dyDescent="0.3">
      <c r="A802" t="s">
        <v>17</v>
      </c>
      <c r="B802">
        <v>504500</v>
      </c>
      <c r="G802" s="25">
        <v>43916</v>
      </c>
      <c r="H802">
        <v>2020</v>
      </c>
      <c r="I802" t="s">
        <v>45</v>
      </c>
    </row>
    <row r="803" spans="1:9" x14ac:dyDescent="0.3">
      <c r="A803" t="s">
        <v>0</v>
      </c>
      <c r="G803" s="25">
        <v>43916</v>
      </c>
      <c r="H803">
        <v>2020</v>
      </c>
      <c r="I803" t="s">
        <v>45</v>
      </c>
    </row>
    <row r="804" spans="1:9" x14ac:dyDescent="0.3">
      <c r="A804" t="s">
        <v>25</v>
      </c>
      <c r="G804" s="25">
        <v>43916</v>
      </c>
      <c r="H804">
        <v>2020</v>
      </c>
      <c r="I804" t="s">
        <v>45</v>
      </c>
    </row>
    <row r="805" spans="1:9" x14ac:dyDescent="0.3">
      <c r="A805" t="s">
        <v>15</v>
      </c>
      <c r="G805" s="25">
        <v>43916</v>
      </c>
      <c r="H805">
        <v>2020</v>
      </c>
      <c r="I805" t="s">
        <v>45</v>
      </c>
    </row>
    <row r="806" spans="1:9" x14ac:dyDescent="0.3">
      <c r="A806" t="s">
        <v>26</v>
      </c>
      <c r="G806" s="25">
        <v>43916</v>
      </c>
      <c r="H806">
        <v>2020</v>
      </c>
      <c r="I806" t="s">
        <v>45</v>
      </c>
    </row>
    <row r="807" spans="1:9" x14ac:dyDescent="0.3">
      <c r="A807" t="s">
        <v>22</v>
      </c>
      <c r="G807" s="25">
        <v>43916</v>
      </c>
      <c r="H807">
        <v>2020</v>
      </c>
      <c r="I807" t="s">
        <v>45</v>
      </c>
    </row>
    <row r="808" spans="1:9" x14ac:dyDescent="0.3">
      <c r="A808" t="s">
        <v>19</v>
      </c>
      <c r="B808">
        <v>378000</v>
      </c>
      <c r="D808">
        <v>162000</v>
      </c>
      <c r="G808" s="25">
        <v>43916</v>
      </c>
      <c r="H808">
        <v>2020</v>
      </c>
      <c r="I808" t="s">
        <v>45</v>
      </c>
    </row>
    <row r="809" spans="1:9" x14ac:dyDescent="0.3">
      <c r="A809" t="s">
        <v>14</v>
      </c>
      <c r="B809">
        <v>351500</v>
      </c>
      <c r="D809">
        <v>162000</v>
      </c>
      <c r="G809" s="25">
        <v>43916</v>
      </c>
      <c r="H809">
        <v>2020</v>
      </c>
      <c r="I809" t="s">
        <v>45</v>
      </c>
    </row>
    <row r="810" spans="1:9" x14ac:dyDescent="0.3">
      <c r="A810" t="s">
        <v>24</v>
      </c>
      <c r="G810" s="25">
        <v>43916</v>
      </c>
      <c r="H810">
        <v>2020</v>
      </c>
      <c r="I810" t="s">
        <v>45</v>
      </c>
    </row>
    <row r="811" spans="1:9" x14ac:dyDescent="0.3">
      <c r="A811" t="s">
        <v>21</v>
      </c>
      <c r="G811" s="25">
        <v>43916</v>
      </c>
      <c r="H811">
        <v>2020</v>
      </c>
      <c r="I811" t="s">
        <v>45</v>
      </c>
    </row>
    <row r="812" spans="1:9" x14ac:dyDescent="0.3">
      <c r="A812" t="s">
        <v>18</v>
      </c>
      <c r="B812">
        <v>254000</v>
      </c>
      <c r="D812">
        <v>54000</v>
      </c>
      <c r="G812" s="25">
        <v>43916</v>
      </c>
      <c r="H812">
        <v>2020</v>
      </c>
      <c r="I812" t="s">
        <v>45</v>
      </c>
    </row>
    <row r="813" spans="1:9" x14ac:dyDescent="0.3">
      <c r="A813" t="s">
        <v>16</v>
      </c>
      <c r="B813">
        <v>256000</v>
      </c>
      <c r="D813">
        <v>324000</v>
      </c>
      <c r="G813" s="25">
        <v>43916</v>
      </c>
      <c r="H813">
        <v>2020</v>
      </c>
      <c r="I813" t="s">
        <v>45</v>
      </c>
    </row>
    <row r="814" spans="1:9" x14ac:dyDescent="0.3">
      <c r="A814" t="s">
        <v>20</v>
      </c>
      <c r="G814" s="25">
        <v>43917</v>
      </c>
      <c r="H814">
        <v>2020</v>
      </c>
      <c r="I814" t="s">
        <v>45</v>
      </c>
    </row>
    <row r="815" spans="1:9" x14ac:dyDescent="0.3">
      <c r="A815" t="s">
        <v>37</v>
      </c>
      <c r="G815" s="25">
        <v>43917</v>
      </c>
      <c r="H815">
        <v>2020</v>
      </c>
      <c r="I815" t="s">
        <v>45</v>
      </c>
    </row>
    <row r="816" spans="1:9" x14ac:dyDescent="0.3">
      <c r="A816" t="s">
        <v>17</v>
      </c>
      <c r="B816">
        <v>432000</v>
      </c>
      <c r="G816" s="25">
        <v>43917</v>
      </c>
      <c r="H816">
        <v>2020</v>
      </c>
      <c r="I816" t="s">
        <v>45</v>
      </c>
    </row>
    <row r="817" spans="1:9" x14ac:dyDescent="0.3">
      <c r="A817" t="s">
        <v>0</v>
      </c>
      <c r="C817">
        <v>432000</v>
      </c>
      <c r="G817" s="25">
        <v>43917</v>
      </c>
      <c r="H817">
        <v>2020</v>
      </c>
      <c r="I817" t="s">
        <v>45</v>
      </c>
    </row>
    <row r="818" spans="1:9" x14ac:dyDescent="0.3">
      <c r="A818" t="s">
        <v>25</v>
      </c>
      <c r="G818" s="25">
        <v>43917</v>
      </c>
      <c r="H818">
        <v>2020</v>
      </c>
      <c r="I818" t="s">
        <v>45</v>
      </c>
    </row>
    <row r="819" spans="1:9" x14ac:dyDescent="0.3">
      <c r="A819" t="s">
        <v>15</v>
      </c>
      <c r="G819" s="25">
        <v>43917</v>
      </c>
      <c r="H819">
        <v>2020</v>
      </c>
      <c r="I819" t="s">
        <v>45</v>
      </c>
    </row>
    <row r="820" spans="1:9" x14ac:dyDescent="0.3">
      <c r="A820" t="s">
        <v>26</v>
      </c>
      <c r="B820">
        <v>162000</v>
      </c>
      <c r="G820" s="25">
        <v>43917</v>
      </c>
      <c r="H820">
        <v>2020</v>
      </c>
      <c r="I820" t="s">
        <v>45</v>
      </c>
    </row>
    <row r="821" spans="1:9" x14ac:dyDescent="0.3">
      <c r="A821" t="s">
        <v>22</v>
      </c>
      <c r="G821" s="25">
        <v>43917</v>
      </c>
      <c r="H821">
        <v>2020</v>
      </c>
      <c r="I821" t="s">
        <v>45</v>
      </c>
    </row>
    <row r="822" spans="1:9" x14ac:dyDescent="0.3">
      <c r="A822" t="s">
        <v>19</v>
      </c>
      <c r="B822">
        <v>378000</v>
      </c>
      <c r="D822">
        <v>432000</v>
      </c>
      <c r="G822" s="25">
        <v>43917</v>
      </c>
      <c r="H822">
        <v>2020</v>
      </c>
      <c r="I822" t="s">
        <v>45</v>
      </c>
    </row>
    <row r="823" spans="1:9" x14ac:dyDescent="0.3">
      <c r="A823" t="s">
        <v>14</v>
      </c>
      <c r="B823">
        <v>101000</v>
      </c>
      <c r="D823">
        <v>428000</v>
      </c>
      <c r="G823" s="25">
        <v>43917</v>
      </c>
      <c r="H823">
        <v>2020</v>
      </c>
      <c r="I823" t="s">
        <v>45</v>
      </c>
    </row>
    <row r="824" spans="1:9" x14ac:dyDescent="0.3">
      <c r="A824" t="s">
        <v>24</v>
      </c>
      <c r="G824" s="25">
        <v>43917</v>
      </c>
      <c r="H824">
        <v>2020</v>
      </c>
      <c r="I824" t="s">
        <v>45</v>
      </c>
    </row>
    <row r="825" spans="1:9" x14ac:dyDescent="0.3">
      <c r="A825" t="s">
        <v>21</v>
      </c>
      <c r="G825" s="25">
        <v>43917</v>
      </c>
      <c r="H825">
        <v>2020</v>
      </c>
      <c r="I825" t="s">
        <v>45</v>
      </c>
    </row>
    <row r="826" spans="1:9" x14ac:dyDescent="0.3">
      <c r="A826" t="s">
        <v>18</v>
      </c>
      <c r="B826">
        <v>216000</v>
      </c>
      <c r="D826">
        <v>108000</v>
      </c>
      <c r="G826" s="25">
        <v>43917</v>
      </c>
      <c r="H826">
        <v>2020</v>
      </c>
      <c r="I826" t="s">
        <v>45</v>
      </c>
    </row>
    <row r="827" spans="1:9" x14ac:dyDescent="0.3">
      <c r="A827" t="s">
        <v>16</v>
      </c>
      <c r="B827">
        <v>360000</v>
      </c>
      <c r="D827">
        <v>54000</v>
      </c>
      <c r="G827" s="25">
        <v>43917</v>
      </c>
      <c r="H827">
        <v>2020</v>
      </c>
      <c r="I827" t="s">
        <v>45</v>
      </c>
    </row>
    <row r="828" spans="1:9" x14ac:dyDescent="0.3">
      <c r="A828" t="s">
        <v>20</v>
      </c>
      <c r="G828" s="25">
        <v>43920</v>
      </c>
      <c r="H828">
        <v>2020</v>
      </c>
      <c r="I828" t="s">
        <v>45</v>
      </c>
    </row>
    <row r="829" spans="1:9" x14ac:dyDescent="0.3">
      <c r="A829" t="s">
        <v>37</v>
      </c>
      <c r="G829" s="25">
        <v>43920</v>
      </c>
      <c r="H829">
        <v>2020</v>
      </c>
      <c r="I829" t="s">
        <v>45</v>
      </c>
    </row>
    <row r="830" spans="1:9" x14ac:dyDescent="0.3">
      <c r="A830" t="s">
        <v>17</v>
      </c>
      <c r="B830">
        <v>162000</v>
      </c>
      <c r="G830" s="25">
        <v>43920</v>
      </c>
      <c r="H830">
        <v>2020</v>
      </c>
      <c r="I830" t="s">
        <v>45</v>
      </c>
    </row>
    <row r="831" spans="1:9" x14ac:dyDescent="0.3">
      <c r="A831" t="s">
        <v>0</v>
      </c>
      <c r="C831">
        <v>216000</v>
      </c>
      <c r="G831" s="25">
        <v>43920</v>
      </c>
      <c r="H831">
        <v>2020</v>
      </c>
      <c r="I831" t="s">
        <v>45</v>
      </c>
    </row>
    <row r="832" spans="1:9" x14ac:dyDescent="0.3">
      <c r="A832" t="s">
        <v>25</v>
      </c>
      <c r="G832" s="25">
        <v>43920</v>
      </c>
      <c r="H832">
        <v>2020</v>
      </c>
      <c r="I832" t="s">
        <v>45</v>
      </c>
    </row>
    <row r="833" spans="1:9" x14ac:dyDescent="0.3">
      <c r="A833" t="s">
        <v>15</v>
      </c>
      <c r="B833">
        <v>216000</v>
      </c>
      <c r="D833">
        <v>216000</v>
      </c>
      <c r="G833" s="25">
        <v>43920</v>
      </c>
      <c r="H833">
        <v>2020</v>
      </c>
      <c r="I833" t="s">
        <v>45</v>
      </c>
    </row>
    <row r="834" spans="1:9" x14ac:dyDescent="0.3">
      <c r="A834" t="s">
        <v>26</v>
      </c>
      <c r="G834" s="25">
        <v>43920</v>
      </c>
      <c r="H834">
        <v>2020</v>
      </c>
      <c r="I834" t="s">
        <v>45</v>
      </c>
    </row>
    <row r="835" spans="1:9" x14ac:dyDescent="0.3">
      <c r="A835" t="s">
        <v>22</v>
      </c>
      <c r="G835" s="25">
        <v>43920</v>
      </c>
      <c r="H835">
        <v>2020</v>
      </c>
      <c r="I835" t="s">
        <v>45</v>
      </c>
    </row>
    <row r="836" spans="1:9" x14ac:dyDescent="0.3">
      <c r="A836" t="s">
        <v>19</v>
      </c>
      <c r="B836">
        <v>270000</v>
      </c>
      <c r="D836">
        <v>324000</v>
      </c>
      <c r="G836" s="25">
        <v>43920</v>
      </c>
      <c r="H836">
        <v>2020</v>
      </c>
      <c r="I836" t="s">
        <v>45</v>
      </c>
    </row>
    <row r="837" spans="1:9" x14ac:dyDescent="0.3">
      <c r="A837" t="s">
        <v>14</v>
      </c>
      <c r="B837">
        <v>376000</v>
      </c>
      <c r="D837">
        <v>482000</v>
      </c>
      <c r="G837" s="25">
        <v>43920</v>
      </c>
      <c r="H837">
        <v>2020</v>
      </c>
      <c r="I837" t="s">
        <v>45</v>
      </c>
    </row>
    <row r="838" spans="1:9" x14ac:dyDescent="0.3">
      <c r="A838" t="s">
        <v>24</v>
      </c>
      <c r="G838" s="25">
        <v>43920</v>
      </c>
      <c r="H838">
        <v>2020</v>
      </c>
      <c r="I838" t="s">
        <v>45</v>
      </c>
    </row>
    <row r="839" spans="1:9" x14ac:dyDescent="0.3">
      <c r="A839" t="s">
        <v>21</v>
      </c>
      <c r="G839" s="25">
        <v>43920</v>
      </c>
      <c r="H839">
        <v>2020</v>
      </c>
      <c r="I839" t="s">
        <v>45</v>
      </c>
    </row>
    <row r="840" spans="1:9" x14ac:dyDescent="0.3">
      <c r="A840" t="s">
        <v>18</v>
      </c>
      <c r="B840">
        <v>162000</v>
      </c>
      <c r="G840" s="25">
        <v>43920</v>
      </c>
      <c r="H840">
        <v>2020</v>
      </c>
      <c r="I840" t="s">
        <v>45</v>
      </c>
    </row>
    <row r="841" spans="1:9" x14ac:dyDescent="0.3">
      <c r="A841" t="s">
        <v>16</v>
      </c>
      <c r="B841">
        <v>315000</v>
      </c>
      <c r="G841" s="25">
        <v>43920</v>
      </c>
      <c r="H841">
        <v>2020</v>
      </c>
      <c r="I841" t="s">
        <v>45</v>
      </c>
    </row>
    <row r="842" spans="1:9" x14ac:dyDescent="0.3">
      <c r="A842" t="s">
        <v>20</v>
      </c>
      <c r="G842" s="25">
        <v>43921</v>
      </c>
      <c r="H842">
        <v>2020</v>
      </c>
      <c r="I842" t="s">
        <v>45</v>
      </c>
    </row>
    <row r="843" spans="1:9" x14ac:dyDescent="0.3">
      <c r="A843" t="s">
        <v>37</v>
      </c>
      <c r="G843" s="25">
        <v>43921</v>
      </c>
      <c r="H843">
        <v>2020</v>
      </c>
      <c r="I843" t="s">
        <v>45</v>
      </c>
    </row>
    <row r="844" spans="1:9" x14ac:dyDescent="0.3">
      <c r="A844" t="s">
        <v>17</v>
      </c>
      <c r="B844">
        <v>316000</v>
      </c>
      <c r="G844" s="25">
        <v>43921</v>
      </c>
      <c r="H844">
        <v>2020</v>
      </c>
      <c r="I844" t="s">
        <v>45</v>
      </c>
    </row>
    <row r="845" spans="1:9" x14ac:dyDescent="0.3">
      <c r="A845" t="s">
        <v>0</v>
      </c>
      <c r="C845">
        <v>144000</v>
      </c>
      <c r="G845" s="25">
        <v>43921</v>
      </c>
      <c r="H845">
        <v>2020</v>
      </c>
      <c r="I845" t="s">
        <v>45</v>
      </c>
    </row>
    <row r="846" spans="1:9" x14ac:dyDescent="0.3">
      <c r="A846" t="s">
        <v>25</v>
      </c>
      <c r="G846" s="25">
        <v>43921</v>
      </c>
      <c r="H846">
        <v>2020</v>
      </c>
      <c r="I846" t="s">
        <v>45</v>
      </c>
    </row>
    <row r="847" spans="1:9" x14ac:dyDescent="0.3">
      <c r="A847" t="s">
        <v>15</v>
      </c>
      <c r="B847">
        <v>270000</v>
      </c>
      <c r="D847">
        <v>216000</v>
      </c>
      <c r="G847" s="25">
        <v>43921</v>
      </c>
      <c r="H847">
        <v>2020</v>
      </c>
      <c r="I847" t="s">
        <v>45</v>
      </c>
    </row>
    <row r="848" spans="1:9" x14ac:dyDescent="0.3">
      <c r="A848" t="s">
        <v>26</v>
      </c>
      <c r="G848" s="25">
        <v>43921</v>
      </c>
      <c r="H848">
        <v>2020</v>
      </c>
      <c r="I848" t="s">
        <v>45</v>
      </c>
    </row>
    <row r="849" spans="1:9" x14ac:dyDescent="0.3">
      <c r="A849" t="s">
        <v>22</v>
      </c>
      <c r="G849" s="25">
        <v>43921</v>
      </c>
      <c r="H849">
        <v>2020</v>
      </c>
      <c r="I849" t="s">
        <v>45</v>
      </c>
    </row>
    <row r="850" spans="1:9" x14ac:dyDescent="0.3">
      <c r="A850" t="s">
        <v>19</v>
      </c>
      <c r="B850">
        <v>378000</v>
      </c>
      <c r="G850" s="25">
        <v>43921</v>
      </c>
      <c r="H850">
        <v>2020</v>
      </c>
      <c r="I850" t="s">
        <v>45</v>
      </c>
    </row>
    <row r="851" spans="1:9" x14ac:dyDescent="0.3">
      <c r="A851" t="s">
        <v>14</v>
      </c>
      <c r="B851">
        <v>432000</v>
      </c>
      <c r="D851">
        <v>478000</v>
      </c>
      <c r="G851" s="25">
        <v>43921</v>
      </c>
      <c r="H851">
        <v>2020</v>
      </c>
      <c r="I851" t="s">
        <v>45</v>
      </c>
    </row>
    <row r="852" spans="1:9" x14ac:dyDescent="0.3">
      <c r="A852" t="s">
        <v>24</v>
      </c>
      <c r="G852" s="25">
        <v>43921</v>
      </c>
      <c r="H852">
        <v>2020</v>
      </c>
      <c r="I852" t="s">
        <v>45</v>
      </c>
    </row>
    <row r="853" spans="1:9" x14ac:dyDescent="0.3">
      <c r="A853" t="s">
        <v>21</v>
      </c>
      <c r="G853" s="25">
        <v>43921</v>
      </c>
      <c r="H853">
        <v>2020</v>
      </c>
      <c r="I853" t="s">
        <v>45</v>
      </c>
    </row>
    <row r="854" spans="1:9" x14ac:dyDescent="0.3">
      <c r="A854" t="s">
        <v>18</v>
      </c>
      <c r="B854">
        <v>378000</v>
      </c>
      <c r="G854" s="25">
        <v>43921</v>
      </c>
      <c r="H854">
        <v>2020</v>
      </c>
      <c r="I854" t="s">
        <v>45</v>
      </c>
    </row>
    <row r="855" spans="1:9" x14ac:dyDescent="0.3">
      <c r="A855" t="s">
        <v>16</v>
      </c>
      <c r="B855">
        <v>482000</v>
      </c>
      <c r="D855">
        <v>54000</v>
      </c>
      <c r="G855" s="25">
        <v>43921</v>
      </c>
      <c r="H855">
        <v>2020</v>
      </c>
      <c r="I855" t="s">
        <v>45</v>
      </c>
    </row>
    <row r="856" spans="1:9" x14ac:dyDescent="0.3">
      <c r="A856" t="s">
        <v>20</v>
      </c>
      <c r="G856" s="25">
        <v>43922</v>
      </c>
      <c r="H856">
        <v>2020</v>
      </c>
      <c r="I856" t="s">
        <v>46</v>
      </c>
    </row>
    <row r="857" spans="1:9" x14ac:dyDescent="0.3">
      <c r="A857" t="s">
        <v>37</v>
      </c>
      <c r="G857" s="25">
        <v>43922</v>
      </c>
      <c r="H857">
        <v>2020</v>
      </c>
      <c r="I857" t="s">
        <v>46</v>
      </c>
    </row>
    <row r="858" spans="1:9" x14ac:dyDescent="0.3">
      <c r="A858" t="s">
        <v>17</v>
      </c>
      <c r="G858" s="25">
        <v>43922</v>
      </c>
      <c r="H858">
        <v>2020</v>
      </c>
      <c r="I858" t="s">
        <v>46</v>
      </c>
    </row>
    <row r="859" spans="1:9" x14ac:dyDescent="0.3">
      <c r="A859" t="s">
        <v>0</v>
      </c>
      <c r="G859" s="25">
        <v>43922</v>
      </c>
      <c r="H859">
        <v>2020</v>
      </c>
      <c r="I859" t="s">
        <v>46</v>
      </c>
    </row>
    <row r="860" spans="1:9" x14ac:dyDescent="0.3">
      <c r="A860" t="s">
        <v>25</v>
      </c>
      <c r="G860" s="25">
        <v>43922</v>
      </c>
      <c r="H860">
        <v>2020</v>
      </c>
      <c r="I860" t="s">
        <v>46</v>
      </c>
    </row>
    <row r="861" spans="1:9" x14ac:dyDescent="0.3">
      <c r="A861" t="s">
        <v>15</v>
      </c>
      <c r="G861" s="25">
        <v>43922</v>
      </c>
      <c r="H861">
        <v>2020</v>
      </c>
      <c r="I861" t="s">
        <v>46</v>
      </c>
    </row>
    <row r="862" spans="1:9" x14ac:dyDescent="0.3">
      <c r="A862" t="s">
        <v>26</v>
      </c>
      <c r="G862" s="25">
        <v>43922</v>
      </c>
      <c r="H862">
        <v>2020</v>
      </c>
      <c r="I862" t="s">
        <v>46</v>
      </c>
    </row>
    <row r="863" spans="1:9" x14ac:dyDescent="0.3">
      <c r="A863" t="s">
        <v>22</v>
      </c>
      <c r="G863" s="25">
        <v>43922</v>
      </c>
      <c r="H863">
        <v>2020</v>
      </c>
      <c r="I863" t="s">
        <v>46</v>
      </c>
    </row>
    <row r="864" spans="1:9" x14ac:dyDescent="0.3">
      <c r="A864" t="s">
        <v>19</v>
      </c>
      <c r="B864">
        <v>162000</v>
      </c>
      <c r="G864" s="25">
        <v>43922</v>
      </c>
      <c r="H864">
        <v>2020</v>
      </c>
      <c r="I864" t="s">
        <v>46</v>
      </c>
    </row>
    <row r="865" spans="1:9" x14ac:dyDescent="0.3">
      <c r="A865" t="s">
        <v>14</v>
      </c>
      <c r="B865">
        <v>153000</v>
      </c>
      <c r="G865" s="25">
        <v>43922</v>
      </c>
      <c r="H865">
        <v>2020</v>
      </c>
      <c r="I865" t="s">
        <v>46</v>
      </c>
    </row>
    <row r="866" spans="1:9" x14ac:dyDescent="0.3">
      <c r="A866" t="s">
        <v>24</v>
      </c>
      <c r="G866" s="25">
        <v>43922</v>
      </c>
      <c r="H866">
        <v>2020</v>
      </c>
      <c r="I866" t="s">
        <v>46</v>
      </c>
    </row>
    <row r="867" spans="1:9" x14ac:dyDescent="0.3">
      <c r="A867" t="s">
        <v>21</v>
      </c>
      <c r="G867" s="25">
        <v>43922</v>
      </c>
      <c r="H867">
        <v>2020</v>
      </c>
      <c r="I867" t="s">
        <v>46</v>
      </c>
    </row>
    <row r="868" spans="1:9" x14ac:dyDescent="0.3">
      <c r="A868" t="s">
        <v>18</v>
      </c>
      <c r="G868" s="25">
        <v>43922</v>
      </c>
      <c r="H868">
        <v>2020</v>
      </c>
      <c r="I868" t="s">
        <v>46</v>
      </c>
    </row>
    <row r="869" spans="1:9" x14ac:dyDescent="0.3">
      <c r="A869" t="s">
        <v>16</v>
      </c>
      <c r="G869" s="25">
        <v>43922</v>
      </c>
      <c r="H869">
        <v>2020</v>
      </c>
      <c r="I869" t="s">
        <v>46</v>
      </c>
    </row>
    <row r="870" spans="1:9" x14ac:dyDescent="0.3">
      <c r="A870" t="s">
        <v>20</v>
      </c>
      <c r="G870" s="25">
        <v>43923</v>
      </c>
      <c r="H870">
        <v>2020</v>
      </c>
      <c r="I870" t="s">
        <v>46</v>
      </c>
    </row>
    <row r="871" spans="1:9" x14ac:dyDescent="0.3">
      <c r="A871" t="s">
        <v>37</v>
      </c>
      <c r="G871" s="25">
        <v>43923</v>
      </c>
      <c r="H871">
        <v>2020</v>
      </c>
      <c r="I871" t="s">
        <v>46</v>
      </c>
    </row>
    <row r="872" spans="1:9" x14ac:dyDescent="0.3">
      <c r="A872" t="s">
        <v>17</v>
      </c>
      <c r="B872">
        <v>590000</v>
      </c>
      <c r="G872" s="25">
        <v>43923</v>
      </c>
      <c r="H872">
        <v>2020</v>
      </c>
      <c r="I872" t="s">
        <v>46</v>
      </c>
    </row>
    <row r="873" spans="1:9" x14ac:dyDescent="0.3">
      <c r="A873" t="s">
        <v>0</v>
      </c>
      <c r="G873" s="25">
        <v>43923</v>
      </c>
      <c r="H873">
        <v>2020</v>
      </c>
      <c r="I873" t="s">
        <v>46</v>
      </c>
    </row>
    <row r="874" spans="1:9" x14ac:dyDescent="0.3">
      <c r="A874" t="s">
        <v>25</v>
      </c>
      <c r="G874" s="25">
        <v>43923</v>
      </c>
      <c r="H874">
        <v>2020</v>
      </c>
      <c r="I874" t="s">
        <v>46</v>
      </c>
    </row>
    <row r="875" spans="1:9" x14ac:dyDescent="0.3">
      <c r="A875" t="s">
        <v>15</v>
      </c>
      <c r="B875">
        <v>270000</v>
      </c>
      <c r="D875">
        <v>162000</v>
      </c>
      <c r="G875" s="25">
        <v>43923</v>
      </c>
      <c r="H875">
        <v>2020</v>
      </c>
      <c r="I875" t="s">
        <v>46</v>
      </c>
    </row>
    <row r="876" spans="1:9" x14ac:dyDescent="0.3">
      <c r="A876" t="s">
        <v>26</v>
      </c>
      <c r="G876" s="25">
        <v>43923</v>
      </c>
      <c r="H876">
        <v>2020</v>
      </c>
      <c r="I876" t="s">
        <v>46</v>
      </c>
    </row>
    <row r="877" spans="1:9" x14ac:dyDescent="0.3">
      <c r="A877" t="s">
        <v>22</v>
      </c>
      <c r="G877" s="25">
        <v>43923</v>
      </c>
      <c r="H877">
        <v>2020</v>
      </c>
      <c r="I877" t="s">
        <v>46</v>
      </c>
    </row>
    <row r="878" spans="1:9" x14ac:dyDescent="0.3">
      <c r="A878" t="s">
        <v>19</v>
      </c>
      <c r="B878">
        <v>482000</v>
      </c>
      <c r="D878">
        <v>54000</v>
      </c>
      <c r="G878" s="25">
        <v>43923</v>
      </c>
      <c r="H878">
        <v>2020</v>
      </c>
      <c r="I878" t="s">
        <v>46</v>
      </c>
    </row>
    <row r="879" spans="1:9" x14ac:dyDescent="0.3">
      <c r="A879" t="s">
        <v>14</v>
      </c>
      <c r="B879">
        <v>524000</v>
      </c>
      <c r="G879" s="25">
        <v>43923</v>
      </c>
      <c r="H879">
        <v>2020</v>
      </c>
      <c r="I879" t="s">
        <v>46</v>
      </c>
    </row>
    <row r="880" spans="1:9" x14ac:dyDescent="0.3">
      <c r="A880" t="s">
        <v>24</v>
      </c>
      <c r="G880" s="25">
        <v>43923</v>
      </c>
      <c r="H880">
        <v>2020</v>
      </c>
      <c r="I880" t="s">
        <v>46</v>
      </c>
    </row>
    <row r="881" spans="1:9" x14ac:dyDescent="0.3">
      <c r="A881" t="s">
        <v>21</v>
      </c>
      <c r="G881" s="25">
        <v>43923</v>
      </c>
      <c r="H881">
        <v>2020</v>
      </c>
      <c r="I881" t="s">
        <v>46</v>
      </c>
    </row>
    <row r="882" spans="1:9" x14ac:dyDescent="0.3">
      <c r="A882" t="s">
        <v>18</v>
      </c>
      <c r="B882">
        <v>212000</v>
      </c>
      <c r="D882">
        <v>104000</v>
      </c>
      <c r="G882" s="25">
        <v>43923</v>
      </c>
      <c r="H882">
        <v>2020</v>
      </c>
      <c r="I882" t="s">
        <v>46</v>
      </c>
    </row>
    <row r="883" spans="1:9" x14ac:dyDescent="0.3">
      <c r="A883" t="s">
        <v>16</v>
      </c>
      <c r="B883">
        <v>500500</v>
      </c>
      <c r="G883" s="25">
        <v>43923</v>
      </c>
      <c r="H883">
        <v>2020</v>
      </c>
      <c r="I883" t="s">
        <v>46</v>
      </c>
    </row>
    <row r="884" spans="1:9" x14ac:dyDescent="0.3">
      <c r="A884" t="s">
        <v>20</v>
      </c>
      <c r="G884" s="25">
        <v>43924</v>
      </c>
      <c r="H884">
        <v>2020</v>
      </c>
      <c r="I884" t="s">
        <v>46</v>
      </c>
    </row>
    <row r="885" spans="1:9" x14ac:dyDescent="0.3">
      <c r="A885" t="s">
        <v>37</v>
      </c>
      <c r="G885" s="25">
        <v>43924</v>
      </c>
      <c r="H885">
        <v>2020</v>
      </c>
      <c r="I885" t="s">
        <v>46</v>
      </c>
    </row>
    <row r="886" spans="1:9" x14ac:dyDescent="0.3">
      <c r="A886" t="s">
        <v>17</v>
      </c>
      <c r="B886">
        <v>270000</v>
      </c>
      <c r="G886" s="25">
        <v>43924</v>
      </c>
      <c r="H886">
        <v>2020</v>
      </c>
      <c r="I886" t="s">
        <v>46</v>
      </c>
    </row>
    <row r="887" spans="1:9" x14ac:dyDescent="0.3">
      <c r="A887" t="s">
        <v>0</v>
      </c>
      <c r="G887" s="25">
        <v>43924</v>
      </c>
      <c r="H887">
        <v>2020</v>
      </c>
      <c r="I887" t="s">
        <v>46</v>
      </c>
    </row>
    <row r="888" spans="1:9" x14ac:dyDescent="0.3">
      <c r="A888" t="s">
        <v>25</v>
      </c>
      <c r="B888">
        <v>54000</v>
      </c>
      <c r="D888">
        <v>1071000</v>
      </c>
      <c r="G888" s="25">
        <v>43924</v>
      </c>
      <c r="H888">
        <v>2020</v>
      </c>
      <c r="I888" t="s">
        <v>46</v>
      </c>
    </row>
    <row r="889" spans="1:9" x14ac:dyDescent="0.3">
      <c r="A889" t="s">
        <v>15</v>
      </c>
      <c r="B889">
        <v>157500</v>
      </c>
      <c r="G889" s="25">
        <v>43924</v>
      </c>
      <c r="H889">
        <v>2020</v>
      </c>
      <c r="I889" t="s">
        <v>46</v>
      </c>
    </row>
    <row r="890" spans="1:9" x14ac:dyDescent="0.3">
      <c r="A890" t="s">
        <v>26</v>
      </c>
      <c r="D890">
        <v>486000</v>
      </c>
      <c r="G890" s="25">
        <v>43924</v>
      </c>
      <c r="H890">
        <v>2020</v>
      </c>
      <c r="I890" t="s">
        <v>46</v>
      </c>
    </row>
    <row r="891" spans="1:9" x14ac:dyDescent="0.3">
      <c r="A891" t="s">
        <v>22</v>
      </c>
      <c r="G891" s="25">
        <v>43924</v>
      </c>
      <c r="H891">
        <v>2020</v>
      </c>
      <c r="I891" t="s">
        <v>46</v>
      </c>
    </row>
    <row r="892" spans="1:9" x14ac:dyDescent="0.3">
      <c r="A892" t="s">
        <v>19</v>
      </c>
      <c r="G892" s="25">
        <v>43924</v>
      </c>
      <c r="H892">
        <v>2020</v>
      </c>
      <c r="I892" t="s">
        <v>46</v>
      </c>
    </row>
    <row r="893" spans="1:9" x14ac:dyDescent="0.3">
      <c r="A893" t="s">
        <v>14</v>
      </c>
      <c r="B893">
        <v>207000</v>
      </c>
      <c r="G893" s="25">
        <v>43924</v>
      </c>
      <c r="H893">
        <v>2020</v>
      </c>
      <c r="I893" t="s">
        <v>46</v>
      </c>
    </row>
    <row r="894" spans="1:9" x14ac:dyDescent="0.3">
      <c r="A894" t="s">
        <v>24</v>
      </c>
      <c r="G894" s="25">
        <v>43924</v>
      </c>
      <c r="H894">
        <v>2020</v>
      </c>
      <c r="I894" t="s">
        <v>46</v>
      </c>
    </row>
    <row r="895" spans="1:9" x14ac:dyDescent="0.3">
      <c r="A895" t="s">
        <v>21</v>
      </c>
      <c r="G895" s="25">
        <v>43924</v>
      </c>
      <c r="H895">
        <v>2020</v>
      </c>
      <c r="I895" t="s">
        <v>46</v>
      </c>
    </row>
    <row r="896" spans="1:9" x14ac:dyDescent="0.3">
      <c r="A896" t="s">
        <v>18</v>
      </c>
      <c r="B896">
        <v>162000</v>
      </c>
      <c r="G896" s="25">
        <v>43924</v>
      </c>
      <c r="H896">
        <v>2020</v>
      </c>
      <c r="I896" t="s">
        <v>46</v>
      </c>
    </row>
    <row r="897" spans="1:9" x14ac:dyDescent="0.3">
      <c r="A897" t="s">
        <v>16</v>
      </c>
      <c r="B897">
        <v>207000</v>
      </c>
      <c r="G897" s="25">
        <v>43924</v>
      </c>
      <c r="H897">
        <v>2020</v>
      </c>
      <c r="I897" t="s">
        <v>46</v>
      </c>
    </row>
    <row r="898" spans="1:9" x14ac:dyDescent="0.3">
      <c r="A898" t="s">
        <v>20</v>
      </c>
      <c r="G898" s="25">
        <v>43927</v>
      </c>
      <c r="H898">
        <v>2020</v>
      </c>
      <c r="I898" t="s">
        <v>46</v>
      </c>
    </row>
    <row r="899" spans="1:9" x14ac:dyDescent="0.3">
      <c r="A899" t="s">
        <v>37</v>
      </c>
      <c r="G899" s="25">
        <v>43927</v>
      </c>
      <c r="H899">
        <v>2020</v>
      </c>
      <c r="I899" t="s">
        <v>46</v>
      </c>
    </row>
    <row r="900" spans="1:9" x14ac:dyDescent="0.3">
      <c r="A900" t="s">
        <v>17</v>
      </c>
      <c r="G900" s="25">
        <v>43927</v>
      </c>
      <c r="H900">
        <v>2020</v>
      </c>
      <c r="I900" t="s">
        <v>46</v>
      </c>
    </row>
    <row r="901" spans="1:9" x14ac:dyDescent="0.3">
      <c r="A901" t="s">
        <v>0</v>
      </c>
      <c r="G901" s="25">
        <v>43927</v>
      </c>
      <c r="H901">
        <v>2020</v>
      </c>
      <c r="I901" t="s">
        <v>46</v>
      </c>
    </row>
    <row r="902" spans="1:9" x14ac:dyDescent="0.3">
      <c r="A902" t="s">
        <v>25</v>
      </c>
      <c r="B902">
        <v>698000</v>
      </c>
      <c r="D902">
        <v>108000</v>
      </c>
      <c r="G902" s="25">
        <v>43927</v>
      </c>
      <c r="H902">
        <v>2020</v>
      </c>
      <c r="I902" t="s">
        <v>46</v>
      </c>
    </row>
    <row r="903" spans="1:9" x14ac:dyDescent="0.3">
      <c r="A903" t="s">
        <v>15</v>
      </c>
      <c r="B903">
        <v>531000</v>
      </c>
      <c r="G903" s="25">
        <v>43927</v>
      </c>
      <c r="H903">
        <v>2020</v>
      </c>
      <c r="I903" t="s">
        <v>46</v>
      </c>
    </row>
    <row r="904" spans="1:9" x14ac:dyDescent="0.3">
      <c r="A904" t="s">
        <v>26</v>
      </c>
      <c r="B904">
        <v>374000</v>
      </c>
      <c r="D904">
        <v>108000</v>
      </c>
      <c r="G904" s="25">
        <v>43927</v>
      </c>
      <c r="H904">
        <v>2020</v>
      </c>
      <c r="I904" t="s">
        <v>46</v>
      </c>
    </row>
    <row r="905" spans="1:9" x14ac:dyDescent="0.3">
      <c r="A905" t="s">
        <v>22</v>
      </c>
      <c r="G905" s="25">
        <v>43927</v>
      </c>
      <c r="H905">
        <v>2020</v>
      </c>
      <c r="I905" t="s">
        <v>46</v>
      </c>
    </row>
    <row r="906" spans="1:9" x14ac:dyDescent="0.3">
      <c r="A906" t="s">
        <v>19</v>
      </c>
      <c r="G906" s="25">
        <v>43927</v>
      </c>
      <c r="H906">
        <v>2020</v>
      </c>
      <c r="I906" t="s">
        <v>46</v>
      </c>
    </row>
    <row r="907" spans="1:9" x14ac:dyDescent="0.3">
      <c r="A907" t="s">
        <v>14</v>
      </c>
      <c r="B907">
        <v>378000</v>
      </c>
      <c r="G907" s="25">
        <v>43927</v>
      </c>
      <c r="H907">
        <v>2020</v>
      </c>
      <c r="I907" t="s">
        <v>46</v>
      </c>
    </row>
    <row r="908" spans="1:9" x14ac:dyDescent="0.3">
      <c r="A908" t="s">
        <v>24</v>
      </c>
      <c r="G908" s="25">
        <v>43927</v>
      </c>
      <c r="H908">
        <v>2020</v>
      </c>
      <c r="I908" t="s">
        <v>46</v>
      </c>
    </row>
    <row r="909" spans="1:9" x14ac:dyDescent="0.3">
      <c r="A909" t="s">
        <v>21</v>
      </c>
      <c r="G909" s="25">
        <v>43927</v>
      </c>
      <c r="H909">
        <v>2020</v>
      </c>
      <c r="I909" t="s">
        <v>46</v>
      </c>
    </row>
    <row r="910" spans="1:9" x14ac:dyDescent="0.3">
      <c r="A910" t="s">
        <v>18</v>
      </c>
      <c r="B910">
        <v>54000</v>
      </c>
      <c r="G910" s="25">
        <v>43927</v>
      </c>
      <c r="H910">
        <v>2020</v>
      </c>
      <c r="I910" t="s">
        <v>46</v>
      </c>
    </row>
    <row r="911" spans="1:9" x14ac:dyDescent="0.3">
      <c r="A911" t="s">
        <v>16</v>
      </c>
      <c r="B911">
        <v>432000</v>
      </c>
      <c r="C911">
        <v>104000</v>
      </c>
      <c r="G911" s="25">
        <v>43927</v>
      </c>
      <c r="H911">
        <v>2020</v>
      </c>
      <c r="I911" t="s">
        <v>46</v>
      </c>
    </row>
    <row r="912" spans="1:9" x14ac:dyDescent="0.3">
      <c r="A912" t="s">
        <v>20</v>
      </c>
      <c r="G912" s="25">
        <v>43928</v>
      </c>
      <c r="H912">
        <v>2020</v>
      </c>
      <c r="I912" t="s">
        <v>46</v>
      </c>
    </row>
    <row r="913" spans="1:9" x14ac:dyDescent="0.3">
      <c r="A913" t="s">
        <v>37</v>
      </c>
      <c r="G913" s="25">
        <v>43928</v>
      </c>
      <c r="H913">
        <v>2020</v>
      </c>
      <c r="I913" t="s">
        <v>46</v>
      </c>
    </row>
    <row r="914" spans="1:9" x14ac:dyDescent="0.3">
      <c r="A914" t="s">
        <v>17</v>
      </c>
      <c r="G914" s="25">
        <v>43928</v>
      </c>
      <c r="H914">
        <v>2020</v>
      </c>
      <c r="I914" t="s">
        <v>46</v>
      </c>
    </row>
    <row r="915" spans="1:9" x14ac:dyDescent="0.3">
      <c r="A915" t="s">
        <v>0</v>
      </c>
      <c r="C915">
        <v>149000</v>
      </c>
      <c r="E915">
        <v>54000</v>
      </c>
      <c r="G915" s="25">
        <v>43928</v>
      </c>
      <c r="H915">
        <v>2020</v>
      </c>
      <c r="I915" t="s">
        <v>46</v>
      </c>
    </row>
    <row r="916" spans="1:9" x14ac:dyDescent="0.3">
      <c r="A916" t="s">
        <v>25</v>
      </c>
      <c r="B916">
        <v>583000</v>
      </c>
      <c r="G916" s="25">
        <v>43928</v>
      </c>
      <c r="H916">
        <v>2020</v>
      </c>
      <c r="I916" t="s">
        <v>46</v>
      </c>
    </row>
    <row r="917" spans="1:9" x14ac:dyDescent="0.3">
      <c r="A917" t="s">
        <v>15</v>
      </c>
      <c r="B917">
        <v>252000</v>
      </c>
      <c r="C917">
        <v>432000</v>
      </c>
      <c r="E917">
        <v>797000</v>
      </c>
      <c r="G917" s="25">
        <v>43928</v>
      </c>
      <c r="H917">
        <v>2020</v>
      </c>
      <c r="I917" t="s">
        <v>46</v>
      </c>
    </row>
    <row r="918" spans="1:9" x14ac:dyDescent="0.3">
      <c r="A918" t="s">
        <v>26</v>
      </c>
      <c r="B918">
        <v>477000</v>
      </c>
      <c r="G918" s="25">
        <v>43928</v>
      </c>
      <c r="H918">
        <v>2020</v>
      </c>
      <c r="I918" t="s">
        <v>46</v>
      </c>
    </row>
    <row r="919" spans="1:9" x14ac:dyDescent="0.3">
      <c r="A919" t="s">
        <v>22</v>
      </c>
      <c r="G919" s="25">
        <v>43928</v>
      </c>
      <c r="H919">
        <v>2020</v>
      </c>
      <c r="I919" t="s">
        <v>46</v>
      </c>
    </row>
    <row r="920" spans="1:9" x14ac:dyDescent="0.3">
      <c r="A920" t="s">
        <v>19</v>
      </c>
      <c r="G920" s="25">
        <v>43928</v>
      </c>
      <c r="H920">
        <v>2020</v>
      </c>
      <c r="I920" t="s">
        <v>46</v>
      </c>
    </row>
    <row r="921" spans="1:9" x14ac:dyDescent="0.3">
      <c r="A921" t="s">
        <v>14</v>
      </c>
      <c r="B921">
        <v>108000</v>
      </c>
      <c r="G921" s="25">
        <v>43928</v>
      </c>
      <c r="H921">
        <v>2020</v>
      </c>
      <c r="I921" t="s">
        <v>46</v>
      </c>
    </row>
    <row r="922" spans="1:9" x14ac:dyDescent="0.3">
      <c r="A922" t="s">
        <v>24</v>
      </c>
      <c r="G922" s="25">
        <v>43928</v>
      </c>
      <c r="H922">
        <v>2020</v>
      </c>
      <c r="I922" t="s">
        <v>46</v>
      </c>
    </row>
    <row r="923" spans="1:9" x14ac:dyDescent="0.3">
      <c r="A923" t="s">
        <v>21</v>
      </c>
      <c r="G923" s="25">
        <v>43928</v>
      </c>
      <c r="H923">
        <v>2020</v>
      </c>
      <c r="I923" t="s">
        <v>46</v>
      </c>
    </row>
    <row r="924" spans="1:9" x14ac:dyDescent="0.3">
      <c r="A924" t="s">
        <v>18</v>
      </c>
      <c r="G924" s="25">
        <v>43928</v>
      </c>
      <c r="H924">
        <v>2020</v>
      </c>
      <c r="I924" t="s">
        <v>46</v>
      </c>
    </row>
    <row r="925" spans="1:9" x14ac:dyDescent="0.3">
      <c r="A925" t="s">
        <v>16</v>
      </c>
      <c r="B925">
        <v>594000</v>
      </c>
      <c r="G925" s="25">
        <v>43928</v>
      </c>
      <c r="H925">
        <v>2020</v>
      </c>
      <c r="I925" t="s">
        <v>46</v>
      </c>
    </row>
    <row r="926" spans="1:9" x14ac:dyDescent="0.3">
      <c r="A926" t="s">
        <v>20</v>
      </c>
      <c r="G926" s="25">
        <v>43929</v>
      </c>
      <c r="H926">
        <v>2020</v>
      </c>
      <c r="I926" t="s">
        <v>46</v>
      </c>
    </row>
    <row r="927" spans="1:9" x14ac:dyDescent="0.3">
      <c r="A927" t="s">
        <v>37</v>
      </c>
      <c r="G927" s="25">
        <v>43929</v>
      </c>
      <c r="H927">
        <v>2020</v>
      </c>
      <c r="I927" t="s">
        <v>46</v>
      </c>
    </row>
    <row r="928" spans="1:9" x14ac:dyDescent="0.3">
      <c r="A928" t="s">
        <v>17</v>
      </c>
      <c r="G928" s="25">
        <v>43929</v>
      </c>
      <c r="H928">
        <v>2020</v>
      </c>
      <c r="I928" t="s">
        <v>46</v>
      </c>
    </row>
    <row r="929" spans="1:9" x14ac:dyDescent="0.3">
      <c r="A929" t="s">
        <v>0</v>
      </c>
      <c r="C929">
        <v>1208000</v>
      </c>
      <c r="E929">
        <v>1177000</v>
      </c>
      <c r="G929" s="25">
        <v>43929</v>
      </c>
      <c r="H929">
        <v>2020</v>
      </c>
      <c r="I929" t="s">
        <v>46</v>
      </c>
    </row>
    <row r="930" spans="1:9" x14ac:dyDescent="0.3">
      <c r="A930" t="s">
        <v>25</v>
      </c>
      <c r="B930">
        <v>752000</v>
      </c>
      <c r="C930">
        <v>144000</v>
      </c>
      <c r="E930">
        <v>270000</v>
      </c>
      <c r="G930" s="25">
        <v>43929</v>
      </c>
      <c r="H930">
        <v>2020</v>
      </c>
      <c r="I930" t="s">
        <v>46</v>
      </c>
    </row>
    <row r="931" spans="1:9" x14ac:dyDescent="0.3">
      <c r="A931" t="s">
        <v>15</v>
      </c>
      <c r="B931">
        <v>103000</v>
      </c>
      <c r="G931" s="25">
        <v>43929</v>
      </c>
      <c r="H931">
        <v>2020</v>
      </c>
      <c r="I931" t="s">
        <v>46</v>
      </c>
    </row>
    <row r="932" spans="1:9" x14ac:dyDescent="0.3">
      <c r="A932" t="s">
        <v>26</v>
      </c>
      <c r="B932">
        <v>486000</v>
      </c>
      <c r="G932" s="25">
        <v>43929</v>
      </c>
      <c r="H932">
        <v>2020</v>
      </c>
      <c r="I932" t="s">
        <v>46</v>
      </c>
    </row>
    <row r="933" spans="1:9" x14ac:dyDescent="0.3">
      <c r="A933" t="s">
        <v>22</v>
      </c>
      <c r="G933" s="25">
        <v>43929</v>
      </c>
      <c r="H933">
        <v>2020</v>
      </c>
      <c r="I933" t="s">
        <v>46</v>
      </c>
    </row>
    <row r="934" spans="1:9" x14ac:dyDescent="0.3">
      <c r="A934" t="s">
        <v>19</v>
      </c>
      <c r="G934" s="25">
        <v>43929</v>
      </c>
      <c r="H934">
        <v>2020</v>
      </c>
      <c r="I934" t="s">
        <v>46</v>
      </c>
    </row>
    <row r="935" spans="1:9" x14ac:dyDescent="0.3">
      <c r="A935" t="s">
        <v>14</v>
      </c>
      <c r="G935" s="25">
        <v>43929</v>
      </c>
      <c r="H935">
        <v>2020</v>
      </c>
      <c r="I935" t="s">
        <v>46</v>
      </c>
    </row>
    <row r="936" spans="1:9" x14ac:dyDescent="0.3">
      <c r="A936" t="s">
        <v>24</v>
      </c>
      <c r="G936" s="25">
        <v>43929</v>
      </c>
      <c r="H936">
        <v>2020</v>
      </c>
      <c r="I936" t="s">
        <v>46</v>
      </c>
    </row>
    <row r="937" spans="1:9" x14ac:dyDescent="0.3">
      <c r="A937" t="s">
        <v>21</v>
      </c>
      <c r="G937" s="25">
        <v>43929</v>
      </c>
      <c r="H937">
        <v>2020</v>
      </c>
      <c r="I937" t="s">
        <v>46</v>
      </c>
    </row>
    <row r="938" spans="1:9" x14ac:dyDescent="0.3">
      <c r="A938" t="s">
        <v>18</v>
      </c>
      <c r="B938">
        <v>158000</v>
      </c>
      <c r="G938" s="25">
        <v>43929</v>
      </c>
      <c r="H938">
        <v>2020</v>
      </c>
      <c r="I938" t="s">
        <v>46</v>
      </c>
    </row>
    <row r="939" spans="1:9" x14ac:dyDescent="0.3">
      <c r="A939" t="s">
        <v>16</v>
      </c>
      <c r="B939">
        <v>216000</v>
      </c>
      <c r="G939" s="25">
        <v>43929</v>
      </c>
      <c r="H939">
        <v>2020</v>
      </c>
      <c r="I939" t="s">
        <v>46</v>
      </c>
    </row>
    <row r="940" spans="1:9" x14ac:dyDescent="0.3">
      <c r="A940" t="s">
        <v>20</v>
      </c>
      <c r="G940" s="25">
        <v>43930</v>
      </c>
      <c r="H940">
        <v>2020</v>
      </c>
      <c r="I940" t="s">
        <v>46</v>
      </c>
    </row>
    <row r="941" spans="1:9" x14ac:dyDescent="0.3">
      <c r="A941" t="s">
        <v>37</v>
      </c>
      <c r="G941" s="25">
        <v>43930</v>
      </c>
      <c r="H941">
        <v>2020</v>
      </c>
      <c r="I941" t="s">
        <v>46</v>
      </c>
    </row>
    <row r="942" spans="1:9" x14ac:dyDescent="0.3">
      <c r="A942" t="s">
        <v>17</v>
      </c>
      <c r="B942">
        <v>135000</v>
      </c>
      <c r="D942">
        <v>324000</v>
      </c>
      <c r="G942" s="25">
        <v>43930</v>
      </c>
      <c r="H942">
        <v>2020</v>
      </c>
      <c r="I942" t="s">
        <v>46</v>
      </c>
    </row>
    <row r="943" spans="1:9" x14ac:dyDescent="0.3">
      <c r="A943" t="s">
        <v>0</v>
      </c>
      <c r="C943">
        <v>578000</v>
      </c>
      <c r="E943">
        <v>216000</v>
      </c>
      <c r="G943" s="25">
        <v>43930</v>
      </c>
      <c r="H943">
        <v>2020</v>
      </c>
      <c r="I943" t="s">
        <v>46</v>
      </c>
    </row>
    <row r="944" spans="1:9" x14ac:dyDescent="0.3">
      <c r="A944" t="s">
        <v>25</v>
      </c>
      <c r="B944">
        <v>162000</v>
      </c>
      <c r="C944">
        <v>216000</v>
      </c>
      <c r="E944">
        <v>911000</v>
      </c>
      <c r="G944" s="25">
        <v>43930</v>
      </c>
      <c r="H944">
        <v>2020</v>
      </c>
      <c r="I944" t="s">
        <v>46</v>
      </c>
    </row>
    <row r="945" spans="1:9" x14ac:dyDescent="0.3">
      <c r="A945" t="s">
        <v>15</v>
      </c>
      <c r="C945">
        <v>522000</v>
      </c>
      <c r="G945" s="25">
        <v>43930</v>
      </c>
      <c r="H945">
        <v>2020</v>
      </c>
      <c r="I945" t="s">
        <v>46</v>
      </c>
    </row>
    <row r="946" spans="1:9" x14ac:dyDescent="0.3">
      <c r="A946" t="s">
        <v>26</v>
      </c>
      <c r="B946">
        <v>54000</v>
      </c>
      <c r="G946" s="25">
        <v>43930</v>
      </c>
      <c r="H946">
        <v>2020</v>
      </c>
      <c r="I946" t="s">
        <v>46</v>
      </c>
    </row>
    <row r="947" spans="1:9" x14ac:dyDescent="0.3">
      <c r="A947" t="s">
        <v>22</v>
      </c>
      <c r="G947" s="25">
        <v>43930</v>
      </c>
      <c r="H947">
        <v>2020</v>
      </c>
      <c r="I947" t="s">
        <v>46</v>
      </c>
    </row>
    <row r="948" spans="1:9" x14ac:dyDescent="0.3">
      <c r="A948" t="s">
        <v>19</v>
      </c>
      <c r="G948" s="25">
        <v>43930</v>
      </c>
      <c r="H948">
        <v>2020</v>
      </c>
      <c r="I948" t="s">
        <v>46</v>
      </c>
    </row>
    <row r="949" spans="1:9" x14ac:dyDescent="0.3">
      <c r="A949" t="s">
        <v>14</v>
      </c>
      <c r="B949">
        <v>486000</v>
      </c>
      <c r="G949" s="25">
        <v>43930</v>
      </c>
      <c r="H949">
        <v>2020</v>
      </c>
      <c r="I949" t="s">
        <v>46</v>
      </c>
    </row>
    <row r="950" spans="1:9" x14ac:dyDescent="0.3">
      <c r="A950" t="s">
        <v>24</v>
      </c>
      <c r="G950" s="25">
        <v>43930</v>
      </c>
      <c r="H950">
        <v>2020</v>
      </c>
      <c r="I950" t="s">
        <v>46</v>
      </c>
    </row>
    <row r="951" spans="1:9" x14ac:dyDescent="0.3">
      <c r="A951" t="s">
        <v>21</v>
      </c>
      <c r="G951" s="25">
        <v>43930</v>
      </c>
      <c r="H951">
        <v>2020</v>
      </c>
      <c r="I951" t="s">
        <v>46</v>
      </c>
    </row>
    <row r="952" spans="1:9" x14ac:dyDescent="0.3">
      <c r="A952" t="s">
        <v>18</v>
      </c>
      <c r="B952">
        <v>316000</v>
      </c>
      <c r="G952" s="25">
        <v>43930</v>
      </c>
      <c r="H952">
        <v>2020</v>
      </c>
      <c r="I952" t="s">
        <v>46</v>
      </c>
    </row>
    <row r="953" spans="1:9" x14ac:dyDescent="0.3">
      <c r="A953" t="s">
        <v>16</v>
      </c>
      <c r="B953">
        <v>54000</v>
      </c>
      <c r="C953">
        <v>45000</v>
      </c>
      <c r="E953">
        <v>54000</v>
      </c>
      <c r="G953" s="25">
        <v>43930</v>
      </c>
      <c r="H953">
        <v>2020</v>
      </c>
      <c r="I953" t="s">
        <v>46</v>
      </c>
    </row>
    <row r="954" spans="1:9" x14ac:dyDescent="0.3">
      <c r="A954" t="s">
        <v>20</v>
      </c>
      <c r="G954" s="25">
        <v>43935</v>
      </c>
      <c r="H954">
        <v>2020</v>
      </c>
      <c r="I954" t="s">
        <v>46</v>
      </c>
    </row>
    <row r="955" spans="1:9" x14ac:dyDescent="0.3">
      <c r="A955" t="s">
        <v>37</v>
      </c>
      <c r="G955" s="25">
        <v>43935</v>
      </c>
      <c r="H955">
        <v>2020</v>
      </c>
      <c r="I955" t="s">
        <v>46</v>
      </c>
    </row>
    <row r="956" spans="1:9" x14ac:dyDescent="0.3">
      <c r="A956" t="s">
        <v>17</v>
      </c>
      <c r="B956">
        <v>1004000</v>
      </c>
      <c r="D956">
        <v>586000</v>
      </c>
      <c r="E956">
        <v>270000</v>
      </c>
      <c r="G956" s="25">
        <v>43935</v>
      </c>
      <c r="H956">
        <v>2020</v>
      </c>
      <c r="I956" t="s">
        <v>46</v>
      </c>
    </row>
    <row r="957" spans="1:9" x14ac:dyDescent="0.3">
      <c r="A957" t="s">
        <v>0</v>
      </c>
      <c r="C957">
        <v>482000</v>
      </c>
      <c r="E957">
        <v>50000</v>
      </c>
      <c r="G957" s="25">
        <v>43935</v>
      </c>
      <c r="H957">
        <v>2020</v>
      </c>
      <c r="I957" t="s">
        <v>46</v>
      </c>
    </row>
    <row r="958" spans="1:9" x14ac:dyDescent="0.3">
      <c r="A958" t="s">
        <v>25</v>
      </c>
      <c r="C958">
        <v>104000</v>
      </c>
      <c r="G958" s="25">
        <v>43935</v>
      </c>
      <c r="H958">
        <v>2020</v>
      </c>
      <c r="I958" t="s">
        <v>46</v>
      </c>
    </row>
    <row r="959" spans="1:9" x14ac:dyDescent="0.3">
      <c r="A959" t="s">
        <v>15</v>
      </c>
      <c r="C959">
        <v>253000</v>
      </c>
      <c r="G959" s="25">
        <v>43935</v>
      </c>
      <c r="H959">
        <v>2020</v>
      </c>
      <c r="I959" t="s">
        <v>46</v>
      </c>
    </row>
    <row r="960" spans="1:9" x14ac:dyDescent="0.3">
      <c r="A960" t="s">
        <v>26</v>
      </c>
      <c r="G960" s="25">
        <v>43935</v>
      </c>
      <c r="H960">
        <v>2020</v>
      </c>
      <c r="I960" t="s">
        <v>46</v>
      </c>
    </row>
    <row r="961" spans="1:9" x14ac:dyDescent="0.3">
      <c r="A961" t="s">
        <v>22</v>
      </c>
      <c r="G961" s="25">
        <v>43935</v>
      </c>
      <c r="H961">
        <v>2020</v>
      </c>
      <c r="I961" t="s">
        <v>46</v>
      </c>
    </row>
    <row r="962" spans="1:9" x14ac:dyDescent="0.3">
      <c r="A962" t="s">
        <v>19</v>
      </c>
      <c r="C962">
        <v>266000</v>
      </c>
      <c r="D962">
        <v>50000</v>
      </c>
      <c r="E962">
        <v>432000</v>
      </c>
      <c r="G962" s="25">
        <v>43935</v>
      </c>
      <c r="H962">
        <v>2020</v>
      </c>
      <c r="I962" t="s">
        <v>46</v>
      </c>
    </row>
    <row r="963" spans="1:9" x14ac:dyDescent="0.3">
      <c r="A963" t="s">
        <v>14</v>
      </c>
      <c r="B963">
        <v>108000</v>
      </c>
      <c r="G963" s="25">
        <v>43935</v>
      </c>
      <c r="H963">
        <v>2020</v>
      </c>
      <c r="I963" t="s">
        <v>46</v>
      </c>
    </row>
    <row r="964" spans="1:9" x14ac:dyDescent="0.3">
      <c r="A964" t="s">
        <v>24</v>
      </c>
      <c r="G964" s="25">
        <v>43935</v>
      </c>
      <c r="H964">
        <v>2020</v>
      </c>
      <c r="I964" t="s">
        <v>46</v>
      </c>
    </row>
    <row r="965" spans="1:9" x14ac:dyDescent="0.3">
      <c r="A965" t="s">
        <v>21</v>
      </c>
      <c r="G965" s="25">
        <v>43935</v>
      </c>
      <c r="H965">
        <v>2020</v>
      </c>
      <c r="I965" t="s">
        <v>46</v>
      </c>
    </row>
    <row r="966" spans="1:9" x14ac:dyDescent="0.3">
      <c r="A966" t="s">
        <v>18</v>
      </c>
      <c r="G966" s="25">
        <v>43935</v>
      </c>
      <c r="H966">
        <v>2020</v>
      </c>
      <c r="I966" t="s">
        <v>46</v>
      </c>
    </row>
    <row r="967" spans="1:9" x14ac:dyDescent="0.3">
      <c r="A967" t="s">
        <v>16</v>
      </c>
      <c r="G967" s="25">
        <v>43935</v>
      </c>
      <c r="H967">
        <v>2020</v>
      </c>
      <c r="I967" t="s">
        <v>46</v>
      </c>
    </row>
    <row r="968" spans="1:9" x14ac:dyDescent="0.3">
      <c r="A968" t="s">
        <v>20</v>
      </c>
      <c r="G968" s="25">
        <v>43936</v>
      </c>
      <c r="H968">
        <v>2020</v>
      </c>
      <c r="I968" t="s">
        <v>46</v>
      </c>
    </row>
    <row r="969" spans="1:9" x14ac:dyDescent="0.3">
      <c r="A969" t="s">
        <v>37</v>
      </c>
      <c r="G969" s="25">
        <v>43936</v>
      </c>
      <c r="H969">
        <v>2020</v>
      </c>
      <c r="I969" t="s">
        <v>46</v>
      </c>
    </row>
    <row r="970" spans="1:9" x14ac:dyDescent="0.3">
      <c r="A970" t="s">
        <v>17</v>
      </c>
      <c r="B970">
        <v>730000</v>
      </c>
      <c r="C970">
        <v>54000</v>
      </c>
      <c r="E970">
        <v>216000</v>
      </c>
      <c r="G970" s="25">
        <v>43936</v>
      </c>
      <c r="H970">
        <v>2020</v>
      </c>
      <c r="I970" t="s">
        <v>46</v>
      </c>
    </row>
    <row r="971" spans="1:9" x14ac:dyDescent="0.3">
      <c r="A971" t="s">
        <v>0</v>
      </c>
      <c r="C971">
        <v>486000</v>
      </c>
      <c r="G971" s="25">
        <v>43936</v>
      </c>
      <c r="H971">
        <v>2020</v>
      </c>
      <c r="I971" t="s">
        <v>46</v>
      </c>
    </row>
    <row r="972" spans="1:9" x14ac:dyDescent="0.3">
      <c r="A972" t="s">
        <v>25</v>
      </c>
      <c r="C972">
        <v>419000</v>
      </c>
      <c r="G972" s="25">
        <v>43936</v>
      </c>
      <c r="H972">
        <v>2020</v>
      </c>
      <c r="I972" t="s">
        <v>46</v>
      </c>
    </row>
    <row r="973" spans="1:9" x14ac:dyDescent="0.3">
      <c r="A973" t="s">
        <v>15</v>
      </c>
      <c r="G973" s="25">
        <v>43936</v>
      </c>
      <c r="H973">
        <v>2020</v>
      </c>
      <c r="I973" t="s">
        <v>46</v>
      </c>
    </row>
    <row r="974" spans="1:9" x14ac:dyDescent="0.3">
      <c r="A974" t="s">
        <v>26</v>
      </c>
      <c r="G974" s="25">
        <v>43936</v>
      </c>
      <c r="H974">
        <v>2020</v>
      </c>
      <c r="I974" t="s">
        <v>46</v>
      </c>
    </row>
    <row r="975" spans="1:9" x14ac:dyDescent="0.3">
      <c r="A975" t="s">
        <v>22</v>
      </c>
      <c r="G975" s="25">
        <v>43936</v>
      </c>
      <c r="H975">
        <v>2020</v>
      </c>
      <c r="I975" t="s">
        <v>46</v>
      </c>
    </row>
    <row r="976" spans="1:9" x14ac:dyDescent="0.3">
      <c r="A976" t="s">
        <v>19</v>
      </c>
      <c r="C976">
        <v>263000</v>
      </c>
      <c r="D976">
        <v>54000</v>
      </c>
      <c r="E976">
        <v>486000</v>
      </c>
      <c r="G976" s="25">
        <v>43936</v>
      </c>
      <c r="H976">
        <v>2020</v>
      </c>
      <c r="I976" t="s">
        <v>46</v>
      </c>
    </row>
    <row r="977" spans="1:9" x14ac:dyDescent="0.3">
      <c r="A977" t="s">
        <v>14</v>
      </c>
      <c r="B977">
        <v>485000</v>
      </c>
      <c r="D977">
        <v>909000</v>
      </c>
      <c r="G977" s="25">
        <v>43936</v>
      </c>
      <c r="H977">
        <v>2020</v>
      </c>
      <c r="I977" t="s">
        <v>46</v>
      </c>
    </row>
    <row r="978" spans="1:9" x14ac:dyDescent="0.3">
      <c r="A978" t="s">
        <v>24</v>
      </c>
      <c r="G978" s="25">
        <v>43936</v>
      </c>
      <c r="H978">
        <v>2020</v>
      </c>
      <c r="I978" t="s">
        <v>46</v>
      </c>
    </row>
    <row r="979" spans="1:9" x14ac:dyDescent="0.3">
      <c r="A979" t="s">
        <v>21</v>
      </c>
      <c r="G979" s="25">
        <v>43936</v>
      </c>
      <c r="H979">
        <v>2020</v>
      </c>
      <c r="I979" t="s">
        <v>46</v>
      </c>
    </row>
    <row r="980" spans="1:9" x14ac:dyDescent="0.3">
      <c r="A980" t="s">
        <v>18</v>
      </c>
      <c r="B980">
        <v>108000</v>
      </c>
      <c r="G980" s="25">
        <v>43936</v>
      </c>
      <c r="H980">
        <v>2020</v>
      </c>
      <c r="I980" t="s">
        <v>46</v>
      </c>
    </row>
    <row r="981" spans="1:9" x14ac:dyDescent="0.3">
      <c r="A981" t="s">
        <v>16</v>
      </c>
      <c r="D981">
        <v>54000</v>
      </c>
      <c r="G981" s="25">
        <v>43936</v>
      </c>
      <c r="H981">
        <v>2020</v>
      </c>
      <c r="I981" t="s">
        <v>46</v>
      </c>
    </row>
    <row r="982" spans="1:9" x14ac:dyDescent="0.3">
      <c r="A982" t="s">
        <v>20</v>
      </c>
      <c r="G982" s="25">
        <v>43937</v>
      </c>
      <c r="H982">
        <v>2020</v>
      </c>
      <c r="I982" t="s">
        <v>46</v>
      </c>
    </row>
    <row r="983" spans="1:9" x14ac:dyDescent="0.3">
      <c r="A983" t="s">
        <v>37</v>
      </c>
      <c r="G983" s="25">
        <v>43937</v>
      </c>
      <c r="H983">
        <v>2020</v>
      </c>
      <c r="I983" t="s">
        <v>46</v>
      </c>
    </row>
    <row r="984" spans="1:9" x14ac:dyDescent="0.3">
      <c r="A984" t="s">
        <v>17</v>
      </c>
      <c r="B984">
        <v>261000</v>
      </c>
      <c r="C984">
        <v>527000</v>
      </c>
      <c r="D984">
        <v>45000</v>
      </c>
      <c r="E984">
        <v>374000</v>
      </c>
      <c r="G984" s="25">
        <v>43937</v>
      </c>
      <c r="H984">
        <v>2020</v>
      </c>
      <c r="I984" t="s">
        <v>46</v>
      </c>
    </row>
    <row r="985" spans="1:9" x14ac:dyDescent="0.3">
      <c r="A985" t="s">
        <v>0</v>
      </c>
      <c r="C985">
        <v>806500</v>
      </c>
      <c r="G985" s="25">
        <v>43937</v>
      </c>
      <c r="H985">
        <v>2020</v>
      </c>
      <c r="I985" t="s">
        <v>46</v>
      </c>
    </row>
    <row r="986" spans="1:9" x14ac:dyDescent="0.3">
      <c r="A986" t="s">
        <v>25</v>
      </c>
      <c r="B986">
        <v>50000</v>
      </c>
      <c r="E986">
        <v>99000</v>
      </c>
      <c r="G986" s="25">
        <v>43937</v>
      </c>
      <c r="H986">
        <v>2020</v>
      </c>
      <c r="I986" t="s">
        <v>46</v>
      </c>
    </row>
    <row r="987" spans="1:9" x14ac:dyDescent="0.3">
      <c r="A987" t="s">
        <v>15</v>
      </c>
      <c r="C987">
        <v>54000</v>
      </c>
      <c r="E987">
        <v>108000</v>
      </c>
      <c r="G987" s="25">
        <v>43937</v>
      </c>
      <c r="H987">
        <v>2020</v>
      </c>
      <c r="I987" t="s">
        <v>46</v>
      </c>
    </row>
    <row r="988" spans="1:9" x14ac:dyDescent="0.3">
      <c r="A988" t="s">
        <v>26</v>
      </c>
      <c r="G988" s="25">
        <v>43937</v>
      </c>
      <c r="H988">
        <v>2020</v>
      </c>
      <c r="I988" t="s">
        <v>46</v>
      </c>
    </row>
    <row r="989" spans="1:9" x14ac:dyDescent="0.3">
      <c r="A989" t="s">
        <v>22</v>
      </c>
      <c r="G989" s="25">
        <v>43937</v>
      </c>
      <c r="H989">
        <v>2020</v>
      </c>
      <c r="I989" t="s">
        <v>46</v>
      </c>
    </row>
    <row r="990" spans="1:9" x14ac:dyDescent="0.3">
      <c r="A990" t="s">
        <v>19</v>
      </c>
      <c r="C990">
        <v>315000</v>
      </c>
      <c r="E990">
        <v>54000</v>
      </c>
      <c r="G990" s="25">
        <v>43937</v>
      </c>
      <c r="H990">
        <v>2020</v>
      </c>
      <c r="I990" t="s">
        <v>46</v>
      </c>
    </row>
    <row r="991" spans="1:9" x14ac:dyDescent="0.3">
      <c r="A991" t="s">
        <v>14</v>
      </c>
      <c r="C991">
        <v>108000</v>
      </c>
      <c r="G991" s="25">
        <v>43937</v>
      </c>
      <c r="H991">
        <v>2020</v>
      </c>
      <c r="I991" t="s">
        <v>46</v>
      </c>
    </row>
    <row r="992" spans="1:9" x14ac:dyDescent="0.3">
      <c r="A992" t="s">
        <v>24</v>
      </c>
      <c r="G992" s="25">
        <v>43937</v>
      </c>
      <c r="H992">
        <v>2020</v>
      </c>
      <c r="I992" t="s">
        <v>46</v>
      </c>
    </row>
    <row r="993" spans="1:9" x14ac:dyDescent="0.3">
      <c r="A993" t="s">
        <v>21</v>
      </c>
      <c r="G993" s="25">
        <v>43937</v>
      </c>
      <c r="H993">
        <v>2020</v>
      </c>
      <c r="I993" t="s">
        <v>46</v>
      </c>
    </row>
    <row r="994" spans="1:9" x14ac:dyDescent="0.3">
      <c r="A994" t="s">
        <v>18</v>
      </c>
      <c r="B994">
        <v>54000</v>
      </c>
      <c r="G994" s="25">
        <v>43937</v>
      </c>
      <c r="H994">
        <v>2020</v>
      </c>
      <c r="I994" t="s">
        <v>46</v>
      </c>
    </row>
    <row r="995" spans="1:9" x14ac:dyDescent="0.3">
      <c r="A995" t="s">
        <v>16</v>
      </c>
      <c r="G995" s="25">
        <v>43937</v>
      </c>
      <c r="H995">
        <v>2020</v>
      </c>
      <c r="I995" t="s">
        <v>46</v>
      </c>
    </row>
    <row r="996" spans="1:9" x14ac:dyDescent="0.3">
      <c r="A996" t="s">
        <v>20</v>
      </c>
      <c r="G996" s="25">
        <v>43938</v>
      </c>
      <c r="H996">
        <v>2020</v>
      </c>
      <c r="I996" t="s">
        <v>46</v>
      </c>
    </row>
    <row r="997" spans="1:9" x14ac:dyDescent="0.3">
      <c r="A997" t="s">
        <v>37</v>
      </c>
      <c r="G997" s="25">
        <v>43938</v>
      </c>
      <c r="H997">
        <v>2020</v>
      </c>
      <c r="I997" t="s">
        <v>46</v>
      </c>
    </row>
    <row r="998" spans="1:9" x14ac:dyDescent="0.3">
      <c r="A998" t="s">
        <v>17</v>
      </c>
      <c r="C998">
        <v>152000</v>
      </c>
      <c r="G998" s="25">
        <v>43938</v>
      </c>
      <c r="H998">
        <v>2020</v>
      </c>
      <c r="I998" t="s">
        <v>46</v>
      </c>
    </row>
    <row r="999" spans="1:9" x14ac:dyDescent="0.3">
      <c r="A999" t="s">
        <v>0</v>
      </c>
      <c r="C999">
        <v>216000</v>
      </c>
      <c r="G999" s="25">
        <v>43938</v>
      </c>
      <c r="H999">
        <v>2020</v>
      </c>
      <c r="I999" t="s">
        <v>46</v>
      </c>
    </row>
    <row r="1000" spans="1:9" x14ac:dyDescent="0.3">
      <c r="A1000" t="s">
        <v>25</v>
      </c>
      <c r="C1000">
        <v>104000</v>
      </c>
      <c r="E1000">
        <v>540000</v>
      </c>
      <c r="G1000" s="25">
        <v>43938</v>
      </c>
      <c r="H1000">
        <v>2020</v>
      </c>
      <c r="I1000" t="s">
        <v>46</v>
      </c>
    </row>
    <row r="1001" spans="1:9" x14ac:dyDescent="0.3">
      <c r="A1001" t="s">
        <v>15</v>
      </c>
      <c r="C1001">
        <v>95000</v>
      </c>
      <c r="E1001">
        <v>427000</v>
      </c>
      <c r="G1001" s="25">
        <v>43938</v>
      </c>
      <c r="H1001">
        <v>2020</v>
      </c>
      <c r="I1001" t="s">
        <v>46</v>
      </c>
    </row>
    <row r="1002" spans="1:9" x14ac:dyDescent="0.3">
      <c r="A1002" t="s">
        <v>26</v>
      </c>
      <c r="G1002" s="25">
        <v>43938</v>
      </c>
      <c r="H1002">
        <v>2020</v>
      </c>
      <c r="I1002" t="s">
        <v>46</v>
      </c>
    </row>
    <row r="1003" spans="1:9" x14ac:dyDescent="0.3">
      <c r="A1003" t="s">
        <v>22</v>
      </c>
      <c r="G1003" s="25">
        <v>43938</v>
      </c>
      <c r="H1003">
        <v>2020</v>
      </c>
      <c r="I1003" t="s">
        <v>46</v>
      </c>
    </row>
    <row r="1004" spans="1:9" x14ac:dyDescent="0.3">
      <c r="A1004" t="s">
        <v>19</v>
      </c>
      <c r="C1004">
        <v>432000</v>
      </c>
      <c r="G1004" s="25">
        <v>43938</v>
      </c>
      <c r="H1004">
        <v>2020</v>
      </c>
      <c r="I1004" t="s">
        <v>46</v>
      </c>
    </row>
    <row r="1005" spans="1:9" x14ac:dyDescent="0.3">
      <c r="A1005" t="s">
        <v>14</v>
      </c>
      <c r="C1005">
        <v>270000</v>
      </c>
      <c r="E1005">
        <v>576000</v>
      </c>
      <c r="G1005" s="25">
        <v>43938</v>
      </c>
      <c r="H1005">
        <v>2020</v>
      </c>
      <c r="I1005" t="s">
        <v>46</v>
      </c>
    </row>
    <row r="1006" spans="1:9" x14ac:dyDescent="0.3">
      <c r="A1006" t="s">
        <v>24</v>
      </c>
      <c r="G1006" s="25">
        <v>43938</v>
      </c>
      <c r="H1006">
        <v>2020</v>
      </c>
      <c r="I1006" t="s">
        <v>46</v>
      </c>
    </row>
    <row r="1007" spans="1:9" x14ac:dyDescent="0.3">
      <c r="A1007" t="s">
        <v>21</v>
      </c>
      <c r="G1007" s="25">
        <v>43938</v>
      </c>
      <c r="H1007">
        <v>2020</v>
      </c>
      <c r="I1007" t="s">
        <v>46</v>
      </c>
    </row>
    <row r="1008" spans="1:9" x14ac:dyDescent="0.3">
      <c r="A1008" t="s">
        <v>18</v>
      </c>
      <c r="C1008">
        <v>104000</v>
      </c>
      <c r="G1008" s="25">
        <v>43938</v>
      </c>
      <c r="H1008">
        <v>2020</v>
      </c>
      <c r="I1008" t="s">
        <v>46</v>
      </c>
    </row>
    <row r="1009" spans="1:9" x14ac:dyDescent="0.3">
      <c r="A1009" t="s">
        <v>16</v>
      </c>
      <c r="G1009" s="25">
        <v>43938</v>
      </c>
      <c r="H1009">
        <v>2020</v>
      </c>
      <c r="I1009" t="s">
        <v>46</v>
      </c>
    </row>
    <row r="1010" spans="1:9" x14ac:dyDescent="0.3">
      <c r="A1010" t="s">
        <v>20</v>
      </c>
      <c r="G1010" s="25">
        <v>43941</v>
      </c>
      <c r="H1010">
        <v>2020</v>
      </c>
      <c r="I1010" t="s">
        <v>46</v>
      </c>
    </row>
    <row r="1011" spans="1:9" x14ac:dyDescent="0.3">
      <c r="A1011" t="s">
        <v>37</v>
      </c>
      <c r="G1011" s="25">
        <v>43941</v>
      </c>
      <c r="H1011">
        <v>2020</v>
      </c>
      <c r="I1011" t="s">
        <v>46</v>
      </c>
    </row>
    <row r="1012" spans="1:9" x14ac:dyDescent="0.3">
      <c r="A1012" t="s">
        <v>17</v>
      </c>
      <c r="C1012">
        <v>286000</v>
      </c>
      <c r="G1012" s="25">
        <v>43941</v>
      </c>
      <c r="H1012">
        <v>2020</v>
      </c>
      <c r="I1012" t="s">
        <v>46</v>
      </c>
    </row>
    <row r="1013" spans="1:9" x14ac:dyDescent="0.3">
      <c r="A1013" t="s">
        <v>0</v>
      </c>
      <c r="C1013">
        <v>54000</v>
      </c>
      <c r="G1013" s="25">
        <v>43941</v>
      </c>
      <c r="H1013">
        <v>2020</v>
      </c>
      <c r="I1013" t="s">
        <v>46</v>
      </c>
    </row>
    <row r="1014" spans="1:9" x14ac:dyDescent="0.3">
      <c r="A1014" t="s">
        <v>25</v>
      </c>
      <c r="C1014">
        <v>162000</v>
      </c>
      <c r="G1014" s="25">
        <v>43941</v>
      </c>
      <c r="H1014">
        <v>2020</v>
      </c>
      <c r="I1014" t="s">
        <v>46</v>
      </c>
    </row>
    <row r="1015" spans="1:9" x14ac:dyDescent="0.3">
      <c r="A1015" t="s">
        <v>15</v>
      </c>
      <c r="B1015">
        <v>1001000</v>
      </c>
      <c r="C1015">
        <v>216000</v>
      </c>
      <c r="D1015">
        <v>698000</v>
      </c>
      <c r="G1015" s="25">
        <v>43941</v>
      </c>
      <c r="H1015">
        <v>2020</v>
      </c>
      <c r="I1015" t="s">
        <v>46</v>
      </c>
    </row>
    <row r="1016" spans="1:9" x14ac:dyDescent="0.3">
      <c r="A1016" t="s">
        <v>26</v>
      </c>
      <c r="C1016">
        <v>270000</v>
      </c>
      <c r="G1016" s="25">
        <v>43941</v>
      </c>
      <c r="H1016">
        <v>2020</v>
      </c>
      <c r="I1016" t="s">
        <v>46</v>
      </c>
    </row>
    <row r="1017" spans="1:9" x14ac:dyDescent="0.3">
      <c r="A1017" t="s">
        <v>22</v>
      </c>
      <c r="G1017" s="25">
        <v>43941</v>
      </c>
      <c r="H1017">
        <v>2020</v>
      </c>
      <c r="I1017" t="s">
        <v>46</v>
      </c>
    </row>
    <row r="1018" spans="1:9" x14ac:dyDescent="0.3">
      <c r="A1018" t="s">
        <v>19</v>
      </c>
      <c r="C1018">
        <v>423000</v>
      </c>
      <c r="E1018">
        <v>482000</v>
      </c>
      <c r="G1018" s="25">
        <v>43941</v>
      </c>
      <c r="H1018">
        <v>2020</v>
      </c>
      <c r="I1018" t="s">
        <v>46</v>
      </c>
    </row>
    <row r="1019" spans="1:9" x14ac:dyDescent="0.3">
      <c r="A1019" t="s">
        <v>14</v>
      </c>
      <c r="C1019">
        <v>249000</v>
      </c>
      <c r="E1019">
        <v>270000</v>
      </c>
      <c r="G1019" s="25">
        <v>43941</v>
      </c>
      <c r="H1019">
        <v>2020</v>
      </c>
      <c r="I1019" t="s">
        <v>46</v>
      </c>
    </row>
    <row r="1020" spans="1:9" x14ac:dyDescent="0.3">
      <c r="A1020" t="s">
        <v>24</v>
      </c>
      <c r="G1020" s="25">
        <v>43941</v>
      </c>
      <c r="H1020">
        <v>2020</v>
      </c>
      <c r="I1020" t="s">
        <v>46</v>
      </c>
    </row>
    <row r="1021" spans="1:9" x14ac:dyDescent="0.3">
      <c r="A1021" t="s">
        <v>21</v>
      </c>
      <c r="G1021" s="25">
        <v>43941</v>
      </c>
      <c r="H1021">
        <v>2020</v>
      </c>
      <c r="I1021" t="s">
        <v>46</v>
      </c>
    </row>
    <row r="1022" spans="1:9" x14ac:dyDescent="0.3">
      <c r="A1022" t="s">
        <v>18</v>
      </c>
      <c r="C1022">
        <v>270000</v>
      </c>
      <c r="G1022" s="25">
        <v>43941</v>
      </c>
      <c r="H1022">
        <v>2020</v>
      </c>
      <c r="I1022" t="s">
        <v>46</v>
      </c>
    </row>
    <row r="1023" spans="1:9" x14ac:dyDescent="0.3">
      <c r="A1023" t="s">
        <v>16</v>
      </c>
      <c r="D1023">
        <v>54000</v>
      </c>
      <c r="G1023" s="25">
        <v>43941</v>
      </c>
      <c r="H1023">
        <v>2020</v>
      </c>
      <c r="I1023" t="s">
        <v>46</v>
      </c>
    </row>
    <row r="1024" spans="1:9" x14ac:dyDescent="0.3">
      <c r="A1024" t="s">
        <v>20</v>
      </c>
      <c r="G1024" s="25">
        <v>43942</v>
      </c>
      <c r="H1024">
        <v>2020</v>
      </c>
      <c r="I1024" t="s">
        <v>46</v>
      </c>
    </row>
    <row r="1025" spans="1:9" x14ac:dyDescent="0.3">
      <c r="A1025" t="s">
        <v>37</v>
      </c>
      <c r="G1025" s="25">
        <v>43942</v>
      </c>
      <c r="H1025">
        <v>2020</v>
      </c>
      <c r="I1025" t="s">
        <v>46</v>
      </c>
    </row>
    <row r="1026" spans="1:9" x14ac:dyDescent="0.3">
      <c r="A1026" t="s">
        <v>17</v>
      </c>
      <c r="G1026" s="25">
        <v>43942</v>
      </c>
      <c r="H1026">
        <v>2020</v>
      </c>
      <c r="I1026" t="s">
        <v>46</v>
      </c>
    </row>
    <row r="1027" spans="1:9" x14ac:dyDescent="0.3">
      <c r="A1027" t="s">
        <v>0</v>
      </c>
      <c r="G1027" s="25">
        <v>43942</v>
      </c>
      <c r="H1027">
        <v>2020</v>
      </c>
      <c r="I1027" t="s">
        <v>46</v>
      </c>
    </row>
    <row r="1028" spans="1:9" x14ac:dyDescent="0.3">
      <c r="A1028" t="s">
        <v>25</v>
      </c>
      <c r="C1028">
        <v>216000</v>
      </c>
      <c r="G1028" s="25">
        <v>43942</v>
      </c>
      <c r="H1028">
        <v>2020</v>
      </c>
      <c r="I1028" t="s">
        <v>46</v>
      </c>
    </row>
    <row r="1029" spans="1:9" x14ac:dyDescent="0.3">
      <c r="A1029" t="s">
        <v>15</v>
      </c>
      <c r="B1029">
        <v>586000</v>
      </c>
      <c r="C1029">
        <v>162000</v>
      </c>
      <c r="D1029">
        <v>50000</v>
      </c>
      <c r="E1029">
        <v>263000</v>
      </c>
      <c r="G1029" s="25">
        <v>43942</v>
      </c>
      <c r="H1029">
        <v>2020</v>
      </c>
      <c r="I1029" t="s">
        <v>46</v>
      </c>
    </row>
    <row r="1030" spans="1:9" x14ac:dyDescent="0.3">
      <c r="A1030" t="s">
        <v>26</v>
      </c>
      <c r="C1030">
        <v>108000</v>
      </c>
      <c r="G1030" s="25">
        <v>43942</v>
      </c>
      <c r="H1030">
        <v>2020</v>
      </c>
      <c r="I1030" t="s">
        <v>46</v>
      </c>
    </row>
    <row r="1031" spans="1:9" x14ac:dyDescent="0.3">
      <c r="A1031" t="s">
        <v>22</v>
      </c>
      <c r="G1031" s="25">
        <v>43942</v>
      </c>
      <c r="H1031">
        <v>2020</v>
      </c>
      <c r="I1031" t="s">
        <v>46</v>
      </c>
    </row>
    <row r="1032" spans="1:9" x14ac:dyDescent="0.3">
      <c r="A1032" t="s">
        <v>19</v>
      </c>
      <c r="B1032">
        <v>270000</v>
      </c>
      <c r="C1032">
        <v>150000</v>
      </c>
      <c r="E1032">
        <v>1230000</v>
      </c>
      <c r="G1032" s="25">
        <v>43942</v>
      </c>
      <c r="H1032">
        <v>2020</v>
      </c>
      <c r="I1032" t="s">
        <v>46</v>
      </c>
    </row>
    <row r="1033" spans="1:9" x14ac:dyDescent="0.3">
      <c r="A1033" t="s">
        <v>14</v>
      </c>
      <c r="C1033">
        <v>212000</v>
      </c>
      <c r="G1033" s="25">
        <v>43942</v>
      </c>
      <c r="H1033">
        <v>2020</v>
      </c>
      <c r="I1033" t="s">
        <v>46</v>
      </c>
    </row>
    <row r="1034" spans="1:9" x14ac:dyDescent="0.3">
      <c r="A1034" t="s">
        <v>24</v>
      </c>
      <c r="G1034" s="25">
        <v>43942</v>
      </c>
      <c r="H1034">
        <v>2020</v>
      </c>
      <c r="I1034" t="s">
        <v>46</v>
      </c>
    </row>
    <row r="1035" spans="1:9" x14ac:dyDescent="0.3">
      <c r="A1035" t="s">
        <v>21</v>
      </c>
      <c r="G1035" s="25">
        <v>43942</v>
      </c>
      <c r="H1035">
        <v>2020</v>
      </c>
      <c r="I1035" t="s">
        <v>46</v>
      </c>
    </row>
    <row r="1036" spans="1:9" x14ac:dyDescent="0.3">
      <c r="A1036" t="s">
        <v>18</v>
      </c>
      <c r="C1036">
        <v>316000</v>
      </c>
      <c r="G1036" s="25">
        <v>43942</v>
      </c>
      <c r="H1036">
        <v>2020</v>
      </c>
      <c r="I1036" t="s">
        <v>46</v>
      </c>
    </row>
    <row r="1037" spans="1:9" x14ac:dyDescent="0.3">
      <c r="A1037" t="s">
        <v>16</v>
      </c>
      <c r="G1037" s="25">
        <v>43942</v>
      </c>
      <c r="H1037">
        <v>2020</v>
      </c>
      <c r="I1037" t="s">
        <v>46</v>
      </c>
    </row>
    <row r="1038" spans="1:9" x14ac:dyDescent="0.3">
      <c r="A1038" t="s">
        <v>20</v>
      </c>
      <c r="G1038" s="25">
        <v>43943</v>
      </c>
      <c r="H1038">
        <v>2020</v>
      </c>
      <c r="I1038" t="s">
        <v>46</v>
      </c>
    </row>
    <row r="1039" spans="1:9" x14ac:dyDescent="0.3">
      <c r="A1039" t="s">
        <v>37</v>
      </c>
      <c r="G1039" s="25">
        <v>43943</v>
      </c>
      <c r="H1039">
        <v>2020</v>
      </c>
      <c r="I1039" t="s">
        <v>46</v>
      </c>
    </row>
    <row r="1040" spans="1:9" x14ac:dyDescent="0.3">
      <c r="A1040" t="s">
        <v>17</v>
      </c>
      <c r="E1040">
        <v>47000</v>
      </c>
      <c r="G1040" s="25">
        <v>43943</v>
      </c>
      <c r="H1040">
        <v>2020</v>
      </c>
      <c r="I1040" t="s">
        <v>46</v>
      </c>
    </row>
    <row r="1041" spans="1:9" x14ac:dyDescent="0.3">
      <c r="A1041" t="s">
        <v>0</v>
      </c>
      <c r="G1041" s="25">
        <v>43943</v>
      </c>
      <c r="H1041">
        <v>2020</v>
      </c>
      <c r="I1041" t="s">
        <v>46</v>
      </c>
    </row>
    <row r="1042" spans="1:9" x14ac:dyDescent="0.3">
      <c r="A1042" t="s">
        <v>25</v>
      </c>
      <c r="C1042">
        <v>378000</v>
      </c>
      <c r="G1042" s="25">
        <v>43943</v>
      </c>
      <c r="H1042">
        <v>2020</v>
      </c>
      <c r="I1042" t="s">
        <v>46</v>
      </c>
    </row>
    <row r="1043" spans="1:9" x14ac:dyDescent="0.3">
      <c r="A1043" t="s">
        <v>15</v>
      </c>
      <c r="C1043">
        <v>211000</v>
      </c>
      <c r="G1043" s="25">
        <v>43943</v>
      </c>
      <c r="H1043">
        <v>2020</v>
      </c>
      <c r="I1043" t="s">
        <v>46</v>
      </c>
    </row>
    <row r="1044" spans="1:9" x14ac:dyDescent="0.3">
      <c r="A1044" t="s">
        <v>26</v>
      </c>
      <c r="B1044">
        <v>54000</v>
      </c>
      <c r="C1044">
        <v>162000</v>
      </c>
      <c r="G1044" s="25">
        <v>43943</v>
      </c>
      <c r="H1044">
        <v>2020</v>
      </c>
      <c r="I1044" t="s">
        <v>46</v>
      </c>
    </row>
    <row r="1045" spans="1:9" x14ac:dyDescent="0.3">
      <c r="A1045" t="s">
        <v>22</v>
      </c>
      <c r="G1045" s="25">
        <v>43943</v>
      </c>
      <c r="H1045">
        <v>2020</v>
      </c>
      <c r="I1045" t="s">
        <v>46</v>
      </c>
    </row>
    <row r="1046" spans="1:9" x14ac:dyDescent="0.3">
      <c r="A1046" t="s">
        <v>19</v>
      </c>
      <c r="B1046">
        <v>54000</v>
      </c>
      <c r="C1046">
        <v>432000</v>
      </c>
      <c r="E1046">
        <v>644000</v>
      </c>
      <c r="G1046" s="25">
        <v>43943</v>
      </c>
      <c r="H1046">
        <v>2020</v>
      </c>
      <c r="I1046" t="s">
        <v>46</v>
      </c>
    </row>
    <row r="1047" spans="1:9" x14ac:dyDescent="0.3">
      <c r="A1047" t="s">
        <v>14</v>
      </c>
      <c r="C1047">
        <v>378000</v>
      </c>
      <c r="G1047" s="25">
        <v>43943</v>
      </c>
      <c r="H1047">
        <v>2020</v>
      </c>
      <c r="I1047" t="s">
        <v>46</v>
      </c>
    </row>
    <row r="1048" spans="1:9" x14ac:dyDescent="0.3">
      <c r="A1048" t="s">
        <v>24</v>
      </c>
      <c r="G1048" s="25">
        <v>43943</v>
      </c>
      <c r="H1048">
        <v>2020</v>
      </c>
      <c r="I1048" t="s">
        <v>46</v>
      </c>
    </row>
    <row r="1049" spans="1:9" x14ac:dyDescent="0.3">
      <c r="A1049" t="s">
        <v>21</v>
      </c>
      <c r="G1049" s="25">
        <v>43943</v>
      </c>
      <c r="H1049">
        <v>2020</v>
      </c>
      <c r="I1049" t="s">
        <v>46</v>
      </c>
    </row>
    <row r="1050" spans="1:9" x14ac:dyDescent="0.3">
      <c r="A1050" t="s">
        <v>18</v>
      </c>
      <c r="C1050">
        <v>153000</v>
      </c>
      <c r="E1050">
        <v>162000</v>
      </c>
      <c r="G1050" s="25">
        <v>43943</v>
      </c>
      <c r="H1050">
        <v>2020</v>
      </c>
      <c r="I1050" t="s">
        <v>46</v>
      </c>
    </row>
    <row r="1051" spans="1:9" x14ac:dyDescent="0.3">
      <c r="A1051" t="s">
        <v>16</v>
      </c>
      <c r="G1051" s="25">
        <v>43943</v>
      </c>
      <c r="H1051">
        <v>2020</v>
      </c>
      <c r="I1051" t="s">
        <v>46</v>
      </c>
    </row>
    <row r="1052" spans="1:9" x14ac:dyDescent="0.3">
      <c r="A1052" t="s">
        <v>20</v>
      </c>
      <c r="G1052" s="25">
        <v>43944</v>
      </c>
      <c r="H1052">
        <v>2020</v>
      </c>
      <c r="I1052" t="s">
        <v>46</v>
      </c>
    </row>
    <row r="1053" spans="1:9" x14ac:dyDescent="0.3">
      <c r="A1053" t="s">
        <v>37</v>
      </c>
      <c r="G1053" s="25">
        <v>43944</v>
      </c>
      <c r="H1053">
        <v>2020</v>
      </c>
      <c r="I1053" t="s">
        <v>46</v>
      </c>
    </row>
    <row r="1054" spans="1:9" x14ac:dyDescent="0.3">
      <c r="A1054" t="s">
        <v>17</v>
      </c>
      <c r="D1054">
        <v>411000</v>
      </c>
      <c r="E1054">
        <v>92000</v>
      </c>
      <c r="G1054" s="25">
        <v>43944</v>
      </c>
      <c r="H1054">
        <v>2020</v>
      </c>
      <c r="I1054" t="s">
        <v>46</v>
      </c>
    </row>
    <row r="1055" spans="1:9" x14ac:dyDescent="0.3">
      <c r="A1055" t="s">
        <v>0</v>
      </c>
      <c r="G1055" s="25">
        <v>43944</v>
      </c>
      <c r="H1055">
        <v>2020</v>
      </c>
      <c r="I1055" t="s">
        <v>46</v>
      </c>
    </row>
    <row r="1056" spans="1:9" x14ac:dyDescent="0.3">
      <c r="A1056" t="s">
        <v>25</v>
      </c>
      <c r="C1056">
        <v>510000</v>
      </c>
      <c r="G1056" s="25">
        <v>43944</v>
      </c>
      <c r="H1056">
        <v>2020</v>
      </c>
      <c r="I1056" t="s">
        <v>46</v>
      </c>
    </row>
    <row r="1057" spans="1:9" x14ac:dyDescent="0.3">
      <c r="A1057" t="s">
        <v>15</v>
      </c>
      <c r="C1057">
        <v>518000</v>
      </c>
      <c r="G1057" s="25">
        <v>43944</v>
      </c>
      <c r="H1057">
        <v>2020</v>
      </c>
      <c r="I1057" t="s">
        <v>46</v>
      </c>
    </row>
    <row r="1058" spans="1:9" x14ac:dyDescent="0.3">
      <c r="A1058" t="s">
        <v>26</v>
      </c>
      <c r="C1058">
        <v>266000</v>
      </c>
      <c r="G1058" s="25">
        <v>43944</v>
      </c>
      <c r="H1058">
        <v>2020</v>
      </c>
      <c r="I1058" t="s">
        <v>46</v>
      </c>
    </row>
    <row r="1059" spans="1:9" x14ac:dyDescent="0.3">
      <c r="A1059" t="s">
        <v>22</v>
      </c>
      <c r="G1059" s="25">
        <v>43944</v>
      </c>
      <c r="H1059">
        <v>2020</v>
      </c>
      <c r="I1059" t="s">
        <v>46</v>
      </c>
    </row>
    <row r="1060" spans="1:9" x14ac:dyDescent="0.3">
      <c r="A1060" t="s">
        <v>19</v>
      </c>
      <c r="B1060">
        <v>270000</v>
      </c>
      <c r="C1060">
        <v>618000</v>
      </c>
      <c r="D1060">
        <v>702000</v>
      </c>
      <c r="E1060">
        <v>50000</v>
      </c>
      <c r="G1060" s="25">
        <v>43944</v>
      </c>
      <c r="H1060">
        <v>2020</v>
      </c>
      <c r="I1060" t="s">
        <v>46</v>
      </c>
    </row>
    <row r="1061" spans="1:9" x14ac:dyDescent="0.3">
      <c r="A1061" t="s">
        <v>14</v>
      </c>
      <c r="C1061">
        <v>465000</v>
      </c>
      <c r="G1061" s="25">
        <v>43944</v>
      </c>
      <c r="H1061">
        <v>2020</v>
      </c>
      <c r="I1061" t="s">
        <v>46</v>
      </c>
    </row>
    <row r="1062" spans="1:9" x14ac:dyDescent="0.3">
      <c r="A1062" t="s">
        <v>24</v>
      </c>
      <c r="G1062" s="25">
        <v>43944</v>
      </c>
      <c r="H1062">
        <v>2020</v>
      </c>
      <c r="I1062" t="s">
        <v>46</v>
      </c>
    </row>
    <row r="1063" spans="1:9" x14ac:dyDescent="0.3">
      <c r="A1063" t="s">
        <v>21</v>
      </c>
      <c r="G1063" s="25">
        <v>43944</v>
      </c>
      <c r="H1063">
        <v>2020</v>
      </c>
      <c r="I1063" t="s">
        <v>46</v>
      </c>
    </row>
    <row r="1064" spans="1:9" x14ac:dyDescent="0.3">
      <c r="A1064" t="s">
        <v>18</v>
      </c>
      <c r="E1064">
        <v>54000</v>
      </c>
      <c r="G1064" s="25">
        <v>43944</v>
      </c>
      <c r="H1064">
        <v>2020</v>
      </c>
      <c r="I1064" t="s">
        <v>46</v>
      </c>
    </row>
    <row r="1065" spans="1:9" x14ac:dyDescent="0.3">
      <c r="A1065" t="s">
        <v>16</v>
      </c>
      <c r="G1065" s="25">
        <v>43944</v>
      </c>
      <c r="H1065">
        <v>2020</v>
      </c>
      <c r="I1065" t="s">
        <v>46</v>
      </c>
    </row>
    <row r="1066" spans="1:9" x14ac:dyDescent="0.3">
      <c r="A1066" t="s">
        <v>20</v>
      </c>
      <c r="G1066" s="25">
        <v>43945</v>
      </c>
      <c r="H1066">
        <v>2020</v>
      </c>
      <c r="I1066" t="s">
        <v>46</v>
      </c>
    </row>
    <row r="1067" spans="1:9" x14ac:dyDescent="0.3">
      <c r="A1067" t="s">
        <v>37</v>
      </c>
      <c r="G1067" s="25">
        <v>43945</v>
      </c>
      <c r="H1067">
        <v>2020</v>
      </c>
      <c r="I1067" t="s">
        <v>46</v>
      </c>
    </row>
    <row r="1068" spans="1:9" x14ac:dyDescent="0.3">
      <c r="A1068" t="s">
        <v>17</v>
      </c>
      <c r="B1068">
        <v>643500</v>
      </c>
      <c r="C1068">
        <v>518000</v>
      </c>
      <c r="D1068">
        <v>536000</v>
      </c>
      <c r="G1068" s="25">
        <v>43945</v>
      </c>
      <c r="H1068">
        <v>2020</v>
      </c>
      <c r="I1068" t="s">
        <v>46</v>
      </c>
    </row>
    <row r="1069" spans="1:9" x14ac:dyDescent="0.3">
      <c r="A1069" t="s">
        <v>0</v>
      </c>
      <c r="G1069" s="25">
        <v>43945</v>
      </c>
      <c r="H1069">
        <v>2020</v>
      </c>
      <c r="I1069" t="s">
        <v>46</v>
      </c>
    </row>
    <row r="1070" spans="1:9" x14ac:dyDescent="0.3">
      <c r="A1070" t="s">
        <v>25</v>
      </c>
      <c r="C1070">
        <v>54000</v>
      </c>
      <c r="G1070" s="25">
        <v>43945</v>
      </c>
      <c r="H1070">
        <v>2020</v>
      </c>
      <c r="I1070" t="s">
        <v>46</v>
      </c>
    </row>
    <row r="1071" spans="1:9" x14ac:dyDescent="0.3">
      <c r="A1071" t="s">
        <v>15</v>
      </c>
      <c r="C1071">
        <v>315000</v>
      </c>
      <c r="G1071" s="25">
        <v>43945</v>
      </c>
      <c r="H1071">
        <v>2020</v>
      </c>
      <c r="I1071" t="s">
        <v>46</v>
      </c>
    </row>
    <row r="1072" spans="1:9" x14ac:dyDescent="0.3">
      <c r="A1072" t="s">
        <v>26</v>
      </c>
      <c r="C1072">
        <v>211500</v>
      </c>
      <c r="G1072" s="25">
        <v>43945</v>
      </c>
      <c r="H1072">
        <v>2020</v>
      </c>
      <c r="I1072" t="s">
        <v>46</v>
      </c>
    </row>
    <row r="1073" spans="1:9" x14ac:dyDescent="0.3">
      <c r="A1073" t="s">
        <v>22</v>
      </c>
      <c r="G1073" s="25">
        <v>43945</v>
      </c>
      <c r="H1073">
        <v>2020</v>
      </c>
      <c r="I1073" t="s">
        <v>46</v>
      </c>
    </row>
    <row r="1074" spans="1:9" x14ac:dyDescent="0.3">
      <c r="A1074" t="s">
        <v>19</v>
      </c>
      <c r="B1074">
        <v>477000</v>
      </c>
      <c r="C1074">
        <v>108000</v>
      </c>
      <c r="D1074">
        <v>266000</v>
      </c>
      <c r="E1074">
        <v>47000</v>
      </c>
      <c r="G1074" s="25">
        <v>43945</v>
      </c>
      <c r="H1074">
        <v>2020</v>
      </c>
      <c r="I1074" t="s">
        <v>46</v>
      </c>
    </row>
    <row r="1075" spans="1:9" x14ac:dyDescent="0.3">
      <c r="A1075" t="s">
        <v>14</v>
      </c>
      <c r="B1075">
        <v>486000</v>
      </c>
      <c r="C1075">
        <v>418000</v>
      </c>
      <c r="G1075" s="25">
        <v>43945</v>
      </c>
      <c r="H1075">
        <v>2020</v>
      </c>
      <c r="I1075" t="s">
        <v>46</v>
      </c>
    </row>
    <row r="1076" spans="1:9" x14ac:dyDescent="0.3">
      <c r="A1076" t="s">
        <v>24</v>
      </c>
      <c r="G1076" s="25">
        <v>43945</v>
      </c>
      <c r="H1076">
        <v>2020</v>
      </c>
      <c r="I1076" t="s">
        <v>46</v>
      </c>
    </row>
    <row r="1077" spans="1:9" x14ac:dyDescent="0.3">
      <c r="A1077" t="s">
        <v>21</v>
      </c>
      <c r="G1077" s="25">
        <v>43945</v>
      </c>
      <c r="H1077">
        <v>2020</v>
      </c>
      <c r="I1077" t="s">
        <v>46</v>
      </c>
    </row>
    <row r="1078" spans="1:9" x14ac:dyDescent="0.3">
      <c r="A1078" t="s">
        <v>18</v>
      </c>
      <c r="C1078">
        <v>153000</v>
      </c>
      <c r="G1078" s="25">
        <v>43945</v>
      </c>
      <c r="H1078">
        <v>2020</v>
      </c>
      <c r="I1078" t="s">
        <v>46</v>
      </c>
    </row>
    <row r="1079" spans="1:9" x14ac:dyDescent="0.3">
      <c r="A1079" t="s">
        <v>16</v>
      </c>
      <c r="G1079" s="25">
        <v>43945</v>
      </c>
      <c r="H1079">
        <v>2020</v>
      </c>
      <c r="I1079" t="s">
        <v>46</v>
      </c>
    </row>
    <row r="1080" spans="1:9" x14ac:dyDescent="0.3">
      <c r="A1080" t="s">
        <v>20</v>
      </c>
      <c r="G1080" s="25">
        <v>43948</v>
      </c>
      <c r="H1080">
        <v>2020</v>
      </c>
      <c r="I1080" t="s">
        <v>46</v>
      </c>
    </row>
    <row r="1081" spans="1:9" x14ac:dyDescent="0.3">
      <c r="A1081" t="s">
        <v>37</v>
      </c>
      <c r="G1081" s="25">
        <v>43948</v>
      </c>
      <c r="H1081">
        <v>2020</v>
      </c>
      <c r="I1081" t="s">
        <v>46</v>
      </c>
    </row>
    <row r="1082" spans="1:9" x14ac:dyDescent="0.3">
      <c r="A1082" t="s">
        <v>17</v>
      </c>
      <c r="B1082">
        <v>1176000</v>
      </c>
      <c r="C1082">
        <v>577000</v>
      </c>
      <c r="D1082">
        <v>50000</v>
      </c>
      <c r="G1082" s="25">
        <v>43948</v>
      </c>
      <c r="H1082">
        <v>2020</v>
      </c>
      <c r="I1082" t="s">
        <v>46</v>
      </c>
    </row>
    <row r="1083" spans="1:9" x14ac:dyDescent="0.3">
      <c r="A1083" t="s">
        <v>0</v>
      </c>
      <c r="G1083" s="25">
        <v>43948</v>
      </c>
      <c r="H1083">
        <v>2020</v>
      </c>
      <c r="I1083" t="s">
        <v>46</v>
      </c>
    </row>
    <row r="1084" spans="1:9" x14ac:dyDescent="0.3">
      <c r="A1084" t="s">
        <v>25</v>
      </c>
      <c r="G1084" s="25">
        <v>43948</v>
      </c>
      <c r="H1084">
        <v>2020</v>
      </c>
      <c r="I1084" t="s">
        <v>46</v>
      </c>
    </row>
    <row r="1085" spans="1:9" x14ac:dyDescent="0.3">
      <c r="A1085" t="s">
        <v>15</v>
      </c>
      <c r="C1085">
        <v>104000</v>
      </c>
      <c r="G1085" s="25">
        <v>43948</v>
      </c>
      <c r="H1085">
        <v>2020</v>
      </c>
      <c r="I1085" t="s">
        <v>46</v>
      </c>
    </row>
    <row r="1086" spans="1:9" x14ac:dyDescent="0.3">
      <c r="A1086" t="s">
        <v>26</v>
      </c>
      <c r="C1086">
        <v>260000</v>
      </c>
      <c r="G1086" s="25">
        <v>43948</v>
      </c>
      <c r="H1086">
        <v>2020</v>
      </c>
      <c r="I1086" t="s">
        <v>46</v>
      </c>
    </row>
    <row r="1087" spans="1:9" x14ac:dyDescent="0.3">
      <c r="A1087" t="s">
        <v>22</v>
      </c>
      <c r="G1087" s="25">
        <v>43948</v>
      </c>
      <c r="H1087">
        <v>2020</v>
      </c>
      <c r="I1087" t="s">
        <v>46</v>
      </c>
    </row>
    <row r="1088" spans="1:9" x14ac:dyDescent="0.3">
      <c r="A1088" t="s">
        <v>19</v>
      </c>
      <c r="B1088">
        <v>144000</v>
      </c>
      <c r="C1088">
        <v>918000</v>
      </c>
      <c r="G1088" s="25">
        <v>43948</v>
      </c>
      <c r="H1088">
        <v>2020</v>
      </c>
      <c r="I1088" t="s">
        <v>46</v>
      </c>
    </row>
    <row r="1089" spans="1:9" x14ac:dyDescent="0.3">
      <c r="A1089" t="s">
        <v>14</v>
      </c>
      <c r="B1089">
        <v>324000</v>
      </c>
      <c r="C1089">
        <v>589000</v>
      </c>
      <c r="G1089" s="25">
        <v>43948</v>
      </c>
      <c r="H1089">
        <v>2020</v>
      </c>
      <c r="I1089" t="s">
        <v>46</v>
      </c>
    </row>
    <row r="1090" spans="1:9" x14ac:dyDescent="0.3">
      <c r="A1090" t="s">
        <v>24</v>
      </c>
      <c r="G1090" s="25">
        <v>43948</v>
      </c>
      <c r="H1090">
        <v>2020</v>
      </c>
      <c r="I1090" t="s">
        <v>46</v>
      </c>
    </row>
    <row r="1091" spans="1:9" x14ac:dyDescent="0.3">
      <c r="A1091" t="s">
        <v>21</v>
      </c>
      <c r="G1091" s="25">
        <v>43948</v>
      </c>
      <c r="H1091">
        <v>2020</v>
      </c>
      <c r="I1091" t="s">
        <v>46</v>
      </c>
    </row>
    <row r="1092" spans="1:9" x14ac:dyDescent="0.3">
      <c r="A1092" t="s">
        <v>18</v>
      </c>
      <c r="G1092" s="25">
        <v>43948</v>
      </c>
      <c r="H1092">
        <v>2020</v>
      </c>
      <c r="I1092" t="s">
        <v>46</v>
      </c>
    </row>
    <row r="1093" spans="1:9" x14ac:dyDescent="0.3">
      <c r="A1093" t="s">
        <v>16</v>
      </c>
      <c r="G1093" s="25">
        <v>43948</v>
      </c>
      <c r="H1093">
        <v>2020</v>
      </c>
      <c r="I1093" t="s">
        <v>46</v>
      </c>
    </row>
    <row r="1094" spans="1:9" x14ac:dyDescent="0.3">
      <c r="A1094" t="s">
        <v>20</v>
      </c>
      <c r="G1094" s="25">
        <v>43949</v>
      </c>
      <c r="H1094">
        <v>2020</v>
      </c>
      <c r="I1094" t="s">
        <v>46</v>
      </c>
    </row>
    <row r="1095" spans="1:9" x14ac:dyDescent="0.3">
      <c r="A1095" t="s">
        <v>37</v>
      </c>
      <c r="G1095" s="25">
        <v>43949</v>
      </c>
      <c r="H1095">
        <v>2020</v>
      </c>
      <c r="I1095" t="s">
        <v>46</v>
      </c>
    </row>
    <row r="1096" spans="1:9" x14ac:dyDescent="0.3">
      <c r="A1096" t="s">
        <v>17</v>
      </c>
      <c r="B1096">
        <v>593000</v>
      </c>
      <c r="C1096">
        <v>465000</v>
      </c>
      <c r="G1096" s="25">
        <v>43949</v>
      </c>
      <c r="H1096">
        <v>2020</v>
      </c>
      <c r="I1096" t="s">
        <v>46</v>
      </c>
    </row>
    <row r="1097" spans="1:9" x14ac:dyDescent="0.3">
      <c r="A1097" t="s">
        <v>0</v>
      </c>
      <c r="G1097" s="25">
        <v>43949</v>
      </c>
      <c r="H1097">
        <v>2020</v>
      </c>
      <c r="I1097" t="s">
        <v>46</v>
      </c>
    </row>
    <row r="1098" spans="1:9" x14ac:dyDescent="0.3">
      <c r="A1098" t="s">
        <v>25</v>
      </c>
      <c r="G1098" s="25">
        <v>43949</v>
      </c>
      <c r="H1098">
        <v>2020</v>
      </c>
      <c r="I1098" t="s">
        <v>46</v>
      </c>
    </row>
    <row r="1099" spans="1:9" x14ac:dyDescent="0.3">
      <c r="A1099" t="s">
        <v>15</v>
      </c>
      <c r="C1099">
        <v>162000</v>
      </c>
      <c r="G1099" s="25">
        <v>43949</v>
      </c>
      <c r="H1099">
        <v>2020</v>
      </c>
      <c r="I1099" t="s">
        <v>46</v>
      </c>
    </row>
    <row r="1100" spans="1:9" x14ac:dyDescent="0.3">
      <c r="A1100" t="s">
        <v>26</v>
      </c>
      <c r="C1100">
        <v>100000</v>
      </c>
      <c r="G1100" s="25">
        <v>43949</v>
      </c>
      <c r="H1100">
        <v>2020</v>
      </c>
      <c r="I1100" t="s">
        <v>46</v>
      </c>
    </row>
    <row r="1101" spans="1:9" x14ac:dyDescent="0.3">
      <c r="A1101" t="s">
        <v>22</v>
      </c>
      <c r="G1101" s="25">
        <v>43949</v>
      </c>
      <c r="H1101">
        <v>2020</v>
      </c>
      <c r="I1101" t="s">
        <v>46</v>
      </c>
    </row>
    <row r="1102" spans="1:9" x14ac:dyDescent="0.3">
      <c r="A1102" t="s">
        <v>19</v>
      </c>
      <c r="B1102">
        <v>108000</v>
      </c>
      <c r="C1102">
        <v>1080000</v>
      </c>
      <c r="G1102" s="25">
        <v>43949</v>
      </c>
      <c r="H1102">
        <v>2020</v>
      </c>
      <c r="I1102" t="s">
        <v>46</v>
      </c>
    </row>
    <row r="1103" spans="1:9" x14ac:dyDescent="0.3">
      <c r="A1103" t="s">
        <v>14</v>
      </c>
      <c r="B1103">
        <v>909000</v>
      </c>
      <c r="C1103">
        <v>516000</v>
      </c>
      <c r="D1103">
        <v>756000</v>
      </c>
      <c r="G1103" s="25">
        <v>43949</v>
      </c>
      <c r="H1103">
        <v>2020</v>
      </c>
      <c r="I1103" t="s">
        <v>46</v>
      </c>
    </row>
    <row r="1104" spans="1:9" x14ac:dyDescent="0.3">
      <c r="A1104" t="s">
        <v>24</v>
      </c>
      <c r="G1104" s="25">
        <v>43949</v>
      </c>
      <c r="H1104">
        <v>2020</v>
      </c>
      <c r="I1104" t="s">
        <v>46</v>
      </c>
    </row>
    <row r="1105" spans="1:9" x14ac:dyDescent="0.3">
      <c r="A1105" t="s">
        <v>21</v>
      </c>
      <c r="G1105" s="25">
        <v>43949</v>
      </c>
      <c r="H1105">
        <v>2020</v>
      </c>
      <c r="I1105" t="s">
        <v>46</v>
      </c>
    </row>
    <row r="1106" spans="1:9" x14ac:dyDescent="0.3">
      <c r="A1106" t="s">
        <v>18</v>
      </c>
      <c r="D1106">
        <v>54000</v>
      </c>
      <c r="G1106" s="25">
        <v>43949</v>
      </c>
      <c r="H1106">
        <v>2020</v>
      </c>
      <c r="I1106" t="s">
        <v>46</v>
      </c>
    </row>
    <row r="1107" spans="1:9" x14ac:dyDescent="0.3">
      <c r="A1107" t="s">
        <v>16</v>
      </c>
      <c r="D1107">
        <v>54000</v>
      </c>
      <c r="G1107" s="25">
        <v>43949</v>
      </c>
      <c r="H1107">
        <v>2020</v>
      </c>
      <c r="I1107" t="s">
        <v>46</v>
      </c>
    </row>
    <row r="1108" spans="1:9" x14ac:dyDescent="0.3">
      <c r="A1108" t="s">
        <v>20</v>
      </c>
      <c r="G1108" s="25">
        <v>43950</v>
      </c>
      <c r="H1108">
        <v>2020</v>
      </c>
      <c r="I1108" t="s">
        <v>46</v>
      </c>
    </row>
    <row r="1109" spans="1:9" x14ac:dyDescent="0.3">
      <c r="A1109" t="s">
        <v>37</v>
      </c>
      <c r="G1109" s="25">
        <v>43950</v>
      </c>
      <c r="H1109">
        <v>2020</v>
      </c>
      <c r="I1109" t="s">
        <v>46</v>
      </c>
    </row>
    <row r="1110" spans="1:9" x14ac:dyDescent="0.3">
      <c r="A1110" t="s">
        <v>17</v>
      </c>
      <c r="C1110">
        <v>162000</v>
      </c>
      <c r="G1110" s="25">
        <v>43950</v>
      </c>
      <c r="H1110">
        <v>2020</v>
      </c>
      <c r="I1110" t="s">
        <v>46</v>
      </c>
    </row>
    <row r="1111" spans="1:9" x14ac:dyDescent="0.3">
      <c r="A1111" t="s">
        <v>0</v>
      </c>
      <c r="G1111" s="25">
        <v>43950</v>
      </c>
      <c r="H1111">
        <v>2020</v>
      </c>
      <c r="I1111" t="s">
        <v>46</v>
      </c>
    </row>
    <row r="1112" spans="1:9" x14ac:dyDescent="0.3">
      <c r="A1112" t="s">
        <v>25</v>
      </c>
      <c r="G1112" s="25">
        <v>43950</v>
      </c>
      <c r="H1112">
        <v>2020</v>
      </c>
      <c r="I1112" t="s">
        <v>46</v>
      </c>
    </row>
    <row r="1113" spans="1:9" x14ac:dyDescent="0.3">
      <c r="A1113" t="s">
        <v>15</v>
      </c>
      <c r="G1113" s="25">
        <v>43950</v>
      </c>
      <c r="H1113">
        <v>2020</v>
      </c>
      <c r="I1113" t="s">
        <v>46</v>
      </c>
    </row>
    <row r="1114" spans="1:9" x14ac:dyDescent="0.3">
      <c r="A1114" t="s">
        <v>26</v>
      </c>
      <c r="G1114" s="25">
        <v>43950</v>
      </c>
      <c r="H1114">
        <v>2020</v>
      </c>
      <c r="I1114" t="s">
        <v>46</v>
      </c>
    </row>
    <row r="1115" spans="1:9" x14ac:dyDescent="0.3">
      <c r="A1115" t="s">
        <v>22</v>
      </c>
      <c r="G1115" s="25">
        <v>43950</v>
      </c>
      <c r="H1115">
        <v>2020</v>
      </c>
      <c r="I1115" t="s">
        <v>46</v>
      </c>
    </row>
    <row r="1116" spans="1:9" x14ac:dyDescent="0.3">
      <c r="A1116" t="s">
        <v>19</v>
      </c>
      <c r="C1116">
        <v>1769000</v>
      </c>
      <c r="G1116" s="25">
        <v>43950</v>
      </c>
      <c r="H1116">
        <v>2020</v>
      </c>
      <c r="I1116" t="s">
        <v>46</v>
      </c>
    </row>
    <row r="1117" spans="1:9" x14ac:dyDescent="0.3">
      <c r="A1117" t="s">
        <v>14</v>
      </c>
      <c r="B1117">
        <v>1234000</v>
      </c>
      <c r="C1117">
        <v>108000</v>
      </c>
      <c r="D1117">
        <v>196000</v>
      </c>
      <c r="G1117" s="25">
        <v>43950</v>
      </c>
      <c r="H1117">
        <v>2020</v>
      </c>
      <c r="I1117" t="s">
        <v>46</v>
      </c>
    </row>
    <row r="1118" spans="1:9" x14ac:dyDescent="0.3">
      <c r="A1118" t="s">
        <v>24</v>
      </c>
      <c r="G1118" s="25">
        <v>43950</v>
      </c>
      <c r="H1118">
        <v>2020</v>
      </c>
      <c r="I1118" t="s">
        <v>46</v>
      </c>
    </row>
    <row r="1119" spans="1:9" x14ac:dyDescent="0.3">
      <c r="A1119" t="s">
        <v>21</v>
      </c>
      <c r="G1119" s="25">
        <v>43950</v>
      </c>
      <c r="H1119">
        <v>2020</v>
      </c>
      <c r="I1119" t="s">
        <v>46</v>
      </c>
    </row>
    <row r="1120" spans="1:9" x14ac:dyDescent="0.3">
      <c r="A1120" t="s">
        <v>18</v>
      </c>
      <c r="G1120" s="25">
        <v>43950</v>
      </c>
      <c r="H1120">
        <v>2020</v>
      </c>
      <c r="I1120" t="s">
        <v>46</v>
      </c>
    </row>
    <row r="1121" spans="1:9" x14ac:dyDescent="0.3">
      <c r="A1121" t="s">
        <v>16</v>
      </c>
      <c r="B1121">
        <v>796000</v>
      </c>
      <c r="D1121">
        <v>320000</v>
      </c>
      <c r="G1121" s="25">
        <v>43950</v>
      </c>
      <c r="H1121">
        <v>2020</v>
      </c>
      <c r="I1121" t="s">
        <v>46</v>
      </c>
    </row>
    <row r="1122" spans="1:9" x14ac:dyDescent="0.3">
      <c r="A1122" t="s">
        <v>20</v>
      </c>
      <c r="G1122" s="25">
        <v>43951</v>
      </c>
      <c r="H1122">
        <v>2020</v>
      </c>
      <c r="I1122" t="s">
        <v>46</v>
      </c>
    </row>
    <row r="1123" spans="1:9" x14ac:dyDescent="0.3">
      <c r="A1123" t="s">
        <v>37</v>
      </c>
      <c r="G1123" s="25">
        <v>43951</v>
      </c>
      <c r="H1123">
        <v>2020</v>
      </c>
      <c r="I1123" t="s">
        <v>46</v>
      </c>
    </row>
    <row r="1124" spans="1:9" x14ac:dyDescent="0.3">
      <c r="A1124" t="s">
        <v>17</v>
      </c>
      <c r="C1124">
        <v>50000</v>
      </c>
      <c r="G1124" s="25">
        <v>43951</v>
      </c>
      <c r="H1124">
        <v>2020</v>
      </c>
      <c r="I1124" t="s">
        <v>46</v>
      </c>
    </row>
    <row r="1125" spans="1:9" x14ac:dyDescent="0.3">
      <c r="A1125" t="s">
        <v>0</v>
      </c>
      <c r="G1125" s="25">
        <v>43951</v>
      </c>
      <c r="H1125">
        <v>2020</v>
      </c>
      <c r="I1125" t="s">
        <v>46</v>
      </c>
    </row>
    <row r="1126" spans="1:9" x14ac:dyDescent="0.3">
      <c r="A1126" t="s">
        <v>25</v>
      </c>
      <c r="G1126" s="25">
        <v>43951</v>
      </c>
      <c r="H1126">
        <v>2020</v>
      </c>
      <c r="I1126" t="s">
        <v>46</v>
      </c>
    </row>
    <row r="1127" spans="1:9" x14ac:dyDescent="0.3">
      <c r="A1127" t="s">
        <v>15</v>
      </c>
      <c r="C1127">
        <v>108000</v>
      </c>
      <c r="G1127" s="25">
        <v>43951</v>
      </c>
      <c r="H1127">
        <v>2020</v>
      </c>
      <c r="I1127" t="s">
        <v>46</v>
      </c>
    </row>
    <row r="1128" spans="1:9" x14ac:dyDescent="0.3">
      <c r="A1128" t="s">
        <v>26</v>
      </c>
      <c r="C1128">
        <v>262000</v>
      </c>
      <c r="G1128" s="25">
        <v>43951</v>
      </c>
      <c r="H1128">
        <v>2020</v>
      </c>
      <c r="I1128" t="s">
        <v>46</v>
      </c>
    </row>
    <row r="1129" spans="1:9" x14ac:dyDescent="0.3">
      <c r="A1129" t="s">
        <v>22</v>
      </c>
      <c r="G1129" s="25">
        <v>43951</v>
      </c>
      <c r="H1129">
        <v>2020</v>
      </c>
      <c r="I1129" t="s">
        <v>46</v>
      </c>
    </row>
    <row r="1130" spans="1:9" x14ac:dyDescent="0.3">
      <c r="A1130" t="s">
        <v>19</v>
      </c>
      <c r="C1130">
        <v>153000</v>
      </c>
      <c r="G1130" s="25">
        <v>43951</v>
      </c>
      <c r="H1130">
        <v>2020</v>
      </c>
      <c r="I1130" t="s">
        <v>46</v>
      </c>
    </row>
    <row r="1131" spans="1:9" x14ac:dyDescent="0.3">
      <c r="A1131" t="s">
        <v>14</v>
      </c>
      <c r="B1131">
        <v>799000</v>
      </c>
      <c r="C1131">
        <v>108000</v>
      </c>
      <c r="D1131">
        <v>99000</v>
      </c>
      <c r="G1131" s="25">
        <v>43951</v>
      </c>
      <c r="H1131">
        <v>2020</v>
      </c>
      <c r="I1131" t="s">
        <v>46</v>
      </c>
    </row>
    <row r="1132" spans="1:9" x14ac:dyDescent="0.3">
      <c r="A1132" t="s">
        <v>24</v>
      </c>
      <c r="G1132" s="25">
        <v>43951</v>
      </c>
      <c r="H1132">
        <v>2020</v>
      </c>
      <c r="I1132" t="s">
        <v>46</v>
      </c>
    </row>
    <row r="1133" spans="1:9" x14ac:dyDescent="0.3">
      <c r="A1133" t="s">
        <v>21</v>
      </c>
      <c r="G1133" s="25">
        <v>43951</v>
      </c>
      <c r="H1133">
        <v>2020</v>
      </c>
      <c r="I1133" t="s">
        <v>46</v>
      </c>
    </row>
    <row r="1134" spans="1:9" x14ac:dyDescent="0.3">
      <c r="A1134" t="s">
        <v>18</v>
      </c>
      <c r="G1134" s="25">
        <v>43951</v>
      </c>
      <c r="H1134">
        <v>2020</v>
      </c>
      <c r="I1134" t="s">
        <v>46</v>
      </c>
    </row>
    <row r="1135" spans="1:9" x14ac:dyDescent="0.3">
      <c r="A1135" t="s">
        <v>16</v>
      </c>
      <c r="D1135">
        <v>158000</v>
      </c>
      <c r="G1135" s="25">
        <v>43951</v>
      </c>
      <c r="H1135">
        <v>2020</v>
      </c>
      <c r="I1135" t="s">
        <v>46</v>
      </c>
    </row>
    <row r="1136" spans="1:9" x14ac:dyDescent="0.3">
      <c r="A1136" t="s">
        <v>20</v>
      </c>
      <c r="G1136" s="25">
        <v>43955</v>
      </c>
      <c r="H1136">
        <v>2020</v>
      </c>
      <c r="I1136" t="s">
        <v>44</v>
      </c>
    </row>
    <row r="1137" spans="1:9" x14ac:dyDescent="0.3">
      <c r="A1137" t="s">
        <v>37</v>
      </c>
      <c r="G1137" s="25">
        <v>43955</v>
      </c>
      <c r="H1137">
        <v>2020</v>
      </c>
      <c r="I1137" t="s">
        <v>44</v>
      </c>
    </row>
    <row r="1138" spans="1:9" x14ac:dyDescent="0.3">
      <c r="A1138" t="s">
        <v>17</v>
      </c>
      <c r="C1138">
        <v>162000</v>
      </c>
      <c r="G1138" s="25">
        <v>43955</v>
      </c>
      <c r="H1138">
        <v>2020</v>
      </c>
      <c r="I1138" t="s">
        <v>44</v>
      </c>
    </row>
    <row r="1139" spans="1:9" x14ac:dyDescent="0.3">
      <c r="A1139" t="s">
        <v>0</v>
      </c>
      <c r="G1139" s="25">
        <v>43955</v>
      </c>
      <c r="H1139">
        <v>2020</v>
      </c>
      <c r="I1139" t="s">
        <v>44</v>
      </c>
    </row>
    <row r="1140" spans="1:9" x14ac:dyDescent="0.3">
      <c r="A1140" t="s">
        <v>25</v>
      </c>
      <c r="G1140" s="25">
        <v>43955</v>
      </c>
      <c r="H1140">
        <v>2020</v>
      </c>
      <c r="I1140" t="s">
        <v>44</v>
      </c>
    </row>
    <row r="1141" spans="1:9" x14ac:dyDescent="0.3">
      <c r="A1141" t="s">
        <v>15</v>
      </c>
      <c r="G1141" s="25">
        <v>43955</v>
      </c>
      <c r="H1141">
        <v>2020</v>
      </c>
      <c r="I1141" t="s">
        <v>44</v>
      </c>
    </row>
    <row r="1142" spans="1:9" x14ac:dyDescent="0.3">
      <c r="A1142" t="s">
        <v>26</v>
      </c>
      <c r="B1142">
        <v>135000</v>
      </c>
      <c r="C1142">
        <v>743000</v>
      </c>
      <c r="G1142" s="25">
        <v>43955</v>
      </c>
      <c r="H1142">
        <v>2020</v>
      </c>
      <c r="I1142" t="s">
        <v>44</v>
      </c>
    </row>
    <row r="1143" spans="1:9" x14ac:dyDescent="0.3">
      <c r="A1143" t="s">
        <v>22</v>
      </c>
      <c r="G1143" s="25">
        <v>43955</v>
      </c>
      <c r="H1143">
        <v>2020</v>
      </c>
      <c r="I1143" t="s">
        <v>44</v>
      </c>
    </row>
    <row r="1144" spans="1:9" x14ac:dyDescent="0.3">
      <c r="A1144" t="s">
        <v>19</v>
      </c>
      <c r="G1144" s="25">
        <v>43955</v>
      </c>
      <c r="H1144">
        <v>2020</v>
      </c>
      <c r="I1144" t="s">
        <v>44</v>
      </c>
    </row>
    <row r="1145" spans="1:9" x14ac:dyDescent="0.3">
      <c r="A1145" t="s">
        <v>14</v>
      </c>
      <c r="B1145">
        <v>721000</v>
      </c>
      <c r="E1145">
        <v>519000</v>
      </c>
      <c r="G1145" s="25">
        <v>43955</v>
      </c>
      <c r="H1145">
        <v>2020</v>
      </c>
      <c r="I1145" t="s">
        <v>44</v>
      </c>
    </row>
    <row r="1146" spans="1:9" x14ac:dyDescent="0.3">
      <c r="A1146" t="s">
        <v>24</v>
      </c>
      <c r="G1146" s="25">
        <v>43955</v>
      </c>
      <c r="H1146">
        <v>2020</v>
      </c>
      <c r="I1146" t="s">
        <v>44</v>
      </c>
    </row>
    <row r="1147" spans="1:9" x14ac:dyDescent="0.3">
      <c r="A1147" t="s">
        <v>21</v>
      </c>
      <c r="G1147" s="25">
        <v>43955</v>
      </c>
      <c r="H1147">
        <v>2020</v>
      </c>
      <c r="I1147" t="s">
        <v>44</v>
      </c>
    </row>
    <row r="1148" spans="1:9" x14ac:dyDescent="0.3">
      <c r="A1148" t="s">
        <v>18</v>
      </c>
      <c r="G1148" s="25">
        <v>43955</v>
      </c>
      <c r="H1148">
        <v>2020</v>
      </c>
      <c r="I1148" t="s">
        <v>44</v>
      </c>
    </row>
    <row r="1149" spans="1:9" x14ac:dyDescent="0.3">
      <c r="A1149" t="s">
        <v>16</v>
      </c>
      <c r="G1149" s="25">
        <v>43955</v>
      </c>
      <c r="H1149">
        <v>2020</v>
      </c>
      <c r="I1149" t="s">
        <v>44</v>
      </c>
    </row>
    <row r="1150" spans="1:9" x14ac:dyDescent="0.3">
      <c r="A1150" t="s">
        <v>20</v>
      </c>
      <c r="G1150" s="25">
        <v>43956</v>
      </c>
      <c r="H1150">
        <v>2020</v>
      </c>
      <c r="I1150" t="s">
        <v>44</v>
      </c>
    </row>
    <row r="1151" spans="1:9" x14ac:dyDescent="0.3">
      <c r="A1151" t="s">
        <v>37</v>
      </c>
      <c r="G1151" s="25">
        <v>43956</v>
      </c>
      <c r="H1151">
        <v>2020</v>
      </c>
      <c r="I1151" t="s">
        <v>44</v>
      </c>
    </row>
    <row r="1152" spans="1:9" x14ac:dyDescent="0.3">
      <c r="A1152" t="s">
        <v>17</v>
      </c>
      <c r="G1152" s="25">
        <v>43956</v>
      </c>
      <c r="H1152">
        <v>2020</v>
      </c>
      <c r="I1152" t="s">
        <v>44</v>
      </c>
    </row>
    <row r="1153" spans="1:9" x14ac:dyDescent="0.3">
      <c r="A1153" t="s">
        <v>0</v>
      </c>
      <c r="G1153" s="25">
        <v>43956</v>
      </c>
      <c r="H1153">
        <v>2020</v>
      </c>
      <c r="I1153" t="s">
        <v>44</v>
      </c>
    </row>
    <row r="1154" spans="1:9" x14ac:dyDescent="0.3">
      <c r="A1154" t="s">
        <v>25</v>
      </c>
      <c r="G1154" s="25">
        <v>43956</v>
      </c>
      <c r="H1154">
        <v>2020</v>
      </c>
      <c r="I1154" t="s">
        <v>44</v>
      </c>
    </row>
    <row r="1155" spans="1:9" x14ac:dyDescent="0.3">
      <c r="A1155" t="s">
        <v>15</v>
      </c>
      <c r="G1155" s="25">
        <v>43956</v>
      </c>
      <c r="H1155">
        <v>2020</v>
      </c>
      <c r="I1155" t="s">
        <v>44</v>
      </c>
    </row>
    <row r="1156" spans="1:9" x14ac:dyDescent="0.3">
      <c r="A1156" t="s">
        <v>26</v>
      </c>
      <c r="G1156" s="25">
        <v>43956</v>
      </c>
      <c r="H1156">
        <v>2020</v>
      </c>
      <c r="I1156" t="s">
        <v>44</v>
      </c>
    </row>
    <row r="1157" spans="1:9" x14ac:dyDescent="0.3">
      <c r="A1157" t="s">
        <v>22</v>
      </c>
      <c r="G1157" s="25">
        <v>43956</v>
      </c>
      <c r="H1157">
        <v>2020</v>
      </c>
      <c r="I1157" t="s">
        <v>44</v>
      </c>
    </row>
    <row r="1158" spans="1:9" x14ac:dyDescent="0.3">
      <c r="A1158" t="s">
        <v>19</v>
      </c>
      <c r="G1158" s="25">
        <v>43956</v>
      </c>
      <c r="H1158">
        <v>2020</v>
      </c>
      <c r="I1158" t="s">
        <v>44</v>
      </c>
    </row>
    <row r="1159" spans="1:9" x14ac:dyDescent="0.3">
      <c r="A1159" t="s">
        <v>14</v>
      </c>
      <c r="B1159">
        <v>1337000</v>
      </c>
      <c r="C1159">
        <v>1540000</v>
      </c>
      <c r="D1159">
        <v>756000</v>
      </c>
      <c r="E1159">
        <v>432000</v>
      </c>
      <c r="G1159" s="25">
        <v>43956</v>
      </c>
      <c r="H1159">
        <v>2020</v>
      </c>
      <c r="I1159" t="s">
        <v>44</v>
      </c>
    </row>
    <row r="1160" spans="1:9" x14ac:dyDescent="0.3">
      <c r="A1160" t="s">
        <v>24</v>
      </c>
      <c r="G1160" s="25">
        <v>43956</v>
      </c>
      <c r="H1160">
        <v>2020</v>
      </c>
      <c r="I1160" t="s">
        <v>44</v>
      </c>
    </row>
    <row r="1161" spans="1:9" x14ac:dyDescent="0.3">
      <c r="A1161" t="s">
        <v>21</v>
      </c>
      <c r="G1161" s="25">
        <v>43956</v>
      </c>
      <c r="H1161">
        <v>2020</v>
      </c>
      <c r="I1161" t="s">
        <v>44</v>
      </c>
    </row>
    <row r="1162" spans="1:9" x14ac:dyDescent="0.3">
      <c r="A1162" t="s">
        <v>18</v>
      </c>
      <c r="G1162" s="25">
        <v>43956</v>
      </c>
      <c r="H1162">
        <v>2020</v>
      </c>
      <c r="I1162" t="s">
        <v>44</v>
      </c>
    </row>
    <row r="1163" spans="1:9" x14ac:dyDescent="0.3">
      <c r="A1163" t="s">
        <v>16</v>
      </c>
      <c r="B1163">
        <v>270000</v>
      </c>
      <c r="D1163">
        <v>54000</v>
      </c>
      <c r="G1163" s="25">
        <v>43956</v>
      </c>
      <c r="H1163">
        <v>2020</v>
      </c>
      <c r="I1163" t="s">
        <v>44</v>
      </c>
    </row>
    <row r="1164" spans="1:9" x14ac:dyDescent="0.3">
      <c r="A1164" t="s">
        <v>20</v>
      </c>
      <c r="G1164" s="25">
        <v>43957</v>
      </c>
      <c r="H1164">
        <v>2020</v>
      </c>
      <c r="I1164" t="s">
        <v>44</v>
      </c>
    </row>
    <row r="1165" spans="1:9" x14ac:dyDescent="0.3">
      <c r="A1165" t="s">
        <v>37</v>
      </c>
      <c r="G1165" s="25">
        <v>43957</v>
      </c>
      <c r="H1165">
        <v>2020</v>
      </c>
      <c r="I1165" t="s">
        <v>44</v>
      </c>
    </row>
    <row r="1166" spans="1:9" x14ac:dyDescent="0.3">
      <c r="A1166" t="s">
        <v>17</v>
      </c>
      <c r="B1166">
        <v>54000</v>
      </c>
      <c r="C1166">
        <v>50000</v>
      </c>
      <c r="G1166" s="25">
        <v>43957</v>
      </c>
      <c r="H1166">
        <v>2020</v>
      </c>
      <c r="I1166" t="s">
        <v>44</v>
      </c>
    </row>
    <row r="1167" spans="1:9" x14ac:dyDescent="0.3">
      <c r="A1167" t="s">
        <v>0</v>
      </c>
      <c r="G1167" s="25">
        <v>43957</v>
      </c>
      <c r="H1167">
        <v>2020</v>
      </c>
      <c r="I1167" t="s">
        <v>44</v>
      </c>
    </row>
    <row r="1168" spans="1:9" x14ac:dyDescent="0.3">
      <c r="A1168" t="s">
        <v>25</v>
      </c>
      <c r="C1168">
        <v>963000</v>
      </c>
      <c r="E1168">
        <v>752000</v>
      </c>
      <c r="G1168" s="25">
        <v>43957</v>
      </c>
      <c r="H1168">
        <v>2020</v>
      </c>
      <c r="I1168" t="s">
        <v>44</v>
      </c>
    </row>
    <row r="1169" spans="1:9" x14ac:dyDescent="0.3">
      <c r="A1169" t="s">
        <v>15</v>
      </c>
      <c r="C1169">
        <v>135000</v>
      </c>
      <c r="G1169" s="25">
        <v>43957</v>
      </c>
      <c r="H1169">
        <v>2020</v>
      </c>
      <c r="I1169" t="s">
        <v>44</v>
      </c>
    </row>
    <row r="1170" spans="1:9" x14ac:dyDescent="0.3">
      <c r="A1170" t="s">
        <v>26</v>
      </c>
      <c r="G1170" s="25">
        <v>43957</v>
      </c>
      <c r="H1170">
        <v>2020</v>
      </c>
      <c r="I1170" t="s">
        <v>44</v>
      </c>
    </row>
    <row r="1171" spans="1:9" x14ac:dyDescent="0.3">
      <c r="A1171" t="s">
        <v>22</v>
      </c>
      <c r="G1171" s="25">
        <v>43957</v>
      </c>
      <c r="H1171">
        <v>2020</v>
      </c>
      <c r="I1171" t="s">
        <v>44</v>
      </c>
    </row>
    <row r="1172" spans="1:9" x14ac:dyDescent="0.3">
      <c r="A1172" t="s">
        <v>19</v>
      </c>
      <c r="G1172" s="25">
        <v>43957</v>
      </c>
      <c r="H1172">
        <v>2020</v>
      </c>
      <c r="I1172" t="s">
        <v>44</v>
      </c>
    </row>
    <row r="1173" spans="1:9" x14ac:dyDescent="0.3">
      <c r="A1173" t="s">
        <v>14</v>
      </c>
      <c r="B1173">
        <v>1535500</v>
      </c>
      <c r="C1173">
        <v>365000</v>
      </c>
      <c r="D1173">
        <v>100000</v>
      </c>
      <c r="E1173">
        <v>92000</v>
      </c>
      <c r="G1173" s="25">
        <v>43957</v>
      </c>
      <c r="H1173">
        <v>2020</v>
      </c>
      <c r="I1173" t="s">
        <v>44</v>
      </c>
    </row>
    <row r="1174" spans="1:9" x14ac:dyDescent="0.3">
      <c r="A1174" t="s">
        <v>24</v>
      </c>
      <c r="G1174" s="25">
        <v>43957</v>
      </c>
      <c r="H1174">
        <v>2020</v>
      </c>
      <c r="I1174" t="s">
        <v>44</v>
      </c>
    </row>
    <row r="1175" spans="1:9" x14ac:dyDescent="0.3">
      <c r="A1175" t="s">
        <v>21</v>
      </c>
      <c r="G1175" s="25">
        <v>43957</v>
      </c>
      <c r="H1175">
        <v>2020</v>
      </c>
      <c r="I1175" t="s">
        <v>44</v>
      </c>
    </row>
    <row r="1176" spans="1:9" x14ac:dyDescent="0.3">
      <c r="A1176" t="s">
        <v>18</v>
      </c>
      <c r="G1176" s="25">
        <v>43957</v>
      </c>
      <c r="H1176">
        <v>2020</v>
      </c>
      <c r="I1176" t="s">
        <v>44</v>
      </c>
    </row>
    <row r="1177" spans="1:9" x14ac:dyDescent="0.3">
      <c r="A1177" t="s">
        <v>16</v>
      </c>
      <c r="G1177" s="25">
        <v>43957</v>
      </c>
      <c r="H1177">
        <v>2020</v>
      </c>
      <c r="I1177" t="s">
        <v>44</v>
      </c>
    </row>
    <row r="1178" spans="1:9" x14ac:dyDescent="0.3">
      <c r="A1178" t="s">
        <v>20</v>
      </c>
      <c r="G1178" s="25">
        <v>43958</v>
      </c>
      <c r="H1178">
        <v>2020</v>
      </c>
      <c r="I1178" t="s">
        <v>44</v>
      </c>
    </row>
    <row r="1179" spans="1:9" x14ac:dyDescent="0.3">
      <c r="A1179" t="s">
        <v>37</v>
      </c>
      <c r="G1179" s="25">
        <v>43958</v>
      </c>
      <c r="H1179">
        <v>2020</v>
      </c>
      <c r="I1179" t="s">
        <v>44</v>
      </c>
    </row>
    <row r="1180" spans="1:9" x14ac:dyDescent="0.3">
      <c r="A1180" t="s">
        <v>17</v>
      </c>
      <c r="G1180" s="25">
        <v>43958</v>
      </c>
      <c r="H1180">
        <v>2020</v>
      </c>
      <c r="I1180" t="s">
        <v>44</v>
      </c>
    </row>
    <row r="1181" spans="1:9" x14ac:dyDescent="0.3">
      <c r="A1181" t="s">
        <v>0</v>
      </c>
      <c r="G1181" s="25">
        <v>43958</v>
      </c>
      <c r="H1181">
        <v>2020</v>
      </c>
      <c r="I1181" t="s">
        <v>44</v>
      </c>
    </row>
    <row r="1182" spans="1:9" x14ac:dyDescent="0.3">
      <c r="A1182" t="s">
        <v>25</v>
      </c>
      <c r="C1182">
        <v>1006000</v>
      </c>
      <c r="G1182" s="25">
        <v>43958</v>
      </c>
      <c r="H1182">
        <v>2020</v>
      </c>
      <c r="I1182" t="s">
        <v>44</v>
      </c>
    </row>
    <row r="1183" spans="1:9" x14ac:dyDescent="0.3">
      <c r="A1183" t="s">
        <v>15</v>
      </c>
      <c r="G1183" s="25">
        <v>43958</v>
      </c>
      <c r="H1183">
        <v>2020</v>
      </c>
      <c r="I1183" t="s">
        <v>44</v>
      </c>
    </row>
    <row r="1184" spans="1:9" x14ac:dyDescent="0.3">
      <c r="A1184" t="s">
        <v>26</v>
      </c>
      <c r="C1184">
        <v>104000</v>
      </c>
      <c r="G1184" s="25">
        <v>43958</v>
      </c>
      <c r="H1184">
        <v>2020</v>
      </c>
      <c r="I1184" t="s">
        <v>44</v>
      </c>
    </row>
    <row r="1185" spans="1:9" x14ac:dyDescent="0.3">
      <c r="A1185" t="s">
        <v>22</v>
      </c>
      <c r="G1185" s="25">
        <v>43958</v>
      </c>
      <c r="H1185">
        <v>2020</v>
      </c>
      <c r="I1185" t="s">
        <v>44</v>
      </c>
    </row>
    <row r="1186" spans="1:9" x14ac:dyDescent="0.3">
      <c r="A1186" t="s">
        <v>19</v>
      </c>
      <c r="G1186" s="25">
        <v>43958</v>
      </c>
      <c r="H1186">
        <v>2020</v>
      </c>
      <c r="I1186" t="s">
        <v>44</v>
      </c>
    </row>
    <row r="1187" spans="1:9" x14ac:dyDescent="0.3">
      <c r="A1187" t="s">
        <v>14</v>
      </c>
      <c r="C1187">
        <v>92000</v>
      </c>
      <c r="G1187" s="25">
        <v>43958</v>
      </c>
      <c r="H1187">
        <v>2020</v>
      </c>
      <c r="I1187" t="s">
        <v>44</v>
      </c>
    </row>
    <row r="1188" spans="1:9" x14ac:dyDescent="0.3">
      <c r="A1188" t="s">
        <v>24</v>
      </c>
      <c r="G1188" s="25">
        <v>43958</v>
      </c>
      <c r="H1188">
        <v>2020</v>
      </c>
      <c r="I1188" t="s">
        <v>44</v>
      </c>
    </row>
    <row r="1189" spans="1:9" x14ac:dyDescent="0.3">
      <c r="A1189" t="s">
        <v>21</v>
      </c>
      <c r="C1189">
        <v>162000</v>
      </c>
      <c r="G1189" s="25">
        <v>43958</v>
      </c>
      <c r="H1189">
        <v>2020</v>
      </c>
      <c r="I1189" t="s">
        <v>44</v>
      </c>
    </row>
    <row r="1190" spans="1:9" x14ac:dyDescent="0.3">
      <c r="A1190" t="s">
        <v>18</v>
      </c>
      <c r="E1190">
        <v>190000</v>
      </c>
      <c r="G1190" s="25">
        <v>43958</v>
      </c>
      <c r="H1190">
        <v>2020</v>
      </c>
      <c r="I1190" t="s">
        <v>44</v>
      </c>
    </row>
    <row r="1191" spans="1:9" x14ac:dyDescent="0.3">
      <c r="A1191" t="s">
        <v>16</v>
      </c>
      <c r="G1191" s="25">
        <v>43958</v>
      </c>
      <c r="H1191">
        <v>2020</v>
      </c>
      <c r="I1191" t="s">
        <v>44</v>
      </c>
    </row>
    <row r="1192" spans="1:9" x14ac:dyDescent="0.3">
      <c r="A1192" t="s">
        <v>20</v>
      </c>
      <c r="G1192" s="25">
        <v>43959</v>
      </c>
      <c r="H1192">
        <v>2020</v>
      </c>
      <c r="I1192" t="s">
        <v>44</v>
      </c>
    </row>
    <row r="1193" spans="1:9" x14ac:dyDescent="0.3">
      <c r="A1193" t="s">
        <v>37</v>
      </c>
      <c r="G1193" s="25">
        <v>43959</v>
      </c>
      <c r="H1193">
        <v>2020</v>
      </c>
      <c r="I1193" t="s">
        <v>44</v>
      </c>
    </row>
    <row r="1194" spans="1:9" x14ac:dyDescent="0.3">
      <c r="A1194" t="s">
        <v>17</v>
      </c>
      <c r="G1194" s="25">
        <v>43959</v>
      </c>
      <c r="H1194">
        <v>2020</v>
      </c>
      <c r="I1194" t="s">
        <v>44</v>
      </c>
    </row>
    <row r="1195" spans="1:9" x14ac:dyDescent="0.3">
      <c r="A1195" t="s">
        <v>0</v>
      </c>
      <c r="C1195">
        <v>1563000</v>
      </c>
      <c r="E1195">
        <v>1134000</v>
      </c>
      <c r="G1195" s="25">
        <v>43959</v>
      </c>
      <c r="H1195">
        <v>2020</v>
      </c>
      <c r="I1195" t="s">
        <v>44</v>
      </c>
    </row>
    <row r="1196" spans="1:9" x14ac:dyDescent="0.3">
      <c r="A1196" t="s">
        <v>25</v>
      </c>
      <c r="G1196" s="25">
        <v>43959</v>
      </c>
      <c r="H1196">
        <v>2020</v>
      </c>
      <c r="I1196" t="s">
        <v>44</v>
      </c>
    </row>
    <row r="1197" spans="1:9" x14ac:dyDescent="0.3">
      <c r="A1197" t="s">
        <v>15</v>
      </c>
      <c r="G1197" s="25">
        <v>43959</v>
      </c>
      <c r="H1197">
        <v>2020</v>
      </c>
      <c r="I1197" t="s">
        <v>44</v>
      </c>
    </row>
    <row r="1198" spans="1:9" x14ac:dyDescent="0.3">
      <c r="A1198" t="s">
        <v>26</v>
      </c>
      <c r="G1198" s="25">
        <v>43959</v>
      </c>
      <c r="H1198">
        <v>2020</v>
      </c>
      <c r="I1198" t="s">
        <v>44</v>
      </c>
    </row>
    <row r="1199" spans="1:9" x14ac:dyDescent="0.3">
      <c r="A1199" t="s">
        <v>22</v>
      </c>
      <c r="G1199" s="25">
        <v>43959</v>
      </c>
      <c r="H1199">
        <v>2020</v>
      </c>
      <c r="I1199" t="s">
        <v>44</v>
      </c>
    </row>
    <row r="1200" spans="1:9" x14ac:dyDescent="0.3">
      <c r="A1200" t="s">
        <v>19</v>
      </c>
      <c r="G1200" s="25">
        <v>43959</v>
      </c>
      <c r="H1200">
        <v>2020</v>
      </c>
      <c r="I1200" t="s">
        <v>44</v>
      </c>
    </row>
    <row r="1201" spans="1:9" x14ac:dyDescent="0.3">
      <c r="A1201" t="s">
        <v>14</v>
      </c>
      <c r="G1201" s="25">
        <v>43959</v>
      </c>
      <c r="H1201">
        <v>2020</v>
      </c>
      <c r="I1201" t="s">
        <v>44</v>
      </c>
    </row>
    <row r="1202" spans="1:9" x14ac:dyDescent="0.3">
      <c r="A1202" t="s">
        <v>24</v>
      </c>
      <c r="G1202" s="25">
        <v>43959</v>
      </c>
      <c r="H1202">
        <v>2020</v>
      </c>
      <c r="I1202" t="s">
        <v>44</v>
      </c>
    </row>
    <row r="1203" spans="1:9" x14ac:dyDescent="0.3">
      <c r="A1203" t="s">
        <v>21</v>
      </c>
      <c r="G1203" s="25">
        <v>43959</v>
      </c>
      <c r="H1203">
        <v>2020</v>
      </c>
      <c r="I1203" t="s">
        <v>44</v>
      </c>
    </row>
    <row r="1204" spans="1:9" x14ac:dyDescent="0.3">
      <c r="A1204" t="s">
        <v>18</v>
      </c>
      <c r="G1204" s="25">
        <v>43959</v>
      </c>
      <c r="H1204">
        <v>2020</v>
      </c>
      <c r="I1204" t="s">
        <v>44</v>
      </c>
    </row>
    <row r="1205" spans="1:9" x14ac:dyDescent="0.3">
      <c r="A1205" t="s">
        <v>16</v>
      </c>
      <c r="G1205" s="25">
        <v>43959</v>
      </c>
      <c r="H1205">
        <v>2020</v>
      </c>
      <c r="I1205" t="s">
        <v>44</v>
      </c>
    </row>
    <row r="1206" spans="1:9" x14ac:dyDescent="0.3">
      <c r="A1206" t="s">
        <v>20</v>
      </c>
      <c r="G1206" s="25">
        <v>43962</v>
      </c>
      <c r="H1206">
        <v>2020</v>
      </c>
      <c r="I1206" t="s">
        <v>44</v>
      </c>
    </row>
    <row r="1207" spans="1:9" x14ac:dyDescent="0.3">
      <c r="A1207" t="s">
        <v>37</v>
      </c>
      <c r="G1207" s="25">
        <v>43962</v>
      </c>
      <c r="H1207">
        <v>2020</v>
      </c>
      <c r="I1207" t="s">
        <v>44</v>
      </c>
    </row>
    <row r="1208" spans="1:9" x14ac:dyDescent="0.3">
      <c r="A1208" t="s">
        <v>17</v>
      </c>
      <c r="G1208" s="25">
        <v>43962</v>
      </c>
      <c r="H1208">
        <v>2020</v>
      </c>
      <c r="I1208" t="s">
        <v>44</v>
      </c>
    </row>
    <row r="1209" spans="1:9" x14ac:dyDescent="0.3">
      <c r="A1209" t="s">
        <v>0</v>
      </c>
      <c r="B1209">
        <v>1080000</v>
      </c>
      <c r="C1209">
        <v>693000</v>
      </c>
      <c r="D1209">
        <v>216000</v>
      </c>
      <c r="E1209">
        <v>884500</v>
      </c>
      <c r="G1209" s="25">
        <v>43962</v>
      </c>
      <c r="H1209">
        <v>2020</v>
      </c>
      <c r="I1209" t="s">
        <v>44</v>
      </c>
    </row>
    <row r="1210" spans="1:9" x14ac:dyDescent="0.3">
      <c r="A1210" t="s">
        <v>25</v>
      </c>
      <c r="G1210" s="25">
        <v>43962</v>
      </c>
      <c r="H1210">
        <v>2020</v>
      </c>
      <c r="I1210" t="s">
        <v>44</v>
      </c>
    </row>
    <row r="1211" spans="1:9" x14ac:dyDescent="0.3">
      <c r="A1211" t="s">
        <v>15</v>
      </c>
      <c r="G1211" s="25">
        <v>43962</v>
      </c>
      <c r="H1211">
        <v>2020</v>
      </c>
      <c r="I1211" t="s">
        <v>44</v>
      </c>
    </row>
    <row r="1212" spans="1:9" x14ac:dyDescent="0.3">
      <c r="A1212" t="s">
        <v>26</v>
      </c>
      <c r="G1212" s="25">
        <v>43962</v>
      </c>
      <c r="H1212">
        <v>2020</v>
      </c>
      <c r="I1212" t="s">
        <v>44</v>
      </c>
    </row>
    <row r="1213" spans="1:9" x14ac:dyDescent="0.3">
      <c r="A1213" t="s">
        <v>22</v>
      </c>
      <c r="G1213" s="25">
        <v>43962</v>
      </c>
      <c r="H1213">
        <v>2020</v>
      </c>
      <c r="I1213" t="s">
        <v>44</v>
      </c>
    </row>
    <row r="1214" spans="1:9" x14ac:dyDescent="0.3">
      <c r="A1214" t="s">
        <v>19</v>
      </c>
      <c r="G1214" s="25">
        <v>43962</v>
      </c>
      <c r="H1214">
        <v>2020</v>
      </c>
      <c r="I1214" t="s">
        <v>44</v>
      </c>
    </row>
    <row r="1215" spans="1:9" x14ac:dyDescent="0.3">
      <c r="A1215" t="s">
        <v>14</v>
      </c>
      <c r="C1215">
        <v>428000</v>
      </c>
      <c r="G1215" s="25">
        <v>43962</v>
      </c>
      <c r="H1215">
        <v>2020</v>
      </c>
      <c r="I1215" t="s">
        <v>44</v>
      </c>
    </row>
    <row r="1216" spans="1:9" x14ac:dyDescent="0.3">
      <c r="A1216" t="s">
        <v>24</v>
      </c>
      <c r="G1216" s="25">
        <v>43962</v>
      </c>
      <c r="H1216">
        <v>2020</v>
      </c>
      <c r="I1216" t="s">
        <v>44</v>
      </c>
    </row>
    <row r="1217" spans="1:9" x14ac:dyDescent="0.3">
      <c r="A1217" t="s">
        <v>21</v>
      </c>
      <c r="G1217" s="25">
        <v>43962</v>
      </c>
      <c r="H1217">
        <v>2020</v>
      </c>
      <c r="I1217" t="s">
        <v>44</v>
      </c>
    </row>
    <row r="1218" spans="1:9" x14ac:dyDescent="0.3">
      <c r="A1218" t="s">
        <v>18</v>
      </c>
      <c r="G1218" s="25">
        <v>43962</v>
      </c>
      <c r="H1218">
        <v>2020</v>
      </c>
      <c r="I1218" t="s">
        <v>44</v>
      </c>
    </row>
    <row r="1219" spans="1:9" x14ac:dyDescent="0.3">
      <c r="A1219" t="s">
        <v>16</v>
      </c>
      <c r="G1219" s="25">
        <v>43962</v>
      </c>
      <c r="H1219">
        <v>2020</v>
      </c>
      <c r="I1219" t="s">
        <v>44</v>
      </c>
    </row>
    <row r="1220" spans="1:9" x14ac:dyDescent="0.3">
      <c r="A1220" t="s">
        <v>20</v>
      </c>
      <c r="G1220" s="25">
        <v>43963</v>
      </c>
      <c r="H1220">
        <v>2020</v>
      </c>
      <c r="I1220" t="s">
        <v>44</v>
      </c>
    </row>
    <row r="1221" spans="1:9" x14ac:dyDescent="0.3">
      <c r="A1221" t="s">
        <v>37</v>
      </c>
      <c r="G1221" s="25">
        <v>43963</v>
      </c>
      <c r="H1221">
        <v>2020</v>
      </c>
      <c r="I1221" t="s">
        <v>44</v>
      </c>
    </row>
    <row r="1222" spans="1:9" x14ac:dyDescent="0.3">
      <c r="A1222" t="s">
        <v>17</v>
      </c>
      <c r="G1222" s="25">
        <v>43963</v>
      </c>
      <c r="H1222">
        <v>2020</v>
      </c>
      <c r="I1222" t="s">
        <v>44</v>
      </c>
    </row>
    <row r="1223" spans="1:9" x14ac:dyDescent="0.3">
      <c r="A1223" t="s">
        <v>0</v>
      </c>
      <c r="B1223">
        <v>1221000</v>
      </c>
      <c r="C1223">
        <v>624000</v>
      </c>
      <c r="D1223">
        <v>862000</v>
      </c>
      <c r="E1223">
        <v>324000</v>
      </c>
      <c r="G1223" s="25">
        <v>43963</v>
      </c>
      <c r="H1223">
        <v>2020</v>
      </c>
      <c r="I1223" t="s">
        <v>44</v>
      </c>
    </row>
    <row r="1224" spans="1:9" x14ac:dyDescent="0.3">
      <c r="A1224" t="s">
        <v>25</v>
      </c>
      <c r="G1224" s="25">
        <v>43963</v>
      </c>
      <c r="H1224">
        <v>2020</v>
      </c>
      <c r="I1224" t="s">
        <v>44</v>
      </c>
    </row>
    <row r="1225" spans="1:9" x14ac:dyDescent="0.3">
      <c r="A1225" t="s">
        <v>15</v>
      </c>
      <c r="G1225" s="25">
        <v>43963</v>
      </c>
      <c r="H1225">
        <v>2020</v>
      </c>
      <c r="I1225" t="s">
        <v>44</v>
      </c>
    </row>
    <row r="1226" spans="1:9" x14ac:dyDescent="0.3">
      <c r="A1226" t="s">
        <v>26</v>
      </c>
      <c r="G1226" s="25">
        <v>43963</v>
      </c>
      <c r="H1226">
        <v>2020</v>
      </c>
      <c r="I1226" t="s">
        <v>44</v>
      </c>
    </row>
    <row r="1227" spans="1:9" x14ac:dyDescent="0.3">
      <c r="A1227" t="s">
        <v>22</v>
      </c>
      <c r="G1227" s="25">
        <v>43963</v>
      </c>
      <c r="H1227">
        <v>2020</v>
      </c>
      <c r="I1227" t="s">
        <v>44</v>
      </c>
    </row>
    <row r="1228" spans="1:9" x14ac:dyDescent="0.3">
      <c r="A1228" t="s">
        <v>19</v>
      </c>
      <c r="G1228" s="25">
        <v>43963</v>
      </c>
      <c r="H1228">
        <v>2020</v>
      </c>
      <c r="I1228" t="s">
        <v>44</v>
      </c>
    </row>
    <row r="1229" spans="1:9" x14ac:dyDescent="0.3">
      <c r="A1229" t="s">
        <v>14</v>
      </c>
      <c r="C1229">
        <v>320000</v>
      </c>
      <c r="G1229" s="25">
        <v>43963</v>
      </c>
      <c r="H1229">
        <v>2020</v>
      </c>
      <c r="I1229" t="s">
        <v>44</v>
      </c>
    </row>
    <row r="1230" spans="1:9" x14ac:dyDescent="0.3">
      <c r="A1230" t="s">
        <v>24</v>
      </c>
      <c r="G1230" s="25">
        <v>43963</v>
      </c>
      <c r="H1230">
        <v>2020</v>
      </c>
      <c r="I1230" t="s">
        <v>44</v>
      </c>
    </row>
    <row r="1231" spans="1:9" x14ac:dyDescent="0.3">
      <c r="A1231" t="s">
        <v>21</v>
      </c>
      <c r="C1231">
        <v>90000</v>
      </c>
      <c r="G1231" s="25">
        <v>43963</v>
      </c>
      <c r="H1231">
        <v>2020</v>
      </c>
      <c r="I1231" t="s">
        <v>44</v>
      </c>
    </row>
    <row r="1232" spans="1:9" x14ac:dyDescent="0.3">
      <c r="A1232" t="s">
        <v>18</v>
      </c>
      <c r="G1232" s="25">
        <v>43963</v>
      </c>
      <c r="H1232">
        <v>2020</v>
      </c>
      <c r="I1232" t="s">
        <v>44</v>
      </c>
    </row>
    <row r="1233" spans="1:9" x14ac:dyDescent="0.3">
      <c r="A1233" t="s">
        <v>16</v>
      </c>
      <c r="G1233" s="25">
        <v>43963</v>
      </c>
      <c r="H1233">
        <v>2020</v>
      </c>
      <c r="I1233" t="s">
        <v>44</v>
      </c>
    </row>
    <row r="1234" spans="1:9" x14ac:dyDescent="0.3">
      <c r="A1234" t="s">
        <v>20</v>
      </c>
      <c r="G1234" s="25">
        <v>43964</v>
      </c>
      <c r="H1234">
        <v>2020</v>
      </c>
      <c r="I1234" t="s">
        <v>44</v>
      </c>
    </row>
    <row r="1235" spans="1:9" x14ac:dyDescent="0.3">
      <c r="A1235" t="s">
        <v>37</v>
      </c>
      <c r="G1235" s="25">
        <v>43964</v>
      </c>
      <c r="H1235">
        <v>2020</v>
      </c>
      <c r="I1235" t="s">
        <v>44</v>
      </c>
    </row>
    <row r="1236" spans="1:9" x14ac:dyDescent="0.3">
      <c r="A1236" t="s">
        <v>17</v>
      </c>
      <c r="B1236">
        <v>162000</v>
      </c>
      <c r="C1236">
        <v>150000</v>
      </c>
      <c r="D1236">
        <v>150000</v>
      </c>
      <c r="F1236">
        <v>516000</v>
      </c>
      <c r="G1236" s="25">
        <v>43964</v>
      </c>
      <c r="H1236">
        <v>2020</v>
      </c>
      <c r="I1236" t="s">
        <v>44</v>
      </c>
    </row>
    <row r="1237" spans="1:9" x14ac:dyDescent="0.3">
      <c r="A1237" t="s">
        <v>0</v>
      </c>
      <c r="B1237">
        <v>747000</v>
      </c>
      <c r="C1237">
        <v>567000</v>
      </c>
      <c r="D1237">
        <v>801000</v>
      </c>
      <c r="G1237" s="25">
        <v>43964</v>
      </c>
      <c r="H1237">
        <v>2020</v>
      </c>
      <c r="I1237" t="s">
        <v>44</v>
      </c>
    </row>
    <row r="1238" spans="1:9" x14ac:dyDescent="0.3">
      <c r="A1238" t="s">
        <v>25</v>
      </c>
      <c r="G1238" s="25">
        <v>43964</v>
      </c>
      <c r="H1238">
        <v>2020</v>
      </c>
      <c r="I1238" t="s">
        <v>44</v>
      </c>
    </row>
    <row r="1239" spans="1:9" x14ac:dyDescent="0.3">
      <c r="A1239" t="s">
        <v>15</v>
      </c>
      <c r="G1239" s="25">
        <v>43964</v>
      </c>
      <c r="H1239">
        <v>2020</v>
      </c>
      <c r="I1239" t="s">
        <v>44</v>
      </c>
    </row>
    <row r="1240" spans="1:9" x14ac:dyDescent="0.3">
      <c r="A1240" t="s">
        <v>26</v>
      </c>
      <c r="G1240" s="25">
        <v>43964</v>
      </c>
      <c r="H1240">
        <v>2020</v>
      </c>
      <c r="I1240" t="s">
        <v>44</v>
      </c>
    </row>
    <row r="1241" spans="1:9" x14ac:dyDescent="0.3">
      <c r="A1241" t="s">
        <v>22</v>
      </c>
      <c r="G1241" s="25">
        <v>43964</v>
      </c>
      <c r="H1241">
        <v>2020</v>
      </c>
      <c r="I1241" t="s">
        <v>44</v>
      </c>
    </row>
    <row r="1242" spans="1:9" x14ac:dyDescent="0.3">
      <c r="A1242" t="s">
        <v>19</v>
      </c>
      <c r="G1242" s="25">
        <v>43964</v>
      </c>
      <c r="H1242">
        <v>2020</v>
      </c>
      <c r="I1242" t="s">
        <v>44</v>
      </c>
    </row>
    <row r="1243" spans="1:9" x14ac:dyDescent="0.3">
      <c r="A1243" t="s">
        <v>14</v>
      </c>
      <c r="C1243">
        <v>752000</v>
      </c>
      <c r="G1243" s="25">
        <v>43964</v>
      </c>
      <c r="H1243">
        <v>2020</v>
      </c>
      <c r="I1243" t="s">
        <v>44</v>
      </c>
    </row>
    <row r="1244" spans="1:9" x14ac:dyDescent="0.3">
      <c r="A1244" t="s">
        <v>24</v>
      </c>
      <c r="G1244" s="25">
        <v>43964</v>
      </c>
      <c r="H1244">
        <v>2020</v>
      </c>
      <c r="I1244" t="s">
        <v>44</v>
      </c>
    </row>
    <row r="1245" spans="1:9" x14ac:dyDescent="0.3">
      <c r="A1245" t="s">
        <v>21</v>
      </c>
      <c r="G1245" s="25">
        <v>43964</v>
      </c>
      <c r="H1245">
        <v>2020</v>
      </c>
      <c r="I1245" t="s">
        <v>44</v>
      </c>
    </row>
    <row r="1246" spans="1:9" x14ac:dyDescent="0.3">
      <c r="A1246" t="s">
        <v>18</v>
      </c>
      <c r="G1246" s="25">
        <v>43964</v>
      </c>
      <c r="H1246">
        <v>2020</v>
      </c>
      <c r="I1246" t="s">
        <v>44</v>
      </c>
    </row>
    <row r="1247" spans="1:9" x14ac:dyDescent="0.3">
      <c r="A1247" t="s">
        <v>16</v>
      </c>
      <c r="G1247" s="25">
        <v>43964</v>
      </c>
      <c r="H1247">
        <v>2020</v>
      </c>
      <c r="I1247" t="s">
        <v>44</v>
      </c>
    </row>
    <row r="1248" spans="1:9" x14ac:dyDescent="0.3">
      <c r="A1248" t="s">
        <v>20</v>
      </c>
      <c r="G1248" s="25">
        <v>43965</v>
      </c>
      <c r="H1248">
        <v>2020</v>
      </c>
      <c r="I1248" t="s">
        <v>44</v>
      </c>
    </row>
    <row r="1249" spans="1:9" x14ac:dyDescent="0.3">
      <c r="A1249" t="s">
        <v>37</v>
      </c>
      <c r="G1249" s="25">
        <v>43965</v>
      </c>
      <c r="H1249">
        <v>2020</v>
      </c>
      <c r="I1249" t="s">
        <v>44</v>
      </c>
    </row>
    <row r="1250" spans="1:9" x14ac:dyDescent="0.3">
      <c r="A1250" t="s">
        <v>17</v>
      </c>
      <c r="B1250">
        <v>748000</v>
      </c>
      <c r="C1250">
        <v>1111500</v>
      </c>
      <c r="F1250">
        <v>531000</v>
      </c>
      <c r="G1250" s="25">
        <v>43965</v>
      </c>
      <c r="H1250">
        <v>2020</v>
      </c>
      <c r="I1250" t="s">
        <v>44</v>
      </c>
    </row>
    <row r="1251" spans="1:9" x14ac:dyDescent="0.3">
      <c r="A1251" t="s">
        <v>0</v>
      </c>
      <c r="B1251">
        <v>594000</v>
      </c>
      <c r="C1251">
        <v>428000</v>
      </c>
      <c r="D1251">
        <v>594000</v>
      </c>
      <c r="E1251">
        <v>644000</v>
      </c>
      <c r="G1251" s="25">
        <v>43965</v>
      </c>
      <c r="H1251">
        <v>2020</v>
      </c>
      <c r="I1251" t="s">
        <v>44</v>
      </c>
    </row>
    <row r="1252" spans="1:9" x14ac:dyDescent="0.3">
      <c r="A1252" t="s">
        <v>25</v>
      </c>
      <c r="E1252">
        <v>47000</v>
      </c>
      <c r="G1252" s="25">
        <v>43965</v>
      </c>
      <c r="H1252">
        <v>2020</v>
      </c>
      <c r="I1252" t="s">
        <v>44</v>
      </c>
    </row>
    <row r="1253" spans="1:9" x14ac:dyDescent="0.3">
      <c r="A1253" t="s">
        <v>15</v>
      </c>
      <c r="G1253" s="25">
        <v>43965</v>
      </c>
      <c r="H1253">
        <v>2020</v>
      </c>
      <c r="I1253" t="s">
        <v>44</v>
      </c>
    </row>
    <row r="1254" spans="1:9" x14ac:dyDescent="0.3">
      <c r="A1254" t="s">
        <v>26</v>
      </c>
      <c r="G1254" s="25">
        <v>43965</v>
      </c>
      <c r="H1254">
        <v>2020</v>
      </c>
      <c r="I1254" t="s">
        <v>44</v>
      </c>
    </row>
    <row r="1255" spans="1:9" x14ac:dyDescent="0.3">
      <c r="A1255" t="s">
        <v>22</v>
      </c>
      <c r="G1255" s="25">
        <v>43965</v>
      </c>
      <c r="H1255">
        <v>2020</v>
      </c>
      <c r="I1255" t="s">
        <v>44</v>
      </c>
    </row>
    <row r="1256" spans="1:9" x14ac:dyDescent="0.3">
      <c r="A1256" t="s">
        <v>19</v>
      </c>
      <c r="G1256" s="25">
        <v>43965</v>
      </c>
      <c r="H1256">
        <v>2020</v>
      </c>
      <c r="I1256" t="s">
        <v>44</v>
      </c>
    </row>
    <row r="1257" spans="1:9" x14ac:dyDescent="0.3">
      <c r="A1257" t="s">
        <v>14</v>
      </c>
      <c r="G1257" s="25">
        <v>43965</v>
      </c>
      <c r="H1257">
        <v>2020</v>
      </c>
      <c r="I1257" t="s">
        <v>44</v>
      </c>
    </row>
    <row r="1258" spans="1:9" x14ac:dyDescent="0.3">
      <c r="A1258" t="s">
        <v>24</v>
      </c>
      <c r="G1258" s="25">
        <v>43965</v>
      </c>
      <c r="H1258">
        <v>2020</v>
      </c>
      <c r="I1258" t="s">
        <v>44</v>
      </c>
    </row>
    <row r="1259" spans="1:9" x14ac:dyDescent="0.3">
      <c r="A1259" t="s">
        <v>21</v>
      </c>
      <c r="G1259" s="25">
        <v>43965</v>
      </c>
      <c r="H1259">
        <v>2020</v>
      </c>
      <c r="I1259" t="s">
        <v>44</v>
      </c>
    </row>
    <row r="1260" spans="1:9" x14ac:dyDescent="0.3">
      <c r="A1260" t="s">
        <v>18</v>
      </c>
      <c r="G1260" s="25">
        <v>43965</v>
      </c>
      <c r="H1260">
        <v>2020</v>
      </c>
      <c r="I1260" t="s">
        <v>44</v>
      </c>
    </row>
    <row r="1261" spans="1:9" x14ac:dyDescent="0.3">
      <c r="A1261" t="s">
        <v>16</v>
      </c>
      <c r="G1261" s="25">
        <v>43965</v>
      </c>
      <c r="H1261">
        <v>2020</v>
      </c>
      <c r="I1261" t="s">
        <v>44</v>
      </c>
    </row>
    <row r="1262" spans="1:9" x14ac:dyDescent="0.3">
      <c r="A1262" t="s">
        <v>20</v>
      </c>
      <c r="G1262" s="25">
        <v>43966</v>
      </c>
      <c r="H1262">
        <v>2020</v>
      </c>
      <c r="I1262" t="s">
        <v>44</v>
      </c>
    </row>
    <row r="1263" spans="1:9" x14ac:dyDescent="0.3">
      <c r="A1263" t="s">
        <v>37</v>
      </c>
      <c r="G1263" s="25">
        <v>43966</v>
      </c>
      <c r="H1263">
        <v>2020</v>
      </c>
      <c r="I1263" t="s">
        <v>44</v>
      </c>
    </row>
    <row r="1264" spans="1:9" x14ac:dyDescent="0.3">
      <c r="A1264" t="s">
        <v>17</v>
      </c>
      <c r="B1264">
        <v>477000</v>
      </c>
      <c r="C1264">
        <v>734000</v>
      </c>
      <c r="F1264">
        <v>378000</v>
      </c>
      <c r="G1264" s="25">
        <v>43966</v>
      </c>
      <c r="H1264">
        <v>2020</v>
      </c>
      <c r="I1264" t="s">
        <v>44</v>
      </c>
    </row>
    <row r="1265" spans="1:9" x14ac:dyDescent="0.3">
      <c r="A1265" t="s">
        <v>0</v>
      </c>
      <c r="B1265">
        <v>53500</v>
      </c>
      <c r="C1265">
        <v>108000</v>
      </c>
      <c r="D1265">
        <v>374000</v>
      </c>
      <c r="G1265" s="25">
        <v>43966</v>
      </c>
      <c r="H1265">
        <v>2020</v>
      </c>
      <c r="I1265" t="s">
        <v>44</v>
      </c>
    </row>
    <row r="1266" spans="1:9" x14ac:dyDescent="0.3">
      <c r="A1266" t="s">
        <v>25</v>
      </c>
      <c r="G1266" s="25">
        <v>43966</v>
      </c>
      <c r="H1266">
        <v>2020</v>
      </c>
      <c r="I1266" t="s">
        <v>44</v>
      </c>
    </row>
    <row r="1267" spans="1:9" x14ac:dyDescent="0.3">
      <c r="A1267" t="s">
        <v>15</v>
      </c>
      <c r="C1267">
        <v>47000</v>
      </c>
      <c r="G1267" s="25">
        <v>43966</v>
      </c>
      <c r="H1267">
        <v>2020</v>
      </c>
      <c r="I1267" t="s">
        <v>44</v>
      </c>
    </row>
    <row r="1268" spans="1:9" x14ac:dyDescent="0.3">
      <c r="A1268" t="s">
        <v>26</v>
      </c>
      <c r="D1268">
        <v>104000</v>
      </c>
      <c r="G1268" s="25">
        <v>43966</v>
      </c>
      <c r="H1268">
        <v>2020</v>
      </c>
      <c r="I1268" t="s">
        <v>44</v>
      </c>
    </row>
    <row r="1269" spans="1:9" x14ac:dyDescent="0.3">
      <c r="A1269" t="s">
        <v>22</v>
      </c>
      <c r="G1269" s="25">
        <v>43966</v>
      </c>
      <c r="H1269">
        <v>2020</v>
      </c>
      <c r="I1269" t="s">
        <v>44</v>
      </c>
    </row>
    <row r="1270" spans="1:9" x14ac:dyDescent="0.3">
      <c r="A1270" t="s">
        <v>19</v>
      </c>
      <c r="G1270" s="25">
        <v>43966</v>
      </c>
      <c r="H1270">
        <v>2020</v>
      </c>
      <c r="I1270" t="s">
        <v>44</v>
      </c>
    </row>
    <row r="1271" spans="1:9" x14ac:dyDescent="0.3">
      <c r="A1271" t="s">
        <v>14</v>
      </c>
      <c r="D1271">
        <v>756000</v>
      </c>
      <c r="G1271" s="25">
        <v>43966</v>
      </c>
      <c r="H1271">
        <v>2020</v>
      </c>
      <c r="I1271" t="s">
        <v>44</v>
      </c>
    </row>
    <row r="1272" spans="1:9" x14ac:dyDescent="0.3">
      <c r="A1272" t="s">
        <v>24</v>
      </c>
      <c r="G1272" s="25">
        <v>43966</v>
      </c>
      <c r="H1272">
        <v>2020</v>
      </c>
      <c r="I1272" t="s">
        <v>44</v>
      </c>
    </row>
    <row r="1273" spans="1:9" x14ac:dyDescent="0.3">
      <c r="A1273" t="s">
        <v>21</v>
      </c>
      <c r="C1273">
        <v>45000</v>
      </c>
      <c r="G1273" s="25">
        <v>43966</v>
      </c>
      <c r="H1273">
        <v>2020</v>
      </c>
      <c r="I1273" t="s">
        <v>44</v>
      </c>
    </row>
    <row r="1274" spans="1:9" x14ac:dyDescent="0.3">
      <c r="A1274" t="s">
        <v>18</v>
      </c>
      <c r="G1274" s="25">
        <v>43966</v>
      </c>
      <c r="H1274">
        <v>2020</v>
      </c>
      <c r="I1274" t="s">
        <v>44</v>
      </c>
    </row>
    <row r="1275" spans="1:9" x14ac:dyDescent="0.3">
      <c r="A1275" t="s">
        <v>16</v>
      </c>
      <c r="G1275" s="25">
        <v>43966</v>
      </c>
      <c r="H1275">
        <v>2020</v>
      </c>
      <c r="I1275" t="s">
        <v>44</v>
      </c>
    </row>
    <row r="1276" spans="1:9" x14ac:dyDescent="0.3">
      <c r="A1276" t="s">
        <v>20</v>
      </c>
      <c r="G1276" s="25">
        <v>43969</v>
      </c>
      <c r="H1276">
        <v>2020</v>
      </c>
      <c r="I1276" t="s">
        <v>44</v>
      </c>
    </row>
    <row r="1277" spans="1:9" x14ac:dyDescent="0.3">
      <c r="A1277" t="s">
        <v>37</v>
      </c>
      <c r="G1277" s="25">
        <v>43969</v>
      </c>
      <c r="H1277">
        <v>2020</v>
      </c>
      <c r="I1277" t="s">
        <v>44</v>
      </c>
    </row>
    <row r="1278" spans="1:9" x14ac:dyDescent="0.3">
      <c r="A1278" t="s">
        <v>17</v>
      </c>
      <c r="B1278">
        <v>846000</v>
      </c>
      <c r="F1278">
        <v>270000</v>
      </c>
      <c r="G1278" s="25">
        <v>43969</v>
      </c>
      <c r="H1278">
        <v>2020</v>
      </c>
      <c r="I1278" t="s">
        <v>44</v>
      </c>
    </row>
    <row r="1279" spans="1:9" x14ac:dyDescent="0.3">
      <c r="A1279" t="s">
        <v>0</v>
      </c>
      <c r="B1279">
        <v>162000</v>
      </c>
      <c r="D1279">
        <v>108000</v>
      </c>
      <c r="G1279" s="25">
        <v>43969</v>
      </c>
      <c r="H1279">
        <v>2020</v>
      </c>
      <c r="I1279" t="s">
        <v>44</v>
      </c>
    </row>
    <row r="1280" spans="1:9" x14ac:dyDescent="0.3">
      <c r="A1280" t="s">
        <v>25</v>
      </c>
      <c r="G1280" s="25">
        <v>43969</v>
      </c>
      <c r="H1280">
        <v>2020</v>
      </c>
      <c r="I1280" t="s">
        <v>44</v>
      </c>
    </row>
    <row r="1281" spans="1:9" x14ac:dyDescent="0.3">
      <c r="A1281" t="s">
        <v>15</v>
      </c>
      <c r="G1281" s="25">
        <v>43969</v>
      </c>
      <c r="H1281">
        <v>2020</v>
      </c>
      <c r="I1281" t="s">
        <v>44</v>
      </c>
    </row>
    <row r="1282" spans="1:9" x14ac:dyDescent="0.3">
      <c r="A1282" t="s">
        <v>26</v>
      </c>
      <c r="B1282">
        <v>486000</v>
      </c>
      <c r="D1282">
        <v>108000</v>
      </c>
      <c r="G1282" s="25">
        <v>43969</v>
      </c>
      <c r="H1282">
        <v>2020</v>
      </c>
      <c r="I1282" t="s">
        <v>44</v>
      </c>
    </row>
    <row r="1283" spans="1:9" x14ac:dyDescent="0.3">
      <c r="A1283" t="s">
        <v>22</v>
      </c>
      <c r="G1283" s="25">
        <v>43969</v>
      </c>
      <c r="H1283">
        <v>2020</v>
      </c>
      <c r="I1283" t="s">
        <v>44</v>
      </c>
    </row>
    <row r="1284" spans="1:9" x14ac:dyDescent="0.3">
      <c r="A1284" t="s">
        <v>19</v>
      </c>
      <c r="G1284" s="25">
        <v>43969</v>
      </c>
      <c r="H1284">
        <v>2020</v>
      </c>
      <c r="I1284" t="s">
        <v>44</v>
      </c>
    </row>
    <row r="1285" spans="1:9" x14ac:dyDescent="0.3">
      <c r="A1285" t="s">
        <v>14</v>
      </c>
      <c r="D1285">
        <v>108000</v>
      </c>
      <c r="G1285" s="25">
        <v>43969</v>
      </c>
      <c r="H1285">
        <v>2020</v>
      </c>
      <c r="I1285" t="s">
        <v>44</v>
      </c>
    </row>
    <row r="1286" spans="1:9" x14ac:dyDescent="0.3">
      <c r="A1286" t="s">
        <v>24</v>
      </c>
      <c r="G1286" s="25">
        <v>43969</v>
      </c>
      <c r="H1286">
        <v>2020</v>
      </c>
      <c r="I1286" t="s">
        <v>44</v>
      </c>
    </row>
    <row r="1287" spans="1:9" x14ac:dyDescent="0.3">
      <c r="A1287" t="s">
        <v>21</v>
      </c>
      <c r="G1287" s="25">
        <v>43969</v>
      </c>
      <c r="H1287">
        <v>2020</v>
      </c>
      <c r="I1287" t="s">
        <v>44</v>
      </c>
    </row>
    <row r="1288" spans="1:9" x14ac:dyDescent="0.3">
      <c r="A1288" t="s">
        <v>18</v>
      </c>
      <c r="B1288">
        <v>374000</v>
      </c>
      <c r="D1288">
        <v>216000</v>
      </c>
      <c r="G1288" s="25">
        <v>43969</v>
      </c>
      <c r="H1288">
        <v>2020</v>
      </c>
      <c r="I1288" t="s">
        <v>44</v>
      </c>
    </row>
    <row r="1289" spans="1:9" x14ac:dyDescent="0.3">
      <c r="A1289" t="s">
        <v>16</v>
      </c>
      <c r="G1289" s="25">
        <v>43969</v>
      </c>
      <c r="H1289">
        <v>2020</v>
      </c>
      <c r="I1289" t="s">
        <v>44</v>
      </c>
    </row>
    <row r="1290" spans="1:9" x14ac:dyDescent="0.3">
      <c r="A1290" t="s">
        <v>20</v>
      </c>
      <c r="G1290" s="25">
        <v>43970</v>
      </c>
      <c r="H1290">
        <v>2020</v>
      </c>
      <c r="I1290" t="s">
        <v>44</v>
      </c>
    </row>
    <row r="1291" spans="1:9" x14ac:dyDescent="0.3">
      <c r="A1291" t="s">
        <v>37</v>
      </c>
      <c r="G1291" s="25">
        <v>43970</v>
      </c>
      <c r="H1291">
        <v>2020</v>
      </c>
      <c r="I1291" t="s">
        <v>44</v>
      </c>
    </row>
    <row r="1292" spans="1:9" x14ac:dyDescent="0.3">
      <c r="A1292" t="s">
        <v>17</v>
      </c>
      <c r="B1292">
        <v>809500</v>
      </c>
      <c r="D1292">
        <v>104000</v>
      </c>
      <c r="G1292" s="25">
        <v>43970</v>
      </c>
      <c r="H1292">
        <v>2020</v>
      </c>
      <c r="I1292" t="s">
        <v>44</v>
      </c>
    </row>
    <row r="1293" spans="1:9" x14ac:dyDescent="0.3">
      <c r="A1293" t="s">
        <v>0</v>
      </c>
      <c r="G1293" s="25">
        <v>43970</v>
      </c>
      <c r="H1293">
        <v>2020</v>
      </c>
      <c r="I1293" t="s">
        <v>44</v>
      </c>
    </row>
    <row r="1294" spans="1:9" x14ac:dyDescent="0.3">
      <c r="A1294" t="s">
        <v>25</v>
      </c>
      <c r="G1294" s="25">
        <v>43970</v>
      </c>
      <c r="H1294">
        <v>2020</v>
      </c>
      <c r="I1294" t="s">
        <v>44</v>
      </c>
    </row>
    <row r="1295" spans="1:9" x14ac:dyDescent="0.3">
      <c r="A1295" t="s">
        <v>15</v>
      </c>
      <c r="G1295" s="25">
        <v>43970</v>
      </c>
      <c r="H1295">
        <v>2020</v>
      </c>
      <c r="I1295" t="s">
        <v>44</v>
      </c>
    </row>
    <row r="1296" spans="1:9" x14ac:dyDescent="0.3">
      <c r="A1296" t="s">
        <v>26</v>
      </c>
      <c r="B1296">
        <v>108000</v>
      </c>
      <c r="G1296" s="25">
        <v>43970</v>
      </c>
      <c r="H1296">
        <v>2020</v>
      </c>
      <c r="I1296" t="s">
        <v>44</v>
      </c>
    </row>
    <row r="1297" spans="1:9" x14ac:dyDescent="0.3">
      <c r="A1297" t="s">
        <v>22</v>
      </c>
      <c r="G1297" s="25">
        <v>43970</v>
      </c>
      <c r="H1297">
        <v>2020</v>
      </c>
      <c r="I1297" t="s">
        <v>44</v>
      </c>
    </row>
    <row r="1298" spans="1:9" x14ac:dyDescent="0.3">
      <c r="A1298" t="s">
        <v>19</v>
      </c>
      <c r="B1298">
        <v>533000</v>
      </c>
      <c r="D1298">
        <v>747000</v>
      </c>
      <c r="G1298" s="25">
        <v>43970</v>
      </c>
      <c r="H1298">
        <v>2020</v>
      </c>
      <c r="I1298" t="s">
        <v>44</v>
      </c>
    </row>
    <row r="1299" spans="1:9" x14ac:dyDescent="0.3">
      <c r="A1299" t="s">
        <v>14</v>
      </c>
      <c r="G1299" s="25">
        <v>43970</v>
      </c>
      <c r="H1299">
        <v>2020</v>
      </c>
      <c r="I1299" t="s">
        <v>44</v>
      </c>
    </row>
    <row r="1300" spans="1:9" x14ac:dyDescent="0.3">
      <c r="A1300" t="s">
        <v>24</v>
      </c>
      <c r="G1300" s="25">
        <v>43970</v>
      </c>
      <c r="H1300">
        <v>2020</v>
      </c>
      <c r="I1300" t="s">
        <v>44</v>
      </c>
    </row>
    <row r="1301" spans="1:9" x14ac:dyDescent="0.3">
      <c r="A1301" t="s">
        <v>21</v>
      </c>
      <c r="D1301">
        <v>54000</v>
      </c>
      <c r="G1301" s="25">
        <v>43970</v>
      </c>
      <c r="H1301">
        <v>2020</v>
      </c>
      <c r="I1301" t="s">
        <v>44</v>
      </c>
    </row>
    <row r="1302" spans="1:9" x14ac:dyDescent="0.3">
      <c r="A1302" t="s">
        <v>18</v>
      </c>
      <c r="D1302">
        <v>162000</v>
      </c>
      <c r="G1302" s="25">
        <v>43970</v>
      </c>
      <c r="H1302">
        <v>2020</v>
      </c>
      <c r="I1302" t="s">
        <v>44</v>
      </c>
    </row>
    <row r="1303" spans="1:9" x14ac:dyDescent="0.3">
      <c r="A1303" t="s">
        <v>16</v>
      </c>
      <c r="G1303" s="25">
        <v>43970</v>
      </c>
      <c r="H1303">
        <v>2020</v>
      </c>
      <c r="I1303" t="s">
        <v>44</v>
      </c>
    </row>
    <row r="1304" spans="1:9" x14ac:dyDescent="0.3">
      <c r="A1304" t="s">
        <v>20</v>
      </c>
      <c r="G1304" s="25">
        <v>43971</v>
      </c>
      <c r="H1304">
        <v>2020</v>
      </c>
      <c r="I1304" t="s">
        <v>44</v>
      </c>
    </row>
    <row r="1305" spans="1:9" x14ac:dyDescent="0.3">
      <c r="A1305" t="s">
        <v>37</v>
      </c>
      <c r="G1305" s="25">
        <v>43971</v>
      </c>
      <c r="H1305">
        <v>2020</v>
      </c>
      <c r="I1305" t="s">
        <v>44</v>
      </c>
    </row>
    <row r="1306" spans="1:9" x14ac:dyDescent="0.3">
      <c r="A1306" t="s">
        <v>17</v>
      </c>
      <c r="B1306">
        <v>2655000</v>
      </c>
      <c r="D1306">
        <v>45000</v>
      </c>
      <c r="G1306" s="25">
        <v>43971</v>
      </c>
      <c r="H1306">
        <v>2020</v>
      </c>
      <c r="I1306" t="s">
        <v>44</v>
      </c>
    </row>
    <row r="1307" spans="1:9" x14ac:dyDescent="0.3">
      <c r="A1307" t="s">
        <v>0</v>
      </c>
      <c r="B1307">
        <v>142000</v>
      </c>
      <c r="G1307" s="25">
        <v>43971</v>
      </c>
      <c r="H1307">
        <v>2020</v>
      </c>
      <c r="I1307" t="s">
        <v>44</v>
      </c>
    </row>
    <row r="1308" spans="1:9" x14ac:dyDescent="0.3">
      <c r="A1308" t="s">
        <v>25</v>
      </c>
      <c r="G1308" s="25">
        <v>43971</v>
      </c>
      <c r="H1308">
        <v>2020</v>
      </c>
      <c r="I1308" t="s">
        <v>44</v>
      </c>
    </row>
    <row r="1309" spans="1:9" x14ac:dyDescent="0.3">
      <c r="A1309" t="s">
        <v>15</v>
      </c>
      <c r="G1309" s="25">
        <v>43971</v>
      </c>
      <c r="H1309">
        <v>2020</v>
      </c>
      <c r="I1309" t="s">
        <v>44</v>
      </c>
    </row>
    <row r="1310" spans="1:9" x14ac:dyDescent="0.3">
      <c r="A1310" t="s">
        <v>26</v>
      </c>
      <c r="B1310">
        <v>216000</v>
      </c>
      <c r="G1310" s="25">
        <v>43971</v>
      </c>
      <c r="H1310">
        <v>2020</v>
      </c>
      <c r="I1310" t="s">
        <v>44</v>
      </c>
    </row>
    <row r="1311" spans="1:9" x14ac:dyDescent="0.3">
      <c r="A1311" t="s">
        <v>22</v>
      </c>
      <c r="G1311" s="25">
        <v>43971</v>
      </c>
      <c r="H1311">
        <v>2020</v>
      </c>
      <c r="I1311" t="s">
        <v>44</v>
      </c>
    </row>
    <row r="1312" spans="1:9" x14ac:dyDescent="0.3">
      <c r="A1312" t="s">
        <v>19</v>
      </c>
      <c r="B1312">
        <v>270000</v>
      </c>
      <c r="D1312">
        <v>54000</v>
      </c>
      <c r="G1312" s="25">
        <v>43971</v>
      </c>
      <c r="H1312">
        <v>2020</v>
      </c>
      <c r="I1312" t="s">
        <v>44</v>
      </c>
    </row>
    <row r="1313" spans="1:9" x14ac:dyDescent="0.3">
      <c r="A1313" t="s">
        <v>14</v>
      </c>
      <c r="D1313">
        <v>216000</v>
      </c>
      <c r="G1313" s="25">
        <v>43971</v>
      </c>
      <c r="H1313">
        <v>2020</v>
      </c>
      <c r="I1313" t="s">
        <v>44</v>
      </c>
    </row>
    <row r="1314" spans="1:9" x14ac:dyDescent="0.3">
      <c r="A1314" t="s">
        <v>24</v>
      </c>
      <c r="G1314" s="25">
        <v>43971</v>
      </c>
      <c r="H1314">
        <v>2020</v>
      </c>
      <c r="I1314" t="s">
        <v>44</v>
      </c>
    </row>
    <row r="1315" spans="1:9" x14ac:dyDescent="0.3">
      <c r="A1315" t="s">
        <v>21</v>
      </c>
      <c r="C1315">
        <v>532000</v>
      </c>
      <c r="E1315">
        <v>365000</v>
      </c>
      <c r="G1315" s="25">
        <v>43971</v>
      </c>
      <c r="H1315">
        <v>2020</v>
      </c>
      <c r="I1315" t="s">
        <v>44</v>
      </c>
    </row>
    <row r="1316" spans="1:9" x14ac:dyDescent="0.3">
      <c r="A1316" t="s">
        <v>18</v>
      </c>
      <c r="D1316">
        <v>54000</v>
      </c>
      <c r="G1316" s="25">
        <v>43971</v>
      </c>
      <c r="H1316">
        <v>2020</v>
      </c>
      <c r="I1316" t="s">
        <v>44</v>
      </c>
    </row>
    <row r="1317" spans="1:9" x14ac:dyDescent="0.3">
      <c r="A1317" t="s">
        <v>16</v>
      </c>
      <c r="B1317">
        <v>590000</v>
      </c>
      <c r="D1317">
        <v>263000</v>
      </c>
      <c r="G1317" s="25">
        <v>43971</v>
      </c>
      <c r="H1317">
        <v>2020</v>
      </c>
      <c r="I1317" t="s">
        <v>44</v>
      </c>
    </row>
    <row r="1318" spans="1:9" x14ac:dyDescent="0.3">
      <c r="A1318" t="s">
        <v>20</v>
      </c>
      <c r="G1318" s="25">
        <v>43972</v>
      </c>
      <c r="H1318">
        <v>2020</v>
      </c>
      <c r="I1318" t="s">
        <v>44</v>
      </c>
    </row>
    <row r="1319" spans="1:9" x14ac:dyDescent="0.3">
      <c r="A1319" t="s">
        <v>37</v>
      </c>
      <c r="G1319" s="25">
        <v>43972</v>
      </c>
      <c r="H1319">
        <v>2020</v>
      </c>
      <c r="I1319" t="s">
        <v>44</v>
      </c>
    </row>
    <row r="1320" spans="1:9" x14ac:dyDescent="0.3">
      <c r="A1320" t="s">
        <v>17</v>
      </c>
      <c r="B1320">
        <v>216000</v>
      </c>
      <c r="G1320" s="25">
        <v>43972</v>
      </c>
      <c r="H1320">
        <v>2020</v>
      </c>
      <c r="I1320" t="s">
        <v>44</v>
      </c>
    </row>
    <row r="1321" spans="1:9" x14ac:dyDescent="0.3">
      <c r="A1321" t="s">
        <v>0</v>
      </c>
      <c r="D1321">
        <v>45000</v>
      </c>
      <c r="G1321" s="25">
        <v>43972</v>
      </c>
      <c r="H1321">
        <v>2020</v>
      </c>
      <c r="I1321" t="s">
        <v>44</v>
      </c>
    </row>
    <row r="1322" spans="1:9" x14ac:dyDescent="0.3">
      <c r="A1322" t="s">
        <v>25</v>
      </c>
      <c r="G1322" s="25">
        <v>43972</v>
      </c>
      <c r="H1322">
        <v>2020</v>
      </c>
      <c r="I1322" t="s">
        <v>44</v>
      </c>
    </row>
    <row r="1323" spans="1:9" x14ac:dyDescent="0.3">
      <c r="A1323" t="s">
        <v>15</v>
      </c>
      <c r="G1323" s="25">
        <v>43972</v>
      </c>
      <c r="H1323">
        <v>2020</v>
      </c>
      <c r="I1323" t="s">
        <v>44</v>
      </c>
    </row>
    <row r="1324" spans="1:9" x14ac:dyDescent="0.3">
      <c r="A1324" t="s">
        <v>26</v>
      </c>
      <c r="G1324" s="25">
        <v>43972</v>
      </c>
      <c r="H1324">
        <v>2020</v>
      </c>
      <c r="I1324" t="s">
        <v>44</v>
      </c>
    </row>
    <row r="1325" spans="1:9" x14ac:dyDescent="0.3">
      <c r="A1325" t="s">
        <v>22</v>
      </c>
      <c r="G1325" s="25">
        <v>43972</v>
      </c>
      <c r="H1325">
        <v>2020</v>
      </c>
      <c r="I1325" t="s">
        <v>44</v>
      </c>
    </row>
    <row r="1326" spans="1:9" x14ac:dyDescent="0.3">
      <c r="A1326" t="s">
        <v>19</v>
      </c>
      <c r="B1326">
        <v>162000</v>
      </c>
      <c r="D1326">
        <v>427500</v>
      </c>
      <c r="G1326" s="25">
        <v>43972</v>
      </c>
      <c r="H1326">
        <v>2020</v>
      </c>
      <c r="I1326" t="s">
        <v>44</v>
      </c>
    </row>
    <row r="1327" spans="1:9" x14ac:dyDescent="0.3">
      <c r="A1327" t="s">
        <v>14</v>
      </c>
      <c r="B1327">
        <v>324000</v>
      </c>
      <c r="D1327">
        <v>486000</v>
      </c>
      <c r="G1327" s="25">
        <v>43972</v>
      </c>
      <c r="H1327">
        <v>2020</v>
      </c>
      <c r="I1327" t="s">
        <v>44</v>
      </c>
    </row>
    <row r="1328" spans="1:9" x14ac:dyDescent="0.3">
      <c r="A1328" t="s">
        <v>24</v>
      </c>
      <c r="G1328" s="25">
        <v>43972</v>
      </c>
      <c r="H1328">
        <v>2020</v>
      </c>
      <c r="I1328" t="s">
        <v>44</v>
      </c>
    </row>
    <row r="1329" spans="1:9" x14ac:dyDescent="0.3">
      <c r="A1329" t="s">
        <v>21</v>
      </c>
      <c r="C1329">
        <v>1049000</v>
      </c>
      <c r="G1329" s="25">
        <v>43972</v>
      </c>
      <c r="H1329">
        <v>2020</v>
      </c>
      <c r="I1329" t="s">
        <v>44</v>
      </c>
    </row>
    <row r="1330" spans="1:9" x14ac:dyDescent="0.3">
      <c r="A1330" t="s">
        <v>18</v>
      </c>
      <c r="D1330">
        <v>108000</v>
      </c>
      <c r="G1330" s="25">
        <v>43972</v>
      </c>
      <c r="H1330">
        <v>2020</v>
      </c>
      <c r="I1330" t="s">
        <v>44</v>
      </c>
    </row>
    <row r="1331" spans="1:9" x14ac:dyDescent="0.3">
      <c r="A1331" t="s">
        <v>16</v>
      </c>
      <c r="B1331">
        <v>158000</v>
      </c>
      <c r="D1331">
        <v>266000</v>
      </c>
      <c r="G1331" s="25">
        <v>43972</v>
      </c>
      <c r="H1331">
        <v>2020</v>
      </c>
      <c r="I1331" t="s">
        <v>44</v>
      </c>
    </row>
    <row r="1332" spans="1:9" x14ac:dyDescent="0.3">
      <c r="A1332" t="s">
        <v>20</v>
      </c>
      <c r="G1332" s="25">
        <v>43973</v>
      </c>
      <c r="H1332">
        <v>2020</v>
      </c>
      <c r="I1332" t="s">
        <v>44</v>
      </c>
    </row>
    <row r="1333" spans="1:9" x14ac:dyDescent="0.3">
      <c r="A1333" t="s">
        <v>37</v>
      </c>
      <c r="G1333" s="25">
        <v>43973</v>
      </c>
      <c r="H1333">
        <v>2020</v>
      </c>
      <c r="I1333" t="s">
        <v>44</v>
      </c>
    </row>
    <row r="1334" spans="1:9" x14ac:dyDescent="0.3">
      <c r="A1334" t="s">
        <v>17</v>
      </c>
      <c r="B1334">
        <v>324000</v>
      </c>
      <c r="G1334" s="25">
        <v>43973</v>
      </c>
      <c r="H1334">
        <v>2020</v>
      </c>
      <c r="I1334" t="s">
        <v>44</v>
      </c>
    </row>
    <row r="1335" spans="1:9" x14ac:dyDescent="0.3">
      <c r="A1335" t="s">
        <v>0</v>
      </c>
      <c r="C1335">
        <v>629000</v>
      </c>
      <c r="E1335">
        <v>535000</v>
      </c>
      <c r="G1335" s="25">
        <v>43973</v>
      </c>
      <c r="H1335">
        <v>2020</v>
      </c>
      <c r="I1335" t="s">
        <v>44</v>
      </c>
    </row>
    <row r="1336" spans="1:9" x14ac:dyDescent="0.3">
      <c r="A1336" t="s">
        <v>25</v>
      </c>
      <c r="G1336" s="25">
        <v>43973</v>
      </c>
      <c r="H1336">
        <v>2020</v>
      </c>
      <c r="I1336" t="s">
        <v>44</v>
      </c>
    </row>
    <row r="1337" spans="1:9" x14ac:dyDescent="0.3">
      <c r="A1337" t="s">
        <v>15</v>
      </c>
      <c r="G1337" s="25">
        <v>43973</v>
      </c>
      <c r="H1337">
        <v>2020</v>
      </c>
      <c r="I1337" t="s">
        <v>44</v>
      </c>
    </row>
    <row r="1338" spans="1:9" x14ac:dyDescent="0.3">
      <c r="A1338" t="s">
        <v>26</v>
      </c>
      <c r="B1338">
        <v>45000</v>
      </c>
      <c r="G1338" s="25">
        <v>43973</v>
      </c>
      <c r="H1338">
        <v>2020</v>
      </c>
      <c r="I1338" t="s">
        <v>44</v>
      </c>
    </row>
    <row r="1339" spans="1:9" x14ac:dyDescent="0.3">
      <c r="A1339" t="s">
        <v>22</v>
      </c>
      <c r="G1339" s="25">
        <v>43973</v>
      </c>
      <c r="H1339">
        <v>2020</v>
      </c>
      <c r="I1339" t="s">
        <v>44</v>
      </c>
    </row>
    <row r="1340" spans="1:9" x14ac:dyDescent="0.3">
      <c r="A1340" t="s">
        <v>19</v>
      </c>
      <c r="B1340">
        <v>427000</v>
      </c>
      <c r="D1340">
        <v>270000</v>
      </c>
      <c r="G1340" s="25">
        <v>43973</v>
      </c>
      <c r="H1340">
        <v>2020</v>
      </c>
      <c r="I1340" t="s">
        <v>44</v>
      </c>
    </row>
    <row r="1341" spans="1:9" x14ac:dyDescent="0.3">
      <c r="A1341" t="s">
        <v>14</v>
      </c>
      <c r="B1341">
        <v>455000</v>
      </c>
      <c r="C1341">
        <v>50000</v>
      </c>
      <c r="D1341">
        <v>478000</v>
      </c>
      <c r="G1341" s="25">
        <v>43973</v>
      </c>
      <c r="H1341">
        <v>2020</v>
      </c>
      <c r="I1341" t="s">
        <v>44</v>
      </c>
    </row>
    <row r="1342" spans="1:9" x14ac:dyDescent="0.3">
      <c r="A1342" t="s">
        <v>24</v>
      </c>
      <c r="G1342" s="25">
        <v>43973</v>
      </c>
      <c r="H1342">
        <v>2020</v>
      </c>
      <c r="I1342" t="s">
        <v>44</v>
      </c>
    </row>
    <row r="1343" spans="1:9" x14ac:dyDescent="0.3">
      <c r="A1343" t="s">
        <v>21</v>
      </c>
      <c r="C1343">
        <v>216000</v>
      </c>
      <c r="G1343" s="25">
        <v>43973</v>
      </c>
      <c r="H1343">
        <v>2020</v>
      </c>
      <c r="I1343" t="s">
        <v>44</v>
      </c>
    </row>
    <row r="1344" spans="1:9" x14ac:dyDescent="0.3">
      <c r="A1344" t="s">
        <v>18</v>
      </c>
      <c r="G1344" s="25">
        <v>43973</v>
      </c>
      <c r="H1344">
        <v>2020</v>
      </c>
      <c r="I1344" t="s">
        <v>44</v>
      </c>
    </row>
    <row r="1345" spans="1:9" x14ac:dyDescent="0.3">
      <c r="A1345" t="s">
        <v>16</v>
      </c>
      <c r="B1345">
        <v>162000</v>
      </c>
      <c r="D1345">
        <v>162000</v>
      </c>
      <c r="G1345" s="25">
        <v>43973</v>
      </c>
      <c r="H1345">
        <v>2020</v>
      </c>
      <c r="I1345" t="s">
        <v>44</v>
      </c>
    </row>
    <row r="1346" spans="1:9" x14ac:dyDescent="0.3">
      <c r="A1346" t="s">
        <v>20</v>
      </c>
      <c r="G1346" s="25">
        <v>43977</v>
      </c>
      <c r="H1346">
        <v>2020</v>
      </c>
      <c r="I1346" t="s">
        <v>44</v>
      </c>
    </row>
    <row r="1347" spans="1:9" x14ac:dyDescent="0.3">
      <c r="A1347" t="s">
        <v>37</v>
      </c>
      <c r="G1347" s="25">
        <v>43977</v>
      </c>
      <c r="H1347">
        <v>2020</v>
      </c>
      <c r="I1347" t="s">
        <v>44</v>
      </c>
    </row>
    <row r="1348" spans="1:9" x14ac:dyDescent="0.3">
      <c r="A1348" t="s">
        <v>17</v>
      </c>
      <c r="B1348">
        <v>158000</v>
      </c>
      <c r="G1348" s="25">
        <v>43977</v>
      </c>
      <c r="H1348">
        <v>2020</v>
      </c>
      <c r="I1348" t="s">
        <v>44</v>
      </c>
    </row>
    <row r="1349" spans="1:9" x14ac:dyDescent="0.3">
      <c r="A1349" t="s">
        <v>0</v>
      </c>
      <c r="C1349">
        <v>590000</v>
      </c>
      <c r="E1349">
        <v>486000</v>
      </c>
      <c r="G1349" s="25">
        <v>43977</v>
      </c>
      <c r="H1349">
        <v>2020</v>
      </c>
      <c r="I1349" t="s">
        <v>44</v>
      </c>
    </row>
    <row r="1350" spans="1:9" x14ac:dyDescent="0.3">
      <c r="A1350" t="s">
        <v>25</v>
      </c>
      <c r="G1350" s="25">
        <v>43977</v>
      </c>
      <c r="H1350">
        <v>2020</v>
      </c>
      <c r="I1350" t="s">
        <v>44</v>
      </c>
    </row>
    <row r="1351" spans="1:9" x14ac:dyDescent="0.3">
      <c r="A1351" t="s">
        <v>15</v>
      </c>
      <c r="G1351" s="25">
        <v>43977</v>
      </c>
      <c r="H1351">
        <v>2020</v>
      </c>
      <c r="I1351" t="s">
        <v>44</v>
      </c>
    </row>
    <row r="1352" spans="1:9" x14ac:dyDescent="0.3">
      <c r="A1352" t="s">
        <v>26</v>
      </c>
      <c r="G1352" s="25">
        <v>43977</v>
      </c>
      <c r="H1352">
        <v>2020</v>
      </c>
      <c r="I1352" t="s">
        <v>44</v>
      </c>
    </row>
    <row r="1353" spans="1:9" x14ac:dyDescent="0.3">
      <c r="A1353" t="s">
        <v>22</v>
      </c>
      <c r="G1353" s="25">
        <v>43977</v>
      </c>
      <c r="H1353">
        <v>2020</v>
      </c>
      <c r="I1353" t="s">
        <v>44</v>
      </c>
    </row>
    <row r="1354" spans="1:9" x14ac:dyDescent="0.3">
      <c r="A1354" t="s">
        <v>19</v>
      </c>
      <c r="B1354">
        <v>262000</v>
      </c>
      <c r="G1354" s="25">
        <v>43977</v>
      </c>
      <c r="H1354">
        <v>2020</v>
      </c>
      <c r="I1354" t="s">
        <v>44</v>
      </c>
    </row>
    <row r="1355" spans="1:9" x14ac:dyDescent="0.3">
      <c r="A1355" t="s">
        <v>14</v>
      </c>
      <c r="B1355">
        <v>162000</v>
      </c>
      <c r="C1355">
        <v>683000</v>
      </c>
      <c r="D1355">
        <v>263000</v>
      </c>
      <c r="E1355">
        <v>378000</v>
      </c>
      <c r="G1355" s="25">
        <v>43977</v>
      </c>
      <c r="H1355">
        <v>2020</v>
      </c>
      <c r="I1355" t="s">
        <v>44</v>
      </c>
    </row>
    <row r="1356" spans="1:9" x14ac:dyDescent="0.3">
      <c r="A1356" t="s">
        <v>24</v>
      </c>
      <c r="B1356">
        <v>540000</v>
      </c>
      <c r="D1356">
        <v>378000</v>
      </c>
      <c r="G1356" s="25">
        <v>43977</v>
      </c>
      <c r="H1356">
        <v>2020</v>
      </c>
      <c r="I1356" t="s">
        <v>44</v>
      </c>
    </row>
    <row r="1357" spans="1:9" x14ac:dyDescent="0.3">
      <c r="A1357" t="s">
        <v>21</v>
      </c>
      <c r="E1357">
        <v>94000</v>
      </c>
      <c r="G1357" s="25">
        <v>43977</v>
      </c>
      <c r="H1357">
        <v>2020</v>
      </c>
      <c r="I1357" t="s">
        <v>44</v>
      </c>
    </row>
    <row r="1358" spans="1:9" x14ac:dyDescent="0.3">
      <c r="A1358" t="s">
        <v>18</v>
      </c>
      <c r="G1358" s="25">
        <v>43977</v>
      </c>
      <c r="H1358">
        <v>2020</v>
      </c>
      <c r="I1358" t="s">
        <v>44</v>
      </c>
    </row>
    <row r="1359" spans="1:9" x14ac:dyDescent="0.3">
      <c r="A1359" t="s">
        <v>16</v>
      </c>
      <c r="G1359" s="25">
        <v>43977</v>
      </c>
      <c r="H1359">
        <v>2020</v>
      </c>
      <c r="I1359" t="s">
        <v>44</v>
      </c>
    </row>
    <row r="1360" spans="1:9" x14ac:dyDescent="0.3">
      <c r="A1360" t="s">
        <v>20</v>
      </c>
      <c r="G1360" s="25">
        <v>43978</v>
      </c>
      <c r="H1360">
        <v>2020</v>
      </c>
      <c r="I1360" t="s">
        <v>44</v>
      </c>
    </row>
    <row r="1361" spans="1:9" x14ac:dyDescent="0.3">
      <c r="A1361" t="s">
        <v>37</v>
      </c>
      <c r="G1361" s="25">
        <v>43978</v>
      </c>
      <c r="H1361">
        <v>2020</v>
      </c>
      <c r="I1361" t="s">
        <v>44</v>
      </c>
    </row>
    <row r="1362" spans="1:9" x14ac:dyDescent="0.3">
      <c r="A1362" t="s">
        <v>17</v>
      </c>
      <c r="G1362" s="25">
        <v>43978</v>
      </c>
      <c r="H1362">
        <v>2020</v>
      </c>
      <c r="I1362" t="s">
        <v>44</v>
      </c>
    </row>
    <row r="1363" spans="1:9" x14ac:dyDescent="0.3">
      <c r="A1363" t="s">
        <v>0</v>
      </c>
      <c r="C1363">
        <v>216000</v>
      </c>
      <c r="E1363">
        <v>432000</v>
      </c>
      <c r="G1363" s="25">
        <v>43978</v>
      </c>
      <c r="H1363">
        <v>2020</v>
      </c>
      <c r="I1363" t="s">
        <v>44</v>
      </c>
    </row>
    <row r="1364" spans="1:9" x14ac:dyDescent="0.3">
      <c r="A1364" t="s">
        <v>25</v>
      </c>
      <c r="C1364">
        <v>45000</v>
      </c>
      <c r="G1364" s="25">
        <v>43978</v>
      </c>
      <c r="H1364">
        <v>2020</v>
      </c>
      <c r="I1364" t="s">
        <v>44</v>
      </c>
    </row>
    <row r="1365" spans="1:9" x14ac:dyDescent="0.3">
      <c r="A1365" t="s">
        <v>15</v>
      </c>
      <c r="C1365">
        <v>54000</v>
      </c>
      <c r="E1365">
        <v>162000</v>
      </c>
      <c r="G1365" s="25">
        <v>43978</v>
      </c>
      <c r="H1365">
        <v>2020</v>
      </c>
      <c r="I1365" t="s">
        <v>44</v>
      </c>
    </row>
    <row r="1366" spans="1:9" x14ac:dyDescent="0.3">
      <c r="A1366" t="s">
        <v>26</v>
      </c>
      <c r="G1366" s="25">
        <v>43978</v>
      </c>
      <c r="H1366">
        <v>2020</v>
      </c>
      <c r="I1366" t="s">
        <v>44</v>
      </c>
    </row>
    <row r="1367" spans="1:9" x14ac:dyDescent="0.3">
      <c r="A1367" t="s">
        <v>22</v>
      </c>
      <c r="G1367" s="25">
        <v>43978</v>
      </c>
      <c r="H1367">
        <v>2020</v>
      </c>
      <c r="I1367" t="s">
        <v>44</v>
      </c>
    </row>
    <row r="1368" spans="1:9" x14ac:dyDescent="0.3">
      <c r="A1368" t="s">
        <v>19</v>
      </c>
      <c r="G1368" s="25">
        <v>43978</v>
      </c>
      <c r="H1368">
        <v>2020</v>
      </c>
      <c r="I1368" t="s">
        <v>44</v>
      </c>
    </row>
    <row r="1369" spans="1:9" x14ac:dyDescent="0.3">
      <c r="A1369" t="s">
        <v>14</v>
      </c>
      <c r="C1369">
        <v>923000</v>
      </c>
      <c r="D1369">
        <v>257000</v>
      </c>
      <c r="E1369">
        <v>482000</v>
      </c>
      <c r="G1369" s="25">
        <v>43978</v>
      </c>
      <c r="H1369">
        <v>2020</v>
      </c>
      <c r="I1369" t="s">
        <v>44</v>
      </c>
    </row>
    <row r="1370" spans="1:9" x14ac:dyDescent="0.3">
      <c r="A1370" t="s">
        <v>24</v>
      </c>
      <c r="D1370">
        <v>108000</v>
      </c>
      <c r="G1370" s="25">
        <v>43978</v>
      </c>
      <c r="H1370">
        <v>2020</v>
      </c>
      <c r="I1370" t="s">
        <v>44</v>
      </c>
    </row>
    <row r="1371" spans="1:9" x14ac:dyDescent="0.3">
      <c r="A1371" t="s">
        <v>21</v>
      </c>
      <c r="G1371" s="25">
        <v>43978</v>
      </c>
      <c r="H1371">
        <v>2020</v>
      </c>
      <c r="I1371" t="s">
        <v>44</v>
      </c>
    </row>
    <row r="1372" spans="1:9" x14ac:dyDescent="0.3">
      <c r="A1372" t="s">
        <v>18</v>
      </c>
      <c r="G1372" s="25">
        <v>43978</v>
      </c>
      <c r="H1372">
        <v>2020</v>
      </c>
      <c r="I1372" t="s">
        <v>44</v>
      </c>
    </row>
    <row r="1373" spans="1:9" x14ac:dyDescent="0.3">
      <c r="A1373" t="s">
        <v>16</v>
      </c>
      <c r="G1373" s="25">
        <v>43978</v>
      </c>
      <c r="H1373">
        <v>2020</v>
      </c>
      <c r="I1373" t="s">
        <v>44</v>
      </c>
    </row>
    <row r="1374" spans="1:9" x14ac:dyDescent="0.3">
      <c r="A1374" t="s">
        <v>20</v>
      </c>
      <c r="G1374" s="25">
        <v>43979</v>
      </c>
      <c r="H1374">
        <v>2020</v>
      </c>
      <c r="I1374" t="s">
        <v>44</v>
      </c>
    </row>
    <row r="1375" spans="1:9" x14ac:dyDescent="0.3">
      <c r="A1375" t="s">
        <v>37</v>
      </c>
      <c r="G1375" s="25">
        <v>43979</v>
      </c>
      <c r="H1375">
        <v>2020</v>
      </c>
      <c r="I1375" t="s">
        <v>44</v>
      </c>
    </row>
    <row r="1376" spans="1:9" x14ac:dyDescent="0.3">
      <c r="A1376" t="s">
        <v>17</v>
      </c>
      <c r="B1376">
        <v>374000</v>
      </c>
      <c r="G1376" s="25">
        <v>43979</v>
      </c>
      <c r="H1376">
        <v>2020</v>
      </c>
      <c r="I1376" t="s">
        <v>44</v>
      </c>
    </row>
    <row r="1377" spans="1:9" x14ac:dyDescent="0.3">
      <c r="A1377" t="s">
        <v>0</v>
      </c>
      <c r="G1377" s="25">
        <v>43979</v>
      </c>
      <c r="H1377">
        <v>2020</v>
      </c>
      <c r="I1377" t="s">
        <v>44</v>
      </c>
    </row>
    <row r="1378" spans="1:9" x14ac:dyDescent="0.3">
      <c r="A1378" t="s">
        <v>25</v>
      </c>
      <c r="G1378" s="25">
        <v>43979</v>
      </c>
      <c r="H1378">
        <v>2020</v>
      </c>
      <c r="I1378" t="s">
        <v>44</v>
      </c>
    </row>
    <row r="1379" spans="1:9" x14ac:dyDescent="0.3">
      <c r="A1379" t="s">
        <v>15</v>
      </c>
      <c r="C1379">
        <v>531000</v>
      </c>
      <c r="E1379">
        <v>639000</v>
      </c>
      <c r="G1379" s="25">
        <v>43979</v>
      </c>
      <c r="H1379">
        <v>2020</v>
      </c>
      <c r="I1379" t="s">
        <v>44</v>
      </c>
    </row>
    <row r="1380" spans="1:9" x14ac:dyDescent="0.3">
      <c r="A1380" t="s">
        <v>26</v>
      </c>
      <c r="D1380">
        <v>104000</v>
      </c>
      <c r="G1380" s="25">
        <v>43979</v>
      </c>
      <c r="H1380">
        <v>2020</v>
      </c>
      <c r="I1380" t="s">
        <v>44</v>
      </c>
    </row>
    <row r="1381" spans="1:9" x14ac:dyDescent="0.3">
      <c r="A1381" t="s">
        <v>22</v>
      </c>
      <c r="G1381" s="25">
        <v>43979</v>
      </c>
      <c r="H1381">
        <v>2020</v>
      </c>
      <c r="I1381" t="s">
        <v>44</v>
      </c>
    </row>
    <row r="1382" spans="1:9" x14ac:dyDescent="0.3">
      <c r="A1382" t="s">
        <v>19</v>
      </c>
      <c r="B1382">
        <v>918000</v>
      </c>
      <c r="G1382" s="25">
        <v>43979</v>
      </c>
      <c r="H1382">
        <v>2020</v>
      </c>
      <c r="I1382" t="s">
        <v>44</v>
      </c>
    </row>
    <row r="1383" spans="1:9" x14ac:dyDescent="0.3">
      <c r="A1383" t="s">
        <v>14</v>
      </c>
      <c r="B1383">
        <v>365000</v>
      </c>
      <c r="C1383">
        <v>774000</v>
      </c>
      <c r="D1383">
        <v>324000</v>
      </c>
      <c r="E1383">
        <v>313000</v>
      </c>
      <c r="G1383" s="25">
        <v>43979</v>
      </c>
      <c r="H1383">
        <v>2020</v>
      </c>
      <c r="I1383" t="s">
        <v>44</v>
      </c>
    </row>
    <row r="1384" spans="1:9" x14ac:dyDescent="0.3">
      <c r="A1384" t="s">
        <v>24</v>
      </c>
      <c r="G1384" s="25">
        <v>43979</v>
      </c>
      <c r="H1384">
        <v>2020</v>
      </c>
      <c r="I1384" t="s">
        <v>44</v>
      </c>
    </row>
    <row r="1385" spans="1:9" x14ac:dyDescent="0.3">
      <c r="A1385" t="s">
        <v>21</v>
      </c>
      <c r="C1385">
        <v>95000</v>
      </c>
      <c r="G1385" s="25">
        <v>43979</v>
      </c>
      <c r="H1385">
        <v>2020</v>
      </c>
      <c r="I1385" t="s">
        <v>44</v>
      </c>
    </row>
    <row r="1386" spans="1:9" x14ac:dyDescent="0.3">
      <c r="A1386" t="s">
        <v>18</v>
      </c>
      <c r="G1386" s="25">
        <v>43979</v>
      </c>
      <c r="H1386">
        <v>2020</v>
      </c>
      <c r="I1386" t="s">
        <v>44</v>
      </c>
    </row>
    <row r="1387" spans="1:9" x14ac:dyDescent="0.3">
      <c r="A1387" t="s">
        <v>16</v>
      </c>
      <c r="D1387">
        <v>54000</v>
      </c>
      <c r="G1387" s="25">
        <v>43979</v>
      </c>
      <c r="H1387">
        <v>2020</v>
      </c>
      <c r="I1387" t="s">
        <v>44</v>
      </c>
    </row>
    <row r="1388" spans="1:9" x14ac:dyDescent="0.3">
      <c r="A1388" t="s">
        <v>20</v>
      </c>
      <c r="G1388" s="25">
        <v>43980</v>
      </c>
      <c r="H1388">
        <v>2020</v>
      </c>
      <c r="I1388" t="s">
        <v>44</v>
      </c>
    </row>
    <row r="1389" spans="1:9" x14ac:dyDescent="0.3">
      <c r="A1389" t="s">
        <v>37</v>
      </c>
      <c r="G1389" s="25">
        <v>43980</v>
      </c>
      <c r="H1389">
        <v>2020</v>
      </c>
      <c r="I1389" t="s">
        <v>44</v>
      </c>
    </row>
    <row r="1390" spans="1:9" x14ac:dyDescent="0.3">
      <c r="A1390" t="s">
        <v>17</v>
      </c>
      <c r="B1390">
        <v>158000</v>
      </c>
      <c r="G1390" s="25">
        <v>43980</v>
      </c>
      <c r="H1390">
        <v>2020</v>
      </c>
      <c r="I1390" t="s">
        <v>44</v>
      </c>
    </row>
    <row r="1391" spans="1:9" x14ac:dyDescent="0.3">
      <c r="A1391" t="s">
        <v>0</v>
      </c>
      <c r="G1391" s="25">
        <v>43980</v>
      </c>
      <c r="H1391">
        <v>2020</v>
      </c>
      <c r="I1391" t="s">
        <v>44</v>
      </c>
    </row>
    <row r="1392" spans="1:9" x14ac:dyDescent="0.3">
      <c r="A1392" t="s">
        <v>25</v>
      </c>
      <c r="B1392">
        <v>428000</v>
      </c>
      <c r="D1392">
        <v>420000</v>
      </c>
      <c r="G1392" s="25">
        <v>43980</v>
      </c>
      <c r="H1392">
        <v>2020</v>
      </c>
      <c r="I1392" t="s">
        <v>44</v>
      </c>
    </row>
    <row r="1393" spans="1:9" x14ac:dyDescent="0.3">
      <c r="A1393" t="s">
        <v>15</v>
      </c>
      <c r="C1393">
        <v>424000</v>
      </c>
      <c r="E1393">
        <v>54000</v>
      </c>
      <c r="G1393" s="25">
        <v>43980</v>
      </c>
      <c r="H1393">
        <v>2020</v>
      </c>
      <c r="I1393" t="s">
        <v>44</v>
      </c>
    </row>
    <row r="1394" spans="1:9" x14ac:dyDescent="0.3">
      <c r="A1394" t="s">
        <v>26</v>
      </c>
      <c r="D1394">
        <v>54000</v>
      </c>
      <c r="G1394" s="25">
        <v>43980</v>
      </c>
      <c r="H1394">
        <v>2020</v>
      </c>
      <c r="I1394" t="s">
        <v>44</v>
      </c>
    </row>
    <row r="1395" spans="1:9" x14ac:dyDescent="0.3">
      <c r="A1395" t="s">
        <v>22</v>
      </c>
      <c r="G1395" s="25">
        <v>43980</v>
      </c>
      <c r="H1395">
        <v>2020</v>
      </c>
      <c r="I1395" t="s">
        <v>44</v>
      </c>
    </row>
    <row r="1396" spans="1:9" x14ac:dyDescent="0.3">
      <c r="A1396" t="s">
        <v>19</v>
      </c>
      <c r="G1396" s="25">
        <v>43980</v>
      </c>
      <c r="H1396">
        <v>2020</v>
      </c>
      <c r="I1396" t="s">
        <v>44</v>
      </c>
    </row>
    <row r="1397" spans="1:9" x14ac:dyDescent="0.3">
      <c r="A1397" t="s">
        <v>14</v>
      </c>
      <c r="B1397">
        <v>780000</v>
      </c>
      <c r="C1397">
        <v>948000</v>
      </c>
      <c r="D1397">
        <v>482000</v>
      </c>
      <c r="E1397">
        <v>690500</v>
      </c>
      <c r="G1397" s="25">
        <v>43980</v>
      </c>
      <c r="H1397">
        <v>2020</v>
      </c>
      <c r="I1397" t="s">
        <v>44</v>
      </c>
    </row>
    <row r="1398" spans="1:9" x14ac:dyDescent="0.3">
      <c r="A1398" t="s">
        <v>24</v>
      </c>
      <c r="G1398" s="25">
        <v>43980</v>
      </c>
      <c r="H1398">
        <v>2020</v>
      </c>
      <c r="I1398" t="s">
        <v>44</v>
      </c>
    </row>
    <row r="1399" spans="1:9" x14ac:dyDescent="0.3">
      <c r="A1399" t="s">
        <v>21</v>
      </c>
      <c r="C1399">
        <v>54000</v>
      </c>
      <c r="G1399" s="25">
        <v>43980</v>
      </c>
      <c r="H1399">
        <v>2020</v>
      </c>
      <c r="I1399" t="s">
        <v>44</v>
      </c>
    </row>
    <row r="1400" spans="1:9" x14ac:dyDescent="0.3">
      <c r="A1400" t="s">
        <v>18</v>
      </c>
      <c r="G1400" s="25">
        <v>43980</v>
      </c>
      <c r="H1400">
        <v>2020</v>
      </c>
      <c r="I1400" t="s">
        <v>44</v>
      </c>
    </row>
    <row r="1401" spans="1:9" x14ac:dyDescent="0.3">
      <c r="A1401" t="s">
        <v>16</v>
      </c>
      <c r="D1401">
        <v>54000</v>
      </c>
      <c r="G1401" s="25">
        <v>43980</v>
      </c>
      <c r="H1401">
        <v>2020</v>
      </c>
      <c r="I1401" t="s">
        <v>44</v>
      </c>
    </row>
    <row r="1402" spans="1:9" x14ac:dyDescent="0.3">
      <c r="A1402" t="s">
        <v>20</v>
      </c>
      <c r="G1402" s="25">
        <v>43984</v>
      </c>
      <c r="H1402">
        <v>2020</v>
      </c>
      <c r="I1402" t="s">
        <v>47</v>
      </c>
    </row>
    <row r="1403" spans="1:9" x14ac:dyDescent="0.3">
      <c r="A1403" t="s">
        <v>37</v>
      </c>
      <c r="G1403" s="25">
        <v>43984</v>
      </c>
      <c r="H1403">
        <v>2020</v>
      </c>
      <c r="I1403" t="s">
        <v>47</v>
      </c>
    </row>
    <row r="1404" spans="1:9" x14ac:dyDescent="0.3">
      <c r="A1404" t="s">
        <v>17</v>
      </c>
      <c r="B1404">
        <v>145000</v>
      </c>
      <c r="G1404" s="25">
        <v>43984</v>
      </c>
      <c r="H1404">
        <v>2020</v>
      </c>
      <c r="I1404" t="s">
        <v>47</v>
      </c>
    </row>
    <row r="1405" spans="1:9" x14ac:dyDescent="0.3">
      <c r="A1405" t="s">
        <v>0</v>
      </c>
      <c r="G1405" s="25">
        <v>43984</v>
      </c>
      <c r="H1405">
        <v>2020</v>
      </c>
      <c r="I1405" t="s">
        <v>47</v>
      </c>
    </row>
    <row r="1406" spans="1:9" x14ac:dyDescent="0.3">
      <c r="A1406" t="s">
        <v>25</v>
      </c>
      <c r="B1406">
        <v>859000</v>
      </c>
      <c r="C1406">
        <v>855000</v>
      </c>
      <c r="D1406">
        <v>54000</v>
      </c>
      <c r="E1406">
        <v>315000</v>
      </c>
      <c r="G1406" s="25">
        <v>43984</v>
      </c>
      <c r="H1406">
        <v>2020</v>
      </c>
      <c r="I1406" t="s">
        <v>47</v>
      </c>
    </row>
    <row r="1407" spans="1:9" x14ac:dyDescent="0.3">
      <c r="A1407" t="s">
        <v>15</v>
      </c>
      <c r="E1407">
        <v>54000</v>
      </c>
      <c r="G1407" s="25">
        <v>43984</v>
      </c>
      <c r="H1407">
        <v>2020</v>
      </c>
      <c r="I1407" t="s">
        <v>47</v>
      </c>
    </row>
    <row r="1408" spans="1:9" x14ac:dyDescent="0.3">
      <c r="A1408" t="s">
        <v>26</v>
      </c>
      <c r="G1408" s="25">
        <v>43984</v>
      </c>
      <c r="H1408">
        <v>2020</v>
      </c>
      <c r="I1408" t="s">
        <v>47</v>
      </c>
    </row>
    <row r="1409" spans="1:9" x14ac:dyDescent="0.3">
      <c r="A1409" t="s">
        <v>22</v>
      </c>
      <c r="G1409" s="25">
        <v>43984</v>
      </c>
      <c r="H1409">
        <v>2020</v>
      </c>
      <c r="I1409" t="s">
        <v>47</v>
      </c>
    </row>
    <row r="1410" spans="1:9" x14ac:dyDescent="0.3">
      <c r="A1410" t="s">
        <v>19</v>
      </c>
      <c r="G1410" s="25">
        <v>43984</v>
      </c>
      <c r="H1410">
        <v>2020</v>
      </c>
      <c r="I1410" t="s">
        <v>47</v>
      </c>
    </row>
    <row r="1411" spans="1:9" x14ac:dyDescent="0.3">
      <c r="A1411" t="s">
        <v>14</v>
      </c>
      <c r="B1411">
        <v>423000</v>
      </c>
      <c r="C1411">
        <v>216000</v>
      </c>
      <c r="D1411">
        <v>216000</v>
      </c>
      <c r="E1411">
        <v>533000</v>
      </c>
      <c r="G1411" s="25">
        <v>43984</v>
      </c>
      <c r="H1411">
        <v>2020</v>
      </c>
      <c r="I1411" t="s">
        <v>47</v>
      </c>
    </row>
    <row r="1412" spans="1:9" x14ac:dyDescent="0.3">
      <c r="A1412" t="s">
        <v>24</v>
      </c>
      <c r="G1412" s="25">
        <v>43984</v>
      </c>
      <c r="H1412">
        <v>2020</v>
      </c>
      <c r="I1412" t="s">
        <v>47</v>
      </c>
    </row>
    <row r="1413" spans="1:9" x14ac:dyDescent="0.3">
      <c r="A1413" t="s">
        <v>21</v>
      </c>
      <c r="G1413" s="25">
        <v>43984</v>
      </c>
      <c r="H1413">
        <v>2020</v>
      </c>
      <c r="I1413" t="s">
        <v>47</v>
      </c>
    </row>
    <row r="1414" spans="1:9" x14ac:dyDescent="0.3">
      <c r="A1414" t="s">
        <v>18</v>
      </c>
      <c r="G1414" s="25">
        <v>43984</v>
      </c>
      <c r="H1414">
        <v>2020</v>
      </c>
      <c r="I1414" t="s">
        <v>47</v>
      </c>
    </row>
    <row r="1415" spans="1:9" x14ac:dyDescent="0.3">
      <c r="A1415" t="s">
        <v>16</v>
      </c>
      <c r="G1415" s="25">
        <v>43984</v>
      </c>
      <c r="H1415">
        <v>2020</v>
      </c>
      <c r="I1415" t="s">
        <v>47</v>
      </c>
    </row>
    <row r="1416" spans="1:9" x14ac:dyDescent="0.3">
      <c r="A1416" t="s">
        <v>20</v>
      </c>
      <c r="G1416" s="25">
        <v>43985</v>
      </c>
      <c r="H1416">
        <v>2020</v>
      </c>
      <c r="I1416" t="s">
        <v>47</v>
      </c>
    </row>
    <row r="1417" spans="1:9" x14ac:dyDescent="0.3">
      <c r="A1417" t="s">
        <v>37</v>
      </c>
      <c r="G1417" s="25">
        <v>43985</v>
      </c>
      <c r="H1417">
        <v>2020</v>
      </c>
      <c r="I1417" t="s">
        <v>47</v>
      </c>
    </row>
    <row r="1418" spans="1:9" x14ac:dyDescent="0.3">
      <c r="A1418" t="s">
        <v>17</v>
      </c>
      <c r="G1418" s="25">
        <v>43985</v>
      </c>
      <c r="H1418">
        <v>2020</v>
      </c>
      <c r="I1418" t="s">
        <v>47</v>
      </c>
    </row>
    <row r="1419" spans="1:9" x14ac:dyDescent="0.3">
      <c r="A1419" t="s">
        <v>0</v>
      </c>
      <c r="G1419" s="25">
        <v>43985</v>
      </c>
      <c r="H1419">
        <v>2020</v>
      </c>
      <c r="I1419" t="s">
        <v>47</v>
      </c>
    </row>
    <row r="1420" spans="1:9" x14ac:dyDescent="0.3">
      <c r="A1420" t="s">
        <v>25</v>
      </c>
      <c r="C1420">
        <v>702000</v>
      </c>
      <c r="D1420">
        <v>94000</v>
      </c>
      <c r="E1420">
        <v>103500</v>
      </c>
      <c r="G1420" s="25">
        <v>43985</v>
      </c>
      <c r="H1420">
        <v>2020</v>
      </c>
      <c r="I1420" t="s">
        <v>47</v>
      </c>
    </row>
    <row r="1421" spans="1:9" x14ac:dyDescent="0.3">
      <c r="A1421" t="s">
        <v>15</v>
      </c>
      <c r="G1421" s="25">
        <v>43985</v>
      </c>
      <c r="H1421">
        <v>2020</v>
      </c>
      <c r="I1421" t="s">
        <v>47</v>
      </c>
    </row>
    <row r="1422" spans="1:9" x14ac:dyDescent="0.3">
      <c r="A1422" t="s">
        <v>26</v>
      </c>
      <c r="G1422" s="25">
        <v>43985</v>
      </c>
      <c r="H1422">
        <v>2020</v>
      </c>
      <c r="I1422" t="s">
        <v>47</v>
      </c>
    </row>
    <row r="1423" spans="1:9" x14ac:dyDescent="0.3">
      <c r="A1423" t="s">
        <v>22</v>
      </c>
      <c r="G1423" s="25">
        <v>43985</v>
      </c>
      <c r="H1423">
        <v>2020</v>
      </c>
      <c r="I1423" t="s">
        <v>47</v>
      </c>
    </row>
    <row r="1424" spans="1:9" x14ac:dyDescent="0.3">
      <c r="A1424" t="s">
        <v>19</v>
      </c>
      <c r="G1424" s="25">
        <v>43985</v>
      </c>
      <c r="H1424">
        <v>2020</v>
      </c>
      <c r="I1424" t="s">
        <v>47</v>
      </c>
    </row>
    <row r="1425" spans="1:9" x14ac:dyDescent="0.3">
      <c r="A1425" t="s">
        <v>14</v>
      </c>
      <c r="B1425">
        <v>535500</v>
      </c>
      <c r="C1425">
        <v>594000</v>
      </c>
      <c r="D1425">
        <v>45000</v>
      </c>
      <c r="E1425">
        <v>756000</v>
      </c>
      <c r="G1425" s="25">
        <v>43985</v>
      </c>
      <c r="H1425">
        <v>2020</v>
      </c>
      <c r="I1425" t="s">
        <v>47</v>
      </c>
    </row>
    <row r="1426" spans="1:9" x14ac:dyDescent="0.3">
      <c r="A1426" t="s">
        <v>24</v>
      </c>
      <c r="G1426" s="25">
        <v>43985</v>
      </c>
      <c r="H1426">
        <v>2020</v>
      </c>
      <c r="I1426" t="s">
        <v>47</v>
      </c>
    </row>
    <row r="1427" spans="1:9" x14ac:dyDescent="0.3">
      <c r="A1427" t="s">
        <v>21</v>
      </c>
      <c r="C1427">
        <v>54000</v>
      </c>
      <c r="G1427" s="25">
        <v>43985</v>
      </c>
      <c r="H1427">
        <v>2020</v>
      </c>
      <c r="I1427" t="s">
        <v>47</v>
      </c>
    </row>
    <row r="1428" spans="1:9" x14ac:dyDescent="0.3">
      <c r="A1428" t="s">
        <v>18</v>
      </c>
      <c r="G1428" s="25">
        <v>43985</v>
      </c>
      <c r="H1428">
        <v>2020</v>
      </c>
      <c r="I1428" t="s">
        <v>47</v>
      </c>
    </row>
    <row r="1429" spans="1:9" x14ac:dyDescent="0.3">
      <c r="A1429" t="s">
        <v>16</v>
      </c>
      <c r="G1429" s="25">
        <v>43985</v>
      </c>
      <c r="H1429">
        <v>2020</v>
      </c>
      <c r="I1429" t="s">
        <v>47</v>
      </c>
    </row>
    <row r="1430" spans="1:9" x14ac:dyDescent="0.3">
      <c r="A1430" t="s">
        <v>20</v>
      </c>
      <c r="G1430" s="25">
        <v>43986</v>
      </c>
      <c r="H1430">
        <v>2020</v>
      </c>
      <c r="I1430" t="s">
        <v>47</v>
      </c>
    </row>
    <row r="1431" spans="1:9" x14ac:dyDescent="0.3">
      <c r="A1431" t="s">
        <v>37</v>
      </c>
      <c r="G1431" s="25">
        <v>43986</v>
      </c>
      <c r="H1431">
        <v>2020</v>
      </c>
      <c r="I1431" t="s">
        <v>47</v>
      </c>
    </row>
    <row r="1432" spans="1:9" x14ac:dyDescent="0.3">
      <c r="A1432" t="s">
        <v>17</v>
      </c>
      <c r="G1432" s="25">
        <v>43986</v>
      </c>
      <c r="H1432">
        <v>2020</v>
      </c>
      <c r="I1432" t="s">
        <v>47</v>
      </c>
    </row>
    <row r="1433" spans="1:9" x14ac:dyDescent="0.3">
      <c r="A1433" t="s">
        <v>0</v>
      </c>
      <c r="G1433" s="25">
        <v>43986</v>
      </c>
      <c r="H1433">
        <v>2020</v>
      </c>
      <c r="I1433" t="s">
        <v>47</v>
      </c>
    </row>
    <row r="1434" spans="1:9" x14ac:dyDescent="0.3">
      <c r="A1434" t="s">
        <v>25</v>
      </c>
      <c r="C1434">
        <v>104000</v>
      </c>
      <c r="G1434" s="25">
        <v>43986</v>
      </c>
      <c r="H1434">
        <v>2020</v>
      </c>
      <c r="I1434" t="s">
        <v>47</v>
      </c>
    </row>
    <row r="1435" spans="1:9" x14ac:dyDescent="0.3">
      <c r="A1435" t="s">
        <v>15</v>
      </c>
      <c r="G1435" s="25">
        <v>43986</v>
      </c>
      <c r="H1435">
        <v>2020</v>
      </c>
      <c r="I1435" t="s">
        <v>47</v>
      </c>
    </row>
    <row r="1436" spans="1:9" x14ac:dyDescent="0.3">
      <c r="A1436" t="s">
        <v>26</v>
      </c>
      <c r="C1436">
        <v>963000</v>
      </c>
      <c r="G1436" s="25">
        <v>43986</v>
      </c>
      <c r="H1436">
        <v>2020</v>
      </c>
      <c r="I1436" t="s">
        <v>47</v>
      </c>
    </row>
    <row r="1437" spans="1:9" x14ac:dyDescent="0.3">
      <c r="A1437" t="s">
        <v>22</v>
      </c>
      <c r="G1437" s="25">
        <v>43986</v>
      </c>
      <c r="H1437">
        <v>2020</v>
      </c>
      <c r="I1437" t="s">
        <v>47</v>
      </c>
    </row>
    <row r="1438" spans="1:9" x14ac:dyDescent="0.3">
      <c r="A1438" t="s">
        <v>19</v>
      </c>
      <c r="C1438">
        <v>567000</v>
      </c>
      <c r="E1438">
        <v>423000</v>
      </c>
      <c r="G1438" s="25">
        <v>43986</v>
      </c>
      <c r="H1438">
        <v>2020</v>
      </c>
      <c r="I1438" t="s">
        <v>47</v>
      </c>
    </row>
    <row r="1439" spans="1:9" x14ac:dyDescent="0.3">
      <c r="A1439" t="s">
        <v>14</v>
      </c>
      <c r="B1439">
        <v>108000</v>
      </c>
      <c r="D1439">
        <v>45000</v>
      </c>
      <c r="G1439" s="25">
        <v>43986</v>
      </c>
      <c r="H1439">
        <v>2020</v>
      </c>
      <c r="I1439" t="s">
        <v>47</v>
      </c>
    </row>
    <row r="1440" spans="1:9" x14ac:dyDescent="0.3">
      <c r="A1440" t="s">
        <v>24</v>
      </c>
      <c r="G1440" s="25">
        <v>43986</v>
      </c>
      <c r="H1440">
        <v>2020</v>
      </c>
      <c r="I1440" t="s">
        <v>47</v>
      </c>
    </row>
    <row r="1441" spans="1:9" x14ac:dyDescent="0.3">
      <c r="A1441" t="s">
        <v>21</v>
      </c>
      <c r="G1441" s="25">
        <v>43986</v>
      </c>
      <c r="H1441">
        <v>2020</v>
      </c>
      <c r="I1441" t="s">
        <v>47</v>
      </c>
    </row>
    <row r="1442" spans="1:9" x14ac:dyDescent="0.3">
      <c r="A1442" t="s">
        <v>18</v>
      </c>
      <c r="G1442" s="25">
        <v>43986</v>
      </c>
      <c r="H1442">
        <v>2020</v>
      </c>
      <c r="I1442" t="s">
        <v>47</v>
      </c>
    </row>
    <row r="1443" spans="1:9" x14ac:dyDescent="0.3">
      <c r="A1443" t="s">
        <v>16</v>
      </c>
      <c r="G1443" s="25">
        <v>43986</v>
      </c>
      <c r="H1443">
        <v>2020</v>
      </c>
      <c r="I1443" t="s">
        <v>47</v>
      </c>
    </row>
    <row r="1444" spans="1:9" x14ac:dyDescent="0.3">
      <c r="A1444" t="s">
        <v>20</v>
      </c>
      <c r="G1444" s="25">
        <v>43987</v>
      </c>
      <c r="H1444">
        <v>2020</v>
      </c>
      <c r="I1444" t="s">
        <v>47</v>
      </c>
    </row>
    <row r="1445" spans="1:9" x14ac:dyDescent="0.3">
      <c r="A1445" t="s">
        <v>37</v>
      </c>
      <c r="G1445" s="25">
        <v>43987</v>
      </c>
      <c r="H1445">
        <v>2020</v>
      </c>
      <c r="I1445" t="s">
        <v>47</v>
      </c>
    </row>
    <row r="1446" spans="1:9" x14ac:dyDescent="0.3">
      <c r="A1446" t="s">
        <v>17</v>
      </c>
      <c r="G1446" s="25">
        <v>43987</v>
      </c>
      <c r="H1446">
        <v>2020</v>
      </c>
      <c r="I1446" t="s">
        <v>47</v>
      </c>
    </row>
    <row r="1447" spans="1:9" x14ac:dyDescent="0.3">
      <c r="A1447" t="s">
        <v>0</v>
      </c>
      <c r="G1447" s="25">
        <v>43987</v>
      </c>
      <c r="H1447">
        <v>2020</v>
      </c>
      <c r="I1447" t="s">
        <v>47</v>
      </c>
    </row>
    <row r="1448" spans="1:9" x14ac:dyDescent="0.3">
      <c r="A1448" t="s">
        <v>25</v>
      </c>
      <c r="C1448">
        <v>639000</v>
      </c>
      <c r="E1448">
        <v>582000</v>
      </c>
      <c r="G1448" s="25">
        <v>43987</v>
      </c>
      <c r="H1448">
        <v>2020</v>
      </c>
      <c r="I1448" t="s">
        <v>47</v>
      </c>
    </row>
    <row r="1449" spans="1:9" x14ac:dyDescent="0.3">
      <c r="A1449" t="s">
        <v>15</v>
      </c>
      <c r="B1449">
        <v>54000</v>
      </c>
      <c r="G1449" s="25">
        <v>43987</v>
      </c>
      <c r="H1449">
        <v>2020</v>
      </c>
      <c r="I1449" t="s">
        <v>47</v>
      </c>
    </row>
    <row r="1450" spans="1:9" x14ac:dyDescent="0.3">
      <c r="A1450" t="s">
        <v>26</v>
      </c>
      <c r="C1450">
        <v>481000</v>
      </c>
      <c r="G1450" s="25">
        <v>43987</v>
      </c>
      <c r="H1450">
        <v>2020</v>
      </c>
      <c r="I1450" t="s">
        <v>47</v>
      </c>
    </row>
    <row r="1451" spans="1:9" x14ac:dyDescent="0.3">
      <c r="A1451" t="s">
        <v>22</v>
      </c>
      <c r="G1451" s="25">
        <v>43987</v>
      </c>
      <c r="H1451">
        <v>2020</v>
      </c>
      <c r="I1451" t="s">
        <v>47</v>
      </c>
    </row>
    <row r="1452" spans="1:9" x14ac:dyDescent="0.3">
      <c r="A1452" t="s">
        <v>19</v>
      </c>
      <c r="C1452">
        <v>618000</v>
      </c>
      <c r="E1452">
        <v>378000</v>
      </c>
      <c r="G1452" s="25">
        <v>43987</v>
      </c>
      <c r="H1452">
        <v>2020</v>
      </c>
      <c r="I1452" t="s">
        <v>47</v>
      </c>
    </row>
    <row r="1453" spans="1:9" x14ac:dyDescent="0.3">
      <c r="A1453" t="s">
        <v>14</v>
      </c>
      <c r="G1453" s="25">
        <v>43987</v>
      </c>
      <c r="H1453">
        <v>2020</v>
      </c>
      <c r="I1453" t="s">
        <v>47</v>
      </c>
    </row>
    <row r="1454" spans="1:9" x14ac:dyDescent="0.3">
      <c r="A1454" t="s">
        <v>24</v>
      </c>
      <c r="G1454" s="25">
        <v>43987</v>
      </c>
      <c r="H1454">
        <v>2020</v>
      </c>
      <c r="I1454" t="s">
        <v>47</v>
      </c>
    </row>
    <row r="1455" spans="1:9" x14ac:dyDescent="0.3">
      <c r="A1455" t="s">
        <v>21</v>
      </c>
      <c r="G1455" s="25">
        <v>43987</v>
      </c>
      <c r="H1455">
        <v>2020</v>
      </c>
      <c r="I1455" t="s">
        <v>47</v>
      </c>
    </row>
    <row r="1456" spans="1:9" x14ac:dyDescent="0.3">
      <c r="A1456" t="s">
        <v>18</v>
      </c>
      <c r="G1456" s="25">
        <v>43987</v>
      </c>
      <c r="H1456">
        <v>2020</v>
      </c>
      <c r="I1456" t="s">
        <v>47</v>
      </c>
    </row>
    <row r="1457" spans="1:9" x14ac:dyDescent="0.3">
      <c r="A1457" t="s">
        <v>16</v>
      </c>
      <c r="G1457" s="25">
        <v>43987</v>
      </c>
      <c r="H1457">
        <v>2020</v>
      </c>
      <c r="I1457" t="s">
        <v>47</v>
      </c>
    </row>
    <row r="1458" spans="1:9" x14ac:dyDescent="0.3">
      <c r="A1458" t="s">
        <v>20</v>
      </c>
      <c r="G1458" s="25">
        <v>43988</v>
      </c>
      <c r="H1458">
        <v>2020</v>
      </c>
      <c r="I1458" t="s">
        <v>47</v>
      </c>
    </row>
    <row r="1459" spans="1:9" x14ac:dyDescent="0.3">
      <c r="A1459" t="s">
        <v>37</v>
      </c>
      <c r="G1459" s="25">
        <v>43988</v>
      </c>
      <c r="H1459">
        <v>2020</v>
      </c>
      <c r="I1459" t="s">
        <v>47</v>
      </c>
    </row>
    <row r="1460" spans="1:9" x14ac:dyDescent="0.3">
      <c r="A1460" t="s">
        <v>17</v>
      </c>
      <c r="G1460" s="25">
        <v>43988</v>
      </c>
      <c r="H1460">
        <v>2020</v>
      </c>
      <c r="I1460" t="s">
        <v>47</v>
      </c>
    </row>
    <row r="1461" spans="1:9" x14ac:dyDescent="0.3">
      <c r="A1461" t="s">
        <v>0</v>
      </c>
      <c r="G1461" s="25">
        <v>43988</v>
      </c>
      <c r="H1461">
        <v>2020</v>
      </c>
      <c r="I1461" t="s">
        <v>47</v>
      </c>
    </row>
    <row r="1462" spans="1:9" x14ac:dyDescent="0.3">
      <c r="A1462" t="s">
        <v>25</v>
      </c>
      <c r="C1462">
        <v>259000</v>
      </c>
      <c r="E1462">
        <v>432000</v>
      </c>
      <c r="G1462" s="25">
        <v>43988</v>
      </c>
      <c r="H1462">
        <v>2020</v>
      </c>
      <c r="I1462" t="s">
        <v>47</v>
      </c>
    </row>
    <row r="1463" spans="1:9" x14ac:dyDescent="0.3">
      <c r="A1463" t="s">
        <v>15</v>
      </c>
      <c r="G1463" s="25">
        <v>43988</v>
      </c>
      <c r="H1463">
        <v>2020</v>
      </c>
      <c r="I1463" t="s">
        <v>47</v>
      </c>
    </row>
    <row r="1464" spans="1:9" x14ac:dyDescent="0.3">
      <c r="A1464" t="s">
        <v>26</v>
      </c>
      <c r="C1464">
        <v>261000</v>
      </c>
      <c r="G1464" s="25">
        <v>43988</v>
      </c>
      <c r="H1464">
        <v>2020</v>
      </c>
      <c r="I1464" t="s">
        <v>47</v>
      </c>
    </row>
    <row r="1465" spans="1:9" x14ac:dyDescent="0.3">
      <c r="A1465" t="s">
        <v>22</v>
      </c>
      <c r="G1465" s="25">
        <v>43988</v>
      </c>
      <c r="H1465">
        <v>2020</v>
      </c>
      <c r="I1465" t="s">
        <v>47</v>
      </c>
    </row>
    <row r="1466" spans="1:9" x14ac:dyDescent="0.3">
      <c r="A1466" t="s">
        <v>19</v>
      </c>
      <c r="C1466">
        <v>324000</v>
      </c>
      <c r="E1466">
        <v>585000</v>
      </c>
      <c r="G1466" s="25">
        <v>43988</v>
      </c>
      <c r="H1466">
        <v>2020</v>
      </c>
      <c r="I1466" t="s">
        <v>47</v>
      </c>
    </row>
    <row r="1467" spans="1:9" x14ac:dyDescent="0.3">
      <c r="A1467" t="s">
        <v>14</v>
      </c>
      <c r="C1467">
        <v>261000</v>
      </c>
      <c r="E1467">
        <v>415000</v>
      </c>
      <c r="G1467" s="25">
        <v>43988</v>
      </c>
      <c r="H1467">
        <v>2020</v>
      </c>
      <c r="I1467" t="s">
        <v>47</v>
      </c>
    </row>
    <row r="1468" spans="1:9" x14ac:dyDescent="0.3">
      <c r="A1468" t="s">
        <v>24</v>
      </c>
      <c r="G1468" s="25">
        <v>43988</v>
      </c>
      <c r="H1468">
        <v>2020</v>
      </c>
      <c r="I1468" t="s">
        <v>47</v>
      </c>
    </row>
    <row r="1469" spans="1:9" x14ac:dyDescent="0.3">
      <c r="A1469" t="s">
        <v>21</v>
      </c>
      <c r="G1469" s="25">
        <v>43988</v>
      </c>
      <c r="H1469">
        <v>2020</v>
      </c>
      <c r="I1469" t="s">
        <v>47</v>
      </c>
    </row>
    <row r="1470" spans="1:9" x14ac:dyDescent="0.3">
      <c r="A1470" t="s">
        <v>18</v>
      </c>
      <c r="G1470" s="25">
        <v>43988</v>
      </c>
      <c r="H1470">
        <v>2020</v>
      </c>
      <c r="I1470" t="s">
        <v>47</v>
      </c>
    </row>
    <row r="1471" spans="1:9" x14ac:dyDescent="0.3">
      <c r="A1471" t="s">
        <v>16</v>
      </c>
      <c r="G1471" s="25">
        <v>43988</v>
      </c>
      <c r="H1471">
        <v>2020</v>
      </c>
      <c r="I1471" t="s">
        <v>47</v>
      </c>
    </row>
    <row r="1472" spans="1:9" x14ac:dyDescent="0.3">
      <c r="A1472" t="s">
        <v>20</v>
      </c>
      <c r="G1472" s="25">
        <v>43990</v>
      </c>
      <c r="H1472">
        <v>2020</v>
      </c>
      <c r="I1472" t="s">
        <v>47</v>
      </c>
    </row>
    <row r="1473" spans="1:9" x14ac:dyDescent="0.3">
      <c r="A1473" t="s">
        <v>37</v>
      </c>
      <c r="G1473" s="25">
        <v>43990</v>
      </c>
      <c r="H1473">
        <v>2020</v>
      </c>
      <c r="I1473" t="s">
        <v>47</v>
      </c>
    </row>
    <row r="1474" spans="1:9" x14ac:dyDescent="0.3">
      <c r="A1474" t="s">
        <v>17</v>
      </c>
      <c r="G1474" s="25">
        <v>43990</v>
      </c>
      <c r="H1474">
        <v>2020</v>
      </c>
      <c r="I1474" t="s">
        <v>47</v>
      </c>
    </row>
    <row r="1475" spans="1:9" x14ac:dyDescent="0.3">
      <c r="A1475" t="s">
        <v>0</v>
      </c>
      <c r="G1475" s="25">
        <v>43990</v>
      </c>
      <c r="H1475">
        <v>2020</v>
      </c>
      <c r="I1475" t="s">
        <v>47</v>
      </c>
    </row>
    <row r="1476" spans="1:9" x14ac:dyDescent="0.3">
      <c r="A1476" t="s">
        <v>25</v>
      </c>
      <c r="C1476">
        <v>477000</v>
      </c>
      <c r="E1476">
        <v>324000</v>
      </c>
      <c r="G1476" s="25">
        <v>43990</v>
      </c>
      <c r="H1476">
        <v>2020</v>
      </c>
      <c r="I1476" t="s">
        <v>47</v>
      </c>
    </row>
    <row r="1477" spans="1:9" x14ac:dyDescent="0.3">
      <c r="A1477" t="s">
        <v>15</v>
      </c>
      <c r="G1477" s="25">
        <v>43990</v>
      </c>
      <c r="H1477">
        <v>2020</v>
      </c>
      <c r="I1477" t="s">
        <v>47</v>
      </c>
    </row>
    <row r="1478" spans="1:9" x14ac:dyDescent="0.3">
      <c r="A1478" t="s">
        <v>26</v>
      </c>
      <c r="C1478">
        <v>148500</v>
      </c>
      <c r="G1478" s="25">
        <v>43990</v>
      </c>
      <c r="H1478">
        <v>2020</v>
      </c>
      <c r="I1478" t="s">
        <v>47</v>
      </c>
    </row>
    <row r="1479" spans="1:9" x14ac:dyDescent="0.3">
      <c r="A1479" t="s">
        <v>22</v>
      </c>
      <c r="C1479">
        <v>216000</v>
      </c>
      <c r="G1479" s="25">
        <v>43990</v>
      </c>
      <c r="H1479">
        <v>2020</v>
      </c>
      <c r="I1479" t="s">
        <v>47</v>
      </c>
    </row>
    <row r="1480" spans="1:9" x14ac:dyDescent="0.3">
      <c r="A1480" t="s">
        <v>19</v>
      </c>
      <c r="C1480">
        <v>629500</v>
      </c>
      <c r="E1480">
        <v>378000</v>
      </c>
      <c r="G1480" s="25">
        <v>43990</v>
      </c>
      <c r="H1480">
        <v>2020</v>
      </c>
      <c r="I1480" t="s">
        <v>47</v>
      </c>
    </row>
    <row r="1481" spans="1:9" x14ac:dyDescent="0.3">
      <c r="A1481" t="s">
        <v>14</v>
      </c>
      <c r="C1481">
        <v>432000</v>
      </c>
      <c r="E1481">
        <v>317000</v>
      </c>
      <c r="G1481" s="25">
        <v>43990</v>
      </c>
      <c r="H1481">
        <v>2020</v>
      </c>
      <c r="I1481" t="s">
        <v>47</v>
      </c>
    </row>
    <row r="1482" spans="1:9" x14ac:dyDescent="0.3">
      <c r="A1482" t="s">
        <v>24</v>
      </c>
      <c r="G1482" s="25">
        <v>43990</v>
      </c>
      <c r="H1482">
        <v>2020</v>
      </c>
      <c r="I1482" t="s">
        <v>47</v>
      </c>
    </row>
    <row r="1483" spans="1:9" x14ac:dyDescent="0.3">
      <c r="A1483" t="s">
        <v>21</v>
      </c>
      <c r="G1483" s="25">
        <v>43990</v>
      </c>
      <c r="H1483">
        <v>2020</v>
      </c>
      <c r="I1483" t="s">
        <v>47</v>
      </c>
    </row>
    <row r="1484" spans="1:9" x14ac:dyDescent="0.3">
      <c r="A1484" t="s">
        <v>18</v>
      </c>
      <c r="G1484" s="25">
        <v>43990</v>
      </c>
      <c r="H1484">
        <v>2020</v>
      </c>
      <c r="I1484" t="s">
        <v>47</v>
      </c>
    </row>
    <row r="1485" spans="1:9" x14ac:dyDescent="0.3">
      <c r="A1485" t="s">
        <v>16</v>
      </c>
      <c r="G1485" s="25">
        <v>43990</v>
      </c>
      <c r="H1485">
        <v>2020</v>
      </c>
      <c r="I1485" t="s">
        <v>47</v>
      </c>
    </row>
    <row r="1486" spans="1:9" x14ac:dyDescent="0.3">
      <c r="A1486" t="s">
        <v>20</v>
      </c>
      <c r="G1486" s="25">
        <v>43991</v>
      </c>
      <c r="H1486">
        <v>2020</v>
      </c>
      <c r="I1486" t="s">
        <v>47</v>
      </c>
    </row>
    <row r="1487" spans="1:9" x14ac:dyDescent="0.3">
      <c r="A1487" t="s">
        <v>37</v>
      </c>
      <c r="G1487" s="25">
        <v>43991</v>
      </c>
      <c r="H1487">
        <v>2020</v>
      </c>
      <c r="I1487" t="s">
        <v>47</v>
      </c>
    </row>
    <row r="1488" spans="1:9" x14ac:dyDescent="0.3">
      <c r="A1488" t="s">
        <v>17</v>
      </c>
      <c r="D1488">
        <v>898000</v>
      </c>
      <c r="G1488" s="25">
        <v>43991</v>
      </c>
      <c r="H1488">
        <v>2020</v>
      </c>
      <c r="I1488" t="s">
        <v>47</v>
      </c>
    </row>
    <row r="1489" spans="1:9" x14ac:dyDescent="0.3">
      <c r="A1489" t="s">
        <v>0</v>
      </c>
      <c r="G1489" s="25">
        <v>43991</v>
      </c>
      <c r="H1489">
        <v>2020</v>
      </c>
      <c r="I1489" t="s">
        <v>47</v>
      </c>
    </row>
    <row r="1490" spans="1:9" x14ac:dyDescent="0.3">
      <c r="A1490" t="s">
        <v>25</v>
      </c>
      <c r="C1490">
        <v>414000</v>
      </c>
      <c r="E1490">
        <v>266000</v>
      </c>
      <c r="G1490" s="25">
        <v>43991</v>
      </c>
      <c r="H1490">
        <v>2020</v>
      </c>
      <c r="I1490" t="s">
        <v>47</v>
      </c>
    </row>
    <row r="1491" spans="1:9" x14ac:dyDescent="0.3">
      <c r="A1491" t="s">
        <v>15</v>
      </c>
      <c r="G1491" s="25">
        <v>43991</v>
      </c>
      <c r="H1491">
        <v>2020</v>
      </c>
      <c r="I1491" t="s">
        <v>47</v>
      </c>
    </row>
    <row r="1492" spans="1:9" x14ac:dyDescent="0.3">
      <c r="A1492" t="s">
        <v>26</v>
      </c>
      <c r="G1492" s="25">
        <v>43991</v>
      </c>
      <c r="H1492">
        <v>2020</v>
      </c>
      <c r="I1492" t="s">
        <v>47</v>
      </c>
    </row>
    <row r="1493" spans="1:9" x14ac:dyDescent="0.3">
      <c r="A1493" t="s">
        <v>22</v>
      </c>
      <c r="C1493">
        <v>513000</v>
      </c>
      <c r="G1493" s="25">
        <v>43991</v>
      </c>
      <c r="H1493">
        <v>2020</v>
      </c>
      <c r="I1493" t="s">
        <v>47</v>
      </c>
    </row>
    <row r="1494" spans="1:9" x14ac:dyDescent="0.3">
      <c r="A1494" t="s">
        <v>19</v>
      </c>
      <c r="C1494">
        <v>536000</v>
      </c>
      <c r="E1494">
        <v>104000</v>
      </c>
      <c r="G1494" s="25">
        <v>43991</v>
      </c>
      <c r="H1494">
        <v>2020</v>
      </c>
      <c r="I1494" t="s">
        <v>47</v>
      </c>
    </row>
    <row r="1495" spans="1:9" x14ac:dyDescent="0.3">
      <c r="A1495" t="s">
        <v>14</v>
      </c>
      <c r="C1495">
        <v>423000</v>
      </c>
      <c r="E1495">
        <v>432000</v>
      </c>
      <c r="G1495" s="25">
        <v>43991</v>
      </c>
      <c r="H1495">
        <v>2020</v>
      </c>
      <c r="I1495" t="s">
        <v>47</v>
      </c>
    </row>
    <row r="1496" spans="1:9" x14ac:dyDescent="0.3">
      <c r="A1496" t="s">
        <v>24</v>
      </c>
      <c r="G1496" s="25">
        <v>43991</v>
      </c>
      <c r="H1496">
        <v>2020</v>
      </c>
      <c r="I1496" t="s">
        <v>47</v>
      </c>
    </row>
    <row r="1497" spans="1:9" x14ac:dyDescent="0.3">
      <c r="A1497" t="s">
        <v>21</v>
      </c>
      <c r="G1497" s="25">
        <v>43991</v>
      </c>
      <c r="H1497">
        <v>2020</v>
      </c>
      <c r="I1497" t="s">
        <v>47</v>
      </c>
    </row>
    <row r="1498" spans="1:9" x14ac:dyDescent="0.3">
      <c r="A1498" t="s">
        <v>18</v>
      </c>
      <c r="G1498" s="25">
        <v>43991</v>
      </c>
      <c r="H1498">
        <v>2020</v>
      </c>
      <c r="I1498" t="s">
        <v>47</v>
      </c>
    </row>
    <row r="1499" spans="1:9" x14ac:dyDescent="0.3">
      <c r="A1499" t="s">
        <v>16</v>
      </c>
      <c r="G1499" s="25">
        <v>43991</v>
      </c>
      <c r="H1499">
        <v>2020</v>
      </c>
      <c r="I1499" t="s">
        <v>47</v>
      </c>
    </row>
    <row r="1500" spans="1:9" x14ac:dyDescent="0.3">
      <c r="A1500" t="s">
        <v>20</v>
      </c>
      <c r="G1500" s="25">
        <v>43992</v>
      </c>
      <c r="H1500">
        <v>2020</v>
      </c>
      <c r="I1500" t="s">
        <v>47</v>
      </c>
    </row>
    <row r="1501" spans="1:9" x14ac:dyDescent="0.3">
      <c r="A1501" t="s">
        <v>37</v>
      </c>
      <c r="G1501" s="25">
        <v>43992</v>
      </c>
      <c r="H1501">
        <v>2020</v>
      </c>
      <c r="I1501" t="s">
        <v>47</v>
      </c>
    </row>
    <row r="1502" spans="1:9" x14ac:dyDescent="0.3">
      <c r="A1502" t="s">
        <v>17</v>
      </c>
      <c r="D1502">
        <v>50000</v>
      </c>
      <c r="G1502" s="25">
        <v>43992</v>
      </c>
      <c r="H1502">
        <v>2020</v>
      </c>
      <c r="I1502" t="s">
        <v>47</v>
      </c>
    </row>
    <row r="1503" spans="1:9" x14ac:dyDescent="0.3">
      <c r="A1503" t="s">
        <v>0</v>
      </c>
      <c r="G1503" s="25">
        <v>43992</v>
      </c>
      <c r="H1503">
        <v>2020</v>
      </c>
      <c r="I1503" t="s">
        <v>47</v>
      </c>
    </row>
    <row r="1504" spans="1:9" x14ac:dyDescent="0.3">
      <c r="A1504" t="s">
        <v>25</v>
      </c>
      <c r="C1504">
        <v>365000</v>
      </c>
      <c r="E1504">
        <v>259000</v>
      </c>
      <c r="G1504" s="25">
        <v>43992</v>
      </c>
      <c r="H1504">
        <v>2020</v>
      </c>
      <c r="I1504" t="s">
        <v>47</v>
      </c>
    </row>
    <row r="1505" spans="1:9" x14ac:dyDescent="0.3">
      <c r="A1505" t="s">
        <v>15</v>
      </c>
      <c r="E1505">
        <v>45000</v>
      </c>
      <c r="G1505" s="25">
        <v>43992</v>
      </c>
      <c r="H1505">
        <v>2020</v>
      </c>
      <c r="I1505" t="s">
        <v>47</v>
      </c>
    </row>
    <row r="1506" spans="1:9" x14ac:dyDescent="0.3">
      <c r="A1506" t="s">
        <v>26</v>
      </c>
      <c r="G1506" s="25">
        <v>43992</v>
      </c>
      <c r="H1506">
        <v>2020</v>
      </c>
      <c r="I1506" t="s">
        <v>47</v>
      </c>
    </row>
    <row r="1507" spans="1:9" x14ac:dyDescent="0.3">
      <c r="A1507" t="s">
        <v>22</v>
      </c>
      <c r="C1507">
        <v>200000</v>
      </c>
      <c r="G1507" s="25">
        <v>43992</v>
      </c>
      <c r="H1507">
        <v>2020</v>
      </c>
      <c r="I1507" t="s">
        <v>47</v>
      </c>
    </row>
    <row r="1508" spans="1:9" x14ac:dyDescent="0.3">
      <c r="A1508" t="s">
        <v>19</v>
      </c>
      <c r="C1508">
        <v>639500</v>
      </c>
      <c r="E1508">
        <v>108000</v>
      </c>
      <c r="G1508" s="25">
        <v>43992</v>
      </c>
      <c r="H1508">
        <v>2020</v>
      </c>
      <c r="I1508" t="s">
        <v>47</v>
      </c>
    </row>
    <row r="1509" spans="1:9" x14ac:dyDescent="0.3">
      <c r="A1509" t="s">
        <v>14</v>
      </c>
      <c r="C1509">
        <v>162000</v>
      </c>
      <c r="E1509">
        <v>270000</v>
      </c>
      <c r="G1509" s="25">
        <v>43992</v>
      </c>
      <c r="H1509">
        <v>2020</v>
      </c>
      <c r="I1509" t="s">
        <v>47</v>
      </c>
    </row>
    <row r="1510" spans="1:9" x14ac:dyDescent="0.3">
      <c r="A1510" t="s">
        <v>24</v>
      </c>
      <c r="G1510" s="25">
        <v>43992</v>
      </c>
      <c r="H1510">
        <v>2020</v>
      </c>
      <c r="I1510" t="s">
        <v>47</v>
      </c>
    </row>
    <row r="1511" spans="1:9" x14ac:dyDescent="0.3">
      <c r="A1511" t="s">
        <v>21</v>
      </c>
      <c r="G1511" s="25">
        <v>43992</v>
      </c>
      <c r="H1511">
        <v>2020</v>
      </c>
      <c r="I1511" t="s">
        <v>47</v>
      </c>
    </row>
    <row r="1512" spans="1:9" x14ac:dyDescent="0.3">
      <c r="A1512" t="s">
        <v>18</v>
      </c>
      <c r="C1512">
        <v>419000</v>
      </c>
      <c r="E1512">
        <v>428000</v>
      </c>
      <c r="G1512" s="25">
        <v>43992</v>
      </c>
      <c r="H1512">
        <v>2020</v>
      </c>
      <c r="I1512" t="s">
        <v>47</v>
      </c>
    </row>
    <row r="1513" spans="1:9" x14ac:dyDescent="0.3">
      <c r="A1513" t="s">
        <v>16</v>
      </c>
      <c r="G1513" s="25">
        <v>43992</v>
      </c>
      <c r="H1513">
        <v>2020</v>
      </c>
      <c r="I1513" t="s">
        <v>47</v>
      </c>
    </row>
    <row r="1514" spans="1:9" x14ac:dyDescent="0.3">
      <c r="A1514" t="s">
        <v>20</v>
      </c>
      <c r="G1514" s="25">
        <v>43993</v>
      </c>
      <c r="H1514">
        <v>2020</v>
      </c>
      <c r="I1514" t="s">
        <v>47</v>
      </c>
    </row>
    <row r="1515" spans="1:9" x14ac:dyDescent="0.3">
      <c r="A1515" t="s">
        <v>37</v>
      </c>
      <c r="G1515" s="25">
        <v>43993</v>
      </c>
      <c r="H1515">
        <v>2020</v>
      </c>
      <c r="I1515" t="s">
        <v>47</v>
      </c>
    </row>
    <row r="1516" spans="1:9" x14ac:dyDescent="0.3">
      <c r="A1516" t="s">
        <v>17</v>
      </c>
      <c r="C1516">
        <v>162000</v>
      </c>
      <c r="E1516">
        <v>428000</v>
      </c>
      <c r="G1516" s="25">
        <v>43993</v>
      </c>
      <c r="H1516">
        <v>2020</v>
      </c>
      <c r="I1516" t="s">
        <v>47</v>
      </c>
    </row>
    <row r="1517" spans="1:9" x14ac:dyDescent="0.3">
      <c r="A1517" t="s">
        <v>0</v>
      </c>
      <c r="G1517" s="25">
        <v>43993</v>
      </c>
      <c r="H1517">
        <v>2020</v>
      </c>
      <c r="I1517" t="s">
        <v>47</v>
      </c>
    </row>
    <row r="1518" spans="1:9" x14ac:dyDescent="0.3">
      <c r="A1518" t="s">
        <v>25</v>
      </c>
      <c r="C1518">
        <v>216000</v>
      </c>
      <c r="E1518">
        <v>108000</v>
      </c>
      <c r="G1518" s="25">
        <v>43993</v>
      </c>
      <c r="H1518">
        <v>2020</v>
      </c>
      <c r="I1518" t="s">
        <v>47</v>
      </c>
    </row>
    <row r="1519" spans="1:9" x14ac:dyDescent="0.3">
      <c r="A1519" t="s">
        <v>15</v>
      </c>
      <c r="G1519" s="25">
        <v>43993</v>
      </c>
      <c r="H1519">
        <v>2020</v>
      </c>
      <c r="I1519" t="s">
        <v>47</v>
      </c>
    </row>
    <row r="1520" spans="1:9" x14ac:dyDescent="0.3">
      <c r="A1520" t="s">
        <v>26</v>
      </c>
      <c r="G1520" s="25">
        <v>43993</v>
      </c>
      <c r="H1520">
        <v>2020</v>
      </c>
      <c r="I1520" t="s">
        <v>47</v>
      </c>
    </row>
    <row r="1521" spans="1:9" x14ac:dyDescent="0.3">
      <c r="A1521" t="s">
        <v>22</v>
      </c>
      <c r="C1521">
        <v>369500</v>
      </c>
      <c r="G1521" s="25">
        <v>43993</v>
      </c>
      <c r="H1521">
        <v>2020</v>
      </c>
      <c r="I1521" t="s">
        <v>47</v>
      </c>
    </row>
    <row r="1522" spans="1:9" x14ac:dyDescent="0.3">
      <c r="A1522" t="s">
        <v>19</v>
      </c>
      <c r="C1522">
        <v>627500</v>
      </c>
      <c r="G1522" s="25">
        <v>43993</v>
      </c>
      <c r="H1522">
        <v>2020</v>
      </c>
      <c r="I1522" t="s">
        <v>47</v>
      </c>
    </row>
    <row r="1523" spans="1:9" x14ac:dyDescent="0.3">
      <c r="A1523" t="s">
        <v>14</v>
      </c>
      <c r="C1523">
        <v>643500</v>
      </c>
      <c r="G1523" s="25">
        <v>43993</v>
      </c>
      <c r="H1523">
        <v>2020</v>
      </c>
      <c r="I1523" t="s">
        <v>47</v>
      </c>
    </row>
    <row r="1524" spans="1:9" x14ac:dyDescent="0.3">
      <c r="A1524" t="s">
        <v>24</v>
      </c>
      <c r="G1524" s="25">
        <v>43993</v>
      </c>
      <c r="H1524">
        <v>2020</v>
      </c>
      <c r="I1524" t="s">
        <v>47</v>
      </c>
    </row>
    <row r="1525" spans="1:9" x14ac:dyDescent="0.3">
      <c r="A1525" t="s">
        <v>21</v>
      </c>
      <c r="G1525" s="25">
        <v>43993</v>
      </c>
      <c r="H1525">
        <v>2020</v>
      </c>
      <c r="I1525" t="s">
        <v>47</v>
      </c>
    </row>
    <row r="1526" spans="1:9" x14ac:dyDescent="0.3">
      <c r="A1526" t="s">
        <v>18</v>
      </c>
      <c r="C1526">
        <v>207000</v>
      </c>
      <c r="E1526">
        <v>54000</v>
      </c>
      <c r="G1526" s="25">
        <v>43993</v>
      </c>
      <c r="H1526">
        <v>2020</v>
      </c>
      <c r="I1526" t="s">
        <v>47</v>
      </c>
    </row>
    <row r="1527" spans="1:9" x14ac:dyDescent="0.3">
      <c r="A1527" t="s">
        <v>16</v>
      </c>
      <c r="G1527" s="25">
        <v>43993</v>
      </c>
      <c r="H1527">
        <v>2020</v>
      </c>
      <c r="I1527" t="s">
        <v>47</v>
      </c>
    </row>
    <row r="1528" spans="1:9" x14ac:dyDescent="0.3">
      <c r="A1528" t="s">
        <v>20</v>
      </c>
      <c r="G1528" s="25">
        <v>43994</v>
      </c>
      <c r="H1528">
        <v>2020</v>
      </c>
      <c r="I1528" t="s">
        <v>47</v>
      </c>
    </row>
    <row r="1529" spans="1:9" x14ac:dyDescent="0.3">
      <c r="A1529" t="s">
        <v>37</v>
      </c>
      <c r="G1529" s="25">
        <v>43994</v>
      </c>
      <c r="H1529">
        <v>2020</v>
      </c>
      <c r="I1529" t="s">
        <v>47</v>
      </c>
    </row>
    <row r="1530" spans="1:9" x14ac:dyDescent="0.3">
      <c r="A1530" t="s">
        <v>17</v>
      </c>
      <c r="C1530">
        <v>378000</v>
      </c>
      <c r="G1530" s="25">
        <v>43994</v>
      </c>
      <c r="H1530">
        <v>2020</v>
      </c>
      <c r="I1530" t="s">
        <v>47</v>
      </c>
    </row>
    <row r="1531" spans="1:9" x14ac:dyDescent="0.3">
      <c r="A1531" t="s">
        <v>0</v>
      </c>
      <c r="G1531" s="25">
        <v>43994</v>
      </c>
      <c r="H1531">
        <v>2020</v>
      </c>
      <c r="I1531" t="s">
        <v>47</v>
      </c>
    </row>
    <row r="1532" spans="1:9" x14ac:dyDescent="0.3">
      <c r="A1532" t="s">
        <v>25</v>
      </c>
      <c r="C1532">
        <v>312000</v>
      </c>
      <c r="G1532" s="25">
        <v>43994</v>
      </c>
      <c r="H1532">
        <v>2020</v>
      </c>
      <c r="I1532" t="s">
        <v>47</v>
      </c>
    </row>
    <row r="1533" spans="1:9" x14ac:dyDescent="0.3">
      <c r="A1533" t="s">
        <v>15</v>
      </c>
      <c r="G1533" s="25">
        <v>43994</v>
      </c>
      <c r="H1533">
        <v>2020</v>
      </c>
      <c r="I1533" t="s">
        <v>47</v>
      </c>
    </row>
    <row r="1534" spans="1:9" x14ac:dyDescent="0.3">
      <c r="A1534" t="s">
        <v>26</v>
      </c>
      <c r="G1534" s="25">
        <v>43994</v>
      </c>
      <c r="H1534">
        <v>2020</v>
      </c>
      <c r="I1534" t="s">
        <v>47</v>
      </c>
    </row>
    <row r="1535" spans="1:9" x14ac:dyDescent="0.3">
      <c r="A1535" t="s">
        <v>22</v>
      </c>
      <c r="C1535">
        <v>207000</v>
      </c>
      <c r="G1535" s="25">
        <v>43994</v>
      </c>
      <c r="H1535">
        <v>2020</v>
      </c>
      <c r="I1535" t="s">
        <v>47</v>
      </c>
    </row>
    <row r="1536" spans="1:9" x14ac:dyDescent="0.3">
      <c r="A1536" t="s">
        <v>19</v>
      </c>
      <c r="G1536" s="25">
        <v>43994</v>
      </c>
      <c r="H1536">
        <v>2020</v>
      </c>
      <c r="I1536" t="s">
        <v>47</v>
      </c>
    </row>
    <row r="1537" spans="1:9" x14ac:dyDescent="0.3">
      <c r="A1537" t="s">
        <v>14</v>
      </c>
      <c r="C1537">
        <v>414500</v>
      </c>
      <c r="G1537" s="25">
        <v>43994</v>
      </c>
      <c r="H1537">
        <v>2020</v>
      </c>
      <c r="I1537" t="s">
        <v>47</v>
      </c>
    </row>
    <row r="1538" spans="1:9" x14ac:dyDescent="0.3">
      <c r="A1538" t="s">
        <v>24</v>
      </c>
      <c r="G1538" s="25">
        <v>43994</v>
      </c>
      <c r="H1538">
        <v>2020</v>
      </c>
      <c r="I1538" t="s">
        <v>47</v>
      </c>
    </row>
    <row r="1539" spans="1:9" x14ac:dyDescent="0.3">
      <c r="A1539" t="s">
        <v>21</v>
      </c>
      <c r="G1539" s="25">
        <v>43994</v>
      </c>
      <c r="H1539">
        <v>2020</v>
      </c>
      <c r="I1539" t="s">
        <v>47</v>
      </c>
    </row>
    <row r="1540" spans="1:9" x14ac:dyDescent="0.3">
      <c r="A1540" t="s">
        <v>18</v>
      </c>
      <c r="G1540" s="25">
        <v>43994</v>
      </c>
      <c r="H1540">
        <v>2020</v>
      </c>
      <c r="I1540" t="s">
        <v>47</v>
      </c>
    </row>
    <row r="1541" spans="1:9" x14ac:dyDescent="0.3">
      <c r="A1541" t="s">
        <v>16</v>
      </c>
      <c r="G1541" s="25">
        <v>43994</v>
      </c>
      <c r="H1541">
        <v>2020</v>
      </c>
      <c r="I1541" t="s">
        <v>47</v>
      </c>
    </row>
    <row r="1542" spans="1:9" x14ac:dyDescent="0.3">
      <c r="A1542" t="s">
        <v>20</v>
      </c>
      <c r="G1542" s="25">
        <v>43995</v>
      </c>
      <c r="H1542">
        <v>2020</v>
      </c>
      <c r="I1542" t="s">
        <v>47</v>
      </c>
    </row>
    <row r="1543" spans="1:9" x14ac:dyDescent="0.3">
      <c r="A1543" t="s">
        <v>37</v>
      </c>
      <c r="G1543" s="25">
        <v>43995</v>
      </c>
      <c r="H1543">
        <v>2020</v>
      </c>
      <c r="I1543" t="s">
        <v>47</v>
      </c>
    </row>
    <row r="1544" spans="1:9" x14ac:dyDescent="0.3">
      <c r="A1544" t="s">
        <v>17</v>
      </c>
      <c r="C1544">
        <v>594000</v>
      </c>
      <c r="E1544">
        <v>108000</v>
      </c>
      <c r="G1544" s="25">
        <v>43995</v>
      </c>
      <c r="H1544">
        <v>2020</v>
      </c>
      <c r="I1544" t="s">
        <v>47</v>
      </c>
    </row>
    <row r="1545" spans="1:9" x14ac:dyDescent="0.3">
      <c r="A1545" t="s">
        <v>0</v>
      </c>
      <c r="G1545" s="25">
        <v>43995</v>
      </c>
      <c r="H1545">
        <v>2020</v>
      </c>
      <c r="I1545" t="s">
        <v>47</v>
      </c>
    </row>
    <row r="1546" spans="1:9" x14ac:dyDescent="0.3">
      <c r="A1546" t="s">
        <v>25</v>
      </c>
      <c r="C1546">
        <v>266000</v>
      </c>
      <c r="G1546" s="25">
        <v>43995</v>
      </c>
      <c r="H1546">
        <v>2020</v>
      </c>
      <c r="I1546" t="s">
        <v>47</v>
      </c>
    </row>
    <row r="1547" spans="1:9" x14ac:dyDescent="0.3">
      <c r="A1547" t="s">
        <v>15</v>
      </c>
      <c r="G1547" s="25">
        <v>43995</v>
      </c>
      <c r="H1547">
        <v>2020</v>
      </c>
      <c r="I1547" t="s">
        <v>47</v>
      </c>
    </row>
    <row r="1548" spans="1:9" x14ac:dyDescent="0.3">
      <c r="A1548" t="s">
        <v>26</v>
      </c>
      <c r="G1548" s="25">
        <v>43995</v>
      </c>
      <c r="H1548">
        <v>2020</v>
      </c>
      <c r="I1548" t="s">
        <v>47</v>
      </c>
    </row>
    <row r="1549" spans="1:9" x14ac:dyDescent="0.3">
      <c r="A1549" t="s">
        <v>22</v>
      </c>
      <c r="C1549">
        <v>643000</v>
      </c>
      <c r="G1549" s="25">
        <v>43995</v>
      </c>
      <c r="H1549">
        <v>2020</v>
      </c>
      <c r="I1549" t="s">
        <v>47</v>
      </c>
    </row>
    <row r="1550" spans="1:9" x14ac:dyDescent="0.3">
      <c r="A1550" t="s">
        <v>19</v>
      </c>
      <c r="B1550">
        <v>810000</v>
      </c>
      <c r="C1550">
        <v>269500</v>
      </c>
      <c r="D1550">
        <v>810000</v>
      </c>
      <c r="G1550" s="25">
        <v>43995</v>
      </c>
      <c r="H1550">
        <v>2020</v>
      </c>
      <c r="I1550" t="s">
        <v>47</v>
      </c>
    </row>
    <row r="1551" spans="1:9" x14ac:dyDescent="0.3">
      <c r="A1551" t="s">
        <v>14</v>
      </c>
      <c r="C1551">
        <v>162000</v>
      </c>
      <c r="E1551">
        <v>54000</v>
      </c>
      <c r="G1551" s="25">
        <v>43995</v>
      </c>
      <c r="H1551">
        <v>2020</v>
      </c>
      <c r="I1551" t="s">
        <v>47</v>
      </c>
    </row>
    <row r="1552" spans="1:9" x14ac:dyDescent="0.3">
      <c r="A1552" t="s">
        <v>24</v>
      </c>
      <c r="G1552" s="25">
        <v>43995</v>
      </c>
      <c r="H1552">
        <v>2020</v>
      </c>
      <c r="I1552" t="s">
        <v>47</v>
      </c>
    </row>
    <row r="1553" spans="1:9" x14ac:dyDescent="0.3">
      <c r="A1553" t="s">
        <v>21</v>
      </c>
      <c r="G1553" s="25">
        <v>43995</v>
      </c>
      <c r="H1553">
        <v>2020</v>
      </c>
      <c r="I1553" t="s">
        <v>47</v>
      </c>
    </row>
    <row r="1554" spans="1:9" x14ac:dyDescent="0.3">
      <c r="A1554" t="s">
        <v>18</v>
      </c>
      <c r="C1554">
        <v>261000</v>
      </c>
      <c r="E1554">
        <v>108000</v>
      </c>
      <c r="G1554" s="25">
        <v>43995</v>
      </c>
      <c r="H1554">
        <v>2020</v>
      </c>
      <c r="I1554" t="s">
        <v>47</v>
      </c>
    </row>
    <row r="1555" spans="1:9" x14ac:dyDescent="0.3">
      <c r="A1555" t="s">
        <v>16</v>
      </c>
      <c r="B1555">
        <v>639000</v>
      </c>
      <c r="D1555">
        <v>432000</v>
      </c>
      <c r="G1555" s="25">
        <v>43995</v>
      </c>
      <c r="H1555">
        <v>2020</v>
      </c>
      <c r="I1555" t="s">
        <v>47</v>
      </c>
    </row>
    <row r="1556" spans="1:9" x14ac:dyDescent="0.3">
      <c r="A1556" t="s">
        <v>20</v>
      </c>
      <c r="G1556" s="25">
        <v>43997</v>
      </c>
      <c r="H1556">
        <v>2020</v>
      </c>
      <c r="I1556" t="s">
        <v>47</v>
      </c>
    </row>
    <row r="1557" spans="1:9" x14ac:dyDescent="0.3">
      <c r="A1557" t="s">
        <v>37</v>
      </c>
      <c r="G1557" s="25">
        <v>43997</v>
      </c>
      <c r="H1557">
        <v>2020</v>
      </c>
      <c r="I1557" t="s">
        <v>47</v>
      </c>
    </row>
    <row r="1558" spans="1:9" x14ac:dyDescent="0.3">
      <c r="A1558" t="s">
        <v>17</v>
      </c>
      <c r="C1558">
        <v>108000</v>
      </c>
      <c r="D1558">
        <v>50000</v>
      </c>
      <c r="E1558">
        <v>432000</v>
      </c>
      <c r="G1558" s="25">
        <v>43997</v>
      </c>
      <c r="H1558">
        <v>2020</v>
      </c>
      <c r="I1558" t="s">
        <v>47</v>
      </c>
    </row>
    <row r="1559" spans="1:9" x14ac:dyDescent="0.3">
      <c r="A1559" t="s">
        <v>0</v>
      </c>
      <c r="G1559" s="25">
        <v>43997</v>
      </c>
      <c r="H1559">
        <v>2020</v>
      </c>
      <c r="I1559" t="s">
        <v>47</v>
      </c>
    </row>
    <row r="1560" spans="1:9" x14ac:dyDescent="0.3">
      <c r="A1560" t="s">
        <v>25</v>
      </c>
      <c r="G1560" s="25">
        <v>43997</v>
      </c>
      <c r="H1560">
        <v>2020</v>
      </c>
      <c r="I1560" t="s">
        <v>47</v>
      </c>
    </row>
    <row r="1561" spans="1:9" x14ac:dyDescent="0.3">
      <c r="A1561" t="s">
        <v>15</v>
      </c>
      <c r="E1561">
        <v>45000</v>
      </c>
      <c r="G1561" s="25">
        <v>43997</v>
      </c>
      <c r="H1561">
        <v>2020</v>
      </c>
      <c r="I1561" t="s">
        <v>47</v>
      </c>
    </row>
    <row r="1562" spans="1:9" x14ac:dyDescent="0.3">
      <c r="A1562" t="s">
        <v>26</v>
      </c>
      <c r="G1562" s="25">
        <v>43997</v>
      </c>
      <c r="H1562">
        <v>2020</v>
      </c>
      <c r="I1562" t="s">
        <v>47</v>
      </c>
    </row>
    <row r="1563" spans="1:9" x14ac:dyDescent="0.3">
      <c r="A1563" t="s">
        <v>22</v>
      </c>
      <c r="G1563" s="25">
        <v>43997</v>
      </c>
      <c r="H1563">
        <v>2020</v>
      </c>
      <c r="I1563" t="s">
        <v>47</v>
      </c>
    </row>
    <row r="1564" spans="1:9" x14ac:dyDescent="0.3">
      <c r="A1564" t="s">
        <v>19</v>
      </c>
      <c r="B1564">
        <v>135000</v>
      </c>
      <c r="C1564">
        <v>108000</v>
      </c>
      <c r="D1564">
        <v>45000</v>
      </c>
      <c r="G1564" s="25">
        <v>43997</v>
      </c>
      <c r="H1564">
        <v>2020</v>
      </c>
      <c r="I1564" t="s">
        <v>47</v>
      </c>
    </row>
    <row r="1565" spans="1:9" x14ac:dyDescent="0.3">
      <c r="A1565" t="s">
        <v>14</v>
      </c>
      <c r="D1565">
        <v>95000</v>
      </c>
      <c r="G1565" s="25">
        <v>43997</v>
      </c>
      <c r="H1565">
        <v>2020</v>
      </c>
      <c r="I1565" t="s">
        <v>47</v>
      </c>
    </row>
    <row r="1566" spans="1:9" x14ac:dyDescent="0.3">
      <c r="A1566" t="s">
        <v>24</v>
      </c>
      <c r="G1566" s="25">
        <v>43997</v>
      </c>
      <c r="H1566">
        <v>2020</v>
      </c>
      <c r="I1566" t="s">
        <v>47</v>
      </c>
    </row>
    <row r="1567" spans="1:9" x14ac:dyDescent="0.3">
      <c r="A1567" t="s">
        <v>21</v>
      </c>
      <c r="G1567" s="25">
        <v>43997</v>
      </c>
      <c r="H1567">
        <v>2020</v>
      </c>
      <c r="I1567" t="s">
        <v>47</v>
      </c>
    </row>
    <row r="1568" spans="1:9" x14ac:dyDescent="0.3">
      <c r="A1568" t="s">
        <v>18</v>
      </c>
      <c r="E1568">
        <v>108000</v>
      </c>
      <c r="G1568" s="25">
        <v>43997</v>
      </c>
      <c r="H1568">
        <v>2020</v>
      </c>
      <c r="I1568" t="s">
        <v>47</v>
      </c>
    </row>
    <row r="1569" spans="1:9" x14ac:dyDescent="0.3">
      <c r="A1569" t="s">
        <v>16</v>
      </c>
      <c r="B1569">
        <v>647500</v>
      </c>
      <c r="D1569">
        <v>749000</v>
      </c>
      <c r="G1569" s="25">
        <v>43997</v>
      </c>
      <c r="H1569">
        <v>2020</v>
      </c>
      <c r="I1569" t="s">
        <v>47</v>
      </c>
    </row>
    <row r="1570" spans="1:9" x14ac:dyDescent="0.3">
      <c r="A1570" t="s">
        <v>20</v>
      </c>
      <c r="G1570" s="25">
        <v>43998</v>
      </c>
      <c r="H1570">
        <v>2020</v>
      </c>
      <c r="I1570" t="s">
        <v>47</v>
      </c>
    </row>
    <row r="1571" spans="1:9" x14ac:dyDescent="0.3">
      <c r="A1571" t="s">
        <v>37</v>
      </c>
      <c r="G1571" s="25">
        <v>43998</v>
      </c>
      <c r="H1571">
        <v>2020</v>
      </c>
      <c r="I1571" t="s">
        <v>47</v>
      </c>
    </row>
    <row r="1572" spans="1:9" x14ac:dyDescent="0.3">
      <c r="A1572" t="s">
        <v>17</v>
      </c>
      <c r="C1572">
        <v>50000</v>
      </c>
      <c r="D1572">
        <v>45000</v>
      </c>
      <c r="G1572" s="25">
        <v>43998</v>
      </c>
      <c r="H1572">
        <v>2020</v>
      </c>
      <c r="I1572" t="s">
        <v>47</v>
      </c>
    </row>
    <row r="1573" spans="1:9" x14ac:dyDescent="0.3">
      <c r="A1573" t="s">
        <v>0</v>
      </c>
      <c r="G1573" s="25">
        <v>43998</v>
      </c>
      <c r="H1573">
        <v>2020</v>
      </c>
      <c r="I1573" t="s">
        <v>47</v>
      </c>
    </row>
    <row r="1574" spans="1:9" x14ac:dyDescent="0.3">
      <c r="A1574" t="s">
        <v>25</v>
      </c>
      <c r="G1574" s="25">
        <v>43998</v>
      </c>
      <c r="H1574">
        <v>2020</v>
      </c>
      <c r="I1574" t="s">
        <v>47</v>
      </c>
    </row>
    <row r="1575" spans="1:9" x14ac:dyDescent="0.3">
      <c r="A1575" t="s">
        <v>15</v>
      </c>
      <c r="B1575">
        <v>270000</v>
      </c>
      <c r="C1575">
        <v>45000</v>
      </c>
      <c r="G1575" s="25">
        <v>43998</v>
      </c>
      <c r="H1575">
        <v>2020</v>
      </c>
      <c r="I1575" t="s">
        <v>47</v>
      </c>
    </row>
    <row r="1576" spans="1:9" x14ac:dyDescent="0.3">
      <c r="A1576" t="s">
        <v>26</v>
      </c>
      <c r="B1576">
        <v>789500</v>
      </c>
      <c r="D1576">
        <v>106000</v>
      </c>
      <c r="G1576" s="25">
        <v>43998</v>
      </c>
      <c r="H1576">
        <v>2020</v>
      </c>
      <c r="I1576" t="s">
        <v>47</v>
      </c>
    </row>
    <row r="1577" spans="1:9" x14ac:dyDescent="0.3">
      <c r="A1577" t="s">
        <v>22</v>
      </c>
      <c r="C1577">
        <v>153000</v>
      </c>
      <c r="G1577" s="25">
        <v>43998</v>
      </c>
      <c r="H1577">
        <v>2020</v>
      </c>
      <c r="I1577" t="s">
        <v>47</v>
      </c>
    </row>
    <row r="1578" spans="1:9" x14ac:dyDescent="0.3">
      <c r="A1578" t="s">
        <v>19</v>
      </c>
      <c r="C1578">
        <v>216000</v>
      </c>
      <c r="D1578">
        <v>144000</v>
      </c>
      <c r="G1578" s="25">
        <v>43998</v>
      </c>
      <c r="H1578">
        <v>2020</v>
      </c>
      <c r="I1578" t="s">
        <v>47</v>
      </c>
    </row>
    <row r="1579" spans="1:9" x14ac:dyDescent="0.3">
      <c r="A1579" t="s">
        <v>14</v>
      </c>
      <c r="B1579">
        <v>54000</v>
      </c>
      <c r="D1579">
        <v>320000</v>
      </c>
      <c r="E1579">
        <v>54000</v>
      </c>
      <c r="G1579" s="25">
        <v>43998</v>
      </c>
      <c r="H1579">
        <v>2020</v>
      </c>
      <c r="I1579" t="s">
        <v>47</v>
      </c>
    </row>
    <row r="1580" spans="1:9" x14ac:dyDescent="0.3">
      <c r="A1580" t="s">
        <v>24</v>
      </c>
      <c r="G1580" s="25">
        <v>43998</v>
      </c>
      <c r="H1580">
        <v>2020</v>
      </c>
      <c r="I1580" t="s">
        <v>47</v>
      </c>
    </row>
    <row r="1581" spans="1:9" x14ac:dyDescent="0.3">
      <c r="A1581" t="s">
        <v>21</v>
      </c>
      <c r="G1581" s="25">
        <v>43998</v>
      </c>
      <c r="H1581">
        <v>2020</v>
      </c>
      <c r="I1581" t="s">
        <v>47</v>
      </c>
    </row>
    <row r="1582" spans="1:9" x14ac:dyDescent="0.3">
      <c r="A1582" t="s">
        <v>18</v>
      </c>
      <c r="B1582">
        <v>416500</v>
      </c>
      <c r="C1582">
        <v>211500</v>
      </c>
      <c r="D1582">
        <v>108000</v>
      </c>
      <c r="E1582">
        <v>54000</v>
      </c>
      <c r="G1582" s="25">
        <v>43998</v>
      </c>
      <c r="H1582">
        <v>2020</v>
      </c>
      <c r="I1582" t="s">
        <v>47</v>
      </c>
    </row>
    <row r="1583" spans="1:9" x14ac:dyDescent="0.3">
      <c r="A1583" t="s">
        <v>16</v>
      </c>
      <c r="G1583" s="25">
        <v>43998</v>
      </c>
      <c r="H1583">
        <v>2020</v>
      </c>
      <c r="I1583" t="s">
        <v>47</v>
      </c>
    </row>
    <row r="1584" spans="1:9" x14ac:dyDescent="0.3">
      <c r="A1584" t="s">
        <v>20</v>
      </c>
      <c r="G1584" s="25">
        <v>43999</v>
      </c>
      <c r="H1584">
        <v>2020</v>
      </c>
      <c r="I1584" t="s">
        <v>47</v>
      </c>
    </row>
    <row r="1585" spans="1:9" x14ac:dyDescent="0.3">
      <c r="A1585" t="s">
        <v>37</v>
      </c>
      <c r="G1585" s="25">
        <v>43999</v>
      </c>
      <c r="H1585">
        <v>2020</v>
      </c>
      <c r="I1585" t="s">
        <v>47</v>
      </c>
    </row>
    <row r="1586" spans="1:9" x14ac:dyDescent="0.3">
      <c r="A1586" t="s">
        <v>17</v>
      </c>
      <c r="G1586" s="25">
        <v>43999</v>
      </c>
      <c r="H1586">
        <v>2020</v>
      </c>
      <c r="I1586" t="s">
        <v>47</v>
      </c>
    </row>
    <row r="1587" spans="1:9" x14ac:dyDescent="0.3">
      <c r="A1587" t="s">
        <v>0</v>
      </c>
      <c r="C1587">
        <v>540000</v>
      </c>
      <c r="E1587">
        <v>1436500</v>
      </c>
      <c r="G1587" s="25">
        <v>43999</v>
      </c>
      <c r="H1587">
        <v>2020</v>
      </c>
      <c r="I1587" t="s">
        <v>47</v>
      </c>
    </row>
    <row r="1588" spans="1:9" x14ac:dyDescent="0.3">
      <c r="A1588" t="s">
        <v>25</v>
      </c>
      <c r="G1588" s="25">
        <v>43999</v>
      </c>
      <c r="H1588">
        <v>2020</v>
      </c>
      <c r="I1588" t="s">
        <v>47</v>
      </c>
    </row>
    <row r="1589" spans="1:9" x14ac:dyDescent="0.3">
      <c r="A1589" t="s">
        <v>15</v>
      </c>
      <c r="B1589">
        <v>374000</v>
      </c>
      <c r="D1589">
        <v>270000</v>
      </c>
      <c r="G1589" s="25">
        <v>43999</v>
      </c>
      <c r="H1589">
        <v>2020</v>
      </c>
      <c r="I1589" t="s">
        <v>47</v>
      </c>
    </row>
    <row r="1590" spans="1:9" x14ac:dyDescent="0.3">
      <c r="A1590" t="s">
        <v>26</v>
      </c>
      <c r="B1590">
        <v>432000</v>
      </c>
      <c r="C1590">
        <v>54000</v>
      </c>
      <c r="D1590">
        <v>108000</v>
      </c>
      <c r="G1590" s="25">
        <v>43999</v>
      </c>
      <c r="H1590">
        <v>2020</v>
      </c>
      <c r="I1590" t="s">
        <v>47</v>
      </c>
    </row>
    <row r="1591" spans="1:9" x14ac:dyDescent="0.3">
      <c r="A1591" t="s">
        <v>22</v>
      </c>
      <c r="C1591">
        <v>50000</v>
      </c>
      <c r="G1591" s="25">
        <v>43999</v>
      </c>
      <c r="H1591">
        <v>2020</v>
      </c>
      <c r="I1591" t="s">
        <v>47</v>
      </c>
    </row>
    <row r="1592" spans="1:9" x14ac:dyDescent="0.3">
      <c r="A1592" t="s">
        <v>19</v>
      </c>
      <c r="G1592" s="25">
        <v>43999</v>
      </c>
      <c r="H1592">
        <v>2020</v>
      </c>
      <c r="I1592" t="s">
        <v>47</v>
      </c>
    </row>
    <row r="1593" spans="1:9" x14ac:dyDescent="0.3">
      <c r="A1593" t="s">
        <v>14</v>
      </c>
      <c r="G1593" s="25">
        <v>43999</v>
      </c>
      <c r="H1593">
        <v>2020</v>
      </c>
      <c r="I1593" t="s">
        <v>47</v>
      </c>
    </row>
    <row r="1594" spans="1:9" x14ac:dyDescent="0.3">
      <c r="A1594" t="s">
        <v>24</v>
      </c>
      <c r="B1594">
        <v>270000</v>
      </c>
      <c r="D1594">
        <v>162000</v>
      </c>
      <c r="G1594" s="25">
        <v>43999</v>
      </c>
      <c r="H1594">
        <v>2020</v>
      </c>
      <c r="I1594" t="s">
        <v>47</v>
      </c>
    </row>
    <row r="1595" spans="1:9" x14ac:dyDescent="0.3">
      <c r="A1595" t="s">
        <v>21</v>
      </c>
      <c r="G1595" s="25">
        <v>43999</v>
      </c>
      <c r="H1595">
        <v>2020</v>
      </c>
      <c r="I1595" t="s">
        <v>47</v>
      </c>
    </row>
    <row r="1596" spans="1:9" x14ac:dyDescent="0.3">
      <c r="A1596" t="s">
        <v>18</v>
      </c>
      <c r="B1596">
        <v>293000</v>
      </c>
      <c r="C1596">
        <v>108000</v>
      </c>
      <c r="D1596">
        <v>211500</v>
      </c>
      <c r="G1596" s="25">
        <v>43999</v>
      </c>
      <c r="H1596">
        <v>2020</v>
      </c>
      <c r="I1596" t="s">
        <v>47</v>
      </c>
    </row>
    <row r="1597" spans="1:9" x14ac:dyDescent="0.3">
      <c r="A1597" t="s">
        <v>16</v>
      </c>
      <c r="G1597" s="25">
        <v>43999</v>
      </c>
      <c r="H1597">
        <v>2020</v>
      </c>
      <c r="I1597" t="s">
        <v>47</v>
      </c>
    </row>
    <row r="1598" spans="1:9" x14ac:dyDescent="0.3">
      <c r="A1598" t="s">
        <v>20</v>
      </c>
      <c r="G1598" s="25">
        <v>44000</v>
      </c>
      <c r="H1598">
        <v>2020</v>
      </c>
      <c r="I1598" t="s">
        <v>47</v>
      </c>
    </row>
    <row r="1599" spans="1:9" x14ac:dyDescent="0.3">
      <c r="A1599" t="s">
        <v>37</v>
      </c>
      <c r="G1599" s="25">
        <v>44000</v>
      </c>
      <c r="H1599">
        <v>2020</v>
      </c>
      <c r="I1599" t="s">
        <v>47</v>
      </c>
    </row>
    <row r="1600" spans="1:9" x14ac:dyDescent="0.3">
      <c r="A1600" t="s">
        <v>17</v>
      </c>
      <c r="E1600">
        <v>54000</v>
      </c>
      <c r="G1600" s="25">
        <v>44000</v>
      </c>
      <c r="H1600">
        <v>2020</v>
      </c>
      <c r="I1600" t="s">
        <v>47</v>
      </c>
    </row>
    <row r="1601" spans="1:9" x14ac:dyDescent="0.3">
      <c r="A1601" t="s">
        <v>0</v>
      </c>
      <c r="B1601">
        <v>527000</v>
      </c>
      <c r="C1601">
        <v>626000</v>
      </c>
      <c r="D1601">
        <v>594000</v>
      </c>
      <c r="E1601">
        <v>526000</v>
      </c>
      <c r="G1601" s="25">
        <v>44000</v>
      </c>
      <c r="H1601">
        <v>2020</v>
      </c>
      <c r="I1601" t="s">
        <v>47</v>
      </c>
    </row>
    <row r="1602" spans="1:9" x14ac:dyDescent="0.3">
      <c r="A1602" t="s">
        <v>25</v>
      </c>
      <c r="G1602" s="25">
        <v>44000</v>
      </c>
      <c r="H1602">
        <v>2020</v>
      </c>
      <c r="I1602" t="s">
        <v>47</v>
      </c>
    </row>
    <row r="1603" spans="1:9" x14ac:dyDescent="0.3">
      <c r="A1603" t="s">
        <v>15</v>
      </c>
      <c r="D1603">
        <v>54000</v>
      </c>
      <c r="G1603" s="25">
        <v>44000</v>
      </c>
      <c r="H1603">
        <v>2020</v>
      </c>
      <c r="I1603" t="s">
        <v>47</v>
      </c>
    </row>
    <row r="1604" spans="1:9" x14ac:dyDescent="0.3">
      <c r="A1604" t="s">
        <v>26</v>
      </c>
      <c r="C1604">
        <v>571500</v>
      </c>
      <c r="G1604" s="25">
        <v>44000</v>
      </c>
      <c r="H1604">
        <v>2020</v>
      </c>
      <c r="I1604" t="s">
        <v>47</v>
      </c>
    </row>
    <row r="1605" spans="1:9" x14ac:dyDescent="0.3">
      <c r="A1605" t="s">
        <v>22</v>
      </c>
      <c r="C1605">
        <v>158000</v>
      </c>
      <c r="G1605" s="25">
        <v>44000</v>
      </c>
      <c r="H1605">
        <v>2020</v>
      </c>
      <c r="I1605" t="s">
        <v>47</v>
      </c>
    </row>
    <row r="1606" spans="1:9" x14ac:dyDescent="0.3">
      <c r="A1606" t="s">
        <v>19</v>
      </c>
      <c r="G1606" s="25">
        <v>44000</v>
      </c>
      <c r="H1606">
        <v>2020</v>
      </c>
      <c r="I1606" t="s">
        <v>47</v>
      </c>
    </row>
    <row r="1607" spans="1:9" x14ac:dyDescent="0.3">
      <c r="A1607" t="s">
        <v>14</v>
      </c>
      <c r="D1607">
        <v>212000</v>
      </c>
      <c r="G1607" s="25">
        <v>44000</v>
      </c>
      <c r="H1607">
        <v>2020</v>
      </c>
      <c r="I1607" t="s">
        <v>47</v>
      </c>
    </row>
    <row r="1608" spans="1:9" x14ac:dyDescent="0.3">
      <c r="A1608" t="s">
        <v>24</v>
      </c>
      <c r="B1608">
        <v>108000</v>
      </c>
      <c r="G1608" s="25">
        <v>44000</v>
      </c>
      <c r="H1608">
        <v>2020</v>
      </c>
      <c r="I1608" t="s">
        <v>47</v>
      </c>
    </row>
    <row r="1609" spans="1:9" x14ac:dyDescent="0.3">
      <c r="A1609" t="s">
        <v>21</v>
      </c>
      <c r="G1609" s="25">
        <v>44000</v>
      </c>
      <c r="H1609">
        <v>2020</v>
      </c>
      <c r="I1609" t="s">
        <v>47</v>
      </c>
    </row>
    <row r="1610" spans="1:9" x14ac:dyDescent="0.3">
      <c r="A1610" t="s">
        <v>18</v>
      </c>
      <c r="B1610">
        <v>45000</v>
      </c>
      <c r="C1610">
        <v>54000</v>
      </c>
      <c r="G1610" s="25">
        <v>44000</v>
      </c>
      <c r="H1610">
        <v>2020</v>
      </c>
      <c r="I1610" t="s">
        <v>47</v>
      </c>
    </row>
    <row r="1611" spans="1:9" x14ac:dyDescent="0.3">
      <c r="A1611" t="s">
        <v>16</v>
      </c>
      <c r="G1611" s="25">
        <v>44000</v>
      </c>
      <c r="H1611">
        <v>2020</v>
      </c>
      <c r="I1611" t="s">
        <v>47</v>
      </c>
    </row>
    <row r="1612" spans="1:9" x14ac:dyDescent="0.3">
      <c r="A1612" t="s">
        <v>20</v>
      </c>
      <c r="G1612" s="25">
        <v>44001</v>
      </c>
      <c r="H1612">
        <v>2020</v>
      </c>
      <c r="I1612" t="s">
        <v>47</v>
      </c>
    </row>
    <row r="1613" spans="1:9" x14ac:dyDescent="0.3">
      <c r="A1613" t="s">
        <v>37</v>
      </c>
      <c r="G1613" s="25">
        <v>44001</v>
      </c>
      <c r="H1613">
        <v>2020</v>
      </c>
      <c r="I1613" t="s">
        <v>47</v>
      </c>
    </row>
    <row r="1614" spans="1:9" x14ac:dyDescent="0.3">
      <c r="A1614" t="s">
        <v>17</v>
      </c>
      <c r="C1614">
        <v>535500</v>
      </c>
      <c r="E1614">
        <v>313000</v>
      </c>
      <c r="G1614" s="25">
        <v>44001</v>
      </c>
      <c r="H1614">
        <v>2020</v>
      </c>
      <c r="I1614" t="s">
        <v>47</v>
      </c>
    </row>
    <row r="1615" spans="1:9" x14ac:dyDescent="0.3">
      <c r="A1615" t="s">
        <v>0</v>
      </c>
      <c r="B1615">
        <v>578000</v>
      </c>
      <c r="C1615">
        <v>785000</v>
      </c>
      <c r="D1615">
        <v>860000</v>
      </c>
      <c r="G1615" s="25">
        <v>44001</v>
      </c>
      <c r="H1615">
        <v>2020</v>
      </c>
      <c r="I1615" t="s">
        <v>47</v>
      </c>
    </row>
    <row r="1616" spans="1:9" x14ac:dyDescent="0.3">
      <c r="A1616" t="s">
        <v>25</v>
      </c>
      <c r="G1616" s="25">
        <v>44001</v>
      </c>
      <c r="H1616">
        <v>2020</v>
      </c>
      <c r="I1616" t="s">
        <v>47</v>
      </c>
    </row>
    <row r="1617" spans="1:9" x14ac:dyDescent="0.3">
      <c r="A1617" t="s">
        <v>15</v>
      </c>
      <c r="G1617" s="25">
        <v>44001</v>
      </c>
      <c r="H1617">
        <v>2020</v>
      </c>
      <c r="I1617" t="s">
        <v>47</v>
      </c>
    </row>
    <row r="1618" spans="1:9" x14ac:dyDescent="0.3">
      <c r="A1618" t="s">
        <v>26</v>
      </c>
      <c r="C1618">
        <v>482000</v>
      </c>
      <c r="D1618">
        <v>54000</v>
      </c>
      <c r="G1618" s="25">
        <v>44001</v>
      </c>
      <c r="H1618">
        <v>2020</v>
      </c>
      <c r="I1618" t="s">
        <v>47</v>
      </c>
    </row>
    <row r="1619" spans="1:9" x14ac:dyDescent="0.3">
      <c r="A1619" t="s">
        <v>22</v>
      </c>
      <c r="G1619" s="25">
        <v>44001</v>
      </c>
      <c r="H1619">
        <v>2020</v>
      </c>
      <c r="I1619" t="s">
        <v>47</v>
      </c>
    </row>
    <row r="1620" spans="1:9" x14ac:dyDescent="0.3">
      <c r="A1620" t="s">
        <v>19</v>
      </c>
      <c r="G1620" s="25">
        <v>44001</v>
      </c>
      <c r="H1620">
        <v>2020</v>
      </c>
      <c r="I1620" t="s">
        <v>47</v>
      </c>
    </row>
    <row r="1621" spans="1:9" x14ac:dyDescent="0.3">
      <c r="A1621" t="s">
        <v>14</v>
      </c>
      <c r="G1621" s="25">
        <v>44001</v>
      </c>
      <c r="H1621">
        <v>2020</v>
      </c>
      <c r="I1621" t="s">
        <v>47</v>
      </c>
    </row>
    <row r="1622" spans="1:9" x14ac:dyDescent="0.3">
      <c r="A1622" t="s">
        <v>24</v>
      </c>
      <c r="B1622">
        <v>257000</v>
      </c>
      <c r="G1622" s="25">
        <v>44001</v>
      </c>
      <c r="H1622">
        <v>2020</v>
      </c>
      <c r="I1622" t="s">
        <v>47</v>
      </c>
    </row>
    <row r="1623" spans="1:9" x14ac:dyDescent="0.3">
      <c r="A1623" t="s">
        <v>21</v>
      </c>
      <c r="G1623" s="25">
        <v>44001</v>
      </c>
      <c r="H1623">
        <v>2020</v>
      </c>
      <c r="I1623" t="s">
        <v>47</v>
      </c>
    </row>
    <row r="1624" spans="1:9" x14ac:dyDescent="0.3">
      <c r="A1624" t="s">
        <v>18</v>
      </c>
      <c r="C1624">
        <v>299000</v>
      </c>
      <c r="G1624" s="25">
        <v>44001</v>
      </c>
      <c r="H1624">
        <v>2020</v>
      </c>
      <c r="I1624" t="s">
        <v>47</v>
      </c>
    </row>
    <row r="1625" spans="1:9" x14ac:dyDescent="0.3">
      <c r="A1625" t="s">
        <v>16</v>
      </c>
      <c r="G1625" s="25">
        <v>44001</v>
      </c>
      <c r="H1625">
        <v>2020</v>
      </c>
      <c r="I1625" t="s">
        <v>47</v>
      </c>
    </row>
    <row r="1626" spans="1:9" x14ac:dyDescent="0.3">
      <c r="A1626" t="s">
        <v>20</v>
      </c>
      <c r="G1626" s="25">
        <v>44002</v>
      </c>
      <c r="H1626">
        <v>2020</v>
      </c>
      <c r="I1626" t="s">
        <v>47</v>
      </c>
    </row>
    <row r="1627" spans="1:9" x14ac:dyDescent="0.3">
      <c r="A1627" t="s">
        <v>37</v>
      </c>
      <c r="G1627" s="25">
        <v>44002</v>
      </c>
      <c r="H1627">
        <v>2020</v>
      </c>
      <c r="I1627" t="s">
        <v>47</v>
      </c>
    </row>
    <row r="1628" spans="1:9" x14ac:dyDescent="0.3">
      <c r="A1628" t="s">
        <v>17</v>
      </c>
      <c r="D1628">
        <v>50000</v>
      </c>
      <c r="G1628" s="25">
        <v>44002</v>
      </c>
      <c r="H1628">
        <v>2020</v>
      </c>
      <c r="I1628" t="s">
        <v>47</v>
      </c>
    </row>
    <row r="1629" spans="1:9" x14ac:dyDescent="0.3">
      <c r="A1629" t="s">
        <v>0</v>
      </c>
      <c r="B1629">
        <v>638000</v>
      </c>
      <c r="D1629">
        <v>324000</v>
      </c>
      <c r="G1629" s="25">
        <v>44002</v>
      </c>
      <c r="H1629">
        <v>2020</v>
      </c>
      <c r="I1629" t="s">
        <v>47</v>
      </c>
    </row>
    <row r="1630" spans="1:9" x14ac:dyDescent="0.3">
      <c r="A1630" t="s">
        <v>25</v>
      </c>
      <c r="G1630" s="25">
        <v>44002</v>
      </c>
      <c r="H1630">
        <v>2020</v>
      </c>
      <c r="I1630" t="s">
        <v>47</v>
      </c>
    </row>
    <row r="1631" spans="1:9" x14ac:dyDescent="0.3">
      <c r="A1631" t="s">
        <v>15</v>
      </c>
      <c r="G1631" s="25">
        <v>44002</v>
      </c>
      <c r="H1631">
        <v>2020</v>
      </c>
      <c r="I1631" t="s">
        <v>47</v>
      </c>
    </row>
    <row r="1632" spans="1:9" x14ac:dyDescent="0.3">
      <c r="A1632" t="s">
        <v>26</v>
      </c>
      <c r="C1632">
        <v>54000</v>
      </c>
      <c r="G1632" s="25">
        <v>44002</v>
      </c>
      <c r="H1632">
        <v>2020</v>
      </c>
      <c r="I1632" t="s">
        <v>47</v>
      </c>
    </row>
    <row r="1633" spans="1:9" x14ac:dyDescent="0.3">
      <c r="A1633" t="s">
        <v>22</v>
      </c>
      <c r="G1633" s="25">
        <v>44002</v>
      </c>
      <c r="H1633">
        <v>2020</v>
      </c>
      <c r="I1633" t="s">
        <v>47</v>
      </c>
    </row>
    <row r="1634" spans="1:9" x14ac:dyDescent="0.3">
      <c r="A1634" t="s">
        <v>19</v>
      </c>
      <c r="G1634" s="25">
        <v>44002</v>
      </c>
      <c r="H1634">
        <v>2020</v>
      </c>
      <c r="I1634" t="s">
        <v>47</v>
      </c>
    </row>
    <row r="1635" spans="1:9" x14ac:dyDescent="0.3">
      <c r="A1635" t="s">
        <v>14</v>
      </c>
      <c r="B1635">
        <v>302000</v>
      </c>
      <c r="D1635">
        <v>208000</v>
      </c>
      <c r="G1635" s="25">
        <v>44002</v>
      </c>
      <c r="H1635">
        <v>2020</v>
      </c>
      <c r="I1635" t="s">
        <v>47</v>
      </c>
    </row>
    <row r="1636" spans="1:9" x14ac:dyDescent="0.3">
      <c r="A1636" t="s">
        <v>24</v>
      </c>
      <c r="B1636">
        <v>324000</v>
      </c>
      <c r="D1636">
        <v>108000</v>
      </c>
      <c r="G1636" s="25">
        <v>44002</v>
      </c>
      <c r="H1636">
        <v>2020</v>
      </c>
      <c r="I1636" t="s">
        <v>47</v>
      </c>
    </row>
    <row r="1637" spans="1:9" x14ac:dyDescent="0.3">
      <c r="A1637" t="s">
        <v>21</v>
      </c>
      <c r="G1637" s="25">
        <v>44002</v>
      </c>
      <c r="H1637">
        <v>2020</v>
      </c>
      <c r="I1637" t="s">
        <v>47</v>
      </c>
    </row>
    <row r="1638" spans="1:9" x14ac:dyDescent="0.3">
      <c r="A1638" t="s">
        <v>18</v>
      </c>
      <c r="C1638">
        <v>54000</v>
      </c>
      <c r="G1638" s="25">
        <v>44002</v>
      </c>
      <c r="H1638">
        <v>2020</v>
      </c>
      <c r="I1638" t="s">
        <v>47</v>
      </c>
    </row>
    <row r="1639" spans="1:9" x14ac:dyDescent="0.3">
      <c r="A1639" t="s">
        <v>16</v>
      </c>
      <c r="G1639" s="25">
        <v>44002</v>
      </c>
      <c r="H1639">
        <v>2020</v>
      </c>
      <c r="I1639" t="s">
        <v>47</v>
      </c>
    </row>
    <row r="1640" spans="1:9" x14ac:dyDescent="0.3">
      <c r="A1640" t="s">
        <v>20</v>
      </c>
      <c r="G1640" s="25">
        <v>44004</v>
      </c>
      <c r="H1640">
        <v>2020</v>
      </c>
      <c r="I1640" t="s">
        <v>47</v>
      </c>
    </row>
    <row r="1641" spans="1:9" x14ac:dyDescent="0.3">
      <c r="A1641" t="s">
        <v>37</v>
      </c>
      <c r="G1641" s="25">
        <v>44004</v>
      </c>
      <c r="H1641">
        <v>2020</v>
      </c>
      <c r="I1641" t="s">
        <v>47</v>
      </c>
    </row>
    <row r="1642" spans="1:9" x14ac:dyDescent="0.3">
      <c r="A1642" t="s">
        <v>17</v>
      </c>
      <c r="C1642">
        <v>108000</v>
      </c>
      <c r="D1642">
        <v>108000</v>
      </c>
      <c r="G1642" s="25">
        <v>44004</v>
      </c>
      <c r="H1642">
        <v>2020</v>
      </c>
      <c r="I1642" t="s">
        <v>47</v>
      </c>
    </row>
    <row r="1643" spans="1:9" x14ac:dyDescent="0.3">
      <c r="A1643" t="s">
        <v>0</v>
      </c>
      <c r="B1643">
        <v>622000</v>
      </c>
      <c r="C1643">
        <v>45000</v>
      </c>
      <c r="D1643">
        <v>216000</v>
      </c>
      <c r="G1643" s="25">
        <v>44004</v>
      </c>
      <c r="H1643">
        <v>2020</v>
      </c>
      <c r="I1643" t="s">
        <v>47</v>
      </c>
    </row>
    <row r="1644" spans="1:9" x14ac:dyDescent="0.3">
      <c r="A1644" t="s">
        <v>25</v>
      </c>
      <c r="G1644" s="25">
        <v>44004</v>
      </c>
      <c r="H1644">
        <v>2020</v>
      </c>
      <c r="I1644" t="s">
        <v>47</v>
      </c>
    </row>
    <row r="1645" spans="1:9" x14ac:dyDescent="0.3">
      <c r="A1645" t="s">
        <v>15</v>
      </c>
      <c r="G1645" s="25">
        <v>44004</v>
      </c>
      <c r="H1645">
        <v>2020</v>
      </c>
      <c r="I1645" t="s">
        <v>47</v>
      </c>
    </row>
    <row r="1646" spans="1:9" x14ac:dyDescent="0.3">
      <c r="A1646" t="s">
        <v>26</v>
      </c>
      <c r="G1646" s="25">
        <v>44004</v>
      </c>
      <c r="H1646">
        <v>2020</v>
      </c>
      <c r="I1646" t="s">
        <v>47</v>
      </c>
    </row>
    <row r="1647" spans="1:9" x14ac:dyDescent="0.3">
      <c r="A1647" t="s">
        <v>22</v>
      </c>
      <c r="G1647" s="25">
        <v>44004</v>
      </c>
      <c r="H1647">
        <v>2020</v>
      </c>
      <c r="I1647" t="s">
        <v>47</v>
      </c>
    </row>
    <row r="1648" spans="1:9" x14ac:dyDescent="0.3">
      <c r="A1648" t="s">
        <v>19</v>
      </c>
      <c r="G1648" s="25">
        <v>44004</v>
      </c>
      <c r="H1648">
        <v>2020</v>
      </c>
      <c r="I1648" t="s">
        <v>47</v>
      </c>
    </row>
    <row r="1649" spans="1:9" x14ac:dyDescent="0.3">
      <c r="A1649" t="s">
        <v>14</v>
      </c>
      <c r="B1649">
        <v>315000</v>
      </c>
      <c r="G1649" s="25">
        <v>44004</v>
      </c>
      <c r="H1649">
        <v>2020</v>
      </c>
      <c r="I1649" t="s">
        <v>47</v>
      </c>
    </row>
    <row r="1650" spans="1:9" x14ac:dyDescent="0.3">
      <c r="A1650" t="s">
        <v>24</v>
      </c>
      <c r="B1650">
        <v>424000</v>
      </c>
      <c r="D1650">
        <v>216000</v>
      </c>
      <c r="G1650" s="25">
        <v>44004</v>
      </c>
      <c r="H1650">
        <v>2020</v>
      </c>
      <c r="I1650" t="s">
        <v>47</v>
      </c>
    </row>
    <row r="1651" spans="1:9" x14ac:dyDescent="0.3">
      <c r="A1651" t="s">
        <v>21</v>
      </c>
      <c r="G1651" s="25">
        <v>44004</v>
      </c>
      <c r="H1651">
        <v>2020</v>
      </c>
      <c r="I1651" t="s">
        <v>47</v>
      </c>
    </row>
    <row r="1652" spans="1:9" x14ac:dyDescent="0.3">
      <c r="A1652" t="s">
        <v>18</v>
      </c>
      <c r="G1652" s="25">
        <v>44004</v>
      </c>
      <c r="H1652">
        <v>2020</v>
      </c>
      <c r="I1652" t="s">
        <v>47</v>
      </c>
    </row>
    <row r="1653" spans="1:9" x14ac:dyDescent="0.3">
      <c r="A1653" t="s">
        <v>16</v>
      </c>
      <c r="G1653" s="25">
        <v>44004</v>
      </c>
      <c r="H1653">
        <v>2020</v>
      </c>
      <c r="I1653" t="s">
        <v>47</v>
      </c>
    </row>
    <row r="1654" spans="1:9" x14ac:dyDescent="0.3">
      <c r="A1654" t="s">
        <v>20</v>
      </c>
      <c r="G1654" s="25">
        <v>44005</v>
      </c>
      <c r="H1654">
        <v>2020</v>
      </c>
      <c r="I1654" t="s">
        <v>47</v>
      </c>
    </row>
    <row r="1655" spans="1:9" x14ac:dyDescent="0.3">
      <c r="A1655" t="s">
        <v>37</v>
      </c>
      <c r="G1655" s="25">
        <v>44005</v>
      </c>
      <c r="H1655">
        <v>2020</v>
      </c>
      <c r="I1655" t="s">
        <v>47</v>
      </c>
    </row>
    <row r="1656" spans="1:9" x14ac:dyDescent="0.3">
      <c r="A1656" t="s">
        <v>17</v>
      </c>
      <c r="D1656">
        <v>108000</v>
      </c>
      <c r="G1656" s="25">
        <v>44005</v>
      </c>
      <c r="H1656">
        <v>2020</v>
      </c>
      <c r="I1656" t="s">
        <v>47</v>
      </c>
    </row>
    <row r="1657" spans="1:9" x14ac:dyDescent="0.3">
      <c r="A1657" t="s">
        <v>0</v>
      </c>
      <c r="B1657">
        <v>733500</v>
      </c>
      <c r="D1657">
        <v>108000</v>
      </c>
      <c r="G1657" s="25">
        <v>44005</v>
      </c>
      <c r="H1657">
        <v>2020</v>
      </c>
      <c r="I1657" t="s">
        <v>47</v>
      </c>
    </row>
    <row r="1658" spans="1:9" x14ac:dyDescent="0.3">
      <c r="A1658" t="s">
        <v>25</v>
      </c>
      <c r="G1658" s="25">
        <v>44005</v>
      </c>
      <c r="H1658">
        <v>2020</v>
      </c>
      <c r="I1658" t="s">
        <v>47</v>
      </c>
    </row>
    <row r="1659" spans="1:9" x14ac:dyDescent="0.3">
      <c r="A1659" t="s">
        <v>15</v>
      </c>
      <c r="G1659" s="25">
        <v>44005</v>
      </c>
      <c r="H1659">
        <v>2020</v>
      </c>
      <c r="I1659" t="s">
        <v>47</v>
      </c>
    </row>
    <row r="1660" spans="1:9" x14ac:dyDescent="0.3">
      <c r="A1660" t="s">
        <v>26</v>
      </c>
      <c r="G1660" s="25">
        <v>44005</v>
      </c>
      <c r="H1660">
        <v>2020</v>
      </c>
      <c r="I1660" t="s">
        <v>47</v>
      </c>
    </row>
    <row r="1661" spans="1:9" x14ac:dyDescent="0.3">
      <c r="A1661" t="s">
        <v>22</v>
      </c>
      <c r="G1661" s="25">
        <v>44005</v>
      </c>
      <c r="H1661">
        <v>2020</v>
      </c>
      <c r="I1661" t="s">
        <v>47</v>
      </c>
    </row>
    <row r="1662" spans="1:9" x14ac:dyDescent="0.3">
      <c r="A1662" t="s">
        <v>19</v>
      </c>
      <c r="G1662" s="25">
        <v>44005</v>
      </c>
      <c r="H1662">
        <v>2020</v>
      </c>
      <c r="I1662" t="s">
        <v>47</v>
      </c>
    </row>
    <row r="1663" spans="1:9" x14ac:dyDescent="0.3">
      <c r="A1663" t="s">
        <v>14</v>
      </c>
      <c r="B1663">
        <v>309500</v>
      </c>
      <c r="D1663">
        <v>108000</v>
      </c>
      <c r="G1663" s="25">
        <v>44005</v>
      </c>
      <c r="H1663">
        <v>2020</v>
      </c>
      <c r="I1663" t="s">
        <v>47</v>
      </c>
    </row>
    <row r="1664" spans="1:9" x14ac:dyDescent="0.3">
      <c r="A1664" t="s">
        <v>24</v>
      </c>
      <c r="B1664">
        <v>477000</v>
      </c>
      <c r="D1664">
        <v>99000</v>
      </c>
      <c r="G1664" s="25">
        <v>44005</v>
      </c>
      <c r="H1664">
        <v>2020</v>
      </c>
      <c r="I1664" t="s">
        <v>47</v>
      </c>
    </row>
    <row r="1665" spans="1:9" x14ac:dyDescent="0.3">
      <c r="A1665" t="s">
        <v>21</v>
      </c>
      <c r="G1665" s="25">
        <v>44005</v>
      </c>
      <c r="H1665">
        <v>2020</v>
      </c>
      <c r="I1665" t="s">
        <v>47</v>
      </c>
    </row>
    <row r="1666" spans="1:9" x14ac:dyDescent="0.3">
      <c r="A1666" t="s">
        <v>18</v>
      </c>
      <c r="G1666" s="25">
        <v>44005</v>
      </c>
      <c r="H1666">
        <v>2020</v>
      </c>
      <c r="I1666" t="s">
        <v>47</v>
      </c>
    </row>
    <row r="1667" spans="1:9" x14ac:dyDescent="0.3">
      <c r="A1667" t="s">
        <v>16</v>
      </c>
      <c r="G1667" s="25">
        <v>44005</v>
      </c>
      <c r="H1667">
        <v>2020</v>
      </c>
      <c r="I1667" t="s">
        <v>47</v>
      </c>
    </row>
    <row r="1668" spans="1:9" x14ac:dyDescent="0.3">
      <c r="A1668" t="s">
        <v>20</v>
      </c>
      <c r="G1668" s="25">
        <v>44006</v>
      </c>
      <c r="H1668">
        <v>2020</v>
      </c>
      <c r="I1668" t="s">
        <v>47</v>
      </c>
    </row>
    <row r="1669" spans="1:9" x14ac:dyDescent="0.3">
      <c r="A1669" t="s">
        <v>37</v>
      </c>
      <c r="G1669" s="25">
        <v>44006</v>
      </c>
      <c r="H1669">
        <v>2020</v>
      </c>
      <c r="I1669" t="s">
        <v>47</v>
      </c>
    </row>
    <row r="1670" spans="1:9" x14ac:dyDescent="0.3">
      <c r="A1670" t="s">
        <v>17</v>
      </c>
      <c r="D1670">
        <v>54000</v>
      </c>
      <c r="G1670" s="25">
        <v>44006</v>
      </c>
      <c r="H1670">
        <v>2020</v>
      </c>
      <c r="I1670" t="s">
        <v>47</v>
      </c>
    </row>
    <row r="1671" spans="1:9" x14ac:dyDescent="0.3">
      <c r="A1671" t="s">
        <v>0</v>
      </c>
      <c r="B1671">
        <v>901000</v>
      </c>
      <c r="D1671">
        <v>324000</v>
      </c>
      <c r="G1671" s="25">
        <v>44006</v>
      </c>
      <c r="H1671">
        <v>2020</v>
      </c>
      <c r="I1671" t="s">
        <v>47</v>
      </c>
    </row>
    <row r="1672" spans="1:9" x14ac:dyDescent="0.3">
      <c r="A1672" t="s">
        <v>25</v>
      </c>
      <c r="B1672">
        <v>270000</v>
      </c>
      <c r="G1672" s="25">
        <v>44006</v>
      </c>
      <c r="H1672">
        <v>2020</v>
      </c>
      <c r="I1672" t="s">
        <v>47</v>
      </c>
    </row>
    <row r="1673" spans="1:9" x14ac:dyDescent="0.3">
      <c r="A1673" t="s">
        <v>15</v>
      </c>
      <c r="G1673" s="25">
        <v>44006</v>
      </c>
      <c r="H1673">
        <v>2020</v>
      </c>
      <c r="I1673" t="s">
        <v>47</v>
      </c>
    </row>
    <row r="1674" spans="1:9" x14ac:dyDescent="0.3">
      <c r="A1674" t="s">
        <v>26</v>
      </c>
      <c r="C1674">
        <v>1387000</v>
      </c>
      <c r="G1674" s="25">
        <v>44006</v>
      </c>
      <c r="H1674">
        <v>2020</v>
      </c>
      <c r="I1674" t="s">
        <v>47</v>
      </c>
    </row>
    <row r="1675" spans="1:9" x14ac:dyDescent="0.3">
      <c r="A1675" t="s">
        <v>22</v>
      </c>
      <c r="G1675" s="25">
        <v>44006</v>
      </c>
      <c r="H1675">
        <v>2020</v>
      </c>
      <c r="I1675" t="s">
        <v>47</v>
      </c>
    </row>
    <row r="1676" spans="1:9" x14ac:dyDescent="0.3">
      <c r="A1676" t="s">
        <v>19</v>
      </c>
      <c r="G1676" s="25">
        <v>44006</v>
      </c>
      <c r="H1676">
        <v>2020</v>
      </c>
      <c r="I1676" t="s">
        <v>47</v>
      </c>
    </row>
    <row r="1677" spans="1:9" x14ac:dyDescent="0.3">
      <c r="A1677" t="s">
        <v>14</v>
      </c>
      <c r="G1677" s="25">
        <v>44006</v>
      </c>
      <c r="H1677">
        <v>2020</v>
      </c>
      <c r="I1677" t="s">
        <v>47</v>
      </c>
    </row>
    <row r="1678" spans="1:9" x14ac:dyDescent="0.3">
      <c r="A1678" t="s">
        <v>24</v>
      </c>
      <c r="B1678">
        <v>540000</v>
      </c>
      <c r="D1678">
        <v>216000</v>
      </c>
      <c r="G1678" s="25">
        <v>44006</v>
      </c>
      <c r="H1678">
        <v>2020</v>
      </c>
      <c r="I1678" t="s">
        <v>47</v>
      </c>
    </row>
    <row r="1679" spans="1:9" x14ac:dyDescent="0.3">
      <c r="A1679" t="s">
        <v>21</v>
      </c>
      <c r="G1679" s="25">
        <v>44006</v>
      </c>
      <c r="H1679">
        <v>2020</v>
      </c>
      <c r="I1679" t="s">
        <v>47</v>
      </c>
    </row>
    <row r="1680" spans="1:9" x14ac:dyDescent="0.3">
      <c r="A1680" t="s">
        <v>18</v>
      </c>
      <c r="G1680" s="25">
        <v>44006</v>
      </c>
      <c r="H1680">
        <v>2020</v>
      </c>
      <c r="I1680" t="s">
        <v>47</v>
      </c>
    </row>
    <row r="1681" spans="1:9" x14ac:dyDescent="0.3">
      <c r="A1681" t="s">
        <v>16</v>
      </c>
      <c r="G1681" s="25">
        <v>44006</v>
      </c>
      <c r="H1681">
        <v>2020</v>
      </c>
      <c r="I1681" t="s">
        <v>47</v>
      </c>
    </row>
    <row r="1682" spans="1:9" x14ac:dyDescent="0.3">
      <c r="A1682" t="s">
        <v>20</v>
      </c>
      <c r="G1682" s="25">
        <v>44007</v>
      </c>
      <c r="H1682">
        <v>2020</v>
      </c>
      <c r="I1682" t="s">
        <v>47</v>
      </c>
    </row>
    <row r="1683" spans="1:9" x14ac:dyDescent="0.3">
      <c r="A1683" t="s">
        <v>37</v>
      </c>
      <c r="G1683" s="25">
        <v>44007</v>
      </c>
      <c r="H1683">
        <v>2020</v>
      </c>
      <c r="I1683" t="s">
        <v>47</v>
      </c>
    </row>
    <row r="1684" spans="1:9" x14ac:dyDescent="0.3">
      <c r="A1684" t="s">
        <v>17</v>
      </c>
      <c r="D1684">
        <v>216000</v>
      </c>
      <c r="G1684" s="25">
        <v>44007</v>
      </c>
      <c r="H1684">
        <v>2020</v>
      </c>
      <c r="I1684" t="s">
        <v>47</v>
      </c>
    </row>
    <row r="1685" spans="1:9" x14ac:dyDescent="0.3">
      <c r="A1685" t="s">
        <v>0</v>
      </c>
      <c r="B1685">
        <v>486000</v>
      </c>
      <c r="D1685">
        <v>216000</v>
      </c>
      <c r="G1685" s="25">
        <v>44007</v>
      </c>
      <c r="H1685">
        <v>2020</v>
      </c>
      <c r="I1685" t="s">
        <v>47</v>
      </c>
    </row>
    <row r="1686" spans="1:9" x14ac:dyDescent="0.3">
      <c r="A1686" t="s">
        <v>25</v>
      </c>
      <c r="B1686">
        <v>162000</v>
      </c>
      <c r="G1686" s="25">
        <v>44007</v>
      </c>
      <c r="H1686">
        <v>2020</v>
      </c>
      <c r="I1686" t="s">
        <v>47</v>
      </c>
    </row>
    <row r="1687" spans="1:9" x14ac:dyDescent="0.3">
      <c r="A1687" t="s">
        <v>15</v>
      </c>
      <c r="G1687" s="25">
        <v>44007</v>
      </c>
      <c r="H1687">
        <v>2020</v>
      </c>
      <c r="I1687" t="s">
        <v>47</v>
      </c>
    </row>
    <row r="1688" spans="1:9" x14ac:dyDescent="0.3">
      <c r="A1688" t="s">
        <v>26</v>
      </c>
      <c r="B1688">
        <v>54000</v>
      </c>
      <c r="G1688" s="25">
        <v>44007</v>
      </c>
      <c r="H1688">
        <v>2020</v>
      </c>
      <c r="I1688" t="s">
        <v>47</v>
      </c>
    </row>
    <row r="1689" spans="1:9" x14ac:dyDescent="0.3">
      <c r="A1689" t="s">
        <v>22</v>
      </c>
      <c r="G1689" s="25">
        <v>44007</v>
      </c>
      <c r="H1689">
        <v>2020</v>
      </c>
      <c r="I1689" t="s">
        <v>47</v>
      </c>
    </row>
    <row r="1690" spans="1:9" x14ac:dyDescent="0.3">
      <c r="A1690" t="s">
        <v>19</v>
      </c>
      <c r="G1690" s="25">
        <v>44007</v>
      </c>
      <c r="H1690">
        <v>2020</v>
      </c>
      <c r="I1690" t="s">
        <v>47</v>
      </c>
    </row>
    <row r="1691" spans="1:9" x14ac:dyDescent="0.3">
      <c r="A1691" t="s">
        <v>14</v>
      </c>
      <c r="G1691" s="25">
        <v>44007</v>
      </c>
      <c r="H1691">
        <v>2020</v>
      </c>
      <c r="I1691" t="s">
        <v>47</v>
      </c>
    </row>
    <row r="1692" spans="1:9" x14ac:dyDescent="0.3">
      <c r="A1692" t="s">
        <v>24</v>
      </c>
      <c r="B1692">
        <v>153000</v>
      </c>
      <c r="D1692">
        <v>1130000</v>
      </c>
      <c r="G1692" s="25">
        <v>44007</v>
      </c>
      <c r="H1692">
        <v>2020</v>
      </c>
      <c r="I1692" t="s">
        <v>47</v>
      </c>
    </row>
    <row r="1693" spans="1:9" x14ac:dyDescent="0.3">
      <c r="A1693" t="s">
        <v>21</v>
      </c>
      <c r="G1693" s="25">
        <v>44007</v>
      </c>
      <c r="H1693">
        <v>2020</v>
      </c>
      <c r="I1693" t="s">
        <v>47</v>
      </c>
    </row>
    <row r="1694" spans="1:9" x14ac:dyDescent="0.3">
      <c r="A1694" t="s">
        <v>18</v>
      </c>
      <c r="G1694" s="25">
        <v>44007</v>
      </c>
      <c r="H1694">
        <v>2020</v>
      </c>
      <c r="I1694" t="s">
        <v>47</v>
      </c>
    </row>
    <row r="1695" spans="1:9" x14ac:dyDescent="0.3">
      <c r="A1695" t="s">
        <v>16</v>
      </c>
      <c r="G1695" s="25">
        <v>44007</v>
      </c>
      <c r="H1695">
        <v>2020</v>
      </c>
      <c r="I1695" t="s">
        <v>47</v>
      </c>
    </row>
    <row r="1696" spans="1:9" x14ac:dyDescent="0.3">
      <c r="A1696" t="s">
        <v>20</v>
      </c>
      <c r="G1696" s="25">
        <v>44008</v>
      </c>
      <c r="H1696">
        <v>2020</v>
      </c>
      <c r="I1696" t="s">
        <v>47</v>
      </c>
    </row>
    <row r="1697" spans="1:9" x14ac:dyDescent="0.3">
      <c r="A1697" t="s">
        <v>37</v>
      </c>
      <c r="G1697" s="25">
        <v>44008</v>
      </c>
      <c r="H1697">
        <v>2020</v>
      </c>
      <c r="I1697" t="s">
        <v>47</v>
      </c>
    </row>
    <row r="1698" spans="1:9" x14ac:dyDescent="0.3">
      <c r="A1698" t="s">
        <v>17</v>
      </c>
      <c r="D1698">
        <v>360000</v>
      </c>
      <c r="G1698" s="25">
        <v>44008</v>
      </c>
      <c r="H1698">
        <v>2020</v>
      </c>
      <c r="I1698" t="s">
        <v>47</v>
      </c>
    </row>
    <row r="1699" spans="1:9" x14ac:dyDescent="0.3">
      <c r="A1699" t="s">
        <v>0</v>
      </c>
      <c r="D1699">
        <v>162000</v>
      </c>
      <c r="G1699" s="25">
        <v>44008</v>
      </c>
      <c r="H1699">
        <v>2020</v>
      </c>
      <c r="I1699" t="s">
        <v>47</v>
      </c>
    </row>
    <row r="1700" spans="1:9" x14ac:dyDescent="0.3">
      <c r="A1700" t="s">
        <v>25</v>
      </c>
      <c r="D1700">
        <v>199000</v>
      </c>
      <c r="G1700" s="25">
        <v>44008</v>
      </c>
      <c r="H1700">
        <v>2020</v>
      </c>
      <c r="I1700" t="s">
        <v>47</v>
      </c>
    </row>
    <row r="1701" spans="1:9" x14ac:dyDescent="0.3">
      <c r="A1701" t="s">
        <v>15</v>
      </c>
      <c r="D1701">
        <v>54000</v>
      </c>
      <c r="G1701" s="25">
        <v>44008</v>
      </c>
      <c r="H1701">
        <v>2020</v>
      </c>
      <c r="I1701" t="s">
        <v>47</v>
      </c>
    </row>
    <row r="1702" spans="1:9" x14ac:dyDescent="0.3">
      <c r="A1702" t="s">
        <v>26</v>
      </c>
      <c r="G1702" s="25">
        <v>44008</v>
      </c>
      <c r="H1702">
        <v>2020</v>
      </c>
      <c r="I1702" t="s">
        <v>47</v>
      </c>
    </row>
    <row r="1703" spans="1:9" x14ac:dyDescent="0.3">
      <c r="A1703" t="s">
        <v>22</v>
      </c>
      <c r="G1703" s="25">
        <v>44008</v>
      </c>
      <c r="H1703">
        <v>2020</v>
      </c>
      <c r="I1703" t="s">
        <v>47</v>
      </c>
    </row>
    <row r="1704" spans="1:9" x14ac:dyDescent="0.3">
      <c r="A1704" t="s">
        <v>19</v>
      </c>
      <c r="G1704" s="25">
        <v>44008</v>
      </c>
      <c r="H1704">
        <v>2020</v>
      </c>
      <c r="I1704" t="s">
        <v>47</v>
      </c>
    </row>
    <row r="1705" spans="1:9" x14ac:dyDescent="0.3">
      <c r="A1705" t="s">
        <v>14</v>
      </c>
      <c r="G1705" s="25">
        <v>44008</v>
      </c>
      <c r="H1705">
        <v>2020</v>
      </c>
      <c r="I1705" t="s">
        <v>47</v>
      </c>
    </row>
    <row r="1706" spans="1:9" x14ac:dyDescent="0.3">
      <c r="A1706" t="s">
        <v>24</v>
      </c>
      <c r="B1706">
        <v>1180000</v>
      </c>
      <c r="D1706">
        <v>270000</v>
      </c>
      <c r="G1706" s="25">
        <v>44008</v>
      </c>
      <c r="H1706">
        <v>2020</v>
      </c>
      <c r="I1706" t="s">
        <v>47</v>
      </c>
    </row>
    <row r="1707" spans="1:9" x14ac:dyDescent="0.3">
      <c r="A1707" t="s">
        <v>21</v>
      </c>
      <c r="G1707" s="25">
        <v>44008</v>
      </c>
      <c r="H1707">
        <v>2020</v>
      </c>
      <c r="I1707" t="s">
        <v>47</v>
      </c>
    </row>
    <row r="1708" spans="1:9" x14ac:dyDescent="0.3">
      <c r="A1708" t="s">
        <v>18</v>
      </c>
      <c r="D1708">
        <v>50000</v>
      </c>
      <c r="G1708" s="25">
        <v>44008</v>
      </c>
      <c r="H1708">
        <v>2020</v>
      </c>
      <c r="I1708" t="s">
        <v>47</v>
      </c>
    </row>
    <row r="1709" spans="1:9" x14ac:dyDescent="0.3">
      <c r="A1709" t="s">
        <v>16</v>
      </c>
      <c r="G1709" s="25">
        <v>44008</v>
      </c>
      <c r="H1709">
        <v>2020</v>
      </c>
      <c r="I1709" t="s">
        <v>47</v>
      </c>
    </row>
    <row r="1710" spans="1:9" x14ac:dyDescent="0.3">
      <c r="A1710" t="s">
        <v>20</v>
      </c>
      <c r="G1710" s="25">
        <v>44011</v>
      </c>
      <c r="H1710">
        <v>2020</v>
      </c>
      <c r="I1710" t="s">
        <v>47</v>
      </c>
    </row>
    <row r="1711" spans="1:9" x14ac:dyDescent="0.3">
      <c r="A1711" t="s">
        <v>37</v>
      </c>
      <c r="G1711" s="25">
        <v>44011</v>
      </c>
      <c r="H1711">
        <v>2020</v>
      </c>
      <c r="I1711" t="s">
        <v>47</v>
      </c>
    </row>
    <row r="1712" spans="1:9" x14ac:dyDescent="0.3">
      <c r="A1712" t="s">
        <v>17</v>
      </c>
      <c r="D1712">
        <v>54000</v>
      </c>
      <c r="G1712" s="25">
        <v>44011</v>
      </c>
      <c r="H1712">
        <v>2020</v>
      </c>
      <c r="I1712" t="s">
        <v>47</v>
      </c>
    </row>
    <row r="1713" spans="1:9" x14ac:dyDescent="0.3">
      <c r="A1713" t="s">
        <v>0</v>
      </c>
      <c r="C1713">
        <v>644000</v>
      </c>
      <c r="D1713">
        <v>162000</v>
      </c>
      <c r="E1713">
        <v>270000</v>
      </c>
      <c r="G1713" s="25">
        <v>44011</v>
      </c>
      <c r="H1713">
        <v>2020</v>
      </c>
      <c r="I1713" t="s">
        <v>47</v>
      </c>
    </row>
    <row r="1714" spans="1:9" x14ac:dyDescent="0.3">
      <c r="A1714" t="s">
        <v>25</v>
      </c>
      <c r="E1714">
        <v>162000</v>
      </c>
      <c r="G1714" s="25">
        <v>44011</v>
      </c>
      <c r="H1714">
        <v>2020</v>
      </c>
      <c r="I1714" t="s">
        <v>47</v>
      </c>
    </row>
    <row r="1715" spans="1:9" x14ac:dyDescent="0.3">
      <c r="A1715" t="s">
        <v>15</v>
      </c>
      <c r="D1715">
        <v>108000</v>
      </c>
      <c r="G1715" s="25">
        <v>44011</v>
      </c>
      <c r="H1715">
        <v>2020</v>
      </c>
      <c r="I1715" t="s">
        <v>47</v>
      </c>
    </row>
    <row r="1716" spans="1:9" x14ac:dyDescent="0.3">
      <c r="A1716" t="s">
        <v>26</v>
      </c>
      <c r="G1716" s="25">
        <v>44011</v>
      </c>
      <c r="H1716">
        <v>2020</v>
      </c>
      <c r="I1716" t="s">
        <v>47</v>
      </c>
    </row>
    <row r="1717" spans="1:9" x14ac:dyDescent="0.3">
      <c r="A1717" t="s">
        <v>22</v>
      </c>
      <c r="G1717" s="25">
        <v>44011</v>
      </c>
      <c r="H1717">
        <v>2020</v>
      </c>
      <c r="I1717" t="s">
        <v>47</v>
      </c>
    </row>
    <row r="1718" spans="1:9" x14ac:dyDescent="0.3">
      <c r="A1718" t="s">
        <v>19</v>
      </c>
      <c r="G1718" s="25">
        <v>44011</v>
      </c>
      <c r="H1718">
        <v>2020</v>
      </c>
      <c r="I1718" t="s">
        <v>47</v>
      </c>
    </row>
    <row r="1719" spans="1:9" x14ac:dyDescent="0.3">
      <c r="A1719" t="s">
        <v>14</v>
      </c>
      <c r="G1719" s="25">
        <v>44011</v>
      </c>
      <c r="H1719">
        <v>2020</v>
      </c>
      <c r="I1719" t="s">
        <v>47</v>
      </c>
    </row>
    <row r="1720" spans="1:9" x14ac:dyDescent="0.3">
      <c r="A1720" t="s">
        <v>24</v>
      </c>
      <c r="D1720">
        <v>162000</v>
      </c>
      <c r="G1720" s="25">
        <v>44011</v>
      </c>
      <c r="H1720">
        <v>2020</v>
      </c>
      <c r="I1720" t="s">
        <v>47</v>
      </c>
    </row>
    <row r="1721" spans="1:9" x14ac:dyDescent="0.3">
      <c r="A1721" t="s">
        <v>21</v>
      </c>
      <c r="G1721" s="25">
        <v>44011</v>
      </c>
      <c r="H1721">
        <v>2020</v>
      </c>
      <c r="I1721" t="s">
        <v>47</v>
      </c>
    </row>
    <row r="1722" spans="1:9" x14ac:dyDescent="0.3">
      <c r="A1722" t="s">
        <v>18</v>
      </c>
      <c r="G1722" s="25">
        <v>44011</v>
      </c>
      <c r="H1722">
        <v>2020</v>
      </c>
      <c r="I1722" t="s">
        <v>47</v>
      </c>
    </row>
    <row r="1723" spans="1:9" x14ac:dyDescent="0.3">
      <c r="A1723" t="s">
        <v>16</v>
      </c>
      <c r="G1723" s="25">
        <v>44011</v>
      </c>
      <c r="H1723">
        <v>2020</v>
      </c>
      <c r="I1723" t="s">
        <v>47</v>
      </c>
    </row>
    <row r="1724" spans="1:9" x14ac:dyDescent="0.3">
      <c r="A1724" t="s">
        <v>20</v>
      </c>
      <c r="G1724" s="25">
        <v>44012</v>
      </c>
      <c r="H1724">
        <v>2020</v>
      </c>
      <c r="I1724" t="s">
        <v>47</v>
      </c>
    </row>
    <row r="1725" spans="1:9" x14ac:dyDescent="0.3">
      <c r="A1725" t="s">
        <v>37</v>
      </c>
      <c r="G1725" s="25">
        <v>44012</v>
      </c>
      <c r="H1725">
        <v>2020</v>
      </c>
      <c r="I1725" t="s">
        <v>47</v>
      </c>
    </row>
    <row r="1726" spans="1:9" x14ac:dyDescent="0.3">
      <c r="A1726" t="s">
        <v>17</v>
      </c>
      <c r="G1726" s="25">
        <v>44012</v>
      </c>
      <c r="H1726">
        <v>2020</v>
      </c>
      <c r="I1726" t="s">
        <v>47</v>
      </c>
    </row>
    <row r="1727" spans="1:9" x14ac:dyDescent="0.3">
      <c r="A1727" t="s">
        <v>0</v>
      </c>
      <c r="C1727">
        <v>573000</v>
      </c>
      <c r="E1727">
        <v>477000</v>
      </c>
      <c r="G1727" s="25">
        <v>44012</v>
      </c>
      <c r="H1727">
        <v>2020</v>
      </c>
      <c r="I1727" t="s">
        <v>47</v>
      </c>
    </row>
    <row r="1728" spans="1:9" x14ac:dyDescent="0.3">
      <c r="A1728" t="s">
        <v>25</v>
      </c>
      <c r="E1728">
        <v>216000</v>
      </c>
      <c r="G1728" s="25">
        <v>44012</v>
      </c>
      <c r="H1728">
        <v>2020</v>
      </c>
      <c r="I1728" t="s">
        <v>47</v>
      </c>
    </row>
    <row r="1729" spans="1:9" x14ac:dyDescent="0.3">
      <c r="A1729" t="s">
        <v>15</v>
      </c>
      <c r="G1729" s="25">
        <v>44012</v>
      </c>
      <c r="H1729">
        <v>2020</v>
      </c>
      <c r="I1729" t="s">
        <v>47</v>
      </c>
    </row>
    <row r="1730" spans="1:9" x14ac:dyDescent="0.3">
      <c r="A1730" t="s">
        <v>26</v>
      </c>
      <c r="G1730" s="25">
        <v>44012</v>
      </c>
      <c r="H1730">
        <v>2020</v>
      </c>
      <c r="I1730" t="s">
        <v>47</v>
      </c>
    </row>
    <row r="1731" spans="1:9" x14ac:dyDescent="0.3">
      <c r="A1731" t="s">
        <v>22</v>
      </c>
      <c r="G1731" s="25">
        <v>44012</v>
      </c>
      <c r="H1731">
        <v>2020</v>
      </c>
      <c r="I1731" t="s">
        <v>47</v>
      </c>
    </row>
    <row r="1732" spans="1:9" x14ac:dyDescent="0.3">
      <c r="A1732" t="s">
        <v>19</v>
      </c>
      <c r="G1732" s="25">
        <v>44012</v>
      </c>
      <c r="H1732">
        <v>2020</v>
      </c>
      <c r="I1732" t="s">
        <v>47</v>
      </c>
    </row>
    <row r="1733" spans="1:9" x14ac:dyDescent="0.3">
      <c r="A1733" t="s">
        <v>14</v>
      </c>
      <c r="B1733">
        <v>536000</v>
      </c>
      <c r="G1733" s="25">
        <v>44012</v>
      </c>
      <c r="H1733">
        <v>2020</v>
      </c>
      <c r="I1733" t="s">
        <v>47</v>
      </c>
    </row>
    <row r="1734" spans="1:9" x14ac:dyDescent="0.3">
      <c r="A1734" t="s">
        <v>24</v>
      </c>
      <c r="G1734" s="25">
        <v>44012</v>
      </c>
      <c r="H1734">
        <v>2020</v>
      </c>
      <c r="I1734" t="s">
        <v>47</v>
      </c>
    </row>
    <row r="1735" spans="1:9" x14ac:dyDescent="0.3">
      <c r="A1735" t="s">
        <v>21</v>
      </c>
      <c r="G1735" s="25">
        <v>44012</v>
      </c>
      <c r="H1735">
        <v>2020</v>
      </c>
      <c r="I1735" t="s">
        <v>47</v>
      </c>
    </row>
    <row r="1736" spans="1:9" x14ac:dyDescent="0.3">
      <c r="A1736" t="s">
        <v>18</v>
      </c>
      <c r="G1736" s="25">
        <v>44012</v>
      </c>
      <c r="H1736">
        <v>2020</v>
      </c>
      <c r="I1736" t="s">
        <v>47</v>
      </c>
    </row>
    <row r="1737" spans="1:9" x14ac:dyDescent="0.3">
      <c r="A1737" t="s">
        <v>16</v>
      </c>
      <c r="G1737" s="25">
        <v>44012</v>
      </c>
      <c r="H1737">
        <v>2020</v>
      </c>
      <c r="I1737" t="s">
        <v>47</v>
      </c>
    </row>
    <row r="1738" spans="1:9" x14ac:dyDescent="0.3">
      <c r="A1738" t="s">
        <v>20</v>
      </c>
      <c r="G1738" s="25">
        <v>44014</v>
      </c>
      <c r="H1738">
        <v>2020</v>
      </c>
      <c r="I1738" t="s">
        <v>48</v>
      </c>
    </row>
    <row r="1739" spans="1:9" x14ac:dyDescent="0.3">
      <c r="A1739" t="s">
        <v>17</v>
      </c>
      <c r="B1739">
        <v>270000</v>
      </c>
      <c r="C1739">
        <v>108000</v>
      </c>
      <c r="D1739">
        <v>162000</v>
      </c>
      <c r="G1739" s="25">
        <v>44014</v>
      </c>
      <c r="H1739">
        <v>2020</v>
      </c>
      <c r="I1739" t="s">
        <v>48</v>
      </c>
    </row>
    <row r="1740" spans="1:9" x14ac:dyDescent="0.3">
      <c r="A1740" t="s">
        <v>0</v>
      </c>
      <c r="C1740">
        <v>54000</v>
      </c>
      <c r="E1740">
        <v>108000</v>
      </c>
      <c r="G1740" s="25">
        <v>44014</v>
      </c>
      <c r="H1740">
        <v>2020</v>
      </c>
      <c r="I1740" t="s">
        <v>48</v>
      </c>
    </row>
    <row r="1741" spans="1:9" x14ac:dyDescent="0.3">
      <c r="A1741" t="s">
        <v>25</v>
      </c>
      <c r="E1741">
        <v>108000</v>
      </c>
      <c r="G1741" s="25">
        <v>44014</v>
      </c>
      <c r="H1741">
        <v>2020</v>
      </c>
      <c r="I1741" t="s">
        <v>48</v>
      </c>
    </row>
    <row r="1742" spans="1:9" x14ac:dyDescent="0.3">
      <c r="A1742" t="s">
        <v>15</v>
      </c>
      <c r="C1742">
        <v>369000</v>
      </c>
      <c r="E1742">
        <v>108000</v>
      </c>
      <c r="G1742" s="25">
        <v>44014</v>
      </c>
      <c r="H1742">
        <v>2020</v>
      </c>
      <c r="I1742" t="s">
        <v>48</v>
      </c>
    </row>
    <row r="1743" spans="1:9" x14ac:dyDescent="0.3">
      <c r="A1743" t="s">
        <v>26</v>
      </c>
      <c r="G1743" s="25">
        <v>44014</v>
      </c>
      <c r="H1743">
        <v>2020</v>
      </c>
      <c r="I1743" t="s">
        <v>48</v>
      </c>
    </row>
    <row r="1744" spans="1:9" x14ac:dyDescent="0.3">
      <c r="A1744" t="s">
        <v>22</v>
      </c>
      <c r="G1744" s="25">
        <v>44014</v>
      </c>
      <c r="H1744">
        <v>2020</v>
      </c>
      <c r="I1744" t="s">
        <v>48</v>
      </c>
    </row>
    <row r="1745" spans="1:9" x14ac:dyDescent="0.3">
      <c r="A1745" t="s">
        <v>19</v>
      </c>
      <c r="B1745">
        <v>324000</v>
      </c>
      <c r="C1745">
        <v>54000</v>
      </c>
      <c r="D1745">
        <v>216000</v>
      </c>
      <c r="G1745" s="25">
        <v>44014</v>
      </c>
      <c r="H1745">
        <v>2020</v>
      </c>
      <c r="I1745" t="s">
        <v>48</v>
      </c>
    </row>
    <row r="1746" spans="1:9" x14ac:dyDescent="0.3">
      <c r="A1746" t="s">
        <v>14</v>
      </c>
      <c r="B1746">
        <v>955000</v>
      </c>
      <c r="C1746">
        <v>427500</v>
      </c>
      <c r="D1746">
        <v>486000</v>
      </c>
      <c r="E1746">
        <v>108000</v>
      </c>
      <c r="G1746" s="25">
        <v>44014</v>
      </c>
      <c r="H1746">
        <v>2020</v>
      </c>
      <c r="I1746" t="s">
        <v>48</v>
      </c>
    </row>
    <row r="1747" spans="1:9" x14ac:dyDescent="0.3">
      <c r="A1747" t="s">
        <v>24</v>
      </c>
      <c r="G1747" s="25">
        <v>44014</v>
      </c>
      <c r="H1747">
        <v>2020</v>
      </c>
      <c r="I1747" t="s">
        <v>48</v>
      </c>
    </row>
    <row r="1748" spans="1:9" x14ac:dyDescent="0.3">
      <c r="A1748" t="s">
        <v>21</v>
      </c>
      <c r="G1748" s="25">
        <v>44014</v>
      </c>
      <c r="H1748">
        <v>2020</v>
      </c>
      <c r="I1748" t="s">
        <v>48</v>
      </c>
    </row>
    <row r="1749" spans="1:9" x14ac:dyDescent="0.3">
      <c r="A1749" t="s">
        <v>18</v>
      </c>
      <c r="G1749" s="25">
        <v>44014</v>
      </c>
      <c r="H1749">
        <v>2020</v>
      </c>
      <c r="I1749" t="s">
        <v>48</v>
      </c>
    </row>
    <row r="1750" spans="1:9" x14ac:dyDescent="0.3">
      <c r="A1750" t="s">
        <v>16</v>
      </c>
      <c r="G1750" s="25">
        <v>44014</v>
      </c>
      <c r="H1750">
        <v>2020</v>
      </c>
      <c r="I1750" t="s">
        <v>48</v>
      </c>
    </row>
    <row r="1751" spans="1:9" x14ac:dyDescent="0.3">
      <c r="A1751" t="s">
        <v>20</v>
      </c>
      <c r="G1751" s="25">
        <v>44015</v>
      </c>
      <c r="H1751">
        <v>2020</v>
      </c>
      <c r="I1751" t="s">
        <v>48</v>
      </c>
    </row>
    <row r="1752" spans="1:9" x14ac:dyDescent="0.3">
      <c r="A1752" t="s">
        <v>17</v>
      </c>
      <c r="B1752">
        <v>320000</v>
      </c>
      <c r="C1752">
        <v>293000</v>
      </c>
      <c r="D1752">
        <v>261000</v>
      </c>
      <c r="E1752">
        <v>54000</v>
      </c>
      <c r="G1752" s="25">
        <v>44015</v>
      </c>
      <c r="H1752">
        <v>2020</v>
      </c>
      <c r="I1752" t="s">
        <v>48</v>
      </c>
    </row>
    <row r="1753" spans="1:9" x14ac:dyDescent="0.3">
      <c r="A1753" t="s">
        <v>0</v>
      </c>
      <c r="E1753">
        <v>270000</v>
      </c>
      <c r="G1753" s="25">
        <v>44015</v>
      </c>
      <c r="H1753">
        <v>2020</v>
      </c>
      <c r="I1753" t="s">
        <v>48</v>
      </c>
    </row>
    <row r="1754" spans="1:9" x14ac:dyDescent="0.3">
      <c r="A1754" t="s">
        <v>25</v>
      </c>
      <c r="E1754">
        <v>50000</v>
      </c>
      <c r="G1754" s="25">
        <v>44015</v>
      </c>
      <c r="H1754">
        <v>2020</v>
      </c>
      <c r="I1754" t="s">
        <v>48</v>
      </c>
    </row>
    <row r="1755" spans="1:9" x14ac:dyDescent="0.3">
      <c r="A1755" t="s">
        <v>15</v>
      </c>
      <c r="B1755">
        <v>54000</v>
      </c>
      <c r="C1755">
        <v>247500</v>
      </c>
      <c r="E1755">
        <v>50000</v>
      </c>
      <c r="G1755" s="25">
        <v>44015</v>
      </c>
      <c r="H1755">
        <v>2020</v>
      </c>
      <c r="I1755" t="s">
        <v>48</v>
      </c>
    </row>
    <row r="1756" spans="1:9" x14ac:dyDescent="0.3">
      <c r="A1756" t="s">
        <v>26</v>
      </c>
      <c r="G1756" s="25">
        <v>44015</v>
      </c>
      <c r="H1756">
        <v>2020</v>
      </c>
      <c r="I1756" t="s">
        <v>48</v>
      </c>
    </row>
    <row r="1757" spans="1:9" x14ac:dyDescent="0.3">
      <c r="A1757" t="s">
        <v>22</v>
      </c>
      <c r="G1757" s="25">
        <v>44015</v>
      </c>
      <c r="H1757">
        <v>2020</v>
      </c>
      <c r="I1757" t="s">
        <v>48</v>
      </c>
    </row>
    <row r="1758" spans="1:9" x14ac:dyDescent="0.3">
      <c r="A1758" t="s">
        <v>19</v>
      </c>
      <c r="B1758">
        <v>585000</v>
      </c>
      <c r="D1758">
        <v>153000</v>
      </c>
      <c r="G1758" s="25">
        <v>44015</v>
      </c>
      <c r="H1758">
        <v>2020</v>
      </c>
      <c r="I1758" t="s">
        <v>48</v>
      </c>
    </row>
    <row r="1759" spans="1:9" x14ac:dyDescent="0.3">
      <c r="A1759" t="s">
        <v>14</v>
      </c>
      <c r="B1759">
        <v>423000</v>
      </c>
      <c r="C1759">
        <v>311000</v>
      </c>
      <c r="D1759">
        <v>162000</v>
      </c>
      <c r="E1759">
        <v>54000</v>
      </c>
      <c r="G1759" s="25">
        <v>44015</v>
      </c>
      <c r="H1759">
        <v>2020</v>
      </c>
      <c r="I1759" t="s">
        <v>48</v>
      </c>
    </row>
    <row r="1760" spans="1:9" x14ac:dyDescent="0.3">
      <c r="A1760" t="s">
        <v>24</v>
      </c>
      <c r="G1760" s="25">
        <v>44015</v>
      </c>
      <c r="H1760">
        <v>2020</v>
      </c>
      <c r="I1760" t="s">
        <v>48</v>
      </c>
    </row>
    <row r="1761" spans="1:9" x14ac:dyDescent="0.3">
      <c r="A1761" t="s">
        <v>21</v>
      </c>
      <c r="G1761" s="25">
        <v>44015</v>
      </c>
      <c r="H1761">
        <v>2020</v>
      </c>
      <c r="I1761" t="s">
        <v>48</v>
      </c>
    </row>
    <row r="1762" spans="1:9" x14ac:dyDescent="0.3">
      <c r="A1762" t="s">
        <v>18</v>
      </c>
      <c r="G1762" s="25">
        <v>44015</v>
      </c>
      <c r="H1762">
        <v>2020</v>
      </c>
      <c r="I1762" t="s">
        <v>48</v>
      </c>
    </row>
    <row r="1763" spans="1:9" x14ac:dyDescent="0.3">
      <c r="A1763" t="s">
        <v>16</v>
      </c>
      <c r="G1763" s="25">
        <v>44015</v>
      </c>
      <c r="H1763">
        <v>2020</v>
      </c>
      <c r="I1763" t="s">
        <v>48</v>
      </c>
    </row>
    <row r="1764" spans="1:9" x14ac:dyDescent="0.3">
      <c r="A1764" t="s">
        <v>20</v>
      </c>
      <c r="G1764" s="25">
        <v>44018</v>
      </c>
      <c r="H1764">
        <v>2020</v>
      </c>
      <c r="I1764" t="s">
        <v>48</v>
      </c>
    </row>
    <row r="1765" spans="1:9" x14ac:dyDescent="0.3">
      <c r="A1765" t="s">
        <v>17</v>
      </c>
      <c r="B1765">
        <v>428000</v>
      </c>
      <c r="C1765">
        <v>362000</v>
      </c>
      <c r="D1765">
        <v>270000</v>
      </c>
      <c r="E1765">
        <v>54000</v>
      </c>
      <c r="G1765" s="25">
        <v>44018</v>
      </c>
      <c r="H1765">
        <v>2020</v>
      </c>
      <c r="I1765" t="s">
        <v>48</v>
      </c>
    </row>
    <row r="1766" spans="1:9" x14ac:dyDescent="0.3">
      <c r="A1766" t="s">
        <v>0</v>
      </c>
      <c r="E1766">
        <v>162000</v>
      </c>
      <c r="G1766" s="25">
        <v>44018</v>
      </c>
      <c r="H1766">
        <v>2020</v>
      </c>
      <c r="I1766" t="s">
        <v>48</v>
      </c>
    </row>
    <row r="1767" spans="1:9" x14ac:dyDescent="0.3">
      <c r="A1767" t="s">
        <v>25</v>
      </c>
      <c r="G1767" s="25">
        <v>44018</v>
      </c>
      <c r="H1767">
        <v>2020</v>
      </c>
      <c r="I1767" t="s">
        <v>48</v>
      </c>
    </row>
    <row r="1768" spans="1:9" x14ac:dyDescent="0.3">
      <c r="A1768" t="s">
        <v>15</v>
      </c>
      <c r="C1768">
        <v>265500</v>
      </c>
      <c r="G1768" s="25">
        <v>44018</v>
      </c>
      <c r="H1768">
        <v>2020</v>
      </c>
      <c r="I1768" t="s">
        <v>48</v>
      </c>
    </row>
    <row r="1769" spans="1:9" x14ac:dyDescent="0.3">
      <c r="A1769" t="s">
        <v>26</v>
      </c>
      <c r="B1769">
        <v>54000</v>
      </c>
      <c r="G1769" s="25">
        <v>44018</v>
      </c>
      <c r="H1769">
        <v>2020</v>
      </c>
      <c r="I1769" t="s">
        <v>48</v>
      </c>
    </row>
    <row r="1770" spans="1:9" x14ac:dyDescent="0.3">
      <c r="A1770" t="s">
        <v>22</v>
      </c>
      <c r="G1770" s="25">
        <v>44018</v>
      </c>
      <c r="H1770">
        <v>2020</v>
      </c>
      <c r="I1770" t="s">
        <v>48</v>
      </c>
    </row>
    <row r="1771" spans="1:9" x14ac:dyDescent="0.3">
      <c r="A1771" t="s">
        <v>19</v>
      </c>
      <c r="B1771">
        <v>482000</v>
      </c>
      <c r="D1771">
        <v>378000</v>
      </c>
      <c r="G1771" s="25">
        <v>44018</v>
      </c>
      <c r="H1771">
        <v>2020</v>
      </c>
      <c r="I1771" t="s">
        <v>48</v>
      </c>
    </row>
    <row r="1772" spans="1:9" x14ac:dyDescent="0.3">
      <c r="A1772" t="s">
        <v>14</v>
      </c>
      <c r="B1772">
        <v>324000</v>
      </c>
      <c r="C1772">
        <v>370000</v>
      </c>
      <c r="D1772">
        <v>209000</v>
      </c>
      <c r="E1772">
        <v>54000</v>
      </c>
      <c r="G1772" s="25">
        <v>44018</v>
      </c>
      <c r="H1772">
        <v>2020</v>
      </c>
      <c r="I1772" t="s">
        <v>48</v>
      </c>
    </row>
    <row r="1773" spans="1:9" x14ac:dyDescent="0.3">
      <c r="A1773" t="s">
        <v>24</v>
      </c>
      <c r="G1773" s="25">
        <v>44018</v>
      </c>
      <c r="H1773">
        <v>2020</v>
      </c>
      <c r="I1773" t="s">
        <v>48</v>
      </c>
    </row>
    <row r="1774" spans="1:9" x14ac:dyDescent="0.3">
      <c r="A1774" t="s">
        <v>21</v>
      </c>
      <c r="G1774" s="25">
        <v>44018</v>
      </c>
      <c r="H1774">
        <v>2020</v>
      </c>
      <c r="I1774" t="s">
        <v>48</v>
      </c>
    </row>
    <row r="1775" spans="1:9" x14ac:dyDescent="0.3">
      <c r="A1775" t="s">
        <v>18</v>
      </c>
      <c r="G1775" s="25">
        <v>44018</v>
      </c>
      <c r="H1775">
        <v>2020</v>
      </c>
      <c r="I1775" t="s">
        <v>48</v>
      </c>
    </row>
    <row r="1776" spans="1:9" x14ac:dyDescent="0.3">
      <c r="A1776" t="s">
        <v>16</v>
      </c>
      <c r="G1776" s="25">
        <v>44018</v>
      </c>
      <c r="H1776">
        <v>2020</v>
      </c>
      <c r="I1776" t="s">
        <v>48</v>
      </c>
    </row>
    <row r="1777" spans="1:9" x14ac:dyDescent="0.3">
      <c r="A1777" t="s">
        <v>20</v>
      </c>
      <c r="G1777" s="25">
        <v>44019</v>
      </c>
      <c r="H1777">
        <v>2020</v>
      </c>
      <c r="I1777" t="s">
        <v>48</v>
      </c>
    </row>
    <row r="1778" spans="1:9" x14ac:dyDescent="0.3">
      <c r="A1778" t="s">
        <v>17</v>
      </c>
      <c r="B1778">
        <v>735500</v>
      </c>
      <c r="C1778">
        <v>162000</v>
      </c>
      <c r="D1778">
        <v>324000</v>
      </c>
      <c r="E1778">
        <v>162000</v>
      </c>
      <c r="G1778" s="25">
        <v>44019</v>
      </c>
      <c r="H1778">
        <v>2020</v>
      </c>
      <c r="I1778" t="s">
        <v>48</v>
      </c>
    </row>
    <row r="1779" spans="1:9" x14ac:dyDescent="0.3">
      <c r="A1779" t="s">
        <v>0</v>
      </c>
      <c r="E1779">
        <v>270000</v>
      </c>
      <c r="G1779" s="25">
        <v>44019</v>
      </c>
      <c r="H1779">
        <v>2020</v>
      </c>
      <c r="I1779" t="s">
        <v>48</v>
      </c>
    </row>
    <row r="1780" spans="1:9" x14ac:dyDescent="0.3">
      <c r="A1780" t="s">
        <v>25</v>
      </c>
      <c r="G1780" s="25">
        <v>44019</v>
      </c>
      <c r="H1780">
        <v>2020</v>
      </c>
      <c r="I1780" t="s">
        <v>48</v>
      </c>
    </row>
    <row r="1781" spans="1:9" x14ac:dyDescent="0.3">
      <c r="A1781" t="s">
        <v>15</v>
      </c>
      <c r="C1781">
        <v>311000</v>
      </c>
      <c r="E1781">
        <v>50000</v>
      </c>
      <c r="G1781" s="25">
        <v>44019</v>
      </c>
      <c r="H1781">
        <v>2020</v>
      </c>
      <c r="I1781" t="s">
        <v>48</v>
      </c>
    </row>
    <row r="1782" spans="1:9" x14ac:dyDescent="0.3">
      <c r="A1782" t="s">
        <v>26</v>
      </c>
      <c r="G1782" s="25">
        <v>44019</v>
      </c>
      <c r="H1782">
        <v>2020</v>
      </c>
      <c r="I1782" t="s">
        <v>48</v>
      </c>
    </row>
    <row r="1783" spans="1:9" x14ac:dyDescent="0.3">
      <c r="A1783" t="s">
        <v>22</v>
      </c>
      <c r="G1783" s="25">
        <v>44019</v>
      </c>
      <c r="H1783">
        <v>2020</v>
      </c>
      <c r="I1783" t="s">
        <v>48</v>
      </c>
    </row>
    <row r="1784" spans="1:9" x14ac:dyDescent="0.3">
      <c r="A1784" t="s">
        <v>19</v>
      </c>
      <c r="B1784">
        <v>377000</v>
      </c>
      <c r="D1784">
        <v>162000</v>
      </c>
      <c r="G1784" s="25">
        <v>44019</v>
      </c>
      <c r="H1784">
        <v>2020</v>
      </c>
      <c r="I1784" t="s">
        <v>48</v>
      </c>
    </row>
    <row r="1785" spans="1:9" x14ac:dyDescent="0.3">
      <c r="A1785" t="s">
        <v>14</v>
      </c>
      <c r="B1785">
        <v>486000</v>
      </c>
      <c r="C1785">
        <v>316000</v>
      </c>
      <c r="D1785">
        <v>378000</v>
      </c>
      <c r="E1785">
        <v>108000</v>
      </c>
      <c r="G1785" s="25">
        <v>44019</v>
      </c>
      <c r="H1785">
        <v>2020</v>
      </c>
      <c r="I1785" t="s">
        <v>48</v>
      </c>
    </row>
    <row r="1786" spans="1:9" x14ac:dyDescent="0.3">
      <c r="A1786" t="s">
        <v>24</v>
      </c>
      <c r="G1786" s="25">
        <v>44019</v>
      </c>
      <c r="H1786">
        <v>2020</v>
      </c>
      <c r="I1786" t="s">
        <v>48</v>
      </c>
    </row>
    <row r="1787" spans="1:9" x14ac:dyDescent="0.3">
      <c r="A1787" t="s">
        <v>21</v>
      </c>
      <c r="G1787" s="25">
        <v>44019</v>
      </c>
      <c r="H1787">
        <v>2020</v>
      </c>
      <c r="I1787" t="s">
        <v>48</v>
      </c>
    </row>
    <row r="1788" spans="1:9" x14ac:dyDescent="0.3">
      <c r="A1788" t="s">
        <v>18</v>
      </c>
      <c r="G1788" s="25">
        <v>44019</v>
      </c>
      <c r="H1788">
        <v>2020</v>
      </c>
      <c r="I1788" t="s">
        <v>48</v>
      </c>
    </row>
    <row r="1789" spans="1:9" x14ac:dyDescent="0.3">
      <c r="A1789" t="s">
        <v>16</v>
      </c>
      <c r="G1789" s="25">
        <v>44019</v>
      </c>
      <c r="H1789">
        <v>2020</v>
      </c>
      <c r="I1789" t="s">
        <v>48</v>
      </c>
    </row>
    <row r="1790" spans="1:9" x14ac:dyDescent="0.3">
      <c r="A1790" t="s">
        <v>20</v>
      </c>
      <c r="G1790" s="25">
        <v>44020</v>
      </c>
      <c r="H1790">
        <v>2020</v>
      </c>
      <c r="I1790" t="s">
        <v>48</v>
      </c>
    </row>
    <row r="1791" spans="1:9" x14ac:dyDescent="0.3">
      <c r="A1791" t="s">
        <v>17</v>
      </c>
      <c r="B1791">
        <v>702000</v>
      </c>
      <c r="C1791">
        <v>99000</v>
      </c>
      <c r="D1791">
        <v>376000</v>
      </c>
      <c r="E1791">
        <v>108000</v>
      </c>
      <c r="G1791" s="25">
        <v>44020</v>
      </c>
      <c r="H1791">
        <v>2020</v>
      </c>
      <c r="I1791" t="s">
        <v>48</v>
      </c>
    </row>
    <row r="1792" spans="1:9" x14ac:dyDescent="0.3">
      <c r="A1792" t="s">
        <v>0</v>
      </c>
      <c r="E1792">
        <v>432000</v>
      </c>
      <c r="G1792" s="25">
        <v>44020</v>
      </c>
      <c r="H1792">
        <v>2020</v>
      </c>
      <c r="I1792" t="s">
        <v>48</v>
      </c>
    </row>
    <row r="1793" spans="1:9" x14ac:dyDescent="0.3">
      <c r="A1793" t="s">
        <v>25</v>
      </c>
      <c r="C1793">
        <v>108000</v>
      </c>
      <c r="E1793">
        <v>162000</v>
      </c>
      <c r="G1793" s="25">
        <v>44020</v>
      </c>
      <c r="H1793">
        <v>2020</v>
      </c>
      <c r="I1793" t="s">
        <v>48</v>
      </c>
    </row>
    <row r="1794" spans="1:9" x14ac:dyDescent="0.3">
      <c r="A1794" t="s">
        <v>15</v>
      </c>
      <c r="C1794">
        <v>99000</v>
      </c>
      <c r="E1794">
        <v>95000</v>
      </c>
      <c r="G1794" s="25">
        <v>44020</v>
      </c>
      <c r="H1794">
        <v>2020</v>
      </c>
      <c r="I1794" t="s">
        <v>48</v>
      </c>
    </row>
    <row r="1795" spans="1:9" x14ac:dyDescent="0.3">
      <c r="A1795" t="s">
        <v>26</v>
      </c>
      <c r="G1795" s="25">
        <v>44020</v>
      </c>
      <c r="H1795">
        <v>2020</v>
      </c>
      <c r="I1795" t="s">
        <v>48</v>
      </c>
    </row>
    <row r="1796" spans="1:9" x14ac:dyDescent="0.3">
      <c r="A1796" t="s">
        <v>22</v>
      </c>
      <c r="G1796" s="25">
        <v>44020</v>
      </c>
      <c r="H1796">
        <v>2020</v>
      </c>
      <c r="I1796" t="s">
        <v>48</v>
      </c>
    </row>
    <row r="1797" spans="1:9" x14ac:dyDescent="0.3">
      <c r="A1797" t="s">
        <v>19</v>
      </c>
      <c r="B1797">
        <v>216000</v>
      </c>
      <c r="G1797" s="25">
        <v>44020</v>
      </c>
      <c r="H1797">
        <v>2020</v>
      </c>
      <c r="I1797" t="s">
        <v>48</v>
      </c>
    </row>
    <row r="1798" spans="1:9" x14ac:dyDescent="0.3">
      <c r="A1798" t="s">
        <v>14</v>
      </c>
      <c r="B1798">
        <v>799000</v>
      </c>
      <c r="C1798">
        <v>54000</v>
      </c>
      <c r="D1798">
        <v>477000</v>
      </c>
      <c r="E1798">
        <v>153000</v>
      </c>
      <c r="G1798" s="25">
        <v>44020</v>
      </c>
      <c r="H1798">
        <v>2020</v>
      </c>
      <c r="I1798" t="s">
        <v>48</v>
      </c>
    </row>
    <row r="1799" spans="1:9" x14ac:dyDescent="0.3">
      <c r="A1799" t="s">
        <v>24</v>
      </c>
      <c r="G1799" s="25">
        <v>44020</v>
      </c>
      <c r="H1799">
        <v>2020</v>
      </c>
      <c r="I1799" t="s">
        <v>48</v>
      </c>
    </row>
    <row r="1800" spans="1:9" x14ac:dyDescent="0.3">
      <c r="A1800" t="s">
        <v>21</v>
      </c>
      <c r="C1800">
        <v>108000</v>
      </c>
      <c r="G1800" s="25">
        <v>44020</v>
      </c>
      <c r="H1800">
        <v>2020</v>
      </c>
      <c r="I1800" t="s">
        <v>48</v>
      </c>
    </row>
    <row r="1801" spans="1:9" x14ac:dyDescent="0.3">
      <c r="A1801" t="s">
        <v>18</v>
      </c>
      <c r="G1801" s="25">
        <v>44020</v>
      </c>
      <c r="H1801">
        <v>2020</v>
      </c>
      <c r="I1801" t="s">
        <v>48</v>
      </c>
    </row>
    <row r="1802" spans="1:9" x14ac:dyDescent="0.3">
      <c r="A1802" t="s">
        <v>16</v>
      </c>
      <c r="G1802" s="25">
        <v>44020</v>
      </c>
      <c r="H1802">
        <v>2020</v>
      </c>
      <c r="I1802" t="s">
        <v>48</v>
      </c>
    </row>
    <row r="1803" spans="1:9" x14ac:dyDescent="0.3">
      <c r="A1803" t="s">
        <v>20</v>
      </c>
      <c r="G1803" s="25">
        <v>44021</v>
      </c>
      <c r="H1803">
        <v>2020</v>
      </c>
      <c r="I1803" t="s">
        <v>48</v>
      </c>
    </row>
    <row r="1804" spans="1:9" x14ac:dyDescent="0.3">
      <c r="A1804" t="s">
        <v>17</v>
      </c>
      <c r="B1804">
        <v>689000</v>
      </c>
      <c r="C1804">
        <v>54000</v>
      </c>
      <c r="D1804">
        <v>261000</v>
      </c>
      <c r="E1804">
        <v>108000</v>
      </c>
      <c r="G1804" s="25">
        <v>44021</v>
      </c>
      <c r="H1804">
        <v>2020</v>
      </c>
      <c r="I1804" t="s">
        <v>48</v>
      </c>
    </row>
    <row r="1805" spans="1:9" x14ac:dyDescent="0.3">
      <c r="A1805" t="s">
        <v>0</v>
      </c>
      <c r="E1805">
        <v>270000</v>
      </c>
      <c r="G1805" s="25">
        <v>44021</v>
      </c>
      <c r="H1805">
        <v>2020</v>
      </c>
      <c r="I1805" t="s">
        <v>48</v>
      </c>
    </row>
    <row r="1806" spans="1:9" x14ac:dyDescent="0.3">
      <c r="A1806" t="s">
        <v>25</v>
      </c>
      <c r="B1806">
        <v>414000</v>
      </c>
      <c r="C1806">
        <v>108000</v>
      </c>
      <c r="E1806">
        <v>108000</v>
      </c>
      <c r="G1806" s="25">
        <v>44021</v>
      </c>
      <c r="H1806">
        <v>2020</v>
      </c>
      <c r="I1806" t="s">
        <v>48</v>
      </c>
    </row>
    <row r="1807" spans="1:9" x14ac:dyDescent="0.3">
      <c r="A1807" t="s">
        <v>15</v>
      </c>
      <c r="C1807">
        <v>162000</v>
      </c>
      <c r="E1807">
        <v>108000</v>
      </c>
      <c r="G1807" s="25">
        <v>44021</v>
      </c>
      <c r="H1807">
        <v>2020</v>
      </c>
      <c r="I1807" t="s">
        <v>48</v>
      </c>
    </row>
    <row r="1808" spans="1:9" x14ac:dyDescent="0.3">
      <c r="A1808" t="s">
        <v>26</v>
      </c>
      <c r="C1808">
        <v>108000</v>
      </c>
      <c r="G1808" s="25">
        <v>44021</v>
      </c>
      <c r="H1808">
        <v>2020</v>
      </c>
      <c r="I1808" t="s">
        <v>48</v>
      </c>
    </row>
    <row r="1809" spans="1:9" x14ac:dyDescent="0.3">
      <c r="A1809" t="s">
        <v>22</v>
      </c>
      <c r="G1809" s="25">
        <v>44021</v>
      </c>
      <c r="H1809">
        <v>2020</v>
      </c>
      <c r="I1809" t="s">
        <v>48</v>
      </c>
    </row>
    <row r="1810" spans="1:9" x14ac:dyDescent="0.3">
      <c r="A1810" t="s">
        <v>19</v>
      </c>
      <c r="C1810">
        <v>432000</v>
      </c>
      <c r="G1810" s="25">
        <v>44021</v>
      </c>
      <c r="H1810">
        <v>2020</v>
      </c>
      <c r="I1810" t="s">
        <v>48</v>
      </c>
    </row>
    <row r="1811" spans="1:9" x14ac:dyDescent="0.3">
      <c r="A1811" t="s">
        <v>14</v>
      </c>
      <c r="B1811">
        <v>572500</v>
      </c>
      <c r="C1811">
        <v>203000</v>
      </c>
      <c r="D1811">
        <v>486000</v>
      </c>
      <c r="E1811">
        <v>54000</v>
      </c>
      <c r="G1811" s="25">
        <v>44021</v>
      </c>
      <c r="H1811">
        <v>2020</v>
      </c>
      <c r="I1811" t="s">
        <v>48</v>
      </c>
    </row>
    <row r="1812" spans="1:9" x14ac:dyDescent="0.3">
      <c r="A1812" t="s">
        <v>24</v>
      </c>
      <c r="B1812">
        <v>108000</v>
      </c>
      <c r="D1812">
        <v>54000</v>
      </c>
      <c r="G1812" s="25">
        <v>44021</v>
      </c>
      <c r="H1812">
        <v>2020</v>
      </c>
      <c r="I1812" t="s">
        <v>48</v>
      </c>
    </row>
    <row r="1813" spans="1:9" x14ac:dyDescent="0.3">
      <c r="A1813" t="s">
        <v>21</v>
      </c>
      <c r="C1813">
        <v>104000</v>
      </c>
      <c r="G1813" s="25">
        <v>44021</v>
      </c>
      <c r="H1813">
        <v>2020</v>
      </c>
      <c r="I1813" t="s">
        <v>48</v>
      </c>
    </row>
    <row r="1814" spans="1:9" x14ac:dyDescent="0.3">
      <c r="A1814" t="s">
        <v>18</v>
      </c>
      <c r="G1814" s="25">
        <v>44021</v>
      </c>
      <c r="H1814">
        <v>2020</v>
      </c>
      <c r="I1814" t="s">
        <v>48</v>
      </c>
    </row>
    <row r="1815" spans="1:9" x14ac:dyDescent="0.3">
      <c r="A1815" t="s">
        <v>16</v>
      </c>
      <c r="G1815" s="25">
        <v>44021</v>
      </c>
      <c r="H1815">
        <v>2020</v>
      </c>
      <c r="I1815" t="s">
        <v>48</v>
      </c>
    </row>
    <row r="1816" spans="1:9" x14ac:dyDescent="0.3">
      <c r="A1816" t="s">
        <v>20</v>
      </c>
      <c r="G1816" s="25">
        <v>44022</v>
      </c>
      <c r="H1816">
        <v>2020</v>
      </c>
      <c r="I1816" t="s">
        <v>48</v>
      </c>
    </row>
    <row r="1817" spans="1:9" x14ac:dyDescent="0.3">
      <c r="A1817" t="s">
        <v>17</v>
      </c>
      <c r="B1817">
        <v>54000</v>
      </c>
      <c r="C1817">
        <v>270000</v>
      </c>
      <c r="D1817">
        <v>209000</v>
      </c>
      <c r="E1817">
        <v>162000</v>
      </c>
      <c r="G1817" s="25">
        <v>44022</v>
      </c>
      <c r="H1817">
        <v>2020</v>
      </c>
      <c r="I1817" t="s">
        <v>48</v>
      </c>
    </row>
    <row r="1818" spans="1:9" x14ac:dyDescent="0.3">
      <c r="A1818" t="s">
        <v>0</v>
      </c>
      <c r="B1818">
        <v>478000</v>
      </c>
      <c r="E1818">
        <v>324000</v>
      </c>
      <c r="F1818">
        <v>150000</v>
      </c>
      <c r="G1818" s="25">
        <v>44022</v>
      </c>
      <c r="H1818">
        <v>2020</v>
      </c>
      <c r="I1818" t="s">
        <v>48</v>
      </c>
    </row>
    <row r="1819" spans="1:9" x14ac:dyDescent="0.3">
      <c r="A1819" t="s">
        <v>25</v>
      </c>
      <c r="B1819">
        <v>162000</v>
      </c>
      <c r="C1819">
        <v>266000</v>
      </c>
      <c r="D1819">
        <v>216000</v>
      </c>
      <c r="E1819">
        <v>216000</v>
      </c>
      <c r="F1819">
        <v>270000</v>
      </c>
      <c r="G1819" s="25">
        <v>44022</v>
      </c>
      <c r="H1819">
        <v>2020</v>
      </c>
      <c r="I1819" t="s">
        <v>48</v>
      </c>
    </row>
    <row r="1820" spans="1:9" x14ac:dyDescent="0.3">
      <c r="A1820" t="s">
        <v>15</v>
      </c>
      <c r="C1820">
        <v>45000</v>
      </c>
      <c r="E1820">
        <v>378000</v>
      </c>
      <c r="G1820" s="25">
        <v>44022</v>
      </c>
      <c r="H1820">
        <v>2020</v>
      </c>
      <c r="I1820" t="s">
        <v>48</v>
      </c>
    </row>
    <row r="1821" spans="1:9" x14ac:dyDescent="0.3">
      <c r="A1821" t="s">
        <v>26</v>
      </c>
      <c r="C1821">
        <v>103000</v>
      </c>
      <c r="D1821">
        <v>54000</v>
      </c>
      <c r="G1821" s="25">
        <v>44022</v>
      </c>
      <c r="H1821">
        <v>2020</v>
      </c>
      <c r="I1821" t="s">
        <v>48</v>
      </c>
    </row>
    <row r="1822" spans="1:9" x14ac:dyDescent="0.3">
      <c r="A1822" t="s">
        <v>22</v>
      </c>
      <c r="G1822" s="25">
        <v>44022</v>
      </c>
      <c r="H1822">
        <v>2020</v>
      </c>
      <c r="I1822" t="s">
        <v>48</v>
      </c>
    </row>
    <row r="1823" spans="1:9" x14ac:dyDescent="0.3">
      <c r="A1823" t="s">
        <v>19</v>
      </c>
      <c r="C1823">
        <v>554000</v>
      </c>
      <c r="G1823" s="25">
        <v>44022</v>
      </c>
      <c r="H1823">
        <v>2020</v>
      </c>
      <c r="I1823" t="s">
        <v>48</v>
      </c>
    </row>
    <row r="1824" spans="1:9" x14ac:dyDescent="0.3">
      <c r="A1824" t="s">
        <v>14</v>
      </c>
      <c r="B1824">
        <v>99000</v>
      </c>
      <c r="D1824">
        <v>432000</v>
      </c>
      <c r="E1824">
        <v>108000</v>
      </c>
      <c r="G1824" s="25">
        <v>44022</v>
      </c>
      <c r="H1824">
        <v>2020</v>
      </c>
      <c r="I1824" t="s">
        <v>48</v>
      </c>
    </row>
    <row r="1825" spans="1:9" x14ac:dyDescent="0.3">
      <c r="A1825" t="s">
        <v>24</v>
      </c>
      <c r="B1825">
        <v>428000</v>
      </c>
      <c r="D1825">
        <v>108000</v>
      </c>
      <c r="G1825" s="25">
        <v>44022</v>
      </c>
      <c r="H1825">
        <v>2020</v>
      </c>
      <c r="I1825" t="s">
        <v>48</v>
      </c>
    </row>
    <row r="1826" spans="1:9" x14ac:dyDescent="0.3">
      <c r="A1826" t="s">
        <v>21</v>
      </c>
      <c r="C1826">
        <v>54000</v>
      </c>
      <c r="G1826" s="25">
        <v>44022</v>
      </c>
      <c r="H1826">
        <v>2020</v>
      </c>
      <c r="I1826" t="s">
        <v>48</v>
      </c>
    </row>
    <row r="1827" spans="1:9" x14ac:dyDescent="0.3">
      <c r="A1827" t="s">
        <v>18</v>
      </c>
      <c r="G1827" s="25">
        <v>44022</v>
      </c>
      <c r="H1827">
        <v>2020</v>
      </c>
      <c r="I1827" t="s">
        <v>48</v>
      </c>
    </row>
    <row r="1828" spans="1:9" x14ac:dyDescent="0.3">
      <c r="A1828" t="s">
        <v>16</v>
      </c>
      <c r="G1828" s="25">
        <v>44022</v>
      </c>
      <c r="H1828">
        <v>2020</v>
      </c>
      <c r="I1828" t="s">
        <v>48</v>
      </c>
    </row>
    <row r="1829" spans="1:9" x14ac:dyDescent="0.3">
      <c r="A1829" t="s">
        <v>20</v>
      </c>
      <c r="G1829" s="25">
        <v>44023</v>
      </c>
      <c r="H1829">
        <v>2020</v>
      </c>
      <c r="I1829" t="s">
        <v>48</v>
      </c>
    </row>
    <row r="1830" spans="1:9" x14ac:dyDescent="0.3">
      <c r="A1830" t="s">
        <v>17</v>
      </c>
      <c r="B1830">
        <v>162000</v>
      </c>
      <c r="C1830">
        <v>378000</v>
      </c>
      <c r="E1830">
        <v>54000</v>
      </c>
      <c r="G1830" s="25">
        <v>44023</v>
      </c>
      <c r="H1830">
        <v>2020</v>
      </c>
      <c r="I1830" t="s">
        <v>48</v>
      </c>
    </row>
    <row r="1831" spans="1:9" x14ac:dyDescent="0.3">
      <c r="A1831" t="s">
        <v>0</v>
      </c>
      <c r="B1831">
        <v>486000</v>
      </c>
      <c r="D1831">
        <v>324000</v>
      </c>
      <c r="E1831">
        <v>320000</v>
      </c>
      <c r="F1831">
        <v>633000</v>
      </c>
      <c r="G1831" s="25">
        <v>44023</v>
      </c>
      <c r="H1831">
        <v>2020</v>
      </c>
      <c r="I1831" t="s">
        <v>48</v>
      </c>
    </row>
    <row r="1832" spans="1:9" x14ac:dyDescent="0.3">
      <c r="A1832" t="s">
        <v>25</v>
      </c>
      <c r="B1832">
        <v>270000</v>
      </c>
      <c r="C1832">
        <v>216000</v>
      </c>
      <c r="D1832">
        <v>54000</v>
      </c>
      <c r="E1832">
        <v>162000</v>
      </c>
      <c r="G1832" s="25">
        <v>44023</v>
      </c>
      <c r="H1832">
        <v>2020</v>
      </c>
      <c r="I1832" t="s">
        <v>48</v>
      </c>
    </row>
    <row r="1833" spans="1:9" x14ac:dyDescent="0.3">
      <c r="A1833" t="s">
        <v>15</v>
      </c>
      <c r="E1833">
        <v>162000</v>
      </c>
      <c r="G1833" s="25">
        <v>44023</v>
      </c>
      <c r="H1833">
        <v>2020</v>
      </c>
      <c r="I1833" t="s">
        <v>48</v>
      </c>
    </row>
    <row r="1834" spans="1:9" x14ac:dyDescent="0.3">
      <c r="A1834" t="s">
        <v>26</v>
      </c>
      <c r="C1834">
        <v>54000</v>
      </c>
      <c r="G1834" s="25">
        <v>44023</v>
      </c>
      <c r="H1834">
        <v>2020</v>
      </c>
      <c r="I1834" t="s">
        <v>48</v>
      </c>
    </row>
    <row r="1835" spans="1:9" x14ac:dyDescent="0.3">
      <c r="A1835" t="s">
        <v>22</v>
      </c>
      <c r="G1835" s="25">
        <v>44023</v>
      </c>
      <c r="H1835">
        <v>2020</v>
      </c>
      <c r="I1835" t="s">
        <v>48</v>
      </c>
    </row>
    <row r="1836" spans="1:9" x14ac:dyDescent="0.3">
      <c r="A1836" t="s">
        <v>19</v>
      </c>
      <c r="G1836" s="25">
        <v>44023</v>
      </c>
      <c r="H1836">
        <v>2020</v>
      </c>
      <c r="I1836" t="s">
        <v>48</v>
      </c>
    </row>
    <row r="1837" spans="1:9" x14ac:dyDescent="0.3">
      <c r="A1837" t="s">
        <v>14</v>
      </c>
      <c r="B1837">
        <v>54000</v>
      </c>
      <c r="C1837">
        <v>211500</v>
      </c>
      <c r="D1837">
        <v>108000</v>
      </c>
      <c r="E1837">
        <v>162000</v>
      </c>
      <c r="G1837" s="25">
        <v>44023</v>
      </c>
      <c r="H1837">
        <v>2020</v>
      </c>
      <c r="I1837" t="s">
        <v>48</v>
      </c>
    </row>
    <row r="1838" spans="1:9" x14ac:dyDescent="0.3">
      <c r="A1838" t="s">
        <v>24</v>
      </c>
      <c r="B1838">
        <v>216000</v>
      </c>
      <c r="D1838">
        <v>212000</v>
      </c>
      <c r="G1838" s="25">
        <v>44023</v>
      </c>
      <c r="H1838">
        <v>2020</v>
      </c>
      <c r="I1838" t="s">
        <v>48</v>
      </c>
    </row>
    <row r="1839" spans="1:9" x14ac:dyDescent="0.3">
      <c r="A1839" t="s">
        <v>21</v>
      </c>
      <c r="C1839">
        <v>104000</v>
      </c>
      <c r="G1839" s="25">
        <v>44023</v>
      </c>
      <c r="H1839">
        <v>2020</v>
      </c>
      <c r="I1839" t="s">
        <v>48</v>
      </c>
    </row>
    <row r="1840" spans="1:9" x14ac:dyDescent="0.3">
      <c r="A1840" t="s">
        <v>18</v>
      </c>
      <c r="G1840" s="25">
        <v>44023</v>
      </c>
      <c r="H1840">
        <v>2020</v>
      </c>
      <c r="I1840" t="s">
        <v>48</v>
      </c>
    </row>
    <row r="1841" spans="1:9" x14ac:dyDescent="0.3">
      <c r="A1841" t="s">
        <v>16</v>
      </c>
      <c r="C1841">
        <v>216000</v>
      </c>
      <c r="E1841">
        <v>162000</v>
      </c>
      <c r="G1841" s="25">
        <v>44023</v>
      </c>
      <c r="H1841">
        <v>2020</v>
      </c>
      <c r="I1841" t="s">
        <v>48</v>
      </c>
    </row>
    <row r="1842" spans="1:9" x14ac:dyDescent="0.3">
      <c r="A1842" t="s">
        <v>20</v>
      </c>
      <c r="G1842" s="25">
        <v>44025</v>
      </c>
      <c r="H1842">
        <v>2020</v>
      </c>
      <c r="I1842" t="s">
        <v>48</v>
      </c>
    </row>
    <row r="1843" spans="1:9" x14ac:dyDescent="0.3">
      <c r="A1843" t="s">
        <v>17</v>
      </c>
      <c r="B1843">
        <v>260000</v>
      </c>
      <c r="C1843">
        <v>215500</v>
      </c>
      <c r="G1843" s="25">
        <v>44025</v>
      </c>
      <c r="H1843">
        <v>2020</v>
      </c>
      <c r="I1843" t="s">
        <v>48</v>
      </c>
    </row>
    <row r="1844" spans="1:9" x14ac:dyDescent="0.3">
      <c r="A1844" t="s">
        <v>0</v>
      </c>
      <c r="B1844">
        <v>428000</v>
      </c>
      <c r="D1844">
        <v>432000</v>
      </c>
      <c r="E1844">
        <v>428000</v>
      </c>
      <c r="F1844">
        <v>162000</v>
      </c>
      <c r="G1844" s="25">
        <v>44025</v>
      </c>
      <c r="H1844">
        <v>2020</v>
      </c>
      <c r="I1844" t="s">
        <v>48</v>
      </c>
    </row>
    <row r="1845" spans="1:9" x14ac:dyDescent="0.3">
      <c r="A1845" t="s">
        <v>25</v>
      </c>
      <c r="B1845">
        <v>161500</v>
      </c>
      <c r="C1845">
        <v>216000</v>
      </c>
      <c r="D1845">
        <v>108000</v>
      </c>
      <c r="E1845">
        <v>158000</v>
      </c>
      <c r="G1845" s="25">
        <v>44025</v>
      </c>
      <c r="H1845">
        <v>2020</v>
      </c>
      <c r="I1845" t="s">
        <v>48</v>
      </c>
    </row>
    <row r="1846" spans="1:9" x14ac:dyDescent="0.3">
      <c r="A1846" t="s">
        <v>15</v>
      </c>
      <c r="E1846">
        <v>216000</v>
      </c>
      <c r="G1846" s="25">
        <v>44025</v>
      </c>
      <c r="H1846">
        <v>2020</v>
      </c>
      <c r="I1846" t="s">
        <v>48</v>
      </c>
    </row>
    <row r="1847" spans="1:9" x14ac:dyDescent="0.3">
      <c r="A1847" t="s">
        <v>26</v>
      </c>
      <c r="G1847" s="25">
        <v>44025</v>
      </c>
      <c r="H1847">
        <v>2020</v>
      </c>
      <c r="I1847" t="s">
        <v>48</v>
      </c>
    </row>
    <row r="1848" spans="1:9" x14ac:dyDescent="0.3">
      <c r="A1848" t="s">
        <v>22</v>
      </c>
      <c r="G1848" s="25">
        <v>44025</v>
      </c>
      <c r="H1848">
        <v>2020</v>
      </c>
      <c r="I1848" t="s">
        <v>48</v>
      </c>
    </row>
    <row r="1849" spans="1:9" x14ac:dyDescent="0.3">
      <c r="A1849" t="s">
        <v>19</v>
      </c>
      <c r="G1849" s="25">
        <v>44025</v>
      </c>
      <c r="H1849">
        <v>2020</v>
      </c>
      <c r="I1849" t="s">
        <v>48</v>
      </c>
    </row>
    <row r="1850" spans="1:9" x14ac:dyDescent="0.3">
      <c r="A1850" t="s">
        <v>14</v>
      </c>
      <c r="B1850">
        <v>216000</v>
      </c>
      <c r="C1850">
        <v>468000</v>
      </c>
      <c r="G1850" s="25">
        <v>44025</v>
      </c>
      <c r="H1850">
        <v>2020</v>
      </c>
      <c r="I1850" t="s">
        <v>48</v>
      </c>
    </row>
    <row r="1851" spans="1:9" x14ac:dyDescent="0.3">
      <c r="A1851" t="s">
        <v>24</v>
      </c>
      <c r="B1851">
        <v>207000</v>
      </c>
      <c r="D1851">
        <v>630000</v>
      </c>
      <c r="G1851" s="25">
        <v>44025</v>
      </c>
      <c r="H1851">
        <v>2020</v>
      </c>
      <c r="I1851" t="s">
        <v>48</v>
      </c>
    </row>
    <row r="1852" spans="1:9" x14ac:dyDescent="0.3">
      <c r="A1852" t="s">
        <v>21</v>
      </c>
      <c r="G1852" s="25">
        <v>44025</v>
      </c>
      <c r="H1852">
        <v>2020</v>
      </c>
      <c r="I1852" t="s">
        <v>48</v>
      </c>
    </row>
    <row r="1853" spans="1:9" x14ac:dyDescent="0.3">
      <c r="A1853" t="s">
        <v>18</v>
      </c>
      <c r="G1853" s="25">
        <v>44025</v>
      </c>
      <c r="H1853">
        <v>2020</v>
      </c>
      <c r="I1853" t="s">
        <v>48</v>
      </c>
    </row>
    <row r="1854" spans="1:9" x14ac:dyDescent="0.3">
      <c r="A1854" t="s">
        <v>16</v>
      </c>
      <c r="C1854">
        <v>216000</v>
      </c>
      <c r="E1854">
        <v>215000</v>
      </c>
      <c r="G1854" s="25">
        <v>44025</v>
      </c>
      <c r="H1854">
        <v>2020</v>
      </c>
      <c r="I1854" t="s">
        <v>48</v>
      </c>
    </row>
    <row r="1855" spans="1:9" x14ac:dyDescent="0.3">
      <c r="A1855" t="s">
        <v>20</v>
      </c>
      <c r="G1855" s="25">
        <v>44026</v>
      </c>
      <c r="H1855">
        <v>2020</v>
      </c>
      <c r="I1855" t="s">
        <v>48</v>
      </c>
    </row>
    <row r="1856" spans="1:9" x14ac:dyDescent="0.3">
      <c r="A1856" t="s">
        <v>17</v>
      </c>
      <c r="C1856">
        <v>252000</v>
      </c>
      <c r="G1856" s="25">
        <v>44026</v>
      </c>
      <c r="H1856">
        <v>2020</v>
      </c>
      <c r="I1856" t="s">
        <v>48</v>
      </c>
    </row>
    <row r="1857" spans="1:9" x14ac:dyDescent="0.3">
      <c r="A1857" t="s">
        <v>0</v>
      </c>
      <c r="B1857">
        <v>1116000</v>
      </c>
      <c r="D1857">
        <v>54000</v>
      </c>
      <c r="E1857">
        <v>54000</v>
      </c>
      <c r="F1857">
        <v>54000</v>
      </c>
      <c r="G1857" s="25">
        <v>44026</v>
      </c>
      <c r="H1857">
        <v>2020</v>
      </c>
      <c r="I1857" t="s">
        <v>48</v>
      </c>
    </row>
    <row r="1858" spans="1:9" x14ac:dyDescent="0.3">
      <c r="A1858" t="s">
        <v>25</v>
      </c>
      <c r="B1858">
        <v>54000</v>
      </c>
      <c r="C1858">
        <v>304000</v>
      </c>
      <c r="F1858">
        <v>47000</v>
      </c>
      <c r="G1858" s="25">
        <v>44026</v>
      </c>
      <c r="H1858">
        <v>2020</v>
      </c>
      <c r="I1858" t="s">
        <v>48</v>
      </c>
    </row>
    <row r="1859" spans="1:9" x14ac:dyDescent="0.3">
      <c r="A1859" t="s">
        <v>15</v>
      </c>
      <c r="E1859">
        <v>378000</v>
      </c>
      <c r="G1859" s="25">
        <v>44026</v>
      </c>
      <c r="H1859">
        <v>2020</v>
      </c>
      <c r="I1859" t="s">
        <v>48</v>
      </c>
    </row>
    <row r="1860" spans="1:9" x14ac:dyDescent="0.3">
      <c r="A1860" t="s">
        <v>26</v>
      </c>
      <c r="C1860">
        <v>54000</v>
      </c>
      <c r="G1860" s="25">
        <v>44026</v>
      </c>
      <c r="H1860">
        <v>2020</v>
      </c>
      <c r="I1860" t="s">
        <v>48</v>
      </c>
    </row>
    <row r="1861" spans="1:9" x14ac:dyDescent="0.3">
      <c r="A1861" t="s">
        <v>22</v>
      </c>
      <c r="G1861" s="25">
        <v>44026</v>
      </c>
      <c r="H1861">
        <v>2020</v>
      </c>
      <c r="I1861" t="s">
        <v>48</v>
      </c>
    </row>
    <row r="1862" spans="1:9" x14ac:dyDescent="0.3">
      <c r="A1862" t="s">
        <v>19</v>
      </c>
      <c r="G1862" s="25">
        <v>44026</v>
      </c>
      <c r="H1862">
        <v>2020</v>
      </c>
      <c r="I1862" t="s">
        <v>48</v>
      </c>
    </row>
    <row r="1863" spans="1:9" x14ac:dyDescent="0.3">
      <c r="A1863" t="s">
        <v>14</v>
      </c>
      <c r="C1863">
        <v>428000</v>
      </c>
      <c r="D1863">
        <v>162000</v>
      </c>
      <c r="E1863">
        <v>378000</v>
      </c>
      <c r="G1863" s="25">
        <v>44026</v>
      </c>
      <c r="H1863">
        <v>2020</v>
      </c>
      <c r="I1863" t="s">
        <v>48</v>
      </c>
    </row>
    <row r="1864" spans="1:9" x14ac:dyDescent="0.3">
      <c r="A1864" t="s">
        <v>24</v>
      </c>
      <c r="B1864">
        <v>427500</v>
      </c>
      <c r="D1864">
        <v>486000</v>
      </c>
      <c r="G1864" s="25">
        <v>44026</v>
      </c>
      <c r="H1864">
        <v>2020</v>
      </c>
      <c r="I1864" t="s">
        <v>48</v>
      </c>
    </row>
    <row r="1865" spans="1:9" x14ac:dyDescent="0.3">
      <c r="A1865" t="s">
        <v>21</v>
      </c>
      <c r="C1865">
        <v>54000</v>
      </c>
      <c r="G1865" s="25">
        <v>44026</v>
      </c>
      <c r="H1865">
        <v>2020</v>
      </c>
      <c r="I1865" t="s">
        <v>48</v>
      </c>
    </row>
    <row r="1866" spans="1:9" x14ac:dyDescent="0.3">
      <c r="A1866" t="s">
        <v>18</v>
      </c>
      <c r="G1866" s="25">
        <v>44026</v>
      </c>
      <c r="H1866">
        <v>2020</v>
      </c>
      <c r="I1866" t="s">
        <v>48</v>
      </c>
    </row>
    <row r="1867" spans="1:9" x14ac:dyDescent="0.3">
      <c r="A1867" t="s">
        <v>16</v>
      </c>
      <c r="C1867">
        <v>324000</v>
      </c>
      <c r="E1867">
        <v>108000</v>
      </c>
      <c r="G1867" s="25">
        <v>44026</v>
      </c>
      <c r="H1867">
        <v>2020</v>
      </c>
      <c r="I1867" t="s">
        <v>48</v>
      </c>
    </row>
    <row r="1868" spans="1:9" x14ac:dyDescent="0.3">
      <c r="A1868" t="s">
        <v>20</v>
      </c>
      <c r="G1868" s="25">
        <v>44027</v>
      </c>
      <c r="H1868">
        <v>2020</v>
      </c>
      <c r="I1868" t="s">
        <v>48</v>
      </c>
    </row>
    <row r="1869" spans="1:9" x14ac:dyDescent="0.3">
      <c r="A1869" t="s">
        <v>17</v>
      </c>
      <c r="B1869">
        <v>54000</v>
      </c>
      <c r="C1869">
        <v>302000</v>
      </c>
      <c r="E1869">
        <v>54000</v>
      </c>
      <c r="G1869" s="25">
        <v>44027</v>
      </c>
      <c r="H1869">
        <v>2020</v>
      </c>
      <c r="I1869" t="s">
        <v>48</v>
      </c>
    </row>
    <row r="1870" spans="1:9" x14ac:dyDescent="0.3">
      <c r="A1870" t="s">
        <v>0</v>
      </c>
      <c r="B1870">
        <v>486000</v>
      </c>
      <c r="D1870">
        <v>145000</v>
      </c>
      <c r="E1870">
        <v>162000</v>
      </c>
      <c r="G1870" s="25">
        <v>44027</v>
      </c>
      <c r="H1870">
        <v>2020</v>
      </c>
      <c r="I1870" t="s">
        <v>48</v>
      </c>
    </row>
    <row r="1871" spans="1:9" x14ac:dyDescent="0.3">
      <c r="A1871" t="s">
        <v>25</v>
      </c>
      <c r="B1871">
        <v>162000</v>
      </c>
      <c r="C1871">
        <v>208000</v>
      </c>
      <c r="D1871">
        <v>50000</v>
      </c>
      <c r="E1871">
        <v>270000</v>
      </c>
      <c r="F1871">
        <v>90000</v>
      </c>
      <c r="G1871" s="25">
        <v>44027</v>
      </c>
      <c r="H1871">
        <v>2020</v>
      </c>
      <c r="I1871" t="s">
        <v>48</v>
      </c>
    </row>
    <row r="1872" spans="1:9" x14ac:dyDescent="0.3">
      <c r="A1872" t="s">
        <v>15</v>
      </c>
      <c r="E1872">
        <v>265500</v>
      </c>
      <c r="G1872" s="25">
        <v>44027</v>
      </c>
      <c r="H1872">
        <v>2020</v>
      </c>
      <c r="I1872" t="s">
        <v>48</v>
      </c>
    </row>
    <row r="1873" spans="1:9" x14ac:dyDescent="0.3">
      <c r="A1873" t="s">
        <v>26</v>
      </c>
      <c r="G1873" s="25">
        <v>44027</v>
      </c>
      <c r="H1873">
        <v>2020</v>
      </c>
      <c r="I1873" t="s">
        <v>48</v>
      </c>
    </row>
    <row r="1874" spans="1:9" x14ac:dyDescent="0.3">
      <c r="A1874" t="s">
        <v>22</v>
      </c>
      <c r="G1874" s="25">
        <v>44027</v>
      </c>
      <c r="H1874">
        <v>2020</v>
      </c>
      <c r="I1874" t="s">
        <v>48</v>
      </c>
    </row>
    <row r="1875" spans="1:9" x14ac:dyDescent="0.3">
      <c r="A1875" t="s">
        <v>19</v>
      </c>
      <c r="G1875" s="25">
        <v>44027</v>
      </c>
      <c r="H1875">
        <v>2020</v>
      </c>
      <c r="I1875" t="s">
        <v>48</v>
      </c>
    </row>
    <row r="1876" spans="1:9" x14ac:dyDescent="0.3">
      <c r="A1876" t="s">
        <v>14</v>
      </c>
      <c r="B1876">
        <v>423000</v>
      </c>
      <c r="C1876">
        <v>261000</v>
      </c>
      <c r="D1876">
        <v>422500</v>
      </c>
      <c r="E1876">
        <v>320000</v>
      </c>
      <c r="F1876">
        <v>378000</v>
      </c>
      <c r="G1876" s="25">
        <v>44027</v>
      </c>
      <c r="H1876">
        <v>2020</v>
      </c>
      <c r="I1876" t="s">
        <v>48</v>
      </c>
    </row>
    <row r="1877" spans="1:9" x14ac:dyDescent="0.3">
      <c r="A1877" t="s">
        <v>24</v>
      </c>
      <c r="B1877">
        <v>536000</v>
      </c>
      <c r="G1877" s="25">
        <v>44027</v>
      </c>
      <c r="H1877">
        <v>2020</v>
      </c>
      <c r="I1877" t="s">
        <v>48</v>
      </c>
    </row>
    <row r="1878" spans="1:9" x14ac:dyDescent="0.3">
      <c r="A1878" t="s">
        <v>21</v>
      </c>
      <c r="C1878">
        <v>54000</v>
      </c>
      <c r="G1878" s="25">
        <v>44027</v>
      </c>
      <c r="H1878">
        <v>2020</v>
      </c>
      <c r="I1878" t="s">
        <v>48</v>
      </c>
    </row>
    <row r="1879" spans="1:9" x14ac:dyDescent="0.3">
      <c r="A1879" t="s">
        <v>18</v>
      </c>
      <c r="G1879" s="25">
        <v>44027</v>
      </c>
      <c r="H1879">
        <v>2020</v>
      </c>
      <c r="I1879" t="s">
        <v>48</v>
      </c>
    </row>
    <row r="1880" spans="1:9" x14ac:dyDescent="0.3">
      <c r="A1880" t="s">
        <v>16</v>
      </c>
      <c r="C1880">
        <v>306000</v>
      </c>
      <c r="E1880">
        <v>216000</v>
      </c>
      <c r="G1880" s="25">
        <v>44027</v>
      </c>
      <c r="H1880">
        <v>2020</v>
      </c>
      <c r="I1880" t="s">
        <v>48</v>
      </c>
    </row>
    <row r="1881" spans="1:9" x14ac:dyDescent="0.3">
      <c r="A1881" t="s">
        <v>20</v>
      </c>
      <c r="G1881" s="25">
        <v>44028</v>
      </c>
      <c r="H1881">
        <v>2020</v>
      </c>
      <c r="I1881" t="s">
        <v>48</v>
      </c>
    </row>
    <row r="1882" spans="1:9" x14ac:dyDescent="0.3">
      <c r="A1882" t="s">
        <v>17</v>
      </c>
      <c r="C1882">
        <v>405500</v>
      </c>
      <c r="E1882">
        <v>54000</v>
      </c>
      <c r="G1882" s="25">
        <v>44028</v>
      </c>
      <c r="H1882">
        <v>2020</v>
      </c>
      <c r="I1882" t="s">
        <v>48</v>
      </c>
    </row>
    <row r="1883" spans="1:9" x14ac:dyDescent="0.3">
      <c r="A1883" t="s">
        <v>0</v>
      </c>
      <c r="B1883">
        <v>474500</v>
      </c>
      <c r="F1883">
        <v>50000</v>
      </c>
      <c r="G1883" s="25">
        <v>44028</v>
      </c>
      <c r="H1883">
        <v>2020</v>
      </c>
      <c r="I1883" t="s">
        <v>48</v>
      </c>
    </row>
    <row r="1884" spans="1:9" x14ac:dyDescent="0.3">
      <c r="A1884" t="s">
        <v>25</v>
      </c>
      <c r="C1884">
        <v>311000</v>
      </c>
      <c r="E1884">
        <v>212000</v>
      </c>
      <c r="G1884" s="25">
        <v>44028</v>
      </c>
      <c r="H1884">
        <v>2020</v>
      </c>
      <c r="I1884" t="s">
        <v>48</v>
      </c>
    </row>
    <row r="1885" spans="1:9" x14ac:dyDescent="0.3">
      <c r="A1885" t="s">
        <v>15</v>
      </c>
      <c r="D1885">
        <v>324000</v>
      </c>
      <c r="E1885">
        <v>162000</v>
      </c>
      <c r="G1885" s="25">
        <v>44028</v>
      </c>
      <c r="H1885">
        <v>2020</v>
      </c>
      <c r="I1885" t="s">
        <v>48</v>
      </c>
    </row>
    <row r="1886" spans="1:9" x14ac:dyDescent="0.3">
      <c r="A1886" t="s">
        <v>26</v>
      </c>
      <c r="B1886">
        <v>148500</v>
      </c>
      <c r="D1886">
        <v>374000</v>
      </c>
      <c r="G1886" s="25">
        <v>44028</v>
      </c>
      <c r="H1886">
        <v>2020</v>
      </c>
      <c r="I1886" t="s">
        <v>48</v>
      </c>
    </row>
    <row r="1887" spans="1:9" x14ac:dyDescent="0.3">
      <c r="A1887" t="s">
        <v>22</v>
      </c>
      <c r="G1887" s="25">
        <v>44028</v>
      </c>
      <c r="H1887">
        <v>2020</v>
      </c>
      <c r="I1887" t="s">
        <v>48</v>
      </c>
    </row>
    <row r="1888" spans="1:9" x14ac:dyDescent="0.3">
      <c r="A1888" t="s">
        <v>19</v>
      </c>
      <c r="B1888">
        <v>268000</v>
      </c>
      <c r="D1888">
        <v>432000</v>
      </c>
      <c r="G1888" s="25">
        <v>44028</v>
      </c>
      <c r="H1888">
        <v>2020</v>
      </c>
      <c r="I1888" t="s">
        <v>48</v>
      </c>
    </row>
    <row r="1889" spans="1:9" x14ac:dyDescent="0.3">
      <c r="A1889" t="s">
        <v>14</v>
      </c>
      <c r="C1889">
        <v>540000</v>
      </c>
      <c r="D1889">
        <v>45000</v>
      </c>
      <c r="E1889">
        <v>154000</v>
      </c>
      <c r="F1889">
        <v>377500</v>
      </c>
      <c r="G1889" s="25">
        <v>44028</v>
      </c>
      <c r="H1889">
        <v>2020</v>
      </c>
      <c r="I1889" t="s">
        <v>48</v>
      </c>
    </row>
    <row r="1890" spans="1:9" x14ac:dyDescent="0.3">
      <c r="A1890" t="s">
        <v>24</v>
      </c>
      <c r="B1890">
        <v>360000</v>
      </c>
      <c r="G1890" s="25">
        <v>44028</v>
      </c>
      <c r="H1890">
        <v>2020</v>
      </c>
      <c r="I1890" t="s">
        <v>48</v>
      </c>
    </row>
    <row r="1891" spans="1:9" x14ac:dyDescent="0.3">
      <c r="A1891" t="s">
        <v>21</v>
      </c>
      <c r="G1891" s="25">
        <v>44028</v>
      </c>
      <c r="H1891">
        <v>2020</v>
      </c>
      <c r="I1891" t="s">
        <v>48</v>
      </c>
    </row>
    <row r="1892" spans="1:9" x14ac:dyDescent="0.3">
      <c r="A1892" t="s">
        <v>18</v>
      </c>
      <c r="G1892" s="25">
        <v>44028</v>
      </c>
      <c r="H1892">
        <v>2020</v>
      </c>
      <c r="I1892" t="s">
        <v>48</v>
      </c>
    </row>
    <row r="1893" spans="1:9" x14ac:dyDescent="0.3">
      <c r="A1893" t="s">
        <v>16</v>
      </c>
      <c r="C1893">
        <v>373500</v>
      </c>
      <c r="E1893">
        <v>162000</v>
      </c>
      <c r="G1893" s="25">
        <v>44028</v>
      </c>
      <c r="H1893">
        <v>2020</v>
      </c>
      <c r="I1893" t="s">
        <v>48</v>
      </c>
    </row>
    <row r="1894" spans="1:9" x14ac:dyDescent="0.3">
      <c r="A1894" t="s">
        <v>20</v>
      </c>
      <c r="G1894" s="25">
        <v>44029</v>
      </c>
      <c r="H1894">
        <v>2020</v>
      </c>
      <c r="I1894" t="s">
        <v>48</v>
      </c>
    </row>
    <row r="1895" spans="1:9" x14ac:dyDescent="0.3">
      <c r="A1895" t="s">
        <v>17</v>
      </c>
      <c r="G1895" s="25">
        <v>44029</v>
      </c>
      <c r="H1895">
        <v>2020</v>
      </c>
      <c r="I1895" t="s">
        <v>48</v>
      </c>
    </row>
    <row r="1896" spans="1:9" x14ac:dyDescent="0.3">
      <c r="A1896" t="s">
        <v>0</v>
      </c>
      <c r="B1896">
        <v>432000</v>
      </c>
      <c r="F1896">
        <v>99500</v>
      </c>
      <c r="G1896" s="25">
        <v>44029</v>
      </c>
      <c r="H1896">
        <v>2020</v>
      </c>
      <c r="I1896" t="s">
        <v>48</v>
      </c>
    </row>
    <row r="1897" spans="1:9" x14ac:dyDescent="0.3">
      <c r="A1897" t="s">
        <v>25</v>
      </c>
      <c r="C1897">
        <v>320000</v>
      </c>
      <c r="E1897">
        <v>594000</v>
      </c>
      <c r="F1897">
        <v>45000</v>
      </c>
      <c r="G1897" s="25">
        <v>44029</v>
      </c>
      <c r="H1897">
        <v>2020</v>
      </c>
      <c r="I1897" t="s">
        <v>48</v>
      </c>
    </row>
    <row r="1898" spans="1:9" x14ac:dyDescent="0.3">
      <c r="A1898" t="s">
        <v>15</v>
      </c>
      <c r="D1898">
        <v>378000</v>
      </c>
      <c r="G1898" s="25">
        <v>44029</v>
      </c>
      <c r="H1898">
        <v>2020</v>
      </c>
      <c r="I1898" t="s">
        <v>48</v>
      </c>
    </row>
    <row r="1899" spans="1:9" x14ac:dyDescent="0.3">
      <c r="A1899" t="s">
        <v>26</v>
      </c>
      <c r="B1899">
        <v>162000</v>
      </c>
      <c r="G1899" s="25">
        <v>44029</v>
      </c>
      <c r="H1899">
        <v>2020</v>
      </c>
      <c r="I1899" t="s">
        <v>48</v>
      </c>
    </row>
    <row r="1900" spans="1:9" x14ac:dyDescent="0.3">
      <c r="A1900" t="s">
        <v>22</v>
      </c>
      <c r="G1900" s="25">
        <v>44029</v>
      </c>
      <c r="H1900">
        <v>2020</v>
      </c>
      <c r="I1900" t="s">
        <v>48</v>
      </c>
    </row>
    <row r="1901" spans="1:9" x14ac:dyDescent="0.3">
      <c r="A1901" t="s">
        <v>19</v>
      </c>
      <c r="B1901">
        <v>315000</v>
      </c>
      <c r="D1901">
        <v>324000</v>
      </c>
      <c r="G1901" s="25">
        <v>44029</v>
      </c>
      <c r="H1901">
        <v>2020</v>
      </c>
      <c r="I1901" t="s">
        <v>48</v>
      </c>
    </row>
    <row r="1902" spans="1:9" x14ac:dyDescent="0.3">
      <c r="A1902" t="s">
        <v>14</v>
      </c>
      <c r="B1902">
        <v>216000</v>
      </c>
      <c r="C1902">
        <v>481500</v>
      </c>
      <c r="D1902">
        <v>324000</v>
      </c>
      <c r="E1902">
        <v>108000</v>
      </c>
      <c r="F1902">
        <v>108000</v>
      </c>
      <c r="G1902" s="25">
        <v>44029</v>
      </c>
      <c r="H1902">
        <v>2020</v>
      </c>
      <c r="I1902" t="s">
        <v>48</v>
      </c>
    </row>
    <row r="1903" spans="1:9" x14ac:dyDescent="0.3">
      <c r="A1903" t="s">
        <v>24</v>
      </c>
      <c r="G1903" s="25">
        <v>44029</v>
      </c>
      <c r="H1903">
        <v>2020</v>
      </c>
      <c r="I1903" t="s">
        <v>48</v>
      </c>
    </row>
    <row r="1904" spans="1:9" x14ac:dyDescent="0.3">
      <c r="A1904" t="s">
        <v>21</v>
      </c>
      <c r="G1904" s="25">
        <v>44029</v>
      </c>
      <c r="H1904">
        <v>2020</v>
      </c>
      <c r="I1904" t="s">
        <v>48</v>
      </c>
    </row>
    <row r="1905" spans="1:9" x14ac:dyDescent="0.3">
      <c r="A1905" t="s">
        <v>18</v>
      </c>
      <c r="G1905" s="25">
        <v>44029</v>
      </c>
      <c r="H1905">
        <v>2020</v>
      </c>
      <c r="I1905" t="s">
        <v>48</v>
      </c>
    </row>
    <row r="1906" spans="1:9" x14ac:dyDescent="0.3">
      <c r="A1906" t="s">
        <v>16</v>
      </c>
      <c r="B1906">
        <v>157000</v>
      </c>
      <c r="C1906">
        <v>635000</v>
      </c>
      <c r="D1906">
        <v>324000</v>
      </c>
      <c r="G1906" s="25">
        <v>44029</v>
      </c>
      <c r="H1906">
        <v>2020</v>
      </c>
      <c r="I1906" t="s">
        <v>48</v>
      </c>
    </row>
    <row r="1907" spans="1:9" x14ac:dyDescent="0.3">
      <c r="A1907" t="s">
        <v>20</v>
      </c>
      <c r="G1907" s="25">
        <v>44032</v>
      </c>
      <c r="H1907">
        <v>2020</v>
      </c>
      <c r="I1907" t="s">
        <v>48</v>
      </c>
    </row>
    <row r="1908" spans="1:9" x14ac:dyDescent="0.3">
      <c r="A1908" t="s">
        <v>17</v>
      </c>
      <c r="B1908">
        <v>108000</v>
      </c>
      <c r="D1908">
        <v>378000</v>
      </c>
      <c r="G1908" s="25">
        <v>44032</v>
      </c>
      <c r="H1908">
        <v>2020</v>
      </c>
      <c r="I1908" t="s">
        <v>48</v>
      </c>
    </row>
    <row r="1909" spans="1:9" x14ac:dyDescent="0.3">
      <c r="A1909" t="s">
        <v>0</v>
      </c>
      <c r="B1909">
        <v>270000</v>
      </c>
      <c r="F1909">
        <v>50000</v>
      </c>
      <c r="G1909" s="25">
        <v>44032</v>
      </c>
      <c r="H1909">
        <v>2020</v>
      </c>
      <c r="I1909" t="s">
        <v>48</v>
      </c>
    </row>
    <row r="1910" spans="1:9" x14ac:dyDescent="0.3">
      <c r="A1910" t="s">
        <v>25</v>
      </c>
      <c r="C1910">
        <v>477500</v>
      </c>
      <c r="F1910">
        <v>47000</v>
      </c>
      <c r="G1910" s="25">
        <v>44032</v>
      </c>
      <c r="H1910">
        <v>2020</v>
      </c>
      <c r="I1910" t="s">
        <v>48</v>
      </c>
    </row>
    <row r="1911" spans="1:9" x14ac:dyDescent="0.3">
      <c r="A1911" t="s">
        <v>15</v>
      </c>
      <c r="D1911">
        <v>324000</v>
      </c>
      <c r="G1911" s="25">
        <v>44032</v>
      </c>
      <c r="H1911">
        <v>2020</v>
      </c>
      <c r="I1911" t="s">
        <v>48</v>
      </c>
    </row>
    <row r="1912" spans="1:9" x14ac:dyDescent="0.3">
      <c r="A1912" t="s">
        <v>26</v>
      </c>
      <c r="B1912">
        <v>162000</v>
      </c>
      <c r="D1912">
        <v>162000</v>
      </c>
      <c r="G1912" s="25">
        <v>44032</v>
      </c>
      <c r="H1912">
        <v>2020</v>
      </c>
      <c r="I1912" t="s">
        <v>48</v>
      </c>
    </row>
    <row r="1913" spans="1:9" x14ac:dyDescent="0.3">
      <c r="A1913" t="s">
        <v>22</v>
      </c>
      <c r="G1913" s="25">
        <v>44032</v>
      </c>
      <c r="H1913">
        <v>2020</v>
      </c>
      <c r="I1913" t="s">
        <v>48</v>
      </c>
    </row>
    <row r="1914" spans="1:9" x14ac:dyDescent="0.3">
      <c r="A1914" t="s">
        <v>19</v>
      </c>
      <c r="B1914">
        <v>153000</v>
      </c>
      <c r="D1914">
        <v>162000</v>
      </c>
      <c r="G1914" s="25">
        <v>44032</v>
      </c>
      <c r="H1914">
        <v>2020</v>
      </c>
      <c r="I1914" t="s">
        <v>48</v>
      </c>
    </row>
    <row r="1915" spans="1:9" x14ac:dyDescent="0.3">
      <c r="A1915" t="s">
        <v>14</v>
      </c>
      <c r="B1915">
        <v>360000</v>
      </c>
      <c r="C1915">
        <v>712000</v>
      </c>
      <c r="D1915">
        <v>216000</v>
      </c>
      <c r="F1915">
        <v>135000</v>
      </c>
      <c r="G1915" s="25">
        <v>44032</v>
      </c>
      <c r="H1915">
        <v>2020</v>
      </c>
      <c r="I1915" t="s">
        <v>48</v>
      </c>
    </row>
    <row r="1916" spans="1:9" x14ac:dyDescent="0.3">
      <c r="A1916" t="s">
        <v>24</v>
      </c>
      <c r="G1916" s="25">
        <v>44032</v>
      </c>
      <c r="H1916">
        <v>2020</v>
      </c>
      <c r="I1916" t="s">
        <v>48</v>
      </c>
    </row>
    <row r="1917" spans="1:9" x14ac:dyDescent="0.3">
      <c r="A1917" t="s">
        <v>21</v>
      </c>
      <c r="C1917">
        <v>689000</v>
      </c>
      <c r="E1917">
        <v>266000</v>
      </c>
      <c r="G1917" s="25">
        <v>44032</v>
      </c>
      <c r="H1917">
        <v>2020</v>
      </c>
      <c r="I1917" t="s">
        <v>48</v>
      </c>
    </row>
    <row r="1918" spans="1:9" x14ac:dyDescent="0.3">
      <c r="A1918" t="s">
        <v>18</v>
      </c>
      <c r="G1918" s="25">
        <v>44032</v>
      </c>
      <c r="H1918">
        <v>2020</v>
      </c>
      <c r="I1918" t="s">
        <v>48</v>
      </c>
    </row>
    <row r="1919" spans="1:9" x14ac:dyDescent="0.3">
      <c r="A1919" t="s">
        <v>16</v>
      </c>
      <c r="B1919">
        <v>261000</v>
      </c>
      <c r="C1919">
        <v>369000</v>
      </c>
      <c r="D1919">
        <v>270000</v>
      </c>
      <c r="G1919" s="25">
        <v>44032</v>
      </c>
      <c r="H1919">
        <v>2020</v>
      </c>
      <c r="I1919" t="s">
        <v>48</v>
      </c>
    </row>
    <row r="1920" spans="1:9" x14ac:dyDescent="0.3">
      <c r="A1920" t="s">
        <v>20</v>
      </c>
      <c r="G1920" s="25">
        <v>44033</v>
      </c>
      <c r="H1920">
        <v>2020</v>
      </c>
      <c r="I1920" t="s">
        <v>48</v>
      </c>
    </row>
    <row r="1921" spans="1:9" x14ac:dyDescent="0.3">
      <c r="A1921" t="s">
        <v>17</v>
      </c>
      <c r="B1921">
        <v>212000</v>
      </c>
      <c r="D1921">
        <v>748000</v>
      </c>
      <c r="G1921" s="25">
        <v>44033</v>
      </c>
      <c r="H1921">
        <v>2020</v>
      </c>
      <c r="I1921" t="s">
        <v>48</v>
      </c>
    </row>
    <row r="1922" spans="1:9" x14ac:dyDescent="0.3">
      <c r="A1922" t="s">
        <v>0</v>
      </c>
      <c r="B1922">
        <v>216000</v>
      </c>
      <c r="G1922" s="25">
        <v>44033</v>
      </c>
      <c r="H1922">
        <v>2020</v>
      </c>
      <c r="I1922" t="s">
        <v>48</v>
      </c>
    </row>
    <row r="1923" spans="1:9" x14ac:dyDescent="0.3">
      <c r="A1923" t="s">
        <v>25</v>
      </c>
      <c r="B1923">
        <v>216000</v>
      </c>
      <c r="C1923">
        <v>311000</v>
      </c>
      <c r="D1923">
        <v>54000</v>
      </c>
      <c r="G1923" s="25">
        <v>44033</v>
      </c>
      <c r="H1923">
        <v>2020</v>
      </c>
      <c r="I1923" t="s">
        <v>48</v>
      </c>
    </row>
    <row r="1924" spans="1:9" x14ac:dyDescent="0.3">
      <c r="A1924" t="s">
        <v>15</v>
      </c>
      <c r="D1924">
        <v>154000</v>
      </c>
      <c r="G1924" s="25">
        <v>44033</v>
      </c>
      <c r="H1924">
        <v>2020</v>
      </c>
      <c r="I1924" t="s">
        <v>48</v>
      </c>
    </row>
    <row r="1925" spans="1:9" x14ac:dyDescent="0.3">
      <c r="A1925" t="s">
        <v>26</v>
      </c>
      <c r="B1925">
        <v>54000</v>
      </c>
      <c r="G1925" s="25">
        <v>44033</v>
      </c>
      <c r="H1925">
        <v>2020</v>
      </c>
      <c r="I1925" t="s">
        <v>48</v>
      </c>
    </row>
    <row r="1926" spans="1:9" x14ac:dyDescent="0.3">
      <c r="A1926" t="s">
        <v>22</v>
      </c>
      <c r="G1926" s="25">
        <v>44033</v>
      </c>
      <c r="H1926">
        <v>2020</v>
      </c>
      <c r="I1926" t="s">
        <v>48</v>
      </c>
    </row>
    <row r="1927" spans="1:9" x14ac:dyDescent="0.3">
      <c r="A1927" t="s">
        <v>19</v>
      </c>
      <c r="B1927">
        <v>212000</v>
      </c>
      <c r="C1927">
        <v>315000</v>
      </c>
      <c r="G1927" s="25">
        <v>44033</v>
      </c>
      <c r="H1927">
        <v>2020</v>
      </c>
      <c r="I1927" t="s">
        <v>48</v>
      </c>
    </row>
    <row r="1928" spans="1:9" x14ac:dyDescent="0.3">
      <c r="A1928" t="s">
        <v>14</v>
      </c>
      <c r="B1928">
        <v>324000</v>
      </c>
      <c r="C1928">
        <v>633000</v>
      </c>
      <c r="G1928" s="25">
        <v>44033</v>
      </c>
      <c r="H1928">
        <v>2020</v>
      </c>
      <c r="I1928" t="s">
        <v>48</v>
      </c>
    </row>
    <row r="1929" spans="1:9" x14ac:dyDescent="0.3">
      <c r="A1929" t="s">
        <v>24</v>
      </c>
      <c r="G1929" s="25">
        <v>44033</v>
      </c>
      <c r="H1929">
        <v>2020</v>
      </c>
      <c r="I1929" t="s">
        <v>48</v>
      </c>
    </row>
    <row r="1930" spans="1:9" x14ac:dyDescent="0.3">
      <c r="A1930" t="s">
        <v>21</v>
      </c>
      <c r="C1930">
        <v>423000</v>
      </c>
      <c r="G1930" s="25">
        <v>44033</v>
      </c>
      <c r="H1930">
        <v>2020</v>
      </c>
      <c r="I1930" t="s">
        <v>48</v>
      </c>
    </row>
    <row r="1931" spans="1:9" x14ac:dyDescent="0.3">
      <c r="A1931" t="s">
        <v>18</v>
      </c>
      <c r="G1931" s="25">
        <v>44033</v>
      </c>
      <c r="H1931">
        <v>2020</v>
      </c>
      <c r="I1931" t="s">
        <v>48</v>
      </c>
    </row>
    <row r="1932" spans="1:9" x14ac:dyDescent="0.3">
      <c r="A1932" t="s">
        <v>16</v>
      </c>
      <c r="B1932">
        <v>108000</v>
      </c>
      <c r="D1932">
        <v>378000</v>
      </c>
      <c r="G1932" s="25">
        <v>44033</v>
      </c>
      <c r="H1932">
        <v>2020</v>
      </c>
      <c r="I1932" t="s">
        <v>48</v>
      </c>
    </row>
    <row r="1933" spans="1:9" x14ac:dyDescent="0.3">
      <c r="A1933" t="s">
        <v>20</v>
      </c>
      <c r="G1933" s="25">
        <v>44034</v>
      </c>
      <c r="H1933">
        <v>2020</v>
      </c>
      <c r="I1933" t="s">
        <v>48</v>
      </c>
    </row>
    <row r="1934" spans="1:9" x14ac:dyDescent="0.3">
      <c r="A1934" t="s">
        <v>17</v>
      </c>
      <c r="B1934">
        <v>54000</v>
      </c>
      <c r="D1934">
        <v>473000</v>
      </c>
      <c r="G1934" s="25">
        <v>44034</v>
      </c>
      <c r="H1934">
        <v>2020</v>
      </c>
      <c r="I1934" t="s">
        <v>48</v>
      </c>
    </row>
    <row r="1935" spans="1:9" x14ac:dyDescent="0.3">
      <c r="A1935" t="s">
        <v>0</v>
      </c>
      <c r="B1935">
        <v>162000</v>
      </c>
      <c r="G1935" s="25">
        <v>44034</v>
      </c>
      <c r="H1935">
        <v>2020</v>
      </c>
      <c r="I1935" t="s">
        <v>48</v>
      </c>
    </row>
    <row r="1936" spans="1:9" x14ac:dyDescent="0.3">
      <c r="A1936" t="s">
        <v>25</v>
      </c>
      <c r="B1936">
        <v>324000</v>
      </c>
      <c r="C1936">
        <v>108000</v>
      </c>
      <c r="D1936">
        <v>424000</v>
      </c>
      <c r="G1936" s="25">
        <v>44034</v>
      </c>
      <c r="H1936">
        <v>2020</v>
      </c>
      <c r="I1936" t="s">
        <v>48</v>
      </c>
    </row>
    <row r="1937" spans="1:9" x14ac:dyDescent="0.3">
      <c r="A1937" t="s">
        <v>15</v>
      </c>
      <c r="G1937" s="25">
        <v>44034</v>
      </c>
      <c r="H1937">
        <v>2020</v>
      </c>
      <c r="I1937" t="s">
        <v>48</v>
      </c>
    </row>
    <row r="1938" spans="1:9" x14ac:dyDescent="0.3">
      <c r="A1938" t="s">
        <v>26</v>
      </c>
      <c r="G1938" s="25">
        <v>44034</v>
      </c>
      <c r="H1938">
        <v>2020</v>
      </c>
      <c r="I1938" t="s">
        <v>48</v>
      </c>
    </row>
    <row r="1939" spans="1:9" x14ac:dyDescent="0.3">
      <c r="A1939" t="s">
        <v>22</v>
      </c>
      <c r="C1939">
        <v>184500</v>
      </c>
      <c r="G1939" s="25">
        <v>44034</v>
      </c>
      <c r="H1939">
        <v>2020</v>
      </c>
      <c r="I1939" t="s">
        <v>48</v>
      </c>
    </row>
    <row r="1940" spans="1:9" x14ac:dyDescent="0.3">
      <c r="A1940" t="s">
        <v>19</v>
      </c>
      <c r="B1940">
        <v>204500</v>
      </c>
      <c r="G1940" s="25">
        <v>44034</v>
      </c>
      <c r="H1940">
        <v>2020</v>
      </c>
      <c r="I1940" t="s">
        <v>48</v>
      </c>
    </row>
    <row r="1941" spans="1:9" x14ac:dyDescent="0.3">
      <c r="A1941" t="s">
        <v>14</v>
      </c>
      <c r="B1941">
        <v>212000</v>
      </c>
      <c r="C1941">
        <v>526500</v>
      </c>
      <c r="G1941" s="25">
        <v>44034</v>
      </c>
      <c r="H1941">
        <v>2020</v>
      </c>
      <c r="I1941" t="s">
        <v>48</v>
      </c>
    </row>
    <row r="1942" spans="1:9" x14ac:dyDescent="0.3">
      <c r="A1942" t="s">
        <v>24</v>
      </c>
      <c r="G1942" s="25">
        <v>44034</v>
      </c>
      <c r="H1942">
        <v>2020</v>
      </c>
      <c r="I1942" t="s">
        <v>48</v>
      </c>
    </row>
    <row r="1943" spans="1:9" x14ac:dyDescent="0.3">
      <c r="A1943" t="s">
        <v>21</v>
      </c>
      <c r="C1943">
        <v>486000</v>
      </c>
      <c r="G1943" s="25">
        <v>44034</v>
      </c>
      <c r="H1943">
        <v>2020</v>
      </c>
      <c r="I1943" t="s">
        <v>48</v>
      </c>
    </row>
    <row r="1944" spans="1:9" x14ac:dyDescent="0.3">
      <c r="A1944" t="s">
        <v>18</v>
      </c>
      <c r="G1944" s="25">
        <v>44034</v>
      </c>
      <c r="H1944">
        <v>2020</v>
      </c>
      <c r="I1944" t="s">
        <v>48</v>
      </c>
    </row>
    <row r="1945" spans="1:9" x14ac:dyDescent="0.3">
      <c r="A1945" t="s">
        <v>16</v>
      </c>
      <c r="B1945">
        <v>49500</v>
      </c>
      <c r="D1945">
        <v>378000</v>
      </c>
      <c r="G1945" s="25">
        <v>44034</v>
      </c>
      <c r="H1945">
        <v>2020</v>
      </c>
      <c r="I1945" t="s">
        <v>48</v>
      </c>
    </row>
    <row r="1946" spans="1:9" x14ac:dyDescent="0.3">
      <c r="A1946" t="s">
        <v>20</v>
      </c>
      <c r="G1946" s="25">
        <v>44035</v>
      </c>
      <c r="H1946">
        <v>2020</v>
      </c>
      <c r="I1946" t="s">
        <v>48</v>
      </c>
    </row>
    <row r="1947" spans="1:9" x14ac:dyDescent="0.3">
      <c r="A1947" t="s">
        <v>17</v>
      </c>
      <c r="B1947">
        <v>45000</v>
      </c>
      <c r="D1947">
        <v>532000</v>
      </c>
      <c r="G1947" s="25">
        <v>44035</v>
      </c>
      <c r="H1947">
        <v>2020</v>
      </c>
      <c r="I1947" t="s">
        <v>48</v>
      </c>
    </row>
    <row r="1948" spans="1:9" x14ac:dyDescent="0.3">
      <c r="A1948" t="s">
        <v>0</v>
      </c>
      <c r="B1948">
        <v>324000</v>
      </c>
      <c r="G1948" s="25">
        <v>44035</v>
      </c>
      <c r="H1948">
        <v>2020</v>
      </c>
      <c r="I1948" t="s">
        <v>48</v>
      </c>
    </row>
    <row r="1949" spans="1:9" x14ac:dyDescent="0.3">
      <c r="A1949" t="s">
        <v>25</v>
      </c>
      <c r="B1949">
        <v>45000</v>
      </c>
      <c r="D1949">
        <v>216000</v>
      </c>
      <c r="G1949" s="25">
        <v>44035</v>
      </c>
      <c r="H1949">
        <v>2020</v>
      </c>
      <c r="I1949" t="s">
        <v>48</v>
      </c>
    </row>
    <row r="1950" spans="1:9" x14ac:dyDescent="0.3">
      <c r="A1950" t="s">
        <v>15</v>
      </c>
      <c r="G1950" s="25">
        <v>44035</v>
      </c>
      <c r="H1950">
        <v>2020</v>
      </c>
      <c r="I1950" t="s">
        <v>48</v>
      </c>
    </row>
    <row r="1951" spans="1:9" x14ac:dyDescent="0.3">
      <c r="A1951" t="s">
        <v>26</v>
      </c>
      <c r="G1951" s="25">
        <v>44035</v>
      </c>
      <c r="H1951">
        <v>2020</v>
      </c>
      <c r="I1951" t="s">
        <v>48</v>
      </c>
    </row>
    <row r="1952" spans="1:9" x14ac:dyDescent="0.3">
      <c r="A1952" t="s">
        <v>22</v>
      </c>
      <c r="G1952" s="25">
        <v>44035</v>
      </c>
      <c r="H1952">
        <v>2020</v>
      </c>
      <c r="I1952" t="s">
        <v>48</v>
      </c>
    </row>
    <row r="1953" spans="1:9" x14ac:dyDescent="0.3">
      <c r="A1953" t="s">
        <v>19</v>
      </c>
      <c r="G1953" s="25">
        <v>44035</v>
      </c>
      <c r="H1953">
        <v>2020</v>
      </c>
      <c r="I1953" t="s">
        <v>48</v>
      </c>
    </row>
    <row r="1954" spans="1:9" x14ac:dyDescent="0.3">
      <c r="A1954" t="s">
        <v>14</v>
      </c>
      <c r="D1954">
        <v>208000</v>
      </c>
      <c r="G1954" s="25">
        <v>44035</v>
      </c>
      <c r="H1954">
        <v>2020</v>
      </c>
      <c r="I1954" t="s">
        <v>48</v>
      </c>
    </row>
    <row r="1955" spans="1:9" x14ac:dyDescent="0.3">
      <c r="A1955" t="s">
        <v>24</v>
      </c>
      <c r="G1955" s="25">
        <v>44035</v>
      </c>
      <c r="H1955">
        <v>2020</v>
      </c>
      <c r="I1955" t="s">
        <v>48</v>
      </c>
    </row>
    <row r="1956" spans="1:9" x14ac:dyDescent="0.3">
      <c r="A1956" t="s">
        <v>21</v>
      </c>
      <c r="G1956" s="25">
        <v>44035</v>
      </c>
      <c r="H1956">
        <v>2020</v>
      </c>
      <c r="I1956" t="s">
        <v>48</v>
      </c>
    </row>
    <row r="1957" spans="1:9" x14ac:dyDescent="0.3">
      <c r="A1957" t="s">
        <v>18</v>
      </c>
      <c r="G1957" s="25">
        <v>44035</v>
      </c>
      <c r="H1957">
        <v>2020</v>
      </c>
      <c r="I1957" t="s">
        <v>48</v>
      </c>
    </row>
    <row r="1958" spans="1:9" x14ac:dyDescent="0.3">
      <c r="A1958" t="s">
        <v>16</v>
      </c>
      <c r="G1958" s="25">
        <v>44035</v>
      </c>
      <c r="H1958">
        <v>2020</v>
      </c>
      <c r="I1958" t="s">
        <v>48</v>
      </c>
    </row>
    <row r="1959" spans="1:9" x14ac:dyDescent="0.3">
      <c r="A1959" t="s">
        <v>20</v>
      </c>
      <c r="G1959" s="25">
        <v>44036</v>
      </c>
      <c r="H1959">
        <v>2020</v>
      </c>
      <c r="I1959" t="s">
        <v>48</v>
      </c>
    </row>
    <row r="1960" spans="1:9" x14ac:dyDescent="0.3">
      <c r="A1960" t="s">
        <v>17</v>
      </c>
      <c r="B1960">
        <v>162000</v>
      </c>
      <c r="C1960">
        <v>47000</v>
      </c>
      <c r="D1960">
        <v>270000</v>
      </c>
      <c r="G1960" s="25">
        <v>44036</v>
      </c>
      <c r="H1960">
        <v>2020</v>
      </c>
      <c r="I1960" t="s">
        <v>48</v>
      </c>
    </row>
    <row r="1961" spans="1:9" x14ac:dyDescent="0.3">
      <c r="A1961" t="s">
        <v>0</v>
      </c>
      <c r="B1961">
        <v>162000</v>
      </c>
      <c r="D1961">
        <v>45000</v>
      </c>
      <c r="G1961" s="25">
        <v>44036</v>
      </c>
      <c r="H1961">
        <v>2020</v>
      </c>
      <c r="I1961" t="s">
        <v>48</v>
      </c>
    </row>
    <row r="1962" spans="1:9" x14ac:dyDescent="0.3">
      <c r="A1962" t="s">
        <v>25</v>
      </c>
      <c r="B1962">
        <v>153000</v>
      </c>
      <c r="E1962">
        <v>162000</v>
      </c>
      <c r="G1962" s="25">
        <v>44036</v>
      </c>
      <c r="H1962">
        <v>2020</v>
      </c>
      <c r="I1962" t="s">
        <v>48</v>
      </c>
    </row>
    <row r="1963" spans="1:9" x14ac:dyDescent="0.3">
      <c r="A1963" t="s">
        <v>15</v>
      </c>
      <c r="G1963" s="25">
        <v>44036</v>
      </c>
      <c r="H1963">
        <v>2020</v>
      </c>
      <c r="I1963" t="s">
        <v>48</v>
      </c>
    </row>
    <row r="1964" spans="1:9" x14ac:dyDescent="0.3">
      <c r="A1964" t="s">
        <v>26</v>
      </c>
      <c r="C1964">
        <v>50000</v>
      </c>
      <c r="G1964" s="25">
        <v>44036</v>
      </c>
      <c r="H1964">
        <v>2020</v>
      </c>
      <c r="I1964" t="s">
        <v>48</v>
      </c>
    </row>
    <row r="1965" spans="1:9" x14ac:dyDescent="0.3">
      <c r="A1965" t="s">
        <v>22</v>
      </c>
      <c r="G1965" s="25">
        <v>44036</v>
      </c>
      <c r="H1965">
        <v>2020</v>
      </c>
      <c r="I1965" t="s">
        <v>48</v>
      </c>
    </row>
    <row r="1966" spans="1:9" x14ac:dyDescent="0.3">
      <c r="A1966" t="s">
        <v>19</v>
      </c>
      <c r="B1966">
        <v>108000</v>
      </c>
      <c r="C1966">
        <v>360000</v>
      </c>
      <c r="D1966">
        <v>324000</v>
      </c>
      <c r="G1966" s="25">
        <v>44036</v>
      </c>
      <c r="H1966">
        <v>2020</v>
      </c>
      <c r="I1966" t="s">
        <v>48</v>
      </c>
    </row>
    <row r="1967" spans="1:9" x14ac:dyDescent="0.3">
      <c r="A1967" t="s">
        <v>14</v>
      </c>
      <c r="B1967">
        <v>216000</v>
      </c>
      <c r="C1967">
        <v>486000</v>
      </c>
      <c r="D1967">
        <v>216000</v>
      </c>
      <c r="G1967" s="25">
        <v>44036</v>
      </c>
      <c r="H1967">
        <v>2020</v>
      </c>
      <c r="I1967" t="s">
        <v>48</v>
      </c>
    </row>
    <row r="1968" spans="1:9" x14ac:dyDescent="0.3">
      <c r="A1968" t="s">
        <v>24</v>
      </c>
      <c r="B1968">
        <v>216000</v>
      </c>
      <c r="G1968" s="25">
        <v>44036</v>
      </c>
      <c r="H1968">
        <v>2020</v>
      </c>
      <c r="I1968" t="s">
        <v>48</v>
      </c>
    </row>
    <row r="1969" spans="1:9" x14ac:dyDescent="0.3">
      <c r="A1969" t="s">
        <v>21</v>
      </c>
      <c r="C1969">
        <v>324000</v>
      </c>
      <c r="E1969">
        <v>324000</v>
      </c>
      <c r="G1969" s="25">
        <v>44036</v>
      </c>
      <c r="H1969">
        <v>2020</v>
      </c>
      <c r="I1969" t="s">
        <v>48</v>
      </c>
    </row>
    <row r="1970" spans="1:9" x14ac:dyDescent="0.3">
      <c r="A1970" t="s">
        <v>18</v>
      </c>
      <c r="G1970" s="25">
        <v>44036</v>
      </c>
      <c r="H1970">
        <v>2020</v>
      </c>
      <c r="I1970" t="s">
        <v>48</v>
      </c>
    </row>
    <row r="1971" spans="1:9" x14ac:dyDescent="0.3">
      <c r="A1971" t="s">
        <v>16</v>
      </c>
      <c r="B1971">
        <v>104000</v>
      </c>
      <c r="G1971" s="25">
        <v>44036</v>
      </c>
      <c r="H1971">
        <v>2020</v>
      </c>
      <c r="I1971" t="s">
        <v>48</v>
      </c>
    </row>
    <row r="1972" spans="1:9" x14ac:dyDescent="0.3">
      <c r="A1972" t="s">
        <v>20</v>
      </c>
      <c r="G1972" s="25">
        <v>44037</v>
      </c>
      <c r="H1972">
        <v>2020</v>
      </c>
      <c r="I1972" t="s">
        <v>48</v>
      </c>
    </row>
    <row r="1973" spans="1:9" x14ac:dyDescent="0.3">
      <c r="A1973" t="s">
        <v>17</v>
      </c>
      <c r="B1973">
        <v>208000</v>
      </c>
      <c r="C1973">
        <v>45000</v>
      </c>
      <c r="D1973">
        <v>320000</v>
      </c>
      <c r="G1973" s="25">
        <v>44037</v>
      </c>
      <c r="H1973">
        <v>2020</v>
      </c>
      <c r="I1973" t="s">
        <v>48</v>
      </c>
    </row>
    <row r="1974" spans="1:9" x14ac:dyDescent="0.3">
      <c r="A1974" t="s">
        <v>0</v>
      </c>
      <c r="B1974">
        <v>162000</v>
      </c>
      <c r="E1974">
        <v>50000</v>
      </c>
      <c r="G1974" s="25">
        <v>44037</v>
      </c>
      <c r="H1974">
        <v>2020</v>
      </c>
      <c r="I1974" t="s">
        <v>48</v>
      </c>
    </row>
    <row r="1975" spans="1:9" x14ac:dyDescent="0.3">
      <c r="A1975" t="s">
        <v>25</v>
      </c>
      <c r="B1975">
        <v>45000</v>
      </c>
      <c r="C1975">
        <v>377500</v>
      </c>
      <c r="G1975" s="25">
        <v>44037</v>
      </c>
      <c r="H1975">
        <v>2020</v>
      </c>
      <c r="I1975" t="s">
        <v>48</v>
      </c>
    </row>
    <row r="1976" spans="1:9" x14ac:dyDescent="0.3">
      <c r="A1976" t="s">
        <v>15</v>
      </c>
      <c r="D1976">
        <v>47000</v>
      </c>
      <c r="G1976" s="25">
        <v>44037</v>
      </c>
      <c r="H1976">
        <v>2020</v>
      </c>
      <c r="I1976" t="s">
        <v>48</v>
      </c>
    </row>
    <row r="1977" spans="1:9" x14ac:dyDescent="0.3">
      <c r="A1977" t="s">
        <v>26</v>
      </c>
      <c r="B1977">
        <v>54000</v>
      </c>
      <c r="D1977">
        <v>54000</v>
      </c>
      <c r="G1977" s="25">
        <v>44037</v>
      </c>
      <c r="H1977">
        <v>2020</v>
      </c>
      <c r="I1977" t="s">
        <v>48</v>
      </c>
    </row>
    <row r="1978" spans="1:9" x14ac:dyDescent="0.3">
      <c r="A1978" t="s">
        <v>22</v>
      </c>
      <c r="C1978">
        <v>314000</v>
      </c>
      <c r="G1978" s="25">
        <v>44037</v>
      </c>
      <c r="H1978">
        <v>2020</v>
      </c>
      <c r="I1978" t="s">
        <v>48</v>
      </c>
    </row>
    <row r="1979" spans="1:9" x14ac:dyDescent="0.3">
      <c r="A1979" t="s">
        <v>19</v>
      </c>
      <c r="B1979">
        <v>54000</v>
      </c>
      <c r="C1979">
        <v>269000</v>
      </c>
      <c r="D1979">
        <v>378000</v>
      </c>
      <c r="G1979" s="25">
        <v>44037</v>
      </c>
      <c r="H1979">
        <v>2020</v>
      </c>
      <c r="I1979" t="s">
        <v>48</v>
      </c>
    </row>
    <row r="1980" spans="1:9" x14ac:dyDescent="0.3">
      <c r="A1980" t="s">
        <v>14</v>
      </c>
      <c r="B1980">
        <v>485500</v>
      </c>
      <c r="C1980">
        <v>216000</v>
      </c>
      <c r="D1980">
        <v>320000</v>
      </c>
      <c r="E1980">
        <v>50000</v>
      </c>
      <c r="G1980" s="25">
        <v>44037</v>
      </c>
      <c r="H1980">
        <v>2020</v>
      </c>
      <c r="I1980" t="s">
        <v>48</v>
      </c>
    </row>
    <row r="1981" spans="1:9" x14ac:dyDescent="0.3">
      <c r="A1981" t="s">
        <v>24</v>
      </c>
      <c r="G1981" s="25">
        <v>44037</v>
      </c>
      <c r="H1981">
        <v>2020</v>
      </c>
      <c r="I1981" t="s">
        <v>48</v>
      </c>
    </row>
    <row r="1982" spans="1:9" x14ac:dyDescent="0.3">
      <c r="A1982" t="s">
        <v>21</v>
      </c>
      <c r="C1982">
        <v>54000</v>
      </c>
      <c r="G1982" s="25">
        <v>44037</v>
      </c>
      <c r="H1982">
        <v>2020</v>
      </c>
      <c r="I1982" t="s">
        <v>48</v>
      </c>
    </row>
    <row r="1983" spans="1:9" x14ac:dyDescent="0.3">
      <c r="A1983" t="s">
        <v>18</v>
      </c>
      <c r="B1983">
        <v>158000</v>
      </c>
      <c r="D1983">
        <v>216000</v>
      </c>
      <c r="G1983" s="25">
        <v>44037</v>
      </c>
      <c r="H1983">
        <v>2020</v>
      </c>
      <c r="I1983" t="s">
        <v>48</v>
      </c>
    </row>
    <row r="1984" spans="1:9" x14ac:dyDescent="0.3">
      <c r="A1984" t="s">
        <v>16</v>
      </c>
      <c r="B1984">
        <v>154000</v>
      </c>
      <c r="D1984">
        <v>270000</v>
      </c>
      <c r="G1984" s="25">
        <v>44037</v>
      </c>
      <c r="H1984">
        <v>2020</v>
      </c>
      <c r="I1984" t="s">
        <v>48</v>
      </c>
    </row>
    <row r="1985" spans="1:9" x14ac:dyDescent="0.3">
      <c r="A1985" t="s">
        <v>20</v>
      </c>
      <c r="G1985" s="25">
        <v>44039</v>
      </c>
      <c r="H1985">
        <v>2020</v>
      </c>
      <c r="I1985" t="s">
        <v>48</v>
      </c>
    </row>
    <row r="1986" spans="1:9" x14ac:dyDescent="0.3">
      <c r="A1986" t="s">
        <v>17</v>
      </c>
      <c r="B1986">
        <v>270000</v>
      </c>
      <c r="G1986" s="25">
        <v>44039</v>
      </c>
      <c r="H1986">
        <v>2020</v>
      </c>
      <c r="I1986" t="s">
        <v>48</v>
      </c>
    </row>
    <row r="1987" spans="1:9" x14ac:dyDescent="0.3">
      <c r="A1987" t="s">
        <v>0</v>
      </c>
      <c r="B1987">
        <v>378000</v>
      </c>
      <c r="G1987" s="25">
        <v>44039</v>
      </c>
      <c r="H1987">
        <v>2020</v>
      </c>
      <c r="I1987" t="s">
        <v>48</v>
      </c>
    </row>
    <row r="1988" spans="1:9" x14ac:dyDescent="0.3">
      <c r="A1988" t="s">
        <v>25</v>
      </c>
      <c r="B1988">
        <v>378000</v>
      </c>
      <c r="G1988" s="25">
        <v>44039</v>
      </c>
      <c r="H1988">
        <v>2020</v>
      </c>
      <c r="I1988" t="s">
        <v>48</v>
      </c>
    </row>
    <row r="1989" spans="1:9" x14ac:dyDescent="0.3">
      <c r="A1989" t="s">
        <v>15</v>
      </c>
      <c r="G1989" s="25">
        <v>44039</v>
      </c>
      <c r="H1989">
        <v>2020</v>
      </c>
      <c r="I1989" t="s">
        <v>48</v>
      </c>
    </row>
    <row r="1990" spans="1:9" x14ac:dyDescent="0.3">
      <c r="A1990" t="s">
        <v>26</v>
      </c>
      <c r="G1990" s="25">
        <v>44039</v>
      </c>
      <c r="H1990">
        <v>2020</v>
      </c>
      <c r="I1990" t="s">
        <v>48</v>
      </c>
    </row>
    <row r="1991" spans="1:9" x14ac:dyDescent="0.3">
      <c r="A1991" t="s">
        <v>22</v>
      </c>
      <c r="C1991">
        <v>54000</v>
      </c>
      <c r="G1991" s="25">
        <v>44039</v>
      </c>
      <c r="H1991">
        <v>2020</v>
      </c>
      <c r="I1991" t="s">
        <v>48</v>
      </c>
    </row>
    <row r="1992" spans="1:9" x14ac:dyDescent="0.3">
      <c r="A1992" t="s">
        <v>19</v>
      </c>
      <c r="B1992">
        <v>162000</v>
      </c>
      <c r="C1992">
        <v>1183500</v>
      </c>
      <c r="G1992" s="25">
        <v>44039</v>
      </c>
      <c r="H1992">
        <v>2020</v>
      </c>
      <c r="I1992" t="s">
        <v>48</v>
      </c>
    </row>
    <row r="1993" spans="1:9" x14ac:dyDescent="0.3">
      <c r="A1993" t="s">
        <v>14</v>
      </c>
      <c r="B1993">
        <v>540000</v>
      </c>
      <c r="G1993" s="25">
        <v>44039</v>
      </c>
      <c r="H1993">
        <v>2020</v>
      </c>
      <c r="I1993" t="s">
        <v>48</v>
      </c>
    </row>
    <row r="1994" spans="1:9" x14ac:dyDescent="0.3">
      <c r="A1994" t="s">
        <v>24</v>
      </c>
      <c r="G1994" s="25">
        <v>44039</v>
      </c>
      <c r="H1994">
        <v>2020</v>
      </c>
      <c r="I1994" t="s">
        <v>48</v>
      </c>
    </row>
    <row r="1995" spans="1:9" x14ac:dyDescent="0.3">
      <c r="A1995" t="s">
        <v>21</v>
      </c>
      <c r="C1995">
        <v>50000</v>
      </c>
      <c r="G1995" s="25">
        <v>44039</v>
      </c>
      <c r="H1995">
        <v>2020</v>
      </c>
      <c r="I1995" t="s">
        <v>48</v>
      </c>
    </row>
    <row r="1996" spans="1:9" x14ac:dyDescent="0.3">
      <c r="A1996" t="s">
        <v>18</v>
      </c>
      <c r="B1996">
        <v>202500</v>
      </c>
      <c r="G1996" s="25">
        <v>44039</v>
      </c>
      <c r="H1996">
        <v>2020</v>
      </c>
      <c r="I1996" t="s">
        <v>48</v>
      </c>
    </row>
    <row r="1997" spans="1:9" x14ac:dyDescent="0.3">
      <c r="A1997" t="s">
        <v>16</v>
      </c>
      <c r="B1997">
        <v>260500</v>
      </c>
      <c r="G1997" s="25">
        <v>44039</v>
      </c>
      <c r="H1997">
        <v>2020</v>
      </c>
      <c r="I1997" t="s">
        <v>48</v>
      </c>
    </row>
    <row r="1998" spans="1:9" x14ac:dyDescent="0.3">
      <c r="A1998" t="s">
        <v>20</v>
      </c>
      <c r="G1998" s="25">
        <v>44040</v>
      </c>
      <c r="H1998">
        <v>2020</v>
      </c>
      <c r="I1998" t="s">
        <v>48</v>
      </c>
    </row>
    <row r="1999" spans="1:9" x14ac:dyDescent="0.3">
      <c r="A1999" t="s">
        <v>17</v>
      </c>
      <c r="B1999">
        <v>212000</v>
      </c>
      <c r="D1999">
        <v>162000</v>
      </c>
      <c r="G1999" s="25">
        <v>44040</v>
      </c>
      <c r="H1999">
        <v>2020</v>
      </c>
      <c r="I1999" t="s">
        <v>48</v>
      </c>
    </row>
    <row r="2000" spans="1:9" x14ac:dyDescent="0.3">
      <c r="A2000" t="s">
        <v>0</v>
      </c>
      <c r="B2000">
        <v>324000</v>
      </c>
      <c r="G2000" s="25">
        <v>44040</v>
      </c>
      <c r="H2000">
        <v>2020</v>
      </c>
      <c r="I2000" t="s">
        <v>48</v>
      </c>
    </row>
    <row r="2001" spans="1:9" x14ac:dyDescent="0.3">
      <c r="A2001" t="s">
        <v>25</v>
      </c>
      <c r="B2001">
        <v>216000</v>
      </c>
      <c r="C2001">
        <v>576000</v>
      </c>
      <c r="G2001" s="25">
        <v>44040</v>
      </c>
      <c r="H2001">
        <v>2020</v>
      </c>
      <c r="I2001" t="s">
        <v>48</v>
      </c>
    </row>
    <row r="2002" spans="1:9" x14ac:dyDescent="0.3">
      <c r="A2002" t="s">
        <v>15</v>
      </c>
      <c r="G2002" s="25">
        <v>44040</v>
      </c>
      <c r="H2002">
        <v>2020</v>
      </c>
      <c r="I2002" t="s">
        <v>48</v>
      </c>
    </row>
    <row r="2003" spans="1:9" x14ac:dyDescent="0.3">
      <c r="A2003" t="s">
        <v>26</v>
      </c>
      <c r="G2003" s="25">
        <v>44040</v>
      </c>
      <c r="H2003">
        <v>2020</v>
      </c>
      <c r="I2003" t="s">
        <v>48</v>
      </c>
    </row>
    <row r="2004" spans="1:9" x14ac:dyDescent="0.3">
      <c r="A2004" t="s">
        <v>22</v>
      </c>
      <c r="C2004">
        <v>481500</v>
      </c>
      <c r="G2004" s="25">
        <v>44040</v>
      </c>
      <c r="H2004">
        <v>2020</v>
      </c>
      <c r="I2004" t="s">
        <v>48</v>
      </c>
    </row>
    <row r="2005" spans="1:9" x14ac:dyDescent="0.3">
      <c r="A2005" t="s">
        <v>19</v>
      </c>
      <c r="B2005">
        <v>216000</v>
      </c>
      <c r="C2005">
        <v>54000</v>
      </c>
      <c r="D2005">
        <v>270000</v>
      </c>
      <c r="G2005" s="25">
        <v>44040</v>
      </c>
      <c r="H2005">
        <v>2020</v>
      </c>
      <c r="I2005" t="s">
        <v>48</v>
      </c>
    </row>
    <row r="2006" spans="1:9" x14ac:dyDescent="0.3">
      <c r="A2006" t="s">
        <v>14</v>
      </c>
      <c r="B2006">
        <v>270000</v>
      </c>
      <c r="C2006">
        <v>54000</v>
      </c>
      <c r="D2006">
        <v>162000</v>
      </c>
      <c r="G2006" s="25">
        <v>44040</v>
      </c>
      <c r="H2006">
        <v>2020</v>
      </c>
      <c r="I2006" t="s">
        <v>48</v>
      </c>
    </row>
    <row r="2007" spans="1:9" x14ac:dyDescent="0.3">
      <c r="A2007" t="s">
        <v>24</v>
      </c>
      <c r="G2007" s="25">
        <v>44040</v>
      </c>
      <c r="H2007">
        <v>2020</v>
      </c>
      <c r="I2007" t="s">
        <v>48</v>
      </c>
    </row>
    <row r="2008" spans="1:9" x14ac:dyDescent="0.3">
      <c r="A2008" t="s">
        <v>21</v>
      </c>
      <c r="E2008">
        <v>270000</v>
      </c>
      <c r="G2008" s="25">
        <v>44040</v>
      </c>
      <c r="H2008">
        <v>2020</v>
      </c>
      <c r="I2008" t="s">
        <v>48</v>
      </c>
    </row>
    <row r="2009" spans="1:9" x14ac:dyDescent="0.3">
      <c r="A2009" t="s">
        <v>18</v>
      </c>
      <c r="B2009">
        <v>45000</v>
      </c>
      <c r="D2009">
        <v>212000</v>
      </c>
      <c r="G2009" s="25">
        <v>44040</v>
      </c>
      <c r="H2009">
        <v>2020</v>
      </c>
      <c r="I2009" t="s">
        <v>48</v>
      </c>
    </row>
    <row r="2010" spans="1:9" x14ac:dyDescent="0.3">
      <c r="A2010" t="s">
        <v>16</v>
      </c>
      <c r="B2010">
        <v>108000</v>
      </c>
      <c r="D2010">
        <v>209000</v>
      </c>
      <c r="G2010" s="25">
        <v>44040</v>
      </c>
      <c r="H2010">
        <v>2020</v>
      </c>
      <c r="I2010" t="s">
        <v>48</v>
      </c>
    </row>
    <row r="2011" spans="1:9" x14ac:dyDescent="0.3">
      <c r="A2011" t="s">
        <v>20</v>
      </c>
      <c r="G2011" s="25">
        <v>44041</v>
      </c>
      <c r="H2011">
        <v>2020</v>
      </c>
      <c r="I2011" t="s">
        <v>48</v>
      </c>
    </row>
    <row r="2012" spans="1:9" x14ac:dyDescent="0.3">
      <c r="A2012" t="s">
        <v>17</v>
      </c>
      <c r="B2012">
        <v>647000</v>
      </c>
      <c r="G2012" s="25">
        <v>44041</v>
      </c>
      <c r="H2012">
        <v>2020</v>
      </c>
      <c r="I2012" t="s">
        <v>48</v>
      </c>
    </row>
    <row r="2013" spans="1:9" x14ac:dyDescent="0.3">
      <c r="A2013" t="s">
        <v>0</v>
      </c>
      <c r="G2013" s="25">
        <v>44041</v>
      </c>
      <c r="H2013">
        <v>2020</v>
      </c>
      <c r="I2013" t="s">
        <v>48</v>
      </c>
    </row>
    <row r="2014" spans="1:9" x14ac:dyDescent="0.3">
      <c r="A2014" t="s">
        <v>25</v>
      </c>
      <c r="B2014">
        <v>324000</v>
      </c>
      <c r="G2014" s="25">
        <v>44041</v>
      </c>
      <c r="H2014">
        <v>2020</v>
      </c>
      <c r="I2014" t="s">
        <v>48</v>
      </c>
    </row>
    <row r="2015" spans="1:9" x14ac:dyDescent="0.3">
      <c r="A2015" t="s">
        <v>15</v>
      </c>
      <c r="G2015" s="25">
        <v>44041</v>
      </c>
      <c r="H2015">
        <v>2020</v>
      </c>
      <c r="I2015" t="s">
        <v>48</v>
      </c>
    </row>
    <row r="2016" spans="1:9" x14ac:dyDescent="0.3">
      <c r="A2016" t="s">
        <v>26</v>
      </c>
      <c r="G2016" s="25">
        <v>44041</v>
      </c>
      <c r="H2016">
        <v>2020</v>
      </c>
      <c r="I2016" t="s">
        <v>48</v>
      </c>
    </row>
    <row r="2017" spans="1:9" x14ac:dyDescent="0.3">
      <c r="A2017" t="s">
        <v>22</v>
      </c>
      <c r="C2017">
        <v>54000</v>
      </c>
      <c r="G2017" s="25">
        <v>44041</v>
      </c>
      <c r="H2017">
        <v>2020</v>
      </c>
      <c r="I2017" t="s">
        <v>48</v>
      </c>
    </row>
    <row r="2018" spans="1:9" x14ac:dyDescent="0.3">
      <c r="A2018" t="s">
        <v>19</v>
      </c>
      <c r="B2018">
        <v>432000</v>
      </c>
      <c r="C2018">
        <v>774000</v>
      </c>
      <c r="E2018">
        <v>108000</v>
      </c>
      <c r="G2018" s="25">
        <v>44041</v>
      </c>
      <c r="H2018">
        <v>2020</v>
      </c>
      <c r="I2018" t="s">
        <v>48</v>
      </c>
    </row>
    <row r="2019" spans="1:9" x14ac:dyDescent="0.3">
      <c r="A2019" t="s">
        <v>14</v>
      </c>
      <c r="B2019">
        <v>527000</v>
      </c>
      <c r="G2019" s="25">
        <v>44041</v>
      </c>
      <c r="H2019">
        <v>2020</v>
      </c>
      <c r="I2019" t="s">
        <v>48</v>
      </c>
    </row>
    <row r="2020" spans="1:9" x14ac:dyDescent="0.3">
      <c r="A2020" t="s">
        <v>24</v>
      </c>
      <c r="G2020" s="25">
        <v>44041</v>
      </c>
      <c r="H2020">
        <v>2020</v>
      </c>
      <c r="I2020" t="s">
        <v>48</v>
      </c>
    </row>
    <row r="2021" spans="1:9" x14ac:dyDescent="0.3">
      <c r="A2021" t="s">
        <v>21</v>
      </c>
      <c r="G2021" s="25">
        <v>44041</v>
      </c>
      <c r="H2021">
        <v>2020</v>
      </c>
      <c r="I2021" t="s">
        <v>48</v>
      </c>
    </row>
    <row r="2022" spans="1:9" x14ac:dyDescent="0.3">
      <c r="A2022" t="s">
        <v>18</v>
      </c>
      <c r="B2022">
        <v>162000</v>
      </c>
      <c r="G2022" s="25">
        <v>44041</v>
      </c>
      <c r="H2022">
        <v>2020</v>
      </c>
      <c r="I2022" t="s">
        <v>48</v>
      </c>
    </row>
    <row r="2023" spans="1:9" x14ac:dyDescent="0.3">
      <c r="A2023" t="s">
        <v>16</v>
      </c>
      <c r="B2023">
        <v>261000</v>
      </c>
      <c r="E2023">
        <v>54000</v>
      </c>
      <c r="G2023" s="25">
        <v>44041</v>
      </c>
      <c r="H2023">
        <v>2020</v>
      </c>
      <c r="I2023" t="s">
        <v>48</v>
      </c>
    </row>
    <row r="2024" spans="1:9" x14ac:dyDescent="0.3">
      <c r="A2024" t="s">
        <v>20</v>
      </c>
      <c r="G2024" s="25">
        <v>44042</v>
      </c>
      <c r="H2024">
        <v>2020</v>
      </c>
      <c r="I2024" t="s">
        <v>48</v>
      </c>
    </row>
    <row r="2025" spans="1:9" x14ac:dyDescent="0.3">
      <c r="A2025" t="s">
        <v>17</v>
      </c>
      <c r="B2025">
        <v>1234500</v>
      </c>
      <c r="G2025" s="25">
        <v>44042</v>
      </c>
      <c r="H2025">
        <v>2020</v>
      </c>
      <c r="I2025" t="s">
        <v>48</v>
      </c>
    </row>
    <row r="2026" spans="1:9" x14ac:dyDescent="0.3">
      <c r="A2026" t="s">
        <v>0</v>
      </c>
      <c r="G2026" s="25">
        <v>44042</v>
      </c>
      <c r="H2026">
        <v>2020</v>
      </c>
      <c r="I2026" t="s">
        <v>48</v>
      </c>
    </row>
    <row r="2027" spans="1:9" x14ac:dyDescent="0.3">
      <c r="A2027" t="s">
        <v>25</v>
      </c>
      <c r="B2027">
        <v>54000</v>
      </c>
      <c r="G2027" s="25">
        <v>44042</v>
      </c>
      <c r="H2027">
        <v>2020</v>
      </c>
      <c r="I2027" t="s">
        <v>48</v>
      </c>
    </row>
    <row r="2028" spans="1:9" x14ac:dyDescent="0.3">
      <c r="A2028" t="s">
        <v>15</v>
      </c>
      <c r="G2028" s="25">
        <v>44042</v>
      </c>
      <c r="H2028">
        <v>2020</v>
      </c>
      <c r="I2028" t="s">
        <v>48</v>
      </c>
    </row>
    <row r="2029" spans="1:9" x14ac:dyDescent="0.3">
      <c r="A2029" t="s">
        <v>26</v>
      </c>
      <c r="G2029" s="25">
        <v>44042</v>
      </c>
      <c r="H2029">
        <v>2020</v>
      </c>
      <c r="I2029" t="s">
        <v>48</v>
      </c>
    </row>
    <row r="2030" spans="1:9" x14ac:dyDescent="0.3">
      <c r="A2030" t="s">
        <v>22</v>
      </c>
      <c r="C2030">
        <v>54000</v>
      </c>
      <c r="G2030" s="25">
        <v>44042</v>
      </c>
      <c r="H2030">
        <v>2020</v>
      </c>
      <c r="I2030" t="s">
        <v>48</v>
      </c>
    </row>
    <row r="2031" spans="1:9" x14ac:dyDescent="0.3">
      <c r="A2031" t="s">
        <v>19</v>
      </c>
      <c r="C2031">
        <v>270000</v>
      </c>
      <c r="E2031">
        <v>590000</v>
      </c>
      <c r="G2031" s="25">
        <v>44042</v>
      </c>
      <c r="H2031">
        <v>2020</v>
      </c>
      <c r="I2031" t="s">
        <v>48</v>
      </c>
    </row>
    <row r="2032" spans="1:9" x14ac:dyDescent="0.3">
      <c r="A2032" t="s">
        <v>14</v>
      </c>
      <c r="B2032">
        <v>1269500</v>
      </c>
      <c r="G2032" s="25">
        <v>44042</v>
      </c>
      <c r="H2032">
        <v>2020</v>
      </c>
      <c r="I2032" t="s">
        <v>48</v>
      </c>
    </row>
    <row r="2033" spans="1:9" x14ac:dyDescent="0.3">
      <c r="A2033" t="s">
        <v>24</v>
      </c>
      <c r="G2033" s="25">
        <v>44042</v>
      </c>
      <c r="H2033">
        <v>2020</v>
      </c>
      <c r="I2033" t="s">
        <v>48</v>
      </c>
    </row>
    <row r="2034" spans="1:9" x14ac:dyDescent="0.3">
      <c r="A2034" t="s">
        <v>21</v>
      </c>
      <c r="E2034">
        <v>478000</v>
      </c>
      <c r="G2034" s="25">
        <v>44042</v>
      </c>
      <c r="H2034">
        <v>2020</v>
      </c>
      <c r="I2034" t="s">
        <v>48</v>
      </c>
    </row>
    <row r="2035" spans="1:9" x14ac:dyDescent="0.3">
      <c r="A2035" t="s">
        <v>18</v>
      </c>
      <c r="B2035">
        <v>108000</v>
      </c>
      <c r="G2035" s="25">
        <v>44042</v>
      </c>
      <c r="H2035">
        <v>2020</v>
      </c>
      <c r="I2035" t="s">
        <v>48</v>
      </c>
    </row>
    <row r="2036" spans="1:9" x14ac:dyDescent="0.3">
      <c r="A2036" t="s">
        <v>16</v>
      </c>
      <c r="B2036">
        <v>378000</v>
      </c>
      <c r="G2036" s="25">
        <v>44042</v>
      </c>
      <c r="H2036">
        <v>2020</v>
      </c>
      <c r="I2036" t="s">
        <v>48</v>
      </c>
    </row>
    <row r="2037" spans="1:9" x14ac:dyDescent="0.3">
      <c r="A2037" t="s">
        <v>20</v>
      </c>
      <c r="G2037" s="25">
        <v>44048</v>
      </c>
      <c r="H2037">
        <v>2020</v>
      </c>
      <c r="I2037" t="s">
        <v>49</v>
      </c>
    </row>
    <row r="2038" spans="1:9" x14ac:dyDescent="0.3">
      <c r="A2038" t="s">
        <v>17</v>
      </c>
      <c r="B2038">
        <v>478000</v>
      </c>
      <c r="D2038">
        <v>54000</v>
      </c>
      <c r="G2038" s="25">
        <v>44048</v>
      </c>
      <c r="H2038">
        <v>2020</v>
      </c>
      <c r="I2038" t="s">
        <v>49</v>
      </c>
    </row>
    <row r="2039" spans="1:9" x14ac:dyDescent="0.3">
      <c r="A2039" t="s">
        <v>0</v>
      </c>
      <c r="G2039" s="25">
        <v>44048</v>
      </c>
      <c r="H2039">
        <v>2020</v>
      </c>
      <c r="I2039" t="s">
        <v>49</v>
      </c>
    </row>
    <row r="2040" spans="1:9" x14ac:dyDescent="0.3">
      <c r="A2040" t="s">
        <v>25</v>
      </c>
      <c r="C2040">
        <v>756000</v>
      </c>
      <c r="E2040">
        <v>90000</v>
      </c>
      <c r="G2040" s="25">
        <v>44048</v>
      </c>
      <c r="H2040">
        <v>2020</v>
      </c>
      <c r="I2040" t="s">
        <v>49</v>
      </c>
    </row>
    <row r="2041" spans="1:9" x14ac:dyDescent="0.3">
      <c r="A2041" t="s">
        <v>15</v>
      </c>
      <c r="G2041" s="25">
        <v>44048</v>
      </c>
      <c r="H2041">
        <v>2020</v>
      </c>
      <c r="I2041" t="s">
        <v>49</v>
      </c>
    </row>
    <row r="2042" spans="1:9" x14ac:dyDescent="0.3">
      <c r="A2042" t="s">
        <v>26</v>
      </c>
      <c r="B2042">
        <v>319500</v>
      </c>
      <c r="C2042">
        <v>158000</v>
      </c>
      <c r="G2042" s="25">
        <v>44048</v>
      </c>
      <c r="H2042">
        <v>2020</v>
      </c>
      <c r="I2042" t="s">
        <v>49</v>
      </c>
    </row>
    <row r="2043" spans="1:9" x14ac:dyDescent="0.3">
      <c r="A2043" t="s">
        <v>22</v>
      </c>
      <c r="G2043" s="25">
        <v>44048</v>
      </c>
      <c r="H2043">
        <v>2020</v>
      </c>
      <c r="I2043" t="s">
        <v>49</v>
      </c>
    </row>
    <row r="2044" spans="1:9" x14ac:dyDescent="0.3">
      <c r="A2044" t="s">
        <v>19</v>
      </c>
      <c r="B2044">
        <v>316000</v>
      </c>
      <c r="G2044" s="25">
        <v>44048</v>
      </c>
      <c r="H2044">
        <v>2020</v>
      </c>
      <c r="I2044" t="s">
        <v>49</v>
      </c>
    </row>
    <row r="2045" spans="1:9" x14ac:dyDescent="0.3">
      <c r="A2045" t="s">
        <v>14</v>
      </c>
      <c r="B2045">
        <v>527000</v>
      </c>
      <c r="D2045">
        <v>54000</v>
      </c>
      <c r="G2045" s="25">
        <v>44048</v>
      </c>
      <c r="H2045">
        <v>2020</v>
      </c>
      <c r="I2045" t="s">
        <v>49</v>
      </c>
    </row>
    <row r="2046" spans="1:9" x14ac:dyDescent="0.3">
      <c r="A2046" t="s">
        <v>24</v>
      </c>
      <c r="G2046" s="25">
        <v>44048</v>
      </c>
      <c r="H2046">
        <v>2020</v>
      </c>
      <c r="I2046" t="s">
        <v>49</v>
      </c>
    </row>
    <row r="2047" spans="1:9" x14ac:dyDescent="0.3">
      <c r="A2047" t="s">
        <v>21</v>
      </c>
      <c r="G2047" s="25">
        <v>44048</v>
      </c>
      <c r="H2047">
        <v>2020</v>
      </c>
      <c r="I2047" t="s">
        <v>49</v>
      </c>
    </row>
    <row r="2048" spans="1:9" x14ac:dyDescent="0.3">
      <c r="A2048" t="s">
        <v>18</v>
      </c>
      <c r="G2048" s="25">
        <v>44048</v>
      </c>
      <c r="H2048">
        <v>2020</v>
      </c>
      <c r="I2048" t="s">
        <v>49</v>
      </c>
    </row>
    <row r="2049" spans="1:9" x14ac:dyDescent="0.3">
      <c r="A2049" t="s">
        <v>16</v>
      </c>
      <c r="B2049">
        <v>539500</v>
      </c>
      <c r="D2049">
        <v>162000</v>
      </c>
      <c r="G2049" s="25">
        <v>44048</v>
      </c>
      <c r="H2049">
        <v>2020</v>
      </c>
      <c r="I2049" t="s">
        <v>49</v>
      </c>
    </row>
    <row r="2050" spans="1:9" x14ac:dyDescent="0.3">
      <c r="A2050" t="s">
        <v>20</v>
      </c>
      <c r="G2050" s="25">
        <v>44049</v>
      </c>
      <c r="H2050">
        <v>2020</v>
      </c>
      <c r="I2050" t="s">
        <v>49</v>
      </c>
    </row>
    <row r="2051" spans="1:9" x14ac:dyDescent="0.3">
      <c r="A2051" t="s">
        <v>17</v>
      </c>
      <c r="B2051">
        <v>796500</v>
      </c>
      <c r="D2051">
        <v>54000</v>
      </c>
      <c r="F2051">
        <v>524000</v>
      </c>
      <c r="G2051" s="25">
        <v>44049</v>
      </c>
      <c r="H2051">
        <v>2020</v>
      </c>
      <c r="I2051" t="s">
        <v>49</v>
      </c>
    </row>
    <row r="2052" spans="1:9" x14ac:dyDescent="0.3">
      <c r="A2052" t="s">
        <v>0</v>
      </c>
      <c r="G2052" s="25">
        <v>44049</v>
      </c>
      <c r="H2052">
        <v>2020</v>
      </c>
      <c r="I2052" t="s">
        <v>49</v>
      </c>
    </row>
    <row r="2053" spans="1:9" x14ac:dyDescent="0.3">
      <c r="A2053" t="s">
        <v>25</v>
      </c>
      <c r="E2053">
        <v>90000</v>
      </c>
      <c r="G2053" s="25">
        <v>44049</v>
      </c>
      <c r="H2053">
        <v>2020</v>
      </c>
      <c r="I2053" t="s">
        <v>49</v>
      </c>
    </row>
    <row r="2054" spans="1:9" x14ac:dyDescent="0.3">
      <c r="A2054" t="s">
        <v>15</v>
      </c>
      <c r="E2054">
        <v>802000</v>
      </c>
      <c r="G2054" s="25">
        <v>44049</v>
      </c>
      <c r="H2054">
        <v>2020</v>
      </c>
      <c r="I2054" t="s">
        <v>49</v>
      </c>
    </row>
    <row r="2055" spans="1:9" x14ac:dyDescent="0.3">
      <c r="A2055" t="s">
        <v>26</v>
      </c>
      <c r="B2055">
        <v>162000</v>
      </c>
      <c r="G2055" s="25">
        <v>44049</v>
      </c>
      <c r="H2055">
        <v>2020</v>
      </c>
      <c r="I2055" t="s">
        <v>49</v>
      </c>
    </row>
    <row r="2056" spans="1:9" x14ac:dyDescent="0.3">
      <c r="A2056" t="s">
        <v>22</v>
      </c>
      <c r="G2056" s="25">
        <v>44049</v>
      </c>
      <c r="H2056">
        <v>2020</v>
      </c>
      <c r="I2056" t="s">
        <v>49</v>
      </c>
    </row>
    <row r="2057" spans="1:9" x14ac:dyDescent="0.3">
      <c r="A2057" t="s">
        <v>19</v>
      </c>
      <c r="B2057">
        <v>315000</v>
      </c>
      <c r="G2057" s="25">
        <v>44049</v>
      </c>
      <c r="H2057">
        <v>2020</v>
      </c>
      <c r="I2057" t="s">
        <v>49</v>
      </c>
    </row>
    <row r="2058" spans="1:9" x14ac:dyDescent="0.3">
      <c r="A2058" t="s">
        <v>14</v>
      </c>
      <c r="B2058">
        <v>432000</v>
      </c>
      <c r="D2058">
        <v>216000</v>
      </c>
      <c r="G2058" s="25">
        <v>44049</v>
      </c>
      <c r="H2058">
        <v>2020</v>
      </c>
      <c r="I2058" t="s">
        <v>49</v>
      </c>
    </row>
    <row r="2059" spans="1:9" x14ac:dyDescent="0.3">
      <c r="A2059" t="s">
        <v>24</v>
      </c>
      <c r="G2059" s="25">
        <v>44049</v>
      </c>
      <c r="H2059">
        <v>2020</v>
      </c>
      <c r="I2059" t="s">
        <v>49</v>
      </c>
    </row>
    <row r="2060" spans="1:9" x14ac:dyDescent="0.3">
      <c r="A2060" t="s">
        <v>21</v>
      </c>
      <c r="G2060" s="25">
        <v>44049</v>
      </c>
      <c r="H2060">
        <v>2020</v>
      </c>
      <c r="I2060" t="s">
        <v>49</v>
      </c>
    </row>
    <row r="2061" spans="1:9" x14ac:dyDescent="0.3">
      <c r="A2061" t="s">
        <v>18</v>
      </c>
      <c r="G2061" s="25">
        <v>44049</v>
      </c>
      <c r="H2061">
        <v>2020</v>
      </c>
      <c r="I2061" t="s">
        <v>49</v>
      </c>
    </row>
    <row r="2062" spans="1:9" x14ac:dyDescent="0.3">
      <c r="A2062" t="s">
        <v>16</v>
      </c>
      <c r="B2062">
        <v>324000</v>
      </c>
      <c r="D2062">
        <v>108000</v>
      </c>
      <c r="G2062" s="25">
        <v>44049</v>
      </c>
      <c r="H2062">
        <v>2020</v>
      </c>
      <c r="I2062" t="s">
        <v>49</v>
      </c>
    </row>
    <row r="2063" spans="1:9" x14ac:dyDescent="0.3">
      <c r="A2063" t="s">
        <v>20</v>
      </c>
      <c r="B2063">
        <v>270000</v>
      </c>
      <c r="G2063" s="25">
        <v>44050</v>
      </c>
      <c r="H2063">
        <v>2020</v>
      </c>
      <c r="I2063" t="s">
        <v>49</v>
      </c>
    </row>
    <row r="2064" spans="1:9" x14ac:dyDescent="0.3">
      <c r="A2064" t="s">
        <v>17</v>
      </c>
      <c r="B2064">
        <v>432000</v>
      </c>
      <c r="D2064">
        <v>698000</v>
      </c>
      <c r="F2064">
        <v>536000</v>
      </c>
      <c r="G2064" s="25">
        <v>44050</v>
      </c>
      <c r="H2064">
        <v>2020</v>
      </c>
      <c r="I2064" t="s">
        <v>49</v>
      </c>
    </row>
    <row r="2065" spans="1:9" x14ac:dyDescent="0.3">
      <c r="A2065" t="s">
        <v>0</v>
      </c>
      <c r="G2065" s="25">
        <v>44050</v>
      </c>
      <c r="H2065">
        <v>2020</v>
      </c>
      <c r="I2065" t="s">
        <v>49</v>
      </c>
    </row>
    <row r="2066" spans="1:9" x14ac:dyDescent="0.3">
      <c r="A2066" t="s">
        <v>25</v>
      </c>
      <c r="C2066">
        <v>108000</v>
      </c>
      <c r="G2066" s="25">
        <v>44050</v>
      </c>
      <c r="H2066">
        <v>2020</v>
      </c>
      <c r="I2066" t="s">
        <v>49</v>
      </c>
    </row>
    <row r="2067" spans="1:9" x14ac:dyDescent="0.3">
      <c r="A2067" t="s">
        <v>15</v>
      </c>
      <c r="G2067" s="25">
        <v>44050</v>
      </c>
      <c r="H2067">
        <v>2020</v>
      </c>
      <c r="I2067" t="s">
        <v>49</v>
      </c>
    </row>
    <row r="2068" spans="1:9" x14ac:dyDescent="0.3">
      <c r="A2068" t="s">
        <v>26</v>
      </c>
      <c r="C2068">
        <v>90000</v>
      </c>
      <c r="G2068" s="25">
        <v>44050</v>
      </c>
      <c r="H2068">
        <v>2020</v>
      </c>
      <c r="I2068" t="s">
        <v>49</v>
      </c>
    </row>
    <row r="2069" spans="1:9" x14ac:dyDescent="0.3">
      <c r="A2069" t="s">
        <v>22</v>
      </c>
      <c r="G2069" s="25">
        <v>44050</v>
      </c>
      <c r="H2069">
        <v>2020</v>
      </c>
      <c r="I2069" t="s">
        <v>49</v>
      </c>
    </row>
    <row r="2070" spans="1:9" x14ac:dyDescent="0.3">
      <c r="A2070" t="s">
        <v>19</v>
      </c>
      <c r="B2070">
        <v>212000</v>
      </c>
      <c r="C2070">
        <v>423000</v>
      </c>
      <c r="E2070">
        <v>54000</v>
      </c>
      <c r="G2070" s="25">
        <v>44050</v>
      </c>
      <c r="H2070">
        <v>2020</v>
      </c>
      <c r="I2070" t="s">
        <v>49</v>
      </c>
    </row>
    <row r="2071" spans="1:9" x14ac:dyDescent="0.3">
      <c r="A2071" t="s">
        <v>14</v>
      </c>
      <c r="B2071">
        <v>270000</v>
      </c>
      <c r="G2071" s="25">
        <v>44050</v>
      </c>
      <c r="H2071">
        <v>2020</v>
      </c>
      <c r="I2071" t="s">
        <v>49</v>
      </c>
    </row>
    <row r="2072" spans="1:9" x14ac:dyDescent="0.3">
      <c r="A2072" t="s">
        <v>24</v>
      </c>
      <c r="G2072" s="25">
        <v>44050</v>
      </c>
      <c r="H2072">
        <v>2020</v>
      </c>
      <c r="I2072" t="s">
        <v>49</v>
      </c>
    </row>
    <row r="2073" spans="1:9" x14ac:dyDescent="0.3">
      <c r="A2073" t="s">
        <v>21</v>
      </c>
      <c r="E2073">
        <v>162000</v>
      </c>
      <c r="G2073" s="25">
        <v>44050</v>
      </c>
      <c r="H2073">
        <v>2020</v>
      </c>
      <c r="I2073" t="s">
        <v>49</v>
      </c>
    </row>
    <row r="2074" spans="1:9" x14ac:dyDescent="0.3">
      <c r="A2074" t="s">
        <v>18</v>
      </c>
      <c r="B2074">
        <v>49500</v>
      </c>
      <c r="G2074" s="25">
        <v>44050</v>
      </c>
      <c r="H2074">
        <v>2020</v>
      </c>
      <c r="I2074" t="s">
        <v>49</v>
      </c>
    </row>
    <row r="2075" spans="1:9" x14ac:dyDescent="0.3">
      <c r="A2075" t="s">
        <v>16</v>
      </c>
      <c r="B2075">
        <v>206500</v>
      </c>
      <c r="C2075">
        <v>477000</v>
      </c>
      <c r="E2075">
        <v>374000</v>
      </c>
      <c r="G2075" s="25">
        <v>44050</v>
      </c>
      <c r="H2075">
        <v>2020</v>
      </c>
      <c r="I2075" t="s">
        <v>49</v>
      </c>
    </row>
    <row r="2076" spans="1:9" x14ac:dyDescent="0.3">
      <c r="A2076" t="s">
        <v>20</v>
      </c>
      <c r="B2076">
        <v>270000</v>
      </c>
      <c r="G2076" s="25">
        <v>44051</v>
      </c>
      <c r="H2076">
        <v>2020</v>
      </c>
      <c r="I2076" t="s">
        <v>49</v>
      </c>
    </row>
    <row r="2077" spans="1:9" x14ac:dyDescent="0.3">
      <c r="A2077" t="s">
        <v>17</v>
      </c>
      <c r="B2077">
        <v>324000</v>
      </c>
      <c r="D2077">
        <v>378000</v>
      </c>
      <c r="F2077">
        <v>481500</v>
      </c>
      <c r="G2077" s="25">
        <v>44051</v>
      </c>
      <c r="H2077">
        <v>2020</v>
      </c>
      <c r="I2077" t="s">
        <v>49</v>
      </c>
    </row>
    <row r="2078" spans="1:9" x14ac:dyDescent="0.3">
      <c r="A2078" t="s">
        <v>0</v>
      </c>
      <c r="G2078" s="25">
        <v>44051</v>
      </c>
      <c r="H2078">
        <v>2020</v>
      </c>
      <c r="I2078" t="s">
        <v>49</v>
      </c>
    </row>
    <row r="2079" spans="1:9" x14ac:dyDescent="0.3">
      <c r="A2079" t="s">
        <v>25</v>
      </c>
      <c r="G2079" s="25">
        <v>44051</v>
      </c>
      <c r="H2079">
        <v>2020</v>
      </c>
      <c r="I2079" t="s">
        <v>49</v>
      </c>
    </row>
    <row r="2080" spans="1:9" x14ac:dyDescent="0.3">
      <c r="A2080" t="s">
        <v>15</v>
      </c>
      <c r="E2080">
        <v>108000</v>
      </c>
      <c r="G2080" s="25">
        <v>44051</v>
      </c>
      <c r="H2080">
        <v>2020</v>
      </c>
      <c r="I2080" t="s">
        <v>49</v>
      </c>
    </row>
    <row r="2081" spans="1:9" x14ac:dyDescent="0.3">
      <c r="A2081" t="s">
        <v>26</v>
      </c>
      <c r="B2081">
        <v>216000</v>
      </c>
      <c r="G2081" s="25">
        <v>44051</v>
      </c>
      <c r="H2081">
        <v>2020</v>
      </c>
      <c r="I2081" t="s">
        <v>49</v>
      </c>
    </row>
    <row r="2082" spans="1:9" x14ac:dyDescent="0.3">
      <c r="A2082" t="s">
        <v>22</v>
      </c>
      <c r="G2082" s="25">
        <v>44051</v>
      </c>
      <c r="H2082">
        <v>2020</v>
      </c>
      <c r="I2082" t="s">
        <v>49</v>
      </c>
    </row>
    <row r="2083" spans="1:9" x14ac:dyDescent="0.3">
      <c r="A2083" t="s">
        <v>19</v>
      </c>
      <c r="B2083">
        <v>324000</v>
      </c>
      <c r="E2083">
        <v>162000</v>
      </c>
      <c r="G2083" s="25">
        <v>44051</v>
      </c>
      <c r="H2083">
        <v>2020</v>
      </c>
      <c r="I2083" t="s">
        <v>49</v>
      </c>
    </row>
    <row r="2084" spans="1:9" x14ac:dyDescent="0.3">
      <c r="A2084" t="s">
        <v>14</v>
      </c>
      <c r="B2084">
        <v>324000</v>
      </c>
      <c r="C2084">
        <v>270000</v>
      </c>
      <c r="D2084">
        <v>324000</v>
      </c>
      <c r="G2084" s="25">
        <v>44051</v>
      </c>
      <c r="H2084">
        <v>2020</v>
      </c>
      <c r="I2084" t="s">
        <v>49</v>
      </c>
    </row>
    <row r="2085" spans="1:9" x14ac:dyDescent="0.3">
      <c r="A2085" t="s">
        <v>24</v>
      </c>
      <c r="G2085" s="25">
        <v>44051</v>
      </c>
      <c r="H2085">
        <v>2020</v>
      </c>
      <c r="I2085" t="s">
        <v>49</v>
      </c>
    </row>
    <row r="2086" spans="1:9" x14ac:dyDescent="0.3">
      <c r="A2086" t="s">
        <v>21</v>
      </c>
      <c r="G2086" s="25">
        <v>44051</v>
      </c>
      <c r="H2086">
        <v>2020</v>
      </c>
      <c r="I2086" t="s">
        <v>49</v>
      </c>
    </row>
    <row r="2087" spans="1:9" x14ac:dyDescent="0.3">
      <c r="A2087" t="s">
        <v>18</v>
      </c>
      <c r="G2087" s="25">
        <v>44051</v>
      </c>
      <c r="H2087">
        <v>2020</v>
      </c>
      <c r="I2087" t="s">
        <v>49</v>
      </c>
    </row>
    <row r="2088" spans="1:9" x14ac:dyDescent="0.3">
      <c r="A2088" t="s">
        <v>16</v>
      </c>
      <c r="C2088">
        <v>265000</v>
      </c>
      <c r="E2088">
        <v>432000</v>
      </c>
      <c r="G2088" s="25">
        <v>44051</v>
      </c>
      <c r="H2088">
        <v>2020</v>
      </c>
      <c r="I2088" t="s">
        <v>49</v>
      </c>
    </row>
    <row r="2089" spans="1:9" x14ac:dyDescent="0.3">
      <c r="A2089" t="s">
        <v>20</v>
      </c>
      <c r="B2089">
        <v>162000</v>
      </c>
      <c r="G2089" s="25">
        <v>44053</v>
      </c>
      <c r="H2089">
        <v>2020</v>
      </c>
      <c r="I2089" t="s">
        <v>49</v>
      </c>
    </row>
    <row r="2090" spans="1:9" x14ac:dyDescent="0.3">
      <c r="A2090" t="s">
        <v>37</v>
      </c>
      <c r="B2090">
        <v>312500</v>
      </c>
      <c r="G2090" s="25">
        <v>44053</v>
      </c>
      <c r="H2090">
        <v>2020</v>
      </c>
      <c r="I2090" t="s">
        <v>49</v>
      </c>
    </row>
    <row r="2091" spans="1:9" x14ac:dyDescent="0.3">
      <c r="A2091" t="s">
        <v>17</v>
      </c>
      <c r="B2091">
        <v>270000</v>
      </c>
      <c r="D2091">
        <v>477000</v>
      </c>
      <c r="F2091">
        <v>536000</v>
      </c>
      <c r="G2091" s="25">
        <v>44053</v>
      </c>
      <c r="H2091">
        <v>2020</v>
      </c>
      <c r="I2091" t="s">
        <v>49</v>
      </c>
    </row>
    <row r="2092" spans="1:9" x14ac:dyDescent="0.3">
      <c r="A2092" t="s">
        <v>0</v>
      </c>
      <c r="G2092" s="25">
        <v>44053</v>
      </c>
      <c r="H2092">
        <v>2020</v>
      </c>
      <c r="I2092" t="s">
        <v>49</v>
      </c>
    </row>
    <row r="2093" spans="1:9" x14ac:dyDescent="0.3">
      <c r="A2093" t="s">
        <v>25</v>
      </c>
      <c r="E2093">
        <v>45000</v>
      </c>
      <c r="G2093" s="25">
        <v>44053</v>
      </c>
      <c r="H2093">
        <v>2020</v>
      </c>
      <c r="I2093" t="s">
        <v>49</v>
      </c>
    </row>
    <row r="2094" spans="1:9" x14ac:dyDescent="0.3">
      <c r="A2094" t="s">
        <v>15</v>
      </c>
      <c r="E2094">
        <v>378000</v>
      </c>
      <c r="G2094" s="25">
        <v>44053</v>
      </c>
      <c r="H2094">
        <v>2020</v>
      </c>
      <c r="I2094" t="s">
        <v>49</v>
      </c>
    </row>
    <row r="2095" spans="1:9" x14ac:dyDescent="0.3">
      <c r="A2095" t="s">
        <v>26</v>
      </c>
      <c r="B2095">
        <v>54000</v>
      </c>
      <c r="G2095" s="25">
        <v>44053</v>
      </c>
      <c r="H2095">
        <v>2020</v>
      </c>
      <c r="I2095" t="s">
        <v>49</v>
      </c>
    </row>
    <row r="2096" spans="1:9" x14ac:dyDescent="0.3">
      <c r="A2096" t="s">
        <v>22</v>
      </c>
      <c r="G2096" s="25">
        <v>44053</v>
      </c>
      <c r="H2096">
        <v>2020</v>
      </c>
      <c r="I2096" t="s">
        <v>49</v>
      </c>
    </row>
    <row r="2097" spans="1:9" x14ac:dyDescent="0.3">
      <c r="A2097" t="s">
        <v>19</v>
      </c>
      <c r="B2097">
        <v>270000</v>
      </c>
      <c r="E2097">
        <v>54000</v>
      </c>
      <c r="G2097" s="25">
        <v>44053</v>
      </c>
      <c r="H2097">
        <v>2020</v>
      </c>
      <c r="I2097" t="s">
        <v>49</v>
      </c>
    </row>
    <row r="2098" spans="1:9" x14ac:dyDescent="0.3">
      <c r="A2098" t="s">
        <v>14</v>
      </c>
      <c r="B2098">
        <v>261000</v>
      </c>
      <c r="C2098">
        <v>524000</v>
      </c>
      <c r="D2098">
        <v>162000</v>
      </c>
      <c r="G2098" s="25">
        <v>44053</v>
      </c>
      <c r="H2098">
        <v>2020</v>
      </c>
      <c r="I2098" t="s">
        <v>49</v>
      </c>
    </row>
    <row r="2099" spans="1:9" x14ac:dyDescent="0.3">
      <c r="A2099" t="s">
        <v>24</v>
      </c>
      <c r="B2099">
        <v>162000</v>
      </c>
      <c r="G2099" s="25">
        <v>44053</v>
      </c>
      <c r="H2099">
        <v>2020</v>
      </c>
      <c r="I2099" t="s">
        <v>49</v>
      </c>
    </row>
    <row r="2100" spans="1:9" x14ac:dyDescent="0.3">
      <c r="A2100" t="s">
        <v>21</v>
      </c>
      <c r="G2100" s="25">
        <v>44053</v>
      </c>
      <c r="H2100">
        <v>2020</v>
      </c>
      <c r="I2100" t="s">
        <v>49</v>
      </c>
    </row>
    <row r="2101" spans="1:9" x14ac:dyDescent="0.3">
      <c r="A2101" t="s">
        <v>18</v>
      </c>
      <c r="G2101" s="25">
        <v>44053</v>
      </c>
      <c r="H2101">
        <v>2020</v>
      </c>
      <c r="I2101" t="s">
        <v>49</v>
      </c>
    </row>
    <row r="2102" spans="1:9" x14ac:dyDescent="0.3">
      <c r="A2102" t="s">
        <v>16</v>
      </c>
      <c r="C2102">
        <v>360000</v>
      </c>
      <c r="G2102" s="25">
        <v>44053</v>
      </c>
      <c r="H2102">
        <v>2020</v>
      </c>
      <c r="I2102" t="s">
        <v>49</v>
      </c>
    </row>
    <row r="2103" spans="1:9" x14ac:dyDescent="0.3">
      <c r="A2103" t="s">
        <v>20</v>
      </c>
      <c r="G2103" s="25">
        <v>44054</v>
      </c>
      <c r="H2103">
        <v>2020</v>
      </c>
      <c r="I2103" t="s">
        <v>49</v>
      </c>
    </row>
    <row r="2104" spans="1:9" x14ac:dyDescent="0.3">
      <c r="A2104" t="s">
        <v>37</v>
      </c>
      <c r="B2104">
        <v>256500</v>
      </c>
      <c r="G2104" s="25">
        <v>44054</v>
      </c>
      <c r="H2104">
        <v>2020</v>
      </c>
      <c r="I2104" t="s">
        <v>49</v>
      </c>
    </row>
    <row r="2105" spans="1:9" x14ac:dyDescent="0.3">
      <c r="A2105" t="s">
        <v>17</v>
      </c>
      <c r="B2105">
        <v>202500</v>
      </c>
      <c r="D2105">
        <v>432000</v>
      </c>
      <c r="F2105">
        <v>324000</v>
      </c>
      <c r="G2105" s="25">
        <v>44054</v>
      </c>
      <c r="H2105">
        <v>2020</v>
      </c>
      <c r="I2105" t="s">
        <v>49</v>
      </c>
    </row>
    <row r="2106" spans="1:9" x14ac:dyDescent="0.3">
      <c r="A2106" t="s">
        <v>0</v>
      </c>
      <c r="G2106" s="25">
        <v>44054</v>
      </c>
      <c r="H2106">
        <v>2020</v>
      </c>
      <c r="I2106" t="s">
        <v>49</v>
      </c>
    </row>
    <row r="2107" spans="1:9" x14ac:dyDescent="0.3">
      <c r="A2107" t="s">
        <v>25</v>
      </c>
      <c r="G2107" s="25">
        <v>44054</v>
      </c>
      <c r="H2107">
        <v>2020</v>
      </c>
      <c r="I2107" t="s">
        <v>49</v>
      </c>
    </row>
    <row r="2108" spans="1:9" x14ac:dyDescent="0.3">
      <c r="A2108" t="s">
        <v>15</v>
      </c>
      <c r="E2108">
        <v>162000</v>
      </c>
      <c r="G2108" s="25">
        <v>44054</v>
      </c>
      <c r="H2108">
        <v>2020</v>
      </c>
      <c r="I2108" t="s">
        <v>49</v>
      </c>
    </row>
    <row r="2109" spans="1:9" x14ac:dyDescent="0.3">
      <c r="A2109" t="s">
        <v>26</v>
      </c>
      <c r="B2109">
        <v>108000</v>
      </c>
      <c r="G2109" s="25">
        <v>44054</v>
      </c>
      <c r="H2109">
        <v>2020</v>
      </c>
      <c r="I2109" t="s">
        <v>49</v>
      </c>
    </row>
    <row r="2110" spans="1:9" x14ac:dyDescent="0.3">
      <c r="A2110" t="s">
        <v>22</v>
      </c>
      <c r="G2110" s="25">
        <v>44054</v>
      </c>
      <c r="H2110">
        <v>2020</v>
      </c>
      <c r="I2110" t="s">
        <v>49</v>
      </c>
    </row>
    <row r="2111" spans="1:9" x14ac:dyDescent="0.3">
      <c r="A2111" t="s">
        <v>19</v>
      </c>
      <c r="B2111">
        <v>315000</v>
      </c>
      <c r="G2111" s="25">
        <v>44054</v>
      </c>
      <c r="H2111">
        <v>2020</v>
      </c>
      <c r="I2111" t="s">
        <v>49</v>
      </c>
    </row>
    <row r="2112" spans="1:9" x14ac:dyDescent="0.3">
      <c r="A2112" t="s">
        <v>14</v>
      </c>
      <c r="B2112">
        <v>324000</v>
      </c>
      <c r="C2112">
        <v>913500</v>
      </c>
      <c r="D2112">
        <v>374000</v>
      </c>
      <c r="E2112">
        <v>216000</v>
      </c>
      <c r="G2112" s="25">
        <v>44054</v>
      </c>
      <c r="H2112">
        <v>2020</v>
      </c>
      <c r="I2112" t="s">
        <v>49</v>
      </c>
    </row>
    <row r="2113" spans="1:9" x14ac:dyDescent="0.3">
      <c r="A2113" t="s">
        <v>24</v>
      </c>
      <c r="B2113">
        <v>216000</v>
      </c>
      <c r="G2113" s="25">
        <v>44054</v>
      </c>
      <c r="H2113">
        <v>2020</v>
      </c>
      <c r="I2113" t="s">
        <v>49</v>
      </c>
    </row>
    <row r="2114" spans="1:9" x14ac:dyDescent="0.3">
      <c r="A2114" t="s">
        <v>21</v>
      </c>
      <c r="G2114" s="25">
        <v>44054</v>
      </c>
      <c r="H2114">
        <v>2020</v>
      </c>
      <c r="I2114" t="s">
        <v>49</v>
      </c>
    </row>
    <row r="2115" spans="1:9" x14ac:dyDescent="0.3">
      <c r="A2115" t="s">
        <v>18</v>
      </c>
      <c r="G2115" s="25">
        <v>44054</v>
      </c>
      <c r="H2115">
        <v>2020</v>
      </c>
      <c r="I2115" t="s">
        <v>49</v>
      </c>
    </row>
    <row r="2116" spans="1:9" x14ac:dyDescent="0.3">
      <c r="A2116" t="s">
        <v>16</v>
      </c>
      <c r="B2116">
        <v>162000</v>
      </c>
      <c r="G2116" s="25">
        <v>44054</v>
      </c>
      <c r="H2116">
        <v>2020</v>
      </c>
      <c r="I2116" t="s">
        <v>49</v>
      </c>
    </row>
    <row r="2117" spans="1:9" x14ac:dyDescent="0.3">
      <c r="A2117" t="s">
        <v>20</v>
      </c>
      <c r="G2117" s="25">
        <v>44055</v>
      </c>
      <c r="H2117">
        <v>2020</v>
      </c>
      <c r="I2117" t="s">
        <v>49</v>
      </c>
    </row>
    <row r="2118" spans="1:9" x14ac:dyDescent="0.3">
      <c r="A2118" t="s">
        <v>37</v>
      </c>
      <c r="B2118">
        <v>162000</v>
      </c>
      <c r="G2118" s="25">
        <v>44055</v>
      </c>
      <c r="H2118">
        <v>2020</v>
      </c>
      <c r="I2118" t="s">
        <v>49</v>
      </c>
    </row>
    <row r="2119" spans="1:9" x14ac:dyDescent="0.3">
      <c r="A2119" t="s">
        <v>17</v>
      </c>
      <c r="B2119">
        <v>211500</v>
      </c>
      <c r="D2119">
        <v>513000</v>
      </c>
      <c r="F2119">
        <v>198000</v>
      </c>
      <c r="G2119" s="25">
        <v>44055</v>
      </c>
      <c r="H2119">
        <v>2020</v>
      </c>
      <c r="I2119" t="s">
        <v>49</v>
      </c>
    </row>
    <row r="2120" spans="1:9" x14ac:dyDescent="0.3">
      <c r="A2120" t="s">
        <v>0</v>
      </c>
      <c r="G2120" s="25">
        <v>44055</v>
      </c>
      <c r="H2120">
        <v>2020</v>
      </c>
      <c r="I2120" t="s">
        <v>49</v>
      </c>
    </row>
    <row r="2121" spans="1:9" x14ac:dyDescent="0.3">
      <c r="A2121" t="s">
        <v>25</v>
      </c>
      <c r="G2121" s="25">
        <v>44055</v>
      </c>
      <c r="H2121">
        <v>2020</v>
      </c>
      <c r="I2121" t="s">
        <v>49</v>
      </c>
    </row>
    <row r="2122" spans="1:9" x14ac:dyDescent="0.3">
      <c r="A2122" t="s">
        <v>15</v>
      </c>
      <c r="C2122">
        <v>324000</v>
      </c>
      <c r="G2122" s="25">
        <v>44055</v>
      </c>
      <c r="H2122">
        <v>2020</v>
      </c>
      <c r="I2122" t="s">
        <v>49</v>
      </c>
    </row>
    <row r="2123" spans="1:9" x14ac:dyDescent="0.3">
      <c r="A2123" t="s">
        <v>26</v>
      </c>
      <c r="G2123" s="25">
        <v>44055</v>
      </c>
      <c r="H2123">
        <v>2020</v>
      </c>
      <c r="I2123" t="s">
        <v>49</v>
      </c>
    </row>
    <row r="2124" spans="1:9" x14ac:dyDescent="0.3">
      <c r="A2124" t="s">
        <v>22</v>
      </c>
      <c r="C2124">
        <v>459000</v>
      </c>
      <c r="G2124" s="25">
        <v>44055</v>
      </c>
      <c r="H2124">
        <v>2020</v>
      </c>
      <c r="I2124" t="s">
        <v>49</v>
      </c>
    </row>
    <row r="2125" spans="1:9" x14ac:dyDescent="0.3">
      <c r="A2125" t="s">
        <v>19</v>
      </c>
      <c r="B2125">
        <v>162000</v>
      </c>
      <c r="C2125">
        <v>414000</v>
      </c>
      <c r="D2125">
        <v>423000</v>
      </c>
      <c r="G2125" s="25">
        <v>44055</v>
      </c>
      <c r="H2125">
        <v>2020</v>
      </c>
      <c r="I2125" t="s">
        <v>49</v>
      </c>
    </row>
    <row r="2126" spans="1:9" x14ac:dyDescent="0.3">
      <c r="A2126" t="s">
        <v>14</v>
      </c>
      <c r="B2126">
        <v>266000</v>
      </c>
      <c r="C2126">
        <v>459000</v>
      </c>
      <c r="D2126">
        <v>262000</v>
      </c>
      <c r="G2126" s="25">
        <v>44055</v>
      </c>
      <c r="H2126">
        <v>2020</v>
      </c>
      <c r="I2126" t="s">
        <v>49</v>
      </c>
    </row>
    <row r="2127" spans="1:9" x14ac:dyDescent="0.3">
      <c r="A2127" t="s">
        <v>24</v>
      </c>
      <c r="B2127">
        <v>157500</v>
      </c>
      <c r="G2127" s="25">
        <v>44055</v>
      </c>
      <c r="H2127">
        <v>2020</v>
      </c>
      <c r="I2127" t="s">
        <v>49</v>
      </c>
    </row>
    <row r="2128" spans="1:9" x14ac:dyDescent="0.3">
      <c r="A2128" t="s">
        <v>21</v>
      </c>
      <c r="G2128" s="25">
        <v>44055</v>
      </c>
      <c r="H2128">
        <v>2020</v>
      </c>
      <c r="I2128" t="s">
        <v>49</v>
      </c>
    </row>
    <row r="2129" spans="1:9" x14ac:dyDescent="0.3">
      <c r="A2129" t="s">
        <v>18</v>
      </c>
      <c r="G2129" s="25">
        <v>44055</v>
      </c>
      <c r="H2129">
        <v>2020</v>
      </c>
      <c r="I2129" t="s">
        <v>49</v>
      </c>
    </row>
    <row r="2130" spans="1:9" x14ac:dyDescent="0.3">
      <c r="A2130" t="s">
        <v>16</v>
      </c>
      <c r="G2130" s="25">
        <v>44055</v>
      </c>
      <c r="H2130">
        <v>2020</v>
      </c>
      <c r="I2130" t="s">
        <v>49</v>
      </c>
    </row>
    <row r="2131" spans="1:9" x14ac:dyDescent="0.3">
      <c r="A2131" t="s">
        <v>20</v>
      </c>
      <c r="G2131" s="25">
        <v>44056</v>
      </c>
      <c r="H2131">
        <v>2020</v>
      </c>
      <c r="I2131" t="s">
        <v>49</v>
      </c>
    </row>
    <row r="2132" spans="1:9" x14ac:dyDescent="0.3">
      <c r="A2132" t="s">
        <v>37</v>
      </c>
      <c r="B2132">
        <v>162000</v>
      </c>
      <c r="C2132">
        <v>162000</v>
      </c>
      <c r="G2132" s="25">
        <v>44056</v>
      </c>
      <c r="H2132">
        <v>2020</v>
      </c>
      <c r="I2132" t="s">
        <v>49</v>
      </c>
    </row>
    <row r="2133" spans="1:9" x14ac:dyDescent="0.3">
      <c r="A2133" t="s">
        <v>17</v>
      </c>
      <c r="B2133">
        <v>270000</v>
      </c>
      <c r="G2133" s="25">
        <v>44056</v>
      </c>
      <c r="H2133">
        <v>2020</v>
      </c>
      <c r="I2133" t="s">
        <v>49</v>
      </c>
    </row>
    <row r="2134" spans="1:9" x14ac:dyDescent="0.3">
      <c r="A2134" t="s">
        <v>0</v>
      </c>
      <c r="B2134">
        <v>216000</v>
      </c>
      <c r="G2134" s="25">
        <v>44056</v>
      </c>
      <c r="H2134">
        <v>2020</v>
      </c>
      <c r="I2134" t="s">
        <v>49</v>
      </c>
    </row>
    <row r="2135" spans="1:9" x14ac:dyDescent="0.3">
      <c r="A2135" t="s">
        <v>25</v>
      </c>
      <c r="G2135" s="25">
        <v>44056</v>
      </c>
      <c r="H2135">
        <v>2020</v>
      </c>
      <c r="I2135" t="s">
        <v>49</v>
      </c>
    </row>
    <row r="2136" spans="1:9" x14ac:dyDescent="0.3">
      <c r="A2136" t="s">
        <v>15</v>
      </c>
      <c r="C2136">
        <v>585000</v>
      </c>
      <c r="G2136" s="25">
        <v>44056</v>
      </c>
      <c r="H2136">
        <v>2020</v>
      </c>
      <c r="I2136" t="s">
        <v>49</v>
      </c>
    </row>
    <row r="2137" spans="1:9" x14ac:dyDescent="0.3">
      <c r="A2137" t="s">
        <v>26</v>
      </c>
      <c r="G2137" s="25">
        <v>44056</v>
      </c>
      <c r="H2137">
        <v>2020</v>
      </c>
      <c r="I2137" t="s">
        <v>49</v>
      </c>
    </row>
    <row r="2138" spans="1:9" x14ac:dyDescent="0.3">
      <c r="A2138" t="s">
        <v>22</v>
      </c>
      <c r="C2138">
        <v>216000</v>
      </c>
      <c r="G2138" s="25">
        <v>44056</v>
      </c>
      <c r="H2138">
        <v>2020</v>
      </c>
      <c r="I2138" t="s">
        <v>49</v>
      </c>
    </row>
    <row r="2139" spans="1:9" x14ac:dyDescent="0.3">
      <c r="A2139" t="s">
        <v>19</v>
      </c>
      <c r="B2139">
        <v>315000</v>
      </c>
      <c r="D2139">
        <v>378000</v>
      </c>
      <c r="G2139" s="25">
        <v>44056</v>
      </c>
      <c r="H2139">
        <v>2020</v>
      </c>
      <c r="I2139" t="s">
        <v>49</v>
      </c>
    </row>
    <row r="2140" spans="1:9" x14ac:dyDescent="0.3">
      <c r="A2140" t="s">
        <v>14</v>
      </c>
      <c r="B2140">
        <v>216000</v>
      </c>
      <c r="C2140">
        <v>324000</v>
      </c>
      <c r="D2140">
        <v>864000</v>
      </c>
      <c r="G2140" s="25">
        <v>44056</v>
      </c>
      <c r="H2140">
        <v>2020</v>
      </c>
      <c r="I2140" t="s">
        <v>49</v>
      </c>
    </row>
    <row r="2141" spans="1:9" x14ac:dyDescent="0.3">
      <c r="A2141" t="s">
        <v>24</v>
      </c>
      <c r="B2141">
        <v>216000</v>
      </c>
      <c r="G2141" s="25">
        <v>44056</v>
      </c>
      <c r="H2141">
        <v>2020</v>
      </c>
      <c r="I2141" t="s">
        <v>49</v>
      </c>
    </row>
    <row r="2142" spans="1:9" x14ac:dyDescent="0.3">
      <c r="A2142" t="s">
        <v>21</v>
      </c>
      <c r="G2142" s="25">
        <v>44056</v>
      </c>
      <c r="H2142">
        <v>2020</v>
      </c>
      <c r="I2142" t="s">
        <v>49</v>
      </c>
    </row>
    <row r="2143" spans="1:9" x14ac:dyDescent="0.3">
      <c r="A2143" t="s">
        <v>18</v>
      </c>
      <c r="G2143" s="25">
        <v>44056</v>
      </c>
      <c r="H2143">
        <v>2020</v>
      </c>
      <c r="I2143" t="s">
        <v>49</v>
      </c>
    </row>
    <row r="2144" spans="1:9" x14ac:dyDescent="0.3">
      <c r="A2144" t="s">
        <v>16</v>
      </c>
      <c r="G2144" s="25">
        <v>44056</v>
      </c>
      <c r="H2144">
        <v>2020</v>
      </c>
      <c r="I2144" t="s">
        <v>49</v>
      </c>
    </row>
    <row r="2145" spans="1:9" x14ac:dyDescent="0.3">
      <c r="A2145" t="s">
        <v>20</v>
      </c>
      <c r="B2145">
        <v>162000</v>
      </c>
      <c r="G2145" s="25">
        <v>44057</v>
      </c>
      <c r="H2145">
        <v>2020</v>
      </c>
      <c r="I2145" t="s">
        <v>49</v>
      </c>
    </row>
    <row r="2146" spans="1:9" x14ac:dyDescent="0.3">
      <c r="A2146" t="s">
        <v>37</v>
      </c>
      <c r="B2146">
        <v>103500</v>
      </c>
      <c r="C2146">
        <v>154000</v>
      </c>
      <c r="G2146" s="25">
        <v>44057</v>
      </c>
      <c r="H2146">
        <v>2020</v>
      </c>
      <c r="I2146" t="s">
        <v>49</v>
      </c>
    </row>
    <row r="2147" spans="1:9" x14ac:dyDescent="0.3">
      <c r="A2147" t="s">
        <v>17</v>
      </c>
      <c r="B2147">
        <v>216000</v>
      </c>
      <c r="G2147" s="25">
        <v>44057</v>
      </c>
      <c r="H2147">
        <v>2020</v>
      </c>
      <c r="I2147" t="s">
        <v>49</v>
      </c>
    </row>
    <row r="2148" spans="1:9" x14ac:dyDescent="0.3">
      <c r="A2148" t="s">
        <v>0</v>
      </c>
      <c r="B2148">
        <v>378000</v>
      </c>
      <c r="G2148" s="25">
        <v>44057</v>
      </c>
      <c r="H2148">
        <v>2020</v>
      </c>
      <c r="I2148" t="s">
        <v>49</v>
      </c>
    </row>
    <row r="2149" spans="1:9" x14ac:dyDescent="0.3">
      <c r="A2149" t="s">
        <v>25</v>
      </c>
      <c r="C2149">
        <v>144000</v>
      </c>
      <c r="G2149" s="25">
        <v>44057</v>
      </c>
      <c r="H2149">
        <v>2020</v>
      </c>
      <c r="I2149" t="s">
        <v>49</v>
      </c>
    </row>
    <row r="2150" spans="1:9" x14ac:dyDescent="0.3">
      <c r="A2150" t="s">
        <v>15</v>
      </c>
      <c r="C2150">
        <v>162000</v>
      </c>
      <c r="E2150">
        <v>162000</v>
      </c>
      <c r="G2150" s="25">
        <v>44057</v>
      </c>
      <c r="H2150">
        <v>2020</v>
      </c>
      <c r="I2150" t="s">
        <v>49</v>
      </c>
    </row>
    <row r="2151" spans="1:9" x14ac:dyDescent="0.3">
      <c r="A2151" t="s">
        <v>26</v>
      </c>
      <c r="C2151">
        <v>54000</v>
      </c>
      <c r="D2151">
        <v>162000</v>
      </c>
      <c r="E2151">
        <v>162000</v>
      </c>
      <c r="G2151" s="25">
        <v>44057</v>
      </c>
      <c r="H2151">
        <v>2020</v>
      </c>
      <c r="I2151" t="s">
        <v>49</v>
      </c>
    </row>
    <row r="2152" spans="1:9" x14ac:dyDescent="0.3">
      <c r="A2152" t="s">
        <v>22</v>
      </c>
      <c r="C2152">
        <v>270000</v>
      </c>
      <c r="G2152" s="25">
        <v>44057</v>
      </c>
      <c r="H2152">
        <v>2020</v>
      </c>
      <c r="I2152" t="s">
        <v>49</v>
      </c>
    </row>
    <row r="2153" spans="1:9" x14ac:dyDescent="0.3">
      <c r="A2153" t="s">
        <v>19</v>
      </c>
      <c r="B2153">
        <v>320000</v>
      </c>
      <c r="C2153">
        <v>738000</v>
      </c>
      <c r="D2153">
        <v>162000</v>
      </c>
      <c r="G2153" s="25">
        <v>44057</v>
      </c>
      <c r="H2153">
        <v>2020</v>
      </c>
      <c r="I2153" t="s">
        <v>49</v>
      </c>
    </row>
    <row r="2154" spans="1:9" x14ac:dyDescent="0.3">
      <c r="A2154" t="s">
        <v>14</v>
      </c>
      <c r="B2154">
        <v>580500</v>
      </c>
      <c r="C2154">
        <v>100000</v>
      </c>
      <c r="D2154">
        <v>576000</v>
      </c>
      <c r="G2154" s="25">
        <v>44057</v>
      </c>
      <c r="H2154">
        <v>2020</v>
      </c>
      <c r="I2154" t="s">
        <v>49</v>
      </c>
    </row>
    <row r="2155" spans="1:9" x14ac:dyDescent="0.3">
      <c r="A2155" t="s">
        <v>24</v>
      </c>
      <c r="D2155">
        <v>108000</v>
      </c>
      <c r="G2155" s="25">
        <v>44057</v>
      </c>
      <c r="H2155">
        <v>2020</v>
      </c>
      <c r="I2155" t="s">
        <v>49</v>
      </c>
    </row>
    <row r="2156" spans="1:9" x14ac:dyDescent="0.3">
      <c r="A2156" t="s">
        <v>21</v>
      </c>
      <c r="G2156" s="25">
        <v>44057</v>
      </c>
      <c r="H2156">
        <v>2020</v>
      </c>
      <c r="I2156" t="s">
        <v>49</v>
      </c>
    </row>
    <row r="2157" spans="1:9" x14ac:dyDescent="0.3">
      <c r="A2157" t="s">
        <v>18</v>
      </c>
      <c r="G2157" s="25">
        <v>44057</v>
      </c>
      <c r="H2157">
        <v>2020</v>
      </c>
      <c r="I2157" t="s">
        <v>49</v>
      </c>
    </row>
    <row r="2158" spans="1:9" x14ac:dyDescent="0.3">
      <c r="A2158" t="s">
        <v>16</v>
      </c>
      <c r="B2158">
        <v>104000</v>
      </c>
      <c r="C2158">
        <v>108000</v>
      </c>
      <c r="E2158">
        <v>45000</v>
      </c>
      <c r="G2158" s="25">
        <v>44057</v>
      </c>
      <c r="H2158">
        <v>2020</v>
      </c>
      <c r="I2158" t="s">
        <v>49</v>
      </c>
    </row>
    <row r="2159" spans="1:9" x14ac:dyDescent="0.3">
      <c r="A2159" t="s">
        <v>20</v>
      </c>
      <c r="G2159" s="25">
        <v>44058</v>
      </c>
      <c r="H2159">
        <v>2020</v>
      </c>
      <c r="I2159" t="s">
        <v>49</v>
      </c>
    </row>
    <row r="2160" spans="1:9" x14ac:dyDescent="0.3">
      <c r="A2160" t="s">
        <v>37</v>
      </c>
      <c r="B2160">
        <v>108000</v>
      </c>
      <c r="C2160">
        <v>320000</v>
      </c>
      <c r="G2160" s="25">
        <v>44058</v>
      </c>
      <c r="H2160">
        <v>2020</v>
      </c>
      <c r="I2160" t="s">
        <v>49</v>
      </c>
    </row>
    <row r="2161" spans="1:9" x14ac:dyDescent="0.3">
      <c r="A2161" t="s">
        <v>17</v>
      </c>
      <c r="B2161">
        <v>270000</v>
      </c>
      <c r="E2161">
        <v>90000</v>
      </c>
      <c r="G2161" s="25">
        <v>44058</v>
      </c>
      <c r="H2161">
        <v>2020</v>
      </c>
      <c r="I2161" t="s">
        <v>49</v>
      </c>
    </row>
    <row r="2162" spans="1:9" x14ac:dyDescent="0.3">
      <c r="A2162" t="s">
        <v>0</v>
      </c>
      <c r="B2162">
        <v>263000</v>
      </c>
      <c r="F2162">
        <v>108000</v>
      </c>
      <c r="G2162" s="25">
        <v>44058</v>
      </c>
      <c r="H2162">
        <v>2020</v>
      </c>
      <c r="I2162" t="s">
        <v>49</v>
      </c>
    </row>
    <row r="2163" spans="1:9" x14ac:dyDescent="0.3">
      <c r="A2163" t="s">
        <v>25</v>
      </c>
      <c r="B2163">
        <v>108000</v>
      </c>
      <c r="E2163">
        <v>45000</v>
      </c>
      <c r="G2163" s="25">
        <v>44058</v>
      </c>
      <c r="H2163">
        <v>2020</v>
      </c>
      <c r="I2163" t="s">
        <v>49</v>
      </c>
    </row>
    <row r="2164" spans="1:9" x14ac:dyDescent="0.3">
      <c r="A2164" t="s">
        <v>15</v>
      </c>
      <c r="B2164">
        <v>216000</v>
      </c>
      <c r="C2164">
        <v>428000</v>
      </c>
      <c r="D2164">
        <v>590000</v>
      </c>
      <c r="E2164">
        <v>594000</v>
      </c>
      <c r="G2164" s="25">
        <v>44058</v>
      </c>
      <c r="H2164">
        <v>2020</v>
      </c>
      <c r="I2164" t="s">
        <v>49</v>
      </c>
    </row>
    <row r="2165" spans="1:9" x14ac:dyDescent="0.3">
      <c r="A2165" t="s">
        <v>26</v>
      </c>
      <c r="B2165">
        <v>216000</v>
      </c>
      <c r="C2165">
        <v>309000</v>
      </c>
      <c r="E2165">
        <v>216000</v>
      </c>
      <c r="G2165" s="25">
        <v>44058</v>
      </c>
      <c r="H2165">
        <v>2020</v>
      </c>
      <c r="I2165" t="s">
        <v>49</v>
      </c>
    </row>
    <row r="2166" spans="1:9" x14ac:dyDescent="0.3">
      <c r="A2166" t="s">
        <v>22</v>
      </c>
      <c r="G2166" s="25">
        <v>44058</v>
      </c>
      <c r="H2166">
        <v>2020</v>
      </c>
      <c r="I2166" t="s">
        <v>49</v>
      </c>
    </row>
    <row r="2167" spans="1:9" x14ac:dyDescent="0.3">
      <c r="A2167" t="s">
        <v>19</v>
      </c>
      <c r="G2167" s="25">
        <v>44058</v>
      </c>
      <c r="H2167">
        <v>2020</v>
      </c>
      <c r="I2167" t="s">
        <v>49</v>
      </c>
    </row>
    <row r="2168" spans="1:9" x14ac:dyDescent="0.3">
      <c r="A2168" t="s">
        <v>14</v>
      </c>
      <c r="B2168">
        <v>378000</v>
      </c>
      <c r="C2168">
        <v>262000</v>
      </c>
      <c r="D2168">
        <v>216000</v>
      </c>
      <c r="G2168" s="25">
        <v>44058</v>
      </c>
      <c r="H2168">
        <v>2020</v>
      </c>
      <c r="I2168" t="s">
        <v>49</v>
      </c>
    </row>
    <row r="2169" spans="1:9" x14ac:dyDescent="0.3">
      <c r="A2169" t="s">
        <v>24</v>
      </c>
      <c r="B2169">
        <v>108000</v>
      </c>
      <c r="G2169" s="25">
        <v>44058</v>
      </c>
      <c r="H2169">
        <v>2020</v>
      </c>
      <c r="I2169" t="s">
        <v>49</v>
      </c>
    </row>
    <row r="2170" spans="1:9" x14ac:dyDescent="0.3">
      <c r="A2170" t="s">
        <v>21</v>
      </c>
      <c r="B2170">
        <v>108000</v>
      </c>
      <c r="G2170" s="25">
        <v>44058</v>
      </c>
      <c r="H2170">
        <v>2020</v>
      </c>
      <c r="I2170" t="s">
        <v>49</v>
      </c>
    </row>
    <row r="2171" spans="1:9" x14ac:dyDescent="0.3">
      <c r="A2171" t="s">
        <v>18</v>
      </c>
      <c r="G2171" s="25">
        <v>44058</v>
      </c>
      <c r="H2171">
        <v>2020</v>
      </c>
      <c r="I2171" t="s">
        <v>49</v>
      </c>
    </row>
    <row r="2172" spans="1:9" x14ac:dyDescent="0.3">
      <c r="A2172" t="s">
        <v>16</v>
      </c>
      <c r="C2172">
        <v>54000</v>
      </c>
      <c r="G2172" s="25">
        <v>44058</v>
      </c>
      <c r="H2172">
        <v>2020</v>
      </c>
      <c r="I2172" t="s">
        <v>49</v>
      </c>
    </row>
    <row r="2173" spans="1:9" x14ac:dyDescent="0.3">
      <c r="A2173" t="s">
        <v>20</v>
      </c>
      <c r="G2173" s="25">
        <v>44060</v>
      </c>
      <c r="H2173">
        <v>2020</v>
      </c>
      <c r="I2173" t="s">
        <v>49</v>
      </c>
    </row>
    <row r="2174" spans="1:9" x14ac:dyDescent="0.3">
      <c r="A2174" t="s">
        <v>37</v>
      </c>
      <c r="C2174">
        <v>266000</v>
      </c>
      <c r="G2174" s="25">
        <v>44060</v>
      </c>
      <c r="H2174">
        <v>2020</v>
      </c>
      <c r="I2174" t="s">
        <v>49</v>
      </c>
    </row>
    <row r="2175" spans="1:9" x14ac:dyDescent="0.3">
      <c r="A2175" t="s">
        <v>17</v>
      </c>
      <c r="B2175">
        <v>215000</v>
      </c>
      <c r="G2175" s="25">
        <v>44060</v>
      </c>
      <c r="H2175">
        <v>2020</v>
      </c>
      <c r="I2175" t="s">
        <v>49</v>
      </c>
    </row>
    <row r="2176" spans="1:9" x14ac:dyDescent="0.3">
      <c r="A2176" t="s">
        <v>0</v>
      </c>
      <c r="B2176">
        <v>316000</v>
      </c>
      <c r="F2176">
        <v>378000</v>
      </c>
      <c r="G2176" s="25">
        <v>44060</v>
      </c>
      <c r="H2176">
        <v>2020</v>
      </c>
      <c r="I2176" t="s">
        <v>49</v>
      </c>
    </row>
    <row r="2177" spans="1:9" x14ac:dyDescent="0.3">
      <c r="A2177" t="s">
        <v>25</v>
      </c>
      <c r="G2177" s="25">
        <v>44060</v>
      </c>
      <c r="H2177">
        <v>2020</v>
      </c>
      <c r="I2177" t="s">
        <v>49</v>
      </c>
    </row>
    <row r="2178" spans="1:9" x14ac:dyDescent="0.3">
      <c r="A2178" t="s">
        <v>15</v>
      </c>
      <c r="B2178">
        <v>108000</v>
      </c>
      <c r="C2178">
        <v>540000</v>
      </c>
      <c r="D2178">
        <v>216000</v>
      </c>
      <c r="E2178">
        <v>432000</v>
      </c>
      <c r="G2178" s="25">
        <v>44060</v>
      </c>
      <c r="H2178">
        <v>2020</v>
      </c>
      <c r="I2178" t="s">
        <v>49</v>
      </c>
    </row>
    <row r="2179" spans="1:9" x14ac:dyDescent="0.3">
      <c r="A2179" t="s">
        <v>26</v>
      </c>
      <c r="B2179">
        <v>152500</v>
      </c>
      <c r="C2179">
        <v>585000</v>
      </c>
      <c r="E2179">
        <v>162000</v>
      </c>
      <c r="G2179" s="25">
        <v>44060</v>
      </c>
      <c r="H2179">
        <v>2020</v>
      </c>
      <c r="I2179" t="s">
        <v>49</v>
      </c>
    </row>
    <row r="2180" spans="1:9" x14ac:dyDescent="0.3">
      <c r="A2180" t="s">
        <v>22</v>
      </c>
      <c r="G2180" s="25">
        <v>44060</v>
      </c>
      <c r="H2180">
        <v>2020</v>
      </c>
      <c r="I2180" t="s">
        <v>49</v>
      </c>
    </row>
    <row r="2181" spans="1:9" x14ac:dyDescent="0.3">
      <c r="A2181" t="s">
        <v>19</v>
      </c>
      <c r="G2181" s="25">
        <v>44060</v>
      </c>
      <c r="H2181">
        <v>2020</v>
      </c>
      <c r="I2181" t="s">
        <v>49</v>
      </c>
    </row>
    <row r="2182" spans="1:9" x14ac:dyDescent="0.3">
      <c r="A2182" t="s">
        <v>14</v>
      </c>
      <c r="B2182">
        <v>378000</v>
      </c>
      <c r="C2182">
        <v>369500</v>
      </c>
      <c r="G2182" s="25">
        <v>44060</v>
      </c>
      <c r="H2182">
        <v>2020</v>
      </c>
      <c r="I2182" t="s">
        <v>49</v>
      </c>
    </row>
    <row r="2183" spans="1:9" x14ac:dyDescent="0.3">
      <c r="A2183" t="s">
        <v>24</v>
      </c>
      <c r="B2183">
        <v>216000</v>
      </c>
      <c r="G2183" s="25">
        <v>44060</v>
      </c>
      <c r="H2183">
        <v>2020</v>
      </c>
      <c r="I2183" t="s">
        <v>49</v>
      </c>
    </row>
    <row r="2184" spans="1:9" x14ac:dyDescent="0.3">
      <c r="A2184" t="s">
        <v>21</v>
      </c>
      <c r="B2184">
        <v>153000</v>
      </c>
      <c r="G2184" s="25">
        <v>44060</v>
      </c>
      <c r="H2184">
        <v>2020</v>
      </c>
      <c r="I2184" t="s">
        <v>49</v>
      </c>
    </row>
    <row r="2185" spans="1:9" x14ac:dyDescent="0.3">
      <c r="A2185" t="s">
        <v>18</v>
      </c>
      <c r="G2185" s="25">
        <v>44060</v>
      </c>
      <c r="H2185">
        <v>2020</v>
      </c>
      <c r="I2185" t="s">
        <v>49</v>
      </c>
    </row>
    <row r="2186" spans="1:9" x14ac:dyDescent="0.3">
      <c r="A2186" t="s">
        <v>16</v>
      </c>
      <c r="B2186">
        <v>162000</v>
      </c>
      <c r="G2186" s="25">
        <v>44060</v>
      </c>
      <c r="H2186">
        <v>2020</v>
      </c>
      <c r="I2186" t="s">
        <v>49</v>
      </c>
    </row>
    <row r="2187" spans="1:9" x14ac:dyDescent="0.3">
      <c r="A2187" t="s">
        <v>20</v>
      </c>
      <c r="G2187" s="25">
        <v>44061</v>
      </c>
      <c r="H2187">
        <v>2020</v>
      </c>
      <c r="I2187" t="s">
        <v>49</v>
      </c>
    </row>
    <row r="2188" spans="1:9" x14ac:dyDescent="0.3">
      <c r="A2188" t="s">
        <v>37</v>
      </c>
      <c r="G2188" s="25">
        <v>44061</v>
      </c>
      <c r="H2188">
        <v>2020</v>
      </c>
      <c r="I2188" t="s">
        <v>49</v>
      </c>
    </row>
    <row r="2189" spans="1:9" x14ac:dyDescent="0.3">
      <c r="A2189" t="s">
        <v>17</v>
      </c>
      <c r="C2189">
        <v>162000</v>
      </c>
      <c r="G2189" s="25">
        <v>44061</v>
      </c>
      <c r="H2189">
        <v>2020</v>
      </c>
      <c r="I2189" t="s">
        <v>49</v>
      </c>
    </row>
    <row r="2190" spans="1:9" x14ac:dyDescent="0.3">
      <c r="A2190" t="s">
        <v>0</v>
      </c>
      <c r="B2190">
        <v>216000</v>
      </c>
      <c r="F2190">
        <v>590000</v>
      </c>
      <c r="G2190" s="25">
        <v>44061</v>
      </c>
      <c r="H2190">
        <v>2020</v>
      </c>
      <c r="I2190" t="s">
        <v>49</v>
      </c>
    </row>
    <row r="2191" spans="1:9" x14ac:dyDescent="0.3">
      <c r="A2191" t="s">
        <v>25</v>
      </c>
      <c r="C2191">
        <v>106000</v>
      </c>
      <c r="G2191" s="25">
        <v>44061</v>
      </c>
      <c r="H2191">
        <v>2020</v>
      </c>
      <c r="I2191" t="s">
        <v>49</v>
      </c>
    </row>
    <row r="2192" spans="1:9" x14ac:dyDescent="0.3">
      <c r="A2192" t="s">
        <v>15</v>
      </c>
      <c r="B2192">
        <v>324000</v>
      </c>
      <c r="C2192">
        <v>369000</v>
      </c>
      <c r="G2192" s="25">
        <v>44061</v>
      </c>
      <c r="H2192">
        <v>2020</v>
      </c>
      <c r="I2192" t="s">
        <v>49</v>
      </c>
    </row>
    <row r="2193" spans="1:9" x14ac:dyDescent="0.3">
      <c r="A2193" t="s">
        <v>26</v>
      </c>
      <c r="B2193">
        <v>162000</v>
      </c>
      <c r="C2193">
        <v>216000</v>
      </c>
      <c r="E2193">
        <v>54000</v>
      </c>
      <c r="G2193" s="25">
        <v>44061</v>
      </c>
      <c r="H2193">
        <v>2020</v>
      </c>
      <c r="I2193" t="s">
        <v>49</v>
      </c>
    </row>
    <row r="2194" spans="1:9" x14ac:dyDescent="0.3">
      <c r="A2194" t="s">
        <v>22</v>
      </c>
      <c r="C2194">
        <v>54000</v>
      </c>
      <c r="G2194" s="25">
        <v>44061</v>
      </c>
      <c r="H2194">
        <v>2020</v>
      </c>
      <c r="I2194" t="s">
        <v>49</v>
      </c>
    </row>
    <row r="2195" spans="1:9" x14ac:dyDescent="0.3">
      <c r="A2195" t="s">
        <v>19</v>
      </c>
      <c r="B2195">
        <v>324000</v>
      </c>
      <c r="G2195" s="25">
        <v>44061</v>
      </c>
      <c r="H2195">
        <v>2020</v>
      </c>
      <c r="I2195" t="s">
        <v>49</v>
      </c>
    </row>
    <row r="2196" spans="1:9" x14ac:dyDescent="0.3">
      <c r="A2196" t="s">
        <v>14</v>
      </c>
      <c r="B2196">
        <v>207000</v>
      </c>
      <c r="C2196">
        <v>914000</v>
      </c>
      <c r="D2196">
        <v>216000</v>
      </c>
      <c r="G2196" s="25">
        <v>44061</v>
      </c>
      <c r="H2196">
        <v>2020</v>
      </c>
      <c r="I2196" t="s">
        <v>49</v>
      </c>
    </row>
    <row r="2197" spans="1:9" x14ac:dyDescent="0.3">
      <c r="A2197" t="s">
        <v>24</v>
      </c>
      <c r="B2197">
        <v>216000</v>
      </c>
      <c r="G2197" s="25">
        <v>44061</v>
      </c>
      <c r="H2197">
        <v>2020</v>
      </c>
      <c r="I2197" t="s">
        <v>49</v>
      </c>
    </row>
    <row r="2198" spans="1:9" x14ac:dyDescent="0.3">
      <c r="A2198" t="s">
        <v>21</v>
      </c>
      <c r="B2198">
        <v>162000</v>
      </c>
      <c r="G2198" s="25">
        <v>44061</v>
      </c>
      <c r="H2198">
        <v>2020</v>
      </c>
      <c r="I2198" t="s">
        <v>49</v>
      </c>
    </row>
    <row r="2199" spans="1:9" x14ac:dyDescent="0.3">
      <c r="A2199" t="s">
        <v>18</v>
      </c>
      <c r="G2199" s="25">
        <v>44061</v>
      </c>
      <c r="H2199">
        <v>2020</v>
      </c>
      <c r="I2199" t="s">
        <v>49</v>
      </c>
    </row>
    <row r="2200" spans="1:9" x14ac:dyDescent="0.3">
      <c r="A2200" t="s">
        <v>16</v>
      </c>
      <c r="B2200">
        <v>162000</v>
      </c>
      <c r="G2200" s="25">
        <v>44061</v>
      </c>
      <c r="H2200">
        <v>2020</v>
      </c>
      <c r="I2200" t="s">
        <v>49</v>
      </c>
    </row>
    <row r="2201" spans="1:9" x14ac:dyDescent="0.3">
      <c r="A2201" t="s">
        <v>20</v>
      </c>
      <c r="G2201" s="25">
        <v>44062</v>
      </c>
      <c r="H2201">
        <v>2020</v>
      </c>
      <c r="I2201" t="s">
        <v>49</v>
      </c>
    </row>
    <row r="2202" spans="1:9" x14ac:dyDescent="0.3">
      <c r="A2202" t="s">
        <v>37</v>
      </c>
      <c r="G2202" s="25">
        <v>44062</v>
      </c>
      <c r="H2202">
        <v>2020</v>
      </c>
      <c r="I2202" t="s">
        <v>49</v>
      </c>
    </row>
    <row r="2203" spans="1:9" x14ac:dyDescent="0.3">
      <c r="A2203" t="s">
        <v>17</v>
      </c>
      <c r="B2203">
        <v>108000</v>
      </c>
      <c r="C2203">
        <v>257000</v>
      </c>
      <c r="E2203">
        <v>100000</v>
      </c>
      <c r="G2203" s="25">
        <v>44062</v>
      </c>
      <c r="H2203">
        <v>2020</v>
      </c>
      <c r="I2203" t="s">
        <v>49</v>
      </c>
    </row>
    <row r="2204" spans="1:9" x14ac:dyDescent="0.3">
      <c r="A2204" t="s">
        <v>0</v>
      </c>
      <c r="B2204">
        <v>198500</v>
      </c>
      <c r="F2204">
        <v>270000</v>
      </c>
      <c r="G2204" s="25">
        <v>44062</v>
      </c>
      <c r="H2204">
        <v>2020</v>
      </c>
      <c r="I2204" t="s">
        <v>49</v>
      </c>
    </row>
    <row r="2205" spans="1:9" x14ac:dyDescent="0.3">
      <c r="A2205" t="s">
        <v>25</v>
      </c>
      <c r="B2205">
        <v>108000</v>
      </c>
      <c r="C2205">
        <v>270000</v>
      </c>
      <c r="G2205" s="25">
        <v>44062</v>
      </c>
      <c r="H2205">
        <v>2020</v>
      </c>
      <c r="I2205" t="s">
        <v>49</v>
      </c>
    </row>
    <row r="2206" spans="1:9" x14ac:dyDescent="0.3">
      <c r="A2206" t="s">
        <v>15</v>
      </c>
      <c r="B2206">
        <v>54000</v>
      </c>
      <c r="G2206" s="25">
        <v>44062</v>
      </c>
      <c r="H2206">
        <v>2020</v>
      </c>
      <c r="I2206" t="s">
        <v>49</v>
      </c>
    </row>
    <row r="2207" spans="1:9" x14ac:dyDescent="0.3">
      <c r="A2207" t="s">
        <v>26</v>
      </c>
      <c r="B2207">
        <v>54000</v>
      </c>
      <c r="C2207">
        <v>108000</v>
      </c>
      <c r="G2207" s="25">
        <v>44062</v>
      </c>
      <c r="H2207">
        <v>2020</v>
      </c>
      <c r="I2207" t="s">
        <v>49</v>
      </c>
    </row>
    <row r="2208" spans="1:9" x14ac:dyDescent="0.3">
      <c r="A2208" t="s">
        <v>22</v>
      </c>
      <c r="G2208" s="25">
        <v>44062</v>
      </c>
      <c r="H2208">
        <v>2020</v>
      </c>
      <c r="I2208" t="s">
        <v>49</v>
      </c>
    </row>
    <row r="2209" spans="1:9" x14ac:dyDescent="0.3">
      <c r="A2209" t="s">
        <v>19</v>
      </c>
      <c r="B2209">
        <v>108000</v>
      </c>
      <c r="G2209" s="25">
        <v>44062</v>
      </c>
      <c r="H2209">
        <v>2020</v>
      </c>
      <c r="I2209" t="s">
        <v>49</v>
      </c>
    </row>
    <row r="2210" spans="1:9" x14ac:dyDescent="0.3">
      <c r="A2210" t="s">
        <v>14</v>
      </c>
      <c r="B2210">
        <v>266000</v>
      </c>
      <c r="C2210">
        <v>266000</v>
      </c>
      <c r="D2210">
        <v>806000</v>
      </c>
      <c r="G2210" s="25">
        <v>44062</v>
      </c>
      <c r="H2210">
        <v>2020</v>
      </c>
      <c r="I2210" t="s">
        <v>49</v>
      </c>
    </row>
    <row r="2211" spans="1:9" x14ac:dyDescent="0.3">
      <c r="A2211" t="s">
        <v>24</v>
      </c>
      <c r="B2211">
        <v>216000</v>
      </c>
      <c r="G2211" s="25">
        <v>44062</v>
      </c>
      <c r="H2211">
        <v>2020</v>
      </c>
      <c r="I2211" t="s">
        <v>49</v>
      </c>
    </row>
    <row r="2212" spans="1:9" x14ac:dyDescent="0.3">
      <c r="A2212" t="s">
        <v>21</v>
      </c>
      <c r="B2212">
        <v>45000</v>
      </c>
      <c r="C2212">
        <v>211000</v>
      </c>
      <c r="E2212">
        <v>54000</v>
      </c>
      <c r="G2212" s="25">
        <v>44062</v>
      </c>
      <c r="H2212">
        <v>2020</v>
      </c>
      <c r="I2212" t="s">
        <v>49</v>
      </c>
    </row>
    <row r="2213" spans="1:9" x14ac:dyDescent="0.3">
      <c r="A2213" t="s">
        <v>18</v>
      </c>
      <c r="G2213" s="25">
        <v>44062</v>
      </c>
      <c r="H2213">
        <v>2020</v>
      </c>
      <c r="I2213" t="s">
        <v>49</v>
      </c>
    </row>
    <row r="2214" spans="1:9" x14ac:dyDescent="0.3">
      <c r="A2214" t="s">
        <v>16</v>
      </c>
      <c r="B2214">
        <v>216000</v>
      </c>
      <c r="D2214">
        <v>100000</v>
      </c>
      <c r="G2214" s="25">
        <v>44062</v>
      </c>
      <c r="H2214">
        <v>2020</v>
      </c>
      <c r="I2214" t="s">
        <v>49</v>
      </c>
    </row>
    <row r="2215" spans="1:9" x14ac:dyDescent="0.3">
      <c r="A2215" t="s">
        <v>20</v>
      </c>
      <c r="G2215" s="25">
        <v>44063</v>
      </c>
      <c r="H2215">
        <v>2020</v>
      </c>
      <c r="I2215" t="s">
        <v>49</v>
      </c>
    </row>
    <row r="2216" spans="1:9" x14ac:dyDescent="0.3">
      <c r="A2216" t="s">
        <v>37</v>
      </c>
      <c r="B2216">
        <v>95000</v>
      </c>
      <c r="C2216">
        <v>94500</v>
      </c>
      <c r="G2216" s="25">
        <v>44063</v>
      </c>
      <c r="H2216">
        <v>2020</v>
      </c>
      <c r="I2216" t="s">
        <v>49</v>
      </c>
    </row>
    <row r="2217" spans="1:9" x14ac:dyDescent="0.3">
      <c r="A2217" t="s">
        <v>17</v>
      </c>
      <c r="B2217">
        <v>162000</v>
      </c>
      <c r="C2217">
        <v>103500</v>
      </c>
      <c r="G2217" s="25">
        <v>44063</v>
      </c>
      <c r="H2217">
        <v>2020</v>
      </c>
      <c r="I2217" t="s">
        <v>49</v>
      </c>
    </row>
    <row r="2218" spans="1:9" x14ac:dyDescent="0.3">
      <c r="A2218" t="s">
        <v>0</v>
      </c>
      <c r="B2218">
        <v>423000</v>
      </c>
      <c r="F2218">
        <v>263000</v>
      </c>
      <c r="G2218" s="25">
        <v>44063</v>
      </c>
      <c r="H2218">
        <v>2020</v>
      </c>
      <c r="I2218" t="s">
        <v>49</v>
      </c>
    </row>
    <row r="2219" spans="1:9" x14ac:dyDescent="0.3">
      <c r="A2219" t="s">
        <v>25</v>
      </c>
      <c r="B2219">
        <v>212000</v>
      </c>
      <c r="C2219">
        <v>212000</v>
      </c>
      <c r="E2219">
        <v>216000</v>
      </c>
      <c r="G2219" s="25">
        <v>44063</v>
      </c>
      <c r="H2219">
        <v>2020</v>
      </c>
      <c r="I2219" t="s">
        <v>49</v>
      </c>
    </row>
    <row r="2220" spans="1:9" x14ac:dyDescent="0.3">
      <c r="A2220" t="s">
        <v>15</v>
      </c>
      <c r="B2220">
        <v>54000</v>
      </c>
      <c r="C2220">
        <v>45000</v>
      </c>
      <c r="G2220" s="25">
        <v>44063</v>
      </c>
      <c r="H2220">
        <v>2020</v>
      </c>
      <c r="I2220" t="s">
        <v>49</v>
      </c>
    </row>
    <row r="2221" spans="1:9" x14ac:dyDescent="0.3">
      <c r="A2221" t="s">
        <v>26</v>
      </c>
      <c r="B2221">
        <v>212000</v>
      </c>
      <c r="D2221">
        <v>50000</v>
      </c>
      <c r="G2221" s="25">
        <v>44063</v>
      </c>
      <c r="H2221">
        <v>2020</v>
      </c>
      <c r="I2221" t="s">
        <v>49</v>
      </c>
    </row>
    <row r="2222" spans="1:9" x14ac:dyDescent="0.3">
      <c r="A2222" t="s">
        <v>22</v>
      </c>
      <c r="G2222" s="25">
        <v>44063</v>
      </c>
      <c r="H2222">
        <v>2020</v>
      </c>
      <c r="I2222" t="s">
        <v>49</v>
      </c>
    </row>
    <row r="2223" spans="1:9" x14ac:dyDescent="0.3">
      <c r="A2223" t="s">
        <v>19</v>
      </c>
      <c r="B2223">
        <v>54000</v>
      </c>
      <c r="E2223">
        <v>270000</v>
      </c>
      <c r="G2223" s="25">
        <v>44063</v>
      </c>
      <c r="H2223">
        <v>2020</v>
      </c>
      <c r="I2223" t="s">
        <v>49</v>
      </c>
    </row>
    <row r="2224" spans="1:9" x14ac:dyDescent="0.3">
      <c r="A2224" t="s">
        <v>14</v>
      </c>
      <c r="B2224">
        <v>270000</v>
      </c>
      <c r="C2224">
        <v>162000</v>
      </c>
      <c r="D2224">
        <v>216000</v>
      </c>
      <c r="G2224" s="25">
        <v>44063</v>
      </c>
      <c r="H2224">
        <v>2020</v>
      </c>
      <c r="I2224" t="s">
        <v>49</v>
      </c>
    </row>
    <row r="2225" spans="1:9" x14ac:dyDescent="0.3">
      <c r="A2225" t="s">
        <v>24</v>
      </c>
      <c r="B2225">
        <v>216000</v>
      </c>
      <c r="G2225" s="25">
        <v>44063</v>
      </c>
      <c r="H2225">
        <v>2020</v>
      </c>
      <c r="I2225" t="s">
        <v>49</v>
      </c>
    </row>
    <row r="2226" spans="1:9" x14ac:dyDescent="0.3">
      <c r="A2226" t="s">
        <v>21</v>
      </c>
      <c r="B2226">
        <v>103500</v>
      </c>
      <c r="C2226">
        <v>108000</v>
      </c>
      <c r="E2226">
        <v>54000</v>
      </c>
      <c r="G2226" s="25">
        <v>44063</v>
      </c>
      <c r="H2226">
        <v>2020</v>
      </c>
      <c r="I2226" t="s">
        <v>49</v>
      </c>
    </row>
    <row r="2227" spans="1:9" x14ac:dyDescent="0.3">
      <c r="A2227" t="s">
        <v>18</v>
      </c>
      <c r="G2227" s="25">
        <v>44063</v>
      </c>
      <c r="H2227">
        <v>2020</v>
      </c>
      <c r="I2227" t="s">
        <v>49</v>
      </c>
    </row>
    <row r="2228" spans="1:9" x14ac:dyDescent="0.3">
      <c r="A2228" t="s">
        <v>16</v>
      </c>
      <c r="B2228">
        <v>99000</v>
      </c>
      <c r="D2228">
        <v>45000</v>
      </c>
      <c r="G2228" s="25">
        <v>44063</v>
      </c>
      <c r="H2228">
        <v>2020</v>
      </c>
      <c r="I2228" t="s">
        <v>49</v>
      </c>
    </row>
    <row r="2229" spans="1:9" x14ac:dyDescent="0.3">
      <c r="A2229" t="s">
        <v>20</v>
      </c>
      <c r="B2229">
        <v>45000</v>
      </c>
      <c r="G2229" s="25">
        <v>44064</v>
      </c>
      <c r="H2229">
        <v>2020</v>
      </c>
      <c r="I2229" t="s">
        <v>49</v>
      </c>
    </row>
    <row r="2230" spans="1:9" x14ac:dyDescent="0.3">
      <c r="A2230" t="s">
        <v>37</v>
      </c>
      <c r="G2230" s="25">
        <v>44064</v>
      </c>
      <c r="H2230">
        <v>2020</v>
      </c>
      <c r="I2230" t="s">
        <v>49</v>
      </c>
    </row>
    <row r="2231" spans="1:9" x14ac:dyDescent="0.3">
      <c r="A2231" t="s">
        <v>17</v>
      </c>
      <c r="B2231">
        <v>270000</v>
      </c>
      <c r="C2231">
        <v>104000</v>
      </c>
      <c r="G2231" s="25">
        <v>44064</v>
      </c>
      <c r="H2231">
        <v>2020</v>
      </c>
      <c r="I2231" t="s">
        <v>49</v>
      </c>
    </row>
    <row r="2232" spans="1:9" x14ac:dyDescent="0.3">
      <c r="A2232" t="s">
        <v>0</v>
      </c>
      <c r="B2232">
        <v>432000</v>
      </c>
      <c r="G2232" s="25">
        <v>44064</v>
      </c>
      <c r="H2232">
        <v>2020</v>
      </c>
      <c r="I2232" t="s">
        <v>49</v>
      </c>
    </row>
    <row r="2233" spans="1:9" x14ac:dyDescent="0.3">
      <c r="A2233" t="s">
        <v>25</v>
      </c>
      <c r="B2233">
        <v>265000</v>
      </c>
      <c r="C2233">
        <v>162000</v>
      </c>
      <c r="E2233">
        <v>270000</v>
      </c>
      <c r="G2233" s="25">
        <v>44064</v>
      </c>
      <c r="H2233">
        <v>2020</v>
      </c>
      <c r="I2233" t="s">
        <v>49</v>
      </c>
    </row>
    <row r="2234" spans="1:9" x14ac:dyDescent="0.3">
      <c r="A2234" t="s">
        <v>15</v>
      </c>
      <c r="B2234">
        <v>378000</v>
      </c>
      <c r="C2234">
        <v>45000</v>
      </c>
      <c r="G2234" s="25">
        <v>44064</v>
      </c>
      <c r="H2234">
        <v>2020</v>
      </c>
      <c r="I2234" t="s">
        <v>49</v>
      </c>
    </row>
    <row r="2235" spans="1:9" x14ac:dyDescent="0.3">
      <c r="A2235" t="s">
        <v>26</v>
      </c>
      <c r="B2235">
        <v>270000</v>
      </c>
      <c r="G2235" s="25">
        <v>44064</v>
      </c>
      <c r="H2235">
        <v>2020</v>
      </c>
      <c r="I2235" t="s">
        <v>49</v>
      </c>
    </row>
    <row r="2236" spans="1:9" x14ac:dyDescent="0.3">
      <c r="A2236" t="s">
        <v>22</v>
      </c>
      <c r="G2236" s="25">
        <v>44064</v>
      </c>
      <c r="H2236">
        <v>2020</v>
      </c>
      <c r="I2236" t="s">
        <v>49</v>
      </c>
    </row>
    <row r="2237" spans="1:9" x14ac:dyDescent="0.3">
      <c r="A2237" t="s">
        <v>19</v>
      </c>
      <c r="C2237">
        <v>432000</v>
      </c>
      <c r="E2237">
        <v>324000</v>
      </c>
      <c r="G2237" s="25">
        <v>44064</v>
      </c>
      <c r="H2237">
        <v>2020</v>
      </c>
      <c r="I2237" t="s">
        <v>49</v>
      </c>
    </row>
    <row r="2238" spans="1:9" x14ac:dyDescent="0.3">
      <c r="A2238" t="s">
        <v>14</v>
      </c>
      <c r="B2238">
        <v>216000</v>
      </c>
      <c r="C2238">
        <v>54000</v>
      </c>
      <c r="G2238" s="25">
        <v>44064</v>
      </c>
      <c r="H2238">
        <v>2020</v>
      </c>
      <c r="I2238" t="s">
        <v>49</v>
      </c>
    </row>
    <row r="2239" spans="1:9" x14ac:dyDescent="0.3">
      <c r="A2239" t="s">
        <v>24</v>
      </c>
      <c r="B2239">
        <v>270000</v>
      </c>
      <c r="G2239" s="25">
        <v>44064</v>
      </c>
      <c r="H2239">
        <v>2020</v>
      </c>
      <c r="I2239" t="s">
        <v>49</v>
      </c>
    </row>
    <row r="2240" spans="1:9" x14ac:dyDescent="0.3">
      <c r="A2240" t="s">
        <v>21</v>
      </c>
      <c r="B2240">
        <v>270000</v>
      </c>
      <c r="C2240">
        <v>158000</v>
      </c>
      <c r="E2240">
        <v>216000</v>
      </c>
      <c r="G2240" s="25">
        <v>44064</v>
      </c>
      <c r="H2240">
        <v>2020</v>
      </c>
      <c r="I2240" t="s">
        <v>49</v>
      </c>
    </row>
    <row r="2241" spans="1:9" x14ac:dyDescent="0.3">
      <c r="A2241" t="s">
        <v>18</v>
      </c>
      <c r="G2241" s="25">
        <v>44064</v>
      </c>
      <c r="H2241">
        <v>2020</v>
      </c>
      <c r="I2241" t="s">
        <v>49</v>
      </c>
    </row>
    <row r="2242" spans="1:9" x14ac:dyDescent="0.3">
      <c r="A2242" t="s">
        <v>16</v>
      </c>
      <c r="B2242">
        <v>1615000</v>
      </c>
      <c r="G2242" s="25">
        <v>44064</v>
      </c>
      <c r="H2242">
        <v>2020</v>
      </c>
      <c r="I2242" t="s">
        <v>49</v>
      </c>
    </row>
    <row r="2243" spans="1:9" x14ac:dyDescent="0.3">
      <c r="A2243" t="s">
        <v>20</v>
      </c>
      <c r="G2243" s="25">
        <v>44065</v>
      </c>
      <c r="H2243">
        <v>2020</v>
      </c>
      <c r="I2243" t="s">
        <v>49</v>
      </c>
    </row>
    <row r="2244" spans="1:9" x14ac:dyDescent="0.3">
      <c r="A2244" t="s">
        <v>37</v>
      </c>
      <c r="G2244" s="25">
        <v>44065</v>
      </c>
      <c r="H2244">
        <v>2020</v>
      </c>
      <c r="I2244" t="s">
        <v>49</v>
      </c>
    </row>
    <row r="2245" spans="1:9" x14ac:dyDescent="0.3">
      <c r="A2245" t="s">
        <v>17</v>
      </c>
      <c r="B2245">
        <v>162000</v>
      </c>
      <c r="C2245">
        <v>373000</v>
      </c>
      <c r="G2245" s="25">
        <v>44065</v>
      </c>
      <c r="H2245">
        <v>2020</v>
      </c>
      <c r="I2245" t="s">
        <v>49</v>
      </c>
    </row>
    <row r="2246" spans="1:9" x14ac:dyDescent="0.3">
      <c r="A2246" t="s">
        <v>0</v>
      </c>
      <c r="B2246">
        <v>324000</v>
      </c>
      <c r="G2246" s="25">
        <v>44065</v>
      </c>
      <c r="H2246">
        <v>2020</v>
      </c>
      <c r="I2246" t="s">
        <v>49</v>
      </c>
    </row>
    <row r="2247" spans="1:9" x14ac:dyDescent="0.3">
      <c r="A2247" t="s">
        <v>25</v>
      </c>
      <c r="B2247">
        <v>162000</v>
      </c>
      <c r="C2247">
        <v>214000</v>
      </c>
      <c r="E2247">
        <v>270000</v>
      </c>
      <c r="G2247" s="25">
        <v>44065</v>
      </c>
      <c r="H2247">
        <v>2020</v>
      </c>
      <c r="I2247" t="s">
        <v>49</v>
      </c>
    </row>
    <row r="2248" spans="1:9" x14ac:dyDescent="0.3">
      <c r="A2248" t="s">
        <v>15</v>
      </c>
      <c r="B2248">
        <v>270000</v>
      </c>
      <c r="C2248">
        <v>324000</v>
      </c>
      <c r="E2248">
        <v>486000</v>
      </c>
      <c r="G2248" s="25">
        <v>44065</v>
      </c>
      <c r="H2248">
        <v>2020</v>
      </c>
      <c r="I2248" t="s">
        <v>49</v>
      </c>
    </row>
    <row r="2249" spans="1:9" x14ac:dyDescent="0.3">
      <c r="A2249" t="s">
        <v>26</v>
      </c>
      <c r="B2249">
        <v>162000</v>
      </c>
      <c r="G2249" s="25">
        <v>44065</v>
      </c>
      <c r="H2249">
        <v>2020</v>
      </c>
      <c r="I2249" t="s">
        <v>49</v>
      </c>
    </row>
    <row r="2250" spans="1:9" x14ac:dyDescent="0.3">
      <c r="A2250" t="s">
        <v>22</v>
      </c>
      <c r="G2250" s="25">
        <v>44065</v>
      </c>
      <c r="H2250">
        <v>2020</v>
      </c>
      <c r="I2250" t="s">
        <v>49</v>
      </c>
    </row>
    <row r="2251" spans="1:9" x14ac:dyDescent="0.3">
      <c r="A2251" t="s">
        <v>19</v>
      </c>
      <c r="E2251">
        <v>270000</v>
      </c>
      <c r="G2251" s="25">
        <v>44065</v>
      </c>
      <c r="H2251">
        <v>2020</v>
      </c>
      <c r="I2251" t="s">
        <v>49</v>
      </c>
    </row>
    <row r="2252" spans="1:9" x14ac:dyDescent="0.3">
      <c r="A2252" t="s">
        <v>14</v>
      </c>
      <c r="B2252">
        <v>315000</v>
      </c>
      <c r="C2252">
        <v>153000</v>
      </c>
      <c r="G2252" s="25">
        <v>44065</v>
      </c>
      <c r="H2252">
        <v>2020</v>
      </c>
      <c r="I2252" t="s">
        <v>49</v>
      </c>
    </row>
    <row r="2253" spans="1:9" x14ac:dyDescent="0.3">
      <c r="A2253" t="s">
        <v>24</v>
      </c>
      <c r="B2253">
        <v>486000</v>
      </c>
      <c r="G2253" s="25">
        <v>44065</v>
      </c>
      <c r="H2253">
        <v>2020</v>
      </c>
      <c r="I2253" t="s">
        <v>49</v>
      </c>
    </row>
    <row r="2254" spans="1:9" x14ac:dyDescent="0.3">
      <c r="A2254" t="s">
        <v>21</v>
      </c>
      <c r="B2254">
        <v>162000</v>
      </c>
      <c r="C2254">
        <v>108000</v>
      </c>
      <c r="E2254">
        <v>162000</v>
      </c>
      <c r="G2254" s="25">
        <v>44065</v>
      </c>
      <c r="H2254">
        <v>2020</v>
      </c>
      <c r="I2254" t="s">
        <v>49</v>
      </c>
    </row>
    <row r="2255" spans="1:9" x14ac:dyDescent="0.3">
      <c r="A2255" t="s">
        <v>18</v>
      </c>
      <c r="G2255" s="25">
        <v>44065</v>
      </c>
      <c r="H2255">
        <v>2020</v>
      </c>
      <c r="I2255" t="s">
        <v>49</v>
      </c>
    </row>
    <row r="2256" spans="1:9" x14ac:dyDescent="0.3">
      <c r="A2256" t="s">
        <v>16</v>
      </c>
      <c r="B2256">
        <v>266000</v>
      </c>
      <c r="G2256" s="25">
        <v>44065</v>
      </c>
      <c r="H2256">
        <v>2020</v>
      </c>
      <c r="I2256" t="s">
        <v>49</v>
      </c>
    </row>
    <row r="2257" spans="1:9" x14ac:dyDescent="0.3">
      <c r="A2257" t="s">
        <v>20</v>
      </c>
      <c r="G2257" s="25">
        <v>44067</v>
      </c>
      <c r="H2257">
        <v>2020</v>
      </c>
      <c r="I2257" t="s">
        <v>49</v>
      </c>
    </row>
    <row r="2258" spans="1:9" x14ac:dyDescent="0.3">
      <c r="A2258" t="s">
        <v>37</v>
      </c>
      <c r="G2258" s="25">
        <v>44067</v>
      </c>
      <c r="H2258">
        <v>2020</v>
      </c>
      <c r="I2258" t="s">
        <v>49</v>
      </c>
    </row>
    <row r="2259" spans="1:9" x14ac:dyDescent="0.3">
      <c r="A2259" t="s">
        <v>17</v>
      </c>
      <c r="B2259">
        <v>311000</v>
      </c>
      <c r="C2259">
        <v>302000</v>
      </c>
      <c r="G2259" s="25">
        <v>44067</v>
      </c>
      <c r="H2259">
        <v>2020</v>
      </c>
      <c r="I2259" t="s">
        <v>49</v>
      </c>
    </row>
    <row r="2260" spans="1:9" x14ac:dyDescent="0.3">
      <c r="A2260" t="s">
        <v>0</v>
      </c>
      <c r="B2260">
        <v>270000</v>
      </c>
      <c r="F2260">
        <v>252000</v>
      </c>
      <c r="G2260" s="25">
        <v>44067</v>
      </c>
      <c r="H2260">
        <v>2020</v>
      </c>
      <c r="I2260" t="s">
        <v>49</v>
      </c>
    </row>
    <row r="2261" spans="1:9" x14ac:dyDescent="0.3">
      <c r="A2261" t="s">
        <v>25</v>
      </c>
      <c r="B2261">
        <v>108000</v>
      </c>
      <c r="C2261">
        <v>207000</v>
      </c>
      <c r="E2261">
        <v>54000</v>
      </c>
      <c r="G2261" s="25">
        <v>44067</v>
      </c>
      <c r="H2261">
        <v>2020</v>
      </c>
      <c r="I2261" t="s">
        <v>49</v>
      </c>
    </row>
    <row r="2262" spans="1:9" x14ac:dyDescent="0.3">
      <c r="A2262" t="s">
        <v>15</v>
      </c>
      <c r="B2262">
        <v>216000</v>
      </c>
      <c r="C2262">
        <v>216000</v>
      </c>
      <c r="E2262">
        <v>108000</v>
      </c>
      <c r="G2262" s="25">
        <v>44067</v>
      </c>
      <c r="H2262">
        <v>2020</v>
      </c>
      <c r="I2262" t="s">
        <v>49</v>
      </c>
    </row>
    <row r="2263" spans="1:9" x14ac:dyDescent="0.3">
      <c r="A2263" t="s">
        <v>26</v>
      </c>
      <c r="D2263">
        <v>45000</v>
      </c>
      <c r="G2263" s="25">
        <v>44067</v>
      </c>
      <c r="H2263">
        <v>2020</v>
      </c>
      <c r="I2263" t="s">
        <v>49</v>
      </c>
    </row>
    <row r="2264" spans="1:9" x14ac:dyDescent="0.3">
      <c r="A2264" t="s">
        <v>22</v>
      </c>
      <c r="G2264" s="25">
        <v>44067</v>
      </c>
      <c r="H2264">
        <v>2020</v>
      </c>
      <c r="I2264" t="s">
        <v>49</v>
      </c>
    </row>
    <row r="2265" spans="1:9" x14ac:dyDescent="0.3">
      <c r="A2265" t="s">
        <v>19</v>
      </c>
      <c r="G2265" s="25">
        <v>44067</v>
      </c>
      <c r="H2265">
        <v>2020</v>
      </c>
      <c r="I2265" t="s">
        <v>49</v>
      </c>
    </row>
    <row r="2266" spans="1:9" x14ac:dyDescent="0.3">
      <c r="A2266" t="s">
        <v>14</v>
      </c>
      <c r="B2266">
        <v>368500</v>
      </c>
      <c r="C2266">
        <v>216000</v>
      </c>
      <c r="G2266" s="25">
        <v>44067</v>
      </c>
      <c r="H2266">
        <v>2020</v>
      </c>
      <c r="I2266" t="s">
        <v>49</v>
      </c>
    </row>
    <row r="2267" spans="1:9" x14ac:dyDescent="0.3">
      <c r="A2267" t="s">
        <v>24</v>
      </c>
      <c r="B2267">
        <v>319500</v>
      </c>
      <c r="G2267" s="25">
        <v>44067</v>
      </c>
      <c r="H2267">
        <v>2020</v>
      </c>
      <c r="I2267" t="s">
        <v>49</v>
      </c>
    </row>
    <row r="2268" spans="1:9" x14ac:dyDescent="0.3">
      <c r="A2268" t="s">
        <v>21</v>
      </c>
      <c r="C2268">
        <v>205000</v>
      </c>
      <c r="E2268">
        <v>162000</v>
      </c>
      <c r="G2268" s="25">
        <v>44067</v>
      </c>
      <c r="H2268">
        <v>2020</v>
      </c>
      <c r="I2268" t="s">
        <v>49</v>
      </c>
    </row>
    <row r="2269" spans="1:9" x14ac:dyDescent="0.3">
      <c r="A2269" t="s">
        <v>18</v>
      </c>
      <c r="G2269" s="25">
        <v>44067</v>
      </c>
      <c r="H2269">
        <v>2020</v>
      </c>
      <c r="I2269" t="s">
        <v>49</v>
      </c>
    </row>
    <row r="2270" spans="1:9" x14ac:dyDescent="0.3">
      <c r="A2270" t="s">
        <v>16</v>
      </c>
      <c r="B2270">
        <v>162000</v>
      </c>
      <c r="G2270" s="25">
        <v>44067</v>
      </c>
      <c r="H2270">
        <v>2020</v>
      </c>
      <c r="I2270" t="s">
        <v>49</v>
      </c>
    </row>
    <row r="2271" spans="1:9" x14ac:dyDescent="0.3">
      <c r="A2271" t="s">
        <v>20</v>
      </c>
      <c r="B2271">
        <v>90000</v>
      </c>
      <c r="G2271" s="25">
        <v>44068</v>
      </c>
      <c r="H2271">
        <v>2020</v>
      </c>
      <c r="I2271" t="s">
        <v>49</v>
      </c>
    </row>
    <row r="2272" spans="1:9" x14ac:dyDescent="0.3">
      <c r="A2272" t="s">
        <v>37</v>
      </c>
      <c r="G2272" s="25">
        <v>44068</v>
      </c>
      <c r="H2272">
        <v>2020</v>
      </c>
      <c r="I2272" t="s">
        <v>49</v>
      </c>
    </row>
    <row r="2273" spans="1:9" x14ac:dyDescent="0.3">
      <c r="A2273" t="s">
        <v>17</v>
      </c>
      <c r="B2273">
        <v>477000</v>
      </c>
      <c r="C2273">
        <v>270000</v>
      </c>
      <c r="G2273" s="25">
        <v>44068</v>
      </c>
      <c r="H2273">
        <v>2020</v>
      </c>
      <c r="I2273" t="s">
        <v>49</v>
      </c>
    </row>
    <row r="2274" spans="1:9" x14ac:dyDescent="0.3">
      <c r="A2274" t="s">
        <v>0</v>
      </c>
      <c r="B2274">
        <v>54000</v>
      </c>
      <c r="F2274">
        <v>137000</v>
      </c>
      <c r="G2274" s="25">
        <v>44068</v>
      </c>
      <c r="H2274">
        <v>2020</v>
      </c>
      <c r="I2274" t="s">
        <v>49</v>
      </c>
    </row>
    <row r="2275" spans="1:9" x14ac:dyDescent="0.3">
      <c r="A2275" t="s">
        <v>25</v>
      </c>
      <c r="B2275">
        <v>154000</v>
      </c>
      <c r="C2275">
        <v>270000</v>
      </c>
      <c r="G2275" s="25">
        <v>44068</v>
      </c>
      <c r="H2275">
        <v>2020</v>
      </c>
      <c r="I2275" t="s">
        <v>49</v>
      </c>
    </row>
    <row r="2276" spans="1:9" x14ac:dyDescent="0.3">
      <c r="A2276" t="s">
        <v>15</v>
      </c>
      <c r="B2276">
        <v>378000</v>
      </c>
      <c r="C2276">
        <v>428000</v>
      </c>
      <c r="D2276">
        <v>45000</v>
      </c>
      <c r="E2276">
        <v>1292000</v>
      </c>
      <c r="G2276" s="25">
        <v>44068</v>
      </c>
      <c r="H2276">
        <v>2020</v>
      </c>
      <c r="I2276" t="s">
        <v>49</v>
      </c>
    </row>
    <row r="2277" spans="1:9" x14ac:dyDescent="0.3">
      <c r="A2277" t="s">
        <v>26</v>
      </c>
      <c r="G2277" s="25">
        <v>44068</v>
      </c>
      <c r="H2277">
        <v>2020</v>
      </c>
      <c r="I2277" t="s">
        <v>49</v>
      </c>
    </row>
    <row r="2278" spans="1:9" x14ac:dyDescent="0.3">
      <c r="A2278" t="s">
        <v>22</v>
      </c>
      <c r="G2278" s="25">
        <v>44068</v>
      </c>
      <c r="H2278">
        <v>2020</v>
      </c>
      <c r="I2278" t="s">
        <v>49</v>
      </c>
    </row>
    <row r="2279" spans="1:9" x14ac:dyDescent="0.3">
      <c r="A2279" t="s">
        <v>19</v>
      </c>
      <c r="G2279" s="25">
        <v>44068</v>
      </c>
      <c r="H2279">
        <v>2020</v>
      </c>
      <c r="I2279" t="s">
        <v>49</v>
      </c>
    </row>
    <row r="2280" spans="1:9" x14ac:dyDescent="0.3">
      <c r="A2280" t="s">
        <v>14</v>
      </c>
      <c r="B2280">
        <v>742500</v>
      </c>
      <c r="G2280" s="25">
        <v>44068</v>
      </c>
      <c r="H2280">
        <v>2020</v>
      </c>
      <c r="I2280" t="s">
        <v>49</v>
      </c>
    </row>
    <row r="2281" spans="1:9" x14ac:dyDescent="0.3">
      <c r="A2281" t="s">
        <v>24</v>
      </c>
      <c r="B2281">
        <v>580500</v>
      </c>
      <c r="G2281" s="25">
        <v>44068</v>
      </c>
      <c r="H2281">
        <v>2020</v>
      </c>
      <c r="I2281" t="s">
        <v>49</v>
      </c>
    </row>
    <row r="2282" spans="1:9" x14ac:dyDescent="0.3">
      <c r="A2282" t="s">
        <v>21</v>
      </c>
      <c r="C2282">
        <v>216000</v>
      </c>
      <c r="G2282" s="25">
        <v>44068</v>
      </c>
      <c r="H2282">
        <v>2020</v>
      </c>
      <c r="I2282" t="s">
        <v>49</v>
      </c>
    </row>
    <row r="2283" spans="1:9" x14ac:dyDescent="0.3">
      <c r="A2283" t="s">
        <v>18</v>
      </c>
      <c r="G2283" s="25">
        <v>44068</v>
      </c>
      <c r="H2283">
        <v>2020</v>
      </c>
      <c r="I2283" t="s">
        <v>49</v>
      </c>
    </row>
    <row r="2284" spans="1:9" x14ac:dyDescent="0.3">
      <c r="A2284" t="s">
        <v>16</v>
      </c>
      <c r="B2284">
        <v>162000</v>
      </c>
      <c r="G2284" s="25">
        <v>44068</v>
      </c>
      <c r="H2284">
        <v>2020</v>
      </c>
      <c r="I2284" t="s">
        <v>49</v>
      </c>
    </row>
    <row r="2285" spans="1:9" x14ac:dyDescent="0.3">
      <c r="A2285" t="s">
        <v>20</v>
      </c>
      <c r="G2285" s="25">
        <v>44069</v>
      </c>
      <c r="H2285">
        <v>2020</v>
      </c>
      <c r="I2285" t="s">
        <v>49</v>
      </c>
    </row>
    <row r="2286" spans="1:9" x14ac:dyDescent="0.3">
      <c r="A2286" t="s">
        <v>37</v>
      </c>
      <c r="G2286" s="25">
        <v>44069</v>
      </c>
      <c r="H2286">
        <v>2020</v>
      </c>
      <c r="I2286" t="s">
        <v>49</v>
      </c>
    </row>
    <row r="2287" spans="1:9" x14ac:dyDescent="0.3">
      <c r="A2287" t="s">
        <v>17</v>
      </c>
      <c r="B2287">
        <v>320000</v>
      </c>
      <c r="C2287">
        <v>103500</v>
      </c>
      <c r="G2287" s="25">
        <v>44069</v>
      </c>
      <c r="H2287">
        <v>2020</v>
      </c>
      <c r="I2287" t="s">
        <v>49</v>
      </c>
    </row>
    <row r="2288" spans="1:9" x14ac:dyDescent="0.3">
      <c r="A2288" t="s">
        <v>0</v>
      </c>
      <c r="G2288" s="25">
        <v>44069</v>
      </c>
      <c r="H2288">
        <v>2020</v>
      </c>
      <c r="I2288" t="s">
        <v>49</v>
      </c>
    </row>
    <row r="2289" spans="1:9" x14ac:dyDescent="0.3">
      <c r="A2289" t="s">
        <v>25</v>
      </c>
      <c r="B2289">
        <v>45000</v>
      </c>
      <c r="C2289">
        <v>432000</v>
      </c>
      <c r="G2289" s="25">
        <v>44069</v>
      </c>
      <c r="H2289">
        <v>2020</v>
      </c>
      <c r="I2289" t="s">
        <v>49</v>
      </c>
    </row>
    <row r="2290" spans="1:9" x14ac:dyDescent="0.3">
      <c r="A2290" t="s">
        <v>15</v>
      </c>
      <c r="B2290">
        <v>324000</v>
      </c>
      <c r="C2290">
        <v>1279000</v>
      </c>
      <c r="D2290">
        <v>95000</v>
      </c>
      <c r="E2290">
        <v>104000</v>
      </c>
      <c r="G2290" s="25">
        <v>44069</v>
      </c>
      <c r="H2290">
        <v>2020</v>
      </c>
      <c r="I2290" t="s">
        <v>49</v>
      </c>
    </row>
    <row r="2291" spans="1:9" x14ac:dyDescent="0.3">
      <c r="A2291" t="s">
        <v>26</v>
      </c>
      <c r="B2291">
        <v>108000</v>
      </c>
      <c r="C2291">
        <v>45000</v>
      </c>
      <c r="D2291">
        <v>95000</v>
      </c>
      <c r="F2291">
        <v>540000</v>
      </c>
      <c r="G2291" s="25">
        <v>44069</v>
      </c>
      <c r="H2291">
        <v>2020</v>
      </c>
      <c r="I2291" t="s">
        <v>49</v>
      </c>
    </row>
    <row r="2292" spans="1:9" x14ac:dyDescent="0.3">
      <c r="A2292" t="s">
        <v>22</v>
      </c>
      <c r="G2292" s="25">
        <v>44069</v>
      </c>
      <c r="H2292">
        <v>2020</v>
      </c>
      <c r="I2292" t="s">
        <v>49</v>
      </c>
    </row>
    <row r="2293" spans="1:9" x14ac:dyDescent="0.3">
      <c r="A2293" t="s">
        <v>19</v>
      </c>
      <c r="G2293" s="25">
        <v>44069</v>
      </c>
      <c r="H2293">
        <v>2020</v>
      </c>
      <c r="I2293" t="s">
        <v>49</v>
      </c>
    </row>
    <row r="2294" spans="1:9" x14ac:dyDescent="0.3">
      <c r="A2294" t="s">
        <v>14</v>
      </c>
      <c r="B2294">
        <v>702000</v>
      </c>
      <c r="G2294" s="25">
        <v>44069</v>
      </c>
      <c r="H2294">
        <v>2020</v>
      </c>
      <c r="I2294" t="s">
        <v>49</v>
      </c>
    </row>
    <row r="2295" spans="1:9" x14ac:dyDescent="0.3">
      <c r="A2295" t="s">
        <v>24</v>
      </c>
      <c r="B2295">
        <v>585000</v>
      </c>
      <c r="G2295" s="25">
        <v>44069</v>
      </c>
      <c r="H2295">
        <v>2020</v>
      </c>
      <c r="I2295" t="s">
        <v>49</v>
      </c>
    </row>
    <row r="2296" spans="1:9" x14ac:dyDescent="0.3">
      <c r="A2296" t="s">
        <v>21</v>
      </c>
      <c r="E2296">
        <v>50000</v>
      </c>
      <c r="G2296" s="25">
        <v>44069</v>
      </c>
      <c r="H2296">
        <v>2020</v>
      </c>
      <c r="I2296" t="s">
        <v>49</v>
      </c>
    </row>
    <row r="2297" spans="1:9" x14ac:dyDescent="0.3">
      <c r="A2297" t="s">
        <v>18</v>
      </c>
      <c r="G2297" s="25">
        <v>44069</v>
      </c>
      <c r="H2297">
        <v>2020</v>
      </c>
      <c r="I2297" t="s">
        <v>49</v>
      </c>
    </row>
    <row r="2298" spans="1:9" x14ac:dyDescent="0.3">
      <c r="A2298" t="s">
        <v>16</v>
      </c>
      <c r="B2298">
        <v>54000</v>
      </c>
      <c r="C2298">
        <v>743000</v>
      </c>
      <c r="G2298" s="25">
        <v>44069</v>
      </c>
      <c r="H2298">
        <v>2020</v>
      </c>
      <c r="I2298" t="s">
        <v>49</v>
      </c>
    </row>
    <row r="2299" spans="1:9" x14ac:dyDescent="0.3">
      <c r="A2299" t="s">
        <v>20</v>
      </c>
      <c r="G2299" s="25">
        <v>44070</v>
      </c>
      <c r="H2299">
        <v>2020</v>
      </c>
      <c r="I2299" t="s">
        <v>49</v>
      </c>
    </row>
    <row r="2300" spans="1:9" x14ac:dyDescent="0.3">
      <c r="A2300" t="s">
        <v>37</v>
      </c>
      <c r="E2300">
        <v>200000</v>
      </c>
      <c r="G2300" s="25">
        <v>44070</v>
      </c>
      <c r="H2300">
        <v>2020</v>
      </c>
      <c r="I2300" t="s">
        <v>49</v>
      </c>
    </row>
    <row r="2301" spans="1:9" x14ac:dyDescent="0.3">
      <c r="A2301" t="s">
        <v>17</v>
      </c>
      <c r="B2301">
        <v>108000</v>
      </c>
      <c r="C2301">
        <v>270000</v>
      </c>
      <c r="G2301" s="25">
        <v>44070</v>
      </c>
      <c r="H2301">
        <v>2020</v>
      </c>
      <c r="I2301" t="s">
        <v>49</v>
      </c>
    </row>
    <row r="2302" spans="1:9" x14ac:dyDescent="0.3">
      <c r="A2302" t="s">
        <v>0</v>
      </c>
      <c r="B2302">
        <v>53500</v>
      </c>
      <c r="G2302" s="25">
        <v>44070</v>
      </c>
      <c r="H2302">
        <v>2020</v>
      </c>
      <c r="I2302" t="s">
        <v>49</v>
      </c>
    </row>
    <row r="2303" spans="1:9" x14ac:dyDescent="0.3">
      <c r="A2303" t="s">
        <v>25</v>
      </c>
      <c r="B2303">
        <v>45000</v>
      </c>
      <c r="C2303">
        <v>216000</v>
      </c>
      <c r="G2303" s="25">
        <v>44070</v>
      </c>
      <c r="H2303">
        <v>2020</v>
      </c>
      <c r="I2303" t="s">
        <v>49</v>
      </c>
    </row>
    <row r="2304" spans="1:9" x14ac:dyDescent="0.3">
      <c r="A2304" t="s">
        <v>15</v>
      </c>
      <c r="C2304">
        <v>162000</v>
      </c>
      <c r="E2304">
        <v>99000</v>
      </c>
      <c r="G2304" s="25">
        <v>44070</v>
      </c>
      <c r="H2304">
        <v>2020</v>
      </c>
      <c r="I2304" t="s">
        <v>49</v>
      </c>
    </row>
    <row r="2305" spans="1:9" x14ac:dyDescent="0.3">
      <c r="A2305" t="s">
        <v>26</v>
      </c>
      <c r="B2305">
        <v>162000</v>
      </c>
      <c r="F2305">
        <v>54000</v>
      </c>
      <c r="G2305" s="25">
        <v>44070</v>
      </c>
      <c r="H2305">
        <v>2020</v>
      </c>
      <c r="I2305" t="s">
        <v>49</v>
      </c>
    </row>
    <row r="2306" spans="1:9" x14ac:dyDescent="0.3">
      <c r="A2306" t="s">
        <v>22</v>
      </c>
      <c r="G2306" s="25">
        <v>44070</v>
      </c>
      <c r="H2306">
        <v>2020</v>
      </c>
      <c r="I2306" t="s">
        <v>49</v>
      </c>
    </row>
    <row r="2307" spans="1:9" x14ac:dyDescent="0.3">
      <c r="A2307" t="s">
        <v>19</v>
      </c>
      <c r="E2307">
        <v>135000</v>
      </c>
      <c r="G2307" s="25">
        <v>44070</v>
      </c>
      <c r="H2307">
        <v>2020</v>
      </c>
      <c r="I2307" t="s">
        <v>49</v>
      </c>
    </row>
    <row r="2308" spans="1:9" x14ac:dyDescent="0.3">
      <c r="A2308" t="s">
        <v>14</v>
      </c>
      <c r="B2308">
        <v>360500</v>
      </c>
      <c r="C2308">
        <v>1345500</v>
      </c>
      <c r="G2308" s="25">
        <v>44070</v>
      </c>
      <c r="H2308">
        <v>2020</v>
      </c>
      <c r="I2308" t="s">
        <v>49</v>
      </c>
    </row>
    <row r="2309" spans="1:9" x14ac:dyDescent="0.3">
      <c r="A2309" t="s">
        <v>24</v>
      </c>
      <c r="B2309">
        <v>378000</v>
      </c>
      <c r="G2309" s="25">
        <v>44070</v>
      </c>
      <c r="H2309">
        <v>2020</v>
      </c>
      <c r="I2309" t="s">
        <v>49</v>
      </c>
    </row>
    <row r="2310" spans="1:9" x14ac:dyDescent="0.3">
      <c r="A2310" t="s">
        <v>21</v>
      </c>
      <c r="B2310">
        <v>100000</v>
      </c>
      <c r="C2310">
        <v>249000</v>
      </c>
      <c r="G2310" s="25">
        <v>44070</v>
      </c>
      <c r="H2310">
        <v>2020</v>
      </c>
      <c r="I2310" t="s">
        <v>49</v>
      </c>
    </row>
    <row r="2311" spans="1:9" x14ac:dyDescent="0.3">
      <c r="A2311" t="s">
        <v>18</v>
      </c>
      <c r="G2311" s="25">
        <v>44070</v>
      </c>
      <c r="H2311">
        <v>2020</v>
      </c>
      <c r="I2311" t="s">
        <v>49</v>
      </c>
    </row>
    <row r="2312" spans="1:9" x14ac:dyDescent="0.3">
      <c r="A2312" t="s">
        <v>16</v>
      </c>
      <c r="D2312">
        <v>50000</v>
      </c>
      <c r="G2312" s="25">
        <v>44070</v>
      </c>
      <c r="H2312">
        <v>2020</v>
      </c>
      <c r="I2312" t="s">
        <v>49</v>
      </c>
    </row>
    <row r="2313" spans="1:9" x14ac:dyDescent="0.3">
      <c r="A2313" t="s">
        <v>20</v>
      </c>
      <c r="G2313" s="25">
        <v>44071</v>
      </c>
      <c r="H2313">
        <v>2020</v>
      </c>
      <c r="I2313" t="s">
        <v>49</v>
      </c>
    </row>
    <row r="2314" spans="1:9" x14ac:dyDescent="0.3">
      <c r="A2314" t="s">
        <v>37</v>
      </c>
      <c r="E2314">
        <v>100000</v>
      </c>
      <c r="G2314" s="25">
        <v>44071</v>
      </c>
      <c r="H2314">
        <v>2020</v>
      </c>
      <c r="I2314" t="s">
        <v>49</v>
      </c>
    </row>
    <row r="2315" spans="1:9" x14ac:dyDescent="0.3">
      <c r="A2315" t="s">
        <v>17</v>
      </c>
      <c r="B2315">
        <v>270000</v>
      </c>
      <c r="G2315" s="25">
        <v>44071</v>
      </c>
      <c r="H2315">
        <v>2020</v>
      </c>
      <c r="I2315" t="s">
        <v>49</v>
      </c>
    </row>
    <row r="2316" spans="1:9" x14ac:dyDescent="0.3">
      <c r="A2316" t="s">
        <v>0</v>
      </c>
      <c r="G2316" s="25">
        <v>44071</v>
      </c>
      <c r="H2316">
        <v>2020</v>
      </c>
      <c r="I2316" t="s">
        <v>49</v>
      </c>
    </row>
    <row r="2317" spans="1:9" x14ac:dyDescent="0.3">
      <c r="A2317" t="s">
        <v>25</v>
      </c>
      <c r="B2317">
        <v>266000</v>
      </c>
      <c r="C2317">
        <v>161000</v>
      </c>
      <c r="G2317" s="25">
        <v>44071</v>
      </c>
      <c r="H2317">
        <v>2020</v>
      </c>
      <c r="I2317" t="s">
        <v>49</v>
      </c>
    </row>
    <row r="2318" spans="1:9" x14ac:dyDescent="0.3">
      <c r="A2318" t="s">
        <v>15</v>
      </c>
      <c r="B2318">
        <v>162000</v>
      </c>
      <c r="G2318" s="25">
        <v>44071</v>
      </c>
      <c r="H2318">
        <v>2020</v>
      </c>
      <c r="I2318" t="s">
        <v>49</v>
      </c>
    </row>
    <row r="2319" spans="1:9" x14ac:dyDescent="0.3">
      <c r="A2319" t="s">
        <v>26</v>
      </c>
      <c r="B2319">
        <v>162000</v>
      </c>
      <c r="G2319" s="25">
        <v>44071</v>
      </c>
      <c r="H2319">
        <v>2020</v>
      </c>
      <c r="I2319" t="s">
        <v>49</v>
      </c>
    </row>
    <row r="2320" spans="1:9" x14ac:dyDescent="0.3">
      <c r="A2320" t="s">
        <v>22</v>
      </c>
      <c r="G2320" s="25">
        <v>44071</v>
      </c>
      <c r="H2320">
        <v>2020</v>
      </c>
      <c r="I2320" t="s">
        <v>49</v>
      </c>
    </row>
    <row r="2321" spans="1:9" x14ac:dyDescent="0.3">
      <c r="A2321" t="s">
        <v>19</v>
      </c>
      <c r="G2321" s="25">
        <v>44071</v>
      </c>
      <c r="H2321">
        <v>2020</v>
      </c>
      <c r="I2321" t="s">
        <v>49</v>
      </c>
    </row>
    <row r="2322" spans="1:9" x14ac:dyDescent="0.3">
      <c r="A2322" t="s">
        <v>14</v>
      </c>
      <c r="B2322">
        <v>216000</v>
      </c>
      <c r="C2322">
        <v>1179500</v>
      </c>
      <c r="G2322" s="25">
        <v>44071</v>
      </c>
      <c r="H2322">
        <v>2020</v>
      </c>
      <c r="I2322" t="s">
        <v>49</v>
      </c>
    </row>
    <row r="2323" spans="1:9" x14ac:dyDescent="0.3">
      <c r="A2323" t="s">
        <v>24</v>
      </c>
      <c r="B2323">
        <v>270000</v>
      </c>
      <c r="G2323" s="25">
        <v>44071</v>
      </c>
      <c r="H2323">
        <v>2020</v>
      </c>
      <c r="I2323" t="s">
        <v>49</v>
      </c>
    </row>
    <row r="2324" spans="1:9" x14ac:dyDescent="0.3">
      <c r="A2324" t="s">
        <v>21</v>
      </c>
      <c r="G2324" s="25">
        <v>44071</v>
      </c>
      <c r="H2324">
        <v>2020</v>
      </c>
      <c r="I2324" t="s">
        <v>49</v>
      </c>
    </row>
    <row r="2325" spans="1:9" x14ac:dyDescent="0.3">
      <c r="A2325" t="s">
        <v>18</v>
      </c>
      <c r="G2325" s="25">
        <v>44071</v>
      </c>
      <c r="H2325">
        <v>2020</v>
      </c>
      <c r="I2325" t="s">
        <v>49</v>
      </c>
    </row>
    <row r="2326" spans="1:9" x14ac:dyDescent="0.3">
      <c r="A2326" t="s">
        <v>16</v>
      </c>
      <c r="G2326" s="25">
        <v>44071</v>
      </c>
      <c r="H2326">
        <v>2020</v>
      </c>
      <c r="I2326" t="s">
        <v>49</v>
      </c>
    </row>
    <row r="2327" spans="1:9" x14ac:dyDescent="0.3">
      <c r="A2327" t="s">
        <v>20</v>
      </c>
      <c r="G2327" s="25">
        <v>44074</v>
      </c>
      <c r="H2327">
        <v>2020</v>
      </c>
      <c r="I2327" t="s">
        <v>49</v>
      </c>
    </row>
    <row r="2328" spans="1:9" x14ac:dyDescent="0.3">
      <c r="A2328" t="s">
        <v>37</v>
      </c>
      <c r="G2328" s="25">
        <v>44074</v>
      </c>
      <c r="H2328">
        <v>2020</v>
      </c>
      <c r="I2328" t="s">
        <v>49</v>
      </c>
    </row>
    <row r="2329" spans="1:9" x14ac:dyDescent="0.3">
      <c r="A2329" t="s">
        <v>17</v>
      </c>
      <c r="B2329">
        <v>378000</v>
      </c>
      <c r="G2329" s="25">
        <v>44074</v>
      </c>
      <c r="H2329">
        <v>2020</v>
      </c>
      <c r="I2329" t="s">
        <v>49</v>
      </c>
    </row>
    <row r="2330" spans="1:9" x14ac:dyDescent="0.3">
      <c r="A2330" t="s">
        <v>0</v>
      </c>
      <c r="G2330" s="25">
        <v>44074</v>
      </c>
      <c r="H2330">
        <v>2020</v>
      </c>
      <c r="I2330" t="s">
        <v>49</v>
      </c>
    </row>
    <row r="2331" spans="1:9" x14ac:dyDescent="0.3">
      <c r="A2331" t="s">
        <v>25</v>
      </c>
      <c r="B2331">
        <v>319500</v>
      </c>
      <c r="G2331" s="25">
        <v>44074</v>
      </c>
      <c r="H2331">
        <v>2020</v>
      </c>
      <c r="I2331" t="s">
        <v>49</v>
      </c>
    </row>
    <row r="2332" spans="1:9" x14ac:dyDescent="0.3">
      <c r="A2332" t="s">
        <v>15</v>
      </c>
      <c r="B2332">
        <v>49500</v>
      </c>
      <c r="C2332">
        <v>108000</v>
      </c>
      <c r="E2332">
        <v>324000</v>
      </c>
      <c r="G2332" s="25">
        <v>44074</v>
      </c>
      <c r="H2332">
        <v>2020</v>
      </c>
      <c r="I2332" t="s">
        <v>49</v>
      </c>
    </row>
    <row r="2333" spans="1:9" x14ac:dyDescent="0.3">
      <c r="A2333" t="s">
        <v>26</v>
      </c>
      <c r="B2333">
        <v>215500</v>
      </c>
      <c r="C2333">
        <v>265500</v>
      </c>
      <c r="E2333">
        <v>162000</v>
      </c>
      <c r="G2333" s="25">
        <v>44074</v>
      </c>
      <c r="H2333">
        <v>2020</v>
      </c>
      <c r="I2333" t="s">
        <v>49</v>
      </c>
    </row>
    <row r="2334" spans="1:9" x14ac:dyDescent="0.3">
      <c r="A2334" t="s">
        <v>22</v>
      </c>
      <c r="G2334" s="25">
        <v>44074</v>
      </c>
      <c r="H2334">
        <v>2020</v>
      </c>
      <c r="I2334" t="s">
        <v>49</v>
      </c>
    </row>
    <row r="2335" spans="1:9" x14ac:dyDescent="0.3">
      <c r="A2335" t="s">
        <v>19</v>
      </c>
      <c r="C2335">
        <v>378000</v>
      </c>
      <c r="G2335" s="25">
        <v>44074</v>
      </c>
      <c r="H2335">
        <v>2020</v>
      </c>
      <c r="I2335" t="s">
        <v>49</v>
      </c>
    </row>
    <row r="2336" spans="1:9" x14ac:dyDescent="0.3">
      <c r="A2336" t="s">
        <v>14</v>
      </c>
      <c r="B2336">
        <v>432000</v>
      </c>
      <c r="C2336">
        <v>324000</v>
      </c>
      <c r="G2336" s="25">
        <v>44074</v>
      </c>
      <c r="H2336">
        <v>2020</v>
      </c>
      <c r="I2336" t="s">
        <v>49</v>
      </c>
    </row>
    <row r="2337" spans="1:9" x14ac:dyDescent="0.3">
      <c r="A2337" t="s">
        <v>24</v>
      </c>
      <c r="B2337">
        <v>324000</v>
      </c>
      <c r="G2337" s="25">
        <v>44074</v>
      </c>
      <c r="H2337">
        <v>2020</v>
      </c>
      <c r="I2337" t="s">
        <v>49</v>
      </c>
    </row>
    <row r="2338" spans="1:9" x14ac:dyDescent="0.3">
      <c r="A2338" t="s">
        <v>21</v>
      </c>
      <c r="G2338" s="25">
        <v>44074</v>
      </c>
      <c r="H2338">
        <v>2020</v>
      </c>
      <c r="I2338" t="s">
        <v>49</v>
      </c>
    </row>
    <row r="2339" spans="1:9" x14ac:dyDescent="0.3">
      <c r="A2339" t="s">
        <v>18</v>
      </c>
      <c r="B2339">
        <v>432000</v>
      </c>
      <c r="D2339">
        <v>162000</v>
      </c>
      <c r="G2339" s="25">
        <v>44074</v>
      </c>
      <c r="H2339">
        <v>2020</v>
      </c>
      <c r="I2339" t="s">
        <v>49</v>
      </c>
    </row>
    <row r="2340" spans="1:9" x14ac:dyDescent="0.3">
      <c r="A2340" t="s">
        <v>16</v>
      </c>
      <c r="G2340" s="25">
        <v>44074</v>
      </c>
      <c r="H2340">
        <v>2020</v>
      </c>
      <c r="I2340" t="s">
        <v>49</v>
      </c>
    </row>
    <row r="2341" spans="1:9" x14ac:dyDescent="0.3">
      <c r="A2341" t="s">
        <v>20</v>
      </c>
      <c r="G2341" s="25">
        <v>44075</v>
      </c>
      <c r="H2341">
        <v>2020</v>
      </c>
      <c r="I2341" t="s">
        <v>50</v>
      </c>
    </row>
    <row r="2342" spans="1:9" x14ac:dyDescent="0.3">
      <c r="A2342" t="s">
        <v>37</v>
      </c>
      <c r="G2342" s="25">
        <v>44075</v>
      </c>
      <c r="H2342">
        <v>2020</v>
      </c>
      <c r="I2342" t="s">
        <v>50</v>
      </c>
    </row>
    <row r="2343" spans="1:9" x14ac:dyDescent="0.3">
      <c r="A2343" t="s">
        <v>17</v>
      </c>
      <c r="B2343">
        <v>216000</v>
      </c>
      <c r="G2343" s="25">
        <v>44075</v>
      </c>
      <c r="H2343">
        <v>2020</v>
      </c>
      <c r="I2343" t="s">
        <v>50</v>
      </c>
    </row>
    <row r="2344" spans="1:9" x14ac:dyDescent="0.3">
      <c r="A2344" t="s">
        <v>0</v>
      </c>
      <c r="G2344" s="25">
        <v>44075</v>
      </c>
      <c r="H2344">
        <v>2020</v>
      </c>
      <c r="I2344" t="s">
        <v>50</v>
      </c>
    </row>
    <row r="2345" spans="1:9" x14ac:dyDescent="0.3">
      <c r="A2345" t="s">
        <v>25</v>
      </c>
      <c r="G2345" s="25">
        <v>44075</v>
      </c>
      <c r="H2345">
        <v>2020</v>
      </c>
      <c r="I2345" t="s">
        <v>50</v>
      </c>
    </row>
    <row r="2346" spans="1:9" x14ac:dyDescent="0.3">
      <c r="A2346" t="s">
        <v>15</v>
      </c>
      <c r="C2346">
        <v>54000</v>
      </c>
      <c r="G2346" s="25">
        <v>44075</v>
      </c>
      <c r="H2346">
        <v>2020</v>
      </c>
      <c r="I2346" t="s">
        <v>50</v>
      </c>
    </row>
    <row r="2347" spans="1:9" x14ac:dyDescent="0.3">
      <c r="A2347" t="s">
        <v>26</v>
      </c>
      <c r="C2347">
        <v>162000</v>
      </c>
      <c r="E2347">
        <v>108000</v>
      </c>
      <c r="G2347" s="25">
        <v>44075</v>
      </c>
      <c r="H2347">
        <v>2020</v>
      </c>
      <c r="I2347" t="s">
        <v>50</v>
      </c>
    </row>
    <row r="2348" spans="1:9" x14ac:dyDescent="0.3">
      <c r="A2348" t="s">
        <v>22</v>
      </c>
      <c r="G2348" s="25">
        <v>44075</v>
      </c>
      <c r="H2348">
        <v>2020</v>
      </c>
      <c r="I2348" t="s">
        <v>50</v>
      </c>
    </row>
    <row r="2349" spans="1:9" x14ac:dyDescent="0.3">
      <c r="A2349" t="s">
        <v>19</v>
      </c>
      <c r="G2349" s="25">
        <v>44075</v>
      </c>
      <c r="H2349">
        <v>2020</v>
      </c>
      <c r="I2349" t="s">
        <v>50</v>
      </c>
    </row>
    <row r="2350" spans="1:9" x14ac:dyDescent="0.3">
      <c r="A2350" t="s">
        <v>14</v>
      </c>
      <c r="B2350">
        <v>216000</v>
      </c>
      <c r="G2350" s="25">
        <v>44075</v>
      </c>
      <c r="H2350">
        <v>2020</v>
      </c>
      <c r="I2350" t="s">
        <v>50</v>
      </c>
    </row>
    <row r="2351" spans="1:9" x14ac:dyDescent="0.3">
      <c r="A2351" t="s">
        <v>24</v>
      </c>
      <c r="B2351">
        <v>216000</v>
      </c>
      <c r="G2351" s="25">
        <v>44075</v>
      </c>
      <c r="H2351">
        <v>2020</v>
      </c>
      <c r="I2351" t="s">
        <v>50</v>
      </c>
    </row>
    <row r="2352" spans="1:9" x14ac:dyDescent="0.3">
      <c r="A2352" t="s">
        <v>21</v>
      </c>
      <c r="G2352" s="25">
        <v>44075</v>
      </c>
      <c r="H2352">
        <v>2020</v>
      </c>
      <c r="I2352" t="s">
        <v>50</v>
      </c>
    </row>
    <row r="2353" spans="1:9" x14ac:dyDescent="0.3">
      <c r="A2353" t="s">
        <v>18</v>
      </c>
      <c r="G2353" s="25">
        <v>44075</v>
      </c>
      <c r="H2353">
        <v>2020</v>
      </c>
      <c r="I2353" t="s">
        <v>50</v>
      </c>
    </row>
    <row r="2354" spans="1:9" x14ac:dyDescent="0.3">
      <c r="A2354" t="s">
        <v>16</v>
      </c>
      <c r="G2354" s="25">
        <v>44075</v>
      </c>
      <c r="H2354">
        <v>2020</v>
      </c>
      <c r="I2354" t="s">
        <v>50</v>
      </c>
    </row>
    <row r="2355" spans="1:9" x14ac:dyDescent="0.3">
      <c r="A2355" t="s">
        <v>20</v>
      </c>
      <c r="G2355" s="25">
        <v>44076</v>
      </c>
      <c r="H2355">
        <v>2020</v>
      </c>
      <c r="I2355" t="s">
        <v>50</v>
      </c>
    </row>
    <row r="2356" spans="1:9" x14ac:dyDescent="0.3">
      <c r="A2356" t="s">
        <v>37</v>
      </c>
      <c r="G2356" s="25">
        <v>44076</v>
      </c>
      <c r="H2356">
        <v>2020</v>
      </c>
      <c r="I2356" t="s">
        <v>50</v>
      </c>
    </row>
    <row r="2357" spans="1:9" x14ac:dyDescent="0.3">
      <c r="A2357" t="s">
        <v>17</v>
      </c>
      <c r="B2357">
        <v>526500</v>
      </c>
      <c r="G2357" s="25">
        <v>44076</v>
      </c>
      <c r="H2357">
        <v>2020</v>
      </c>
      <c r="I2357" t="s">
        <v>50</v>
      </c>
    </row>
    <row r="2358" spans="1:9" x14ac:dyDescent="0.3">
      <c r="A2358" t="s">
        <v>0</v>
      </c>
      <c r="G2358" s="25">
        <v>44076</v>
      </c>
      <c r="H2358">
        <v>2020</v>
      </c>
      <c r="I2358" t="s">
        <v>50</v>
      </c>
    </row>
    <row r="2359" spans="1:9" x14ac:dyDescent="0.3">
      <c r="A2359" t="s">
        <v>25</v>
      </c>
      <c r="B2359">
        <v>378000</v>
      </c>
      <c r="G2359" s="25">
        <v>44076</v>
      </c>
      <c r="H2359">
        <v>2020</v>
      </c>
      <c r="I2359" t="s">
        <v>50</v>
      </c>
    </row>
    <row r="2360" spans="1:9" x14ac:dyDescent="0.3">
      <c r="A2360" t="s">
        <v>15</v>
      </c>
      <c r="C2360">
        <v>216000</v>
      </c>
      <c r="E2360">
        <v>198000</v>
      </c>
      <c r="G2360" s="25">
        <v>44076</v>
      </c>
      <c r="H2360">
        <v>2020</v>
      </c>
      <c r="I2360" t="s">
        <v>50</v>
      </c>
    </row>
    <row r="2361" spans="1:9" x14ac:dyDescent="0.3">
      <c r="A2361" t="s">
        <v>26</v>
      </c>
      <c r="B2361">
        <v>216000</v>
      </c>
      <c r="C2361">
        <v>157500</v>
      </c>
      <c r="G2361" s="25">
        <v>44076</v>
      </c>
      <c r="H2361">
        <v>2020</v>
      </c>
      <c r="I2361" t="s">
        <v>50</v>
      </c>
    </row>
    <row r="2362" spans="1:9" x14ac:dyDescent="0.3">
      <c r="A2362" t="s">
        <v>22</v>
      </c>
      <c r="G2362" s="25">
        <v>44076</v>
      </c>
      <c r="H2362">
        <v>2020</v>
      </c>
      <c r="I2362" t="s">
        <v>50</v>
      </c>
    </row>
    <row r="2363" spans="1:9" x14ac:dyDescent="0.3">
      <c r="A2363" t="s">
        <v>19</v>
      </c>
      <c r="G2363" s="25">
        <v>44076</v>
      </c>
      <c r="H2363">
        <v>2020</v>
      </c>
      <c r="I2363" t="s">
        <v>50</v>
      </c>
    </row>
    <row r="2364" spans="1:9" x14ac:dyDescent="0.3">
      <c r="A2364" t="s">
        <v>14</v>
      </c>
      <c r="B2364">
        <v>693000</v>
      </c>
      <c r="G2364" s="25">
        <v>44076</v>
      </c>
      <c r="H2364">
        <v>2020</v>
      </c>
      <c r="I2364" t="s">
        <v>50</v>
      </c>
    </row>
    <row r="2365" spans="1:9" x14ac:dyDescent="0.3">
      <c r="A2365" t="s">
        <v>24</v>
      </c>
      <c r="B2365">
        <v>486000</v>
      </c>
      <c r="G2365" s="25">
        <v>44076</v>
      </c>
      <c r="H2365">
        <v>2020</v>
      </c>
      <c r="I2365" t="s">
        <v>50</v>
      </c>
    </row>
    <row r="2366" spans="1:9" x14ac:dyDescent="0.3">
      <c r="A2366" t="s">
        <v>21</v>
      </c>
      <c r="G2366" s="25">
        <v>44076</v>
      </c>
      <c r="H2366">
        <v>2020</v>
      </c>
      <c r="I2366" t="s">
        <v>50</v>
      </c>
    </row>
    <row r="2367" spans="1:9" x14ac:dyDescent="0.3">
      <c r="A2367" t="s">
        <v>18</v>
      </c>
      <c r="B2367">
        <v>319500</v>
      </c>
      <c r="D2367">
        <v>45000</v>
      </c>
      <c r="G2367" s="25">
        <v>44076</v>
      </c>
      <c r="H2367">
        <v>2020</v>
      </c>
      <c r="I2367" t="s">
        <v>50</v>
      </c>
    </row>
    <row r="2368" spans="1:9" x14ac:dyDescent="0.3">
      <c r="A2368" t="s">
        <v>16</v>
      </c>
      <c r="C2368">
        <v>162000</v>
      </c>
      <c r="E2368">
        <v>594000</v>
      </c>
      <c r="G2368" s="25">
        <v>44076</v>
      </c>
      <c r="H2368">
        <v>2020</v>
      </c>
      <c r="I2368" t="s">
        <v>50</v>
      </c>
    </row>
    <row r="2369" spans="1:9" x14ac:dyDescent="0.3">
      <c r="A2369" t="s">
        <v>20</v>
      </c>
      <c r="G2369" s="25">
        <v>44077</v>
      </c>
      <c r="H2369">
        <v>2020</v>
      </c>
      <c r="I2369" t="s">
        <v>50</v>
      </c>
    </row>
    <row r="2370" spans="1:9" x14ac:dyDescent="0.3">
      <c r="A2370" t="s">
        <v>37</v>
      </c>
      <c r="G2370" s="25">
        <v>44077</v>
      </c>
      <c r="H2370">
        <v>2020</v>
      </c>
      <c r="I2370" t="s">
        <v>50</v>
      </c>
    </row>
    <row r="2371" spans="1:9" x14ac:dyDescent="0.3">
      <c r="A2371" t="s">
        <v>17</v>
      </c>
      <c r="B2371">
        <v>158000</v>
      </c>
      <c r="G2371" s="25">
        <v>44077</v>
      </c>
      <c r="H2371">
        <v>2020</v>
      </c>
      <c r="I2371" t="s">
        <v>50</v>
      </c>
    </row>
    <row r="2372" spans="1:9" x14ac:dyDescent="0.3">
      <c r="A2372" t="s">
        <v>37</v>
      </c>
      <c r="G2372" s="25">
        <v>44077</v>
      </c>
      <c r="H2372">
        <v>2020</v>
      </c>
      <c r="I2372" t="s">
        <v>50</v>
      </c>
    </row>
    <row r="2373" spans="1:9" x14ac:dyDescent="0.3">
      <c r="A2373" t="s">
        <v>0</v>
      </c>
      <c r="G2373" s="25">
        <v>44077</v>
      </c>
      <c r="H2373">
        <v>2020</v>
      </c>
      <c r="I2373" t="s">
        <v>50</v>
      </c>
    </row>
    <row r="2374" spans="1:9" x14ac:dyDescent="0.3">
      <c r="A2374" t="s">
        <v>25</v>
      </c>
      <c r="B2374">
        <v>216000</v>
      </c>
      <c r="D2374">
        <v>968000</v>
      </c>
      <c r="G2374" s="25">
        <v>44077</v>
      </c>
      <c r="H2374">
        <v>2020</v>
      </c>
      <c r="I2374" t="s">
        <v>50</v>
      </c>
    </row>
    <row r="2375" spans="1:9" x14ac:dyDescent="0.3">
      <c r="A2375" t="s">
        <v>15</v>
      </c>
      <c r="C2375">
        <v>207000</v>
      </c>
      <c r="G2375" s="25">
        <v>44077</v>
      </c>
      <c r="H2375">
        <v>2020</v>
      </c>
      <c r="I2375" t="s">
        <v>50</v>
      </c>
    </row>
    <row r="2376" spans="1:9" x14ac:dyDescent="0.3">
      <c r="A2376" t="s">
        <v>26</v>
      </c>
      <c r="B2376">
        <v>103500</v>
      </c>
      <c r="C2376">
        <v>324000</v>
      </c>
      <c r="E2376">
        <v>108000</v>
      </c>
      <c r="G2376" s="25">
        <v>44077</v>
      </c>
      <c r="H2376">
        <v>2020</v>
      </c>
      <c r="I2376" t="s">
        <v>50</v>
      </c>
    </row>
    <row r="2377" spans="1:9" x14ac:dyDescent="0.3">
      <c r="A2377" t="s">
        <v>22</v>
      </c>
      <c r="G2377" s="25">
        <v>44077</v>
      </c>
      <c r="H2377">
        <v>2020</v>
      </c>
      <c r="I2377" t="s">
        <v>50</v>
      </c>
    </row>
    <row r="2378" spans="1:9" x14ac:dyDescent="0.3">
      <c r="A2378" t="s">
        <v>19</v>
      </c>
      <c r="G2378" s="25">
        <v>44077</v>
      </c>
      <c r="H2378">
        <v>2020</v>
      </c>
      <c r="I2378" t="s">
        <v>50</v>
      </c>
    </row>
    <row r="2379" spans="1:9" x14ac:dyDescent="0.3">
      <c r="A2379" t="s">
        <v>14</v>
      </c>
      <c r="B2379">
        <v>216000</v>
      </c>
      <c r="C2379">
        <v>54000</v>
      </c>
      <c r="G2379" s="25">
        <v>44077</v>
      </c>
      <c r="H2379">
        <v>2020</v>
      </c>
      <c r="I2379" t="s">
        <v>50</v>
      </c>
    </row>
    <row r="2380" spans="1:9" x14ac:dyDescent="0.3">
      <c r="A2380" t="s">
        <v>24</v>
      </c>
      <c r="B2380">
        <v>319500</v>
      </c>
      <c r="G2380" s="25">
        <v>44077</v>
      </c>
      <c r="H2380">
        <v>2020</v>
      </c>
      <c r="I2380" t="s">
        <v>50</v>
      </c>
    </row>
    <row r="2381" spans="1:9" x14ac:dyDescent="0.3">
      <c r="A2381" t="s">
        <v>21</v>
      </c>
      <c r="G2381" s="25">
        <v>44077</v>
      </c>
      <c r="H2381">
        <v>2020</v>
      </c>
      <c r="I2381" t="s">
        <v>50</v>
      </c>
    </row>
    <row r="2382" spans="1:9" x14ac:dyDescent="0.3">
      <c r="A2382" t="s">
        <v>18</v>
      </c>
      <c r="B2382">
        <v>103500</v>
      </c>
      <c r="G2382" s="25">
        <v>44077</v>
      </c>
      <c r="H2382">
        <v>2020</v>
      </c>
      <c r="I2382" t="s">
        <v>50</v>
      </c>
    </row>
    <row r="2383" spans="1:9" x14ac:dyDescent="0.3">
      <c r="A2383" t="s">
        <v>16</v>
      </c>
      <c r="C2383">
        <v>426000</v>
      </c>
      <c r="E2383">
        <v>54000</v>
      </c>
      <c r="G2383" s="25">
        <v>44077</v>
      </c>
      <c r="H2383">
        <v>2020</v>
      </c>
      <c r="I2383" t="s">
        <v>50</v>
      </c>
    </row>
    <row r="2384" spans="1:9" x14ac:dyDescent="0.3">
      <c r="A2384" t="s">
        <v>20</v>
      </c>
      <c r="G2384" s="25">
        <v>44078</v>
      </c>
      <c r="H2384">
        <v>2020</v>
      </c>
      <c r="I2384" t="s">
        <v>50</v>
      </c>
    </row>
    <row r="2385" spans="1:9" x14ac:dyDescent="0.3">
      <c r="A2385" t="s">
        <v>37</v>
      </c>
      <c r="G2385" s="25">
        <v>44078</v>
      </c>
      <c r="H2385">
        <v>2020</v>
      </c>
      <c r="I2385" t="s">
        <v>50</v>
      </c>
    </row>
    <row r="2386" spans="1:9" x14ac:dyDescent="0.3">
      <c r="A2386" t="s">
        <v>17</v>
      </c>
      <c r="B2386">
        <v>216000</v>
      </c>
      <c r="C2386">
        <v>54000</v>
      </c>
      <c r="G2386" s="25">
        <v>44078</v>
      </c>
      <c r="H2386">
        <v>2020</v>
      </c>
      <c r="I2386" t="s">
        <v>50</v>
      </c>
    </row>
    <row r="2387" spans="1:9" x14ac:dyDescent="0.3">
      <c r="A2387" t="s">
        <v>0</v>
      </c>
      <c r="G2387" s="25">
        <v>44078</v>
      </c>
      <c r="H2387">
        <v>2020</v>
      </c>
      <c r="I2387" t="s">
        <v>50</v>
      </c>
    </row>
    <row r="2388" spans="1:9" x14ac:dyDescent="0.3">
      <c r="A2388" t="s">
        <v>25</v>
      </c>
      <c r="B2388">
        <v>211500</v>
      </c>
      <c r="C2388">
        <v>142000</v>
      </c>
      <c r="D2388">
        <v>216000</v>
      </c>
      <c r="G2388" s="25">
        <v>44078</v>
      </c>
      <c r="H2388">
        <v>2020</v>
      </c>
      <c r="I2388" t="s">
        <v>50</v>
      </c>
    </row>
    <row r="2389" spans="1:9" x14ac:dyDescent="0.3">
      <c r="A2389" t="s">
        <v>15</v>
      </c>
      <c r="C2389">
        <v>144000</v>
      </c>
      <c r="E2389">
        <v>212000</v>
      </c>
      <c r="G2389" s="25">
        <v>44078</v>
      </c>
      <c r="H2389">
        <v>2020</v>
      </c>
      <c r="I2389" t="s">
        <v>50</v>
      </c>
    </row>
    <row r="2390" spans="1:9" x14ac:dyDescent="0.3">
      <c r="A2390" t="s">
        <v>26</v>
      </c>
      <c r="B2390">
        <v>108000</v>
      </c>
      <c r="C2390">
        <v>324000</v>
      </c>
      <c r="E2390">
        <v>108000</v>
      </c>
      <c r="G2390" s="25">
        <v>44078</v>
      </c>
      <c r="H2390">
        <v>2020</v>
      </c>
      <c r="I2390" t="s">
        <v>50</v>
      </c>
    </row>
    <row r="2391" spans="1:9" x14ac:dyDescent="0.3">
      <c r="A2391" t="s">
        <v>22</v>
      </c>
      <c r="G2391" s="25">
        <v>44078</v>
      </c>
      <c r="H2391">
        <v>2020</v>
      </c>
      <c r="I2391" t="s">
        <v>50</v>
      </c>
    </row>
    <row r="2392" spans="1:9" x14ac:dyDescent="0.3">
      <c r="A2392" t="s">
        <v>19</v>
      </c>
      <c r="B2392">
        <v>693000</v>
      </c>
      <c r="C2392">
        <v>306000</v>
      </c>
      <c r="D2392">
        <v>360000</v>
      </c>
      <c r="E2392">
        <v>257000</v>
      </c>
      <c r="G2392" s="25">
        <v>44078</v>
      </c>
      <c r="H2392">
        <v>2020</v>
      </c>
      <c r="I2392" t="s">
        <v>50</v>
      </c>
    </row>
    <row r="2393" spans="1:9" x14ac:dyDescent="0.3">
      <c r="A2393" t="s">
        <v>14</v>
      </c>
      <c r="B2393">
        <v>432000</v>
      </c>
      <c r="G2393" s="25">
        <v>44078</v>
      </c>
      <c r="H2393">
        <v>2020</v>
      </c>
      <c r="I2393" t="s">
        <v>50</v>
      </c>
    </row>
    <row r="2394" spans="1:9" x14ac:dyDescent="0.3">
      <c r="A2394" t="s">
        <v>24</v>
      </c>
      <c r="B2394">
        <v>265500</v>
      </c>
      <c r="G2394" s="25">
        <v>44078</v>
      </c>
      <c r="H2394">
        <v>2020</v>
      </c>
      <c r="I2394" t="s">
        <v>50</v>
      </c>
    </row>
    <row r="2395" spans="1:9" x14ac:dyDescent="0.3">
      <c r="A2395" t="s">
        <v>21</v>
      </c>
      <c r="G2395" s="25">
        <v>44078</v>
      </c>
      <c r="H2395">
        <v>2020</v>
      </c>
      <c r="I2395" t="s">
        <v>50</v>
      </c>
    </row>
    <row r="2396" spans="1:9" x14ac:dyDescent="0.3">
      <c r="A2396" t="s">
        <v>18</v>
      </c>
      <c r="B2396">
        <v>108000</v>
      </c>
      <c r="G2396" s="25">
        <v>44078</v>
      </c>
      <c r="H2396">
        <v>2020</v>
      </c>
      <c r="I2396" t="s">
        <v>50</v>
      </c>
    </row>
    <row r="2397" spans="1:9" x14ac:dyDescent="0.3">
      <c r="A2397" t="s">
        <v>16</v>
      </c>
      <c r="C2397">
        <v>378000</v>
      </c>
      <c r="G2397" s="25">
        <v>44078</v>
      </c>
      <c r="H2397">
        <v>2020</v>
      </c>
      <c r="I2397" t="s">
        <v>50</v>
      </c>
    </row>
    <row r="2398" spans="1:9" x14ac:dyDescent="0.3">
      <c r="A2398" t="s">
        <v>20</v>
      </c>
      <c r="D2398">
        <v>1391000</v>
      </c>
      <c r="G2398" s="25">
        <v>44079</v>
      </c>
      <c r="H2398">
        <v>2020</v>
      </c>
      <c r="I2398" t="s">
        <v>50</v>
      </c>
    </row>
    <row r="2399" spans="1:9" x14ac:dyDescent="0.3">
      <c r="A2399" t="s">
        <v>37</v>
      </c>
      <c r="C2399">
        <v>909000</v>
      </c>
      <c r="G2399" s="25">
        <v>44079</v>
      </c>
      <c r="H2399">
        <v>2020</v>
      </c>
      <c r="I2399" t="s">
        <v>50</v>
      </c>
    </row>
    <row r="2400" spans="1:9" x14ac:dyDescent="0.3">
      <c r="A2400" t="s">
        <v>17</v>
      </c>
      <c r="B2400">
        <v>54000</v>
      </c>
      <c r="G2400" s="25">
        <v>44079</v>
      </c>
      <c r="H2400">
        <v>2020</v>
      </c>
      <c r="I2400" t="s">
        <v>50</v>
      </c>
    </row>
    <row r="2401" spans="1:9" x14ac:dyDescent="0.3">
      <c r="A2401" t="s">
        <v>0</v>
      </c>
      <c r="G2401" s="25">
        <v>44079</v>
      </c>
      <c r="H2401">
        <v>2020</v>
      </c>
      <c r="I2401" t="s">
        <v>50</v>
      </c>
    </row>
    <row r="2402" spans="1:9" x14ac:dyDescent="0.3">
      <c r="A2402" t="s">
        <v>25</v>
      </c>
      <c r="B2402">
        <v>104000</v>
      </c>
      <c r="G2402" s="25">
        <v>44079</v>
      </c>
      <c r="H2402">
        <v>2020</v>
      </c>
      <c r="I2402" t="s">
        <v>50</v>
      </c>
    </row>
    <row r="2403" spans="1:9" x14ac:dyDescent="0.3">
      <c r="A2403" t="s">
        <v>15</v>
      </c>
      <c r="C2403">
        <v>95000</v>
      </c>
      <c r="E2403">
        <v>90000</v>
      </c>
      <c r="G2403" s="25">
        <v>44079</v>
      </c>
      <c r="H2403">
        <v>2020</v>
      </c>
      <c r="I2403" t="s">
        <v>50</v>
      </c>
    </row>
    <row r="2404" spans="1:9" x14ac:dyDescent="0.3">
      <c r="A2404" t="s">
        <v>26</v>
      </c>
      <c r="C2404">
        <v>540000</v>
      </c>
      <c r="G2404" s="25">
        <v>44079</v>
      </c>
      <c r="H2404">
        <v>2020</v>
      </c>
      <c r="I2404" t="s">
        <v>50</v>
      </c>
    </row>
    <row r="2405" spans="1:9" x14ac:dyDescent="0.3">
      <c r="A2405" t="s">
        <v>22</v>
      </c>
      <c r="G2405" s="25">
        <v>44079</v>
      </c>
      <c r="H2405">
        <v>2020</v>
      </c>
      <c r="I2405" t="s">
        <v>50</v>
      </c>
    </row>
    <row r="2406" spans="1:9" x14ac:dyDescent="0.3">
      <c r="A2406" t="s">
        <v>19</v>
      </c>
      <c r="B2406">
        <v>99000</v>
      </c>
      <c r="C2406">
        <v>140000</v>
      </c>
      <c r="G2406" s="25">
        <v>44079</v>
      </c>
      <c r="H2406">
        <v>2020</v>
      </c>
      <c r="I2406" t="s">
        <v>50</v>
      </c>
    </row>
    <row r="2407" spans="1:9" x14ac:dyDescent="0.3">
      <c r="A2407" t="s">
        <v>14</v>
      </c>
      <c r="B2407">
        <v>162000</v>
      </c>
      <c r="G2407" s="25">
        <v>44079</v>
      </c>
      <c r="H2407">
        <v>2020</v>
      </c>
      <c r="I2407" t="s">
        <v>50</v>
      </c>
    </row>
    <row r="2408" spans="1:9" x14ac:dyDescent="0.3">
      <c r="A2408" t="s">
        <v>24</v>
      </c>
      <c r="B2408">
        <v>162000</v>
      </c>
      <c r="G2408" s="25">
        <v>44079</v>
      </c>
      <c r="H2408">
        <v>2020</v>
      </c>
      <c r="I2408" t="s">
        <v>50</v>
      </c>
    </row>
    <row r="2409" spans="1:9" x14ac:dyDescent="0.3">
      <c r="A2409" t="s">
        <v>21</v>
      </c>
      <c r="B2409">
        <v>45000</v>
      </c>
      <c r="G2409" s="25">
        <v>44079</v>
      </c>
      <c r="H2409">
        <v>2020</v>
      </c>
      <c r="I2409" t="s">
        <v>50</v>
      </c>
    </row>
    <row r="2410" spans="1:9" x14ac:dyDescent="0.3">
      <c r="A2410" t="s">
        <v>18</v>
      </c>
      <c r="G2410" s="25">
        <v>44079</v>
      </c>
      <c r="H2410">
        <v>2020</v>
      </c>
      <c r="I2410" t="s">
        <v>50</v>
      </c>
    </row>
    <row r="2411" spans="1:9" x14ac:dyDescent="0.3">
      <c r="A2411" t="s">
        <v>16</v>
      </c>
      <c r="B2411">
        <v>216000</v>
      </c>
      <c r="C2411">
        <v>428000</v>
      </c>
      <c r="D2411">
        <v>324000</v>
      </c>
      <c r="G2411" s="25">
        <v>44079</v>
      </c>
      <c r="H2411">
        <v>2020</v>
      </c>
      <c r="I2411" t="s">
        <v>50</v>
      </c>
    </row>
    <row r="2412" spans="1:9" x14ac:dyDescent="0.3">
      <c r="A2412" t="s">
        <v>20</v>
      </c>
      <c r="G2412" s="25">
        <v>44081</v>
      </c>
      <c r="H2412">
        <v>2020</v>
      </c>
      <c r="I2412" t="s">
        <v>50</v>
      </c>
    </row>
    <row r="2413" spans="1:9" x14ac:dyDescent="0.3">
      <c r="A2413" t="s">
        <v>37</v>
      </c>
      <c r="C2413">
        <v>90000</v>
      </c>
      <c r="G2413" s="25">
        <v>44081</v>
      </c>
      <c r="H2413">
        <v>2020</v>
      </c>
      <c r="I2413" t="s">
        <v>50</v>
      </c>
    </row>
    <row r="2414" spans="1:9" x14ac:dyDescent="0.3">
      <c r="A2414" t="s">
        <v>17</v>
      </c>
      <c r="B2414">
        <v>432000</v>
      </c>
      <c r="G2414" s="25">
        <v>44081</v>
      </c>
      <c r="H2414">
        <v>2020</v>
      </c>
      <c r="I2414" t="s">
        <v>50</v>
      </c>
    </row>
    <row r="2415" spans="1:9" x14ac:dyDescent="0.3">
      <c r="A2415" t="s">
        <v>0</v>
      </c>
      <c r="G2415" s="25">
        <v>44081</v>
      </c>
      <c r="H2415">
        <v>2020</v>
      </c>
      <c r="I2415" t="s">
        <v>50</v>
      </c>
    </row>
    <row r="2416" spans="1:9" x14ac:dyDescent="0.3">
      <c r="A2416" t="s">
        <v>25</v>
      </c>
      <c r="B2416">
        <v>378000</v>
      </c>
      <c r="G2416" s="25">
        <v>44081</v>
      </c>
      <c r="H2416">
        <v>2020</v>
      </c>
      <c r="I2416" t="s">
        <v>50</v>
      </c>
    </row>
    <row r="2417" spans="1:9" x14ac:dyDescent="0.3">
      <c r="A2417" t="s">
        <v>15</v>
      </c>
      <c r="G2417" s="25">
        <v>44081</v>
      </c>
      <c r="H2417">
        <v>2020</v>
      </c>
      <c r="I2417" t="s">
        <v>50</v>
      </c>
    </row>
    <row r="2418" spans="1:9" x14ac:dyDescent="0.3">
      <c r="A2418" t="s">
        <v>26</v>
      </c>
      <c r="C2418">
        <v>103500</v>
      </c>
      <c r="G2418" s="25">
        <v>44081</v>
      </c>
      <c r="H2418">
        <v>2020</v>
      </c>
      <c r="I2418" t="s">
        <v>50</v>
      </c>
    </row>
    <row r="2419" spans="1:9" x14ac:dyDescent="0.3">
      <c r="A2419" t="s">
        <v>22</v>
      </c>
      <c r="G2419" s="25">
        <v>44081</v>
      </c>
      <c r="H2419">
        <v>2020</v>
      </c>
      <c r="I2419" t="s">
        <v>50</v>
      </c>
    </row>
    <row r="2420" spans="1:9" x14ac:dyDescent="0.3">
      <c r="A2420" t="s">
        <v>19</v>
      </c>
      <c r="B2420">
        <v>473000</v>
      </c>
      <c r="C2420">
        <v>54000</v>
      </c>
      <c r="D2420">
        <v>216000</v>
      </c>
      <c r="E2420">
        <v>243000</v>
      </c>
      <c r="G2420" s="25">
        <v>44081</v>
      </c>
      <c r="H2420">
        <v>2020</v>
      </c>
      <c r="I2420" t="s">
        <v>50</v>
      </c>
    </row>
    <row r="2421" spans="1:9" x14ac:dyDescent="0.3">
      <c r="A2421" t="s">
        <v>14</v>
      </c>
      <c r="B2421">
        <v>415000</v>
      </c>
      <c r="G2421" s="25">
        <v>44081</v>
      </c>
      <c r="H2421">
        <v>2020</v>
      </c>
      <c r="I2421" t="s">
        <v>50</v>
      </c>
    </row>
    <row r="2422" spans="1:9" x14ac:dyDescent="0.3">
      <c r="A2422" t="s">
        <v>24</v>
      </c>
      <c r="B2422">
        <v>369500</v>
      </c>
      <c r="G2422" s="25">
        <v>44081</v>
      </c>
      <c r="H2422">
        <v>2020</v>
      </c>
      <c r="I2422" t="s">
        <v>50</v>
      </c>
    </row>
    <row r="2423" spans="1:9" x14ac:dyDescent="0.3">
      <c r="A2423" t="s">
        <v>21</v>
      </c>
      <c r="G2423" s="25">
        <v>44081</v>
      </c>
      <c r="H2423">
        <v>2020</v>
      </c>
      <c r="I2423" t="s">
        <v>50</v>
      </c>
    </row>
    <row r="2424" spans="1:9" x14ac:dyDescent="0.3">
      <c r="A2424" t="s">
        <v>18</v>
      </c>
      <c r="G2424" s="25">
        <v>44081</v>
      </c>
      <c r="H2424">
        <v>2020</v>
      </c>
      <c r="I2424" t="s">
        <v>50</v>
      </c>
    </row>
    <row r="2425" spans="1:9" x14ac:dyDescent="0.3">
      <c r="A2425" t="s">
        <v>16</v>
      </c>
      <c r="G2425" s="25">
        <v>44081</v>
      </c>
      <c r="H2425">
        <v>2020</v>
      </c>
      <c r="I2425" t="s">
        <v>50</v>
      </c>
    </row>
    <row r="2426" spans="1:9" x14ac:dyDescent="0.3">
      <c r="A2426" t="s">
        <v>20</v>
      </c>
      <c r="G2426" s="25">
        <v>44082</v>
      </c>
      <c r="H2426">
        <v>2020</v>
      </c>
      <c r="I2426" t="s">
        <v>50</v>
      </c>
    </row>
    <row r="2427" spans="1:9" x14ac:dyDescent="0.3">
      <c r="A2427" t="s">
        <v>37</v>
      </c>
      <c r="G2427" s="25">
        <v>44082</v>
      </c>
      <c r="H2427">
        <v>2020</v>
      </c>
      <c r="I2427" t="s">
        <v>50</v>
      </c>
    </row>
    <row r="2428" spans="1:9" x14ac:dyDescent="0.3">
      <c r="A2428" t="s">
        <v>17</v>
      </c>
      <c r="B2428">
        <v>702000</v>
      </c>
      <c r="G2428" s="25">
        <v>44082</v>
      </c>
      <c r="H2428">
        <v>2020</v>
      </c>
      <c r="I2428" t="s">
        <v>50</v>
      </c>
    </row>
    <row r="2429" spans="1:9" x14ac:dyDescent="0.3">
      <c r="A2429" t="s">
        <v>0</v>
      </c>
      <c r="C2429">
        <v>892000</v>
      </c>
      <c r="E2429">
        <v>594000</v>
      </c>
      <c r="G2429" s="25">
        <v>44082</v>
      </c>
      <c r="H2429">
        <v>2020</v>
      </c>
      <c r="I2429" t="s">
        <v>50</v>
      </c>
    </row>
    <row r="2430" spans="1:9" x14ac:dyDescent="0.3">
      <c r="A2430" t="s">
        <v>25</v>
      </c>
      <c r="B2430">
        <v>374000</v>
      </c>
      <c r="G2430" s="25">
        <v>44082</v>
      </c>
      <c r="H2430">
        <v>2020</v>
      </c>
      <c r="I2430" t="s">
        <v>50</v>
      </c>
    </row>
    <row r="2431" spans="1:9" x14ac:dyDescent="0.3">
      <c r="A2431" t="s">
        <v>15</v>
      </c>
      <c r="G2431" s="25">
        <v>44082</v>
      </c>
      <c r="H2431">
        <v>2020</v>
      </c>
      <c r="I2431" t="s">
        <v>50</v>
      </c>
    </row>
    <row r="2432" spans="1:9" x14ac:dyDescent="0.3">
      <c r="A2432" t="s">
        <v>26</v>
      </c>
      <c r="G2432" s="25">
        <v>44082</v>
      </c>
      <c r="H2432">
        <v>2020</v>
      </c>
      <c r="I2432" t="s">
        <v>50</v>
      </c>
    </row>
    <row r="2433" spans="1:9" x14ac:dyDescent="0.3">
      <c r="A2433" t="s">
        <v>22</v>
      </c>
      <c r="G2433" s="25">
        <v>44082</v>
      </c>
      <c r="H2433">
        <v>2020</v>
      </c>
      <c r="I2433" t="s">
        <v>50</v>
      </c>
    </row>
    <row r="2434" spans="1:9" x14ac:dyDescent="0.3">
      <c r="A2434" t="s">
        <v>19</v>
      </c>
      <c r="B2434">
        <v>257000</v>
      </c>
      <c r="D2434">
        <v>153000</v>
      </c>
      <c r="G2434" s="25">
        <v>44082</v>
      </c>
      <c r="H2434">
        <v>2020</v>
      </c>
      <c r="I2434" t="s">
        <v>50</v>
      </c>
    </row>
    <row r="2435" spans="1:9" x14ac:dyDescent="0.3">
      <c r="A2435" t="s">
        <v>14</v>
      </c>
      <c r="B2435">
        <v>482000</v>
      </c>
      <c r="G2435" s="25">
        <v>44082</v>
      </c>
      <c r="H2435">
        <v>2020</v>
      </c>
      <c r="I2435" t="s">
        <v>50</v>
      </c>
    </row>
    <row r="2436" spans="1:9" x14ac:dyDescent="0.3">
      <c r="A2436" t="s">
        <v>24</v>
      </c>
      <c r="B2436">
        <v>324000</v>
      </c>
      <c r="G2436" s="25">
        <v>44082</v>
      </c>
      <c r="H2436">
        <v>2020</v>
      </c>
      <c r="I2436" t="s">
        <v>50</v>
      </c>
    </row>
    <row r="2437" spans="1:9" x14ac:dyDescent="0.3">
      <c r="A2437" t="s">
        <v>21</v>
      </c>
      <c r="G2437" s="25">
        <v>44082</v>
      </c>
      <c r="H2437">
        <v>2020</v>
      </c>
      <c r="I2437" t="s">
        <v>50</v>
      </c>
    </row>
    <row r="2438" spans="1:9" x14ac:dyDescent="0.3">
      <c r="A2438" t="s">
        <v>18</v>
      </c>
      <c r="B2438">
        <v>99000</v>
      </c>
      <c r="G2438" s="25">
        <v>44082</v>
      </c>
      <c r="H2438">
        <v>2020</v>
      </c>
      <c r="I2438" t="s">
        <v>50</v>
      </c>
    </row>
    <row r="2439" spans="1:9" x14ac:dyDescent="0.3">
      <c r="A2439" t="s">
        <v>16</v>
      </c>
      <c r="G2439" s="25">
        <v>44082</v>
      </c>
      <c r="H2439">
        <v>2020</v>
      </c>
      <c r="I2439" t="s">
        <v>50</v>
      </c>
    </row>
    <row r="2440" spans="1:9" x14ac:dyDescent="0.3">
      <c r="A2440" t="s">
        <v>20</v>
      </c>
      <c r="G2440" s="25">
        <v>44083</v>
      </c>
      <c r="H2440">
        <v>2020</v>
      </c>
      <c r="I2440" t="s">
        <v>50</v>
      </c>
    </row>
    <row r="2441" spans="1:9" x14ac:dyDescent="0.3">
      <c r="A2441" t="s">
        <v>37</v>
      </c>
      <c r="G2441" s="25">
        <v>44083</v>
      </c>
      <c r="H2441">
        <v>2020</v>
      </c>
      <c r="I2441" t="s">
        <v>50</v>
      </c>
    </row>
    <row r="2442" spans="1:9" x14ac:dyDescent="0.3">
      <c r="A2442" t="s">
        <v>17</v>
      </c>
      <c r="B2442">
        <v>432000</v>
      </c>
      <c r="G2442" s="25">
        <v>44083</v>
      </c>
      <c r="H2442">
        <v>2020</v>
      </c>
      <c r="I2442" t="s">
        <v>50</v>
      </c>
    </row>
    <row r="2443" spans="1:9" x14ac:dyDescent="0.3">
      <c r="A2443" t="s">
        <v>0</v>
      </c>
      <c r="C2443">
        <v>374000</v>
      </c>
      <c r="E2443">
        <v>797000</v>
      </c>
      <c r="G2443" s="25">
        <v>44083</v>
      </c>
      <c r="H2443">
        <v>2020</v>
      </c>
      <c r="I2443" t="s">
        <v>50</v>
      </c>
    </row>
    <row r="2444" spans="1:9" x14ac:dyDescent="0.3">
      <c r="A2444" t="s">
        <v>25</v>
      </c>
      <c r="B2444">
        <v>245000</v>
      </c>
      <c r="G2444" s="25">
        <v>44083</v>
      </c>
      <c r="H2444">
        <v>2020</v>
      </c>
      <c r="I2444" t="s">
        <v>50</v>
      </c>
    </row>
    <row r="2445" spans="1:9" x14ac:dyDescent="0.3">
      <c r="A2445" t="s">
        <v>15</v>
      </c>
      <c r="B2445">
        <v>95000</v>
      </c>
      <c r="G2445" s="25">
        <v>44083</v>
      </c>
      <c r="H2445">
        <v>2020</v>
      </c>
      <c r="I2445" t="s">
        <v>50</v>
      </c>
    </row>
    <row r="2446" spans="1:9" x14ac:dyDescent="0.3">
      <c r="A2446" t="s">
        <v>26</v>
      </c>
      <c r="B2446">
        <v>216000</v>
      </c>
      <c r="G2446" s="25">
        <v>44083</v>
      </c>
      <c r="H2446">
        <v>2020</v>
      </c>
      <c r="I2446" t="s">
        <v>50</v>
      </c>
    </row>
    <row r="2447" spans="1:9" x14ac:dyDescent="0.3">
      <c r="A2447" t="s">
        <v>22</v>
      </c>
      <c r="G2447" s="25">
        <v>44083</v>
      </c>
      <c r="H2447">
        <v>2020</v>
      </c>
      <c r="I2447" t="s">
        <v>50</v>
      </c>
    </row>
    <row r="2448" spans="1:9" x14ac:dyDescent="0.3">
      <c r="A2448" t="s">
        <v>19</v>
      </c>
      <c r="B2448">
        <v>486000</v>
      </c>
      <c r="G2448" s="25">
        <v>44083</v>
      </c>
      <c r="H2448">
        <v>2020</v>
      </c>
      <c r="I2448" t="s">
        <v>50</v>
      </c>
    </row>
    <row r="2449" spans="1:9" x14ac:dyDescent="0.3">
      <c r="A2449" t="s">
        <v>14</v>
      </c>
      <c r="B2449">
        <v>378000</v>
      </c>
      <c r="C2449">
        <v>45000</v>
      </c>
      <c r="G2449" s="25">
        <v>44083</v>
      </c>
      <c r="H2449">
        <v>2020</v>
      </c>
      <c r="I2449" t="s">
        <v>50</v>
      </c>
    </row>
    <row r="2450" spans="1:9" x14ac:dyDescent="0.3">
      <c r="A2450" t="s">
        <v>24</v>
      </c>
      <c r="B2450">
        <v>324000</v>
      </c>
      <c r="G2450" s="25">
        <v>44083</v>
      </c>
      <c r="H2450">
        <v>2020</v>
      </c>
      <c r="I2450" t="s">
        <v>50</v>
      </c>
    </row>
    <row r="2451" spans="1:9" x14ac:dyDescent="0.3">
      <c r="A2451" t="s">
        <v>21</v>
      </c>
      <c r="B2451">
        <v>50000</v>
      </c>
      <c r="G2451" s="25">
        <v>44083</v>
      </c>
      <c r="H2451">
        <v>2020</v>
      </c>
      <c r="I2451" t="s">
        <v>50</v>
      </c>
    </row>
    <row r="2452" spans="1:9" x14ac:dyDescent="0.3">
      <c r="A2452" t="s">
        <v>18</v>
      </c>
      <c r="G2452" s="25">
        <v>44083</v>
      </c>
      <c r="H2452">
        <v>2020</v>
      </c>
      <c r="I2452" t="s">
        <v>50</v>
      </c>
    </row>
    <row r="2453" spans="1:9" x14ac:dyDescent="0.3">
      <c r="A2453" t="s">
        <v>16</v>
      </c>
      <c r="B2453">
        <v>270000</v>
      </c>
      <c r="C2453">
        <v>45000</v>
      </c>
      <c r="G2453" s="25">
        <v>44083</v>
      </c>
      <c r="H2453">
        <v>2020</v>
      </c>
      <c r="I2453" t="s">
        <v>50</v>
      </c>
    </row>
    <row r="2454" spans="1:9" x14ac:dyDescent="0.3">
      <c r="A2454" t="s">
        <v>20</v>
      </c>
      <c r="G2454" s="25">
        <v>44084</v>
      </c>
      <c r="H2454">
        <v>2020</v>
      </c>
      <c r="I2454" t="s">
        <v>50</v>
      </c>
    </row>
    <row r="2455" spans="1:9" x14ac:dyDescent="0.3">
      <c r="A2455" t="s">
        <v>37</v>
      </c>
      <c r="G2455" s="25">
        <v>44084</v>
      </c>
      <c r="H2455">
        <v>2020</v>
      </c>
      <c r="I2455" t="s">
        <v>50</v>
      </c>
    </row>
    <row r="2456" spans="1:9" x14ac:dyDescent="0.3">
      <c r="A2456" t="s">
        <v>17</v>
      </c>
      <c r="B2456">
        <v>540000</v>
      </c>
      <c r="G2456" s="25">
        <v>44084</v>
      </c>
      <c r="H2456">
        <v>2020</v>
      </c>
      <c r="I2456" t="s">
        <v>50</v>
      </c>
    </row>
    <row r="2457" spans="1:9" x14ac:dyDescent="0.3">
      <c r="A2457" t="s">
        <v>0</v>
      </c>
      <c r="C2457">
        <v>162000</v>
      </c>
      <c r="E2457">
        <v>468000</v>
      </c>
      <c r="G2457" s="25">
        <v>44084</v>
      </c>
      <c r="H2457">
        <v>2020</v>
      </c>
      <c r="I2457" t="s">
        <v>50</v>
      </c>
    </row>
    <row r="2458" spans="1:9" x14ac:dyDescent="0.3">
      <c r="A2458" t="s">
        <v>25</v>
      </c>
      <c r="C2458">
        <v>207500</v>
      </c>
      <c r="E2458">
        <v>486000</v>
      </c>
      <c r="G2458" s="25">
        <v>44084</v>
      </c>
      <c r="H2458">
        <v>2020</v>
      </c>
      <c r="I2458" t="s">
        <v>50</v>
      </c>
    </row>
    <row r="2459" spans="1:9" x14ac:dyDescent="0.3">
      <c r="A2459" t="s">
        <v>15</v>
      </c>
      <c r="G2459" s="25">
        <v>44084</v>
      </c>
      <c r="H2459">
        <v>2020</v>
      </c>
      <c r="I2459" t="s">
        <v>50</v>
      </c>
    </row>
    <row r="2460" spans="1:9" x14ac:dyDescent="0.3">
      <c r="A2460" t="s">
        <v>26</v>
      </c>
      <c r="G2460" s="25">
        <v>44084</v>
      </c>
      <c r="H2460">
        <v>2020</v>
      </c>
      <c r="I2460" t="s">
        <v>50</v>
      </c>
    </row>
    <row r="2461" spans="1:9" x14ac:dyDescent="0.3">
      <c r="A2461" t="s">
        <v>22</v>
      </c>
      <c r="G2461" s="25">
        <v>44084</v>
      </c>
      <c r="H2461">
        <v>2020</v>
      </c>
      <c r="I2461" t="s">
        <v>50</v>
      </c>
    </row>
    <row r="2462" spans="1:9" x14ac:dyDescent="0.3">
      <c r="A2462" t="s">
        <v>19</v>
      </c>
      <c r="B2462">
        <v>622000</v>
      </c>
      <c r="G2462" s="25">
        <v>44084</v>
      </c>
      <c r="H2462">
        <v>2020</v>
      </c>
      <c r="I2462" t="s">
        <v>50</v>
      </c>
    </row>
    <row r="2463" spans="1:9" x14ac:dyDescent="0.3">
      <c r="A2463" t="s">
        <v>14</v>
      </c>
      <c r="B2463">
        <v>588000</v>
      </c>
      <c r="G2463" s="25">
        <v>44084</v>
      </c>
      <c r="H2463">
        <v>2020</v>
      </c>
      <c r="I2463" t="s">
        <v>50</v>
      </c>
    </row>
    <row r="2464" spans="1:9" x14ac:dyDescent="0.3">
      <c r="A2464" t="s">
        <v>24</v>
      </c>
      <c r="B2464">
        <v>693000</v>
      </c>
      <c r="G2464" s="25">
        <v>44084</v>
      </c>
      <c r="H2464">
        <v>2020</v>
      </c>
      <c r="I2464" t="s">
        <v>50</v>
      </c>
    </row>
    <row r="2465" spans="1:9" x14ac:dyDescent="0.3">
      <c r="A2465" t="s">
        <v>21</v>
      </c>
      <c r="G2465" s="25">
        <v>44084</v>
      </c>
      <c r="H2465">
        <v>2020</v>
      </c>
      <c r="I2465" t="s">
        <v>50</v>
      </c>
    </row>
    <row r="2466" spans="1:9" x14ac:dyDescent="0.3">
      <c r="A2466" t="s">
        <v>18</v>
      </c>
      <c r="G2466" s="25">
        <v>44084</v>
      </c>
      <c r="H2466">
        <v>2020</v>
      </c>
      <c r="I2466" t="s">
        <v>50</v>
      </c>
    </row>
    <row r="2467" spans="1:9" x14ac:dyDescent="0.3">
      <c r="A2467" t="s">
        <v>16</v>
      </c>
      <c r="B2467">
        <v>107500</v>
      </c>
      <c r="G2467" s="25">
        <v>44084</v>
      </c>
      <c r="H2467">
        <v>2020</v>
      </c>
      <c r="I2467" t="s">
        <v>50</v>
      </c>
    </row>
    <row r="2468" spans="1:9" x14ac:dyDescent="0.3">
      <c r="A2468" t="s">
        <v>20</v>
      </c>
      <c r="G2468" s="25">
        <v>44085</v>
      </c>
      <c r="H2468">
        <v>2020</v>
      </c>
      <c r="I2468" t="s">
        <v>50</v>
      </c>
    </row>
    <row r="2469" spans="1:9" x14ac:dyDescent="0.3">
      <c r="A2469" t="s">
        <v>37</v>
      </c>
      <c r="G2469" s="25">
        <v>44085</v>
      </c>
      <c r="H2469">
        <v>2020</v>
      </c>
      <c r="I2469" t="s">
        <v>50</v>
      </c>
    </row>
    <row r="2470" spans="1:9" x14ac:dyDescent="0.3">
      <c r="A2470" t="s">
        <v>17</v>
      </c>
      <c r="B2470">
        <v>669000</v>
      </c>
      <c r="C2470">
        <v>314500</v>
      </c>
      <c r="E2470">
        <v>698000</v>
      </c>
      <c r="G2470" s="25">
        <v>44085</v>
      </c>
      <c r="H2470">
        <v>2020</v>
      </c>
      <c r="I2470" t="s">
        <v>50</v>
      </c>
    </row>
    <row r="2471" spans="1:9" x14ac:dyDescent="0.3">
      <c r="A2471" t="s">
        <v>0</v>
      </c>
      <c r="C2471">
        <v>104000</v>
      </c>
      <c r="E2471">
        <v>95000</v>
      </c>
      <c r="G2471" s="25">
        <v>44085</v>
      </c>
      <c r="H2471">
        <v>2020</v>
      </c>
      <c r="I2471" t="s">
        <v>50</v>
      </c>
    </row>
    <row r="2472" spans="1:9" x14ac:dyDescent="0.3">
      <c r="A2472" t="s">
        <v>25</v>
      </c>
      <c r="C2472">
        <v>531000</v>
      </c>
      <c r="E2472">
        <v>540000</v>
      </c>
      <c r="G2472" s="25">
        <v>44085</v>
      </c>
      <c r="H2472">
        <v>2020</v>
      </c>
      <c r="I2472" t="s">
        <v>50</v>
      </c>
    </row>
    <row r="2473" spans="1:9" x14ac:dyDescent="0.3">
      <c r="A2473" t="s">
        <v>15</v>
      </c>
      <c r="G2473" s="25">
        <v>44085</v>
      </c>
      <c r="H2473">
        <v>2020</v>
      </c>
      <c r="I2473" t="s">
        <v>50</v>
      </c>
    </row>
    <row r="2474" spans="1:9" x14ac:dyDescent="0.3">
      <c r="A2474" t="s">
        <v>26</v>
      </c>
      <c r="B2474">
        <v>162000</v>
      </c>
      <c r="G2474" s="25">
        <v>44085</v>
      </c>
      <c r="H2474">
        <v>2020</v>
      </c>
      <c r="I2474" t="s">
        <v>50</v>
      </c>
    </row>
    <row r="2475" spans="1:9" x14ac:dyDescent="0.3">
      <c r="A2475" t="s">
        <v>22</v>
      </c>
      <c r="G2475" s="25">
        <v>44085</v>
      </c>
      <c r="H2475">
        <v>2020</v>
      </c>
      <c r="I2475" t="s">
        <v>50</v>
      </c>
    </row>
    <row r="2476" spans="1:9" x14ac:dyDescent="0.3">
      <c r="A2476" t="s">
        <v>19</v>
      </c>
      <c r="B2476">
        <v>513000</v>
      </c>
      <c r="G2476" s="25">
        <v>44085</v>
      </c>
      <c r="H2476">
        <v>2020</v>
      </c>
      <c r="I2476" t="s">
        <v>50</v>
      </c>
    </row>
    <row r="2477" spans="1:9" x14ac:dyDescent="0.3">
      <c r="A2477" t="s">
        <v>14</v>
      </c>
      <c r="B2477">
        <v>747000</v>
      </c>
      <c r="G2477" s="25">
        <v>44085</v>
      </c>
      <c r="H2477">
        <v>2020</v>
      </c>
      <c r="I2477" t="s">
        <v>50</v>
      </c>
    </row>
    <row r="2478" spans="1:9" x14ac:dyDescent="0.3">
      <c r="A2478" t="s">
        <v>24</v>
      </c>
      <c r="B2478">
        <v>535500</v>
      </c>
      <c r="G2478" s="25">
        <v>44085</v>
      </c>
      <c r="H2478">
        <v>2020</v>
      </c>
      <c r="I2478" t="s">
        <v>50</v>
      </c>
    </row>
    <row r="2479" spans="1:9" x14ac:dyDescent="0.3">
      <c r="A2479" t="s">
        <v>21</v>
      </c>
      <c r="G2479" s="25">
        <v>44085</v>
      </c>
      <c r="H2479">
        <v>2020</v>
      </c>
      <c r="I2479" t="s">
        <v>50</v>
      </c>
    </row>
    <row r="2480" spans="1:9" x14ac:dyDescent="0.3">
      <c r="A2480" t="s">
        <v>18</v>
      </c>
      <c r="G2480" s="25">
        <v>44085</v>
      </c>
      <c r="H2480">
        <v>2020</v>
      </c>
      <c r="I2480" t="s">
        <v>50</v>
      </c>
    </row>
    <row r="2481" spans="1:9" x14ac:dyDescent="0.3">
      <c r="A2481" t="s">
        <v>16</v>
      </c>
      <c r="B2481">
        <v>54000</v>
      </c>
      <c r="D2481">
        <v>162000</v>
      </c>
      <c r="G2481" s="25">
        <v>44085</v>
      </c>
      <c r="H2481">
        <v>2020</v>
      </c>
      <c r="I2481" t="s">
        <v>50</v>
      </c>
    </row>
    <row r="2482" spans="1:9" x14ac:dyDescent="0.3">
      <c r="A2482" t="s">
        <v>20</v>
      </c>
      <c r="G2482" s="25">
        <v>44088</v>
      </c>
      <c r="H2482">
        <v>2020</v>
      </c>
      <c r="I2482" t="s">
        <v>50</v>
      </c>
    </row>
    <row r="2483" spans="1:9" x14ac:dyDescent="0.3">
      <c r="A2483" t="s">
        <v>37</v>
      </c>
      <c r="G2483" s="25">
        <v>44088</v>
      </c>
      <c r="H2483">
        <v>2020</v>
      </c>
      <c r="I2483" t="s">
        <v>50</v>
      </c>
    </row>
    <row r="2484" spans="1:9" x14ac:dyDescent="0.3">
      <c r="A2484" t="s">
        <v>17</v>
      </c>
      <c r="B2484">
        <v>594000</v>
      </c>
      <c r="C2484">
        <v>432000</v>
      </c>
      <c r="E2484">
        <v>162000</v>
      </c>
      <c r="G2484" s="25">
        <v>44088</v>
      </c>
      <c r="H2484">
        <v>2020</v>
      </c>
      <c r="I2484" t="s">
        <v>50</v>
      </c>
    </row>
    <row r="2485" spans="1:9" x14ac:dyDescent="0.3">
      <c r="A2485" t="s">
        <v>0</v>
      </c>
      <c r="G2485" s="25">
        <v>44088</v>
      </c>
      <c r="H2485">
        <v>2020</v>
      </c>
      <c r="I2485" t="s">
        <v>50</v>
      </c>
    </row>
    <row r="2486" spans="1:9" x14ac:dyDescent="0.3">
      <c r="A2486" t="s">
        <v>25</v>
      </c>
      <c r="C2486">
        <v>374000</v>
      </c>
      <c r="E2486">
        <v>972000</v>
      </c>
      <c r="G2486" s="25">
        <v>44088</v>
      </c>
      <c r="H2486">
        <v>2020</v>
      </c>
      <c r="I2486" t="s">
        <v>50</v>
      </c>
    </row>
    <row r="2487" spans="1:9" x14ac:dyDescent="0.3">
      <c r="A2487" t="s">
        <v>15</v>
      </c>
      <c r="C2487">
        <v>324000</v>
      </c>
      <c r="E2487">
        <v>324000</v>
      </c>
      <c r="G2487" s="25">
        <v>44088</v>
      </c>
      <c r="H2487">
        <v>2020</v>
      </c>
      <c r="I2487" t="s">
        <v>50</v>
      </c>
    </row>
    <row r="2488" spans="1:9" x14ac:dyDescent="0.3">
      <c r="A2488" t="s">
        <v>26</v>
      </c>
      <c r="G2488" s="25">
        <v>44088</v>
      </c>
      <c r="H2488">
        <v>2020</v>
      </c>
      <c r="I2488" t="s">
        <v>50</v>
      </c>
    </row>
    <row r="2489" spans="1:9" x14ac:dyDescent="0.3">
      <c r="A2489" t="s">
        <v>22</v>
      </c>
      <c r="G2489" s="25">
        <v>44088</v>
      </c>
      <c r="H2489">
        <v>2020</v>
      </c>
      <c r="I2489" t="s">
        <v>50</v>
      </c>
    </row>
    <row r="2490" spans="1:9" x14ac:dyDescent="0.3">
      <c r="A2490" t="s">
        <v>19</v>
      </c>
      <c r="B2490">
        <v>589000</v>
      </c>
      <c r="G2490" s="25">
        <v>44088</v>
      </c>
      <c r="H2490">
        <v>2020</v>
      </c>
      <c r="I2490" t="s">
        <v>50</v>
      </c>
    </row>
    <row r="2491" spans="1:9" x14ac:dyDescent="0.3">
      <c r="A2491" t="s">
        <v>14</v>
      </c>
      <c r="B2491">
        <v>432000</v>
      </c>
      <c r="G2491" s="25">
        <v>44088</v>
      </c>
      <c r="H2491">
        <v>2020</v>
      </c>
      <c r="I2491" t="s">
        <v>50</v>
      </c>
    </row>
    <row r="2492" spans="1:9" x14ac:dyDescent="0.3">
      <c r="A2492" t="s">
        <v>24</v>
      </c>
      <c r="B2492">
        <v>582000</v>
      </c>
      <c r="G2492" s="25">
        <v>44088</v>
      </c>
      <c r="H2492">
        <v>2020</v>
      </c>
      <c r="I2492" t="s">
        <v>50</v>
      </c>
    </row>
    <row r="2493" spans="1:9" x14ac:dyDescent="0.3">
      <c r="A2493" t="s">
        <v>21</v>
      </c>
      <c r="B2493">
        <v>315000</v>
      </c>
      <c r="D2493">
        <v>153000</v>
      </c>
      <c r="G2493" s="25">
        <v>44088</v>
      </c>
      <c r="H2493">
        <v>2020</v>
      </c>
      <c r="I2493" t="s">
        <v>50</v>
      </c>
    </row>
    <row r="2494" spans="1:9" x14ac:dyDescent="0.3">
      <c r="A2494" t="s">
        <v>18</v>
      </c>
      <c r="G2494" s="25">
        <v>44088</v>
      </c>
      <c r="H2494">
        <v>2020</v>
      </c>
      <c r="I2494" t="s">
        <v>50</v>
      </c>
    </row>
    <row r="2495" spans="1:9" x14ac:dyDescent="0.3">
      <c r="A2495" t="s">
        <v>16</v>
      </c>
      <c r="G2495" s="25">
        <v>44088</v>
      </c>
      <c r="H2495">
        <v>2020</v>
      </c>
      <c r="I2495" t="s">
        <v>50</v>
      </c>
    </row>
    <row r="2496" spans="1:9" x14ac:dyDescent="0.3">
      <c r="A2496" t="s">
        <v>20</v>
      </c>
      <c r="G2496" s="25">
        <v>44089</v>
      </c>
      <c r="H2496">
        <v>2020</v>
      </c>
      <c r="I2496" t="s">
        <v>50</v>
      </c>
    </row>
    <row r="2497" spans="1:9" x14ac:dyDescent="0.3">
      <c r="A2497" t="s">
        <v>37</v>
      </c>
      <c r="G2497" s="25">
        <v>44089</v>
      </c>
      <c r="H2497">
        <v>2020</v>
      </c>
      <c r="I2497" t="s">
        <v>50</v>
      </c>
    </row>
    <row r="2498" spans="1:9" x14ac:dyDescent="0.3">
      <c r="A2498" t="s">
        <v>17</v>
      </c>
      <c r="B2498">
        <v>689000</v>
      </c>
      <c r="C2498">
        <v>216000</v>
      </c>
      <c r="E2498">
        <v>45000</v>
      </c>
      <c r="G2498" s="25">
        <v>44089</v>
      </c>
      <c r="H2498">
        <v>2020</v>
      </c>
      <c r="I2498" t="s">
        <v>50</v>
      </c>
    </row>
    <row r="2499" spans="1:9" x14ac:dyDescent="0.3">
      <c r="A2499" t="s">
        <v>0</v>
      </c>
      <c r="G2499" s="25">
        <v>44089</v>
      </c>
      <c r="H2499">
        <v>2020</v>
      </c>
      <c r="I2499" t="s">
        <v>50</v>
      </c>
    </row>
    <row r="2500" spans="1:9" x14ac:dyDescent="0.3">
      <c r="A2500" t="s">
        <v>25</v>
      </c>
      <c r="C2500">
        <v>270000</v>
      </c>
      <c r="G2500" s="25">
        <v>44089</v>
      </c>
      <c r="H2500">
        <v>2020</v>
      </c>
      <c r="I2500" t="s">
        <v>50</v>
      </c>
    </row>
    <row r="2501" spans="1:9" x14ac:dyDescent="0.3">
      <c r="A2501" t="s">
        <v>15</v>
      </c>
      <c r="B2501">
        <v>324000</v>
      </c>
      <c r="C2501">
        <v>270000</v>
      </c>
      <c r="D2501">
        <v>162000</v>
      </c>
      <c r="E2501">
        <v>1080000</v>
      </c>
      <c r="G2501" s="25">
        <v>44089</v>
      </c>
      <c r="H2501">
        <v>2020</v>
      </c>
      <c r="I2501" t="s">
        <v>50</v>
      </c>
    </row>
    <row r="2502" spans="1:9" x14ac:dyDescent="0.3">
      <c r="A2502" t="s">
        <v>26</v>
      </c>
      <c r="G2502" s="25">
        <v>44089</v>
      </c>
      <c r="H2502">
        <v>2020</v>
      </c>
      <c r="I2502" t="s">
        <v>50</v>
      </c>
    </row>
    <row r="2503" spans="1:9" x14ac:dyDescent="0.3">
      <c r="A2503" t="s">
        <v>22</v>
      </c>
      <c r="C2503">
        <v>324000</v>
      </c>
      <c r="G2503" s="25">
        <v>44089</v>
      </c>
      <c r="H2503">
        <v>2020</v>
      </c>
      <c r="I2503" t="s">
        <v>50</v>
      </c>
    </row>
    <row r="2504" spans="1:9" x14ac:dyDescent="0.3">
      <c r="A2504" t="s">
        <v>19</v>
      </c>
      <c r="B2504">
        <v>265500</v>
      </c>
      <c r="G2504" s="25">
        <v>44089</v>
      </c>
      <c r="H2504">
        <v>2020</v>
      </c>
      <c r="I2504" t="s">
        <v>50</v>
      </c>
    </row>
    <row r="2505" spans="1:9" x14ac:dyDescent="0.3">
      <c r="A2505" t="s">
        <v>14</v>
      </c>
      <c r="B2505">
        <v>698000</v>
      </c>
      <c r="G2505" s="25">
        <v>44089</v>
      </c>
      <c r="H2505">
        <v>2020</v>
      </c>
      <c r="I2505" t="s">
        <v>50</v>
      </c>
    </row>
    <row r="2506" spans="1:9" x14ac:dyDescent="0.3">
      <c r="A2506" t="s">
        <v>24</v>
      </c>
      <c r="B2506">
        <v>216000</v>
      </c>
      <c r="G2506" s="25">
        <v>44089</v>
      </c>
      <c r="H2506">
        <v>2020</v>
      </c>
      <c r="I2506" t="s">
        <v>50</v>
      </c>
    </row>
    <row r="2507" spans="1:9" x14ac:dyDescent="0.3">
      <c r="A2507" t="s">
        <v>21</v>
      </c>
      <c r="B2507">
        <v>373500</v>
      </c>
      <c r="D2507">
        <v>100000</v>
      </c>
      <c r="G2507" s="25">
        <v>44089</v>
      </c>
      <c r="H2507">
        <v>2020</v>
      </c>
      <c r="I2507" t="s">
        <v>50</v>
      </c>
    </row>
    <row r="2508" spans="1:9" x14ac:dyDescent="0.3">
      <c r="A2508" t="s">
        <v>18</v>
      </c>
      <c r="G2508" s="25">
        <v>44089</v>
      </c>
      <c r="H2508">
        <v>2020</v>
      </c>
      <c r="I2508" t="s">
        <v>50</v>
      </c>
    </row>
    <row r="2509" spans="1:9" x14ac:dyDescent="0.3">
      <c r="A2509" t="s">
        <v>16</v>
      </c>
      <c r="G2509" s="25">
        <v>44089</v>
      </c>
      <c r="H2509">
        <v>2020</v>
      </c>
      <c r="I2509" t="s">
        <v>50</v>
      </c>
    </row>
    <row r="2510" spans="1:9" x14ac:dyDescent="0.3">
      <c r="A2510" t="s">
        <v>20</v>
      </c>
      <c r="G2510" s="25">
        <v>44090</v>
      </c>
      <c r="H2510">
        <v>2020</v>
      </c>
      <c r="I2510" t="s">
        <v>50</v>
      </c>
    </row>
    <row r="2511" spans="1:9" x14ac:dyDescent="0.3">
      <c r="A2511" t="s">
        <v>37</v>
      </c>
      <c r="G2511" s="25">
        <v>44090</v>
      </c>
      <c r="H2511">
        <v>2020</v>
      </c>
      <c r="I2511" t="s">
        <v>50</v>
      </c>
    </row>
    <row r="2512" spans="1:9" x14ac:dyDescent="0.3">
      <c r="A2512" t="s">
        <v>17</v>
      </c>
      <c r="B2512">
        <v>324000</v>
      </c>
      <c r="C2512">
        <v>153000</v>
      </c>
      <c r="E2512">
        <v>45000</v>
      </c>
      <c r="G2512" s="25">
        <v>44090</v>
      </c>
      <c r="H2512">
        <v>2020</v>
      </c>
      <c r="I2512" t="s">
        <v>50</v>
      </c>
    </row>
    <row r="2513" spans="1:9" x14ac:dyDescent="0.3">
      <c r="A2513" t="s">
        <v>0</v>
      </c>
      <c r="C2513">
        <v>630000</v>
      </c>
      <c r="G2513" s="25">
        <v>44090</v>
      </c>
      <c r="H2513">
        <v>2020</v>
      </c>
      <c r="I2513" t="s">
        <v>50</v>
      </c>
    </row>
    <row r="2514" spans="1:9" x14ac:dyDescent="0.3">
      <c r="A2514" t="s">
        <v>25</v>
      </c>
      <c r="C2514">
        <v>202500</v>
      </c>
      <c r="G2514" s="25">
        <v>44090</v>
      </c>
      <c r="H2514">
        <v>2020</v>
      </c>
      <c r="I2514" t="s">
        <v>50</v>
      </c>
    </row>
    <row r="2515" spans="1:9" x14ac:dyDescent="0.3">
      <c r="A2515" t="s">
        <v>15</v>
      </c>
      <c r="B2515">
        <v>316000</v>
      </c>
      <c r="C2515">
        <v>432000</v>
      </c>
      <c r="D2515">
        <v>432000</v>
      </c>
      <c r="E2515">
        <v>540000</v>
      </c>
      <c r="G2515" s="25">
        <v>44090</v>
      </c>
      <c r="H2515">
        <v>2020</v>
      </c>
      <c r="I2515" t="s">
        <v>50</v>
      </c>
    </row>
    <row r="2516" spans="1:9" x14ac:dyDescent="0.3">
      <c r="A2516" t="s">
        <v>26</v>
      </c>
      <c r="G2516" s="25">
        <v>44090</v>
      </c>
      <c r="H2516">
        <v>2020</v>
      </c>
      <c r="I2516" t="s">
        <v>50</v>
      </c>
    </row>
    <row r="2517" spans="1:9" x14ac:dyDescent="0.3">
      <c r="A2517" t="s">
        <v>22</v>
      </c>
      <c r="C2517">
        <v>432000</v>
      </c>
      <c r="G2517" s="25">
        <v>44090</v>
      </c>
      <c r="H2517">
        <v>2020</v>
      </c>
      <c r="I2517" t="s">
        <v>50</v>
      </c>
    </row>
    <row r="2518" spans="1:9" x14ac:dyDescent="0.3">
      <c r="A2518" t="s">
        <v>19</v>
      </c>
      <c r="G2518" s="25">
        <v>44090</v>
      </c>
      <c r="H2518">
        <v>2020</v>
      </c>
      <c r="I2518" t="s">
        <v>50</v>
      </c>
    </row>
    <row r="2519" spans="1:9" x14ac:dyDescent="0.3">
      <c r="A2519" t="s">
        <v>14</v>
      </c>
      <c r="B2519">
        <v>378000</v>
      </c>
      <c r="G2519" s="25">
        <v>44090</v>
      </c>
      <c r="H2519">
        <v>2020</v>
      </c>
      <c r="I2519" t="s">
        <v>50</v>
      </c>
    </row>
    <row r="2520" spans="1:9" x14ac:dyDescent="0.3">
      <c r="A2520" t="s">
        <v>24</v>
      </c>
      <c r="B2520">
        <v>323500</v>
      </c>
      <c r="G2520" s="25">
        <v>44090</v>
      </c>
      <c r="H2520">
        <v>2020</v>
      </c>
      <c r="I2520" t="s">
        <v>50</v>
      </c>
    </row>
    <row r="2521" spans="1:9" x14ac:dyDescent="0.3">
      <c r="A2521" t="s">
        <v>21</v>
      </c>
      <c r="B2521">
        <v>324000</v>
      </c>
      <c r="G2521" s="25">
        <v>44090</v>
      </c>
      <c r="H2521">
        <v>2020</v>
      </c>
      <c r="I2521" t="s">
        <v>50</v>
      </c>
    </row>
    <row r="2522" spans="1:9" x14ac:dyDescent="0.3">
      <c r="A2522" t="s">
        <v>18</v>
      </c>
      <c r="G2522" s="25">
        <v>44090</v>
      </c>
      <c r="H2522">
        <v>2020</v>
      </c>
      <c r="I2522" t="s">
        <v>50</v>
      </c>
    </row>
    <row r="2523" spans="1:9" x14ac:dyDescent="0.3">
      <c r="A2523" t="s">
        <v>16</v>
      </c>
      <c r="B2523">
        <v>54000</v>
      </c>
      <c r="D2523">
        <v>648000</v>
      </c>
      <c r="G2523" s="25">
        <v>44090</v>
      </c>
      <c r="H2523">
        <v>2020</v>
      </c>
      <c r="I2523" t="s">
        <v>50</v>
      </c>
    </row>
    <row r="2524" spans="1:9" x14ac:dyDescent="0.3">
      <c r="A2524" t="s">
        <v>20</v>
      </c>
      <c r="G2524" s="25">
        <v>44091</v>
      </c>
      <c r="H2524">
        <v>2020</v>
      </c>
      <c r="I2524" t="s">
        <v>50</v>
      </c>
    </row>
    <row r="2525" spans="1:9" x14ac:dyDescent="0.3">
      <c r="A2525" t="s">
        <v>37</v>
      </c>
      <c r="G2525" s="25">
        <v>44091</v>
      </c>
      <c r="H2525">
        <v>2020</v>
      </c>
      <c r="I2525" t="s">
        <v>50</v>
      </c>
    </row>
    <row r="2526" spans="1:9" x14ac:dyDescent="0.3">
      <c r="A2526" t="s">
        <v>17</v>
      </c>
      <c r="B2526">
        <v>319500</v>
      </c>
      <c r="C2526">
        <v>265500</v>
      </c>
      <c r="G2526" s="25">
        <v>44091</v>
      </c>
      <c r="H2526">
        <v>2020</v>
      </c>
      <c r="I2526" t="s">
        <v>50</v>
      </c>
    </row>
    <row r="2527" spans="1:9" x14ac:dyDescent="0.3">
      <c r="A2527" t="s">
        <v>0</v>
      </c>
      <c r="C2527">
        <v>265500</v>
      </c>
      <c r="G2527" s="25">
        <v>44091</v>
      </c>
      <c r="H2527">
        <v>2020</v>
      </c>
      <c r="I2527" t="s">
        <v>50</v>
      </c>
    </row>
    <row r="2528" spans="1:9" x14ac:dyDescent="0.3">
      <c r="A2528" t="s">
        <v>25</v>
      </c>
      <c r="C2528">
        <v>108000</v>
      </c>
      <c r="G2528" s="25">
        <v>44091</v>
      </c>
      <c r="H2528">
        <v>2020</v>
      </c>
      <c r="I2528" t="s">
        <v>50</v>
      </c>
    </row>
    <row r="2529" spans="1:9" x14ac:dyDescent="0.3">
      <c r="A2529" t="s">
        <v>15</v>
      </c>
      <c r="B2529">
        <v>324000</v>
      </c>
      <c r="C2529">
        <v>430000</v>
      </c>
      <c r="D2529">
        <v>45000</v>
      </c>
      <c r="E2529">
        <v>216000</v>
      </c>
      <c r="G2529" s="25">
        <v>44091</v>
      </c>
      <c r="H2529">
        <v>2020</v>
      </c>
      <c r="I2529" t="s">
        <v>50</v>
      </c>
    </row>
    <row r="2530" spans="1:9" x14ac:dyDescent="0.3">
      <c r="A2530" t="s">
        <v>26</v>
      </c>
      <c r="B2530">
        <v>270000</v>
      </c>
      <c r="D2530">
        <v>50000</v>
      </c>
      <c r="G2530" s="25">
        <v>44091</v>
      </c>
      <c r="H2530">
        <v>2020</v>
      </c>
      <c r="I2530" t="s">
        <v>50</v>
      </c>
    </row>
    <row r="2531" spans="1:9" x14ac:dyDescent="0.3">
      <c r="A2531" t="s">
        <v>22</v>
      </c>
      <c r="C2531">
        <v>162000</v>
      </c>
      <c r="G2531" s="25">
        <v>44091</v>
      </c>
      <c r="H2531">
        <v>2020</v>
      </c>
      <c r="I2531" t="s">
        <v>50</v>
      </c>
    </row>
    <row r="2532" spans="1:9" x14ac:dyDescent="0.3">
      <c r="A2532" t="s">
        <v>19</v>
      </c>
      <c r="G2532" s="25">
        <v>44091</v>
      </c>
      <c r="H2532">
        <v>2020</v>
      </c>
      <c r="I2532" t="s">
        <v>50</v>
      </c>
    </row>
    <row r="2533" spans="1:9" x14ac:dyDescent="0.3">
      <c r="A2533" t="s">
        <v>14</v>
      </c>
      <c r="B2533">
        <v>324000</v>
      </c>
      <c r="G2533" s="25">
        <v>44091</v>
      </c>
      <c r="H2533">
        <v>2020</v>
      </c>
      <c r="I2533" t="s">
        <v>50</v>
      </c>
    </row>
    <row r="2534" spans="1:9" x14ac:dyDescent="0.3">
      <c r="A2534" t="s">
        <v>24</v>
      </c>
      <c r="B2534">
        <v>45000</v>
      </c>
      <c r="E2534">
        <v>810000</v>
      </c>
      <c r="G2534" s="25">
        <v>44091</v>
      </c>
      <c r="H2534">
        <v>2020</v>
      </c>
      <c r="I2534" t="s">
        <v>50</v>
      </c>
    </row>
    <row r="2535" spans="1:9" x14ac:dyDescent="0.3">
      <c r="A2535" t="s">
        <v>21</v>
      </c>
      <c r="B2535">
        <v>270000</v>
      </c>
      <c r="D2535">
        <v>47000</v>
      </c>
      <c r="G2535" s="25">
        <v>44091</v>
      </c>
      <c r="H2535">
        <v>2020</v>
      </c>
      <c r="I2535" t="s">
        <v>50</v>
      </c>
    </row>
    <row r="2536" spans="1:9" x14ac:dyDescent="0.3">
      <c r="A2536" t="s">
        <v>18</v>
      </c>
      <c r="G2536" s="25">
        <v>44091</v>
      </c>
      <c r="H2536">
        <v>2020</v>
      </c>
      <c r="I2536" t="s">
        <v>50</v>
      </c>
    </row>
    <row r="2537" spans="1:9" x14ac:dyDescent="0.3">
      <c r="A2537" t="s">
        <v>16</v>
      </c>
      <c r="B2537">
        <v>378000</v>
      </c>
      <c r="D2537">
        <v>297000</v>
      </c>
      <c r="G2537" s="25">
        <v>44091</v>
      </c>
      <c r="H2537">
        <v>2020</v>
      </c>
      <c r="I2537" t="s">
        <v>50</v>
      </c>
    </row>
    <row r="2538" spans="1:9" x14ac:dyDescent="0.3">
      <c r="A2538" t="s">
        <v>20</v>
      </c>
      <c r="G2538" s="25">
        <v>44092</v>
      </c>
      <c r="H2538">
        <v>2020</v>
      </c>
      <c r="I2538" t="s">
        <v>50</v>
      </c>
    </row>
    <row r="2539" spans="1:9" x14ac:dyDescent="0.3">
      <c r="A2539" t="s">
        <v>37</v>
      </c>
      <c r="G2539" s="25">
        <v>44092</v>
      </c>
      <c r="H2539">
        <v>2020</v>
      </c>
      <c r="I2539" t="s">
        <v>50</v>
      </c>
    </row>
    <row r="2540" spans="1:9" x14ac:dyDescent="0.3">
      <c r="A2540" t="s">
        <v>17</v>
      </c>
      <c r="B2540">
        <v>419000</v>
      </c>
      <c r="C2540">
        <v>369000</v>
      </c>
      <c r="E2540">
        <v>50000</v>
      </c>
      <c r="G2540" s="25">
        <v>44092</v>
      </c>
      <c r="H2540">
        <v>2020</v>
      </c>
      <c r="I2540" t="s">
        <v>50</v>
      </c>
    </row>
    <row r="2541" spans="1:9" x14ac:dyDescent="0.3">
      <c r="A2541" t="s">
        <v>0</v>
      </c>
      <c r="C2541">
        <v>324000</v>
      </c>
      <c r="G2541" s="25">
        <v>44092</v>
      </c>
      <c r="H2541">
        <v>2020</v>
      </c>
      <c r="I2541" t="s">
        <v>50</v>
      </c>
    </row>
    <row r="2542" spans="1:9" x14ac:dyDescent="0.3">
      <c r="A2542" t="s">
        <v>25</v>
      </c>
      <c r="B2542">
        <v>54000</v>
      </c>
      <c r="C2542">
        <v>108000</v>
      </c>
      <c r="F2542">
        <v>482000</v>
      </c>
      <c r="G2542" s="25">
        <v>44092</v>
      </c>
      <c r="H2542">
        <v>2020</v>
      </c>
      <c r="I2542" t="s">
        <v>50</v>
      </c>
    </row>
    <row r="2543" spans="1:9" x14ac:dyDescent="0.3">
      <c r="A2543" t="s">
        <v>15</v>
      </c>
      <c r="B2543">
        <v>319000</v>
      </c>
      <c r="C2543">
        <v>108000</v>
      </c>
      <c r="D2543">
        <v>50000</v>
      </c>
      <c r="E2543">
        <v>45000</v>
      </c>
      <c r="G2543" s="25">
        <v>44092</v>
      </c>
      <c r="H2543">
        <v>2020</v>
      </c>
      <c r="I2543" t="s">
        <v>50</v>
      </c>
    </row>
    <row r="2544" spans="1:9" x14ac:dyDescent="0.3">
      <c r="A2544" t="s">
        <v>26</v>
      </c>
      <c r="B2544">
        <v>324000</v>
      </c>
      <c r="D2544">
        <v>200000</v>
      </c>
      <c r="G2544" s="25">
        <v>44092</v>
      </c>
      <c r="H2544">
        <v>2020</v>
      </c>
      <c r="I2544" t="s">
        <v>50</v>
      </c>
    </row>
    <row r="2545" spans="1:9" x14ac:dyDescent="0.3">
      <c r="A2545" t="s">
        <v>22</v>
      </c>
      <c r="C2545">
        <v>361000</v>
      </c>
      <c r="G2545" s="25">
        <v>44092</v>
      </c>
      <c r="H2545">
        <v>2020</v>
      </c>
      <c r="I2545" t="s">
        <v>50</v>
      </c>
    </row>
    <row r="2546" spans="1:9" x14ac:dyDescent="0.3">
      <c r="A2546" t="s">
        <v>19</v>
      </c>
      <c r="G2546" s="25">
        <v>44092</v>
      </c>
      <c r="H2546">
        <v>2020</v>
      </c>
      <c r="I2546" t="s">
        <v>50</v>
      </c>
    </row>
    <row r="2547" spans="1:9" x14ac:dyDescent="0.3">
      <c r="A2547" t="s">
        <v>14</v>
      </c>
      <c r="B2547">
        <v>270000</v>
      </c>
      <c r="G2547" s="25">
        <v>44092</v>
      </c>
      <c r="H2547">
        <v>2020</v>
      </c>
      <c r="I2547" t="s">
        <v>50</v>
      </c>
    </row>
    <row r="2548" spans="1:9" x14ac:dyDescent="0.3">
      <c r="A2548" t="s">
        <v>24</v>
      </c>
      <c r="B2548">
        <v>108000</v>
      </c>
      <c r="C2548">
        <v>527000</v>
      </c>
      <c r="E2548">
        <v>972000</v>
      </c>
      <c r="G2548" s="25">
        <v>44092</v>
      </c>
      <c r="H2548">
        <v>2020</v>
      </c>
      <c r="I2548" t="s">
        <v>50</v>
      </c>
    </row>
    <row r="2549" spans="1:9" x14ac:dyDescent="0.3">
      <c r="A2549" t="s">
        <v>21</v>
      </c>
      <c r="B2549">
        <v>324000</v>
      </c>
      <c r="D2549">
        <v>100000</v>
      </c>
      <c r="G2549" s="25">
        <v>44092</v>
      </c>
      <c r="H2549">
        <v>2020</v>
      </c>
      <c r="I2549" t="s">
        <v>50</v>
      </c>
    </row>
    <row r="2550" spans="1:9" x14ac:dyDescent="0.3">
      <c r="A2550" t="s">
        <v>18</v>
      </c>
      <c r="G2550" s="25">
        <v>44092</v>
      </c>
      <c r="H2550">
        <v>2020</v>
      </c>
      <c r="I2550" t="s">
        <v>50</v>
      </c>
    </row>
    <row r="2551" spans="1:9" x14ac:dyDescent="0.3">
      <c r="A2551" t="s">
        <v>16</v>
      </c>
      <c r="B2551">
        <v>378000</v>
      </c>
      <c r="D2551">
        <v>54000</v>
      </c>
      <c r="G2551" s="25">
        <v>44092</v>
      </c>
      <c r="H2551">
        <v>2020</v>
      </c>
      <c r="I2551" t="s">
        <v>50</v>
      </c>
    </row>
    <row r="2552" spans="1:9" x14ac:dyDescent="0.3">
      <c r="A2552" t="s">
        <v>20</v>
      </c>
      <c r="G2552" s="25">
        <v>44096</v>
      </c>
      <c r="H2552">
        <v>2020</v>
      </c>
      <c r="I2552" t="s">
        <v>50</v>
      </c>
    </row>
    <row r="2553" spans="1:9" x14ac:dyDescent="0.3">
      <c r="A2553" t="s">
        <v>37</v>
      </c>
      <c r="G2553" s="25">
        <v>44096</v>
      </c>
      <c r="H2553">
        <v>2020</v>
      </c>
      <c r="I2553" t="s">
        <v>50</v>
      </c>
    </row>
    <row r="2554" spans="1:9" x14ac:dyDescent="0.3">
      <c r="A2554" t="s">
        <v>17</v>
      </c>
      <c r="B2554">
        <v>365000</v>
      </c>
      <c r="C2554">
        <v>256500</v>
      </c>
      <c r="G2554" s="25">
        <v>44096</v>
      </c>
      <c r="H2554">
        <v>2020</v>
      </c>
      <c r="I2554" t="s">
        <v>50</v>
      </c>
    </row>
    <row r="2555" spans="1:9" x14ac:dyDescent="0.3">
      <c r="A2555" t="s">
        <v>0</v>
      </c>
      <c r="C2555">
        <v>269500</v>
      </c>
      <c r="G2555" s="25">
        <v>44096</v>
      </c>
      <c r="H2555">
        <v>2020</v>
      </c>
      <c r="I2555" t="s">
        <v>50</v>
      </c>
    </row>
    <row r="2556" spans="1:9" x14ac:dyDescent="0.3">
      <c r="A2556" t="s">
        <v>25</v>
      </c>
      <c r="B2556">
        <v>376500</v>
      </c>
      <c r="C2556">
        <v>211500</v>
      </c>
      <c r="D2556">
        <v>594000</v>
      </c>
      <c r="G2556" s="25">
        <v>44096</v>
      </c>
      <c r="H2556">
        <v>2020</v>
      </c>
      <c r="I2556" t="s">
        <v>50</v>
      </c>
    </row>
    <row r="2557" spans="1:9" x14ac:dyDescent="0.3">
      <c r="A2557" t="s">
        <v>15</v>
      </c>
      <c r="B2557">
        <v>261000</v>
      </c>
      <c r="C2557">
        <v>162000</v>
      </c>
      <c r="G2557" s="25">
        <v>44096</v>
      </c>
      <c r="H2557">
        <v>2020</v>
      </c>
      <c r="I2557" t="s">
        <v>50</v>
      </c>
    </row>
    <row r="2558" spans="1:9" x14ac:dyDescent="0.3">
      <c r="A2558" t="s">
        <v>26</v>
      </c>
      <c r="B2558">
        <v>216000</v>
      </c>
      <c r="D2558">
        <v>50000</v>
      </c>
      <c r="G2558" s="25">
        <v>44096</v>
      </c>
      <c r="H2558">
        <v>2020</v>
      </c>
      <c r="I2558" t="s">
        <v>50</v>
      </c>
    </row>
    <row r="2559" spans="1:9" x14ac:dyDescent="0.3">
      <c r="A2559" t="s">
        <v>22</v>
      </c>
      <c r="C2559">
        <v>306000</v>
      </c>
      <c r="G2559" s="25">
        <v>44096</v>
      </c>
      <c r="H2559">
        <v>2020</v>
      </c>
      <c r="I2559" t="s">
        <v>50</v>
      </c>
    </row>
    <row r="2560" spans="1:9" x14ac:dyDescent="0.3">
      <c r="A2560" t="s">
        <v>19</v>
      </c>
      <c r="G2560" s="25">
        <v>44096</v>
      </c>
      <c r="H2560">
        <v>2020</v>
      </c>
      <c r="I2560" t="s">
        <v>50</v>
      </c>
    </row>
    <row r="2561" spans="1:9" x14ac:dyDescent="0.3">
      <c r="A2561" t="s">
        <v>14</v>
      </c>
      <c r="B2561">
        <v>324000</v>
      </c>
      <c r="G2561" s="25">
        <v>44096</v>
      </c>
      <c r="H2561">
        <v>2020</v>
      </c>
      <c r="I2561" t="s">
        <v>50</v>
      </c>
    </row>
    <row r="2562" spans="1:9" x14ac:dyDescent="0.3">
      <c r="A2562" t="s">
        <v>24</v>
      </c>
      <c r="B2562">
        <v>50000</v>
      </c>
      <c r="C2562">
        <v>420000</v>
      </c>
      <c r="G2562" s="25">
        <v>44096</v>
      </c>
      <c r="H2562">
        <v>2020</v>
      </c>
      <c r="I2562" t="s">
        <v>50</v>
      </c>
    </row>
    <row r="2563" spans="1:9" x14ac:dyDescent="0.3">
      <c r="A2563" t="s">
        <v>21</v>
      </c>
      <c r="B2563">
        <v>90000</v>
      </c>
      <c r="G2563" s="25">
        <v>44096</v>
      </c>
      <c r="H2563">
        <v>2020</v>
      </c>
      <c r="I2563" t="s">
        <v>50</v>
      </c>
    </row>
    <row r="2564" spans="1:9" x14ac:dyDescent="0.3">
      <c r="A2564" t="s">
        <v>18</v>
      </c>
      <c r="G2564" s="25">
        <v>44096</v>
      </c>
      <c r="H2564">
        <v>2020</v>
      </c>
      <c r="I2564" t="s">
        <v>50</v>
      </c>
    </row>
    <row r="2565" spans="1:9" x14ac:dyDescent="0.3">
      <c r="A2565" t="s">
        <v>16</v>
      </c>
      <c r="B2565">
        <v>405500</v>
      </c>
      <c r="C2565">
        <v>162000</v>
      </c>
      <c r="E2565">
        <v>324000</v>
      </c>
      <c r="G2565" s="25">
        <v>44096</v>
      </c>
      <c r="H2565">
        <v>2020</v>
      </c>
      <c r="I2565" t="s">
        <v>50</v>
      </c>
    </row>
    <row r="2566" spans="1:9" x14ac:dyDescent="0.3">
      <c r="A2566" t="s">
        <v>20</v>
      </c>
      <c r="G2566" s="25">
        <v>44097</v>
      </c>
      <c r="H2566">
        <v>2020</v>
      </c>
      <c r="I2566" t="s">
        <v>50</v>
      </c>
    </row>
    <row r="2567" spans="1:9" x14ac:dyDescent="0.3">
      <c r="A2567" t="s">
        <v>37</v>
      </c>
      <c r="G2567" s="25">
        <v>44097</v>
      </c>
      <c r="H2567">
        <v>2020</v>
      </c>
      <c r="I2567" t="s">
        <v>50</v>
      </c>
    </row>
    <row r="2568" spans="1:9" x14ac:dyDescent="0.3">
      <c r="A2568" t="s">
        <v>17</v>
      </c>
      <c r="B2568">
        <v>747000</v>
      </c>
      <c r="C2568">
        <v>378000</v>
      </c>
      <c r="G2568" s="25">
        <v>44097</v>
      </c>
      <c r="H2568">
        <v>2020</v>
      </c>
      <c r="I2568" t="s">
        <v>50</v>
      </c>
    </row>
    <row r="2569" spans="1:9" x14ac:dyDescent="0.3">
      <c r="A2569" t="s">
        <v>0</v>
      </c>
      <c r="C2569">
        <v>369000</v>
      </c>
      <c r="G2569" s="25">
        <v>44097</v>
      </c>
      <c r="H2569">
        <v>2020</v>
      </c>
      <c r="I2569" t="s">
        <v>50</v>
      </c>
    </row>
    <row r="2570" spans="1:9" x14ac:dyDescent="0.3">
      <c r="A2570" t="s">
        <v>25</v>
      </c>
      <c r="B2570">
        <v>648000</v>
      </c>
      <c r="C2570">
        <v>270000</v>
      </c>
      <c r="D2570">
        <v>204000</v>
      </c>
      <c r="F2570">
        <v>324000</v>
      </c>
      <c r="G2570" s="25">
        <v>44097</v>
      </c>
      <c r="H2570">
        <v>2020</v>
      </c>
      <c r="I2570" t="s">
        <v>50</v>
      </c>
    </row>
    <row r="2571" spans="1:9" x14ac:dyDescent="0.3">
      <c r="A2571" t="s">
        <v>15</v>
      </c>
      <c r="B2571">
        <v>162000</v>
      </c>
      <c r="C2571">
        <v>378000</v>
      </c>
      <c r="G2571" s="25">
        <v>44097</v>
      </c>
      <c r="H2571">
        <v>2020</v>
      </c>
      <c r="I2571" t="s">
        <v>50</v>
      </c>
    </row>
    <row r="2572" spans="1:9" x14ac:dyDescent="0.3">
      <c r="A2572" t="s">
        <v>26</v>
      </c>
      <c r="B2572">
        <v>269000</v>
      </c>
      <c r="G2572" s="25">
        <v>44097</v>
      </c>
      <c r="H2572">
        <v>2020</v>
      </c>
      <c r="I2572" t="s">
        <v>50</v>
      </c>
    </row>
    <row r="2573" spans="1:9" x14ac:dyDescent="0.3">
      <c r="A2573" t="s">
        <v>22</v>
      </c>
      <c r="C2573">
        <v>108000</v>
      </c>
      <c r="G2573" s="25">
        <v>44097</v>
      </c>
      <c r="H2573">
        <v>2020</v>
      </c>
      <c r="I2573" t="s">
        <v>50</v>
      </c>
    </row>
    <row r="2574" spans="1:9" x14ac:dyDescent="0.3">
      <c r="A2574" t="s">
        <v>19</v>
      </c>
      <c r="G2574" s="25">
        <v>44097</v>
      </c>
      <c r="H2574">
        <v>2020</v>
      </c>
      <c r="I2574" t="s">
        <v>50</v>
      </c>
    </row>
    <row r="2575" spans="1:9" x14ac:dyDescent="0.3">
      <c r="A2575" t="s">
        <v>14</v>
      </c>
      <c r="B2575">
        <v>324000</v>
      </c>
      <c r="G2575" s="25">
        <v>44097</v>
      </c>
      <c r="H2575">
        <v>2020</v>
      </c>
      <c r="I2575" t="s">
        <v>50</v>
      </c>
    </row>
    <row r="2576" spans="1:9" x14ac:dyDescent="0.3">
      <c r="A2576" t="s">
        <v>24</v>
      </c>
      <c r="C2576">
        <v>50000</v>
      </c>
      <c r="E2576">
        <v>216000</v>
      </c>
      <c r="G2576" s="25">
        <v>44097</v>
      </c>
      <c r="H2576">
        <v>2020</v>
      </c>
      <c r="I2576" t="s">
        <v>50</v>
      </c>
    </row>
    <row r="2577" spans="1:9" x14ac:dyDescent="0.3">
      <c r="A2577" t="s">
        <v>21</v>
      </c>
      <c r="G2577" s="25">
        <v>44097</v>
      </c>
      <c r="H2577">
        <v>2020</v>
      </c>
      <c r="I2577" t="s">
        <v>50</v>
      </c>
    </row>
    <row r="2578" spans="1:9" x14ac:dyDescent="0.3">
      <c r="A2578" t="s">
        <v>18</v>
      </c>
      <c r="G2578" s="25">
        <v>44097</v>
      </c>
      <c r="H2578">
        <v>2020</v>
      </c>
      <c r="I2578" t="s">
        <v>50</v>
      </c>
    </row>
    <row r="2579" spans="1:9" x14ac:dyDescent="0.3">
      <c r="A2579" t="s">
        <v>16</v>
      </c>
      <c r="B2579">
        <v>54000</v>
      </c>
      <c r="C2579">
        <v>162000</v>
      </c>
      <c r="E2579">
        <v>108000</v>
      </c>
      <c r="G2579" s="25">
        <v>44097</v>
      </c>
      <c r="H2579">
        <v>2020</v>
      </c>
      <c r="I2579" t="s">
        <v>50</v>
      </c>
    </row>
    <row r="2580" spans="1:9" x14ac:dyDescent="0.3">
      <c r="A2580" t="s">
        <v>20</v>
      </c>
      <c r="G2580" s="25">
        <v>44098</v>
      </c>
      <c r="H2580">
        <v>2020</v>
      </c>
      <c r="I2580" t="s">
        <v>50</v>
      </c>
    </row>
    <row r="2581" spans="1:9" x14ac:dyDescent="0.3">
      <c r="A2581" t="s">
        <v>37</v>
      </c>
      <c r="G2581" s="25">
        <v>44098</v>
      </c>
      <c r="H2581">
        <v>2020</v>
      </c>
      <c r="I2581" t="s">
        <v>50</v>
      </c>
    </row>
    <row r="2582" spans="1:9" x14ac:dyDescent="0.3">
      <c r="A2582" t="s">
        <v>17</v>
      </c>
      <c r="B2582">
        <v>1188000</v>
      </c>
      <c r="C2582">
        <v>477000</v>
      </c>
      <c r="G2582" s="25">
        <v>44098</v>
      </c>
      <c r="H2582">
        <v>2020</v>
      </c>
      <c r="I2582" t="s">
        <v>50</v>
      </c>
    </row>
    <row r="2583" spans="1:9" x14ac:dyDescent="0.3">
      <c r="A2583" t="s">
        <v>0</v>
      </c>
      <c r="C2583">
        <v>108000</v>
      </c>
      <c r="G2583" s="25">
        <v>44098</v>
      </c>
      <c r="H2583">
        <v>2020</v>
      </c>
      <c r="I2583" t="s">
        <v>50</v>
      </c>
    </row>
    <row r="2584" spans="1:9" x14ac:dyDescent="0.3">
      <c r="A2584" t="s">
        <v>25</v>
      </c>
      <c r="B2584">
        <v>702000</v>
      </c>
      <c r="C2584">
        <v>419000</v>
      </c>
      <c r="F2584">
        <v>54000</v>
      </c>
      <c r="G2584" s="25">
        <v>44098</v>
      </c>
      <c r="H2584">
        <v>2020</v>
      </c>
      <c r="I2584" t="s">
        <v>50</v>
      </c>
    </row>
    <row r="2585" spans="1:9" x14ac:dyDescent="0.3">
      <c r="A2585" t="s">
        <v>15</v>
      </c>
      <c r="C2585">
        <v>324000</v>
      </c>
      <c r="G2585" s="25">
        <v>44098</v>
      </c>
      <c r="H2585">
        <v>2020</v>
      </c>
      <c r="I2585" t="s">
        <v>50</v>
      </c>
    </row>
    <row r="2586" spans="1:9" x14ac:dyDescent="0.3">
      <c r="A2586" t="s">
        <v>26</v>
      </c>
      <c r="B2586">
        <v>108000</v>
      </c>
      <c r="G2586" s="25">
        <v>44098</v>
      </c>
      <c r="H2586">
        <v>2020</v>
      </c>
      <c r="I2586" t="s">
        <v>50</v>
      </c>
    </row>
    <row r="2587" spans="1:9" x14ac:dyDescent="0.3">
      <c r="A2587" t="s">
        <v>22</v>
      </c>
      <c r="C2587">
        <v>216000</v>
      </c>
      <c r="G2587" s="25">
        <v>44098</v>
      </c>
      <c r="H2587">
        <v>2020</v>
      </c>
      <c r="I2587" t="s">
        <v>50</v>
      </c>
    </row>
    <row r="2588" spans="1:9" x14ac:dyDescent="0.3">
      <c r="A2588" t="s">
        <v>19</v>
      </c>
      <c r="G2588" s="25">
        <v>44098</v>
      </c>
      <c r="H2588">
        <v>2020</v>
      </c>
      <c r="I2588" t="s">
        <v>50</v>
      </c>
    </row>
    <row r="2589" spans="1:9" x14ac:dyDescent="0.3">
      <c r="A2589" t="s">
        <v>14</v>
      </c>
      <c r="B2589">
        <v>324000</v>
      </c>
      <c r="C2589">
        <v>432000</v>
      </c>
      <c r="E2589">
        <v>455000</v>
      </c>
      <c r="G2589" s="25">
        <v>44098</v>
      </c>
      <c r="H2589">
        <v>2020</v>
      </c>
      <c r="I2589" t="s">
        <v>50</v>
      </c>
    </row>
    <row r="2590" spans="1:9" x14ac:dyDescent="0.3">
      <c r="A2590" t="s">
        <v>24</v>
      </c>
      <c r="G2590" s="25">
        <v>44098</v>
      </c>
      <c r="H2590">
        <v>2020</v>
      </c>
      <c r="I2590" t="s">
        <v>50</v>
      </c>
    </row>
    <row r="2591" spans="1:9" x14ac:dyDescent="0.3">
      <c r="A2591" t="s">
        <v>21</v>
      </c>
      <c r="B2591">
        <v>257000</v>
      </c>
      <c r="G2591" s="25">
        <v>44098</v>
      </c>
      <c r="H2591">
        <v>2020</v>
      </c>
      <c r="I2591" t="s">
        <v>50</v>
      </c>
    </row>
    <row r="2592" spans="1:9" x14ac:dyDescent="0.3">
      <c r="A2592" t="s">
        <v>18</v>
      </c>
      <c r="G2592" s="25">
        <v>44098</v>
      </c>
      <c r="H2592">
        <v>2020</v>
      </c>
      <c r="I2592" t="s">
        <v>50</v>
      </c>
    </row>
    <row r="2593" spans="1:9" x14ac:dyDescent="0.3">
      <c r="A2593" t="s">
        <v>16</v>
      </c>
      <c r="G2593" s="25">
        <v>44098</v>
      </c>
      <c r="H2593">
        <v>2020</v>
      </c>
      <c r="I2593" t="s">
        <v>50</v>
      </c>
    </row>
    <row r="2594" spans="1:9" x14ac:dyDescent="0.3">
      <c r="A2594" t="s">
        <v>20</v>
      </c>
      <c r="G2594" s="25">
        <v>44099</v>
      </c>
      <c r="H2594">
        <v>2020</v>
      </c>
      <c r="I2594" t="s">
        <v>50</v>
      </c>
    </row>
    <row r="2595" spans="1:9" x14ac:dyDescent="0.3">
      <c r="A2595" t="s">
        <v>37</v>
      </c>
      <c r="G2595" s="25">
        <v>44099</v>
      </c>
      <c r="H2595">
        <v>2020</v>
      </c>
      <c r="I2595" t="s">
        <v>50</v>
      </c>
    </row>
    <row r="2596" spans="1:9" x14ac:dyDescent="0.3">
      <c r="A2596" t="s">
        <v>17</v>
      </c>
      <c r="B2596">
        <v>583000</v>
      </c>
      <c r="C2596">
        <v>401000</v>
      </c>
      <c r="G2596" s="25">
        <v>44099</v>
      </c>
      <c r="H2596">
        <v>2020</v>
      </c>
      <c r="I2596" t="s">
        <v>50</v>
      </c>
    </row>
    <row r="2597" spans="1:9" x14ac:dyDescent="0.3">
      <c r="A2597" t="s">
        <v>0</v>
      </c>
      <c r="G2597" s="25">
        <v>44099</v>
      </c>
      <c r="H2597">
        <v>2020</v>
      </c>
      <c r="I2597" t="s">
        <v>50</v>
      </c>
    </row>
    <row r="2598" spans="1:9" x14ac:dyDescent="0.3">
      <c r="A2598" t="s">
        <v>25</v>
      </c>
      <c r="B2598">
        <v>99000</v>
      </c>
      <c r="D2598">
        <v>50000</v>
      </c>
      <c r="G2598" s="25">
        <v>44099</v>
      </c>
      <c r="H2598">
        <v>2020</v>
      </c>
      <c r="I2598" t="s">
        <v>50</v>
      </c>
    </row>
    <row r="2599" spans="1:9" x14ac:dyDescent="0.3">
      <c r="A2599" t="s">
        <v>15</v>
      </c>
      <c r="B2599">
        <v>162000</v>
      </c>
      <c r="C2599">
        <v>324000</v>
      </c>
      <c r="E2599">
        <v>50000</v>
      </c>
      <c r="G2599" s="25">
        <v>44099</v>
      </c>
      <c r="H2599">
        <v>2020</v>
      </c>
      <c r="I2599" t="s">
        <v>50</v>
      </c>
    </row>
    <row r="2600" spans="1:9" x14ac:dyDescent="0.3">
      <c r="A2600" t="s">
        <v>26</v>
      </c>
      <c r="G2600" s="25">
        <v>44099</v>
      </c>
      <c r="H2600">
        <v>2020</v>
      </c>
      <c r="I2600" t="s">
        <v>50</v>
      </c>
    </row>
    <row r="2601" spans="1:9" x14ac:dyDescent="0.3">
      <c r="A2601" t="s">
        <v>22</v>
      </c>
      <c r="C2601">
        <v>477000</v>
      </c>
      <c r="G2601" s="25">
        <v>44099</v>
      </c>
      <c r="H2601">
        <v>2020</v>
      </c>
      <c r="I2601" t="s">
        <v>50</v>
      </c>
    </row>
    <row r="2602" spans="1:9" x14ac:dyDescent="0.3">
      <c r="A2602" t="s">
        <v>19</v>
      </c>
      <c r="B2602">
        <v>576000</v>
      </c>
      <c r="D2602">
        <v>648000</v>
      </c>
      <c r="F2602">
        <v>540000</v>
      </c>
      <c r="G2602" s="25">
        <v>44099</v>
      </c>
      <c r="H2602">
        <v>2020</v>
      </c>
      <c r="I2602" t="s">
        <v>50</v>
      </c>
    </row>
    <row r="2603" spans="1:9" x14ac:dyDescent="0.3">
      <c r="A2603" t="s">
        <v>14</v>
      </c>
      <c r="C2603">
        <v>626000</v>
      </c>
      <c r="G2603" s="25">
        <v>44099</v>
      </c>
      <c r="H2603">
        <v>2020</v>
      </c>
      <c r="I2603" t="s">
        <v>50</v>
      </c>
    </row>
    <row r="2604" spans="1:9" x14ac:dyDescent="0.3">
      <c r="A2604" t="s">
        <v>24</v>
      </c>
      <c r="B2604">
        <v>311000</v>
      </c>
      <c r="C2604">
        <v>481000</v>
      </c>
      <c r="G2604" s="25">
        <v>44099</v>
      </c>
      <c r="H2604">
        <v>2020</v>
      </c>
      <c r="I2604" t="s">
        <v>50</v>
      </c>
    </row>
    <row r="2605" spans="1:9" x14ac:dyDescent="0.3">
      <c r="A2605" t="s">
        <v>21</v>
      </c>
      <c r="G2605" s="25">
        <v>44099</v>
      </c>
      <c r="H2605">
        <v>2020</v>
      </c>
      <c r="I2605" t="s">
        <v>50</v>
      </c>
    </row>
    <row r="2606" spans="1:9" x14ac:dyDescent="0.3">
      <c r="A2606" t="s">
        <v>18</v>
      </c>
      <c r="G2606" s="25">
        <v>44099</v>
      </c>
      <c r="H2606">
        <v>2020</v>
      </c>
      <c r="I2606" t="s">
        <v>50</v>
      </c>
    </row>
    <row r="2607" spans="1:9" x14ac:dyDescent="0.3">
      <c r="A2607" t="s">
        <v>16</v>
      </c>
      <c r="B2607">
        <v>154000</v>
      </c>
      <c r="E2607">
        <v>54000</v>
      </c>
      <c r="G2607" s="25">
        <v>44099</v>
      </c>
      <c r="H2607">
        <v>2020</v>
      </c>
      <c r="I2607" t="s">
        <v>50</v>
      </c>
    </row>
    <row r="2608" spans="1:9" x14ac:dyDescent="0.3">
      <c r="A2608" t="s">
        <v>20</v>
      </c>
      <c r="G2608" s="25">
        <v>44102</v>
      </c>
      <c r="H2608">
        <v>2020</v>
      </c>
      <c r="I2608" t="s">
        <v>50</v>
      </c>
    </row>
    <row r="2609" spans="1:9" x14ac:dyDescent="0.3">
      <c r="A2609" t="s">
        <v>37</v>
      </c>
      <c r="G2609" s="25">
        <v>44102</v>
      </c>
      <c r="H2609">
        <v>2020</v>
      </c>
      <c r="I2609" t="s">
        <v>50</v>
      </c>
    </row>
    <row r="2610" spans="1:9" x14ac:dyDescent="0.3">
      <c r="A2610" t="s">
        <v>17</v>
      </c>
      <c r="B2610">
        <v>216000</v>
      </c>
      <c r="C2610">
        <v>270000</v>
      </c>
      <c r="G2610" s="25">
        <v>44102</v>
      </c>
      <c r="H2610">
        <v>2020</v>
      </c>
      <c r="I2610" t="s">
        <v>50</v>
      </c>
    </row>
    <row r="2611" spans="1:9" x14ac:dyDescent="0.3">
      <c r="A2611" t="s">
        <v>0</v>
      </c>
      <c r="G2611" s="25">
        <v>44102</v>
      </c>
      <c r="H2611">
        <v>2020</v>
      </c>
      <c r="I2611" t="s">
        <v>50</v>
      </c>
    </row>
    <row r="2612" spans="1:9" x14ac:dyDescent="0.3">
      <c r="A2612" t="s">
        <v>25</v>
      </c>
      <c r="G2612" s="25">
        <v>44102</v>
      </c>
      <c r="H2612">
        <v>2020</v>
      </c>
      <c r="I2612" t="s">
        <v>50</v>
      </c>
    </row>
    <row r="2613" spans="1:9" x14ac:dyDescent="0.3">
      <c r="A2613" t="s">
        <v>15</v>
      </c>
      <c r="C2613">
        <v>54000</v>
      </c>
      <c r="G2613" s="25">
        <v>44102</v>
      </c>
      <c r="H2613">
        <v>2020</v>
      </c>
      <c r="I2613" t="s">
        <v>50</v>
      </c>
    </row>
    <row r="2614" spans="1:9" x14ac:dyDescent="0.3">
      <c r="A2614" t="s">
        <v>26</v>
      </c>
      <c r="G2614" s="25">
        <v>44102</v>
      </c>
      <c r="H2614">
        <v>2020</v>
      </c>
      <c r="I2614" t="s">
        <v>50</v>
      </c>
    </row>
    <row r="2615" spans="1:9" x14ac:dyDescent="0.3">
      <c r="A2615" t="s">
        <v>22</v>
      </c>
      <c r="C2615">
        <v>257000</v>
      </c>
      <c r="G2615" s="25">
        <v>44102</v>
      </c>
      <c r="H2615">
        <v>2020</v>
      </c>
      <c r="I2615" t="s">
        <v>50</v>
      </c>
    </row>
    <row r="2616" spans="1:9" x14ac:dyDescent="0.3">
      <c r="A2616" t="s">
        <v>19</v>
      </c>
      <c r="B2616">
        <v>698000</v>
      </c>
      <c r="D2616">
        <v>212000</v>
      </c>
      <c r="F2616">
        <v>324000</v>
      </c>
      <c r="G2616" s="25">
        <v>44102</v>
      </c>
      <c r="H2616">
        <v>2020</v>
      </c>
      <c r="I2616" t="s">
        <v>50</v>
      </c>
    </row>
    <row r="2617" spans="1:9" x14ac:dyDescent="0.3">
      <c r="A2617" t="s">
        <v>14</v>
      </c>
      <c r="C2617">
        <v>486000</v>
      </c>
      <c r="G2617" s="25">
        <v>44102</v>
      </c>
      <c r="H2617">
        <v>2020</v>
      </c>
      <c r="I2617" t="s">
        <v>50</v>
      </c>
    </row>
    <row r="2618" spans="1:9" x14ac:dyDescent="0.3">
      <c r="A2618" t="s">
        <v>24</v>
      </c>
      <c r="B2618">
        <v>540000</v>
      </c>
      <c r="C2618">
        <v>535000</v>
      </c>
      <c r="G2618" s="25">
        <v>44102</v>
      </c>
      <c r="H2618">
        <v>2020</v>
      </c>
      <c r="I2618" t="s">
        <v>50</v>
      </c>
    </row>
    <row r="2619" spans="1:9" x14ac:dyDescent="0.3">
      <c r="A2619" t="s">
        <v>21</v>
      </c>
      <c r="G2619" s="25">
        <v>44102</v>
      </c>
      <c r="H2619">
        <v>2020</v>
      </c>
      <c r="I2619" t="s">
        <v>50</v>
      </c>
    </row>
    <row r="2620" spans="1:9" x14ac:dyDescent="0.3">
      <c r="A2620" t="s">
        <v>18</v>
      </c>
      <c r="D2620">
        <v>324000</v>
      </c>
      <c r="G2620" s="25">
        <v>44102</v>
      </c>
      <c r="H2620">
        <v>2020</v>
      </c>
      <c r="I2620" t="s">
        <v>50</v>
      </c>
    </row>
    <row r="2621" spans="1:9" x14ac:dyDescent="0.3">
      <c r="A2621" t="s">
        <v>16</v>
      </c>
      <c r="F2621">
        <v>108000</v>
      </c>
      <c r="G2621" s="25">
        <v>44102</v>
      </c>
      <c r="H2621">
        <v>2020</v>
      </c>
      <c r="I2621" t="s">
        <v>50</v>
      </c>
    </row>
    <row r="2622" spans="1:9" x14ac:dyDescent="0.3">
      <c r="A2622" t="s">
        <v>20</v>
      </c>
      <c r="G2622" s="25">
        <v>44103</v>
      </c>
      <c r="H2622">
        <v>2020</v>
      </c>
      <c r="I2622" t="s">
        <v>50</v>
      </c>
    </row>
    <row r="2623" spans="1:9" x14ac:dyDescent="0.3">
      <c r="A2623" t="s">
        <v>37</v>
      </c>
      <c r="G2623" s="25">
        <v>44103</v>
      </c>
      <c r="H2623">
        <v>2020</v>
      </c>
      <c r="I2623" t="s">
        <v>50</v>
      </c>
    </row>
    <row r="2624" spans="1:9" x14ac:dyDescent="0.3">
      <c r="A2624" t="s">
        <v>17</v>
      </c>
      <c r="B2624">
        <v>54000</v>
      </c>
      <c r="G2624" s="25">
        <v>44103</v>
      </c>
      <c r="H2624">
        <v>2020</v>
      </c>
      <c r="I2624" t="s">
        <v>50</v>
      </c>
    </row>
    <row r="2625" spans="1:9" x14ac:dyDescent="0.3">
      <c r="A2625" t="s">
        <v>0</v>
      </c>
      <c r="G2625" s="25">
        <v>44103</v>
      </c>
      <c r="H2625">
        <v>2020</v>
      </c>
      <c r="I2625" t="s">
        <v>50</v>
      </c>
    </row>
    <row r="2626" spans="1:9" x14ac:dyDescent="0.3">
      <c r="A2626" t="s">
        <v>25</v>
      </c>
      <c r="B2626">
        <v>211500</v>
      </c>
      <c r="C2626">
        <v>585000</v>
      </c>
      <c r="E2626">
        <v>261000</v>
      </c>
      <c r="G2626" s="25">
        <v>44103</v>
      </c>
      <c r="H2626">
        <v>2020</v>
      </c>
      <c r="I2626" t="s">
        <v>50</v>
      </c>
    </row>
    <row r="2627" spans="1:9" x14ac:dyDescent="0.3">
      <c r="A2627" t="s">
        <v>15</v>
      </c>
      <c r="C2627">
        <v>270000</v>
      </c>
      <c r="G2627" s="25">
        <v>44103</v>
      </c>
      <c r="H2627">
        <v>2020</v>
      </c>
      <c r="I2627" t="s">
        <v>50</v>
      </c>
    </row>
    <row r="2628" spans="1:9" x14ac:dyDescent="0.3">
      <c r="A2628" t="s">
        <v>26</v>
      </c>
      <c r="G2628" s="25">
        <v>44103</v>
      </c>
      <c r="H2628">
        <v>2020</v>
      </c>
      <c r="I2628" t="s">
        <v>50</v>
      </c>
    </row>
    <row r="2629" spans="1:9" x14ac:dyDescent="0.3">
      <c r="A2629" t="s">
        <v>22</v>
      </c>
      <c r="C2629">
        <v>207000</v>
      </c>
      <c r="G2629" s="25">
        <v>44103</v>
      </c>
      <c r="H2629">
        <v>2020</v>
      </c>
      <c r="I2629" t="s">
        <v>50</v>
      </c>
    </row>
    <row r="2630" spans="1:9" x14ac:dyDescent="0.3">
      <c r="A2630" t="s">
        <v>19</v>
      </c>
      <c r="B2630">
        <v>324000</v>
      </c>
      <c r="G2630" s="25">
        <v>44103</v>
      </c>
      <c r="H2630">
        <v>2020</v>
      </c>
      <c r="I2630" t="s">
        <v>50</v>
      </c>
    </row>
    <row r="2631" spans="1:9" x14ac:dyDescent="0.3">
      <c r="A2631" t="s">
        <v>14</v>
      </c>
      <c r="C2631">
        <v>261000</v>
      </c>
      <c r="G2631" s="25">
        <v>44103</v>
      </c>
      <c r="H2631">
        <v>2020</v>
      </c>
      <c r="I2631" t="s">
        <v>50</v>
      </c>
    </row>
    <row r="2632" spans="1:9" x14ac:dyDescent="0.3">
      <c r="A2632" t="s">
        <v>24</v>
      </c>
      <c r="B2632">
        <v>212000</v>
      </c>
      <c r="C2632">
        <v>374000</v>
      </c>
      <c r="G2632" s="25">
        <v>44103</v>
      </c>
      <c r="H2632">
        <v>2020</v>
      </c>
      <c r="I2632" t="s">
        <v>50</v>
      </c>
    </row>
    <row r="2633" spans="1:9" x14ac:dyDescent="0.3">
      <c r="A2633" t="s">
        <v>21</v>
      </c>
      <c r="G2633" s="25">
        <v>44103</v>
      </c>
      <c r="H2633">
        <v>2020</v>
      </c>
      <c r="I2633" t="s">
        <v>50</v>
      </c>
    </row>
    <row r="2634" spans="1:9" x14ac:dyDescent="0.3">
      <c r="A2634" t="s">
        <v>18</v>
      </c>
      <c r="B2634">
        <v>479000</v>
      </c>
      <c r="D2634">
        <v>162000</v>
      </c>
      <c r="G2634" s="25">
        <v>44103</v>
      </c>
      <c r="H2634">
        <v>2020</v>
      </c>
      <c r="I2634" t="s">
        <v>50</v>
      </c>
    </row>
    <row r="2635" spans="1:9" x14ac:dyDescent="0.3">
      <c r="A2635" t="s">
        <v>16</v>
      </c>
      <c r="B2635">
        <v>747000</v>
      </c>
      <c r="D2635">
        <v>50000</v>
      </c>
      <c r="F2635">
        <v>324000</v>
      </c>
      <c r="G2635" s="25">
        <v>44103</v>
      </c>
      <c r="H2635">
        <v>2020</v>
      </c>
      <c r="I2635" t="s">
        <v>50</v>
      </c>
    </row>
    <row r="2636" spans="1:9" x14ac:dyDescent="0.3">
      <c r="A2636" t="s">
        <v>20</v>
      </c>
      <c r="G2636" s="25">
        <v>44104</v>
      </c>
      <c r="H2636">
        <v>2020</v>
      </c>
      <c r="I2636" t="s">
        <v>50</v>
      </c>
    </row>
    <row r="2637" spans="1:9" x14ac:dyDescent="0.3">
      <c r="A2637" t="s">
        <v>37</v>
      </c>
      <c r="G2637" s="25">
        <v>44104</v>
      </c>
      <c r="H2637">
        <v>2020</v>
      </c>
      <c r="I2637" t="s">
        <v>50</v>
      </c>
    </row>
    <row r="2638" spans="1:9" x14ac:dyDescent="0.3">
      <c r="A2638" t="s">
        <v>17</v>
      </c>
      <c r="C2638">
        <v>270000</v>
      </c>
      <c r="G2638" s="25">
        <v>44104</v>
      </c>
      <c r="H2638">
        <v>2020</v>
      </c>
      <c r="I2638" t="s">
        <v>50</v>
      </c>
    </row>
    <row r="2639" spans="1:9" x14ac:dyDescent="0.3">
      <c r="A2639" t="s">
        <v>0</v>
      </c>
      <c r="G2639" s="25">
        <v>44104</v>
      </c>
      <c r="H2639">
        <v>2020</v>
      </c>
      <c r="I2639" t="s">
        <v>50</v>
      </c>
    </row>
    <row r="2640" spans="1:9" x14ac:dyDescent="0.3">
      <c r="A2640" t="s">
        <v>25</v>
      </c>
      <c r="B2640">
        <v>162000</v>
      </c>
      <c r="C2640">
        <v>640000</v>
      </c>
      <c r="G2640" s="25">
        <v>44104</v>
      </c>
      <c r="H2640">
        <v>2020</v>
      </c>
      <c r="I2640" t="s">
        <v>50</v>
      </c>
    </row>
    <row r="2641" spans="1:9" x14ac:dyDescent="0.3">
      <c r="A2641" t="s">
        <v>15</v>
      </c>
      <c r="C2641">
        <v>162000</v>
      </c>
      <c r="G2641" s="25">
        <v>44104</v>
      </c>
      <c r="H2641">
        <v>2020</v>
      </c>
      <c r="I2641" t="s">
        <v>50</v>
      </c>
    </row>
    <row r="2642" spans="1:9" x14ac:dyDescent="0.3">
      <c r="A2642" t="s">
        <v>26</v>
      </c>
      <c r="G2642" s="25">
        <v>44104</v>
      </c>
      <c r="H2642">
        <v>2020</v>
      </c>
      <c r="I2642" t="s">
        <v>50</v>
      </c>
    </row>
    <row r="2643" spans="1:9" x14ac:dyDescent="0.3">
      <c r="A2643" t="s">
        <v>22</v>
      </c>
      <c r="C2643">
        <v>54000</v>
      </c>
      <c r="G2643" s="25">
        <v>44104</v>
      </c>
      <c r="H2643">
        <v>2020</v>
      </c>
      <c r="I2643" t="s">
        <v>50</v>
      </c>
    </row>
    <row r="2644" spans="1:9" x14ac:dyDescent="0.3">
      <c r="A2644" t="s">
        <v>19</v>
      </c>
      <c r="B2644">
        <v>594000</v>
      </c>
      <c r="D2644">
        <v>50000</v>
      </c>
      <c r="F2644">
        <v>45000</v>
      </c>
      <c r="G2644" s="25">
        <v>44104</v>
      </c>
      <c r="H2644">
        <v>2020</v>
      </c>
      <c r="I2644" t="s">
        <v>50</v>
      </c>
    </row>
    <row r="2645" spans="1:9" x14ac:dyDescent="0.3">
      <c r="A2645" t="s">
        <v>14</v>
      </c>
      <c r="G2645" s="25">
        <v>44104</v>
      </c>
      <c r="H2645">
        <v>2020</v>
      </c>
      <c r="I2645" t="s">
        <v>50</v>
      </c>
    </row>
    <row r="2646" spans="1:9" x14ac:dyDescent="0.3">
      <c r="A2646" t="s">
        <v>24</v>
      </c>
      <c r="B2646">
        <v>428000</v>
      </c>
      <c r="C2646">
        <v>857500</v>
      </c>
      <c r="G2646" s="25">
        <v>44104</v>
      </c>
      <c r="H2646">
        <v>2020</v>
      </c>
      <c r="I2646" t="s">
        <v>50</v>
      </c>
    </row>
    <row r="2647" spans="1:9" x14ac:dyDescent="0.3">
      <c r="A2647" t="s">
        <v>21</v>
      </c>
      <c r="G2647" s="25">
        <v>44104</v>
      </c>
      <c r="H2647">
        <v>2020</v>
      </c>
      <c r="I2647" t="s">
        <v>50</v>
      </c>
    </row>
    <row r="2648" spans="1:9" x14ac:dyDescent="0.3">
      <c r="A2648" t="s">
        <v>18</v>
      </c>
      <c r="B2648">
        <v>540000</v>
      </c>
      <c r="G2648" s="25">
        <v>44104</v>
      </c>
      <c r="H2648">
        <v>2020</v>
      </c>
      <c r="I2648" t="s">
        <v>50</v>
      </c>
    </row>
    <row r="2649" spans="1:9" x14ac:dyDescent="0.3">
      <c r="A2649" t="s">
        <v>16</v>
      </c>
      <c r="B2649">
        <v>536000</v>
      </c>
      <c r="D2649">
        <v>50000</v>
      </c>
      <c r="F2649">
        <v>162000</v>
      </c>
      <c r="G2649" s="25">
        <v>44104</v>
      </c>
      <c r="H2649">
        <v>2020</v>
      </c>
      <c r="I2649" t="s">
        <v>50</v>
      </c>
    </row>
    <row r="2650" spans="1:9" x14ac:dyDescent="0.3">
      <c r="A2650" t="s">
        <v>20</v>
      </c>
      <c r="G2650" s="25">
        <v>44105</v>
      </c>
      <c r="H2650">
        <v>2020</v>
      </c>
      <c r="I2650" t="s">
        <v>51</v>
      </c>
    </row>
    <row r="2651" spans="1:9" x14ac:dyDescent="0.3">
      <c r="A2651" t="s">
        <v>37</v>
      </c>
      <c r="G2651" s="25">
        <v>44105</v>
      </c>
      <c r="H2651">
        <v>2020</v>
      </c>
      <c r="I2651" t="s">
        <v>51</v>
      </c>
    </row>
    <row r="2652" spans="1:9" x14ac:dyDescent="0.3">
      <c r="A2652" t="s">
        <v>17</v>
      </c>
      <c r="G2652" s="25">
        <v>44105</v>
      </c>
      <c r="H2652">
        <v>2020</v>
      </c>
      <c r="I2652" t="s">
        <v>51</v>
      </c>
    </row>
    <row r="2653" spans="1:9" x14ac:dyDescent="0.3">
      <c r="A2653" t="s">
        <v>0</v>
      </c>
      <c r="G2653" s="25">
        <v>44105</v>
      </c>
      <c r="H2653">
        <v>2020</v>
      </c>
      <c r="I2653" t="s">
        <v>51</v>
      </c>
    </row>
    <row r="2654" spans="1:9" x14ac:dyDescent="0.3">
      <c r="A2654" t="s">
        <v>25</v>
      </c>
      <c r="F2654">
        <v>140000</v>
      </c>
      <c r="G2654" s="25">
        <v>44105</v>
      </c>
      <c r="H2654">
        <v>2020</v>
      </c>
      <c r="I2654" t="s">
        <v>51</v>
      </c>
    </row>
    <row r="2655" spans="1:9" x14ac:dyDescent="0.3">
      <c r="A2655" t="s">
        <v>15</v>
      </c>
      <c r="G2655" s="25">
        <v>44105</v>
      </c>
      <c r="H2655">
        <v>2020</v>
      </c>
      <c r="I2655" t="s">
        <v>51</v>
      </c>
    </row>
    <row r="2656" spans="1:9" x14ac:dyDescent="0.3">
      <c r="A2656" t="s">
        <v>26</v>
      </c>
      <c r="G2656" s="25">
        <v>44105</v>
      </c>
      <c r="H2656">
        <v>2020</v>
      </c>
      <c r="I2656" t="s">
        <v>51</v>
      </c>
    </row>
    <row r="2657" spans="1:9" x14ac:dyDescent="0.3">
      <c r="A2657" t="s">
        <v>22</v>
      </c>
      <c r="G2657" s="25">
        <v>44105</v>
      </c>
      <c r="H2657">
        <v>2020</v>
      </c>
      <c r="I2657" t="s">
        <v>51</v>
      </c>
    </row>
    <row r="2658" spans="1:9" x14ac:dyDescent="0.3">
      <c r="A2658" t="s">
        <v>19</v>
      </c>
      <c r="B2658">
        <v>54000</v>
      </c>
      <c r="F2658">
        <v>90000</v>
      </c>
      <c r="G2658" s="25">
        <v>44105</v>
      </c>
      <c r="H2658">
        <v>2020</v>
      </c>
      <c r="I2658" t="s">
        <v>51</v>
      </c>
    </row>
    <row r="2659" spans="1:9" x14ac:dyDescent="0.3">
      <c r="A2659" t="s">
        <v>14</v>
      </c>
      <c r="G2659" s="25">
        <v>44105</v>
      </c>
      <c r="H2659">
        <v>2020</v>
      </c>
      <c r="I2659" t="s">
        <v>51</v>
      </c>
    </row>
    <row r="2660" spans="1:9" x14ac:dyDescent="0.3">
      <c r="A2660" t="s">
        <v>24</v>
      </c>
      <c r="B2660">
        <v>54000</v>
      </c>
      <c r="C2660">
        <v>216000</v>
      </c>
      <c r="G2660" s="25">
        <v>44105</v>
      </c>
      <c r="H2660">
        <v>2020</v>
      </c>
      <c r="I2660" t="s">
        <v>51</v>
      </c>
    </row>
    <row r="2661" spans="1:9" x14ac:dyDescent="0.3">
      <c r="A2661" t="s">
        <v>21</v>
      </c>
      <c r="G2661" s="25">
        <v>44105</v>
      </c>
      <c r="H2661">
        <v>2020</v>
      </c>
      <c r="I2661" t="s">
        <v>51</v>
      </c>
    </row>
    <row r="2662" spans="1:9" x14ac:dyDescent="0.3">
      <c r="A2662" t="s">
        <v>18</v>
      </c>
      <c r="G2662" s="25">
        <v>44105</v>
      </c>
      <c r="H2662">
        <v>2020</v>
      </c>
      <c r="I2662" t="s">
        <v>51</v>
      </c>
    </row>
    <row r="2663" spans="1:9" x14ac:dyDescent="0.3">
      <c r="A2663" t="s">
        <v>16</v>
      </c>
      <c r="G2663" s="25">
        <v>44105</v>
      </c>
      <c r="H2663">
        <v>2020</v>
      </c>
      <c r="I2663" t="s">
        <v>51</v>
      </c>
    </row>
    <row r="2664" spans="1:9" x14ac:dyDescent="0.3">
      <c r="A2664" t="s">
        <v>20</v>
      </c>
      <c r="G2664" s="25">
        <v>44106</v>
      </c>
      <c r="H2664">
        <v>2020</v>
      </c>
      <c r="I2664" t="s">
        <v>51</v>
      </c>
    </row>
    <row r="2665" spans="1:9" x14ac:dyDescent="0.3">
      <c r="A2665" t="s">
        <v>37</v>
      </c>
      <c r="G2665" s="25">
        <v>44106</v>
      </c>
      <c r="H2665">
        <v>2020</v>
      </c>
      <c r="I2665" t="s">
        <v>51</v>
      </c>
    </row>
    <row r="2666" spans="1:9" x14ac:dyDescent="0.3">
      <c r="A2666" t="s">
        <v>17</v>
      </c>
      <c r="C2666">
        <v>104000</v>
      </c>
      <c r="G2666" s="25">
        <v>44106</v>
      </c>
      <c r="H2666">
        <v>2020</v>
      </c>
      <c r="I2666" t="s">
        <v>51</v>
      </c>
    </row>
    <row r="2667" spans="1:9" x14ac:dyDescent="0.3">
      <c r="A2667" t="s">
        <v>0</v>
      </c>
      <c r="G2667" s="25">
        <v>44106</v>
      </c>
      <c r="H2667">
        <v>2020</v>
      </c>
      <c r="I2667" t="s">
        <v>51</v>
      </c>
    </row>
    <row r="2668" spans="1:9" x14ac:dyDescent="0.3">
      <c r="A2668" t="s">
        <v>25</v>
      </c>
      <c r="B2668">
        <v>432000</v>
      </c>
      <c r="C2668">
        <v>206000</v>
      </c>
      <c r="E2668">
        <v>45000</v>
      </c>
      <c r="G2668" s="25">
        <v>44106</v>
      </c>
      <c r="H2668">
        <v>2020</v>
      </c>
      <c r="I2668" t="s">
        <v>51</v>
      </c>
    </row>
    <row r="2669" spans="1:9" x14ac:dyDescent="0.3">
      <c r="A2669" t="s">
        <v>15</v>
      </c>
      <c r="G2669" s="25">
        <v>44106</v>
      </c>
      <c r="H2669">
        <v>2020</v>
      </c>
      <c r="I2669" t="s">
        <v>51</v>
      </c>
    </row>
    <row r="2670" spans="1:9" x14ac:dyDescent="0.3">
      <c r="A2670" t="s">
        <v>26</v>
      </c>
      <c r="G2670" s="25">
        <v>44106</v>
      </c>
      <c r="H2670">
        <v>2020</v>
      </c>
      <c r="I2670" t="s">
        <v>51</v>
      </c>
    </row>
    <row r="2671" spans="1:9" x14ac:dyDescent="0.3">
      <c r="A2671" t="s">
        <v>22</v>
      </c>
      <c r="C2671">
        <v>100000</v>
      </c>
      <c r="G2671" s="25">
        <v>44106</v>
      </c>
      <c r="H2671">
        <v>2020</v>
      </c>
      <c r="I2671" t="s">
        <v>51</v>
      </c>
    </row>
    <row r="2672" spans="1:9" x14ac:dyDescent="0.3">
      <c r="A2672" t="s">
        <v>19</v>
      </c>
      <c r="B2672">
        <v>427000</v>
      </c>
      <c r="G2672" s="25">
        <v>44106</v>
      </c>
      <c r="H2672">
        <v>2020</v>
      </c>
      <c r="I2672" t="s">
        <v>51</v>
      </c>
    </row>
    <row r="2673" spans="1:9" x14ac:dyDescent="0.3">
      <c r="A2673" t="s">
        <v>14</v>
      </c>
      <c r="B2673">
        <v>801000</v>
      </c>
      <c r="D2673">
        <v>374000</v>
      </c>
      <c r="E2673">
        <v>45000</v>
      </c>
      <c r="F2673">
        <v>522000</v>
      </c>
      <c r="G2673" s="25">
        <v>44106</v>
      </c>
      <c r="H2673">
        <v>2020</v>
      </c>
      <c r="I2673" t="s">
        <v>51</v>
      </c>
    </row>
    <row r="2674" spans="1:9" x14ac:dyDescent="0.3">
      <c r="A2674" t="s">
        <v>24</v>
      </c>
      <c r="B2674">
        <v>324000</v>
      </c>
      <c r="C2674">
        <v>432000</v>
      </c>
      <c r="G2674" s="25">
        <v>44106</v>
      </c>
      <c r="H2674">
        <v>2020</v>
      </c>
      <c r="I2674" t="s">
        <v>51</v>
      </c>
    </row>
    <row r="2675" spans="1:9" x14ac:dyDescent="0.3">
      <c r="A2675" t="s">
        <v>21</v>
      </c>
      <c r="B2675">
        <v>45000</v>
      </c>
      <c r="G2675" s="25">
        <v>44106</v>
      </c>
      <c r="H2675">
        <v>2020</v>
      </c>
      <c r="I2675" t="s">
        <v>51</v>
      </c>
    </row>
    <row r="2676" spans="1:9" x14ac:dyDescent="0.3">
      <c r="A2676" t="s">
        <v>18</v>
      </c>
      <c r="G2676" s="25">
        <v>44106</v>
      </c>
      <c r="H2676">
        <v>2020</v>
      </c>
      <c r="I2676" t="s">
        <v>51</v>
      </c>
    </row>
    <row r="2677" spans="1:9" x14ac:dyDescent="0.3">
      <c r="A2677" t="s">
        <v>16</v>
      </c>
      <c r="B2677">
        <v>406500</v>
      </c>
      <c r="C2677">
        <v>701500</v>
      </c>
      <c r="G2677" s="25">
        <v>44106</v>
      </c>
      <c r="H2677">
        <v>2020</v>
      </c>
      <c r="I2677" t="s">
        <v>51</v>
      </c>
    </row>
    <row r="2678" spans="1:9" x14ac:dyDescent="0.3">
      <c r="A2678" t="s">
        <v>20</v>
      </c>
      <c r="G2678" s="25">
        <v>44109</v>
      </c>
      <c r="H2678">
        <v>2020</v>
      </c>
      <c r="I2678" t="s">
        <v>51</v>
      </c>
    </row>
    <row r="2679" spans="1:9" x14ac:dyDescent="0.3">
      <c r="A2679" t="s">
        <v>37</v>
      </c>
      <c r="G2679" s="25">
        <v>44109</v>
      </c>
      <c r="H2679">
        <v>2020</v>
      </c>
      <c r="I2679" t="s">
        <v>51</v>
      </c>
    </row>
    <row r="2680" spans="1:9" x14ac:dyDescent="0.3">
      <c r="A2680" t="s">
        <v>17</v>
      </c>
      <c r="G2680" s="25">
        <v>44109</v>
      </c>
      <c r="H2680">
        <v>2020</v>
      </c>
      <c r="I2680" t="s">
        <v>51</v>
      </c>
    </row>
    <row r="2681" spans="1:9" x14ac:dyDescent="0.3">
      <c r="A2681" t="s">
        <v>0</v>
      </c>
      <c r="G2681" s="25">
        <v>44109</v>
      </c>
      <c r="H2681">
        <v>2020</v>
      </c>
      <c r="I2681" t="s">
        <v>51</v>
      </c>
    </row>
    <row r="2682" spans="1:9" x14ac:dyDescent="0.3">
      <c r="A2682" t="s">
        <v>25</v>
      </c>
      <c r="G2682" s="25">
        <v>44109</v>
      </c>
      <c r="H2682">
        <v>2020</v>
      </c>
      <c r="I2682" t="s">
        <v>51</v>
      </c>
    </row>
    <row r="2683" spans="1:9" x14ac:dyDescent="0.3">
      <c r="A2683" t="s">
        <v>15</v>
      </c>
      <c r="G2683" s="25">
        <v>44109</v>
      </c>
      <c r="H2683">
        <v>2020</v>
      </c>
      <c r="I2683" t="s">
        <v>51</v>
      </c>
    </row>
    <row r="2684" spans="1:9" x14ac:dyDescent="0.3">
      <c r="A2684" t="s">
        <v>26</v>
      </c>
      <c r="G2684" s="25">
        <v>44109</v>
      </c>
      <c r="H2684">
        <v>2020</v>
      </c>
      <c r="I2684" t="s">
        <v>51</v>
      </c>
    </row>
    <row r="2685" spans="1:9" x14ac:dyDescent="0.3">
      <c r="A2685" t="s">
        <v>22</v>
      </c>
      <c r="G2685" s="25">
        <v>44109</v>
      </c>
      <c r="H2685">
        <v>2020</v>
      </c>
      <c r="I2685" t="s">
        <v>51</v>
      </c>
    </row>
    <row r="2686" spans="1:9" x14ac:dyDescent="0.3">
      <c r="A2686" t="s">
        <v>19</v>
      </c>
      <c r="G2686" s="25">
        <v>44109</v>
      </c>
      <c r="H2686">
        <v>2020</v>
      </c>
      <c r="I2686" t="s">
        <v>51</v>
      </c>
    </row>
    <row r="2687" spans="1:9" x14ac:dyDescent="0.3">
      <c r="A2687" t="s">
        <v>14</v>
      </c>
      <c r="B2687">
        <v>909000</v>
      </c>
      <c r="D2687">
        <v>910000</v>
      </c>
      <c r="G2687" s="25">
        <v>44109</v>
      </c>
      <c r="H2687">
        <v>2020</v>
      </c>
      <c r="I2687" t="s">
        <v>51</v>
      </c>
    </row>
    <row r="2688" spans="1:9" x14ac:dyDescent="0.3">
      <c r="A2688" t="s">
        <v>24</v>
      </c>
      <c r="G2688" s="25">
        <v>44109</v>
      </c>
      <c r="H2688">
        <v>2020</v>
      </c>
      <c r="I2688" t="s">
        <v>51</v>
      </c>
    </row>
    <row r="2689" spans="1:9" x14ac:dyDescent="0.3">
      <c r="A2689" t="s">
        <v>21</v>
      </c>
      <c r="G2689" s="25">
        <v>44109</v>
      </c>
      <c r="H2689">
        <v>2020</v>
      </c>
      <c r="I2689" t="s">
        <v>51</v>
      </c>
    </row>
    <row r="2690" spans="1:9" x14ac:dyDescent="0.3">
      <c r="A2690" t="s">
        <v>18</v>
      </c>
      <c r="G2690" s="25">
        <v>44109</v>
      </c>
      <c r="H2690">
        <v>2020</v>
      </c>
      <c r="I2690" t="s">
        <v>51</v>
      </c>
    </row>
    <row r="2691" spans="1:9" x14ac:dyDescent="0.3">
      <c r="A2691" t="s">
        <v>16</v>
      </c>
      <c r="B2691">
        <v>50000</v>
      </c>
      <c r="G2691" s="25">
        <v>44109</v>
      </c>
      <c r="H2691">
        <v>2020</v>
      </c>
      <c r="I2691" t="s">
        <v>51</v>
      </c>
    </row>
    <row r="2692" spans="1:9" x14ac:dyDescent="0.3">
      <c r="A2692" t="s">
        <v>20</v>
      </c>
      <c r="G2692" s="25">
        <v>44110</v>
      </c>
      <c r="H2692">
        <v>2020</v>
      </c>
      <c r="I2692" t="s">
        <v>51</v>
      </c>
    </row>
    <row r="2693" spans="1:9" x14ac:dyDescent="0.3">
      <c r="A2693" t="s">
        <v>37</v>
      </c>
      <c r="G2693" s="25">
        <v>44110</v>
      </c>
      <c r="H2693">
        <v>2020</v>
      </c>
      <c r="I2693" t="s">
        <v>51</v>
      </c>
    </row>
    <row r="2694" spans="1:9" x14ac:dyDescent="0.3">
      <c r="A2694" t="s">
        <v>17</v>
      </c>
      <c r="G2694" s="25">
        <v>44110</v>
      </c>
      <c r="H2694">
        <v>2020</v>
      </c>
      <c r="I2694" t="s">
        <v>51</v>
      </c>
    </row>
    <row r="2695" spans="1:9" x14ac:dyDescent="0.3">
      <c r="A2695" t="s">
        <v>0</v>
      </c>
      <c r="G2695" s="25">
        <v>44110</v>
      </c>
      <c r="H2695">
        <v>2020</v>
      </c>
      <c r="I2695" t="s">
        <v>51</v>
      </c>
    </row>
    <row r="2696" spans="1:9" x14ac:dyDescent="0.3">
      <c r="A2696" t="s">
        <v>25</v>
      </c>
      <c r="C2696">
        <v>144000</v>
      </c>
      <c r="G2696" s="25">
        <v>44110</v>
      </c>
      <c r="H2696">
        <v>2020</v>
      </c>
      <c r="I2696" t="s">
        <v>51</v>
      </c>
    </row>
    <row r="2697" spans="1:9" x14ac:dyDescent="0.3">
      <c r="A2697" t="s">
        <v>15</v>
      </c>
      <c r="G2697" s="25">
        <v>44110</v>
      </c>
      <c r="H2697">
        <v>2020</v>
      </c>
      <c r="I2697" t="s">
        <v>51</v>
      </c>
    </row>
    <row r="2698" spans="1:9" x14ac:dyDescent="0.3">
      <c r="A2698" t="s">
        <v>26</v>
      </c>
      <c r="G2698" s="25">
        <v>44110</v>
      </c>
      <c r="H2698">
        <v>2020</v>
      </c>
      <c r="I2698" t="s">
        <v>51</v>
      </c>
    </row>
    <row r="2699" spans="1:9" x14ac:dyDescent="0.3">
      <c r="A2699" t="s">
        <v>22</v>
      </c>
      <c r="G2699" s="25">
        <v>44110</v>
      </c>
      <c r="H2699">
        <v>2020</v>
      </c>
      <c r="I2699" t="s">
        <v>51</v>
      </c>
    </row>
    <row r="2700" spans="1:9" x14ac:dyDescent="0.3">
      <c r="A2700" t="s">
        <v>19</v>
      </c>
      <c r="B2700">
        <v>752000</v>
      </c>
      <c r="G2700" s="25">
        <v>44110</v>
      </c>
      <c r="H2700">
        <v>2020</v>
      </c>
      <c r="I2700" t="s">
        <v>51</v>
      </c>
    </row>
    <row r="2701" spans="1:9" x14ac:dyDescent="0.3">
      <c r="A2701" t="s">
        <v>14</v>
      </c>
      <c r="B2701">
        <v>473000</v>
      </c>
      <c r="C2701">
        <v>50000</v>
      </c>
      <c r="D2701">
        <v>481000</v>
      </c>
      <c r="F2701">
        <v>45000</v>
      </c>
      <c r="G2701" s="25">
        <v>44110</v>
      </c>
      <c r="H2701">
        <v>2020</v>
      </c>
      <c r="I2701" t="s">
        <v>51</v>
      </c>
    </row>
    <row r="2702" spans="1:9" x14ac:dyDescent="0.3">
      <c r="A2702" t="s">
        <v>24</v>
      </c>
      <c r="G2702" s="25">
        <v>44110</v>
      </c>
      <c r="H2702">
        <v>2020</v>
      </c>
      <c r="I2702" t="s">
        <v>51</v>
      </c>
    </row>
    <row r="2703" spans="1:9" x14ac:dyDescent="0.3">
      <c r="A2703" t="s">
        <v>21</v>
      </c>
      <c r="G2703" s="25">
        <v>44110</v>
      </c>
      <c r="H2703">
        <v>2020</v>
      </c>
      <c r="I2703" t="s">
        <v>51</v>
      </c>
    </row>
    <row r="2704" spans="1:9" x14ac:dyDescent="0.3">
      <c r="A2704" t="s">
        <v>18</v>
      </c>
      <c r="B2704">
        <v>313500</v>
      </c>
      <c r="D2704">
        <v>54000</v>
      </c>
      <c r="G2704" s="25">
        <v>44110</v>
      </c>
      <c r="H2704">
        <v>2020</v>
      </c>
      <c r="I2704" t="s">
        <v>51</v>
      </c>
    </row>
    <row r="2705" spans="1:9" x14ac:dyDescent="0.3">
      <c r="A2705" t="s">
        <v>16</v>
      </c>
      <c r="G2705" s="25">
        <v>44110</v>
      </c>
      <c r="H2705">
        <v>2020</v>
      </c>
      <c r="I2705" t="s">
        <v>51</v>
      </c>
    </row>
    <row r="2706" spans="1:9" x14ac:dyDescent="0.3">
      <c r="A2706" t="s">
        <v>20</v>
      </c>
      <c r="G2706" s="25">
        <v>44111</v>
      </c>
      <c r="H2706">
        <v>2020</v>
      </c>
      <c r="I2706" t="s">
        <v>51</v>
      </c>
    </row>
    <row r="2707" spans="1:9" x14ac:dyDescent="0.3">
      <c r="A2707" t="s">
        <v>37</v>
      </c>
      <c r="G2707" s="25">
        <v>44111</v>
      </c>
      <c r="H2707">
        <v>2020</v>
      </c>
      <c r="I2707" t="s">
        <v>51</v>
      </c>
    </row>
    <row r="2708" spans="1:9" x14ac:dyDescent="0.3">
      <c r="A2708" t="s">
        <v>17</v>
      </c>
      <c r="G2708" s="25">
        <v>44111</v>
      </c>
      <c r="H2708">
        <v>2020</v>
      </c>
      <c r="I2708" t="s">
        <v>51</v>
      </c>
    </row>
    <row r="2709" spans="1:9" x14ac:dyDescent="0.3">
      <c r="A2709" t="s">
        <v>0</v>
      </c>
      <c r="G2709" s="25">
        <v>44111</v>
      </c>
      <c r="H2709">
        <v>2020</v>
      </c>
      <c r="I2709" t="s">
        <v>51</v>
      </c>
    </row>
    <row r="2710" spans="1:9" x14ac:dyDescent="0.3">
      <c r="A2710" t="s">
        <v>25</v>
      </c>
      <c r="B2710">
        <v>54000</v>
      </c>
      <c r="G2710" s="25">
        <v>44111</v>
      </c>
      <c r="H2710">
        <v>2020</v>
      </c>
      <c r="I2710" t="s">
        <v>51</v>
      </c>
    </row>
    <row r="2711" spans="1:9" x14ac:dyDescent="0.3">
      <c r="A2711" t="s">
        <v>15</v>
      </c>
      <c r="G2711" s="25">
        <v>44111</v>
      </c>
      <c r="H2711">
        <v>2020</v>
      </c>
      <c r="I2711" t="s">
        <v>51</v>
      </c>
    </row>
    <row r="2712" spans="1:9" x14ac:dyDescent="0.3">
      <c r="A2712" t="s">
        <v>26</v>
      </c>
      <c r="G2712" s="25">
        <v>44111</v>
      </c>
      <c r="H2712">
        <v>2020</v>
      </c>
      <c r="I2712" t="s">
        <v>51</v>
      </c>
    </row>
    <row r="2713" spans="1:9" x14ac:dyDescent="0.3">
      <c r="A2713" t="s">
        <v>22</v>
      </c>
      <c r="G2713" s="25">
        <v>44111</v>
      </c>
      <c r="H2713">
        <v>2020</v>
      </c>
      <c r="I2713" t="s">
        <v>51</v>
      </c>
    </row>
    <row r="2714" spans="1:9" x14ac:dyDescent="0.3">
      <c r="A2714" t="s">
        <v>19</v>
      </c>
      <c r="B2714">
        <v>966000</v>
      </c>
      <c r="G2714" s="25">
        <v>44111</v>
      </c>
      <c r="H2714">
        <v>2020</v>
      </c>
      <c r="I2714" t="s">
        <v>51</v>
      </c>
    </row>
    <row r="2715" spans="1:9" x14ac:dyDescent="0.3">
      <c r="A2715" t="s">
        <v>14</v>
      </c>
      <c r="B2715">
        <v>162000</v>
      </c>
      <c r="C2715">
        <v>100000</v>
      </c>
      <c r="D2715">
        <v>324000</v>
      </c>
      <c r="F2715">
        <v>432000</v>
      </c>
      <c r="G2715" s="25">
        <v>44111</v>
      </c>
      <c r="H2715">
        <v>2020</v>
      </c>
      <c r="I2715" t="s">
        <v>51</v>
      </c>
    </row>
    <row r="2716" spans="1:9" x14ac:dyDescent="0.3">
      <c r="A2716" t="s">
        <v>24</v>
      </c>
      <c r="B2716">
        <v>162000</v>
      </c>
      <c r="G2716" s="25">
        <v>44111</v>
      </c>
      <c r="H2716">
        <v>2020</v>
      </c>
      <c r="I2716" t="s">
        <v>51</v>
      </c>
    </row>
    <row r="2717" spans="1:9" x14ac:dyDescent="0.3">
      <c r="A2717" t="s">
        <v>21</v>
      </c>
      <c r="G2717" s="25">
        <v>44111</v>
      </c>
      <c r="H2717">
        <v>2020</v>
      </c>
      <c r="I2717" t="s">
        <v>51</v>
      </c>
    </row>
    <row r="2718" spans="1:9" x14ac:dyDescent="0.3">
      <c r="A2718" t="s">
        <v>18</v>
      </c>
      <c r="G2718" s="25">
        <v>44111</v>
      </c>
      <c r="H2718">
        <v>2020</v>
      </c>
      <c r="I2718" t="s">
        <v>51</v>
      </c>
    </row>
    <row r="2719" spans="1:9" x14ac:dyDescent="0.3">
      <c r="A2719" t="s">
        <v>16</v>
      </c>
      <c r="G2719" s="25">
        <v>44111</v>
      </c>
      <c r="H2719">
        <v>2020</v>
      </c>
      <c r="I2719" t="s">
        <v>51</v>
      </c>
    </row>
    <row r="2720" spans="1:9" x14ac:dyDescent="0.3">
      <c r="A2720" t="s">
        <v>20</v>
      </c>
      <c r="G2720" s="25">
        <v>44112</v>
      </c>
      <c r="H2720">
        <v>2020</v>
      </c>
      <c r="I2720" t="s">
        <v>51</v>
      </c>
    </row>
    <row r="2721" spans="1:9" x14ac:dyDescent="0.3">
      <c r="A2721" t="s">
        <v>37</v>
      </c>
      <c r="G2721" s="25">
        <v>44112</v>
      </c>
      <c r="H2721">
        <v>2020</v>
      </c>
      <c r="I2721" t="s">
        <v>51</v>
      </c>
    </row>
    <row r="2722" spans="1:9" x14ac:dyDescent="0.3">
      <c r="A2722" t="s">
        <v>17</v>
      </c>
      <c r="G2722" s="25">
        <v>44112</v>
      </c>
      <c r="H2722">
        <v>2020</v>
      </c>
      <c r="I2722" t="s">
        <v>51</v>
      </c>
    </row>
    <row r="2723" spans="1:9" x14ac:dyDescent="0.3">
      <c r="A2723" t="s">
        <v>0</v>
      </c>
      <c r="G2723" s="25">
        <v>44112</v>
      </c>
      <c r="H2723">
        <v>2020</v>
      </c>
      <c r="I2723" t="s">
        <v>51</v>
      </c>
    </row>
    <row r="2724" spans="1:9" x14ac:dyDescent="0.3">
      <c r="A2724" t="s">
        <v>25</v>
      </c>
      <c r="B2724">
        <v>54000</v>
      </c>
      <c r="G2724" s="25">
        <v>44112</v>
      </c>
      <c r="H2724">
        <v>2020</v>
      </c>
      <c r="I2724" t="s">
        <v>51</v>
      </c>
    </row>
    <row r="2725" spans="1:9" x14ac:dyDescent="0.3">
      <c r="A2725" t="s">
        <v>15</v>
      </c>
      <c r="B2725">
        <v>54000</v>
      </c>
      <c r="G2725" s="25">
        <v>44112</v>
      </c>
      <c r="H2725">
        <v>2020</v>
      </c>
      <c r="I2725" t="s">
        <v>51</v>
      </c>
    </row>
    <row r="2726" spans="1:9" x14ac:dyDescent="0.3">
      <c r="A2726" t="s">
        <v>26</v>
      </c>
      <c r="G2726" s="25">
        <v>44112</v>
      </c>
      <c r="H2726">
        <v>2020</v>
      </c>
      <c r="I2726" t="s">
        <v>51</v>
      </c>
    </row>
    <row r="2727" spans="1:9" x14ac:dyDescent="0.3">
      <c r="A2727" t="s">
        <v>22</v>
      </c>
      <c r="G2727" s="25">
        <v>44112</v>
      </c>
      <c r="H2727">
        <v>2020</v>
      </c>
      <c r="I2727" t="s">
        <v>51</v>
      </c>
    </row>
    <row r="2728" spans="1:9" x14ac:dyDescent="0.3">
      <c r="A2728" t="s">
        <v>19</v>
      </c>
      <c r="B2728">
        <v>756000</v>
      </c>
      <c r="G2728" s="25">
        <v>44112</v>
      </c>
      <c r="H2728">
        <v>2020</v>
      </c>
      <c r="I2728" t="s">
        <v>51</v>
      </c>
    </row>
    <row r="2729" spans="1:9" x14ac:dyDescent="0.3">
      <c r="A2729" t="s">
        <v>14</v>
      </c>
      <c r="B2729">
        <v>206000</v>
      </c>
      <c r="C2729">
        <v>45000</v>
      </c>
      <c r="D2729">
        <v>648000</v>
      </c>
      <c r="G2729" s="25">
        <v>44112</v>
      </c>
      <c r="H2729">
        <v>2020</v>
      </c>
      <c r="I2729" t="s">
        <v>51</v>
      </c>
    </row>
    <row r="2730" spans="1:9" x14ac:dyDescent="0.3">
      <c r="A2730" t="s">
        <v>24</v>
      </c>
      <c r="B2730">
        <v>971500</v>
      </c>
      <c r="C2730">
        <v>45000</v>
      </c>
      <c r="G2730" s="25">
        <v>44112</v>
      </c>
      <c r="H2730">
        <v>2020</v>
      </c>
      <c r="I2730" t="s">
        <v>51</v>
      </c>
    </row>
    <row r="2731" spans="1:9" x14ac:dyDescent="0.3">
      <c r="A2731" t="s">
        <v>21</v>
      </c>
      <c r="G2731" s="25">
        <v>44112</v>
      </c>
      <c r="H2731">
        <v>2020</v>
      </c>
      <c r="I2731" t="s">
        <v>51</v>
      </c>
    </row>
    <row r="2732" spans="1:9" x14ac:dyDescent="0.3">
      <c r="A2732" t="s">
        <v>18</v>
      </c>
      <c r="G2732" s="25">
        <v>44112</v>
      </c>
      <c r="H2732">
        <v>2020</v>
      </c>
      <c r="I2732" t="s">
        <v>51</v>
      </c>
    </row>
    <row r="2733" spans="1:9" x14ac:dyDescent="0.3">
      <c r="A2733" t="s">
        <v>16</v>
      </c>
      <c r="G2733" s="25">
        <v>44112</v>
      </c>
      <c r="H2733">
        <v>2020</v>
      </c>
      <c r="I2733" t="s">
        <v>51</v>
      </c>
    </row>
    <row r="2734" spans="1:9" x14ac:dyDescent="0.3">
      <c r="A2734" t="s">
        <v>20</v>
      </c>
      <c r="G2734" s="25">
        <v>44113</v>
      </c>
      <c r="H2734">
        <v>2020</v>
      </c>
      <c r="I2734" t="s">
        <v>51</v>
      </c>
    </row>
    <row r="2735" spans="1:9" x14ac:dyDescent="0.3">
      <c r="A2735" t="s">
        <v>37</v>
      </c>
      <c r="G2735" s="25">
        <v>44113</v>
      </c>
      <c r="H2735">
        <v>2020</v>
      </c>
      <c r="I2735" t="s">
        <v>51</v>
      </c>
    </row>
    <row r="2736" spans="1:9" x14ac:dyDescent="0.3">
      <c r="A2736" t="s">
        <v>17</v>
      </c>
      <c r="G2736" s="25">
        <v>44113</v>
      </c>
      <c r="H2736">
        <v>2020</v>
      </c>
      <c r="I2736" t="s">
        <v>51</v>
      </c>
    </row>
    <row r="2737" spans="1:9" x14ac:dyDescent="0.3">
      <c r="A2737" t="s">
        <v>0</v>
      </c>
      <c r="G2737" s="25">
        <v>44113</v>
      </c>
      <c r="H2737">
        <v>2020</v>
      </c>
      <c r="I2737" t="s">
        <v>51</v>
      </c>
    </row>
    <row r="2738" spans="1:9" x14ac:dyDescent="0.3">
      <c r="A2738" t="s">
        <v>25</v>
      </c>
      <c r="G2738" s="25">
        <v>44113</v>
      </c>
      <c r="H2738">
        <v>2020</v>
      </c>
      <c r="I2738" t="s">
        <v>51</v>
      </c>
    </row>
    <row r="2739" spans="1:9" x14ac:dyDescent="0.3">
      <c r="A2739" t="s">
        <v>15</v>
      </c>
      <c r="B2739">
        <v>54000</v>
      </c>
      <c r="G2739" s="25">
        <v>44113</v>
      </c>
      <c r="H2739">
        <v>2020</v>
      </c>
      <c r="I2739" t="s">
        <v>51</v>
      </c>
    </row>
    <row r="2740" spans="1:9" x14ac:dyDescent="0.3">
      <c r="A2740" t="s">
        <v>26</v>
      </c>
      <c r="G2740" s="25">
        <v>44113</v>
      </c>
      <c r="H2740">
        <v>2020</v>
      </c>
      <c r="I2740" t="s">
        <v>51</v>
      </c>
    </row>
    <row r="2741" spans="1:9" x14ac:dyDescent="0.3">
      <c r="A2741" t="s">
        <v>22</v>
      </c>
      <c r="G2741" s="25">
        <v>44113</v>
      </c>
      <c r="H2741">
        <v>2020</v>
      </c>
      <c r="I2741" t="s">
        <v>51</v>
      </c>
    </row>
    <row r="2742" spans="1:9" x14ac:dyDescent="0.3">
      <c r="A2742" t="s">
        <v>19</v>
      </c>
      <c r="G2742" s="25">
        <v>44113</v>
      </c>
      <c r="H2742">
        <v>2020</v>
      </c>
      <c r="I2742" t="s">
        <v>51</v>
      </c>
    </row>
    <row r="2743" spans="1:9" x14ac:dyDescent="0.3">
      <c r="A2743" t="s">
        <v>14</v>
      </c>
      <c r="B2743">
        <v>162000</v>
      </c>
      <c r="C2743">
        <v>1022000</v>
      </c>
      <c r="E2743">
        <v>1022000</v>
      </c>
      <c r="G2743" s="25">
        <v>44113</v>
      </c>
      <c r="H2743">
        <v>2020</v>
      </c>
      <c r="I2743" t="s">
        <v>51</v>
      </c>
    </row>
    <row r="2744" spans="1:9" x14ac:dyDescent="0.3">
      <c r="A2744" t="s">
        <v>24</v>
      </c>
      <c r="B2744">
        <v>432000</v>
      </c>
      <c r="G2744" s="25">
        <v>44113</v>
      </c>
      <c r="H2744">
        <v>2020</v>
      </c>
      <c r="I2744" t="s">
        <v>51</v>
      </c>
    </row>
    <row r="2745" spans="1:9" x14ac:dyDescent="0.3">
      <c r="A2745" t="s">
        <v>21</v>
      </c>
      <c r="C2745">
        <v>54000</v>
      </c>
      <c r="G2745" s="25">
        <v>44113</v>
      </c>
      <c r="H2745">
        <v>2020</v>
      </c>
      <c r="I2745" t="s">
        <v>51</v>
      </c>
    </row>
    <row r="2746" spans="1:9" x14ac:dyDescent="0.3">
      <c r="A2746" t="s">
        <v>18</v>
      </c>
      <c r="B2746">
        <v>270000</v>
      </c>
      <c r="G2746" s="25">
        <v>44113</v>
      </c>
      <c r="H2746">
        <v>2020</v>
      </c>
      <c r="I2746" t="s">
        <v>51</v>
      </c>
    </row>
    <row r="2747" spans="1:9" x14ac:dyDescent="0.3">
      <c r="A2747" t="s">
        <v>16</v>
      </c>
      <c r="G2747" s="25">
        <v>44113</v>
      </c>
      <c r="H2747">
        <v>2020</v>
      </c>
      <c r="I2747" t="s">
        <v>51</v>
      </c>
    </row>
    <row r="2748" spans="1:9" x14ac:dyDescent="0.3">
      <c r="A2748" t="s">
        <v>20</v>
      </c>
      <c r="G2748" s="25">
        <v>44116</v>
      </c>
      <c r="H2748">
        <v>2020</v>
      </c>
      <c r="I2748" t="s">
        <v>51</v>
      </c>
    </row>
    <row r="2749" spans="1:9" x14ac:dyDescent="0.3">
      <c r="A2749" t="s">
        <v>37</v>
      </c>
      <c r="G2749" s="25">
        <v>44116</v>
      </c>
      <c r="H2749">
        <v>2020</v>
      </c>
      <c r="I2749" t="s">
        <v>51</v>
      </c>
    </row>
    <row r="2750" spans="1:9" x14ac:dyDescent="0.3">
      <c r="A2750" t="s">
        <v>17</v>
      </c>
      <c r="G2750" s="25">
        <v>44116</v>
      </c>
      <c r="H2750">
        <v>2020</v>
      </c>
      <c r="I2750" t="s">
        <v>51</v>
      </c>
    </row>
    <row r="2751" spans="1:9" x14ac:dyDescent="0.3">
      <c r="A2751" t="s">
        <v>0</v>
      </c>
      <c r="G2751" s="25">
        <v>44116</v>
      </c>
      <c r="H2751">
        <v>2020</v>
      </c>
      <c r="I2751" t="s">
        <v>51</v>
      </c>
    </row>
    <row r="2752" spans="1:9" x14ac:dyDescent="0.3">
      <c r="A2752" t="s">
        <v>25</v>
      </c>
      <c r="G2752" s="25">
        <v>44116</v>
      </c>
      <c r="H2752">
        <v>2020</v>
      </c>
      <c r="I2752" t="s">
        <v>51</v>
      </c>
    </row>
    <row r="2753" spans="1:9" x14ac:dyDescent="0.3">
      <c r="A2753" t="s">
        <v>15</v>
      </c>
      <c r="G2753" s="25">
        <v>44116</v>
      </c>
      <c r="H2753">
        <v>2020</v>
      </c>
      <c r="I2753" t="s">
        <v>51</v>
      </c>
    </row>
    <row r="2754" spans="1:9" x14ac:dyDescent="0.3">
      <c r="A2754" t="s">
        <v>26</v>
      </c>
      <c r="G2754" s="25">
        <v>44116</v>
      </c>
      <c r="H2754">
        <v>2020</v>
      </c>
      <c r="I2754" t="s">
        <v>51</v>
      </c>
    </row>
    <row r="2755" spans="1:9" x14ac:dyDescent="0.3">
      <c r="A2755" t="s">
        <v>22</v>
      </c>
      <c r="G2755" s="25">
        <v>44116</v>
      </c>
      <c r="H2755">
        <v>2020</v>
      </c>
      <c r="I2755" t="s">
        <v>51</v>
      </c>
    </row>
    <row r="2756" spans="1:9" x14ac:dyDescent="0.3">
      <c r="A2756" t="s">
        <v>19</v>
      </c>
      <c r="G2756" s="25">
        <v>44116</v>
      </c>
      <c r="H2756">
        <v>2020</v>
      </c>
      <c r="I2756" t="s">
        <v>51</v>
      </c>
    </row>
    <row r="2757" spans="1:9" x14ac:dyDescent="0.3">
      <c r="A2757" t="s">
        <v>14</v>
      </c>
      <c r="C2757">
        <v>1404000</v>
      </c>
      <c r="E2757">
        <v>374000</v>
      </c>
      <c r="G2757" s="25">
        <v>44116</v>
      </c>
      <c r="H2757">
        <v>2020</v>
      </c>
      <c r="I2757" t="s">
        <v>51</v>
      </c>
    </row>
    <row r="2758" spans="1:9" x14ac:dyDescent="0.3">
      <c r="A2758" t="s">
        <v>24</v>
      </c>
      <c r="G2758" s="25">
        <v>44116</v>
      </c>
      <c r="H2758">
        <v>2020</v>
      </c>
      <c r="I2758" t="s">
        <v>51</v>
      </c>
    </row>
    <row r="2759" spans="1:9" x14ac:dyDescent="0.3">
      <c r="A2759" t="s">
        <v>21</v>
      </c>
      <c r="C2759">
        <v>261500</v>
      </c>
      <c r="G2759" s="25">
        <v>44116</v>
      </c>
      <c r="H2759">
        <v>2020</v>
      </c>
      <c r="I2759" t="s">
        <v>51</v>
      </c>
    </row>
    <row r="2760" spans="1:9" x14ac:dyDescent="0.3">
      <c r="A2760" t="s">
        <v>18</v>
      </c>
      <c r="G2760" s="25">
        <v>44116</v>
      </c>
      <c r="H2760">
        <v>2020</v>
      </c>
      <c r="I2760" t="s">
        <v>51</v>
      </c>
    </row>
    <row r="2761" spans="1:9" x14ac:dyDescent="0.3">
      <c r="A2761" t="s">
        <v>16</v>
      </c>
      <c r="G2761" s="25">
        <v>44116</v>
      </c>
      <c r="H2761">
        <v>2020</v>
      </c>
      <c r="I2761" t="s">
        <v>51</v>
      </c>
    </row>
    <row r="2762" spans="1:9" x14ac:dyDescent="0.3">
      <c r="A2762" t="s">
        <v>20</v>
      </c>
      <c r="G2762" s="25">
        <v>44117</v>
      </c>
      <c r="H2762">
        <v>2020</v>
      </c>
      <c r="I2762" t="s">
        <v>51</v>
      </c>
    </row>
    <row r="2763" spans="1:9" x14ac:dyDescent="0.3">
      <c r="A2763" t="s">
        <v>37</v>
      </c>
      <c r="G2763" s="25">
        <v>44117</v>
      </c>
      <c r="H2763">
        <v>2020</v>
      </c>
      <c r="I2763" t="s">
        <v>51</v>
      </c>
    </row>
    <row r="2764" spans="1:9" x14ac:dyDescent="0.3">
      <c r="A2764" t="s">
        <v>17</v>
      </c>
      <c r="G2764" s="25">
        <v>44117</v>
      </c>
      <c r="H2764">
        <v>2020</v>
      </c>
      <c r="I2764" t="s">
        <v>51</v>
      </c>
    </row>
    <row r="2765" spans="1:9" x14ac:dyDescent="0.3">
      <c r="A2765" t="s">
        <v>0</v>
      </c>
      <c r="G2765" s="25">
        <v>44117</v>
      </c>
      <c r="H2765">
        <v>2020</v>
      </c>
      <c r="I2765" t="s">
        <v>51</v>
      </c>
    </row>
    <row r="2766" spans="1:9" x14ac:dyDescent="0.3">
      <c r="A2766" t="s">
        <v>25</v>
      </c>
      <c r="C2766">
        <v>858000</v>
      </c>
      <c r="E2766">
        <v>810000</v>
      </c>
      <c r="G2766" s="25">
        <v>44117</v>
      </c>
      <c r="H2766">
        <v>2020</v>
      </c>
      <c r="I2766" t="s">
        <v>51</v>
      </c>
    </row>
    <row r="2767" spans="1:9" x14ac:dyDescent="0.3">
      <c r="A2767" t="s">
        <v>15</v>
      </c>
      <c r="G2767" s="25">
        <v>44117</v>
      </c>
      <c r="H2767">
        <v>2020</v>
      </c>
      <c r="I2767" t="s">
        <v>51</v>
      </c>
    </row>
    <row r="2768" spans="1:9" x14ac:dyDescent="0.3">
      <c r="A2768" t="s">
        <v>26</v>
      </c>
      <c r="G2768" s="25">
        <v>44117</v>
      </c>
      <c r="H2768">
        <v>2020</v>
      </c>
      <c r="I2768" t="s">
        <v>51</v>
      </c>
    </row>
    <row r="2769" spans="1:9" x14ac:dyDescent="0.3">
      <c r="A2769" t="s">
        <v>22</v>
      </c>
      <c r="G2769" s="25">
        <v>44117</v>
      </c>
      <c r="H2769">
        <v>2020</v>
      </c>
      <c r="I2769" t="s">
        <v>51</v>
      </c>
    </row>
    <row r="2770" spans="1:9" x14ac:dyDescent="0.3">
      <c r="A2770" t="s">
        <v>19</v>
      </c>
      <c r="B2770">
        <v>54000</v>
      </c>
      <c r="D2770">
        <v>45000</v>
      </c>
      <c r="G2770" s="25">
        <v>44117</v>
      </c>
      <c r="H2770">
        <v>2020</v>
      </c>
      <c r="I2770" t="s">
        <v>51</v>
      </c>
    </row>
    <row r="2771" spans="1:9" x14ac:dyDescent="0.3">
      <c r="A2771" t="s">
        <v>14</v>
      </c>
      <c r="B2771">
        <v>894000</v>
      </c>
      <c r="C2771">
        <v>486000</v>
      </c>
      <c r="D2771">
        <v>243000</v>
      </c>
      <c r="E2771">
        <v>54000</v>
      </c>
      <c r="G2771" s="25">
        <v>44117</v>
      </c>
      <c r="H2771">
        <v>2020</v>
      </c>
      <c r="I2771" t="s">
        <v>51</v>
      </c>
    </row>
    <row r="2772" spans="1:9" x14ac:dyDescent="0.3">
      <c r="A2772" t="s">
        <v>24</v>
      </c>
      <c r="G2772" s="25">
        <v>44117</v>
      </c>
      <c r="H2772">
        <v>2020</v>
      </c>
      <c r="I2772" t="s">
        <v>51</v>
      </c>
    </row>
    <row r="2773" spans="1:9" x14ac:dyDescent="0.3">
      <c r="A2773" t="s">
        <v>21</v>
      </c>
      <c r="C2773">
        <v>49500</v>
      </c>
      <c r="E2773">
        <v>198000</v>
      </c>
      <c r="G2773" s="25">
        <v>44117</v>
      </c>
      <c r="H2773">
        <v>2020</v>
      </c>
      <c r="I2773" t="s">
        <v>51</v>
      </c>
    </row>
    <row r="2774" spans="1:9" x14ac:dyDescent="0.3">
      <c r="A2774" t="s">
        <v>18</v>
      </c>
      <c r="G2774" s="25">
        <v>44117</v>
      </c>
      <c r="H2774">
        <v>2020</v>
      </c>
      <c r="I2774" t="s">
        <v>51</v>
      </c>
    </row>
    <row r="2775" spans="1:9" x14ac:dyDescent="0.3">
      <c r="A2775" t="s">
        <v>16</v>
      </c>
      <c r="B2775">
        <v>49500</v>
      </c>
      <c r="G2775" s="25">
        <v>44117</v>
      </c>
      <c r="H2775">
        <v>2020</v>
      </c>
      <c r="I2775" t="s">
        <v>51</v>
      </c>
    </row>
    <row r="2776" spans="1:9" x14ac:dyDescent="0.3">
      <c r="A2776" t="s">
        <v>20</v>
      </c>
      <c r="G2776" s="25">
        <v>44118</v>
      </c>
      <c r="H2776">
        <v>2020</v>
      </c>
      <c r="I2776" t="s">
        <v>51</v>
      </c>
    </row>
    <row r="2777" spans="1:9" x14ac:dyDescent="0.3">
      <c r="A2777" t="s">
        <v>37</v>
      </c>
      <c r="G2777" s="25">
        <v>44118</v>
      </c>
      <c r="H2777">
        <v>2020</v>
      </c>
      <c r="I2777" t="s">
        <v>51</v>
      </c>
    </row>
    <row r="2778" spans="1:9" x14ac:dyDescent="0.3">
      <c r="A2778" t="s">
        <v>17</v>
      </c>
      <c r="G2778" s="25">
        <v>44118</v>
      </c>
      <c r="H2778">
        <v>2020</v>
      </c>
      <c r="I2778" t="s">
        <v>51</v>
      </c>
    </row>
    <row r="2779" spans="1:9" x14ac:dyDescent="0.3">
      <c r="A2779" t="s">
        <v>0</v>
      </c>
      <c r="G2779" s="25">
        <v>44118</v>
      </c>
      <c r="H2779">
        <v>2020</v>
      </c>
      <c r="I2779" t="s">
        <v>51</v>
      </c>
    </row>
    <row r="2780" spans="1:9" x14ac:dyDescent="0.3">
      <c r="A2780" t="s">
        <v>25</v>
      </c>
      <c r="C2780">
        <v>1373500</v>
      </c>
      <c r="E2780">
        <v>527000</v>
      </c>
      <c r="G2780" s="25">
        <v>44118</v>
      </c>
      <c r="H2780">
        <v>2020</v>
      </c>
      <c r="I2780" t="s">
        <v>51</v>
      </c>
    </row>
    <row r="2781" spans="1:9" x14ac:dyDescent="0.3">
      <c r="A2781" t="s">
        <v>15</v>
      </c>
      <c r="G2781" s="25">
        <v>44118</v>
      </c>
      <c r="H2781">
        <v>2020</v>
      </c>
      <c r="I2781" t="s">
        <v>51</v>
      </c>
    </row>
    <row r="2782" spans="1:9" x14ac:dyDescent="0.3">
      <c r="A2782" t="s">
        <v>26</v>
      </c>
      <c r="G2782" s="25">
        <v>44118</v>
      </c>
      <c r="H2782">
        <v>2020</v>
      </c>
      <c r="I2782" t="s">
        <v>51</v>
      </c>
    </row>
    <row r="2783" spans="1:9" x14ac:dyDescent="0.3">
      <c r="A2783" t="s">
        <v>22</v>
      </c>
      <c r="G2783" s="25">
        <v>44118</v>
      </c>
      <c r="H2783">
        <v>2020</v>
      </c>
      <c r="I2783" t="s">
        <v>51</v>
      </c>
    </row>
    <row r="2784" spans="1:9" x14ac:dyDescent="0.3">
      <c r="A2784" t="s">
        <v>19</v>
      </c>
      <c r="G2784" s="25">
        <v>44118</v>
      </c>
      <c r="H2784">
        <v>2020</v>
      </c>
      <c r="I2784" t="s">
        <v>51</v>
      </c>
    </row>
    <row r="2785" spans="1:9" x14ac:dyDescent="0.3">
      <c r="A2785" t="s">
        <v>14</v>
      </c>
      <c r="B2785">
        <v>1438000</v>
      </c>
      <c r="D2785">
        <v>1072000</v>
      </c>
      <c r="G2785" s="25">
        <v>44118</v>
      </c>
      <c r="H2785">
        <v>2020</v>
      </c>
      <c r="I2785" t="s">
        <v>51</v>
      </c>
    </row>
    <row r="2786" spans="1:9" x14ac:dyDescent="0.3">
      <c r="A2786" t="s">
        <v>24</v>
      </c>
      <c r="G2786" s="25">
        <v>44118</v>
      </c>
      <c r="H2786">
        <v>2020</v>
      </c>
      <c r="I2786" t="s">
        <v>51</v>
      </c>
    </row>
    <row r="2787" spans="1:9" x14ac:dyDescent="0.3">
      <c r="A2787" t="s">
        <v>21</v>
      </c>
      <c r="G2787" s="25">
        <v>44118</v>
      </c>
      <c r="H2787">
        <v>2020</v>
      </c>
      <c r="I2787" t="s">
        <v>51</v>
      </c>
    </row>
    <row r="2788" spans="1:9" x14ac:dyDescent="0.3">
      <c r="A2788" t="s">
        <v>18</v>
      </c>
      <c r="G2788" s="25">
        <v>44118</v>
      </c>
      <c r="H2788">
        <v>2020</v>
      </c>
      <c r="I2788" t="s">
        <v>51</v>
      </c>
    </row>
    <row r="2789" spans="1:9" x14ac:dyDescent="0.3">
      <c r="A2789" t="s">
        <v>16</v>
      </c>
      <c r="G2789" s="25">
        <v>44118</v>
      </c>
      <c r="H2789">
        <v>2020</v>
      </c>
      <c r="I2789" t="s">
        <v>51</v>
      </c>
    </row>
    <row r="2790" spans="1:9" x14ac:dyDescent="0.3">
      <c r="A2790" t="s">
        <v>20</v>
      </c>
      <c r="G2790" s="25">
        <v>44119</v>
      </c>
      <c r="H2790">
        <v>2020</v>
      </c>
      <c r="I2790" t="s">
        <v>51</v>
      </c>
    </row>
    <row r="2791" spans="1:9" x14ac:dyDescent="0.3">
      <c r="A2791" t="s">
        <v>37</v>
      </c>
      <c r="G2791" s="25">
        <v>44119</v>
      </c>
      <c r="H2791">
        <v>2020</v>
      </c>
      <c r="I2791" t="s">
        <v>51</v>
      </c>
    </row>
    <row r="2792" spans="1:9" x14ac:dyDescent="0.3">
      <c r="A2792" t="s">
        <v>17</v>
      </c>
      <c r="G2792" s="25">
        <v>44119</v>
      </c>
      <c r="H2792">
        <v>2020</v>
      </c>
      <c r="I2792" t="s">
        <v>51</v>
      </c>
    </row>
    <row r="2793" spans="1:9" x14ac:dyDescent="0.3">
      <c r="A2793" t="s">
        <v>0</v>
      </c>
      <c r="G2793" s="25">
        <v>44119</v>
      </c>
      <c r="H2793">
        <v>2020</v>
      </c>
      <c r="I2793" t="s">
        <v>51</v>
      </c>
    </row>
    <row r="2794" spans="1:9" x14ac:dyDescent="0.3">
      <c r="A2794" t="s">
        <v>25</v>
      </c>
      <c r="C2794">
        <v>1778000</v>
      </c>
      <c r="E2794">
        <v>45000</v>
      </c>
      <c r="G2794" s="25">
        <v>44119</v>
      </c>
      <c r="H2794">
        <v>2020</v>
      </c>
      <c r="I2794" t="s">
        <v>51</v>
      </c>
    </row>
    <row r="2795" spans="1:9" x14ac:dyDescent="0.3">
      <c r="A2795" t="s">
        <v>15</v>
      </c>
      <c r="G2795" s="25">
        <v>44119</v>
      </c>
      <c r="H2795">
        <v>2020</v>
      </c>
      <c r="I2795" t="s">
        <v>51</v>
      </c>
    </row>
    <row r="2796" spans="1:9" x14ac:dyDescent="0.3">
      <c r="A2796" t="s">
        <v>26</v>
      </c>
      <c r="G2796" s="25">
        <v>44119</v>
      </c>
      <c r="H2796">
        <v>2020</v>
      </c>
      <c r="I2796" t="s">
        <v>51</v>
      </c>
    </row>
    <row r="2797" spans="1:9" x14ac:dyDescent="0.3">
      <c r="A2797" t="s">
        <v>22</v>
      </c>
      <c r="G2797" s="25">
        <v>44119</v>
      </c>
      <c r="H2797">
        <v>2020</v>
      </c>
      <c r="I2797" t="s">
        <v>51</v>
      </c>
    </row>
    <row r="2798" spans="1:9" x14ac:dyDescent="0.3">
      <c r="A2798" t="s">
        <v>19</v>
      </c>
      <c r="G2798" s="25">
        <v>44119</v>
      </c>
      <c r="H2798">
        <v>2020</v>
      </c>
      <c r="I2798" t="s">
        <v>51</v>
      </c>
    </row>
    <row r="2799" spans="1:9" x14ac:dyDescent="0.3">
      <c r="A2799" t="s">
        <v>14</v>
      </c>
      <c r="B2799">
        <v>2156000</v>
      </c>
      <c r="D2799">
        <v>324000</v>
      </c>
      <c r="G2799" s="25">
        <v>44119</v>
      </c>
      <c r="H2799">
        <v>2020</v>
      </c>
      <c r="I2799" t="s">
        <v>51</v>
      </c>
    </row>
    <row r="2800" spans="1:9" x14ac:dyDescent="0.3">
      <c r="A2800" t="s">
        <v>24</v>
      </c>
      <c r="G2800" s="25">
        <v>44119</v>
      </c>
      <c r="H2800">
        <v>2020</v>
      </c>
      <c r="I2800" t="s">
        <v>51</v>
      </c>
    </row>
    <row r="2801" spans="1:9" x14ac:dyDescent="0.3">
      <c r="A2801" t="s">
        <v>21</v>
      </c>
      <c r="G2801" s="25">
        <v>44119</v>
      </c>
      <c r="H2801">
        <v>2020</v>
      </c>
      <c r="I2801" t="s">
        <v>51</v>
      </c>
    </row>
    <row r="2802" spans="1:9" x14ac:dyDescent="0.3">
      <c r="A2802" t="s">
        <v>18</v>
      </c>
      <c r="G2802" s="25">
        <v>44119</v>
      </c>
      <c r="H2802">
        <v>2020</v>
      </c>
      <c r="I2802" t="s">
        <v>51</v>
      </c>
    </row>
    <row r="2803" spans="1:9" x14ac:dyDescent="0.3">
      <c r="A2803" t="s">
        <v>16</v>
      </c>
      <c r="G2803" s="25">
        <v>44119</v>
      </c>
      <c r="H2803">
        <v>2020</v>
      </c>
      <c r="I2803" t="s">
        <v>51</v>
      </c>
    </row>
    <row r="2804" spans="1:9" x14ac:dyDescent="0.3">
      <c r="A2804" t="s">
        <v>20</v>
      </c>
      <c r="G2804" s="25">
        <v>44120</v>
      </c>
      <c r="H2804">
        <v>2020</v>
      </c>
      <c r="I2804" t="s">
        <v>51</v>
      </c>
    </row>
    <row r="2805" spans="1:9" x14ac:dyDescent="0.3">
      <c r="A2805" t="s">
        <v>37</v>
      </c>
      <c r="G2805" s="25">
        <v>44120</v>
      </c>
      <c r="H2805">
        <v>2020</v>
      </c>
      <c r="I2805" t="s">
        <v>51</v>
      </c>
    </row>
    <row r="2806" spans="1:9" x14ac:dyDescent="0.3">
      <c r="A2806" t="s">
        <v>17</v>
      </c>
      <c r="G2806" s="25">
        <v>44120</v>
      </c>
      <c r="H2806">
        <v>2020</v>
      </c>
      <c r="I2806" t="s">
        <v>51</v>
      </c>
    </row>
    <row r="2807" spans="1:9" x14ac:dyDescent="0.3">
      <c r="A2807" t="s">
        <v>0</v>
      </c>
      <c r="G2807" s="25">
        <v>44120</v>
      </c>
      <c r="H2807">
        <v>2020</v>
      </c>
      <c r="I2807" t="s">
        <v>51</v>
      </c>
    </row>
    <row r="2808" spans="1:9" x14ac:dyDescent="0.3">
      <c r="A2808" t="s">
        <v>25</v>
      </c>
      <c r="E2808">
        <v>45000</v>
      </c>
      <c r="G2808" s="25">
        <v>44120</v>
      </c>
      <c r="H2808">
        <v>2020</v>
      </c>
      <c r="I2808" t="s">
        <v>51</v>
      </c>
    </row>
    <row r="2809" spans="1:9" x14ac:dyDescent="0.3">
      <c r="A2809" t="s">
        <v>15</v>
      </c>
      <c r="G2809" s="25">
        <v>44120</v>
      </c>
      <c r="H2809">
        <v>2020</v>
      </c>
      <c r="I2809" t="s">
        <v>51</v>
      </c>
    </row>
    <row r="2810" spans="1:9" x14ac:dyDescent="0.3">
      <c r="A2810" t="s">
        <v>26</v>
      </c>
      <c r="G2810" s="25">
        <v>44120</v>
      </c>
      <c r="H2810">
        <v>2020</v>
      </c>
      <c r="I2810" t="s">
        <v>51</v>
      </c>
    </row>
    <row r="2811" spans="1:9" x14ac:dyDescent="0.3">
      <c r="A2811" t="s">
        <v>22</v>
      </c>
      <c r="G2811" s="25">
        <v>44120</v>
      </c>
      <c r="H2811">
        <v>2020</v>
      </c>
      <c r="I2811" t="s">
        <v>51</v>
      </c>
    </row>
    <row r="2812" spans="1:9" x14ac:dyDescent="0.3">
      <c r="A2812" t="s">
        <v>19</v>
      </c>
      <c r="B2812">
        <v>54000</v>
      </c>
      <c r="G2812" s="25">
        <v>44120</v>
      </c>
      <c r="H2812">
        <v>2020</v>
      </c>
      <c r="I2812" t="s">
        <v>51</v>
      </c>
    </row>
    <row r="2813" spans="1:9" x14ac:dyDescent="0.3">
      <c r="A2813" t="s">
        <v>14</v>
      </c>
      <c r="B2813">
        <v>581000</v>
      </c>
      <c r="D2813">
        <v>49500</v>
      </c>
      <c r="E2813">
        <v>49500</v>
      </c>
      <c r="G2813" s="25">
        <v>44120</v>
      </c>
      <c r="H2813">
        <v>2020</v>
      </c>
      <c r="I2813" t="s">
        <v>51</v>
      </c>
    </row>
    <row r="2814" spans="1:9" x14ac:dyDescent="0.3">
      <c r="A2814" t="s">
        <v>24</v>
      </c>
      <c r="B2814">
        <v>162000</v>
      </c>
      <c r="C2814">
        <v>45000</v>
      </c>
      <c r="G2814" s="25">
        <v>44120</v>
      </c>
      <c r="H2814">
        <v>2020</v>
      </c>
      <c r="I2814" t="s">
        <v>51</v>
      </c>
    </row>
    <row r="2815" spans="1:9" x14ac:dyDescent="0.3">
      <c r="A2815" t="s">
        <v>21</v>
      </c>
      <c r="C2815">
        <v>90000</v>
      </c>
      <c r="E2815">
        <v>99500</v>
      </c>
      <c r="G2815" s="25">
        <v>44120</v>
      </c>
      <c r="H2815">
        <v>2020</v>
      </c>
      <c r="I2815" t="s">
        <v>51</v>
      </c>
    </row>
    <row r="2816" spans="1:9" x14ac:dyDescent="0.3">
      <c r="A2816" t="s">
        <v>18</v>
      </c>
      <c r="G2816" s="25">
        <v>44120</v>
      </c>
      <c r="H2816">
        <v>2020</v>
      </c>
      <c r="I2816" t="s">
        <v>51</v>
      </c>
    </row>
    <row r="2817" spans="1:9" x14ac:dyDescent="0.3">
      <c r="A2817" t="s">
        <v>16</v>
      </c>
      <c r="G2817" s="25">
        <v>44120</v>
      </c>
      <c r="H2817">
        <v>2020</v>
      </c>
      <c r="I2817" t="s">
        <v>51</v>
      </c>
    </row>
    <row r="2818" spans="1:9" x14ac:dyDescent="0.3">
      <c r="A2818" t="s">
        <v>20</v>
      </c>
      <c r="G2818" s="25">
        <v>44123</v>
      </c>
      <c r="H2818">
        <v>2020</v>
      </c>
      <c r="I2818" t="s">
        <v>51</v>
      </c>
    </row>
    <row r="2819" spans="1:9" x14ac:dyDescent="0.3">
      <c r="A2819" t="s">
        <v>37</v>
      </c>
      <c r="G2819" s="25">
        <v>44123</v>
      </c>
      <c r="H2819">
        <v>2020</v>
      </c>
      <c r="I2819" t="s">
        <v>51</v>
      </c>
    </row>
    <row r="2820" spans="1:9" x14ac:dyDescent="0.3">
      <c r="A2820" t="s">
        <v>17</v>
      </c>
      <c r="G2820" s="25">
        <v>44123</v>
      </c>
      <c r="H2820">
        <v>2020</v>
      </c>
      <c r="I2820" t="s">
        <v>51</v>
      </c>
    </row>
    <row r="2821" spans="1:9" x14ac:dyDescent="0.3">
      <c r="A2821" t="s">
        <v>0</v>
      </c>
      <c r="G2821" s="25">
        <v>44123</v>
      </c>
      <c r="H2821">
        <v>2020</v>
      </c>
      <c r="I2821" t="s">
        <v>51</v>
      </c>
    </row>
    <row r="2822" spans="1:9" x14ac:dyDescent="0.3">
      <c r="A2822" t="s">
        <v>25</v>
      </c>
      <c r="G2822" s="25">
        <v>44123</v>
      </c>
      <c r="H2822">
        <v>2020</v>
      </c>
      <c r="I2822" t="s">
        <v>51</v>
      </c>
    </row>
    <row r="2823" spans="1:9" x14ac:dyDescent="0.3">
      <c r="A2823" t="s">
        <v>15</v>
      </c>
      <c r="G2823" s="25">
        <v>44123</v>
      </c>
      <c r="H2823">
        <v>2020</v>
      </c>
      <c r="I2823" t="s">
        <v>51</v>
      </c>
    </row>
    <row r="2824" spans="1:9" x14ac:dyDescent="0.3">
      <c r="A2824" t="s">
        <v>26</v>
      </c>
      <c r="G2824" s="25">
        <v>44123</v>
      </c>
      <c r="H2824">
        <v>2020</v>
      </c>
      <c r="I2824" t="s">
        <v>51</v>
      </c>
    </row>
    <row r="2825" spans="1:9" x14ac:dyDescent="0.3">
      <c r="A2825" t="s">
        <v>22</v>
      </c>
      <c r="G2825" s="25">
        <v>44123</v>
      </c>
      <c r="H2825">
        <v>2020</v>
      </c>
      <c r="I2825" t="s">
        <v>51</v>
      </c>
    </row>
    <row r="2826" spans="1:9" x14ac:dyDescent="0.3">
      <c r="A2826" t="s">
        <v>19</v>
      </c>
      <c r="C2826">
        <v>378000</v>
      </c>
      <c r="E2826">
        <v>324000</v>
      </c>
      <c r="G2826" s="25">
        <v>44123</v>
      </c>
      <c r="H2826">
        <v>2020</v>
      </c>
      <c r="I2826" t="s">
        <v>51</v>
      </c>
    </row>
    <row r="2827" spans="1:9" x14ac:dyDescent="0.3">
      <c r="A2827" t="s">
        <v>14</v>
      </c>
      <c r="G2827" s="25">
        <v>44123</v>
      </c>
      <c r="H2827">
        <v>2020</v>
      </c>
      <c r="I2827" t="s">
        <v>51</v>
      </c>
    </row>
    <row r="2828" spans="1:9" x14ac:dyDescent="0.3">
      <c r="A2828" t="s">
        <v>24</v>
      </c>
      <c r="G2828" s="25">
        <v>44123</v>
      </c>
      <c r="H2828">
        <v>2020</v>
      </c>
      <c r="I2828" t="s">
        <v>51</v>
      </c>
    </row>
    <row r="2829" spans="1:9" x14ac:dyDescent="0.3">
      <c r="A2829" t="s">
        <v>21</v>
      </c>
      <c r="G2829" s="25">
        <v>44123</v>
      </c>
      <c r="H2829">
        <v>2020</v>
      </c>
      <c r="I2829" t="s">
        <v>51</v>
      </c>
    </row>
    <row r="2830" spans="1:9" x14ac:dyDescent="0.3">
      <c r="A2830" t="s">
        <v>18</v>
      </c>
      <c r="G2830" s="25">
        <v>44123</v>
      </c>
      <c r="H2830">
        <v>2020</v>
      </c>
      <c r="I2830" t="s">
        <v>51</v>
      </c>
    </row>
    <row r="2831" spans="1:9" x14ac:dyDescent="0.3">
      <c r="A2831" t="s">
        <v>16</v>
      </c>
      <c r="G2831" s="25">
        <v>44123</v>
      </c>
      <c r="H2831">
        <v>2020</v>
      </c>
      <c r="I2831" t="s">
        <v>51</v>
      </c>
    </row>
    <row r="2832" spans="1:9" x14ac:dyDescent="0.3">
      <c r="A2832" t="s">
        <v>20</v>
      </c>
      <c r="G2832" s="25">
        <v>44124</v>
      </c>
      <c r="H2832">
        <v>2020</v>
      </c>
      <c r="I2832" t="s">
        <v>51</v>
      </c>
    </row>
    <row r="2833" spans="1:9" x14ac:dyDescent="0.3">
      <c r="A2833" t="s">
        <v>37</v>
      </c>
      <c r="G2833" s="25">
        <v>44124</v>
      </c>
      <c r="H2833">
        <v>2020</v>
      </c>
      <c r="I2833" t="s">
        <v>51</v>
      </c>
    </row>
    <row r="2834" spans="1:9" x14ac:dyDescent="0.3">
      <c r="A2834" t="s">
        <v>17</v>
      </c>
      <c r="B2834">
        <v>679000</v>
      </c>
      <c r="C2834">
        <v>54000</v>
      </c>
      <c r="E2834">
        <v>108000</v>
      </c>
      <c r="G2834" s="25">
        <v>44124</v>
      </c>
      <c r="H2834">
        <v>2020</v>
      </c>
      <c r="I2834" t="s">
        <v>51</v>
      </c>
    </row>
    <row r="2835" spans="1:9" x14ac:dyDescent="0.3">
      <c r="A2835" t="s">
        <v>0</v>
      </c>
      <c r="G2835" s="25">
        <v>44124</v>
      </c>
      <c r="H2835">
        <v>2020</v>
      </c>
      <c r="I2835" t="s">
        <v>51</v>
      </c>
    </row>
    <row r="2836" spans="1:9" x14ac:dyDescent="0.3">
      <c r="A2836" t="s">
        <v>25</v>
      </c>
      <c r="G2836" s="25">
        <v>44124</v>
      </c>
      <c r="H2836">
        <v>2020</v>
      </c>
      <c r="I2836" t="s">
        <v>51</v>
      </c>
    </row>
    <row r="2837" spans="1:9" x14ac:dyDescent="0.3">
      <c r="A2837" t="s">
        <v>15</v>
      </c>
      <c r="C2837">
        <v>54000</v>
      </c>
      <c r="E2837">
        <v>216000</v>
      </c>
      <c r="G2837" s="25">
        <v>44124</v>
      </c>
      <c r="H2837">
        <v>2020</v>
      </c>
      <c r="I2837" t="s">
        <v>51</v>
      </c>
    </row>
    <row r="2838" spans="1:9" x14ac:dyDescent="0.3">
      <c r="A2838" t="s">
        <v>26</v>
      </c>
      <c r="C2838">
        <v>216000</v>
      </c>
      <c r="E2838">
        <v>162000</v>
      </c>
      <c r="G2838" s="25">
        <v>44124</v>
      </c>
      <c r="H2838">
        <v>2020</v>
      </c>
      <c r="I2838" t="s">
        <v>51</v>
      </c>
    </row>
    <row r="2839" spans="1:9" x14ac:dyDescent="0.3">
      <c r="A2839" t="s">
        <v>22</v>
      </c>
      <c r="G2839" s="25">
        <v>44124</v>
      </c>
      <c r="H2839">
        <v>2020</v>
      </c>
      <c r="I2839" t="s">
        <v>51</v>
      </c>
    </row>
    <row r="2840" spans="1:9" x14ac:dyDescent="0.3">
      <c r="A2840" t="s">
        <v>19</v>
      </c>
      <c r="C2840">
        <v>684000</v>
      </c>
      <c r="D2840">
        <v>45000</v>
      </c>
      <c r="E2840">
        <v>270000</v>
      </c>
      <c r="G2840" s="25">
        <v>44124</v>
      </c>
      <c r="H2840">
        <v>2020</v>
      </c>
      <c r="I2840" t="s">
        <v>51</v>
      </c>
    </row>
    <row r="2841" spans="1:9" x14ac:dyDescent="0.3">
      <c r="A2841" t="s">
        <v>14</v>
      </c>
      <c r="B2841">
        <v>108000</v>
      </c>
      <c r="G2841" s="25">
        <v>44124</v>
      </c>
      <c r="H2841">
        <v>2020</v>
      </c>
      <c r="I2841" t="s">
        <v>51</v>
      </c>
    </row>
    <row r="2842" spans="1:9" x14ac:dyDescent="0.3">
      <c r="A2842" t="s">
        <v>24</v>
      </c>
      <c r="G2842" s="25">
        <v>44124</v>
      </c>
      <c r="H2842">
        <v>2020</v>
      </c>
      <c r="I2842" t="s">
        <v>51</v>
      </c>
    </row>
    <row r="2843" spans="1:9" x14ac:dyDescent="0.3">
      <c r="A2843" t="s">
        <v>21</v>
      </c>
      <c r="G2843" s="25">
        <v>44124</v>
      </c>
      <c r="H2843">
        <v>2020</v>
      </c>
      <c r="I2843" t="s">
        <v>51</v>
      </c>
    </row>
    <row r="2844" spans="1:9" x14ac:dyDescent="0.3">
      <c r="A2844" t="s">
        <v>18</v>
      </c>
      <c r="C2844">
        <v>270000</v>
      </c>
      <c r="E2844">
        <v>270000</v>
      </c>
      <c r="G2844" s="25">
        <v>44124</v>
      </c>
      <c r="H2844">
        <v>2020</v>
      </c>
      <c r="I2844" t="s">
        <v>51</v>
      </c>
    </row>
    <row r="2845" spans="1:9" x14ac:dyDescent="0.3">
      <c r="A2845" t="s">
        <v>16</v>
      </c>
      <c r="G2845" s="25">
        <v>44124</v>
      </c>
      <c r="H2845">
        <v>2020</v>
      </c>
      <c r="I2845" t="s">
        <v>51</v>
      </c>
    </row>
    <row r="2846" spans="1:9" x14ac:dyDescent="0.3">
      <c r="A2846" t="s">
        <v>20</v>
      </c>
      <c r="G2846" s="25">
        <v>44125</v>
      </c>
      <c r="H2846">
        <v>2020</v>
      </c>
      <c r="I2846" t="s">
        <v>51</v>
      </c>
    </row>
    <row r="2847" spans="1:9" x14ac:dyDescent="0.3">
      <c r="A2847" t="s">
        <v>37</v>
      </c>
      <c r="C2847">
        <v>253000</v>
      </c>
      <c r="G2847" s="25">
        <v>44125</v>
      </c>
      <c r="H2847">
        <v>2020</v>
      </c>
      <c r="I2847" t="s">
        <v>51</v>
      </c>
    </row>
    <row r="2848" spans="1:9" x14ac:dyDescent="0.3">
      <c r="A2848" t="s">
        <v>17</v>
      </c>
      <c r="B2848">
        <v>2633500</v>
      </c>
      <c r="C2848">
        <v>207000</v>
      </c>
      <c r="E2848">
        <v>212000</v>
      </c>
      <c r="G2848" s="25">
        <v>44125</v>
      </c>
      <c r="H2848">
        <v>2020</v>
      </c>
      <c r="I2848" t="s">
        <v>51</v>
      </c>
    </row>
    <row r="2849" spans="1:9" x14ac:dyDescent="0.3">
      <c r="A2849" t="s">
        <v>0</v>
      </c>
      <c r="G2849" s="25">
        <v>44125</v>
      </c>
      <c r="H2849">
        <v>2020</v>
      </c>
      <c r="I2849" t="s">
        <v>51</v>
      </c>
    </row>
    <row r="2850" spans="1:9" x14ac:dyDescent="0.3">
      <c r="A2850" t="s">
        <v>25</v>
      </c>
      <c r="G2850" s="25">
        <v>44125</v>
      </c>
      <c r="H2850">
        <v>2020</v>
      </c>
      <c r="I2850" t="s">
        <v>51</v>
      </c>
    </row>
    <row r="2851" spans="1:9" x14ac:dyDescent="0.3">
      <c r="A2851" t="s">
        <v>15</v>
      </c>
      <c r="C2851">
        <v>216000</v>
      </c>
      <c r="E2851">
        <v>266000</v>
      </c>
      <c r="G2851" s="25">
        <v>44125</v>
      </c>
      <c r="H2851">
        <v>2020</v>
      </c>
      <c r="I2851" t="s">
        <v>51</v>
      </c>
    </row>
    <row r="2852" spans="1:9" x14ac:dyDescent="0.3">
      <c r="A2852" t="s">
        <v>26</v>
      </c>
      <c r="C2852">
        <v>99000</v>
      </c>
      <c r="E2852">
        <v>216000</v>
      </c>
      <c r="G2852" s="25">
        <v>44125</v>
      </c>
      <c r="H2852">
        <v>2020</v>
      </c>
      <c r="I2852" t="s">
        <v>51</v>
      </c>
    </row>
    <row r="2853" spans="1:9" x14ac:dyDescent="0.3">
      <c r="A2853" t="s">
        <v>22</v>
      </c>
      <c r="G2853" s="25">
        <v>44125</v>
      </c>
      <c r="H2853">
        <v>2020</v>
      </c>
      <c r="I2853" t="s">
        <v>51</v>
      </c>
    </row>
    <row r="2854" spans="1:9" x14ac:dyDescent="0.3">
      <c r="A2854" t="s">
        <v>19</v>
      </c>
      <c r="C2854">
        <v>158000</v>
      </c>
      <c r="E2854">
        <v>324000</v>
      </c>
      <c r="G2854" s="25">
        <v>44125</v>
      </c>
      <c r="H2854">
        <v>2020</v>
      </c>
      <c r="I2854" t="s">
        <v>51</v>
      </c>
    </row>
    <row r="2855" spans="1:9" x14ac:dyDescent="0.3">
      <c r="A2855" t="s">
        <v>14</v>
      </c>
      <c r="D2855">
        <v>45000</v>
      </c>
      <c r="G2855" s="25">
        <v>44125</v>
      </c>
      <c r="H2855">
        <v>2020</v>
      </c>
      <c r="I2855" t="s">
        <v>51</v>
      </c>
    </row>
    <row r="2856" spans="1:9" x14ac:dyDescent="0.3">
      <c r="A2856" t="s">
        <v>24</v>
      </c>
      <c r="G2856" s="25">
        <v>44125</v>
      </c>
      <c r="H2856">
        <v>2020</v>
      </c>
      <c r="I2856" t="s">
        <v>51</v>
      </c>
    </row>
    <row r="2857" spans="1:9" x14ac:dyDescent="0.3">
      <c r="A2857" t="s">
        <v>21</v>
      </c>
      <c r="G2857" s="25">
        <v>44125</v>
      </c>
      <c r="H2857">
        <v>2020</v>
      </c>
      <c r="I2857" t="s">
        <v>51</v>
      </c>
    </row>
    <row r="2858" spans="1:9" x14ac:dyDescent="0.3">
      <c r="A2858" t="s">
        <v>18</v>
      </c>
      <c r="C2858">
        <v>162000</v>
      </c>
      <c r="E2858">
        <v>216000</v>
      </c>
      <c r="G2858" s="25">
        <v>44125</v>
      </c>
      <c r="H2858">
        <v>2020</v>
      </c>
      <c r="I2858" t="s">
        <v>51</v>
      </c>
    </row>
    <row r="2859" spans="1:9" x14ac:dyDescent="0.3">
      <c r="A2859" t="s">
        <v>16</v>
      </c>
      <c r="G2859" s="25">
        <v>44125</v>
      </c>
      <c r="H2859">
        <v>2020</v>
      </c>
      <c r="I2859" t="s">
        <v>51</v>
      </c>
    </row>
    <row r="2860" spans="1:9" x14ac:dyDescent="0.3">
      <c r="A2860" t="s">
        <v>20</v>
      </c>
      <c r="G2860" s="25">
        <v>44127</v>
      </c>
      <c r="H2860">
        <v>2020</v>
      </c>
      <c r="I2860" t="s">
        <v>51</v>
      </c>
    </row>
    <row r="2861" spans="1:9" x14ac:dyDescent="0.3">
      <c r="A2861" t="s">
        <v>37</v>
      </c>
      <c r="G2861" s="25">
        <v>44127</v>
      </c>
      <c r="H2861">
        <v>2020</v>
      </c>
      <c r="I2861" t="s">
        <v>51</v>
      </c>
    </row>
    <row r="2862" spans="1:9" x14ac:dyDescent="0.3">
      <c r="A2862" t="s">
        <v>17</v>
      </c>
      <c r="B2862">
        <v>1512000</v>
      </c>
      <c r="E2862">
        <v>162000</v>
      </c>
      <c r="G2862" s="25">
        <v>44127</v>
      </c>
      <c r="H2862">
        <v>2020</v>
      </c>
      <c r="I2862" t="s">
        <v>51</v>
      </c>
    </row>
    <row r="2863" spans="1:9" x14ac:dyDescent="0.3">
      <c r="A2863" t="s">
        <v>0</v>
      </c>
      <c r="G2863" s="25">
        <v>44127</v>
      </c>
      <c r="H2863">
        <v>2020</v>
      </c>
      <c r="I2863" t="s">
        <v>51</v>
      </c>
    </row>
    <row r="2864" spans="1:9" x14ac:dyDescent="0.3">
      <c r="A2864" t="s">
        <v>25</v>
      </c>
      <c r="E2864">
        <v>216000</v>
      </c>
      <c r="G2864" s="25">
        <v>44127</v>
      </c>
      <c r="H2864">
        <v>2020</v>
      </c>
      <c r="I2864" t="s">
        <v>51</v>
      </c>
    </row>
    <row r="2865" spans="1:9" x14ac:dyDescent="0.3">
      <c r="A2865" t="s">
        <v>15</v>
      </c>
      <c r="C2865">
        <v>104000</v>
      </c>
      <c r="E2865">
        <v>216000</v>
      </c>
      <c r="G2865" s="25">
        <v>44127</v>
      </c>
      <c r="H2865">
        <v>2020</v>
      </c>
      <c r="I2865" t="s">
        <v>51</v>
      </c>
    </row>
    <row r="2866" spans="1:9" x14ac:dyDescent="0.3">
      <c r="A2866" t="s">
        <v>26</v>
      </c>
      <c r="C2866">
        <v>216000</v>
      </c>
      <c r="E2866">
        <v>216000</v>
      </c>
      <c r="G2866" s="25">
        <v>44127</v>
      </c>
      <c r="H2866">
        <v>2020</v>
      </c>
      <c r="I2866" t="s">
        <v>51</v>
      </c>
    </row>
    <row r="2867" spans="1:9" x14ac:dyDescent="0.3">
      <c r="A2867" t="s">
        <v>22</v>
      </c>
      <c r="G2867" s="25">
        <v>44127</v>
      </c>
      <c r="H2867">
        <v>2020</v>
      </c>
      <c r="I2867" t="s">
        <v>51</v>
      </c>
    </row>
    <row r="2868" spans="1:9" x14ac:dyDescent="0.3">
      <c r="A2868" t="s">
        <v>19</v>
      </c>
      <c r="C2868">
        <v>162000</v>
      </c>
      <c r="E2868">
        <v>162000</v>
      </c>
      <c r="G2868" s="25">
        <v>44127</v>
      </c>
      <c r="H2868">
        <v>2020</v>
      </c>
      <c r="I2868" t="s">
        <v>51</v>
      </c>
    </row>
    <row r="2869" spans="1:9" x14ac:dyDescent="0.3">
      <c r="A2869" t="s">
        <v>14</v>
      </c>
      <c r="G2869" s="25">
        <v>44127</v>
      </c>
      <c r="H2869">
        <v>2020</v>
      </c>
      <c r="I2869" t="s">
        <v>51</v>
      </c>
    </row>
    <row r="2870" spans="1:9" x14ac:dyDescent="0.3">
      <c r="A2870" t="s">
        <v>24</v>
      </c>
      <c r="G2870" s="25">
        <v>44127</v>
      </c>
      <c r="H2870">
        <v>2020</v>
      </c>
      <c r="I2870" t="s">
        <v>51</v>
      </c>
    </row>
    <row r="2871" spans="1:9" x14ac:dyDescent="0.3">
      <c r="A2871" t="s">
        <v>21</v>
      </c>
      <c r="G2871" s="25">
        <v>44127</v>
      </c>
      <c r="H2871">
        <v>2020</v>
      </c>
      <c r="I2871" t="s">
        <v>51</v>
      </c>
    </row>
    <row r="2872" spans="1:9" x14ac:dyDescent="0.3">
      <c r="A2872" t="s">
        <v>18</v>
      </c>
      <c r="C2872">
        <v>54000</v>
      </c>
      <c r="E2872">
        <v>108000</v>
      </c>
      <c r="G2872" s="25">
        <v>44127</v>
      </c>
      <c r="H2872">
        <v>2020</v>
      </c>
      <c r="I2872" t="s">
        <v>51</v>
      </c>
    </row>
    <row r="2873" spans="1:9" x14ac:dyDescent="0.3">
      <c r="A2873" t="s">
        <v>16</v>
      </c>
      <c r="G2873" s="25">
        <v>44127</v>
      </c>
      <c r="H2873">
        <v>2020</v>
      </c>
      <c r="I2873" t="s">
        <v>51</v>
      </c>
    </row>
    <row r="2874" spans="1:9" x14ac:dyDescent="0.3">
      <c r="A2874" t="s">
        <v>20</v>
      </c>
      <c r="G2874" s="25">
        <v>44130</v>
      </c>
      <c r="H2874">
        <v>2020</v>
      </c>
      <c r="I2874" t="s">
        <v>51</v>
      </c>
    </row>
    <row r="2875" spans="1:9" x14ac:dyDescent="0.3">
      <c r="A2875" t="s">
        <v>37</v>
      </c>
      <c r="G2875" s="25">
        <v>44130</v>
      </c>
      <c r="H2875">
        <v>2020</v>
      </c>
      <c r="I2875" t="s">
        <v>51</v>
      </c>
    </row>
    <row r="2876" spans="1:9" x14ac:dyDescent="0.3">
      <c r="A2876" t="s">
        <v>17</v>
      </c>
      <c r="B2876">
        <v>162000</v>
      </c>
      <c r="C2876">
        <v>108000</v>
      </c>
      <c r="E2876">
        <v>108000</v>
      </c>
      <c r="G2876" s="25">
        <v>44130</v>
      </c>
      <c r="H2876">
        <v>2020</v>
      </c>
      <c r="I2876" t="s">
        <v>51</v>
      </c>
    </row>
    <row r="2877" spans="1:9" x14ac:dyDescent="0.3">
      <c r="A2877" t="s">
        <v>0</v>
      </c>
      <c r="G2877" s="25">
        <v>44130</v>
      </c>
      <c r="H2877">
        <v>2020</v>
      </c>
      <c r="I2877" t="s">
        <v>51</v>
      </c>
    </row>
    <row r="2878" spans="1:9" x14ac:dyDescent="0.3">
      <c r="A2878" t="s">
        <v>25</v>
      </c>
      <c r="E2878">
        <v>324000</v>
      </c>
      <c r="G2878" s="25">
        <v>44130</v>
      </c>
      <c r="H2878">
        <v>2020</v>
      </c>
      <c r="I2878" t="s">
        <v>51</v>
      </c>
    </row>
    <row r="2879" spans="1:9" x14ac:dyDescent="0.3">
      <c r="A2879" t="s">
        <v>15</v>
      </c>
      <c r="C2879">
        <v>216000</v>
      </c>
      <c r="E2879">
        <v>216000</v>
      </c>
      <c r="G2879" s="25">
        <v>44130</v>
      </c>
      <c r="H2879">
        <v>2020</v>
      </c>
      <c r="I2879" t="s">
        <v>51</v>
      </c>
    </row>
    <row r="2880" spans="1:9" x14ac:dyDescent="0.3">
      <c r="A2880" t="s">
        <v>26</v>
      </c>
      <c r="C2880">
        <v>162000</v>
      </c>
      <c r="E2880">
        <v>212000</v>
      </c>
      <c r="G2880" s="25">
        <v>44130</v>
      </c>
      <c r="H2880">
        <v>2020</v>
      </c>
      <c r="I2880" t="s">
        <v>51</v>
      </c>
    </row>
    <row r="2881" spans="1:9" x14ac:dyDescent="0.3">
      <c r="A2881" t="s">
        <v>22</v>
      </c>
      <c r="G2881" s="25">
        <v>44130</v>
      </c>
      <c r="H2881">
        <v>2020</v>
      </c>
      <c r="I2881" t="s">
        <v>51</v>
      </c>
    </row>
    <row r="2882" spans="1:9" x14ac:dyDescent="0.3">
      <c r="A2882" t="s">
        <v>19</v>
      </c>
      <c r="C2882">
        <v>108000</v>
      </c>
      <c r="E2882">
        <v>108000</v>
      </c>
      <c r="G2882" s="25">
        <v>44130</v>
      </c>
      <c r="H2882">
        <v>2020</v>
      </c>
      <c r="I2882" t="s">
        <v>51</v>
      </c>
    </row>
    <row r="2883" spans="1:9" x14ac:dyDescent="0.3">
      <c r="A2883" t="s">
        <v>14</v>
      </c>
      <c r="G2883" s="25">
        <v>44130</v>
      </c>
      <c r="H2883">
        <v>2020</v>
      </c>
      <c r="I2883" t="s">
        <v>51</v>
      </c>
    </row>
    <row r="2884" spans="1:9" x14ac:dyDescent="0.3">
      <c r="A2884" t="s">
        <v>24</v>
      </c>
      <c r="B2884">
        <v>365000</v>
      </c>
      <c r="G2884" s="25">
        <v>44130</v>
      </c>
      <c r="H2884">
        <v>2020</v>
      </c>
      <c r="I2884" t="s">
        <v>51</v>
      </c>
    </row>
    <row r="2885" spans="1:9" x14ac:dyDescent="0.3">
      <c r="A2885" t="s">
        <v>21</v>
      </c>
      <c r="G2885" s="25">
        <v>44130</v>
      </c>
      <c r="H2885">
        <v>2020</v>
      </c>
      <c r="I2885" t="s">
        <v>51</v>
      </c>
    </row>
    <row r="2886" spans="1:9" x14ac:dyDescent="0.3">
      <c r="A2886" t="s">
        <v>18</v>
      </c>
      <c r="C2886">
        <v>270000</v>
      </c>
      <c r="E2886">
        <v>54000</v>
      </c>
      <c r="G2886" s="25">
        <v>44130</v>
      </c>
      <c r="H2886">
        <v>2020</v>
      </c>
      <c r="I2886" t="s">
        <v>51</v>
      </c>
    </row>
    <row r="2887" spans="1:9" x14ac:dyDescent="0.3">
      <c r="A2887" t="s">
        <v>16</v>
      </c>
      <c r="G2887" s="25">
        <v>44130</v>
      </c>
      <c r="H2887">
        <v>2020</v>
      </c>
      <c r="I2887" t="s">
        <v>51</v>
      </c>
    </row>
    <row r="2888" spans="1:9" x14ac:dyDescent="0.3">
      <c r="A2888" t="s">
        <v>20</v>
      </c>
      <c r="G2888" s="25">
        <v>44131</v>
      </c>
      <c r="H2888">
        <v>2020</v>
      </c>
      <c r="I2888" t="s">
        <v>51</v>
      </c>
    </row>
    <row r="2889" spans="1:9" x14ac:dyDescent="0.3">
      <c r="A2889" t="s">
        <v>37</v>
      </c>
      <c r="C2889">
        <v>45000</v>
      </c>
      <c r="G2889" s="25">
        <v>44131</v>
      </c>
      <c r="H2889">
        <v>2020</v>
      </c>
      <c r="I2889" t="s">
        <v>51</v>
      </c>
    </row>
    <row r="2890" spans="1:9" x14ac:dyDescent="0.3">
      <c r="A2890" t="s">
        <v>17</v>
      </c>
      <c r="C2890">
        <v>319500</v>
      </c>
      <c r="E2890">
        <v>104000</v>
      </c>
      <c r="G2890" s="25">
        <v>44131</v>
      </c>
      <c r="H2890">
        <v>2020</v>
      </c>
      <c r="I2890" t="s">
        <v>51</v>
      </c>
    </row>
    <row r="2891" spans="1:9" x14ac:dyDescent="0.3">
      <c r="A2891" t="s">
        <v>0</v>
      </c>
      <c r="G2891" s="25">
        <v>44131</v>
      </c>
      <c r="H2891">
        <v>2020</v>
      </c>
      <c r="I2891" t="s">
        <v>51</v>
      </c>
    </row>
    <row r="2892" spans="1:9" x14ac:dyDescent="0.3">
      <c r="A2892" t="s">
        <v>25</v>
      </c>
      <c r="E2892">
        <v>108000</v>
      </c>
      <c r="G2892" s="25">
        <v>44131</v>
      </c>
      <c r="H2892">
        <v>2020</v>
      </c>
      <c r="I2892" t="s">
        <v>51</v>
      </c>
    </row>
    <row r="2893" spans="1:9" x14ac:dyDescent="0.3">
      <c r="A2893" t="s">
        <v>15</v>
      </c>
      <c r="C2893">
        <v>216000</v>
      </c>
      <c r="E2893">
        <v>108000</v>
      </c>
      <c r="G2893" s="25">
        <v>44131</v>
      </c>
      <c r="H2893">
        <v>2020</v>
      </c>
      <c r="I2893" t="s">
        <v>51</v>
      </c>
    </row>
    <row r="2894" spans="1:9" x14ac:dyDescent="0.3">
      <c r="A2894" t="s">
        <v>26</v>
      </c>
      <c r="C2894">
        <v>211500</v>
      </c>
      <c r="E2894">
        <v>108000</v>
      </c>
      <c r="G2894" s="25">
        <v>44131</v>
      </c>
      <c r="H2894">
        <v>2020</v>
      </c>
      <c r="I2894" t="s">
        <v>51</v>
      </c>
    </row>
    <row r="2895" spans="1:9" x14ac:dyDescent="0.3">
      <c r="A2895" t="s">
        <v>22</v>
      </c>
      <c r="G2895" s="25">
        <v>44131</v>
      </c>
      <c r="H2895">
        <v>2020</v>
      </c>
      <c r="I2895" t="s">
        <v>51</v>
      </c>
    </row>
    <row r="2896" spans="1:9" x14ac:dyDescent="0.3">
      <c r="A2896" t="s">
        <v>19</v>
      </c>
      <c r="C2896">
        <v>270000</v>
      </c>
      <c r="E2896">
        <v>108000</v>
      </c>
      <c r="G2896" s="25">
        <v>44131</v>
      </c>
      <c r="H2896">
        <v>2020</v>
      </c>
      <c r="I2896" t="s">
        <v>51</v>
      </c>
    </row>
    <row r="2897" spans="1:9" x14ac:dyDescent="0.3">
      <c r="A2897" t="s">
        <v>14</v>
      </c>
      <c r="G2897" s="25">
        <v>44131</v>
      </c>
      <c r="H2897">
        <v>2020</v>
      </c>
      <c r="I2897" t="s">
        <v>51</v>
      </c>
    </row>
    <row r="2898" spans="1:9" x14ac:dyDescent="0.3">
      <c r="A2898" t="s">
        <v>24</v>
      </c>
      <c r="G2898" s="25">
        <v>44131</v>
      </c>
      <c r="H2898">
        <v>2020</v>
      </c>
      <c r="I2898" t="s">
        <v>51</v>
      </c>
    </row>
    <row r="2899" spans="1:9" x14ac:dyDescent="0.3">
      <c r="A2899" t="s">
        <v>21</v>
      </c>
      <c r="G2899" s="25">
        <v>44131</v>
      </c>
      <c r="H2899">
        <v>2020</v>
      </c>
      <c r="I2899" t="s">
        <v>51</v>
      </c>
    </row>
    <row r="2900" spans="1:9" x14ac:dyDescent="0.3">
      <c r="A2900" t="s">
        <v>18</v>
      </c>
      <c r="C2900">
        <v>108000</v>
      </c>
      <c r="E2900">
        <v>216000</v>
      </c>
      <c r="G2900" s="25">
        <v>44131</v>
      </c>
      <c r="H2900">
        <v>2020</v>
      </c>
      <c r="I2900" t="s">
        <v>51</v>
      </c>
    </row>
    <row r="2901" spans="1:9" x14ac:dyDescent="0.3">
      <c r="A2901" t="s">
        <v>16</v>
      </c>
      <c r="G2901" s="25">
        <v>44131</v>
      </c>
      <c r="H2901">
        <v>2020</v>
      </c>
      <c r="I2901" t="s">
        <v>51</v>
      </c>
    </row>
    <row r="2902" spans="1:9" x14ac:dyDescent="0.3">
      <c r="A2902" t="s">
        <v>20</v>
      </c>
      <c r="G2902" s="25">
        <v>44132</v>
      </c>
      <c r="H2902">
        <v>2020</v>
      </c>
      <c r="I2902" t="s">
        <v>51</v>
      </c>
    </row>
    <row r="2903" spans="1:9" x14ac:dyDescent="0.3">
      <c r="A2903" t="s">
        <v>37</v>
      </c>
      <c r="C2903">
        <v>162000</v>
      </c>
      <c r="G2903" s="25">
        <v>44132</v>
      </c>
      <c r="H2903">
        <v>2020</v>
      </c>
      <c r="I2903" t="s">
        <v>51</v>
      </c>
    </row>
    <row r="2904" spans="1:9" x14ac:dyDescent="0.3">
      <c r="A2904" t="s">
        <v>17</v>
      </c>
      <c r="C2904">
        <v>108000</v>
      </c>
      <c r="E2904">
        <v>216000</v>
      </c>
      <c r="G2904" s="25">
        <v>44132</v>
      </c>
      <c r="H2904">
        <v>2020</v>
      </c>
      <c r="I2904" t="s">
        <v>51</v>
      </c>
    </row>
    <row r="2905" spans="1:9" x14ac:dyDescent="0.3">
      <c r="A2905" t="s">
        <v>0</v>
      </c>
      <c r="G2905" s="25">
        <v>44132</v>
      </c>
      <c r="H2905">
        <v>2020</v>
      </c>
      <c r="I2905" t="s">
        <v>51</v>
      </c>
    </row>
    <row r="2906" spans="1:9" x14ac:dyDescent="0.3">
      <c r="A2906" t="s">
        <v>25</v>
      </c>
      <c r="E2906">
        <v>270000</v>
      </c>
      <c r="G2906" s="25">
        <v>44132</v>
      </c>
      <c r="H2906">
        <v>2020</v>
      </c>
      <c r="I2906" t="s">
        <v>51</v>
      </c>
    </row>
    <row r="2907" spans="1:9" x14ac:dyDescent="0.3">
      <c r="A2907" t="s">
        <v>15</v>
      </c>
      <c r="C2907">
        <v>104000</v>
      </c>
      <c r="E2907">
        <v>216000</v>
      </c>
      <c r="G2907" s="25">
        <v>44132</v>
      </c>
      <c r="H2907">
        <v>2020</v>
      </c>
      <c r="I2907" t="s">
        <v>51</v>
      </c>
    </row>
    <row r="2908" spans="1:9" x14ac:dyDescent="0.3">
      <c r="A2908" t="s">
        <v>26</v>
      </c>
      <c r="C2908">
        <v>99000</v>
      </c>
      <c r="E2908">
        <v>216000</v>
      </c>
      <c r="G2908" s="25">
        <v>44132</v>
      </c>
      <c r="H2908">
        <v>2020</v>
      </c>
      <c r="I2908" t="s">
        <v>51</v>
      </c>
    </row>
    <row r="2909" spans="1:9" x14ac:dyDescent="0.3">
      <c r="A2909" t="s">
        <v>22</v>
      </c>
      <c r="G2909" s="25">
        <v>44132</v>
      </c>
      <c r="H2909">
        <v>2020</v>
      </c>
      <c r="I2909" t="s">
        <v>51</v>
      </c>
    </row>
    <row r="2910" spans="1:9" x14ac:dyDescent="0.3">
      <c r="A2910" t="s">
        <v>19</v>
      </c>
      <c r="C2910">
        <v>216000</v>
      </c>
      <c r="E2910">
        <v>270000</v>
      </c>
      <c r="G2910" s="25">
        <v>44132</v>
      </c>
      <c r="H2910">
        <v>2020</v>
      </c>
      <c r="I2910" t="s">
        <v>51</v>
      </c>
    </row>
    <row r="2911" spans="1:9" x14ac:dyDescent="0.3">
      <c r="A2911" t="s">
        <v>14</v>
      </c>
      <c r="C2911">
        <v>378000</v>
      </c>
      <c r="E2911">
        <v>162000</v>
      </c>
      <c r="G2911" s="25">
        <v>44132</v>
      </c>
      <c r="H2911">
        <v>2020</v>
      </c>
      <c r="I2911" t="s">
        <v>51</v>
      </c>
    </row>
    <row r="2912" spans="1:9" x14ac:dyDescent="0.3">
      <c r="A2912" t="s">
        <v>24</v>
      </c>
      <c r="G2912" s="25">
        <v>44132</v>
      </c>
      <c r="H2912">
        <v>2020</v>
      </c>
      <c r="I2912" t="s">
        <v>51</v>
      </c>
    </row>
    <row r="2913" spans="1:9" x14ac:dyDescent="0.3">
      <c r="A2913" t="s">
        <v>21</v>
      </c>
      <c r="G2913" s="25">
        <v>44132</v>
      </c>
      <c r="H2913">
        <v>2020</v>
      </c>
      <c r="I2913" t="s">
        <v>51</v>
      </c>
    </row>
    <row r="2914" spans="1:9" x14ac:dyDescent="0.3">
      <c r="A2914" t="s">
        <v>18</v>
      </c>
      <c r="C2914">
        <v>108000</v>
      </c>
      <c r="G2914" s="25">
        <v>44132</v>
      </c>
      <c r="H2914">
        <v>2020</v>
      </c>
      <c r="I2914" t="s">
        <v>51</v>
      </c>
    </row>
    <row r="2915" spans="1:9" x14ac:dyDescent="0.3">
      <c r="A2915" t="s">
        <v>16</v>
      </c>
      <c r="G2915" s="25">
        <v>44132</v>
      </c>
      <c r="H2915">
        <v>2020</v>
      </c>
      <c r="I2915" t="s">
        <v>51</v>
      </c>
    </row>
    <row r="2916" spans="1:9" x14ac:dyDescent="0.3">
      <c r="A2916" t="s">
        <v>20</v>
      </c>
      <c r="G2916" s="25">
        <v>44133</v>
      </c>
      <c r="H2916">
        <v>2020</v>
      </c>
      <c r="I2916" t="s">
        <v>51</v>
      </c>
    </row>
    <row r="2917" spans="1:9" x14ac:dyDescent="0.3">
      <c r="A2917" t="s">
        <v>37</v>
      </c>
      <c r="G2917" s="25">
        <v>44133</v>
      </c>
      <c r="H2917">
        <v>2020</v>
      </c>
      <c r="I2917" t="s">
        <v>51</v>
      </c>
    </row>
    <row r="2918" spans="1:9" x14ac:dyDescent="0.3">
      <c r="A2918" t="s">
        <v>17</v>
      </c>
      <c r="C2918">
        <v>153000</v>
      </c>
      <c r="G2918" s="25">
        <v>44133</v>
      </c>
      <c r="H2918">
        <v>2020</v>
      </c>
      <c r="I2918" t="s">
        <v>51</v>
      </c>
    </row>
    <row r="2919" spans="1:9" x14ac:dyDescent="0.3">
      <c r="A2919" t="s">
        <v>0</v>
      </c>
      <c r="B2919">
        <v>864000</v>
      </c>
      <c r="D2919">
        <v>1242000</v>
      </c>
      <c r="F2919">
        <v>536000</v>
      </c>
      <c r="G2919" s="25">
        <v>44133</v>
      </c>
      <c r="H2919">
        <v>2020</v>
      </c>
      <c r="I2919" t="s">
        <v>51</v>
      </c>
    </row>
    <row r="2920" spans="1:9" x14ac:dyDescent="0.3">
      <c r="A2920" t="s">
        <v>25</v>
      </c>
      <c r="E2920">
        <v>216000</v>
      </c>
      <c r="G2920" s="25">
        <v>44133</v>
      </c>
      <c r="H2920">
        <v>2020</v>
      </c>
      <c r="I2920" t="s">
        <v>51</v>
      </c>
    </row>
    <row r="2921" spans="1:9" x14ac:dyDescent="0.3">
      <c r="A2921" t="s">
        <v>15</v>
      </c>
      <c r="C2921">
        <v>216000</v>
      </c>
      <c r="E2921">
        <v>162000</v>
      </c>
      <c r="G2921" s="25">
        <v>44133</v>
      </c>
      <c r="H2921">
        <v>2020</v>
      </c>
      <c r="I2921" t="s">
        <v>51</v>
      </c>
    </row>
    <row r="2922" spans="1:9" x14ac:dyDescent="0.3">
      <c r="A2922" t="s">
        <v>26</v>
      </c>
      <c r="C2922">
        <v>324000</v>
      </c>
      <c r="E2922">
        <v>162000</v>
      </c>
      <c r="G2922" s="25">
        <v>44133</v>
      </c>
      <c r="H2922">
        <v>2020</v>
      </c>
      <c r="I2922" t="s">
        <v>51</v>
      </c>
    </row>
    <row r="2923" spans="1:9" x14ac:dyDescent="0.3">
      <c r="A2923" t="s">
        <v>22</v>
      </c>
      <c r="G2923" s="25">
        <v>44133</v>
      </c>
      <c r="H2923">
        <v>2020</v>
      </c>
      <c r="I2923" t="s">
        <v>51</v>
      </c>
    </row>
    <row r="2924" spans="1:9" x14ac:dyDescent="0.3">
      <c r="A2924" t="s">
        <v>19</v>
      </c>
      <c r="E2924">
        <v>216000</v>
      </c>
      <c r="G2924" s="25">
        <v>44133</v>
      </c>
      <c r="H2924">
        <v>2020</v>
      </c>
      <c r="I2924" t="s">
        <v>51</v>
      </c>
    </row>
    <row r="2925" spans="1:9" x14ac:dyDescent="0.3">
      <c r="A2925" t="s">
        <v>14</v>
      </c>
      <c r="C2925">
        <v>216000</v>
      </c>
      <c r="E2925">
        <v>45000</v>
      </c>
      <c r="G2925" s="25">
        <v>44133</v>
      </c>
      <c r="H2925">
        <v>2020</v>
      </c>
      <c r="I2925" t="s">
        <v>51</v>
      </c>
    </row>
    <row r="2926" spans="1:9" x14ac:dyDescent="0.3">
      <c r="A2926" t="s">
        <v>24</v>
      </c>
      <c r="G2926" s="25">
        <v>44133</v>
      </c>
      <c r="H2926">
        <v>2020</v>
      </c>
      <c r="I2926" t="s">
        <v>51</v>
      </c>
    </row>
    <row r="2927" spans="1:9" x14ac:dyDescent="0.3">
      <c r="A2927" t="s">
        <v>21</v>
      </c>
      <c r="G2927" s="25">
        <v>44133</v>
      </c>
      <c r="H2927">
        <v>2020</v>
      </c>
      <c r="I2927" t="s">
        <v>51</v>
      </c>
    </row>
    <row r="2928" spans="1:9" x14ac:dyDescent="0.3">
      <c r="A2928" t="s">
        <v>18</v>
      </c>
      <c r="C2928">
        <v>108000</v>
      </c>
      <c r="G2928" s="25">
        <v>44133</v>
      </c>
      <c r="H2928">
        <v>2020</v>
      </c>
      <c r="I2928" t="s">
        <v>51</v>
      </c>
    </row>
    <row r="2929" spans="1:9" x14ac:dyDescent="0.3">
      <c r="A2929" t="s">
        <v>16</v>
      </c>
      <c r="G2929" s="25">
        <v>44133</v>
      </c>
      <c r="H2929">
        <v>2020</v>
      </c>
      <c r="I2929" t="s">
        <v>51</v>
      </c>
    </row>
    <row r="2930" spans="1:9" x14ac:dyDescent="0.3">
      <c r="A2930" t="s">
        <v>20</v>
      </c>
      <c r="G2930" s="25">
        <v>44134</v>
      </c>
      <c r="H2930">
        <v>2020</v>
      </c>
      <c r="I2930" t="s">
        <v>51</v>
      </c>
    </row>
    <row r="2931" spans="1:9" x14ac:dyDescent="0.3">
      <c r="A2931" t="s">
        <v>37</v>
      </c>
      <c r="G2931" s="25">
        <v>44134</v>
      </c>
      <c r="H2931">
        <v>2020</v>
      </c>
      <c r="I2931" t="s">
        <v>51</v>
      </c>
    </row>
    <row r="2932" spans="1:9" x14ac:dyDescent="0.3">
      <c r="A2932" t="s">
        <v>17</v>
      </c>
      <c r="C2932">
        <v>297000</v>
      </c>
      <c r="G2932" s="25">
        <v>44134</v>
      </c>
      <c r="H2932">
        <v>2020</v>
      </c>
      <c r="I2932" t="s">
        <v>51</v>
      </c>
    </row>
    <row r="2933" spans="1:9" x14ac:dyDescent="0.3">
      <c r="A2933" t="s">
        <v>0</v>
      </c>
      <c r="B2933">
        <v>900000</v>
      </c>
      <c r="D2933">
        <v>689000</v>
      </c>
      <c r="F2933">
        <v>522000</v>
      </c>
      <c r="G2933" s="25">
        <v>44134</v>
      </c>
      <c r="H2933">
        <v>2020</v>
      </c>
      <c r="I2933" t="s">
        <v>51</v>
      </c>
    </row>
    <row r="2934" spans="1:9" x14ac:dyDescent="0.3">
      <c r="A2934" t="s">
        <v>25</v>
      </c>
      <c r="E2934">
        <v>373500</v>
      </c>
      <c r="G2934" s="25">
        <v>44134</v>
      </c>
      <c r="H2934">
        <v>2020</v>
      </c>
      <c r="I2934" t="s">
        <v>51</v>
      </c>
    </row>
    <row r="2935" spans="1:9" x14ac:dyDescent="0.3">
      <c r="A2935" t="s">
        <v>15</v>
      </c>
      <c r="C2935">
        <v>252000</v>
      </c>
      <c r="E2935">
        <v>324000</v>
      </c>
      <c r="G2935" s="25">
        <v>44134</v>
      </c>
      <c r="H2935">
        <v>2020</v>
      </c>
      <c r="I2935" t="s">
        <v>51</v>
      </c>
    </row>
    <row r="2936" spans="1:9" x14ac:dyDescent="0.3">
      <c r="A2936" t="s">
        <v>26</v>
      </c>
      <c r="C2936">
        <v>270000</v>
      </c>
      <c r="E2936">
        <v>162000</v>
      </c>
      <c r="G2936" s="25">
        <v>44134</v>
      </c>
      <c r="H2936">
        <v>2020</v>
      </c>
      <c r="I2936" t="s">
        <v>51</v>
      </c>
    </row>
    <row r="2937" spans="1:9" x14ac:dyDescent="0.3">
      <c r="A2937" t="s">
        <v>22</v>
      </c>
      <c r="G2937" s="25">
        <v>44134</v>
      </c>
      <c r="H2937">
        <v>2020</v>
      </c>
      <c r="I2937" t="s">
        <v>51</v>
      </c>
    </row>
    <row r="2938" spans="1:9" x14ac:dyDescent="0.3">
      <c r="A2938" t="s">
        <v>19</v>
      </c>
      <c r="B2938">
        <v>324000</v>
      </c>
      <c r="D2938">
        <v>404000</v>
      </c>
      <c r="G2938" s="25">
        <v>44134</v>
      </c>
      <c r="H2938">
        <v>2020</v>
      </c>
      <c r="I2938" t="s">
        <v>51</v>
      </c>
    </row>
    <row r="2939" spans="1:9" x14ac:dyDescent="0.3">
      <c r="A2939" t="s">
        <v>14</v>
      </c>
      <c r="C2939">
        <v>104000</v>
      </c>
      <c r="E2939">
        <v>45000</v>
      </c>
      <c r="G2939" s="25">
        <v>44134</v>
      </c>
      <c r="H2939">
        <v>2020</v>
      </c>
      <c r="I2939" t="s">
        <v>51</v>
      </c>
    </row>
    <row r="2940" spans="1:9" x14ac:dyDescent="0.3">
      <c r="A2940" t="s">
        <v>24</v>
      </c>
      <c r="G2940" s="25">
        <v>44134</v>
      </c>
      <c r="H2940">
        <v>2020</v>
      </c>
      <c r="I2940" t="s">
        <v>51</v>
      </c>
    </row>
    <row r="2941" spans="1:9" x14ac:dyDescent="0.3">
      <c r="A2941" t="s">
        <v>21</v>
      </c>
      <c r="G2941" s="25">
        <v>44134</v>
      </c>
      <c r="H2941">
        <v>2020</v>
      </c>
      <c r="I2941" t="s">
        <v>51</v>
      </c>
    </row>
    <row r="2942" spans="1:9" x14ac:dyDescent="0.3">
      <c r="A2942" t="s">
        <v>18</v>
      </c>
      <c r="G2942" s="25">
        <v>44134</v>
      </c>
      <c r="H2942">
        <v>2020</v>
      </c>
      <c r="I2942" t="s">
        <v>51</v>
      </c>
    </row>
    <row r="2943" spans="1:9" x14ac:dyDescent="0.3">
      <c r="A2943" t="s">
        <v>16</v>
      </c>
      <c r="G2943" s="25">
        <v>44134</v>
      </c>
      <c r="H2943">
        <v>2020</v>
      </c>
      <c r="I2943" t="s">
        <v>51</v>
      </c>
    </row>
    <row r="2944" spans="1:9" x14ac:dyDescent="0.3">
      <c r="A2944" t="s">
        <v>20</v>
      </c>
      <c r="G2944" s="25">
        <v>44137</v>
      </c>
      <c r="H2944">
        <v>2020</v>
      </c>
      <c r="I2944" t="s">
        <v>52</v>
      </c>
    </row>
    <row r="2945" spans="1:9" x14ac:dyDescent="0.3">
      <c r="A2945" t="s">
        <v>37</v>
      </c>
      <c r="G2945" s="25">
        <v>44137</v>
      </c>
      <c r="H2945">
        <v>2020</v>
      </c>
      <c r="I2945" t="s">
        <v>52</v>
      </c>
    </row>
    <row r="2946" spans="1:9" x14ac:dyDescent="0.3">
      <c r="A2946" t="s">
        <v>17</v>
      </c>
      <c r="C2946">
        <v>54000</v>
      </c>
      <c r="G2946" s="25">
        <v>44137</v>
      </c>
      <c r="H2946">
        <v>2020</v>
      </c>
      <c r="I2946" t="s">
        <v>52</v>
      </c>
    </row>
    <row r="2947" spans="1:9" x14ac:dyDescent="0.3">
      <c r="A2947" t="s">
        <v>0</v>
      </c>
      <c r="B2947">
        <v>216000</v>
      </c>
      <c r="D2947">
        <v>266000</v>
      </c>
      <c r="G2947" s="25">
        <v>44137</v>
      </c>
      <c r="H2947">
        <v>2020</v>
      </c>
      <c r="I2947" t="s">
        <v>52</v>
      </c>
    </row>
    <row r="2948" spans="1:9" x14ac:dyDescent="0.3">
      <c r="A2948" t="s">
        <v>25</v>
      </c>
      <c r="E2948">
        <v>54000</v>
      </c>
      <c r="G2948" s="25">
        <v>44137</v>
      </c>
      <c r="H2948">
        <v>2020</v>
      </c>
      <c r="I2948" t="s">
        <v>52</v>
      </c>
    </row>
    <row r="2949" spans="1:9" x14ac:dyDescent="0.3">
      <c r="A2949" t="s">
        <v>15</v>
      </c>
      <c r="E2949">
        <v>54000</v>
      </c>
      <c r="G2949" s="25">
        <v>44137</v>
      </c>
      <c r="H2949">
        <v>2020</v>
      </c>
      <c r="I2949" t="s">
        <v>52</v>
      </c>
    </row>
    <row r="2950" spans="1:9" x14ac:dyDescent="0.3">
      <c r="A2950" t="s">
        <v>26</v>
      </c>
      <c r="C2950">
        <v>162000</v>
      </c>
      <c r="G2950" s="25">
        <v>44137</v>
      </c>
      <c r="H2950">
        <v>2020</v>
      </c>
      <c r="I2950" t="s">
        <v>52</v>
      </c>
    </row>
    <row r="2951" spans="1:9" x14ac:dyDescent="0.3">
      <c r="A2951" t="s">
        <v>22</v>
      </c>
      <c r="G2951" s="25">
        <v>44137</v>
      </c>
      <c r="H2951">
        <v>2020</v>
      </c>
      <c r="I2951" t="s">
        <v>52</v>
      </c>
    </row>
    <row r="2952" spans="1:9" x14ac:dyDescent="0.3">
      <c r="A2952" t="s">
        <v>19</v>
      </c>
      <c r="G2952" s="25">
        <v>44137</v>
      </c>
      <c r="H2952">
        <v>2020</v>
      </c>
      <c r="I2952" t="s">
        <v>52</v>
      </c>
    </row>
    <row r="2953" spans="1:9" x14ac:dyDescent="0.3">
      <c r="A2953" t="s">
        <v>14</v>
      </c>
      <c r="G2953" s="25">
        <v>44137</v>
      </c>
      <c r="H2953">
        <v>2020</v>
      </c>
      <c r="I2953" t="s">
        <v>52</v>
      </c>
    </row>
    <row r="2954" spans="1:9" x14ac:dyDescent="0.3">
      <c r="A2954" t="s">
        <v>24</v>
      </c>
      <c r="G2954" s="25">
        <v>44137</v>
      </c>
      <c r="H2954">
        <v>2020</v>
      </c>
      <c r="I2954" t="s">
        <v>52</v>
      </c>
    </row>
    <row r="2955" spans="1:9" x14ac:dyDescent="0.3">
      <c r="A2955" t="s">
        <v>21</v>
      </c>
      <c r="G2955" s="25">
        <v>44137</v>
      </c>
      <c r="H2955">
        <v>2020</v>
      </c>
      <c r="I2955" t="s">
        <v>52</v>
      </c>
    </row>
    <row r="2956" spans="1:9" x14ac:dyDescent="0.3">
      <c r="A2956" t="s">
        <v>18</v>
      </c>
      <c r="G2956" s="25">
        <v>44137</v>
      </c>
      <c r="H2956">
        <v>2020</v>
      </c>
      <c r="I2956" t="s">
        <v>52</v>
      </c>
    </row>
    <row r="2957" spans="1:9" x14ac:dyDescent="0.3">
      <c r="A2957" t="s">
        <v>16</v>
      </c>
      <c r="G2957" s="25">
        <v>44137</v>
      </c>
      <c r="H2957">
        <v>2020</v>
      </c>
      <c r="I2957" t="s">
        <v>52</v>
      </c>
    </row>
    <row r="2958" spans="1:9" x14ac:dyDescent="0.3">
      <c r="A2958" t="s">
        <v>20</v>
      </c>
      <c r="G2958" s="25">
        <v>44138</v>
      </c>
      <c r="H2958">
        <v>2020</v>
      </c>
      <c r="I2958" t="s">
        <v>52</v>
      </c>
    </row>
    <row r="2959" spans="1:9" x14ac:dyDescent="0.3">
      <c r="A2959" t="s">
        <v>37</v>
      </c>
      <c r="B2959">
        <v>162000</v>
      </c>
      <c r="C2959">
        <v>92000</v>
      </c>
      <c r="D2959">
        <v>216000</v>
      </c>
      <c r="G2959" s="25">
        <v>44138</v>
      </c>
      <c r="H2959">
        <v>2020</v>
      </c>
      <c r="I2959" t="s">
        <v>52</v>
      </c>
    </row>
    <row r="2960" spans="1:9" x14ac:dyDescent="0.3">
      <c r="A2960" t="s">
        <v>17</v>
      </c>
      <c r="C2960">
        <v>482000</v>
      </c>
      <c r="G2960" s="25">
        <v>44138</v>
      </c>
      <c r="H2960">
        <v>2020</v>
      </c>
      <c r="I2960" t="s">
        <v>52</v>
      </c>
    </row>
    <row r="2961" spans="1:9" x14ac:dyDescent="0.3">
      <c r="A2961" t="s">
        <v>0</v>
      </c>
      <c r="B2961">
        <v>207000</v>
      </c>
      <c r="D2961">
        <v>108000</v>
      </c>
      <c r="F2961">
        <v>315000</v>
      </c>
      <c r="G2961" s="25">
        <v>44138</v>
      </c>
      <c r="H2961">
        <v>2020</v>
      </c>
      <c r="I2961" t="s">
        <v>52</v>
      </c>
    </row>
    <row r="2962" spans="1:9" x14ac:dyDescent="0.3">
      <c r="A2962" t="s">
        <v>25</v>
      </c>
      <c r="E2962">
        <v>153000</v>
      </c>
      <c r="G2962" s="25">
        <v>44138</v>
      </c>
      <c r="H2962">
        <v>2020</v>
      </c>
      <c r="I2962" t="s">
        <v>52</v>
      </c>
    </row>
    <row r="2963" spans="1:9" x14ac:dyDescent="0.3">
      <c r="A2963" t="s">
        <v>15</v>
      </c>
      <c r="C2963">
        <v>149000</v>
      </c>
      <c r="E2963">
        <v>212000</v>
      </c>
      <c r="G2963" s="25">
        <v>44138</v>
      </c>
      <c r="H2963">
        <v>2020</v>
      </c>
      <c r="I2963" t="s">
        <v>52</v>
      </c>
    </row>
    <row r="2964" spans="1:9" x14ac:dyDescent="0.3">
      <c r="A2964" t="s">
        <v>26</v>
      </c>
      <c r="B2964">
        <v>216000</v>
      </c>
      <c r="C2964">
        <v>431000</v>
      </c>
      <c r="D2964">
        <v>216000</v>
      </c>
      <c r="E2964">
        <v>45000</v>
      </c>
      <c r="G2964" s="25">
        <v>44138</v>
      </c>
      <c r="H2964">
        <v>2020</v>
      </c>
      <c r="I2964" t="s">
        <v>52</v>
      </c>
    </row>
    <row r="2965" spans="1:9" x14ac:dyDescent="0.3">
      <c r="A2965" t="s">
        <v>22</v>
      </c>
      <c r="G2965" s="25">
        <v>44138</v>
      </c>
      <c r="H2965">
        <v>2020</v>
      </c>
      <c r="I2965" t="s">
        <v>52</v>
      </c>
    </row>
    <row r="2966" spans="1:9" x14ac:dyDescent="0.3">
      <c r="A2966" t="s">
        <v>19</v>
      </c>
      <c r="B2966">
        <v>54000</v>
      </c>
      <c r="D2966">
        <v>265500</v>
      </c>
      <c r="E2966">
        <v>45000</v>
      </c>
      <c r="G2966" s="25">
        <v>44138</v>
      </c>
      <c r="H2966">
        <v>2020</v>
      </c>
      <c r="I2966" t="s">
        <v>52</v>
      </c>
    </row>
    <row r="2967" spans="1:9" x14ac:dyDescent="0.3">
      <c r="A2967" t="s">
        <v>14</v>
      </c>
      <c r="C2967">
        <v>54000</v>
      </c>
      <c r="G2967" s="25">
        <v>44138</v>
      </c>
      <c r="H2967">
        <v>2020</v>
      </c>
      <c r="I2967" t="s">
        <v>52</v>
      </c>
    </row>
    <row r="2968" spans="1:9" x14ac:dyDescent="0.3">
      <c r="A2968" t="s">
        <v>24</v>
      </c>
      <c r="G2968" s="25">
        <v>44138</v>
      </c>
      <c r="H2968">
        <v>2020</v>
      </c>
      <c r="I2968" t="s">
        <v>52</v>
      </c>
    </row>
    <row r="2969" spans="1:9" x14ac:dyDescent="0.3">
      <c r="A2969" t="s">
        <v>21</v>
      </c>
      <c r="G2969" s="25">
        <v>44138</v>
      </c>
      <c r="H2969">
        <v>2020</v>
      </c>
      <c r="I2969" t="s">
        <v>52</v>
      </c>
    </row>
    <row r="2970" spans="1:9" x14ac:dyDescent="0.3">
      <c r="A2970" t="s">
        <v>18</v>
      </c>
      <c r="C2970">
        <v>53500</v>
      </c>
      <c r="G2970" s="25">
        <v>44138</v>
      </c>
      <c r="H2970">
        <v>2020</v>
      </c>
      <c r="I2970" t="s">
        <v>52</v>
      </c>
    </row>
    <row r="2971" spans="1:9" x14ac:dyDescent="0.3">
      <c r="A2971" t="s">
        <v>16</v>
      </c>
      <c r="B2971">
        <v>162000</v>
      </c>
      <c r="D2971">
        <v>428000</v>
      </c>
      <c r="G2971" s="25">
        <v>44138</v>
      </c>
      <c r="H2971">
        <v>2020</v>
      </c>
      <c r="I2971" t="s">
        <v>52</v>
      </c>
    </row>
    <row r="2972" spans="1:9" x14ac:dyDescent="0.3">
      <c r="A2972" t="s">
        <v>20</v>
      </c>
      <c r="G2972" s="25">
        <v>44139</v>
      </c>
      <c r="H2972">
        <v>2020</v>
      </c>
      <c r="I2972" t="s">
        <v>52</v>
      </c>
    </row>
    <row r="2973" spans="1:9" x14ac:dyDescent="0.3">
      <c r="A2973" t="s">
        <v>37</v>
      </c>
      <c r="B2973">
        <v>153000</v>
      </c>
      <c r="D2973">
        <v>162000</v>
      </c>
      <c r="G2973" s="25">
        <v>44139</v>
      </c>
      <c r="H2973">
        <v>2020</v>
      </c>
      <c r="I2973" t="s">
        <v>52</v>
      </c>
    </row>
    <row r="2974" spans="1:9" x14ac:dyDescent="0.3">
      <c r="A2974" t="s">
        <v>17</v>
      </c>
      <c r="C2974">
        <v>430000</v>
      </c>
      <c r="G2974" s="25">
        <v>44139</v>
      </c>
      <c r="H2974">
        <v>2020</v>
      </c>
      <c r="I2974" t="s">
        <v>52</v>
      </c>
    </row>
    <row r="2975" spans="1:9" x14ac:dyDescent="0.3">
      <c r="A2975" t="s">
        <v>0</v>
      </c>
      <c r="B2975">
        <v>315000</v>
      </c>
      <c r="D2975">
        <v>90000</v>
      </c>
      <c r="F2975">
        <v>225000</v>
      </c>
      <c r="G2975" s="25">
        <v>44139</v>
      </c>
      <c r="H2975">
        <v>2020</v>
      </c>
      <c r="I2975" t="s">
        <v>52</v>
      </c>
    </row>
    <row r="2976" spans="1:9" x14ac:dyDescent="0.3">
      <c r="A2976" t="s">
        <v>25</v>
      </c>
      <c r="G2976" s="25">
        <v>44139</v>
      </c>
      <c r="H2976">
        <v>2020</v>
      </c>
      <c r="I2976" t="s">
        <v>52</v>
      </c>
    </row>
    <row r="2977" spans="1:9" x14ac:dyDescent="0.3">
      <c r="A2977" t="s">
        <v>15</v>
      </c>
      <c r="C2977">
        <v>153000</v>
      </c>
      <c r="G2977" s="25">
        <v>44139</v>
      </c>
      <c r="H2977">
        <v>2020</v>
      </c>
      <c r="I2977" t="s">
        <v>52</v>
      </c>
    </row>
    <row r="2978" spans="1:9" x14ac:dyDescent="0.3">
      <c r="A2978" t="s">
        <v>26</v>
      </c>
      <c r="B2978">
        <v>216000</v>
      </c>
      <c r="C2978">
        <v>585000</v>
      </c>
      <c r="D2978">
        <v>108000</v>
      </c>
      <c r="E2978">
        <v>162000</v>
      </c>
      <c r="G2978" s="25">
        <v>44139</v>
      </c>
      <c r="H2978">
        <v>2020</v>
      </c>
      <c r="I2978" t="s">
        <v>52</v>
      </c>
    </row>
    <row r="2979" spans="1:9" x14ac:dyDescent="0.3">
      <c r="A2979" t="s">
        <v>22</v>
      </c>
      <c r="G2979" s="25">
        <v>44139</v>
      </c>
      <c r="H2979">
        <v>2020</v>
      </c>
      <c r="I2979" t="s">
        <v>52</v>
      </c>
    </row>
    <row r="2980" spans="1:9" x14ac:dyDescent="0.3">
      <c r="A2980" t="s">
        <v>19</v>
      </c>
      <c r="B2980">
        <v>162000</v>
      </c>
      <c r="C2980">
        <v>216000</v>
      </c>
      <c r="D2980">
        <v>540000</v>
      </c>
      <c r="G2980" s="25">
        <v>44139</v>
      </c>
      <c r="H2980">
        <v>2020</v>
      </c>
      <c r="I2980" t="s">
        <v>52</v>
      </c>
    </row>
    <row r="2981" spans="1:9" x14ac:dyDescent="0.3">
      <c r="A2981" t="s">
        <v>14</v>
      </c>
      <c r="G2981" s="25">
        <v>44139</v>
      </c>
      <c r="H2981">
        <v>2020</v>
      </c>
      <c r="I2981" t="s">
        <v>52</v>
      </c>
    </row>
    <row r="2982" spans="1:9" x14ac:dyDescent="0.3">
      <c r="A2982" t="s">
        <v>24</v>
      </c>
      <c r="G2982" s="25">
        <v>44139</v>
      </c>
      <c r="H2982">
        <v>2020</v>
      </c>
      <c r="I2982" t="s">
        <v>52</v>
      </c>
    </row>
    <row r="2983" spans="1:9" x14ac:dyDescent="0.3">
      <c r="A2983" t="s">
        <v>21</v>
      </c>
      <c r="G2983" s="25">
        <v>44139</v>
      </c>
      <c r="H2983">
        <v>2020</v>
      </c>
      <c r="I2983" t="s">
        <v>52</v>
      </c>
    </row>
    <row r="2984" spans="1:9" x14ac:dyDescent="0.3">
      <c r="A2984" t="s">
        <v>18</v>
      </c>
      <c r="G2984" s="25">
        <v>44139</v>
      </c>
      <c r="H2984">
        <v>2020</v>
      </c>
      <c r="I2984" t="s">
        <v>52</v>
      </c>
    </row>
    <row r="2985" spans="1:9" x14ac:dyDescent="0.3">
      <c r="A2985" t="s">
        <v>16</v>
      </c>
      <c r="B2985">
        <v>270000</v>
      </c>
      <c r="C2985">
        <v>54000</v>
      </c>
      <c r="D2985">
        <v>270000</v>
      </c>
      <c r="G2985" s="25">
        <v>44139</v>
      </c>
      <c r="H2985">
        <v>2020</v>
      </c>
      <c r="I2985" t="s">
        <v>52</v>
      </c>
    </row>
    <row r="2986" spans="1:9" x14ac:dyDescent="0.3">
      <c r="A2986" t="s">
        <v>20</v>
      </c>
      <c r="G2986" s="25">
        <v>44140</v>
      </c>
      <c r="H2986">
        <v>2020</v>
      </c>
      <c r="I2986" t="s">
        <v>52</v>
      </c>
    </row>
    <row r="2987" spans="1:9" x14ac:dyDescent="0.3">
      <c r="A2987" t="s">
        <v>37</v>
      </c>
      <c r="G2987" s="25">
        <v>44140</v>
      </c>
      <c r="H2987">
        <v>2020</v>
      </c>
      <c r="I2987" t="s">
        <v>52</v>
      </c>
    </row>
    <row r="2988" spans="1:9" x14ac:dyDescent="0.3">
      <c r="A2988" t="s">
        <v>17</v>
      </c>
      <c r="C2988">
        <v>428000</v>
      </c>
      <c r="G2988" s="25">
        <v>44140</v>
      </c>
      <c r="H2988">
        <v>2020</v>
      </c>
      <c r="I2988" t="s">
        <v>52</v>
      </c>
    </row>
    <row r="2989" spans="1:9" x14ac:dyDescent="0.3">
      <c r="A2989" t="s">
        <v>0</v>
      </c>
      <c r="B2989">
        <v>751500</v>
      </c>
      <c r="G2989" s="25">
        <v>44140</v>
      </c>
      <c r="H2989">
        <v>2020</v>
      </c>
      <c r="I2989" t="s">
        <v>52</v>
      </c>
    </row>
    <row r="2990" spans="1:9" x14ac:dyDescent="0.3">
      <c r="A2990" t="s">
        <v>25</v>
      </c>
      <c r="B2990">
        <v>162000</v>
      </c>
      <c r="D2990">
        <v>266000</v>
      </c>
      <c r="G2990" s="25">
        <v>44140</v>
      </c>
      <c r="H2990">
        <v>2020</v>
      </c>
      <c r="I2990" t="s">
        <v>52</v>
      </c>
    </row>
    <row r="2991" spans="1:9" x14ac:dyDescent="0.3">
      <c r="A2991" t="s">
        <v>15</v>
      </c>
      <c r="G2991" s="25">
        <v>44140</v>
      </c>
      <c r="H2991">
        <v>2020</v>
      </c>
      <c r="I2991" t="s">
        <v>52</v>
      </c>
    </row>
    <row r="2992" spans="1:9" x14ac:dyDescent="0.3">
      <c r="A2992" t="s">
        <v>26</v>
      </c>
      <c r="B2992">
        <v>99000</v>
      </c>
      <c r="C2992">
        <v>324000</v>
      </c>
      <c r="E2992">
        <v>540000</v>
      </c>
      <c r="G2992" s="25">
        <v>44140</v>
      </c>
      <c r="H2992">
        <v>2020</v>
      </c>
      <c r="I2992" t="s">
        <v>52</v>
      </c>
    </row>
    <row r="2993" spans="1:9" x14ac:dyDescent="0.3">
      <c r="A2993" t="s">
        <v>22</v>
      </c>
      <c r="G2993" s="25">
        <v>44140</v>
      </c>
      <c r="H2993">
        <v>2020</v>
      </c>
      <c r="I2993" t="s">
        <v>52</v>
      </c>
    </row>
    <row r="2994" spans="1:9" x14ac:dyDescent="0.3">
      <c r="A2994" t="s">
        <v>19</v>
      </c>
      <c r="B2994">
        <v>266000</v>
      </c>
      <c r="C2994">
        <v>216000</v>
      </c>
      <c r="D2994">
        <v>698000</v>
      </c>
      <c r="G2994" s="25">
        <v>44140</v>
      </c>
      <c r="H2994">
        <v>2020</v>
      </c>
      <c r="I2994" t="s">
        <v>52</v>
      </c>
    </row>
    <row r="2995" spans="1:9" x14ac:dyDescent="0.3">
      <c r="A2995" t="s">
        <v>14</v>
      </c>
      <c r="G2995" s="25">
        <v>44140</v>
      </c>
      <c r="H2995">
        <v>2020</v>
      </c>
      <c r="I2995" t="s">
        <v>52</v>
      </c>
    </row>
    <row r="2996" spans="1:9" x14ac:dyDescent="0.3">
      <c r="A2996" t="s">
        <v>24</v>
      </c>
      <c r="G2996" s="25">
        <v>44140</v>
      </c>
      <c r="H2996">
        <v>2020</v>
      </c>
      <c r="I2996" t="s">
        <v>52</v>
      </c>
    </row>
    <row r="2997" spans="1:9" x14ac:dyDescent="0.3">
      <c r="A2997" t="s">
        <v>21</v>
      </c>
      <c r="G2997" s="25">
        <v>44140</v>
      </c>
      <c r="H2997">
        <v>2020</v>
      </c>
      <c r="I2997" t="s">
        <v>52</v>
      </c>
    </row>
    <row r="2998" spans="1:9" x14ac:dyDescent="0.3">
      <c r="A2998" t="s">
        <v>18</v>
      </c>
      <c r="G2998" s="25">
        <v>44140</v>
      </c>
      <c r="H2998">
        <v>2020</v>
      </c>
      <c r="I2998" t="s">
        <v>52</v>
      </c>
    </row>
    <row r="2999" spans="1:9" x14ac:dyDescent="0.3">
      <c r="A2999" t="s">
        <v>16</v>
      </c>
      <c r="B2999">
        <v>366000</v>
      </c>
      <c r="D2999">
        <v>212000</v>
      </c>
      <c r="G2999" s="25">
        <v>44140</v>
      </c>
      <c r="H2999">
        <v>2020</v>
      </c>
      <c r="I2999" t="s">
        <v>52</v>
      </c>
    </row>
    <row r="3000" spans="1:9" x14ac:dyDescent="0.3">
      <c r="A3000" t="s">
        <v>20</v>
      </c>
      <c r="G3000" s="25">
        <v>44141</v>
      </c>
      <c r="H3000">
        <v>2020</v>
      </c>
      <c r="I3000" t="s">
        <v>52</v>
      </c>
    </row>
    <row r="3001" spans="1:9" x14ac:dyDescent="0.3">
      <c r="A3001" t="s">
        <v>37</v>
      </c>
      <c r="G3001" s="25">
        <v>44141</v>
      </c>
      <c r="H3001">
        <v>2020</v>
      </c>
      <c r="I3001" t="s">
        <v>52</v>
      </c>
    </row>
    <row r="3002" spans="1:9" x14ac:dyDescent="0.3">
      <c r="A3002" t="s">
        <v>17</v>
      </c>
      <c r="B3002">
        <v>369000</v>
      </c>
      <c r="C3002">
        <v>630000</v>
      </c>
      <c r="E3002">
        <v>45000</v>
      </c>
      <c r="G3002" s="25">
        <v>44141</v>
      </c>
      <c r="H3002">
        <v>2020</v>
      </c>
      <c r="I3002" t="s">
        <v>52</v>
      </c>
    </row>
    <row r="3003" spans="1:9" x14ac:dyDescent="0.3">
      <c r="A3003" t="s">
        <v>0</v>
      </c>
      <c r="B3003">
        <v>466000</v>
      </c>
      <c r="G3003" s="25">
        <v>44141</v>
      </c>
      <c r="H3003">
        <v>2020</v>
      </c>
      <c r="I3003" t="s">
        <v>52</v>
      </c>
    </row>
    <row r="3004" spans="1:9" x14ac:dyDescent="0.3">
      <c r="A3004" t="s">
        <v>25</v>
      </c>
      <c r="B3004">
        <v>312000</v>
      </c>
      <c r="D3004">
        <v>486000</v>
      </c>
      <c r="G3004" s="25">
        <v>44141</v>
      </c>
      <c r="H3004">
        <v>2020</v>
      </c>
      <c r="I3004" t="s">
        <v>52</v>
      </c>
    </row>
    <row r="3005" spans="1:9" x14ac:dyDescent="0.3">
      <c r="A3005" t="s">
        <v>15</v>
      </c>
      <c r="G3005" s="25">
        <v>44141</v>
      </c>
      <c r="H3005">
        <v>2020</v>
      </c>
      <c r="I3005" t="s">
        <v>52</v>
      </c>
    </row>
    <row r="3006" spans="1:9" x14ac:dyDescent="0.3">
      <c r="A3006" t="s">
        <v>26</v>
      </c>
      <c r="B3006">
        <v>149000</v>
      </c>
      <c r="C3006">
        <v>408000</v>
      </c>
      <c r="D3006">
        <v>162000</v>
      </c>
      <c r="G3006" s="25">
        <v>44141</v>
      </c>
      <c r="H3006">
        <v>2020</v>
      </c>
      <c r="I3006" t="s">
        <v>52</v>
      </c>
    </row>
    <row r="3007" spans="1:9" x14ac:dyDescent="0.3">
      <c r="A3007" t="s">
        <v>22</v>
      </c>
      <c r="G3007" s="25">
        <v>44141</v>
      </c>
      <c r="H3007">
        <v>2020</v>
      </c>
      <c r="I3007" t="s">
        <v>52</v>
      </c>
    </row>
    <row r="3008" spans="1:9" x14ac:dyDescent="0.3">
      <c r="A3008" t="s">
        <v>19</v>
      </c>
      <c r="B3008">
        <v>162000</v>
      </c>
      <c r="C3008">
        <v>486000</v>
      </c>
      <c r="D3008">
        <v>90000</v>
      </c>
      <c r="E3008">
        <v>108000</v>
      </c>
      <c r="G3008" s="25">
        <v>44141</v>
      </c>
      <c r="H3008">
        <v>2020</v>
      </c>
      <c r="I3008" t="s">
        <v>52</v>
      </c>
    </row>
    <row r="3009" spans="1:9" x14ac:dyDescent="0.3">
      <c r="A3009" t="s">
        <v>14</v>
      </c>
      <c r="G3009" s="25">
        <v>44141</v>
      </c>
      <c r="H3009">
        <v>2020</v>
      </c>
      <c r="I3009" t="s">
        <v>52</v>
      </c>
    </row>
    <row r="3010" spans="1:9" x14ac:dyDescent="0.3">
      <c r="A3010" t="s">
        <v>24</v>
      </c>
      <c r="B3010">
        <v>261000</v>
      </c>
      <c r="D3010">
        <v>486000</v>
      </c>
      <c r="G3010" s="25">
        <v>44141</v>
      </c>
      <c r="H3010">
        <v>2020</v>
      </c>
      <c r="I3010" t="s">
        <v>52</v>
      </c>
    </row>
    <row r="3011" spans="1:9" x14ac:dyDescent="0.3">
      <c r="A3011" t="s">
        <v>21</v>
      </c>
      <c r="G3011" s="25">
        <v>44141</v>
      </c>
      <c r="H3011">
        <v>2020</v>
      </c>
      <c r="I3011" t="s">
        <v>52</v>
      </c>
    </row>
    <row r="3012" spans="1:9" x14ac:dyDescent="0.3">
      <c r="A3012" t="s">
        <v>18</v>
      </c>
      <c r="G3012" s="25">
        <v>44141</v>
      </c>
      <c r="H3012">
        <v>2020</v>
      </c>
      <c r="I3012" t="s">
        <v>52</v>
      </c>
    </row>
    <row r="3013" spans="1:9" x14ac:dyDescent="0.3">
      <c r="A3013" t="s">
        <v>16</v>
      </c>
      <c r="G3013" s="25">
        <v>44141</v>
      </c>
      <c r="H3013">
        <v>2020</v>
      </c>
      <c r="I3013" t="s">
        <v>52</v>
      </c>
    </row>
    <row r="3014" spans="1:9" x14ac:dyDescent="0.3">
      <c r="A3014" t="s">
        <v>20</v>
      </c>
      <c r="G3014" s="25">
        <v>44142</v>
      </c>
      <c r="H3014">
        <v>2020</v>
      </c>
      <c r="I3014" t="s">
        <v>52</v>
      </c>
    </row>
    <row r="3015" spans="1:9" x14ac:dyDescent="0.3">
      <c r="A3015" t="s">
        <v>37</v>
      </c>
      <c r="B3015">
        <v>108000</v>
      </c>
      <c r="D3015">
        <v>108000</v>
      </c>
      <c r="G3015" s="25">
        <v>44142</v>
      </c>
      <c r="H3015">
        <v>2020</v>
      </c>
      <c r="I3015" t="s">
        <v>52</v>
      </c>
    </row>
    <row r="3016" spans="1:9" x14ac:dyDescent="0.3">
      <c r="A3016" t="s">
        <v>17</v>
      </c>
      <c r="B3016">
        <v>270000</v>
      </c>
      <c r="C3016">
        <v>576000</v>
      </c>
      <c r="E3016">
        <v>45000</v>
      </c>
      <c r="G3016" s="25">
        <v>44142</v>
      </c>
      <c r="H3016">
        <v>2020</v>
      </c>
      <c r="I3016" t="s">
        <v>52</v>
      </c>
    </row>
    <row r="3017" spans="1:9" x14ac:dyDescent="0.3">
      <c r="A3017" t="s">
        <v>0</v>
      </c>
      <c r="B3017">
        <v>580000</v>
      </c>
      <c r="G3017" s="25">
        <v>44142</v>
      </c>
      <c r="H3017">
        <v>2020</v>
      </c>
      <c r="I3017" t="s">
        <v>52</v>
      </c>
    </row>
    <row r="3018" spans="1:9" x14ac:dyDescent="0.3">
      <c r="A3018" t="s">
        <v>25</v>
      </c>
      <c r="B3018">
        <v>198000</v>
      </c>
      <c r="G3018" s="25">
        <v>44142</v>
      </c>
      <c r="H3018">
        <v>2020</v>
      </c>
      <c r="I3018" t="s">
        <v>52</v>
      </c>
    </row>
    <row r="3019" spans="1:9" x14ac:dyDescent="0.3">
      <c r="A3019" t="s">
        <v>15</v>
      </c>
      <c r="C3019">
        <v>108000</v>
      </c>
      <c r="G3019" s="25">
        <v>44142</v>
      </c>
      <c r="H3019">
        <v>2020</v>
      </c>
      <c r="I3019" t="s">
        <v>52</v>
      </c>
    </row>
    <row r="3020" spans="1:9" x14ac:dyDescent="0.3">
      <c r="A3020" t="s">
        <v>26</v>
      </c>
      <c r="B3020">
        <v>108000</v>
      </c>
      <c r="C3020">
        <v>477000</v>
      </c>
      <c r="E3020">
        <v>140000</v>
      </c>
      <c r="G3020" s="25">
        <v>44142</v>
      </c>
      <c r="H3020">
        <v>2020</v>
      </c>
      <c r="I3020" t="s">
        <v>52</v>
      </c>
    </row>
    <row r="3021" spans="1:9" x14ac:dyDescent="0.3">
      <c r="A3021" t="s">
        <v>22</v>
      </c>
      <c r="G3021" s="25">
        <v>44142</v>
      </c>
      <c r="H3021">
        <v>2020</v>
      </c>
      <c r="I3021" t="s">
        <v>52</v>
      </c>
    </row>
    <row r="3022" spans="1:9" x14ac:dyDescent="0.3">
      <c r="A3022" t="s">
        <v>19</v>
      </c>
      <c r="B3022">
        <v>216000</v>
      </c>
      <c r="C3022">
        <v>54000</v>
      </c>
      <c r="E3022">
        <v>162000</v>
      </c>
      <c r="G3022" s="25">
        <v>44142</v>
      </c>
      <c r="H3022">
        <v>2020</v>
      </c>
      <c r="I3022" t="s">
        <v>52</v>
      </c>
    </row>
    <row r="3023" spans="1:9" x14ac:dyDescent="0.3">
      <c r="A3023" t="s">
        <v>14</v>
      </c>
      <c r="G3023" s="25">
        <v>44142</v>
      </c>
      <c r="H3023">
        <v>2020</v>
      </c>
      <c r="I3023" t="s">
        <v>52</v>
      </c>
    </row>
    <row r="3024" spans="1:9" x14ac:dyDescent="0.3">
      <c r="A3024" t="s">
        <v>24</v>
      </c>
      <c r="B3024">
        <v>648000</v>
      </c>
      <c r="G3024" s="25">
        <v>44142</v>
      </c>
      <c r="H3024">
        <v>2020</v>
      </c>
      <c r="I3024" t="s">
        <v>52</v>
      </c>
    </row>
    <row r="3025" spans="1:9" x14ac:dyDescent="0.3">
      <c r="A3025" t="s">
        <v>21</v>
      </c>
      <c r="G3025" s="25">
        <v>44142</v>
      </c>
      <c r="H3025">
        <v>2020</v>
      </c>
      <c r="I3025" t="s">
        <v>52</v>
      </c>
    </row>
    <row r="3026" spans="1:9" x14ac:dyDescent="0.3">
      <c r="A3026" t="s">
        <v>18</v>
      </c>
      <c r="C3026">
        <v>45000</v>
      </c>
      <c r="G3026" s="25">
        <v>44142</v>
      </c>
      <c r="H3026">
        <v>2020</v>
      </c>
      <c r="I3026" t="s">
        <v>52</v>
      </c>
    </row>
    <row r="3027" spans="1:9" x14ac:dyDescent="0.3">
      <c r="A3027" t="s">
        <v>16</v>
      </c>
      <c r="B3027">
        <v>162000</v>
      </c>
      <c r="D3027">
        <v>90000</v>
      </c>
      <c r="G3027" s="25">
        <v>44142</v>
      </c>
      <c r="H3027">
        <v>2020</v>
      </c>
      <c r="I3027" t="s">
        <v>52</v>
      </c>
    </row>
    <row r="3028" spans="1:9" x14ac:dyDescent="0.3">
      <c r="A3028" t="s">
        <v>20</v>
      </c>
      <c r="G3028" s="25">
        <v>44144</v>
      </c>
      <c r="H3028">
        <v>2020</v>
      </c>
      <c r="I3028" t="s">
        <v>52</v>
      </c>
    </row>
    <row r="3029" spans="1:9" x14ac:dyDescent="0.3">
      <c r="A3029" t="s">
        <v>37</v>
      </c>
      <c r="B3029">
        <v>212000</v>
      </c>
      <c r="G3029" s="25">
        <v>44144</v>
      </c>
      <c r="H3029">
        <v>2020</v>
      </c>
      <c r="I3029" t="s">
        <v>52</v>
      </c>
    </row>
    <row r="3030" spans="1:9" x14ac:dyDescent="0.3">
      <c r="A3030" t="s">
        <v>17</v>
      </c>
      <c r="B3030">
        <v>270000</v>
      </c>
      <c r="C3030">
        <v>99000</v>
      </c>
      <c r="G3030" s="25">
        <v>44144</v>
      </c>
      <c r="H3030">
        <v>2020</v>
      </c>
      <c r="I3030" t="s">
        <v>52</v>
      </c>
    </row>
    <row r="3031" spans="1:9" x14ac:dyDescent="0.3">
      <c r="A3031" t="s">
        <v>0</v>
      </c>
      <c r="B3031">
        <v>747000</v>
      </c>
      <c r="G3031" s="25">
        <v>44144</v>
      </c>
      <c r="H3031">
        <v>2020</v>
      </c>
      <c r="I3031" t="s">
        <v>52</v>
      </c>
    </row>
    <row r="3032" spans="1:9" x14ac:dyDescent="0.3">
      <c r="A3032" t="s">
        <v>25</v>
      </c>
      <c r="B3032">
        <v>211500</v>
      </c>
      <c r="G3032" s="25">
        <v>44144</v>
      </c>
      <c r="H3032">
        <v>2020</v>
      </c>
      <c r="I3032" t="s">
        <v>52</v>
      </c>
    </row>
    <row r="3033" spans="1:9" x14ac:dyDescent="0.3">
      <c r="A3033" t="s">
        <v>15</v>
      </c>
      <c r="G3033" s="25">
        <v>44144</v>
      </c>
      <c r="H3033">
        <v>2020</v>
      </c>
      <c r="I3033" t="s">
        <v>52</v>
      </c>
    </row>
    <row r="3034" spans="1:9" x14ac:dyDescent="0.3">
      <c r="A3034" t="s">
        <v>26</v>
      </c>
      <c r="B3034">
        <v>265500</v>
      </c>
      <c r="G3034" s="25">
        <v>44144</v>
      </c>
      <c r="H3034">
        <v>2020</v>
      </c>
      <c r="I3034" t="s">
        <v>52</v>
      </c>
    </row>
    <row r="3035" spans="1:9" x14ac:dyDescent="0.3">
      <c r="A3035" t="s">
        <v>22</v>
      </c>
      <c r="G3035" s="25">
        <v>44144</v>
      </c>
      <c r="H3035">
        <v>2020</v>
      </c>
      <c r="I3035" t="s">
        <v>52</v>
      </c>
    </row>
    <row r="3036" spans="1:9" x14ac:dyDescent="0.3">
      <c r="A3036" t="s">
        <v>19</v>
      </c>
      <c r="B3036">
        <v>378000</v>
      </c>
      <c r="G3036" s="25">
        <v>44144</v>
      </c>
      <c r="H3036">
        <v>2020</v>
      </c>
      <c r="I3036" t="s">
        <v>52</v>
      </c>
    </row>
    <row r="3037" spans="1:9" x14ac:dyDescent="0.3">
      <c r="A3037" t="s">
        <v>14</v>
      </c>
      <c r="C3037">
        <v>351000</v>
      </c>
      <c r="G3037" s="25">
        <v>44144</v>
      </c>
      <c r="H3037">
        <v>2020</v>
      </c>
      <c r="I3037" t="s">
        <v>52</v>
      </c>
    </row>
    <row r="3038" spans="1:9" x14ac:dyDescent="0.3">
      <c r="A3038" t="s">
        <v>24</v>
      </c>
      <c r="B3038">
        <v>432000</v>
      </c>
      <c r="G3038" s="25">
        <v>44144</v>
      </c>
      <c r="H3038">
        <v>2020</v>
      </c>
      <c r="I3038" t="s">
        <v>52</v>
      </c>
    </row>
    <row r="3039" spans="1:9" x14ac:dyDescent="0.3">
      <c r="A3039" t="s">
        <v>21</v>
      </c>
      <c r="G3039" s="25">
        <v>44144</v>
      </c>
      <c r="H3039">
        <v>2020</v>
      </c>
      <c r="I3039" t="s">
        <v>52</v>
      </c>
    </row>
    <row r="3040" spans="1:9" x14ac:dyDescent="0.3">
      <c r="A3040" t="s">
        <v>18</v>
      </c>
      <c r="C3040">
        <v>45000</v>
      </c>
      <c r="G3040" s="25">
        <v>44144</v>
      </c>
      <c r="H3040">
        <v>2020</v>
      </c>
      <c r="I3040" t="s">
        <v>52</v>
      </c>
    </row>
    <row r="3041" spans="1:9" x14ac:dyDescent="0.3">
      <c r="A3041" t="s">
        <v>16</v>
      </c>
      <c r="B3041">
        <v>216000</v>
      </c>
      <c r="G3041" s="25">
        <v>44144</v>
      </c>
      <c r="H3041">
        <v>2020</v>
      </c>
      <c r="I3041" t="s">
        <v>52</v>
      </c>
    </row>
    <row r="3042" spans="1:9" x14ac:dyDescent="0.3">
      <c r="A3042" t="s">
        <v>20</v>
      </c>
      <c r="G3042" s="25">
        <v>44145</v>
      </c>
      <c r="H3042">
        <v>2020</v>
      </c>
      <c r="I3042" t="s">
        <v>52</v>
      </c>
    </row>
    <row r="3043" spans="1:9" x14ac:dyDescent="0.3">
      <c r="A3043" t="s">
        <v>37</v>
      </c>
      <c r="B3043">
        <v>162000</v>
      </c>
      <c r="G3043" s="25">
        <v>44145</v>
      </c>
      <c r="H3043">
        <v>2020</v>
      </c>
      <c r="I3043" t="s">
        <v>52</v>
      </c>
    </row>
    <row r="3044" spans="1:9" x14ac:dyDescent="0.3">
      <c r="A3044" t="s">
        <v>17</v>
      </c>
      <c r="B3044">
        <v>262000</v>
      </c>
      <c r="C3044">
        <v>527000</v>
      </c>
      <c r="D3044">
        <v>266000</v>
      </c>
      <c r="E3044">
        <v>374000</v>
      </c>
      <c r="G3044" s="25">
        <v>44145</v>
      </c>
      <c r="H3044">
        <v>2020</v>
      </c>
      <c r="I3044" t="s">
        <v>52</v>
      </c>
    </row>
    <row r="3045" spans="1:9" x14ac:dyDescent="0.3">
      <c r="A3045" t="s">
        <v>0</v>
      </c>
      <c r="B3045">
        <v>378000</v>
      </c>
      <c r="G3045" s="25">
        <v>44145</v>
      </c>
      <c r="H3045">
        <v>2020</v>
      </c>
      <c r="I3045" t="s">
        <v>52</v>
      </c>
    </row>
    <row r="3046" spans="1:9" x14ac:dyDescent="0.3">
      <c r="A3046" t="s">
        <v>25</v>
      </c>
      <c r="B3046">
        <v>268000</v>
      </c>
      <c r="G3046" s="25">
        <v>44145</v>
      </c>
      <c r="H3046">
        <v>2020</v>
      </c>
      <c r="I3046" t="s">
        <v>52</v>
      </c>
    </row>
    <row r="3047" spans="1:9" x14ac:dyDescent="0.3">
      <c r="A3047" t="s">
        <v>15</v>
      </c>
      <c r="G3047" s="25">
        <v>44145</v>
      </c>
      <c r="H3047">
        <v>2020</v>
      </c>
      <c r="I3047" t="s">
        <v>52</v>
      </c>
    </row>
    <row r="3048" spans="1:9" x14ac:dyDescent="0.3">
      <c r="A3048" t="s">
        <v>26</v>
      </c>
      <c r="B3048">
        <v>162000</v>
      </c>
      <c r="G3048" s="25">
        <v>44145</v>
      </c>
      <c r="H3048">
        <v>2020</v>
      </c>
      <c r="I3048" t="s">
        <v>52</v>
      </c>
    </row>
    <row r="3049" spans="1:9" x14ac:dyDescent="0.3">
      <c r="A3049" t="s">
        <v>22</v>
      </c>
      <c r="G3049" s="25">
        <v>44145</v>
      </c>
      <c r="H3049">
        <v>2020</v>
      </c>
      <c r="I3049" t="s">
        <v>52</v>
      </c>
    </row>
    <row r="3050" spans="1:9" x14ac:dyDescent="0.3">
      <c r="A3050" t="s">
        <v>19</v>
      </c>
      <c r="B3050">
        <v>153000</v>
      </c>
      <c r="G3050" s="25">
        <v>44145</v>
      </c>
      <c r="H3050">
        <v>2020</v>
      </c>
      <c r="I3050" t="s">
        <v>52</v>
      </c>
    </row>
    <row r="3051" spans="1:9" x14ac:dyDescent="0.3">
      <c r="A3051" t="s">
        <v>14</v>
      </c>
      <c r="G3051" s="25">
        <v>44145</v>
      </c>
      <c r="H3051">
        <v>2020</v>
      </c>
      <c r="I3051" t="s">
        <v>52</v>
      </c>
    </row>
    <row r="3052" spans="1:9" x14ac:dyDescent="0.3">
      <c r="A3052" t="s">
        <v>24</v>
      </c>
      <c r="B3052">
        <v>212000</v>
      </c>
      <c r="G3052" s="25">
        <v>44145</v>
      </c>
      <c r="H3052">
        <v>2020</v>
      </c>
      <c r="I3052" t="s">
        <v>52</v>
      </c>
    </row>
    <row r="3053" spans="1:9" x14ac:dyDescent="0.3">
      <c r="A3053" t="s">
        <v>21</v>
      </c>
      <c r="G3053" s="25">
        <v>44145</v>
      </c>
      <c r="H3053">
        <v>2020</v>
      </c>
      <c r="I3053" t="s">
        <v>52</v>
      </c>
    </row>
    <row r="3054" spans="1:9" x14ac:dyDescent="0.3">
      <c r="A3054" t="s">
        <v>18</v>
      </c>
      <c r="G3054" s="25">
        <v>44145</v>
      </c>
      <c r="H3054">
        <v>2020</v>
      </c>
      <c r="I3054" t="s">
        <v>52</v>
      </c>
    </row>
    <row r="3055" spans="1:9" x14ac:dyDescent="0.3">
      <c r="A3055" t="s">
        <v>16</v>
      </c>
      <c r="G3055" s="25">
        <v>44145</v>
      </c>
      <c r="H3055">
        <v>2020</v>
      </c>
      <c r="I3055" t="s">
        <v>52</v>
      </c>
    </row>
    <row r="3056" spans="1:9" x14ac:dyDescent="0.3">
      <c r="A3056" t="s">
        <v>20</v>
      </c>
      <c r="G3056" s="25">
        <v>44146</v>
      </c>
      <c r="H3056">
        <v>2020</v>
      </c>
      <c r="I3056" t="s">
        <v>52</v>
      </c>
    </row>
    <row r="3057" spans="1:9" x14ac:dyDescent="0.3">
      <c r="A3057" t="s">
        <v>37</v>
      </c>
      <c r="B3057">
        <v>108000</v>
      </c>
      <c r="G3057" s="25">
        <v>44146</v>
      </c>
      <c r="H3057">
        <v>2020</v>
      </c>
      <c r="I3057" t="s">
        <v>52</v>
      </c>
    </row>
    <row r="3058" spans="1:9" x14ac:dyDescent="0.3">
      <c r="A3058" t="s">
        <v>17</v>
      </c>
      <c r="B3058">
        <v>216000</v>
      </c>
      <c r="C3058">
        <v>972000</v>
      </c>
      <c r="D3058">
        <v>689000</v>
      </c>
      <c r="E3058">
        <v>1026000</v>
      </c>
      <c r="F3058">
        <v>590000</v>
      </c>
      <c r="G3058" s="25">
        <v>44146</v>
      </c>
      <c r="H3058">
        <v>2020</v>
      </c>
      <c r="I3058" t="s">
        <v>52</v>
      </c>
    </row>
    <row r="3059" spans="1:9" x14ac:dyDescent="0.3">
      <c r="A3059" t="s">
        <v>0</v>
      </c>
      <c r="B3059">
        <v>324000</v>
      </c>
      <c r="G3059" s="25">
        <v>44146</v>
      </c>
      <c r="H3059">
        <v>2020</v>
      </c>
      <c r="I3059" t="s">
        <v>52</v>
      </c>
    </row>
    <row r="3060" spans="1:9" x14ac:dyDescent="0.3">
      <c r="A3060" t="s">
        <v>25</v>
      </c>
      <c r="B3060">
        <v>108000</v>
      </c>
      <c r="G3060" s="25">
        <v>44146</v>
      </c>
      <c r="H3060">
        <v>2020</v>
      </c>
      <c r="I3060" t="s">
        <v>52</v>
      </c>
    </row>
    <row r="3061" spans="1:9" x14ac:dyDescent="0.3">
      <c r="A3061" t="s">
        <v>15</v>
      </c>
      <c r="G3061" s="25">
        <v>44146</v>
      </c>
      <c r="H3061">
        <v>2020</v>
      </c>
      <c r="I3061" t="s">
        <v>52</v>
      </c>
    </row>
    <row r="3062" spans="1:9" x14ac:dyDescent="0.3">
      <c r="A3062" t="s">
        <v>26</v>
      </c>
      <c r="B3062">
        <v>108000</v>
      </c>
      <c r="G3062" s="25">
        <v>44146</v>
      </c>
      <c r="H3062">
        <v>2020</v>
      </c>
      <c r="I3062" t="s">
        <v>52</v>
      </c>
    </row>
    <row r="3063" spans="1:9" x14ac:dyDescent="0.3">
      <c r="A3063" t="s">
        <v>22</v>
      </c>
      <c r="G3063" s="25">
        <v>44146</v>
      </c>
      <c r="H3063">
        <v>2020</v>
      </c>
      <c r="I3063" t="s">
        <v>52</v>
      </c>
    </row>
    <row r="3064" spans="1:9" x14ac:dyDescent="0.3">
      <c r="A3064" t="s">
        <v>19</v>
      </c>
      <c r="B3064">
        <v>215500</v>
      </c>
      <c r="C3064">
        <v>54000</v>
      </c>
      <c r="G3064" s="25">
        <v>44146</v>
      </c>
      <c r="H3064">
        <v>2020</v>
      </c>
      <c r="I3064" t="s">
        <v>52</v>
      </c>
    </row>
    <row r="3065" spans="1:9" x14ac:dyDescent="0.3">
      <c r="A3065" t="s">
        <v>14</v>
      </c>
      <c r="E3065">
        <v>270000</v>
      </c>
      <c r="G3065" s="25">
        <v>44146</v>
      </c>
      <c r="H3065">
        <v>2020</v>
      </c>
      <c r="I3065" t="s">
        <v>52</v>
      </c>
    </row>
    <row r="3066" spans="1:9" x14ac:dyDescent="0.3">
      <c r="A3066" t="s">
        <v>24</v>
      </c>
      <c r="B3066">
        <v>108000</v>
      </c>
      <c r="G3066" s="25">
        <v>44146</v>
      </c>
      <c r="H3066">
        <v>2020</v>
      </c>
      <c r="I3066" t="s">
        <v>52</v>
      </c>
    </row>
    <row r="3067" spans="1:9" x14ac:dyDescent="0.3">
      <c r="A3067" t="s">
        <v>21</v>
      </c>
      <c r="G3067" s="25">
        <v>44146</v>
      </c>
      <c r="H3067">
        <v>2020</v>
      </c>
      <c r="I3067" t="s">
        <v>52</v>
      </c>
    </row>
    <row r="3068" spans="1:9" x14ac:dyDescent="0.3">
      <c r="A3068" t="s">
        <v>18</v>
      </c>
      <c r="G3068" s="25">
        <v>44146</v>
      </c>
      <c r="H3068">
        <v>2020</v>
      </c>
      <c r="I3068" t="s">
        <v>52</v>
      </c>
    </row>
    <row r="3069" spans="1:9" x14ac:dyDescent="0.3">
      <c r="A3069" t="s">
        <v>16</v>
      </c>
      <c r="B3069">
        <v>108000</v>
      </c>
      <c r="G3069" s="25">
        <v>44146</v>
      </c>
      <c r="H3069">
        <v>2020</v>
      </c>
      <c r="I3069" t="s">
        <v>52</v>
      </c>
    </row>
    <row r="3070" spans="1:9" x14ac:dyDescent="0.3">
      <c r="A3070" t="s">
        <v>20</v>
      </c>
      <c r="G3070" s="25">
        <v>44147</v>
      </c>
      <c r="H3070">
        <v>2020</v>
      </c>
      <c r="I3070" t="s">
        <v>52</v>
      </c>
    </row>
    <row r="3071" spans="1:9" x14ac:dyDescent="0.3">
      <c r="A3071" t="s">
        <v>37</v>
      </c>
      <c r="B3071">
        <v>45000</v>
      </c>
      <c r="G3071" s="25">
        <v>44147</v>
      </c>
      <c r="H3071">
        <v>2020</v>
      </c>
      <c r="I3071" t="s">
        <v>52</v>
      </c>
    </row>
    <row r="3072" spans="1:9" x14ac:dyDescent="0.3">
      <c r="A3072" t="s">
        <v>17</v>
      </c>
      <c r="B3072">
        <v>261000</v>
      </c>
      <c r="C3072">
        <v>464000</v>
      </c>
      <c r="E3072">
        <v>378000</v>
      </c>
      <c r="F3072">
        <v>356000</v>
      </c>
      <c r="G3072" s="25">
        <v>44147</v>
      </c>
      <c r="H3072">
        <v>2020</v>
      </c>
      <c r="I3072" t="s">
        <v>52</v>
      </c>
    </row>
    <row r="3073" spans="1:9" x14ac:dyDescent="0.3">
      <c r="A3073" t="s">
        <v>0</v>
      </c>
      <c r="B3073">
        <v>702000</v>
      </c>
      <c r="G3073" s="25">
        <v>44147</v>
      </c>
      <c r="H3073">
        <v>2020</v>
      </c>
      <c r="I3073" t="s">
        <v>52</v>
      </c>
    </row>
    <row r="3074" spans="1:9" x14ac:dyDescent="0.3">
      <c r="A3074" t="s">
        <v>25</v>
      </c>
      <c r="B3074">
        <v>212000</v>
      </c>
      <c r="G3074" s="25">
        <v>44147</v>
      </c>
      <c r="H3074">
        <v>2020</v>
      </c>
      <c r="I3074" t="s">
        <v>52</v>
      </c>
    </row>
    <row r="3075" spans="1:9" x14ac:dyDescent="0.3">
      <c r="A3075" t="s">
        <v>15</v>
      </c>
      <c r="E3075">
        <v>104000</v>
      </c>
      <c r="G3075" s="25">
        <v>44147</v>
      </c>
      <c r="H3075">
        <v>2020</v>
      </c>
      <c r="I3075" t="s">
        <v>52</v>
      </c>
    </row>
    <row r="3076" spans="1:9" x14ac:dyDescent="0.3">
      <c r="A3076" t="s">
        <v>26</v>
      </c>
      <c r="B3076">
        <v>108000</v>
      </c>
      <c r="G3076" s="25">
        <v>44147</v>
      </c>
      <c r="H3076">
        <v>2020</v>
      </c>
      <c r="I3076" t="s">
        <v>52</v>
      </c>
    </row>
    <row r="3077" spans="1:9" x14ac:dyDescent="0.3">
      <c r="A3077" t="s">
        <v>22</v>
      </c>
      <c r="G3077" s="25">
        <v>44147</v>
      </c>
      <c r="H3077">
        <v>2020</v>
      </c>
      <c r="I3077" t="s">
        <v>52</v>
      </c>
    </row>
    <row r="3078" spans="1:9" x14ac:dyDescent="0.3">
      <c r="A3078" t="s">
        <v>19</v>
      </c>
      <c r="B3078">
        <v>324000</v>
      </c>
      <c r="G3078" s="25">
        <v>44147</v>
      </c>
      <c r="H3078">
        <v>2020</v>
      </c>
      <c r="I3078" t="s">
        <v>52</v>
      </c>
    </row>
    <row r="3079" spans="1:9" x14ac:dyDescent="0.3">
      <c r="A3079" t="s">
        <v>14</v>
      </c>
      <c r="C3079">
        <v>162000</v>
      </c>
      <c r="E3079">
        <v>45000</v>
      </c>
      <c r="G3079" s="25">
        <v>44147</v>
      </c>
      <c r="H3079">
        <v>2020</v>
      </c>
      <c r="I3079" t="s">
        <v>52</v>
      </c>
    </row>
    <row r="3080" spans="1:9" x14ac:dyDescent="0.3">
      <c r="A3080" t="s">
        <v>24</v>
      </c>
      <c r="B3080">
        <v>482000</v>
      </c>
      <c r="G3080" s="25">
        <v>44147</v>
      </c>
      <c r="H3080">
        <v>2020</v>
      </c>
      <c r="I3080" t="s">
        <v>52</v>
      </c>
    </row>
    <row r="3081" spans="1:9" x14ac:dyDescent="0.3">
      <c r="A3081" t="s">
        <v>21</v>
      </c>
      <c r="G3081" s="25">
        <v>44147</v>
      </c>
      <c r="H3081">
        <v>2020</v>
      </c>
      <c r="I3081" t="s">
        <v>52</v>
      </c>
    </row>
    <row r="3082" spans="1:9" x14ac:dyDescent="0.3">
      <c r="A3082" t="s">
        <v>18</v>
      </c>
      <c r="G3082" s="25">
        <v>44147</v>
      </c>
      <c r="H3082">
        <v>2020</v>
      </c>
      <c r="I3082" t="s">
        <v>52</v>
      </c>
    </row>
    <row r="3083" spans="1:9" x14ac:dyDescent="0.3">
      <c r="A3083" t="s">
        <v>16</v>
      </c>
      <c r="B3083">
        <v>54000</v>
      </c>
      <c r="C3083">
        <v>378000</v>
      </c>
      <c r="E3083">
        <v>644000</v>
      </c>
      <c r="G3083" s="25">
        <v>44147</v>
      </c>
      <c r="H3083">
        <v>2020</v>
      </c>
      <c r="I3083" t="s">
        <v>52</v>
      </c>
    </row>
    <row r="3084" spans="1:9" x14ac:dyDescent="0.3">
      <c r="A3084" t="s">
        <v>20</v>
      </c>
      <c r="G3084" s="25">
        <v>44148</v>
      </c>
      <c r="H3084">
        <v>2020</v>
      </c>
      <c r="I3084" t="s">
        <v>52</v>
      </c>
    </row>
    <row r="3085" spans="1:9" x14ac:dyDescent="0.3">
      <c r="A3085" t="s">
        <v>37</v>
      </c>
      <c r="G3085" s="25">
        <v>44148</v>
      </c>
      <c r="H3085">
        <v>2020</v>
      </c>
      <c r="I3085" t="s">
        <v>52</v>
      </c>
    </row>
    <row r="3086" spans="1:9" x14ac:dyDescent="0.3">
      <c r="A3086" t="s">
        <v>17</v>
      </c>
      <c r="B3086">
        <v>257000</v>
      </c>
      <c r="C3086">
        <v>49500</v>
      </c>
      <c r="E3086">
        <v>162000</v>
      </c>
      <c r="F3086">
        <v>54000</v>
      </c>
      <c r="G3086" s="25">
        <v>44148</v>
      </c>
      <c r="H3086">
        <v>2020</v>
      </c>
      <c r="I3086" t="s">
        <v>52</v>
      </c>
    </row>
    <row r="3087" spans="1:9" x14ac:dyDescent="0.3">
      <c r="A3087" t="s">
        <v>0</v>
      </c>
      <c r="B3087">
        <v>536000</v>
      </c>
      <c r="G3087" s="25">
        <v>44148</v>
      </c>
      <c r="H3087">
        <v>2020</v>
      </c>
      <c r="I3087" t="s">
        <v>52</v>
      </c>
    </row>
    <row r="3088" spans="1:9" x14ac:dyDescent="0.3">
      <c r="A3088" t="s">
        <v>25</v>
      </c>
      <c r="B3088">
        <v>45000</v>
      </c>
      <c r="G3088" s="25">
        <v>44148</v>
      </c>
      <c r="H3088">
        <v>2020</v>
      </c>
      <c r="I3088" t="s">
        <v>52</v>
      </c>
    </row>
    <row r="3089" spans="1:9" x14ac:dyDescent="0.3">
      <c r="A3089" t="s">
        <v>15</v>
      </c>
      <c r="C3089">
        <v>374000</v>
      </c>
      <c r="E3089">
        <v>432000</v>
      </c>
      <c r="G3089" s="25">
        <v>44148</v>
      </c>
      <c r="H3089">
        <v>2020</v>
      </c>
      <c r="I3089" t="s">
        <v>52</v>
      </c>
    </row>
    <row r="3090" spans="1:9" x14ac:dyDescent="0.3">
      <c r="A3090" t="s">
        <v>26</v>
      </c>
      <c r="B3090">
        <v>162000</v>
      </c>
      <c r="F3090">
        <v>540000</v>
      </c>
      <c r="G3090" s="25">
        <v>44148</v>
      </c>
      <c r="H3090">
        <v>2020</v>
      </c>
      <c r="I3090" t="s">
        <v>52</v>
      </c>
    </row>
    <row r="3091" spans="1:9" x14ac:dyDescent="0.3">
      <c r="A3091" t="s">
        <v>22</v>
      </c>
      <c r="G3091" s="25">
        <v>44148</v>
      </c>
      <c r="H3091">
        <v>2020</v>
      </c>
      <c r="I3091" t="s">
        <v>52</v>
      </c>
    </row>
    <row r="3092" spans="1:9" x14ac:dyDescent="0.3">
      <c r="A3092" t="s">
        <v>19</v>
      </c>
      <c r="B3092">
        <v>162000</v>
      </c>
      <c r="G3092" s="25">
        <v>44148</v>
      </c>
      <c r="H3092">
        <v>2020</v>
      </c>
      <c r="I3092" t="s">
        <v>52</v>
      </c>
    </row>
    <row r="3093" spans="1:9" x14ac:dyDescent="0.3">
      <c r="A3093" t="s">
        <v>14</v>
      </c>
      <c r="C3093">
        <v>585500</v>
      </c>
      <c r="E3093">
        <v>45000</v>
      </c>
      <c r="G3093" s="25">
        <v>44148</v>
      </c>
      <c r="H3093">
        <v>2020</v>
      </c>
      <c r="I3093" t="s">
        <v>52</v>
      </c>
    </row>
    <row r="3094" spans="1:9" x14ac:dyDescent="0.3">
      <c r="A3094" t="s">
        <v>24</v>
      </c>
      <c r="B3094">
        <v>270000</v>
      </c>
      <c r="G3094" s="25">
        <v>44148</v>
      </c>
      <c r="H3094">
        <v>2020</v>
      </c>
      <c r="I3094" t="s">
        <v>52</v>
      </c>
    </row>
    <row r="3095" spans="1:9" x14ac:dyDescent="0.3">
      <c r="A3095" t="s">
        <v>21</v>
      </c>
      <c r="G3095" s="25">
        <v>44148</v>
      </c>
      <c r="H3095">
        <v>2020</v>
      </c>
      <c r="I3095" t="s">
        <v>52</v>
      </c>
    </row>
    <row r="3096" spans="1:9" x14ac:dyDescent="0.3">
      <c r="A3096" t="s">
        <v>18</v>
      </c>
      <c r="G3096" s="25">
        <v>44148</v>
      </c>
      <c r="H3096">
        <v>2020</v>
      </c>
      <c r="I3096" t="s">
        <v>52</v>
      </c>
    </row>
    <row r="3097" spans="1:9" x14ac:dyDescent="0.3">
      <c r="A3097" t="s">
        <v>16</v>
      </c>
      <c r="B3097">
        <v>45000</v>
      </c>
      <c r="C3097">
        <v>486000</v>
      </c>
      <c r="E3097">
        <v>146000</v>
      </c>
      <c r="G3097" s="25">
        <v>44148</v>
      </c>
      <c r="H3097">
        <v>2020</v>
      </c>
      <c r="I3097" t="s">
        <v>52</v>
      </c>
    </row>
    <row r="3098" spans="1:9" x14ac:dyDescent="0.3">
      <c r="A3098" t="s">
        <v>20</v>
      </c>
      <c r="G3098" s="25">
        <v>44149</v>
      </c>
      <c r="H3098">
        <v>2020</v>
      </c>
      <c r="I3098" t="s">
        <v>52</v>
      </c>
    </row>
    <row r="3099" spans="1:9" x14ac:dyDescent="0.3">
      <c r="A3099" t="s">
        <v>37</v>
      </c>
      <c r="G3099" s="25">
        <v>44149</v>
      </c>
      <c r="H3099">
        <v>2020</v>
      </c>
      <c r="I3099" t="s">
        <v>52</v>
      </c>
    </row>
    <row r="3100" spans="1:9" x14ac:dyDescent="0.3">
      <c r="A3100" t="s">
        <v>17</v>
      </c>
      <c r="B3100">
        <v>428000</v>
      </c>
      <c r="C3100">
        <v>319500</v>
      </c>
      <c r="G3100" s="25">
        <v>44149</v>
      </c>
      <c r="H3100">
        <v>2020</v>
      </c>
      <c r="I3100" t="s">
        <v>52</v>
      </c>
    </row>
    <row r="3101" spans="1:9" x14ac:dyDescent="0.3">
      <c r="A3101" t="s">
        <v>0</v>
      </c>
      <c r="B3101">
        <v>747000</v>
      </c>
      <c r="G3101" s="25">
        <v>44149</v>
      </c>
      <c r="H3101">
        <v>2020</v>
      </c>
      <c r="I3101" t="s">
        <v>52</v>
      </c>
    </row>
    <row r="3102" spans="1:9" x14ac:dyDescent="0.3">
      <c r="A3102" t="s">
        <v>25</v>
      </c>
      <c r="B3102">
        <v>50000</v>
      </c>
      <c r="G3102" s="25">
        <v>44149</v>
      </c>
      <c r="H3102">
        <v>2020</v>
      </c>
      <c r="I3102" t="s">
        <v>52</v>
      </c>
    </row>
    <row r="3103" spans="1:9" x14ac:dyDescent="0.3">
      <c r="A3103" t="s">
        <v>15</v>
      </c>
      <c r="C3103">
        <v>536000</v>
      </c>
      <c r="G3103" s="25">
        <v>44149</v>
      </c>
      <c r="H3103">
        <v>2020</v>
      </c>
      <c r="I3103" t="s">
        <v>52</v>
      </c>
    </row>
    <row r="3104" spans="1:9" x14ac:dyDescent="0.3">
      <c r="A3104" t="s">
        <v>26</v>
      </c>
      <c r="B3104">
        <v>378000</v>
      </c>
      <c r="F3104">
        <v>189000</v>
      </c>
      <c r="G3104" s="25">
        <v>44149</v>
      </c>
      <c r="H3104">
        <v>2020</v>
      </c>
      <c r="I3104" t="s">
        <v>52</v>
      </c>
    </row>
    <row r="3105" spans="1:9" x14ac:dyDescent="0.3">
      <c r="A3105" t="s">
        <v>22</v>
      </c>
      <c r="G3105" s="25">
        <v>44149</v>
      </c>
      <c r="H3105">
        <v>2020</v>
      </c>
      <c r="I3105" t="s">
        <v>52</v>
      </c>
    </row>
    <row r="3106" spans="1:9" x14ac:dyDescent="0.3">
      <c r="A3106" t="s">
        <v>19</v>
      </c>
      <c r="B3106">
        <v>270000</v>
      </c>
      <c r="G3106" s="25">
        <v>44149</v>
      </c>
      <c r="H3106">
        <v>2020</v>
      </c>
      <c r="I3106" t="s">
        <v>52</v>
      </c>
    </row>
    <row r="3107" spans="1:9" x14ac:dyDescent="0.3">
      <c r="A3107" t="s">
        <v>14</v>
      </c>
      <c r="C3107">
        <v>481000</v>
      </c>
      <c r="G3107" s="25">
        <v>44149</v>
      </c>
      <c r="H3107">
        <v>2020</v>
      </c>
      <c r="I3107" t="s">
        <v>52</v>
      </c>
    </row>
    <row r="3108" spans="1:9" x14ac:dyDescent="0.3">
      <c r="A3108" t="s">
        <v>24</v>
      </c>
      <c r="G3108" s="25">
        <v>44149</v>
      </c>
      <c r="H3108">
        <v>2020</v>
      </c>
      <c r="I3108" t="s">
        <v>52</v>
      </c>
    </row>
    <row r="3109" spans="1:9" x14ac:dyDescent="0.3">
      <c r="A3109" t="s">
        <v>21</v>
      </c>
      <c r="G3109" s="25">
        <v>44149</v>
      </c>
      <c r="H3109">
        <v>2020</v>
      </c>
      <c r="I3109" t="s">
        <v>52</v>
      </c>
    </row>
    <row r="3110" spans="1:9" x14ac:dyDescent="0.3">
      <c r="A3110" t="s">
        <v>18</v>
      </c>
      <c r="G3110" s="25">
        <v>44149</v>
      </c>
      <c r="H3110">
        <v>2020</v>
      </c>
      <c r="I3110" t="s">
        <v>52</v>
      </c>
    </row>
    <row r="3111" spans="1:9" x14ac:dyDescent="0.3">
      <c r="A3111" t="s">
        <v>16</v>
      </c>
      <c r="C3111">
        <v>695500</v>
      </c>
      <c r="G3111" s="25">
        <v>44149</v>
      </c>
      <c r="H3111">
        <v>2020</v>
      </c>
      <c r="I3111" t="s">
        <v>52</v>
      </c>
    </row>
    <row r="3112" spans="1:9" x14ac:dyDescent="0.3">
      <c r="A3112" t="s">
        <v>20</v>
      </c>
      <c r="G3112" s="25">
        <v>44151</v>
      </c>
      <c r="H3112">
        <v>2020</v>
      </c>
      <c r="I3112" t="s">
        <v>52</v>
      </c>
    </row>
    <row r="3113" spans="1:9" x14ac:dyDescent="0.3">
      <c r="A3113" t="s">
        <v>37</v>
      </c>
      <c r="G3113" s="25">
        <v>44151</v>
      </c>
      <c r="H3113">
        <v>2020</v>
      </c>
      <c r="I3113" t="s">
        <v>52</v>
      </c>
    </row>
    <row r="3114" spans="1:9" x14ac:dyDescent="0.3">
      <c r="A3114" t="s">
        <v>17</v>
      </c>
      <c r="B3114">
        <v>162000</v>
      </c>
      <c r="C3114">
        <v>908500</v>
      </c>
      <c r="G3114" s="25">
        <v>44151</v>
      </c>
      <c r="H3114">
        <v>2020</v>
      </c>
      <c r="I3114" t="s">
        <v>52</v>
      </c>
    </row>
    <row r="3115" spans="1:9" x14ac:dyDescent="0.3">
      <c r="A3115" t="s">
        <v>0</v>
      </c>
      <c r="B3115">
        <v>864000</v>
      </c>
      <c r="G3115" s="25">
        <v>44151</v>
      </c>
      <c r="H3115">
        <v>2020</v>
      </c>
      <c r="I3115" t="s">
        <v>52</v>
      </c>
    </row>
    <row r="3116" spans="1:9" x14ac:dyDescent="0.3">
      <c r="A3116" t="s">
        <v>25</v>
      </c>
      <c r="G3116" s="25">
        <v>44151</v>
      </c>
      <c r="H3116">
        <v>2020</v>
      </c>
      <c r="I3116" t="s">
        <v>52</v>
      </c>
    </row>
    <row r="3117" spans="1:9" x14ac:dyDescent="0.3">
      <c r="A3117" t="s">
        <v>15</v>
      </c>
      <c r="C3117">
        <v>45000</v>
      </c>
      <c r="E3117">
        <v>270000</v>
      </c>
      <c r="G3117" s="25">
        <v>44151</v>
      </c>
      <c r="H3117">
        <v>2020</v>
      </c>
      <c r="I3117" t="s">
        <v>52</v>
      </c>
    </row>
    <row r="3118" spans="1:9" x14ac:dyDescent="0.3">
      <c r="A3118" t="s">
        <v>26</v>
      </c>
      <c r="B3118">
        <v>378000</v>
      </c>
      <c r="F3118">
        <v>270000</v>
      </c>
      <c r="G3118" s="25">
        <v>44151</v>
      </c>
      <c r="H3118">
        <v>2020</v>
      </c>
      <c r="I3118" t="s">
        <v>52</v>
      </c>
    </row>
    <row r="3119" spans="1:9" x14ac:dyDescent="0.3">
      <c r="A3119" t="s">
        <v>22</v>
      </c>
      <c r="G3119" s="25">
        <v>44151</v>
      </c>
      <c r="H3119">
        <v>2020</v>
      </c>
      <c r="I3119" t="s">
        <v>52</v>
      </c>
    </row>
    <row r="3120" spans="1:9" x14ac:dyDescent="0.3">
      <c r="A3120" t="s">
        <v>19</v>
      </c>
      <c r="G3120" s="25">
        <v>44151</v>
      </c>
      <c r="H3120">
        <v>2020</v>
      </c>
      <c r="I3120" t="s">
        <v>52</v>
      </c>
    </row>
    <row r="3121" spans="1:9" x14ac:dyDescent="0.3">
      <c r="A3121" t="s">
        <v>14</v>
      </c>
      <c r="C3121">
        <v>590000</v>
      </c>
      <c r="G3121" s="25">
        <v>44151</v>
      </c>
      <c r="H3121">
        <v>2020</v>
      </c>
      <c r="I3121" t="s">
        <v>52</v>
      </c>
    </row>
    <row r="3122" spans="1:9" x14ac:dyDescent="0.3">
      <c r="A3122" t="s">
        <v>24</v>
      </c>
      <c r="G3122" s="25">
        <v>44151</v>
      </c>
      <c r="H3122">
        <v>2020</v>
      </c>
      <c r="I3122" t="s">
        <v>52</v>
      </c>
    </row>
    <row r="3123" spans="1:9" x14ac:dyDescent="0.3">
      <c r="A3123" t="s">
        <v>21</v>
      </c>
      <c r="G3123" s="25">
        <v>44151</v>
      </c>
      <c r="H3123">
        <v>2020</v>
      </c>
      <c r="I3123" t="s">
        <v>52</v>
      </c>
    </row>
    <row r="3124" spans="1:9" x14ac:dyDescent="0.3">
      <c r="A3124" t="s">
        <v>18</v>
      </c>
      <c r="G3124" s="25">
        <v>44151</v>
      </c>
      <c r="H3124">
        <v>2020</v>
      </c>
      <c r="I3124" t="s">
        <v>52</v>
      </c>
    </row>
    <row r="3125" spans="1:9" x14ac:dyDescent="0.3">
      <c r="A3125" t="s">
        <v>16</v>
      </c>
      <c r="C3125">
        <v>323500</v>
      </c>
      <c r="E3125">
        <v>162000</v>
      </c>
      <c r="G3125" s="25">
        <v>44151</v>
      </c>
      <c r="H3125">
        <v>2020</v>
      </c>
      <c r="I3125" t="s">
        <v>52</v>
      </c>
    </row>
    <row r="3126" spans="1:9" x14ac:dyDescent="0.3">
      <c r="A3126" t="s">
        <v>20</v>
      </c>
      <c r="G3126" s="25">
        <v>44152</v>
      </c>
      <c r="H3126">
        <v>2020</v>
      </c>
      <c r="I3126" t="s">
        <v>52</v>
      </c>
    </row>
    <row r="3127" spans="1:9" x14ac:dyDescent="0.3">
      <c r="A3127" t="s">
        <v>37</v>
      </c>
      <c r="C3127">
        <v>162000</v>
      </c>
      <c r="G3127" s="25">
        <v>44152</v>
      </c>
      <c r="H3127">
        <v>2020</v>
      </c>
      <c r="I3127" t="s">
        <v>52</v>
      </c>
    </row>
    <row r="3128" spans="1:9" x14ac:dyDescent="0.3">
      <c r="A3128" t="s">
        <v>17</v>
      </c>
      <c r="B3128">
        <v>270000</v>
      </c>
      <c r="C3128">
        <v>1342000</v>
      </c>
      <c r="G3128" s="25">
        <v>44152</v>
      </c>
      <c r="H3128">
        <v>2020</v>
      </c>
      <c r="I3128" t="s">
        <v>52</v>
      </c>
    </row>
    <row r="3129" spans="1:9" x14ac:dyDescent="0.3">
      <c r="A3129" t="s">
        <v>0</v>
      </c>
      <c r="B3129">
        <v>797000</v>
      </c>
      <c r="G3129" s="25">
        <v>44152</v>
      </c>
      <c r="H3129">
        <v>2020</v>
      </c>
      <c r="I3129" t="s">
        <v>52</v>
      </c>
    </row>
    <row r="3130" spans="1:9" x14ac:dyDescent="0.3">
      <c r="A3130" t="s">
        <v>25</v>
      </c>
      <c r="G3130" s="25">
        <v>44152</v>
      </c>
      <c r="H3130">
        <v>2020</v>
      </c>
      <c r="I3130" t="s">
        <v>52</v>
      </c>
    </row>
    <row r="3131" spans="1:9" x14ac:dyDescent="0.3">
      <c r="A3131" t="s">
        <v>15</v>
      </c>
      <c r="E3131">
        <v>50000</v>
      </c>
      <c r="G3131" s="25">
        <v>44152</v>
      </c>
      <c r="H3131">
        <v>2020</v>
      </c>
      <c r="I3131" t="s">
        <v>52</v>
      </c>
    </row>
    <row r="3132" spans="1:9" x14ac:dyDescent="0.3">
      <c r="A3132" t="s">
        <v>26</v>
      </c>
      <c r="B3132">
        <v>432000</v>
      </c>
      <c r="G3132" s="25">
        <v>44152</v>
      </c>
      <c r="H3132">
        <v>2020</v>
      </c>
      <c r="I3132" t="s">
        <v>52</v>
      </c>
    </row>
    <row r="3133" spans="1:9" x14ac:dyDescent="0.3">
      <c r="A3133" t="s">
        <v>22</v>
      </c>
      <c r="G3133" s="25">
        <v>44152</v>
      </c>
      <c r="H3133">
        <v>2020</v>
      </c>
      <c r="I3133" t="s">
        <v>52</v>
      </c>
    </row>
    <row r="3134" spans="1:9" x14ac:dyDescent="0.3">
      <c r="A3134" t="s">
        <v>19</v>
      </c>
      <c r="G3134" s="25">
        <v>44152</v>
      </c>
      <c r="H3134">
        <v>2020</v>
      </c>
      <c r="I3134" t="s">
        <v>52</v>
      </c>
    </row>
    <row r="3135" spans="1:9" x14ac:dyDescent="0.3">
      <c r="A3135" t="s">
        <v>14</v>
      </c>
      <c r="C3135">
        <v>486000</v>
      </c>
      <c r="G3135" s="25">
        <v>44152</v>
      </c>
      <c r="H3135">
        <v>2020</v>
      </c>
      <c r="I3135" t="s">
        <v>52</v>
      </c>
    </row>
    <row r="3136" spans="1:9" x14ac:dyDescent="0.3">
      <c r="A3136" t="s">
        <v>24</v>
      </c>
      <c r="G3136" s="25">
        <v>44152</v>
      </c>
      <c r="H3136">
        <v>2020</v>
      </c>
      <c r="I3136" t="s">
        <v>52</v>
      </c>
    </row>
    <row r="3137" spans="1:9" x14ac:dyDescent="0.3">
      <c r="A3137" t="s">
        <v>21</v>
      </c>
      <c r="G3137" s="25">
        <v>44152</v>
      </c>
      <c r="H3137">
        <v>2020</v>
      </c>
      <c r="I3137" t="s">
        <v>52</v>
      </c>
    </row>
    <row r="3138" spans="1:9" x14ac:dyDescent="0.3">
      <c r="A3138" t="s">
        <v>18</v>
      </c>
      <c r="G3138" s="25">
        <v>44152</v>
      </c>
      <c r="H3138">
        <v>2020</v>
      </c>
      <c r="I3138" t="s">
        <v>52</v>
      </c>
    </row>
    <row r="3139" spans="1:9" x14ac:dyDescent="0.3">
      <c r="A3139" t="s">
        <v>16</v>
      </c>
      <c r="C3139">
        <v>162000</v>
      </c>
      <c r="G3139" s="25">
        <v>44152</v>
      </c>
      <c r="H3139">
        <v>2020</v>
      </c>
      <c r="I3139" t="s">
        <v>52</v>
      </c>
    </row>
    <row r="3140" spans="1:9" x14ac:dyDescent="0.3">
      <c r="A3140" t="s">
        <v>20</v>
      </c>
      <c r="G3140" s="25">
        <v>44153</v>
      </c>
      <c r="H3140">
        <v>2020</v>
      </c>
      <c r="I3140" t="s">
        <v>52</v>
      </c>
    </row>
    <row r="3141" spans="1:9" x14ac:dyDescent="0.3">
      <c r="A3141" t="s">
        <v>37</v>
      </c>
      <c r="B3141">
        <v>49500</v>
      </c>
      <c r="C3141">
        <v>594000</v>
      </c>
      <c r="G3141" s="25">
        <v>44153</v>
      </c>
      <c r="H3141">
        <v>2020</v>
      </c>
      <c r="I3141" t="s">
        <v>52</v>
      </c>
    </row>
    <row r="3142" spans="1:9" x14ac:dyDescent="0.3">
      <c r="A3142" t="s">
        <v>17</v>
      </c>
      <c r="B3142">
        <v>270000</v>
      </c>
      <c r="C3142">
        <v>756000</v>
      </c>
      <c r="D3142">
        <v>45000</v>
      </c>
      <c r="E3142">
        <v>54000</v>
      </c>
      <c r="G3142" s="25">
        <v>44153</v>
      </c>
      <c r="H3142">
        <v>2020</v>
      </c>
      <c r="I3142" t="s">
        <v>52</v>
      </c>
    </row>
    <row r="3143" spans="1:9" x14ac:dyDescent="0.3">
      <c r="A3143" t="s">
        <v>0</v>
      </c>
      <c r="B3143">
        <v>378000</v>
      </c>
      <c r="G3143" s="25">
        <v>44153</v>
      </c>
      <c r="H3143">
        <v>2020</v>
      </c>
      <c r="I3143" t="s">
        <v>52</v>
      </c>
    </row>
    <row r="3144" spans="1:9" x14ac:dyDescent="0.3">
      <c r="A3144" t="s">
        <v>25</v>
      </c>
      <c r="G3144" s="25">
        <v>44153</v>
      </c>
      <c r="H3144">
        <v>2020</v>
      </c>
      <c r="I3144" t="s">
        <v>52</v>
      </c>
    </row>
    <row r="3145" spans="1:9" x14ac:dyDescent="0.3">
      <c r="A3145" t="s">
        <v>15</v>
      </c>
      <c r="E3145">
        <v>54000</v>
      </c>
      <c r="G3145" s="25">
        <v>44153</v>
      </c>
      <c r="H3145">
        <v>2020</v>
      </c>
      <c r="I3145" t="s">
        <v>52</v>
      </c>
    </row>
    <row r="3146" spans="1:9" x14ac:dyDescent="0.3">
      <c r="A3146" t="s">
        <v>26</v>
      </c>
      <c r="B3146">
        <v>270000</v>
      </c>
      <c r="E3146">
        <v>50000</v>
      </c>
      <c r="G3146" s="25">
        <v>44153</v>
      </c>
      <c r="H3146">
        <v>2020</v>
      </c>
      <c r="I3146" t="s">
        <v>52</v>
      </c>
    </row>
    <row r="3147" spans="1:9" x14ac:dyDescent="0.3">
      <c r="A3147" t="s">
        <v>22</v>
      </c>
      <c r="G3147" s="25">
        <v>44153</v>
      </c>
      <c r="H3147">
        <v>2020</v>
      </c>
      <c r="I3147" t="s">
        <v>52</v>
      </c>
    </row>
    <row r="3148" spans="1:9" x14ac:dyDescent="0.3">
      <c r="A3148" t="s">
        <v>19</v>
      </c>
      <c r="B3148">
        <v>162000</v>
      </c>
      <c r="G3148" s="25">
        <v>44153</v>
      </c>
      <c r="H3148">
        <v>2020</v>
      </c>
      <c r="I3148" t="s">
        <v>52</v>
      </c>
    </row>
    <row r="3149" spans="1:9" x14ac:dyDescent="0.3">
      <c r="A3149" t="s">
        <v>14</v>
      </c>
      <c r="C3149">
        <v>216000</v>
      </c>
      <c r="G3149" s="25">
        <v>44153</v>
      </c>
      <c r="H3149">
        <v>2020</v>
      </c>
      <c r="I3149" t="s">
        <v>52</v>
      </c>
    </row>
    <row r="3150" spans="1:9" x14ac:dyDescent="0.3">
      <c r="A3150" t="s">
        <v>24</v>
      </c>
      <c r="B3150">
        <v>432000</v>
      </c>
      <c r="G3150" s="25">
        <v>44153</v>
      </c>
      <c r="H3150">
        <v>2020</v>
      </c>
      <c r="I3150" t="s">
        <v>52</v>
      </c>
    </row>
    <row r="3151" spans="1:9" x14ac:dyDescent="0.3">
      <c r="A3151" t="s">
        <v>21</v>
      </c>
      <c r="G3151" s="25">
        <v>44153</v>
      </c>
      <c r="H3151">
        <v>2020</v>
      </c>
      <c r="I3151" t="s">
        <v>52</v>
      </c>
    </row>
    <row r="3152" spans="1:9" x14ac:dyDescent="0.3">
      <c r="A3152" t="s">
        <v>18</v>
      </c>
      <c r="B3152">
        <v>54000</v>
      </c>
      <c r="G3152" s="25">
        <v>44153</v>
      </c>
      <c r="H3152">
        <v>2020</v>
      </c>
      <c r="I3152" t="s">
        <v>52</v>
      </c>
    </row>
    <row r="3153" spans="1:9" x14ac:dyDescent="0.3">
      <c r="A3153" t="s">
        <v>16</v>
      </c>
      <c r="G3153" s="25">
        <v>44153</v>
      </c>
      <c r="H3153">
        <v>2020</v>
      </c>
      <c r="I3153" t="s">
        <v>52</v>
      </c>
    </row>
    <row r="3154" spans="1:9" x14ac:dyDescent="0.3">
      <c r="A3154" t="s">
        <v>20</v>
      </c>
      <c r="G3154" s="25">
        <v>44154</v>
      </c>
      <c r="H3154">
        <v>2020</v>
      </c>
      <c r="I3154" t="s">
        <v>52</v>
      </c>
    </row>
    <row r="3155" spans="1:9" x14ac:dyDescent="0.3">
      <c r="A3155" t="s">
        <v>37</v>
      </c>
      <c r="C3155">
        <v>216000</v>
      </c>
      <c r="G3155" s="25">
        <v>44154</v>
      </c>
      <c r="H3155">
        <v>2020</v>
      </c>
      <c r="I3155" t="s">
        <v>52</v>
      </c>
    </row>
    <row r="3156" spans="1:9" x14ac:dyDescent="0.3">
      <c r="A3156" t="s">
        <v>17</v>
      </c>
      <c r="B3156">
        <v>270000</v>
      </c>
      <c r="C3156">
        <v>698000</v>
      </c>
      <c r="G3156" s="25">
        <v>44154</v>
      </c>
      <c r="H3156">
        <v>2020</v>
      </c>
      <c r="I3156" t="s">
        <v>52</v>
      </c>
    </row>
    <row r="3157" spans="1:9" x14ac:dyDescent="0.3">
      <c r="A3157" t="s">
        <v>0</v>
      </c>
      <c r="B3157">
        <v>755500</v>
      </c>
      <c r="F3157">
        <v>270000</v>
      </c>
      <c r="G3157" s="25">
        <v>44154</v>
      </c>
      <c r="H3157">
        <v>2020</v>
      </c>
      <c r="I3157" t="s">
        <v>52</v>
      </c>
    </row>
    <row r="3158" spans="1:9" x14ac:dyDescent="0.3">
      <c r="A3158" t="s">
        <v>25</v>
      </c>
      <c r="G3158" s="25">
        <v>44154</v>
      </c>
      <c r="H3158">
        <v>2020</v>
      </c>
      <c r="I3158" t="s">
        <v>52</v>
      </c>
    </row>
    <row r="3159" spans="1:9" x14ac:dyDescent="0.3">
      <c r="A3159" t="s">
        <v>15</v>
      </c>
      <c r="E3159">
        <v>45000</v>
      </c>
      <c r="G3159" s="25">
        <v>44154</v>
      </c>
      <c r="H3159">
        <v>2020</v>
      </c>
      <c r="I3159" t="s">
        <v>52</v>
      </c>
    </row>
    <row r="3160" spans="1:9" x14ac:dyDescent="0.3">
      <c r="A3160" t="s">
        <v>26</v>
      </c>
      <c r="B3160">
        <v>324000</v>
      </c>
      <c r="G3160" s="25">
        <v>44154</v>
      </c>
      <c r="H3160">
        <v>2020</v>
      </c>
      <c r="I3160" t="s">
        <v>52</v>
      </c>
    </row>
    <row r="3161" spans="1:9" x14ac:dyDescent="0.3">
      <c r="A3161" t="s">
        <v>22</v>
      </c>
      <c r="G3161" s="25">
        <v>44154</v>
      </c>
      <c r="H3161">
        <v>2020</v>
      </c>
      <c r="I3161" t="s">
        <v>52</v>
      </c>
    </row>
    <row r="3162" spans="1:9" x14ac:dyDescent="0.3">
      <c r="A3162" t="s">
        <v>19</v>
      </c>
      <c r="C3162">
        <v>50000</v>
      </c>
      <c r="G3162" s="25">
        <v>44154</v>
      </c>
      <c r="H3162">
        <v>2020</v>
      </c>
      <c r="I3162" t="s">
        <v>52</v>
      </c>
    </row>
    <row r="3163" spans="1:9" x14ac:dyDescent="0.3">
      <c r="A3163" t="s">
        <v>14</v>
      </c>
      <c r="B3163">
        <v>319500</v>
      </c>
      <c r="C3163">
        <v>45000</v>
      </c>
      <c r="E3163">
        <v>95000</v>
      </c>
      <c r="G3163" s="25">
        <v>44154</v>
      </c>
      <c r="H3163">
        <v>2020</v>
      </c>
      <c r="I3163" t="s">
        <v>52</v>
      </c>
    </row>
    <row r="3164" spans="1:9" x14ac:dyDescent="0.3">
      <c r="A3164" t="s">
        <v>24</v>
      </c>
      <c r="B3164">
        <v>432000</v>
      </c>
      <c r="G3164" s="25">
        <v>44154</v>
      </c>
      <c r="H3164">
        <v>2020</v>
      </c>
      <c r="I3164" t="s">
        <v>52</v>
      </c>
    </row>
    <row r="3165" spans="1:9" x14ac:dyDescent="0.3">
      <c r="A3165" t="s">
        <v>21</v>
      </c>
      <c r="G3165" s="25">
        <v>44154</v>
      </c>
      <c r="H3165">
        <v>2020</v>
      </c>
      <c r="I3165" t="s">
        <v>52</v>
      </c>
    </row>
    <row r="3166" spans="1:9" x14ac:dyDescent="0.3">
      <c r="A3166" t="s">
        <v>18</v>
      </c>
      <c r="G3166" s="25">
        <v>44154</v>
      </c>
      <c r="H3166">
        <v>2020</v>
      </c>
      <c r="I3166" t="s">
        <v>52</v>
      </c>
    </row>
    <row r="3167" spans="1:9" x14ac:dyDescent="0.3">
      <c r="A3167" t="s">
        <v>16</v>
      </c>
      <c r="B3167">
        <v>52000</v>
      </c>
      <c r="E3167">
        <v>45000</v>
      </c>
      <c r="G3167" s="25">
        <v>44154</v>
      </c>
      <c r="H3167">
        <v>2020</v>
      </c>
      <c r="I3167" t="s">
        <v>52</v>
      </c>
    </row>
    <row r="3168" spans="1:9" x14ac:dyDescent="0.3">
      <c r="A3168" t="s">
        <v>20</v>
      </c>
      <c r="G3168" s="25">
        <v>44155</v>
      </c>
      <c r="H3168">
        <v>2020</v>
      </c>
      <c r="I3168" t="s">
        <v>52</v>
      </c>
    </row>
    <row r="3169" spans="1:9" x14ac:dyDescent="0.3">
      <c r="A3169" t="s">
        <v>37</v>
      </c>
      <c r="G3169" s="25">
        <v>44155</v>
      </c>
      <c r="H3169">
        <v>2020</v>
      </c>
      <c r="I3169" t="s">
        <v>52</v>
      </c>
    </row>
    <row r="3170" spans="1:9" x14ac:dyDescent="0.3">
      <c r="A3170" t="s">
        <v>17</v>
      </c>
      <c r="B3170">
        <v>432000</v>
      </c>
      <c r="G3170" s="25">
        <v>44155</v>
      </c>
      <c r="H3170">
        <v>2020</v>
      </c>
      <c r="I3170" t="s">
        <v>52</v>
      </c>
    </row>
    <row r="3171" spans="1:9" x14ac:dyDescent="0.3">
      <c r="A3171" t="s">
        <v>0</v>
      </c>
      <c r="B3171">
        <v>378000</v>
      </c>
      <c r="F3171">
        <v>324000</v>
      </c>
      <c r="G3171" s="25">
        <v>44155</v>
      </c>
      <c r="H3171">
        <v>2020</v>
      </c>
      <c r="I3171" t="s">
        <v>52</v>
      </c>
    </row>
    <row r="3172" spans="1:9" x14ac:dyDescent="0.3">
      <c r="A3172" t="s">
        <v>25</v>
      </c>
      <c r="C3172">
        <v>968000</v>
      </c>
      <c r="E3172">
        <v>972000</v>
      </c>
      <c r="G3172" s="25">
        <v>44155</v>
      </c>
      <c r="H3172">
        <v>2020</v>
      </c>
      <c r="I3172" t="s">
        <v>52</v>
      </c>
    </row>
    <row r="3173" spans="1:9" x14ac:dyDescent="0.3">
      <c r="A3173" t="s">
        <v>15</v>
      </c>
      <c r="G3173" s="25">
        <v>44155</v>
      </c>
      <c r="H3173">
        <v>2020</v>
      </c>
      <c r="I3173" t="s">
        <v>52</v>
      </c>
    </row>
    <row r="3174" spans="1:9" x14ac:dyDescent="0.3">
      <c r="A3174" t="s">
        <v>26</v>
      </c>
      <c r="B3174">
        <v>108000</v>
      </c>
      <c r="G3174" s="25">
        <v>44155</v>
      </c>
      <c r="H3174">
        <v>2020</v>
      </c>
      <c r="I3174" t="s">
        <v>52</v>
      </c>
    </row>
    <row r="3175" spans="1:9" x14ac:dyDescent="0.3">
      <c r="A3175" t="s">
        <v>22</v>
      </c>
      <c r="G3175" s="25">
        <v>44155</v>
      </c>
      <c r="H3175">
        <v>2020</v>
      </c>
      <c r="I3175" t="s">
        <v>52</v>
      </c>
    </row>
    <row r="3176" spans="1:9" x14ac:dyDescent="0.3">
      <c r="A3176" t="s">
        <v>19</v>
      </c>
      <c r="D3176">
        <v>486000</v>
      </c>
      <c r="G3176" s="25">
        <v>44155</v>
      </c>
      <c r="H3176">
        <v>2020</v>
      </c>
      <c r="I3176" t="s">
        <v>52</v>
      </c>
    </row>
    <row r="3177" spans="1:9" x14ac:dyDescent="0.3">
      <c r="A3177" t="s">
        <v>14</v>
      </c>
      <c r="B3177">
        <v>481000</v>
      </c>
      <c r="E3177">
        <v>90000</v>
      </c>
      <c r="G3177" s="25">
        <v>44155</v>
      </c>
      <c r="H3177">
        <v>2020</v>
      </c>
      <c r="I3177" t="s">
        <v>52</v>
      </c>
    </row>
    <row r="3178" spans="1:9" x14ac:dyDescent="0.3">
      <c r="A3178" t="s">
        <v>24</v>
      </c>
      <c r="G3178" s="25">
        <v>44155</v>
      </c>
      <c r="H3178">
        <v>2020</v>
      </c>
      <c r="I3178" t="s">
        <v>52</v>
      </c>
    </row>
    <row r="3179" spans="1:9" x14ac:dyDescent="0.3">
      <c r="A3179" t="s">
        <v>21</v>
      </c>
      <c r="G3179" s="25">
        <v>44155</v>
      </c>
      <c r="H3179">
        <v>2020</v>
      </c>
      <c r="I3179" t="s">
        <v>52</v>
      </c>
    </row>
    <row r="3180" spans="1:9" x14ac:dyDescent="0.3">
      <c r="A3180" t="s">
        <v>18</v>
      </c>
      <c r="G3180" s="25">
        <v>44155</v>
      </c>
      <c r="H3180">
        <v>2020</v>
      </c>
      <c r="I3180" t="s">
        <v>52</v>
      </c>
    </row>
    <row r="3181" spans="1:9" x14ac:dyDescent="0.3">
      <c r="A3181" t="s">
        <v>16</v>
      </c>
      <c r="G3181" s="25">
        <v>44155</v>
      </c>
      <c r="H3181">
        <v>2020</v>
      </c>
      <c r="I3181" t="s">
        <v>52</v>
      </c>
    </row>
    <row r="3182" spans="1:9" x14ac:dyDescent="0.3">
      <c r="A3182" t="s">
        <v>20</v>
      </c>
      <c r="G3182" s="25">
        <v>44156</v>
      </c>
      <c r="H3182">
        <v>2020</v>
      </c>
      <c r="I3182" t="s">
        <v>52</v>
      </c>
    </row>
    <row r="3183" spans="1:9" x14ac:dyDescent="0.3">
      <c r="A3183" t="s">
        <v>37</v>
      </c>
      <c r="G3183" s="25">
        <v>44156</v>
      </c>
      <c r="H3183">
        <v>2020</v>
      </c>
      <c r="I3183" t="s">
        <v>52</v>
      </c>
    </row>
    <row r="3184" spans="1:9" x14ac:dyDescent="0.3">
      <c r="A3184" t="s">
        <v>17</v>
      </c>
      <c r="B3184">
        <v>432000</v>
      </c>
      <c r="G3184" s="25">
        <v>44156</v>
      </c>
      <c r="H3184">
        <v>2020</v>
      </c>
      <c r="I3184" t="s">
        <v>52</v>
      </c>
    </row>
    <row r="3185" spans="1:9" x14ac:dyDescent="0.3">
      <c r="A3185" t="s">
        <v>0</v>
      </c>
      <c r="G3185" s="25">
        <v>44156</v>
      </c>
      <c r="H3185">
        <v>2020</v>
      </c>
      <c r="I3185" t="s">
        <v>52</v>
      </c>
    </row>
    <row r="3186" spans="1:9" x14ac:dyDescent="0.3">
      <c r="A3186" t="s">
        <v>25</v>
      </c>
      <c r="C3186">
        <v>1336500</v>
      </c>
      <c r="E3186">
        <v>590000</v>
      </c>
      <c r="G3186" s="25">
        <v>44156</v>
      </c>
      <c r="H3186">
        <v>2020</v>
      </c>
      <c r="I3186" t="s">
        <v>52</v>
      </c>
    </row>
    <row r="3187" spans="1:9" x14ac:dyDescent="0.3">
      <c r="A3187" t="s">
        <v>15</v>
      </c>
      <c r="E3187">
        <v>45000</v>
      </c>
      <c r="G3187" s="25">
        <v>44156</v>
      </c>
      <c r="H3187">
        <v>2020</v>
      </c>
      <c r="I3187" t="s">
        <v>52</v>
      </c>
    </row>
    <row r="3188" spans="1:9" x14ac:dyDescent="0.3">
      <c r="A3188" t="s">
        <v>26</v>
      </c>
      <c r="G3188" s="25">
        <v>44156</v>
      </c>
      <c r="H3188">
        <v>2020</v>
      </c>
      <c r="I3188" t="s">
        <v>52</v>
      </c>
    </row>
    <row r="3189" spans="1:9" x14ac:dyDescent="0.3">
      <c r="A3189" t="s">
        <v>22</v>
      </c>
      <c r="G3189" s="25">
        <v>44156</v>
      </c>
      <c r="H3189">
        <v>2020</v>
      </c>
      <c r="I3189" t="s">
        <v>52</v>
      </c>
    </row>
    <row r="3190" spans="1:9" x14ac:dyDescent="0.3">
      <c r="A3190" t="s">
        <v>19</v>
      </c>
      <c r="G3190" s="25">
        <v>44156</v>
      </c>
      <c r="H3190">
        <v>2020</v>
      </c>
      <c r="I3190" t="s">
        <v>52</v>
      </c>
    </row>
    <row r="3191" spans="1:9" x14ac:dyDescent="0.3">
      <c r="A3191" t="s">
        <v>14</v>
      </c>
      <c r="B3191">
        <v>540000</v>
      </c>
      <c r="G3191" s="25">
        <v>44156</v>
      </c>
      <c r="H3191">
        <v>2020</v>
      </c>
      <c r="I3191" t="s">
        <v>52</v>
      </c>
    </row>
    <row r="3192" spans="1:9" x14ac:dyDescent="0.3">
      <c r="A3192" t="s">
        <v>24</v>
      </c>
      <c r="B3192">
        <v>486000</v>
      </c>
      <c r="G3192" s="25">
        <v>44156</v>
      </c>
      <c r="H3192">
        <v>2020</v>
      </c>
      <c r="I3192" t="s">
        <v>52</v>
      </c>
    </row>
    <row r="3193" spans="1:9" x14ac:dyDescent="0.3">
      <c r="A3193" t="s">
        <v>21</v>
      </c>
      <c r="G3193" s="25">
        <v>44156</v>
      </c>
      <c r="H3193">
        <v>2020</v>
      </c>
      <c r="I3193" t="s">
        <v>52</v>
      </c>
    </row>
    <row r="3194" spans="1:9" x14ac:dyDescent="0.3">
      <c r="A3194" t="s">
        <v>18</v>
      </c>
      <c r="G3194" s="25">
        <v>44156</v>
      </c>
      <c r="H3194">
        <v>2020</v>
      </c>
      <c r="I3194" t="s">
        <v>52</v>
      </c>
    </row>
    <row r="3195" spans="1:9" x14ac:dyDescent="0.3">
      <c r="A3195" t="s">
        <v>16</v>
      </c>
      <c r="B3195">
        <v>324000</v>
      </c>
      <c r="D3195">
        <v>810000</v>
      </c>
      <c r="G3195" s="25">
        <v>44156</v>
      </c>
      <c r="H3195">
        <v>2020</v>
      </c>
      <c r="I3195" t="s">
        <v>52</v>
      </c>
    </row>
    <row r="3196" spans="1:9" x14ac:dyDescent="0.3">
      <c r="A3196" t="s">
        <v>20</v>
      </c>
      <c r="G3196" s="25">
        <v>44158</v>
      </c>
      <c r="H3196">
        <v>2020</v>
      </c>
      <c r="I3196" t="s">
        <v>52</v>
      </c>
    </row>
    <row r="3197" spans="1:9" x14ac:dyDescent="0.3">
      <c r="A3197" t="s">
        <v>37</v>
      </c>
      <c r="G3197" s="25">
        <v>44158</v>
      </c>
      <c r="H3197">
        <v>2020</v>
      </c>
      <c r="I3197" t="s">
        <v>52</v>
      </c>
    </row>
    <row r="3198" spans="1:9" x14ac:dyDescent="0.3">
      <c r="A3198" t="s">
        <v>17</v>
      </c>
      <c r="B3198">
        <v>270000</v>
      </c>
      <c r="G3198" s="25">
        <v>44158</v>
      </c>
      <c r="H3198">
        <v>2020</v>
      </c>
      <c r="I3198" t="s">
        <v>52</v>
      </c>
    </row>
    <row r="3199" spans="1:9" x14ac:dyDescent="0.3">
      <c r="A3199" t="s">
        <v>0</v>
      </c>
      <c r="G3199" s="25">
        <v>44158</v>
      </c>
      <c r="H3199">
        <v>2020</v>
      </c>
      <c r="I3199" t="s">
        <v>52</v>
      </c>
    </row>
    <row r="3200" spans="1:9" x14ac:dyDescent="0.3">
      <c r="A3200" t="s">
        <v>25</v>
      </c>
      <c r="C3200">
        <v>540000</v>
      </c>
      <c r="E3200">
        <v>378000</v>
      </c>
      <c r="G3200" s="25">
        <v>44158</v>
      </c>
      <c r="H3200">
        <v>2020</v>
      </c>
      <c r="I3200" t="s">
        <v>52</v>
      </c>
    </row>
    <row r="3201" spans="1:9" x14ac:dyDescent="0.3">
      <c r="A3201" t="s">
        <v>15</v>
      </c>
      <c r="G3201" s="25">
        <v>44158</v>
      </c>
      <c r="H3201">
        <v>2020</v>
      </c>
      <c r="I3201" t="s">
        <v>52</v>
      </c>
    </row>
    <row r="3202" spans="1:9" x14ac:dyDescent="0.3">
      <c r="A3202" t="s">
        <v>26</v>
      </c>
      <c r="G3202" s="25">
        <v>44158</v>
      </c>
      <c r="H3202">
        <v>2020</v>
      </c>
      <c r="I3202" t="s">
        <v>52</v>
      </c>
    </row>
    <row r="3203" spans="1:9" x14ac:dyDescent="0.3">
      <c r="A3203" t="s">
        <v>22</v>
      </c>
      <c r="G3203" s="25">
        <v>44158</v>
      </c>
      <c r="H3203">
        <v>2020</v>
      </c>
      <c r="I3203" t="s">
        <v>52</v>
      </c>
    </row>
    <row r="3204" spans="1:9" x14ac:dyDescent="0.3">
      <c r="A3204" t="s">
        <v>19</v>
      </c>
      <c r="G3204" s="25">
        <v>44158</v>
      </c>
      <c r="H3204">
        <v>2020</v>
      </c>
      <c r="I3204" t="s">
        <v>52</v>
      </c>
    </row>
    <row r="3205" spans="1:9" x14ac:dyDescent="0.3">
      <c r="A3205" t="s">
        <v>14</v>
      </c>
      <c r="B3205">
        <v>373500</v>
      </c>
      <c r="G3205" s="25">
        <v>44158</v>
      </c>
      <c r="H3205">
        <v>2020</v>
      </c>
      <c r="I3205" t="s">
        <v>52</v>
      </c>
    </row>
    <row r="3206" spans="1:9" x14ac:dyDescent="0.3">
      <c r="A3206" t="s">
        <v>24</v>
      </c>
      <c r="B3206">
        <v>486000</v>
      </c>
      <c r="G3206" s="25">
        <v>44158</v>
      </c>
      <c r="H3206">
        <v>2020</v>
      </c>
      <c r="I3206" t="s">
        <v>52</v>
      </c>
    </row>
    <row r="3207" spans="1:9" x14ac:dyDescent="0.3">
      <c r="A3207" t="s">
        <v>21</v>
      </c>
      <c r="G3207" s="25">
        <v>44158</v>
      </c>
      <c r="H3207">
        <v>2020</v>
      </c>
      <c r="I3207" t="s">
        <v>52</v>
      </c>
    </row>
    <row r="3208" spans="1:9" x14ac:dyDescent="0.3">
      <c r="A3208" t="s">
        <v>18</v>
      </c>
      <c r="G3208" s="25">
        <v>44158</v>
      </c>
      <c r="H3208">
        <v>2020</v>
      </c>
      <c r="I3208" t="s">
        <v>52</v>
      </c>
    </row>
    <row r="3209" spans="1:9" x14ac:dyDescent="0.3">
      <c r="A3209" t="s">
        <v>16</v>
      </c>
      <c r="B3209">
        <v>324000</v>
      </c>
      <c r="D3209">
        <v>198000</v>
      </c>
      <c r="G3209" s="25">
        <v>44158</v>
      </c>
      <c r="H3209">
        <v>2020</v>
      </c>
      <c r="I3209" t="s">
        <v>52</v>
      </c>
    </row>
    <row r="3210" spans="1:9" x14ac:dyDescent="0.3">
      <c r="A3210" t="s">
        <v>20</v>
      </c>
      <c r="G3210" s="25">
        <v>44159</v>
      </c>
      <c r="H3210">
        <v>2020</v>
      </c>
      <c r="I3210" t="s">
        <v>52</v>
      </c>
    </row>
    <row r="3211" spans="1:9" x14ac:dyDescent="0.3">
      <c r="A3211" t="s">
        <v>37</v>
      </c>
      <c r="G3211" s="25">
        <v>44159</v>
      </c>
      <c r="H3211">
        <v>2020</v>
      </c>
      <c r="I3211" t="s">
        <v>52</v>
      </c>
    </row>
    <row r="3212" spans="1:9" x14ac:dyDescent="0.3">
      <c r="A3212" t="s">
        <v>17</v>
      </c>
      <c r="B3212">
        <v>216000</v>
      </c>
      <c r="G3212" s="25">
        <v>44159</v>
      </c>
      <c r="H3212">
        <v>2020</v>
      </c>
      <c r="I3212" t="s">
        <v>52</v>
      </c>
    </row>
    <row r="3213" spans="1:9" x14ac:dyDescent="0.3">
      <c r="A3213" t="s">
        <v>0</v>
      </c>
      <c r="G3213" s="25">
        <v>44159</v>
      </c>
      <c r="H3213">
        <v>2020</v>
      </c>
      <c r="I3213" t="s">
        <v>52</v>
      </c>
    </row>
    <row r="3214" spans="1:9" x14ac:dyDescent="0.3">
      <c r="A3214" t="s">
        <v>25</v>
      </c>
      <c r="C3214">
        <v>54000</v>
      </c>
      <c r="E3214">
        <v>54000</v>
      </c>
      <c r="G3214" s="25">
        <v>44159</v>
      </c>
      <c r="H3214">
        <v>2020</v>
      </c>
      <c r="I3214" t="s">
        <v>52</v>
      </c>
    </row>
    <row r="3215" spans="1:9" x14ac:dyDescent="0.3">
      <c r="A3215" t="s">
        <v>15</v>
      </c>
      <c r="G3215" s="25">
        <v>44159</v>
      </c>
      <c r="H3215">
        <v>2020</v>
      </c>
      <c r="I3215" t="s">
        <v>52</v>
      </c>
    </row>
    <row r="3216" spans="1:9" x14ac:dyDescent="0.3">
      <c r="A3216" t="s">
        <v>26</v>
      </c>
      <c r="G3216" s="25">
        <v>44159</v>
      </c>
      <c r="H3216">
        <v>2020</v>
      </c>
      <c r="I3216" t="s">
        <v>52</v>
      </c>
    </row>
    <row r="3217" spans="1:9" x14ac:dyDescent="0.3">
      <c r="A3217" t="s">
        <v>22</v>
      </c>
      <c r="G3217" s="25">
        <v>44159</v>
      </c>
      <c r="H3217">
        <v>2020</v>
      </c>
      <c r="I3217" t="s">
        <v>52</v>
      </c>
    </row>
    <row r="3218" spans="1:9" x14ac:dyDescent="0.3">
      <c r="A3218" t="s">
        <v>19</v>
      </c>
      <c r="G3218" s="25">
        <v>44159</v>
      </c>
      <c r="H3218">
        <v>2020</v>
      </c>
      <c r="I3218" t="s">
        <v>52</v>
      </c>
    </row>
    <row r="3219" spans="1:9" x14ac:dyDescent="0.3">
      <c r="A3219" t="s">
        <v>14</v>
      </c>
      <c r="B3219">
        <v>644000</v>
      </c>
      <c r="G3219" s="25">
        <v>44159</v>
      </c>
      <c r="H3219">
        <v>2020</v>
      </c>
      <c r="I3219" t="s">
        <v>52</v>
      </c>
    </row>
    <row r="3220" spans="1:9" x14ac:dyDescent="0.3">
      <c r="A3220" t="s">
        <v>24</v>
      </c>
      <c r="B3220">
        <v>216000</v>
      </c>
      <c r="G3220" s="25">
        <v>44159</v>
      </c>
      <c r="H3220">
        <v>2020</v>
      </c>
      <c r="I3220" t="s">
        <v>52</v>
      </c>
    </row>
    <row r="3221" spans="1:9" x14ac:dyDescent="0.3">
      <c r="A3221" t="s">
        <v>21</v>
      </c>
      <c r="C3221">
        <v>1503000</v>
      </c>
      <c r="E3221">
        <v>432000</v>
      </c>
      <c r="G3221" s="25">
        <v>44159</v>
      </c>
      <c r="H3221">
        <v>2020</v>
      </c>
      <c r="I3221" t="s">
        <v>52</v>
      </c>
    </row>
    <row r="3222" spans="1:9" x14ac:dyDescent="0.3">
      <c r="A3222" t="s">
        <v>18</v>
      </c>
      <c r="G3222" s="25">
        <v>44159</v>
      </c>
      <c r="H3222">
        <v>2020</v>
      </c>
      <c r="I3222" t="s">
        <v>52</v>
      </c>
    </row>
    <row r="3223" spans="1:9" x14ac:dyDescent="0.3">
      <c r="A3223" t="s">
        <v>16</v>
      </c>
      <c r="B3223">
        <v>536000</v>
      </c>
      <c r="D3223">
        <v>45000</v>
      </c>
      <c r="G3223" s="25">
        <v>44159</v>
      </c>
      <c r="H3223">
        <v>2020</v>
      </c>
      <c r="I3223" t="s">
        <v>52</v>
      </c>
    </row>
    <row r="3224" spans="1:9" x14ac:dyDescent="0.3">
      <c r="A3224" t="s">
        <v>20</v>
      </c>
      <c r="G3224" s="25">
        <v>44160</v>
      </c>
      <c r="H3224">
        <v>2020</v>
      </c>
      <c r="I3224" t="s">
        <v>52</v>
      </c>
    </row>
    <row r="3225" spans="1:9" x14ac:dyDescent="0.3">
      <c r="A3225" t="s">
        <v>37</v>
      </c>
      <c r="G3225" s="25">
        <v>44160</v>
      </c>
      <c r="H3225">
        <v>2020</v>
      </c>
      <c r="I3225" t="s">
        <v>52</v>
      </c>
    </row>
    <row r="3226" spans="1:9" x14ac:dyDescent="0.3">
      <c r="A3226" t="s">
        <v>17</v>
      </c>
      <c r="E3226">
        <v>270000</v>
      </c>
      <c r="G3226" s="25">
        <v>44160</v>
      </c>
      <c r="H3226">
        <v>2020</v>
      </c>
      <c r="I3226" t="s">
        <v>52</v>
      </c>
    </row>
    <row r="3227" spans="1:9" x14ac:dyDescent="0.3">
      <c r="A3227" t="s">
        <v>0</v>
      </c>
      <c r="B3227">
        <v>1890000</v>
      </c>
      <c r="C3227">
        <v>540000</v>
      </c>
      <c r="E3227">
        <v>432000</v>
      </c>
      <c r="G3227" s="25">
        <v>44160</v>
      </c>
      <c r="H3227">
        <v>2020</v>
      </c>
      <c r="I3227" t="s">
        <v>52</v>
      </c>
    </row>
    <row r="3228" spans="1:9" x14ac:dyDescent="0.3">
      <c r="A3228" t="s">
        <v>25</v>
      </c>
      <c r="G3228" s="25">
        <v>44160</v>
      </c>
      <c r="H3228">
        <v>2020</v>
      </c>
      <c r="I3228" t="s">
        <v>52</v>
      </c>
    </row>
    <row r="3229" spans="1:9" x14ac:dyDescent="0.3">
      <c r="A3229" t="s">
        <v>15</v>
      </c>
      <c r="G3229" s="25">
        <v>44160</v>
      </c>
      <c r="H3229">
        <v>2020</v>
      </c>
      <c r="I3229" t="s">
        <v>52</v>
      </c>
    </row>
    <row r="3230" spans="1:9" x14ac:dyDescent="0.3">
      <c r="A3230" t="s">
        <v>26</v>
      </c>
      <c r="G3230" s="25">
        <v>44160</v>
      </c>
      <c r="H3230">
        <v>2020</v>
      </c>
      <c r="I3230" t="s">
        <v>52</v>
      </c>
    </row>
    <row r="3231" spans="1:9" x14ac:dyDescent="0.3">
      <c r="A3231" t="s">
        <v>22</v>
      </c>
      <c r="G3231" s="25">
        <v>44160</v>
      </c>
      <c r="H3231">
        <v>2020</v>
      </c>
      <c r="I3231" t="s">
        <v>52</v>
      </c>
    </row>
    <row r="3232" spans="1:9" x14ac:dyDescent="0.3">
      <c r="A3232" t="s">
        <v>19</v>
      </c>
      <c r="C3232">
        <v>306000</v>
      </c>
      <c r="G3232" s="25">
        <v>44160</v>
      </c>
      <c r="H3232">
        <v>2020</v>
      </c>
      <c r="I3232" t="s">
        <v>52</v>
      </c>
    </row>
    <row r="3233" spans="1:9" x14ac:dyDescent="0.3">
      <c r="A3233" t="s">
        <v>14</v>
      </c>
      <c r="B3233">
        <v>54000</v>
      </c>
      <c r="G3233" s="25">
        <v>44160</v>
      </c>
      <c r="H3233">
        <v>2020</v>
      </c>
      <c r="I3233" t="s">
        <v>52</v>
      </c>
    </row>
    <row r="3234" spans="1:9" x14ac:dyDescent="0.3">
      <c r="A3234" t="s">
        <v>24</v>
      </c>
      <c r="G3234" s="25">
        <v>44160</v>
      </c>
      <c r="H3234">
        <v>2020</v>
      </c>
      <c r="I3234" t="s">
        <v>52</v>
      </c>
    </row>
    <row r="3235" spans="1:9" x14ac:dyDescent="0.3">
      <c r="A3235" t="s">
        <v>21</v>
      </c>
      <c r="C3235">
        <v>270000</v>
      </c>
      <c r="G3235" s="25">
        <v>44160</v>
      </c>
      <c r="H3235">
        <v>2020</v>
      </c>
      <c r="I3235" t="s">
        <v>52</v>
      </c>
    </row>
    <row r="3236" spans="1:9" x14ac:dyDescent="0.3">
      <c r="A3236" t="s">
        <v>18</v>
      </c>
      <c r="G3236" s="25">
        <v>44160</v>
      </c>
      <c r="H3236">
        <v>2020</v>
      </c>
      <c r="I3236" t="s">
        <v>52</v>
      </c>
    </row>
    <row r="3237" spans="1:9" x14ac:dyDescent="0.3">
      <c r="A3237" t="s">
        <v>16</v>
      </c>
      <c r="B3237">
        <v>216000</v>
      </c>
      <c r="D3237">
        <v>47000</v>
      </c>
      <c r="G3237" s="25">
        <v>44160</v>
      </c>
      <c r="H3237">
        <v>2020</v>
      </c>
      <c r="I3237" t="s">
        <v>52</v>
      </c>
    </row>
    <row r="3238" spans="1:9" x14ac:dyDescent="0.3">
      <c r="A3238" t="s">
        <v>20</v>
      </c>
      <c r="G3238" s="25">
        <v>44161</v>
      </c>
      <c r="H3238">
        <v>2020</v>
      </c>
      <c r="I3238" t="s">
        <v>52</v>
      </c>
    </row>
    <row r="3239" spans="1:9" x14ac:dyDescent="0.3">
      <c r="A3239" t="s">
        <v>37</v>
      </c>
      <c r="G3239" s="25">
        <v>44161</v>
      </c>
      <c r="H3239">
        <v>2020</v>
      </c>
      <c r="I3239" t="s">
        <v>52</v>
      </c>
    </row>
    <row r="3240" spans="1:9" x14ac:dyDescent="0.3">
      <c r="A3240" t="s">
        <v>17</v>
      </c>
      <c r="B3240">
        <v>162000</v>
      </c>
      <c r="E3240">
        <v>108000</v>
      </c>
      <c r="G3240" s="25">
        <v>44161</v>
      </c>
      <c r="H3240">
        <v>2020</v>
      </c>
      <c r="I3240" t="s">
        <v>52</v>
      </c>
    </row>
    <row r="3241" spans="1:9" x14ac:dyDescent="0.3">
      <c r="A3241" t="s">
        <v>0</v>
      </c>
      <c r="B3241">
        <v>2031500</v>
      </c>
      <c r="C3241">
        <v>684000</v>
      </c>
      <c r="E3241">
        <v>108000</v>
      </c>
      <c r="G3241" s="25">
        <v>44161</v>
      </c>
      <c r="H3241">
        <v>2020</v>
      </c>
      <c r="I3241" t="s">
        <v>52</v>
      </c>
    </row>
    <row r="3242" spans="1:9" x14ac:dyDescent="0.3">
      <c r="A3242" t="s">
        <v>25</v>
      </c>
      <c r="B3242">
        <v>90000</v>
      </c>
      <c r="C3242">
        <v>54000</v>
      </c>
      <c r="G3242" s="25">
        <v>44161</v>
      </c>
      <c r="H3242">
        <v>2020</v>
      </c>
      <c r="I3242" t="s">
        <v>52</v>
      </c>
    </row>
    <row r="3243" spans="1:9" x14ac:dyDescent="0.3">
      <c r="A3243" t="s">
        <v>15</v>
      </c>
      <c r="C3243">
        <v>103500</v>
      </c>
      <c r="E3243">
        <v>108000</v>
      </c>
      <c r="G3243" s="25">
        <v>44161</v>
      </c>
      <c r="H3243">
        <v>2020</v>
      </c>
      <c r="I3243" t="s">
        <v>52</v>
      </c>
    </row>
    <row r="3244" spans="1:9" x14ac:dyDescent="0.3">
      <c r="A3244" t="s">
        <v>26</v>
      </c>
      <c r="G3244" s="25">
        <v>44161</v>
      </c>
      <c r="H3244">
        <v>2020</v>
      </c>
      <c r="I3244" t="s">
        <v>52</v>
      </c>
    </row>
    <row r="3245" spans="1:9" x14ac:dyDescent="0.3">
      <c r="A3245" t="s">
        <v>22</v>
      </c>
      <c r="G3245" s="25">
        <v>44161</v>
      </c>
      <c r="H3245">
        <v>2020</v>
      </c>
      <c r="I3245" t="s">
        <v>52</v>
      </c>
    </row>
    <row r="3246" spans="1:9" x14ac:dyDescent="0.3">
      <c r="A3246" t="s">
        <v>19</v>
      </c>
      <c r="C3246">
        <v>261000</v>
      </c>
      <c r="G3246" s="25">
        <v>44161</v>
      </c>
      <c r="H3246">
        <v>2020</v>
      </c>
      <c r="I3246" t="s">
        <v>52</v>
      </c>
    </row>
    <row r="3247" spans="1:9" x14ac:dyDescent="0.3">
      <c r="A3247" t="s">
        <v>14</v>
      </c>
      <c r="B3247">
        <v>108000</v>
      </c>
      <c r="E3247">
        <v>162000</v>
      </c>
      <c r="G3247" s="25">
        <v>44161</v>
      </c>
      <c r="H3247">
        <v>2020</v>
      </c>
      <c r="I3247" t="s">
        <v>52</v>
      </c>
    </row>
    <row r="3248" spans="1:9" x14ac:dyDescent="0.3">
      <c r="A3248" t="s">
        <v>24</v>
      </c>
      <c r="G3248" s="25">
        <v>44161</v>
      </c>
      <c r="H3248">
        <v>2020</v>
      </c>
      <c r="I3248" t="s">
        <v>52</v>
      </c>
    </row>
    <row r="3249" spans="1:9" x14ac:dyDescent="0.3">
      <c r="A3249" t="s">
        <v>21</v>
      </c>
      <c r="C3249">
        <v>162000</v>
      </c>
      <c r="G3249" s="25">
        <v>44161</v>
      </c>
      <c r="H3249">
        <v>2020</v>
      </c>
      <c r="I3249" t="s">
        <v>52</v>
      </c>
    </row>
    <row r="3250" spans="1:9" x14ac:dyDescent="0.3">
      <c r="A3250" t="s">
        <v>18</v>
      </c>
      <c r="G3250" s="25">
        <v>44161</v>
      </c>
      <c r="H3250">
        <v>2020</v>
      </c>
      <c r="I3250" t="s">
        <v>52</v>
      </c>
    </row>
    <row r="3251" spans="1:9" x14ac:dyDescent="0.3">
      <c r="A3251" t="s">
        <v>16</v>
      </c>
      <c r="B3251">
        <v>45000</v>
      </c>
      <c r="G3251" s="25">
        <v>44161</v>
      </c>
      <c r="H3251">
        <v>2020</v>
      </c>
      <c r="I3251" t="s">
        <v>52</v>
      </c>
    </row>
    <row r="3252" spans="1:9" x14ac:dyDescent="0.3">
      <c r="A3252" t="s">
        <v>20</v>
      </c>
      <c r="G3252" s="25">
        <v>44162</v>
      </c>
      <c r="H3252">
        <v>2020</v>
      </c>
      <c r="I3252" t="s">
        <v>52</v>
      </c>
    </row>
    <row r="3253" spans="1:9" x14ac:dyDescent="0.3">
      <c r="A3253" t="s">
        <v>37</v>
      </c>
      <c r="G3253" s="25">
        <v>44162</v>
      </c>
      <c r="H3253">
        <v>2020</v>
      </c>
      <c r="I3253" t="s">
        <v>52</v>
      </c>
    </row>
    <row r="3254" spans="1:9" x14ac:dyDescent="0.3">
      <c r="A3254" t="s">
        <v>17</v>
      </c>
      <c r="E3254">
        <v>162000</v>
      </c>
      <c r="G3254" s="25">
        <v>44162</v>
      </c>
      <c r="H3254">
        <v>2020</v>
      </c>
      <c r="I3254" t="s">
        <v>52</v>
      </c>
    </row>
    <row r="3255" spans="1:9" x14ac:dyDescent="0.3">
      <c r="A3255" t="s">
        <v>0</v>
      </c>
      <c r="G3255" s="25">
        <v>44162</v>
      </c>
      <c r="H3255">
        <v>2020</v>
      </c>
      <c r="I3255" t="s">
        <v>52</v>
      </c>
    </row>
    <row r="3256" spans="1:9" x14ac:dyDescent="0.3">
      <c r="A3256" t="s">
        <v>25</v>
      </c>
      <c r="C3256">
        <v>45000</v>
      </c>
      <c r="G3256" s="25">
        <v>44162</v>
      </c>
      <c r="H3256">
        <v>2020</v>
      </c>
      <c r="I3256" t="s">
        <v>52</v>
      </c>
    </row>
    <row r="3257" spans="1:9" x14ac:dyDescent="0.3">
      <c r="A3257" t="s">
        <v>15</v>
      </c>
      <c r="C3257">
        <v>1159000</v>
      </c>
      <c r="E3257">
        <v>378000</v>
      </c>
      <c r="G3257" s="25">
        <v>44162</v>
      </c>
      <c r="H3257">
        <v>2020</v>
      </c>
      <c r="I3257" t="s">
        <v>52</v>
      </c>
    </row>
    <row r="3258" spans="1:9" x14ac:dyDescent="0.3">
      <c r="A3258" t="s">
        <v>26</v>
      </c>
      <c r="G3258" s="25">
        <v>44162</v>
      </c>
      <c r="H3258">
        <v>2020</v>
      </c>
      <c r="I3258" t="s">
        <v>52</v>
      </c>
    </row>
    <row r="3259" spans="1:9" x14ac:dyDescent="0.3">
      <c r="A3259" t="s">
        <v>22</v>
      </c>
      <c r="G3259" s="25">
        <v>44162</v>
      </c>
      <c r="H3259">
        <v>2020</v>
      </c>
      <c r="I3259" t="s">
        <v>52</v>
      </c>
    </row>
    <row r="3260" spans="1:9" x14ac:dyDescent="0.3">
      <c r="A3260" t="s">
        <v>19</v>
      </c>
      <c r="E3260">
        <v>162000</v>
      </c>
      <c r="G3260" s="25">
        <v>44162</v>
      </c>
      <c r="H3260">
        <v>2020</v>
      </c>
      <c r="I3260" t="s">
        <v>52</v>
      </c>
    </row>
    <row r="3261" spans="1:9" x14ac:dyDescent="0.3">
      <c r="A3261" t="s">
        <v>14</v>
      </c>
      <c r="B3261">
        <v>1234000</v>
      </c>
      <c r="E3261">
        <v>216000</v>
      </c>
      <c r="G3261" s="25">
        <v>44162</v>
      </c>
      <c r="H3261">
        <v>2020</v>
      </c>
      <c r="I3261" t="s">
        <v>52</v>
      </c>
    </row>
    <row r="3262" spans="1:9" x14ac:dyDescent="0.3">
      <c r="A3262" t="s">
        <v>24</v>
      </c>
      <c r="G3262" s="25">
        <v>44162</v>
      </c>
      <c r="H3262">
        <v>2020</v>
      </c>
      <c r="I3262" t="s">
        <v>52</v>
      </c>
    </row>
    <row r="3263" spans="1:9" x14ac:dyDescent="0.3">
      <c r="A3263" t="s">
        <v>21</v>
      </c>
      <c r="C3263">
        <v>54000</v>
      </c>
      <c r="G3263" s="25">
        <v>44162</v>
      </c>
      <c r="H3263">
        <v>2020</v>
      </c>
      <c r="I3263" t="s">
        <v>52</v>
      </c>
    </row>
    <row r="3264" spans="1:9" x14ac:dyDescent="0.3">
      <c r="A3264" t="s">
        <v>18</v>
      </c>
      <c r="G3264" s="25">
        <v>44162</v>
      </c>
      <c r="H3264">
        <v>2020</v>
      </c>
      <c r="I3264" t="s">
        <v>52</v>
      </c>
    </row>
    <row r="3265" spans="1:9" x14ac:dyDescent="0.3">
      <c r="A3265" t="s">
        <v>16</v>
      </c>
      <c r="G3265" s="25">
        <v>44162</v>
      </c>
      <c r="H3265">
        <v>2020</v>
      </c>
      <c r="I3265" t="s">
        <v>52</v>
      </c>
    </row>
    <row r="3266" spans="1:9" x14ac:dyDescent="0.3">
      <c r="A3266" t="s">
        <v>20</v>
      </c>
      <c r="G3266" s="25">
        <v>44165</v>
      </c>
      <c r="H3266">
        <v>2020</v>
      </c>
      <c r="I3266" t="s">
        <v>52</v>
      </c>
    </row>
    <row r="3267" spans="1:9" x14ac:dyDescent="0.3">
      <c r="A3267" t="s">
        <v>37</v>
      </c>
      <c r="G3267" s="25">
        <v>44165</v>
      </c>
      <c r="H3267">
        <v>2020</v>
      </c>
      <c r="I3267" t="s">
        <v>52</v>
      </c>
    </row>
    <row r="3268" spans="1:9" x14ac:dyDescent="0.3">
      <c r="A3268" t="s">
        <v>17</v>
      </c>
      <c r="E3268">
        <v>54000</v>
      </c>
      <c r="G3268" s="25">
        <v>44165</v>
      </c>
      <c r="H3268">
        <v>2020</v>
      </c>
      <c r="I3268" t="s">
        <v>52</v>
      </c>
    </row>
    <row r="3269" spans="1:9" x14ac:dyDescent="0.3">
      <c r="A3269" t="s">
        <v>0</v>
      </c>
      <c r="G3269" s="25">
        <v>44165</v>
      </c>
      <c r="H3269">
        <v>2020</v>
      </c>
      <c r="I3269" t="s">
        <v>52</v>
      </c>
    </row>
    <row r="3270" spans="1:9" x14ac:dyDescent="0.3">
      <c r="A3270" t="s">
        <v>25</v>
      </c>
      <c r="G3270" s="25">
        <v>44165</v>
      </c>
      <c r="H3270">
        <v>2020</v>
      </c>
      <c r="I3270" t="s">
        <v>52</v>
      </c>
    </row>
    <row r="3271" spans="1:9" x14ac:dyDescent="0.3">
      <c r="A3271" t="s">
        <v>15</v>
      </c>
      <c r="C3271">
        <v>270000</v>
      </c>
      <c r="E3271">
        <v>108000</v>
      </c>
      <c r="G3271" s="25">
        <v>44165</v>
      </c>
      <c r="H3271">
        <v>2020</v>
      </c>
      <c r="I3271" t="s">
        <v>52</v>
      </c>
    </row>
    <row r="3272" spans="1:9" x14ac:dyDescent="0.3">
      <c r="A3272" t="s">
        <v>26</v>
      </c>
      <c r="G3272" s="25">
        <v>44165</v>
      </c>
      <c r="H3272">
        <v>2020</v>
      </c>
      <c r="I3272" t="s">
        <v>52</v>
      </c>
    </row>
    <row r="3273" spans="1:9" x14ac:dyDescent="0.3">
      <c r="A3273" t="s">
        <v>22</v>
      </c>
      <c r="G3273" s="25">
        <v>44165</v>
      </c>
      <c r="H3273">
        <v>2020</v>
      </c>
      <c r="I3273" t="s">
        <v>52</v>
      </c>
    </row>
    <row r="3274" spans="1:9" x14ac:dyDescent="0.3">
      <c r="A3274" t="s">
        <v>19</v>
      </c>
      <c r="E3274">
        <v>108000</v>
      </c>
      <c r="G3274" s="25">
        <v>44165</v>
      </c>
      <c r="H3274">
        <v>2020</v>
      </c>
      <c r="I3274" t="s">
        <v>52</v>
      </c>
    </row>
    <row r="3275" spans="1:9" x14ac:dyDescent="0.3">
      <c r="A3275" t="s">
        <v>14</v>
      </c>
      <c r="B3275">
        <v>644000</v>
      </c>
      <c r="E3275">
        <v>108000</v>
      </c>
      <c r="G3275" s="25">
        <v>44165</v>
      </c>
      <c r="H3275">
        <v>2020</v>
      </c>
      <c r="I3275" t="s">
        <v>52</v>
      </c>
    </row>
    <row r="3276" spans="1:9" x14ac:dyDescent="0.3">
      <c r="A3276" t="s">
        <v>24</v>
      </c>
      <c r="G3276" s="25">
        <v>44165</v>
      </c>
      <c r="H3276">
        <v>2020</v>
      </c>
      <c r="I3276" t="s">
        <v>52</v>
      </c>
    </row>
    <row r="3277" spans="1:9" x14ac:dyDescent="0.3">
      <c r="A3277" t="s">
        <v>21</v>
      </c>
      <c r="G3277" s="25">
        <v>44165</v>
      </c>
      <c r="H3277">
        <v>2020</v>
      </c>
      <c r="I3277" t="s">
        <v>52</v>
      </c>
    </row>
    <row r="3278" spans="1:9" x14ac:dyDescent="0.3">
      <c r="A3278" t="s">
        <v>18</v>
      </c>
      <c r="G3278" s="25">
        <v>44165</v>
      </c>
      <c r="H3278">
        <v>2020</v>
      </c>
      <c r="I3278" t="s">
        <v>52</v>
      </c>
    </row>
    <row r="3279" spans="1:9" x14ac:dyDescent="0.3">
      <c r="A3279" t="s">
        <v>16</v>
      </c>
      <c r="G3279" s="25">
        <v>44165</v>
      </c>
      <c r="H3279">
        <v>2020</v>
      </c>
      <c r="I3279" t="s">
        <v>52</v>
      </c>
    </row>
    <row r="3280" spans="1:9" x14ac:dyDescent="0.3">
      <c r="A3280" t="s">
        <v>20</v>
      </c>
      <c r="G3280" s="25">
        <v>44166</v>
      </c>
      <c r="H3280">
        <v>2020</v>
      </c>
      <c r="I3280" t="s">
        <v>53</v>
      </c>
    </row>
    <row r="3281" spans="1:9" x14ac:dyDescent="0.3">
      <c r="A3281" t="s">
        <v>37</v>
      </c>
      <c r="G3281" s="25">
        <v>44166</v>
      </c>
      <c r="H3281">
        <v>2020</v>
      </c>
      <c r="I3281" t="s">
        <v>53</v>
      </c>
    </row>
    <row r="3282" spans="1:9" x14ac:dyDescent="0.3">
      <c r="A3282" t="s">
        <v>17</v>
      </c>
      <c r="E3282">
        <v>54000</v>
      </c>
      <c r="G3282" s="25">
        <v>44166</v>
      </c>
      <c r="H3282">
        <v>2020</v>
      </c>
      <c r="I3282" t="s">
        <v>53</v>
      </c>
    </row>
    <row r="3283" spans="1:9" x14ac:dyDescent="0.3">
      <c r="A3283" t="s">
        <v>0</v>
      </c>
      <c r="G3283" s="25">
        <v>44166</v>
      </c>
      <c r="H3283">
        <v>2020</v>
      </c>
      <c r="I3283" t="s">
        <v>53</v>
      </c>
    </row>
    <row r="3284" spans="1:9" x14ac:dyDescent="0.3">
      <c r="A3284" t="s">
        <v>25</v>
      </c>
      <c r="G3284" s="25">
        <v>44166</v>
      </c>
      <c r="H3284">
        <v>2020</v>
      </c>
      <c r="I3284" t="s">
        <v>53</v>
      </c>
    </row>
    <row r="3285" spans="1:9" x14ac:dyDescent="0.3">
      <c r="A3285" t="s">
        <v>15</v>
      </c>
      <c r="B3285">
        <v>54000</v>
      </c>
      <c r="E3285">
        <v>108000</v>
      </c>
      <c r="G3285" s="25">
        <v>44166</v>
      </c>
      <c r="H3285">
        <v>2020</v>
      </c>
      <c r="I3285" t="s">
        <v>53</v>
      </c>
    </row>
    <row r="3286" spans="1:9" x14ac:dyDescent="0.3">
      <c r="A3286" t="s">
        <v>26</v>
      </c>
      <c r="G3286" s="25">
        <v>44166</v>
      </c>
      <c r="H3286">
        <v>2020</v>
      </c>
      <c r="I3286" t="s">
        <v>53</v>
      </c>
    </row>
    <row r="3287" spans="1:9" x14ac:dyDescent="0.3">
      <c r="A3287" t="s">
        <v>22</v>
      </c>
      <c r="G3287" s="25">
        <v>44166</v>
      </c>
      <c r="H3287">
        <v>2020</v>
      </c>
      <c r="I3287" t="s">
        <v>53</v>
      </c>
    </row>
    <row r="3288" spans="1:9" x14ac:dyDescent="0.3">
      <c r="A3288" t="s">
        <v>19</v>
      </c>
      <c r="B3288">
        <v>108000</v>
      </c>
      <c r="F3288">
        <v>270000</v>
      </c>
      <c r="G3288" s="25">
        <v>44166</v>
      </c>
      <c r="H3288">
        <v>2020</v>
      </c>
      <c r="I3288" t="s">
        <v>53</v>
      </c>
    </row>
    <row r="3289" spans="1:9" x14ac:dyDescent="0.3">
      <c r="A3289" t="s">
        <v>14</v>
      </c>
      <c r="B3289">
        <v>54000</v>
      </c>
      <c r="C3289">
        <v>162000</v>
      </c>
      <c r="E3289">
        <v>54000</v>
      </c>
      <c r="G3289" s="25">
        <v>44166</v>
      </c>
      <c r="H3289">
        <v>2020</v>
      </c>
      <c r="I3289" t="s">
        <v>53</v>
      </c>
    </row>
    <row r="3290" spans="1:9" x14ac:dyDescent="0.3">
      <c r="A3290" t="s">
        <v>24</v>
      </c>
      <c r="G3290" s="25">
        <v>44166</v>
      </c>
      <c r="H3290">
        <v>2020</v>
      </c>
      <c r="I3290" t="s">
        <v>53</v>
      </c>
    </row>
    <row r="3291" spans="1:9" x14ac:dyDescent="0.3">
      <c r="A3291" t="s">
        <v>21</v>
      </c>
      <c r="G3291" s="25">
        <v>44166</v>
      </c>
      <c r="H3291">
        <v>2020</v>
      </c>
      <c r="I3291" t="s">
        <v>53</v>
      </c>
    </row>
    <row r="3292" spans="1:9" x14ac:dyDescent="0.3">
      <c r="A3292" t="s">
        <v>18</v>
      </c>
      <c r="G3292" s="25">
        <v>44166</v>
      </c>
      <c r="H3292">
        <v>2020</v>
      </c>
      <c r="I3292" t="s">
        <v>53</v>
      </c>
    </row>
    <row r="3293" spans="1:9" x14ac:dyDescent="0.3">
      <c r="A3293" t="s">
        <v>16</v>
      </c>
      <c r="G3293" s="25">
        <v>44166</v>
      </c>
      <c r="H3293">
        <v>2020</v>
      </c>
      <c r="I3293" t="s">
        <v>53</v>
      </c>
    </row>
    <row r="3294" spans="1:9" x14ac:dyDescent="0.3">
      <c r="A3294" t="s">
        <v>20</v>
      </c>
      <c r="G3294" s="25">
        <v>44167</v>
      </c>
      <c r="H3294">
        <v>2020</v>
      </c>
      <c r="I3294" t="s">
        <v>53</v>
      </c>
    </row>
    <row r="3295" spans="1:9" x14ac:dyDescent="0.3">
      <c r="A3295" t="s">
        <v>37</v>
      </c>
      <c r="G3295" s="25">
        <v>44167</v>
      </c>
      <c r="H3295">
        <v>2020</v>
      </c>
      <c r="I3295" t="s">
        <v>53</v>
      </c>
    </row>
    <row r="3296" spans="1:9" x14ac:dyDescent="0.3">
      <c r="A3296" t="s">
        <v>17</v>
      </c>
      <c r="G3296" s="25">
        <v>44167</v>
      </c>
      <c r="H3296">
        <v>2020</v>
      </c>
      <c r="I3296" t="s">
        <v>53</v>
      </c>
    </row>
    <row r="3297" spans="1:9" x14ac:dyDescent="0.3">
      <c r="A3297" t="s">
        <v>0</v>
      </c>
      <c r="B3297">
        <v>54000</v>
      </c>
      <c r="C3297">
        <v>955000</v>
      </c>
      <c r="E3297">
        <v>54000</v>
      </c>
      <c r="G3297" s="25">
        <v>44167</v>
      </c>
      <c r="H3297">
        <v>2020</v>
      </c>
      <c r="I3297" t="s">
        <v>53</v>
      </c>
    </row>
    <row r="3298" spans="1:9" x14ac:dyDescent="0.3">
      <c r="A3298" t="s">
        <v>25</v>
      </c>
      <c r="G3298" s="25">
        <v>44167</v>
      </c>
      <c r="H3298">
        <v>2020</v>
      </c>
      <c r="I3298" t="s">
        <v>53</v>
      </c>
    </row>
    <row r="3299" spans="1:9" x14ac:dyDescent="0.3">
      <c r="A3299" t="s">
        <v>15</v>
      </c>
      <c r="B3299">
        <v>320000</v>
      </c>
      <c r="C3299">
        <v>198000</v>
      </c>
      <c r="D3299">
        <v>162000</v>
      </c>
      <c r="E3299">
        <v>162000</v>
      </c>
      <c r="G3299" s="25">
        <v>44167</v>
      </c>
      <c r="H3299">
        <v>2020</v>
      </c>
      <c r="I3299" t="s">
        <v>53</v>
      </c>
    </row>
    <row r="3300" spans="1:9" x14ac:dyDescent="0.3">
      <c r="A3300" t="s">
        <v>26</v>
      </c>
      <c r="G3300" s="25">
        <v>44167</v>
      </c>
      <c r="H3300">
        <v>2020</v>
      </c>
      <c r="I3300" t="s">
        <v>53</v>
      </c>
    </row>
    <row r="3301" spans="1:9" x14ac:dyDescent="0.3">
      <c r="A3301" t="s">
        <v>22</v>
      </c>
      <c r="G3301" s="25">
        <v>44167</v>
      </c>
      <c r="H3301">
        <v>2020</v>
      </c>
      <c r="I3301" t="s">
        <v>53</v>
      </c>
    </row>
    <row r="3302" spans="1:9" x14ac:dyDescent="0.3">
      <c r="A3302" t="s">
        <v>19</v>
      </c>
      <c r="B3302">
        <v>374000</v>
      </c>
      <c r="D3302">
        <v>158000</v>
      </c>
      <c r="E3302">
        <v>108000</v>
      </c>
      <c r="F3302">
        <v>45000</v>
      </c>
      <c r="G3302" s="25">
        <v>44167</v>
      </c>
      <c r="H3302">
        <v>2020</v>
      </c>
      <c r="I3302" t="s">
        <v>53</v>
      </c>
    </row>
    <row r="3303" spans="1:9" x14ac:dyDescent="0.3">
      <c r="A3303" t="s">
        <v>14</v>
      </c>
      <c r="B3303">
        <v>473000</v>
      </c>
      <c r="C3303">
        <v>533500</v>
      </c>
      <c r="D3303">
        <v>108000</v>
      </c>
      <c r="E3303">
        <v>108000</v>
      </c>
      <c r="F3303">
        <v>207000</v>
      </c>
      <c r="G3303" s="25">
        <v>44167</v>
      </c>
      <c r="H3303">
        <v>2020</v>
      </c>
      <c r="I3303" t="s">
        <v>53</v>
      </c>
    </row>
    <row r="3304" spans="1:9" x14ac:dyDescent="0.3">
      <c r="A3304" t="s">
        <v>24</v>
      </c>
      <c r="G3304" s="25">
        <v>44167</v>
      </c>
      <c r="H3304">
        <v>2020</v>
      </c>
      <c r="I3304" t="s">
        <v>53</v>
      </c>
    </row>
    <row r="3305" spans="1:9" x14ac:dyDescent="0.3">
      <c r="A3305" t="s">
        <v>21</v>
      </c>
      <c r="G3305" s="25">
        <v>44167</v>
      </c>
      <c r="H3305">
        <v>2020</v>
      </c>
      <c r="I3305" t="s">
        <v>53</v>
      </c>
    </row>
    <row r="3306" spans="1:9" x14ac:dyDescent="0.3">
      <c r="A3306" t="s">
        <v>18</v>
      </c>
      <c r="G3306" s="25">
        <v>44167</v>
      </c>
      <c r="H3306">
        <v>2020</v>
      </c>
      <c r="I3306" t="s">
        <v>53</v>
      </c>
    </row>
    <row r="3307" spans="1:9" x14ac:dyDescent="0.3">
      <c r="A3307" t="s">
        <v>16</v>
      </c>
      <c r="G3307" s="25">
        <v>44167</v>
      </c>
      <c r="H3307">
        <v>2020</v>
      </c>
      <c r="I3307" t="s">
        <v>53</v>
      </c>
    </row>
    <row r="3308" spans="1:9" x14ac:dyDescent="0.3">
      <c r="A3308" t="s">
        <v>20</v>
      </c>
      <c r="G3308" s="25">
        <v>44168</v>
      </c>
      <c r="H3308">
        <v>2020</v>
      </c>
      <c r="I3308" t="s">
        <v>53</v>
      </c>
    </row>
    <row r="3309" spans="1:9" x14ac:dyDescent="0.3">
      <c r="A3309" t="s">
        <v>37</v>
      </c>
      <c r="G3309" s="25">
        <v>44168</v>
      </c>
      <c r="H3309">
        <v>2020</v>
      </c>
      <c r="I3309" t="s">
        <v>53</v>
      </c>
    </row>
    <row r="3310" spans="1:9" x14ac:dyDescent="0.3">
      <c r="A3310" t="s">
        <v>17</v>
      </c>
      <c r="E3310">
        <v>108000</v>
      </c>
      <c r="G3310" s="25">
        <v>44168</v>
      </c>
      <c r="H3310">
        <v>2020</v>
      </c>
      <c r="I3310" t="s">
        <v>53</v>
      </c>
    </row>
    <row r="3311" spans="1:9" x14ac:dyDescent="0.3">
      <c r="A3311" t="s">
        <v>0</v>
      </c>
      <c r="C3311">
        <v>320000</v>
      </c>
      <c r="E3311">
        <v>108000</v>
      </c>
      <c r="G3311" s="25">
        <v>44168</v>
      </c>
      <c r="H3311">
        <v>2020</v>
      </c>
      <c r="I3311" t="s">
        <v>53</v>
      </c>
    </row>
    <row r="3312" spans="1:9" x14ac:dyDescent="0.3">
      <c r="A3312" t="s">
        <v>25</v>
      </c>
      <c r="G3312" s="25">
        <v>44168</v>
      </c>
      <c r="H3312">
        <v>2020</v>
      </c>
      <c r="I3312" t="s">
        <v>53</v>
      </c>
    </row>
    <row r="3313" spans="1:9" x14ac:dyDescent="0.3">
      <c r="A3313" t="s">
        <v>15</v>
      </c>
      <c r="B3313">
        <v>270000</v>
      </c>
      <c r="D3313">
        <v>54000</v>
      </c>
      <c r="G3313" s="25">
        <v>44168</v>
      </c>
      <c r="H3313">
        <v>2020</v>
      </c>
      <c r="I3313" t="s">
        <v>53</v>
      </c>
    </row>
    <row r="3314" spans="1:9" x14ac:dyDescent="0.3">
      <c r="A3314" t="s">
        <v>26</v>
      </c>
      <c r="G3314" s="25">
        <v>44168</v>
      </c>
      <c r="H3314">
        <v>2020</v>
      </c>
      <c r="I3314" t="s">
        <v>53</v>
      </c>
    </row>
    <row r="3315" spans="1:9" x14ac:dyDescent="0.3">
      <c r="A3315" t="s">
        <v>22</v>
      </c>
      <c r="G3315" s="25">
        <v>44168</v>
      </c>
      <c r="H3315">
        <v>2020</v>
      </c>
      <c r="I3315" t="s">
        <v>53</v>
      </c>
    </row>
    <row r="3316" spans="1:9" x14ac:dyDescent="0.3">
      <c r="A3316" t="s">
        <v>19</v>
      </c>
      <c r="B3316">
        <v>216000</v>
      </c>
      <c r="D3316">
        <v>108000</v>
      </c>
      <c r="E3316">
        <v>54000</v>
      </c>
      <c r="F3316">
        <v>423000</v>
      </c>
      <c r="G3316" s="25">
        <v>44168</v>
      </c>
      <c r="H3316">
        <v>2020</v>
      </c>
      <c r="I3316" t="s">
        <v>53</v>
      </c>
    </row>
    <row r="3317" spans="1:9" x14ac:dyDescent="0.3">
      <c r="A3317" t="s">
        <v>14</v>
      </c>
      <c r="B3317">
        <v>324000</v>
      </c>
      <c r="C3317">
        <v>797000</v>
      </c>
      <c r="D3317">
        <v>162000</v>
      </c>
      <c r="E3317">
        <v>54000</v>
      </c>
      <c r="F3317">
        <v>378000</v>
      </c>
      <c r="G3317" s="25">
        <v>44168</v>
      </c>
      <c r="H3317">
        <v>2020</v>
      </c>
      <c r="I3317" t="s">
        <v>53</v>
      </c>
    </row>
    <row r="3318" spans="1:9" x14ac:dyDescent="0.3">
      <c r="A3318" t="s">
        <v>24</v>
      </c>
      <c r="G3318" s="25">
        <v>44168</v>
      </c>
      <c r="H3318">
        <v>2020</v>
      </c>
      <c r="I3318" t="s">
        <v>53</v>
      </c>
    </row>
    <row r="3319" spans="1:9" x14ac:dyDescent="0.3">
      <c r="A3319" t="s">
        <v>21</v>
      </c>
      <c r="E3319">
        <v>54000</v>
      </c>
      <c r="G3319" s="25">
        <v>44168</v>
      </c>
      <c r="H3319">
        <v>2020</v>
      </c>
      <c r="I3319" t="s">
        <v>53</v>
      </c>
    </row>
    <row r="3320" spans="1:9" x14ac:dyDescent="0.3">
      <c r="A3320" t="s">
        <v>18</v>
      </c>
      <c r="C3320">
        <v>162000</v>
      </c>
      <c r="G3320" s="25">
        <v>44168</v>
      </c>
      <c r="H3320">
        <v>2020</v>
      </c>
      <c r="I3320" t="s">
        <v>53</v>
      </c>
    </row>
    <row r="3321" spans="1:9" x14ac:dyDescent="0.3">
      <c r="A3321" t="s">
        <v>16</v>
      </c>
      <c r="G3321" s="25">
        <v>44168</v>
      </c>
      <c r="H3321">
        <v>2020</v>
      </c>
      <c r="I3321" t="s">
        <v>53</v>
      </c>
    </row>
    <row r="3322" spans="1:9" x14ac:dyDescent="0.3">
      <c r="A3322" t="s">
        <v>20</v>
      </c>
      <c r="G3322" s="25">
        <v>44169</v>
      </c>
      <c r="H3322">
        <v>2020</v>
      </c>
      <c r="I3322" t="s">
        <v>53</v>
      </c>
    </row>
    <row r="3323" spans="1:9" x14ac:dyDescent="0.3">
      <c r="A3323" t="s">
        <v>37</v>
      </c>
      <c r="G3323" s="25">
        <v>44169</v>
      </c>
      <c r="H3323">
        <v>2020</v>
      </c>
      <c r="I3323" t="s">
        <v>53</v>
      </c>
    </row>
    <row r="3324" spans="1:9" x14ac:dyDescent="0.3">
      <c r="A3324" t="s">
        <v>17</v>
      </c>
      <c r="E3324">
        <v>54000</v>
      </c>
      <c r="G3324" s="25">
        <v>44169</v>
      </c>
      <c r="H3324">
        <v>2020</v>
      </c>
      <c r="I3324" t="s">
        <v>53</v>
      </c>
    </row>
    <row r="3325" spans="1:9" x14ac:dyDescent="0.3">
      <c r="A3325" t="s">
        <v>0</v>
      </c>
      <c r="E3325">
        <v>108000</v>
      </c>
      <c r="G3325" s="25">
        <v>44169</v>
      </c>
      <c r="H3325">
        <v>2020</v>
      </c>
      <c r="I3325" t="s">
        <v>53</v>
      </c>
    </row>
    <row r="3326" spans="1:9" x14ac:dyDescent="0.3">
      <c r="A3326" t="s">
        <v>25</v>
      </c>
      <c r="G3326" s="25">
        <v>44169</v>
      </c>
      <c r="H3326">
        <v>2020</v>
      </c>
      <c r="I3326" t="s">
        <v>53</v>
      </c>
    </row>
    <row r="3327" spans="1:9" x14ac:dyDescent="0.3">
      <c r="A3327" t="s">
        <v>15</v>
      </c>
      <c r="B3327">
        <v>162000</v>
      </c>
      <c r="D3327">
        <v>162000</v>
      </c>
      <c r="E3327">
        <v>108000</v>
      </c>
      <c r="G3327" s="25">
        <v>44169</v>
      </c>
      <c r="H3327">
        <v>2020</v>
      </c>
      <c r="I3327" t="s">
        <v>53</v>
      </c>
    </row>
    <row r="3328" spans="1:9" x14ac:dyDescent="0.3">
      <c r="A3328" t="s">
        <v>26</v>
      </c>
      <c r="G3328" s="25">
        <v>44169</v>
      </c>
      <c r="H3328">
        <v>2020</v>
      </c>
      <c r="I3328" t="s">
        <v>53</v>
      </c>
    </row>
    <row r="3329" spans="1:9" x14ac:dyDescent="0.3">
      <c r="A3329" t="s">
        <v>22</v>
      </c>
      <c r="G3329" s="25">
        <v>44169</v>
      </c>
      <c r="H3329">
        <v>2020</v>
      </c>
      <c r="I3329" t="s">
        <v>53</v>
      </c>
    </row>
    <row r="3330" spans="1:9" x14ac:dyDescent="0.3">
      <c r="A3330" t="s">
        <v>19</v>
      </c>
      <c r="B3330">
        <v>432000</v>
      </c>
      <c r="C3330">
        <v>324000</v>
      </c>
      <c r="D3330">
        <v>108000</v>
      </c>
      <c r="E3330">
        <v>108000</v>
      </c>
      <c r="F3330">
        <v>207000</v>
      </c>
      <c r="G3330" s="25">
        <v>44169</v>
      </c>
      <c r="H3330">
        <v>2020</v>
      </c>
      <c r="I3330" t="s">
        <v>53</v>
      </c>
    </row>
    <row r="3331" spans="1:9" x14ac:dyDescent="0.3">
      <c r="A3331" t="s">
        <v>14</v>
      </c>
      <c r="B3331">
        <v>428000</v>
      </c>
      <c r="C3331">
        <v>423000</v>
      </c>
      <c r="D3331">
        <v>162000</v>
      </c>
      <c r="F3331">
        <v>252000</v>
      </c>
      <c r="G3331" s="25">
        <v>44169</v>
      </c>
      <c r="H3331">
        <v>2020</v>
      </c>
      <c r="I3331" t="s">
        <v>53</v>
      </c>
    </row>
    <row r="3332" spans="1:9" x14ac:dyDescent="0.3">
      <c r="A3332" t="s">
        <v>24</v>
      </c>
      <c r="B3332">
        <v>269000</v>
      </c>
      <c r="G3332" s="25">
        <v>44169</v>
      </c>
      <c r="H3332">
        <v>2020</v>
      </c>
      <c r="I3332" t="s">
        <v>53</v>
      </c>
    </row>
    <row r="3333" spans="1:9" x14ac:dyDescent="0.3">
      <c r="A3333" t="s">
        <v>21</v>
      </c>
      <c r="G3333" s="25">
        <v>44169</v>
      </c>
      <c r="H3333">
        <v>2020</v>
      </c>
      <c r="I3333" t="s">
        <v>53</v>
      </c>
    </row>
    <row r="3334" spans="1:9" x14ac:dyDescent="0.3">
      <c r="A3334" t="s">
        <v>18</v>
      </c>
      <c r="C3334">
        <v>913000</v>
      </c>
      <c r="E3334">
        <v>108000</v>
      </c>
      <c r="G3334" s="25">
        <v>44169</v>
      </c>
      <c r="H3334">
        <v>2020</v>
      </c>
      <c r="I3334" t="s">
        <v>53</v>
      </c>
    </row>
    <row r="3335" spans="1:9" x14ac:dyDescent="0.3">
      <c r="A3335" t="s">
        <v>16</v>
      </c>
      <c r="G3335" s="25">
        <v>44169</v>
      </c>
      <c r="H3335">
        <v>2020</v>
      </c>
      <c r="I3335" t="s">
        <v>53</v>
      </c>
    </row>
    <row r="3336" spans="1:9" x14ac:dyDescent="0.3">
      <c r="A3336" t="s">
        <v>20</v>
      </c>
      <c r="G3336" s="25">
        <v>44170</v>
      </c>
      <c r="H3336">
        <v>2020</v>
      </c>
      <c r="I3336" t="s">
        <v>53</v>
      </c>
    </row>
    <row r="3337" spans="1:9" x14ac:dyDescent="0.3">
      <c r="A3337" t="s">
        <v>37</v>
      </c>
      <c r="G3337" s="25">
        <v>44170</v>
      </c>
      <c r="H3337">
        <v>2020</v>
      </c>
      <c r="I3337" t="s">
        <v>53</v>
      </c>
    </row>
    <row r="3338" spans="1:9" x14ac:dyDescent="0.3">
      <c r="A3338" t="s">
        <v>17</v>
      </c>
      <c r="B3338">
        <v>54000</v>
      </c>
      <c r="C3338">
        <v>54000</v>
      </c>
      <c r="G3338" s="25">
        <v>44170</v>
      </c>
      <c r="H3338">
        <v>2020</v>
      </c>
      <c r="I3338" t="s">
        <v>53</v>
      </c>
    </row>
    <row r="3339" spans="1:9" x14ac:dyDescent="0.3">
      <c r="A3339" t="s">
        <v>0</v>
      </c>
      <c r="G3339" s="25">
        <v>44170</v>
      </c>
      <c r="H3339">
        <v>2020</v>
      </c>
      <c r="I3339" t="s">
        <v>53</v>
      </c>
    </row>
    <row r="3340" spans="1:9" x14ac:dyDescent="0.3">
      <c r="A3340" t="s">
        <v>25</v>
      </c>
      <c r="C3340">
        <v>54000</v>
      </c>
      <c r="G3340" s="25">
        <v>44170</v>
      </c>
      <c r="H3340">
        <v>2020</v>
      </c>
      <c r="I3340" t="s">
        <v>53</v>
      </c>
    </row>
    <row r="3341" spans="1:9" x14ac:dyDescent="0.3">
      <c r="A3341" t="s">
        <v>15</v>
      </c>
      <c r="B3341">
        <v>216000</v>
      </c>
      <c r="D3341">
        <v>54000</v>
      </c>
      <c r="G3341" s="25">
        <v>44170</v>
      </c>
      <c r="H3341">
        <v>2020</v>
      </c>
      <c r="I3341" t="s">
        <v>53</v>
      </c>
    </row>
    <row r="3342" spans="1:9" x14ac:dyDescent="0.3">
      <c r="A3342" t="s">
        <v>26</v>
      </c>
      <c r="G3342" s="25">
        <v>44170</v>
      </c>
      <c r="H3342">
        <v>2020</v>
      </c>
      <c r="I3342" t="s">
        <v>53</v>
      </c>
    </row>
    <row r="3343" spans="1:9" x14ac:dyDescent="0.3">
      <c r="A3343" t="s">
        <v>22</v>
      </c>
      <c r="G3343" s="25">
        <v>44170</v>
      </c>
      <c r="H3343">
        <v>2020</v>
      </c>
      <c r="I3343" t="s">
        <v>53</v>
      </c>
    </row>
    <row r="3344" spans="1:9" x14ac:dyDescent="0.3">
      <c r="A3344" t="s">
        <v>19</v>
      </c>
      <c r="G3344" s="25">
        <v>44170</v>
      </c>
      <c r="H3344">
        <v>2020</v>
      </c>
      <c r="I3344" t="s">
        <v>53</v>
      </c>
    </row>
    <row r="3345" spans="1:9" x14ac:dyDescent="0.3">
      <c r="A3345" t="s">
        <v>14</v>
      </c>
      <c r="C3345">
        <v>108000</v>
      </c>
      <c r="D3345">
        <v>54000</v>
      </c>
      <c r="G3345" s="25">
        <v>44170</v>
      </c>
      <c r="H3345">
        <v>2020</v>
      </c>
      <c r="I3345" t="s">
        <v>53</v>
      </c>
    </row>
    <row r="3346" spans="1:9" x14ac:dyDescent="0.3">
      <c r="A3346" t="s">
        <v>24</v>
      </c>
      <c r="B3346">
        <v>108000</v>
      </c>
      <c r="G3346" s="25">
        <v>44170</v>
      </c>
      <c r="H3346">
        <v>2020</v>
      </c>
      <c r="I3346" t="s">
        <v>53</v>
      </c>
    </row>
    <row r="3347" spans="1:9" x14ac:dyDescent="0.3">
      <c r="A3347" t="s">
        <v>21</v>
      </c>
      <c r="G3347" s="25">
        <v>44170</v>
      </c>
      <c r="H3347">
        <v>2020</v>
      </c>
      <c r="I3347" t="s">
        <v>53</v>
      </c>
    </row>
    <row r="3348" spans="1:9" x14ac:dyDescent="0.3">
      <c r="A3348" t="s">
        <v>18</v>
      </c>
      <c r="C3348">
        <v>54000</v>
      </c>
      <c r="G3348" s="25">
        <v>44170</v>
      </c>
      <c r="H3348">
        <v>2020</v>
      </c>
      <c r="I3348" t="s">
        <v>53</v>
      </c>
    </row>
    <row r="3349" spans="1:9" x14ac:dyDescent="0.3">
      <c r="A3349" t="s">
        <v>16</v>
      </c>
      <c r="G3349" s="25">
        <v>44170</v>
      </c>
      <c r="H3349">
        <v>2020</v>
      </c>
      <c r="I3349" t="s">
        <v>53</v>
      </c>
    </row>
    <row r="3350" spans="1:9" x14ac:dyDescent="0.3">
      <c r="A3350" t="s">
        <v>20</v>
      </c>
      <c r="G3350" s="25">
        <v>44173</v>
      </c>
      <c r="H3350">
        <v>2020</v>
      </c>
      <c r="I3350" t="s">
        <v>53</v>
      </c>
    </row>
    <row r="3351" spans="1:9" x14ac:dyDescent="0.3">
      <c r="A3351" t="s">
        <v>37</v>
      </c>
      <c r="G3351" s="25">
        <v>44173</v>
      </c>
      <c r="H3351">
        <v>2020</v>
      </c>
      <c r="I3351" t="s">
        <v>53</v>
      </c>
    </row>
    <row r="3352" spans="1:9" x14ac:dyDescent="0.3">
      <c r="A3352" t="s">
        <v>17</v>
      </c>
      <c r="B3352">
        <v>378000</v>
      </c>
      <c r="C3352">
        <v>540000</v>
      </c>
      <c r="E3352">
        <v>108000</v>
      </c>
      <c r="G3352" s="25">
        <v>44173</v>
      </c>
      <c r="H3352">
        <v>2020</v>
      </c>
      <c r="I3352" t="s">
        <v>53</v>
      </c>
    </row>
    <row r="3353" spans="1:9" x14ac:dyDescent="0.3">
      <c r="A3353" t="s">
        <v>0</v>
      </c>
      <c r="E3353">
        <v>162000</v>
      </c>
      <c r="G3353" s="25">
        <v>44173</v>
      </c>
      <c r="H3353">
        <v>2020</v>
      </c>
      <c r="I3353" t="s">
        <v>53</v>
      </c>
    </row>
    <row r="3354" spans="1:9" x14ac:dyDescent="0.3">
      <c r="A3354" t="s">
        <v>25</v>
      </c>
      <c r="C3354">
        <v>432000</v>
      </c>
      <c r="G3354" s="25">
        <v>44173</v>
      </c>
      <c r="H3354">
        <v>2020</v>
      </c>
      <c r="I3354" t="s">
        <v>53</v>
      </c>
    </row>
    <row r="3355" spans="1:9" x14ac:dyDescent="0.3">
      <c r="A3355" t="s">
        <v>15</v>
      </c>
      <c r="B3355">
        <v>108000</v>
      </c>
      <c r="E3355">
        <v>108000</v>
      </c>
      <c r="G3355" s="25">
        <v>44173</v>
      </c>
      <c r="H3355">
        <v>2020</v>
      </c>
      <c r="I3355" t="s">
        <v>53</v>
      </c>
    </row>
    <row r="3356" spans="1:9" x14ac:dyDescent="0.3">
      <c r="A3356" t="s">
        <v>26</v>
      </c>
      <c r="G3356" s="25">
        <v>44173</v>
      </c>
      <c r="H3356">
        <v>2020</v>
      </c>
      <c r="I3356" t="s">
        <v>53</v>
      </c>
    </row>
    <row r="3357" spans="1:9" x14ac:dyDescent="0.3">
      <c r="A3357" t="s">
        <v>22</v>
      </c>
      <c r="G3357" s="25">
        <v>44173</v>
      </c>
      <c r="H3357">
        <v>2020</v>
      </c>
      <c r="I3357" t="s">
        <v>53</v>
      </c>
    </row>
    <row r="3358" spans="1:9" x14ac:dyDescent="0.3">
      <c r="A3358" t="s">
        <v>19</v>
      </c>
      <c r="B3358">
        <v>540000</v>
      </c>
      <c r="E3358">
        <v>162000</v>
      </c>
      <c r="G3358" s="25">
        <v>44173</v>
      </c>
      <c r="H3358">
        <v>2020</v>
      </c>
      <c r="I3358" t="s">
        <v>53</v>
      </c>
    </row>
    <row r="3359" spans="1:9" x14ac:dyDescent="0.3">
      <c r="A3359" t="s">
        <v>14</v>
      </c>
      <c r="B3359">
        <v>529000</v>
      </c>
      <c r="C3359">
        <v>216000</v>
      </c>
      <c r="E3359">
        <v>108000</v>
      </c>
      <c r="G3359" s="25">
        <v>44173</v>
      </c>
      <c r="H3359">
        <v>2020</v>
      </c>
      <c r="I3359" t="s">
        <v>53</v>
      </c>
    </row>
    <row r="3360" spans="1:9" x14ac:dyDescent="0.3">
      <c r="A3360" t="s">
        <v>24</v>
      </c>
      <c r="B3360">
        <v>594000</v>
      </c>
      <c r="G3360" s="25">
        <v>44173</v>
      </c>
      <c r="H3360">
        <v>2020</v>
      </c>
      <c r="I3360" t="s">
        <v>53</v>
      </c>
    </row>
    <row r="3361" spans="1:9" x14ac:dyDescent="0.3">
      <c r="A3361" t="s">
        <v>21</v>
      </c>
      <c r="G3361" s="25">
        <v>44173</v>
      </c>
      <c r="H3361">
        <v>2020</v>
      </c>
      <c r="I3361" t="s">
        <v>53</v>
      </c>
    </row>
    <row r="3362" spans="1:9" x14ac:dyDescent="0.3">
      <c r="A3362" t="s">
        <v>18</v>
      </c>
      <c r="C3362">
        <v>270000</v>
      </c>
      <c r="E3362">
        <v>108000</v>
      </c>
      <c r="G3362" s="25">
        <v>44173</v>
      </c>
      <c r="H3362">
        <v>2020</v>
      </c>
      <c r="I3362" t="s">
        <v>53</v>
      </c>
    </row>
    <row r="3363" spans="1:9" x14ac:dyDescent="0.3">
      <c r="A3363" t="s">
        <v>16</v>
      </c>
      <c r="G3363" s="25">
        <v>44173</v>
      </c>
      <c r="H3363">
        <v>2020</v>
      </c>
      <c r="I3363" t="s">
        <v>53</v>
      </c>
    </row>
    <row r="3364" spans="1:9" x14ac:dyDescent="0.3">
      <c r="A3364" t="s">
        <v>20</v>
      </c>
      <c r="G3364" s="25">
        <v>44174</v>
      </c>
      <c r="H3364">
        <v>2020</v>
      </c>
      <c r="I3364" t="s">
        <v>53</v>
      </c>
    </row>
    <row r="3365" spans="1:9" x14ac:dyDescent="0.3">
      <c r="A3365" t="s">
        <v>37</v>
      </c>
      <c r="G3365" s="25">
        <v>44174</v>
      </c>
      <c r="H3365">
        <v>2020</v>
      </c>
      <c r="I3365" t="s">
        <v>53</v>
      </c>
    </row>
    <row r="3366" spans="1:9" x14ac:dyDescent="0.3">
      <c r="A3366" t="s">
        <v>17</v>
      </c>
      <c r="B3366">
        <v>319500</v>
      </c>
      <c r="C3366">
        <v>486000</v>
      </c>
      <c r="E3366">
        <v>54000</v>
      </c>
      <c r="G3366" s="25">
        <v>44174</v>
      </c>
      <c r="H3366">
        <v>2020</v>
      </c>
      <c r="I3366" t="s">
        <v>53</v>
      </c>
    </row>
    <row r="3367" spans="1:9" x14ac:dyDescent="0.3">
      <c r="A3367" t="s">
        <v>0</v>
      </c>
      <c r="G3367" s="25">
        <v>44174</v>
      </c>
      <c r="H3367">
        <v>2020</v>
      </c>
      <c r="I3367" t="s">
        <v>53</v>
      </c>
    </row>
    <row r="3368" spans="1:9" x14ac:dyDescent="0.3">
      <c r="A3368" t="s">
        <v>25</v>
      </c>
      <c r="B3368">
        <v>306000</v>
      </c>
      <c r="C3368">
        <v>485000</v>
      </c>
      <c r="D3368">
        <v>370000</v>
      </c>
      <c r="E3368">
        <v>216000</v>
      </c>
      <c r="G3368" s="25">
        <v>44174</v>
      </c>
      <c r="H3368">
        <v>2020</v>
      </c>
      <c r="I3368" t="s">
        <v>53</v>
      </c>
    </row>
    <row r="3369" spans="1:9" x14ac:dyDescent="0.3">
      <c r="A3369" t="s">
        <v>15</v>
      </c>
      <c r="B3369">
        <v>54000</v>
      </c>
      <c r="E3369">
        <v>158000</v>
      </c>
      <c r="G3369" s="25">
        <v>44174</v>
      </c>
      <c r="H3369">
        <v>2020</v>
      </c>
      <c r="I3369" t="s">
        <v>53</v>
      </c>
    </row>
    <row r="3370" spans="1:9" x14ac:dyDescent="0.3">
      <c r="A3370" t="s">
        <v>26</v>
      </c>
      <c r="G3370" s="25">
        <v>44174</v>
      </c>
      <c r="H3370">
        <v>2020</v>
      </c>
      <c r="I3370" t="s">
        <v>53</v>
      </c>
    </row>
    <row r="3371" spans="1:9" x14ac:dyDescent="0.3">
      <c r="A3371" t="s">
        <v>22</v>
      </c>
      <c r="G3371" s="25">
        <v>44174</v>
      </c>
      <c r="H3371">
        <v>2020</v>
      </c>
      <c r="I3371" t="s">
        <v>53</v>
      </c>
    </row>
    <row r="3372" spans="1:9" x14ac:dyDescent="0.3">
      <c r="A3372" t="s">
        <v>19</v>
      </c>
      <c r="B3372">
        <v>316000</v>
      </c>
      <c r="E3372">
        <v>104000</v>
      </c>
      <c r="F3372">
        <v>432000</v>
      </c>
      <c r="G3372" s="25">
        <v>44174</v>
      </c>
      <c r="H3372">
        <v>2020</v>
      </c>
      <c r="I3372" t="s">
        <v>53</v>
      </c>
    </row>
    <row r="3373" spans="1:9" x14ac:dyDescent="0.3">
      <c r="A3373" t="s">
        <v>14</v>
      </c>
      <c r="B3373">
        <v>54000</v>
      </c>
      <c r="C3373">
        <v>108000</v>
      </c>
      <c r="E3373">
        <v>54000</v>
      </c>
      <c r="F3373">
        <v>162000</v>
      </c>
      <c r="G3373" s="25">
        <v>44174</v>
      </c>
      <c r="H3373">
        <v>2020</v>
      </c>
      <c r="I3373" t="s">
        <v>53</v>
      </c>
    </row>
    <row r="3374" spans="1:9" x14ac:dyDescent="0.3">
      <c r="A3374" t="s">
        <v>24</v>
      </c>
      <c r="B3374">
        <v>526500</v>
      </c>
      <c r="G3374" s="25">
        <v>44174</v>
      </c>
      <c r="H3374">
        <v>2020</v>
      </c>
      <c r="I3374" t="s">
        <v>53</v>
      </c>
    </row>
    <row r="3375" spans="1:9" x14ac:dyDescent="0.3">
      <c r="A3375" t="s">
        <v>21</v>
      </c>
      <c r="C3375">
        <v>45000</v>
      </c>
      <c r="G3375" s="25">
        <v>44174</v>
      </c>
      <c r="H3375">
        <v>2020</v>
      </c>
      <c r="I3375" t="s">
        <v>53</v>
      </c>
    </row>
    <row r="3376" spans="1:9" x14ac:dyDescent="0.3">
      <c r="A3376" t="s">
        <v>18</v>
      </c>
      <c r="C3376">
        <v>324000</v>
      </c>
      <c r="E3376">
        <v>54000</v>
      </c>
      <c r="G3376" s="25">
        <v>44174</v>
      </c>
      <c r="H3376">
        <v>2020</v>
      </c>
      <c r="I3376" t="s">
        <v>53</v>
      </c>
    </row>
    <row r="3377" spans="1:9" x14ac:dyDescent="0.3">
      <c r="A3377" t="s">
        <v>16</v>
      </c>
      <c r="G3377" s="25">
        <v>44174</v>
      </c>
      <c r="H3377">
        <v>2020</v>
      </c>
      <c r="I3377" t="s">
        <v>53</v>
      </c>
    </row>
    <row r="3378" spans="1:9" x14ac:dyDescent="0.3">
      <c r="A3378" t="s">
        <v>20</v>
      </c>
      <c r="G3378" s="25">
        <v>44175</v>
      </c>
      <c r="H3378">
        <v>2020</v>
      </c>
      <c r="I3378" t="s">
        <v>53</v>
      </c>
    </row>
    <row r="3379" spans="1:9" x14ac:dyDescent="0.3">
      <c r="A3379" t="s">
        <v>37</v>
      </c>
      <c r="G3379" s="25">
        <v>44175</v>
      </c>
      <c r="H3379">
        <v>2020</v>
      </c>
      <c r="I3379" t="s">
        <v>53</v>
      </c>
    </row>
    <row r="3380" spans="1:9" x14ac:dyDescent="0.3">
      <c r="A3380" t="s">
        <v>17</v>
      </c>
      <c r="B3380">
        <v>311000</v>
      </c>
      <c r="C3380">
        <v>594000</v>
      </c>
      <c r="E3380">
        <v>54000</v>
      </c>
      <c r="G3380" s="25">
        <v>44175</v>
      </c>
      <c r="H3380">
        <v>2020</v>
      </c>
      <c r="I3380" t="s">
        <v>53</v>
      </c>
    </row>
    <row r="3381" spans="1:9" x14ac:dyDescent="0.3">
      <c r="A3381" t="s">
        <v>0</v>
      </c>
      <c r="G3381" s="25">
        <v>44175</v>
      </c>
      <c r="H3381">
        <v>2020</v>
      </c>
      <c r="I3381" t="s">
        <v>53</v>
      </c>
    </row>
    <row r="3382" spans="1:9" x14ac:dyDescent="0.3">
      <c r="A3382" t="s">
        <v>25</v>
      </c>
      <c r="B3382">
        <v>270000</v>
      </c>
      <c r="C3382">
        <v>648000</v>
      </c>
      <c r="D3382">
        <v>531000</v>
      </c>
      <c r="E3382">
        <v>203000</v>
      </c>
      <c r="G3382" s="25">
        <v>44175</v>
      </c>
      <c r="H3382">
        <v>2020</v>
      </c>
      <c r="I3382" t="s">
        <v>53</v>
      </c>
    </row>
    <row r="3383" spans="1:9" x14ac:dyDescent="0.3">
      <c r="A3383" t="s">
        <v>15</v>
      </c>
      <c r="E3383">
        <v>54000</v>
      </c>
      <c r="G3383" s="25">
        <v>44175</v>
      </c>
      <c r="H3383">
        <v>2020</v>
      </c>
      <c r="I3383" t="s">
        <v>53</v>
      </c>
    </row>
    <row r="3384" spans="1:9" x14ac:dyDescent="0.3">
      <c r="A3384" t="s">
        <v>26</v>
      </c>
      <c r="B3384">
        <v>162000</v>
      </c>
      <c r="D3384">
        <v>153000</v>
      </c>
      <c r="G3384" s="25">
        <v>44175</v>
      </c>
      <c r="H3384">
        <v>2020</v>
      </c>
      <c r="I3384" t="s">
        <v>53</v>
      </c>
    </row>
    <row r="3385" spans="1:9" x14ac:dyDescent="0.3">
      <c r="A3385" t="s">
        <v>22</v>
      </c>
      <c r="G3385" s="25">
        <v>44175</v>
      </c>
      <c r="H3385">
        <v>2020</v>
      </c>
      <c r="I3385" t="s">
        <v>53</v>
      </c>
    </row>
    <row r="3386" spans="1:9" x14ac:dyDescent="0.3">
      <c r="A3386" t="s">
        <v>19</v>
      </c>
      <c r="G3386" s="25">
        <v>44175</v>
      </c>
      <c r="H3386">
        <v>2020</v>
      </c>
      <c r="I3386" t="s">
        <v>53</v>
      </c>
    </row>
    <row r="3387" spans="1:9" x14ac:dyDescent="0.3">
      <c r="A3387" t="s">
        <v>14</v>
      </c>
      <c r="B3387">
        <v>207000</v>
      </c>
      <c r="C3387">
        <v>152000</v>
      </c>
      <c r="G3387" s="25">
        <v>44175</v>
      </c>
      <c r="H3387">
        <v>2020</v>
      </c>
      <c r="I3387" t="s">
        <v>53</v>
      </c>
    </row>
    <row r="3388" spans="1:9" x14ac:dyDescent="0.3">
      <c r="A3388" t="s">
        <v>24</v>
      </c>
      <c r="B3388">
        <v>540000</v>
      </c>
      <c r="G3388" s="25">
        <v>44175</v>
      </c>
      <c r="H3388">
        <v>2020</v>
      </c>
      <c r="I3388" t="s">
        <v>53</v>
      </c>
    </row>
    <row r="3389" spans="1:9" x14ac:dyDescent="0.3">
      <c r="A3389" t="s">
        <v>21</v>
      </c>
      <c r="G3389" s="25">
        <v>44175</v>
      </c>
      <c r="H3389">
        <v>2020</v>
      </c>
      <c r="I3389" t="s">
        <v>53</v>
      </c>
    </row>
    <row r="3390" spans="1:9" x14ac:dyDescent="0.3">
      <c r="A3390" t="s">
        <v>18</v>
      </c>
      <c r="C3390">
        <v>378000</v>
      </c>
      <c r="E3390">
        <v>108000</v>
      </c>
      <c r="G3390" s="25">
        <v>44175</v>
      </c>
      <c r="H3390">
        <v>2020</v>
      </c>
      <c r="I3390" t="s">
        <v>53</v>
      </c>
    </row>
    <row r="3391" spans="1:9" x14ac:dyDescent="0.3">
      <c r="A3391" t="s">
        <v>16</v>
      </c>
      <c r="B3391">
        <v>53000</v>
      </c>
      <c r="G3391" s="25">
        <v>44175</v>
      </c>
      <c r="H3391">
        <v>2020</v>
      </c>
      <c r="I3391" t="s">
        <v>53</v>
      </c>
    </row>
    <row r="3392" spans="1:9" x14ac:dyDescent="0.3">
      <c r="A3392" t="s">
        <v>20</v>
      </c>
      <c r="G3392" s="25">
        <v>44176</v>
      </c>
      <c r="H3392">
        <v>2020</v>
      </c>
      <c r="I3392" t="s">
        <v>53</v>
      </c>
    </row>
    <row r="3393" spans="1:9" x14ac:dyDescent="0.3">
      <c r="A3393" t="s">
        <v>37</v>
      </c>
      <c r="G3393" s="25">
        <v>44176</v>
      </c>
      <c r="H3393">
        <v>2020</v>
      </c>
      <c r="I3393" t="s">
        <v>53</v>
      </c>
    </row>
    <row r="3394" spans="1:9" x14ac:dyDescent="0.3">
      <c r="A3394" t="s">
        <v>17</v>
      </c>
      <c r="B3394">
        <v>54000</v>
      </c>
      <c r="C3394">
        <v>423000</v>
      </c>
      <c r="E3394">
        <v>108000</v>
      </c>
      <c r="G3394" s="25">
        <v>44176</v>
      </c>
      <c r="H3394">
        <v>2020</v>
      </c>
      <c r="I3394" t="s">
        <v>53</v>
      </c>
    </row>
    <row r="3395" spans="1:9" x14ac:dyDescent="0.3">
      <c r="A3395" t="s">
        <v>0</v>
      </c>
      <c r="B3395">
        <v>374000</v>
      </c>
      <c r="C3395">
        <v>423000</v>
      </c>
      <c r="G3395" s="25">
        <v>44176</v>
      </c>
      <c r="H3395">
        <v>2020</v>
      </c>
      <c r="I3395" t="s">
        <v>53</v>
      </c>
    </row>
    <row r="3396" spans="1:9" x14ac:dyDescent="0.3">
      <c r="A3396" t="s">
        <v>25</v>
      </c>
      <c r="B3396">
        <v>207000</v>
      </c>
      <c r="C3396">
        <v>319500</v>
      </c>
      <c r="D3396">
        <v>216000</v>
      </c>
      <c r="G3396" s="25">
        <v>44176</v>
      </c>
      <c r="H3396">
        <v>2020</v>
      </c>
      <c r="I3396" t="s">
        <v>53</v>
      </c>
    </row>
    <row r="3397" spans="1:9" x14ac:dyDescent="0.3">
      <c r="A3397" t="s">
        <v>15</v>
      </c>
      <c r="B3397">
        <v>45000</v>
      </c>
      <c r="E3397">
        <v>162000</v>
      </c>
      <c r="G3397" s="25">
        <v>44176</v>
      </c>
      <c r="H3397">
        <v>2020</v>
      </c>
      <c r="I3397" t="s">
        <v>53</v>
      </c>
    </row>
    <row r="3398" spans="1:9" x14ac:dyDescent="0.3">
      <c r="A3398" t="s">
        <v>26</v>
      </c>
      <c r="B3398">
        <v>269500</v>
      </c>
      <c r="C3398">
        <v>262000</v>
      </c>
      <c r="D3398">
        <v>162000</v>
      </c>
      <c r="E3398">
        <v>162000</v>
      </c>
      <c r="G3398" s="25">
        <v>44176</v>
      </c>
      <c r="H3398">
        <v>2020</v>
      </c>
      <c r="I3398" t="s">
        <v>53</v>
      </c>
    </row>
    <row r="3399" spans="1:9" x14ac:dyDescent="0.3">
      <c r="A3399" t="s">
        <v>22</v>
      </c>
      <c r="G3399" s="25">
        <v>44176</v>
      </c>
      <c r="H3399">
        <v>2020</v>
      </c>
      <c r="I3399" t="s">
        <v>53</v>
      </c>
    </row>
    <row r="3400" spans="1:9" x14ac:dyDescent="0.3">
      <c r="A3400" t="s">
        <v>19</v>
      </c>
      <c r="B3400">
        <v>47000</v>
      </c>
      <c r="F3400">
        <v>216000</v>
      </c>
      <c r="G3400" s="25">
        <v>44176</v>
      </c>
      <c r="H3400">
        <v>2020</v>
      </c>
      <c r="I3400" t="s">
        <v>53</v>
      </c>
    </row>
    <row r="3401" spans="1:9" x14ac:dyDescent="0.3">
      <c r="A3401" t="s">
        <v>14</v>
      </c>
      <c r="B3401">
        <v>266000</v>
      </c>
      <c r="G3401" s="25">
        <v>44176</v>
      </c>
      <c r="H3401">
        <v>2020</v>
      </c>
      <c r="I3401" t="s">
        <v>53</v>
      </c>
    </row>
    <row r="3402" spans="1:9" x14ac:dyDescent="0.3">
      <c r="A3402" t="s">
        <v>24</v>
      </c>
      <c r="B3402">
        <v>324000</v>
      </c>
      <c r="D3402">
        <v>370000</v>
      </c>
      <c r="G3402" s="25">
        <v>44176</v>
      </c>
      <c r="H3402">
        <v>2020</v>
      </c>
      <c r="I3402" t="s">
        <v>53</v>
      </c>
    </row>
    <row r="3403" spans="1:9" x14ac:dyDescent="0.3">
      <c r="A3403" t="s">
        <v>21</v>
      </c>
      <c r="G3403" s="25">
        <v>44176</v>
      </c>
      <c r="H3403">
        <v>2020</v>
      </c>
      <c r="I3403" t="s">
        <v>53</v>
      </c>
    </row>
    <row r="3404" spans="1:9" x14ac:dyDescent="0.3">
      <c r="A3404" t="s">
        <v>18</v>
      </c>
      <c r="C3404">
        <v>198000</v>
      </c>
      <c r="G3404" s="25">
        <v>44176</v>
      </c>
      <c r="H3404">
        <v>2020</v>
      </c>
      <c r="I3404" t="s">
        <v>53</v>
      </c>
    </row>
    <row r="3405" spans="1:9" x14ac:dyDescent="0.3">
      <c r="A3405" t="s">
        <v>16</v>
      </c>
      <c r="C3405">
        <v>378000</v>
      </c>
      <c r="E3405">
        <v>162000</v>
      </c>
      <c r="G3405" s="25">
        <v>44176</v>
      </c>
      <c r="H3405">
        <v>2020</v>
      </c>
      <c r="I3405" t="s">
        <v>53</v>
      </c>
    </row>
    <row r="3406" spans="1:9" x14ac:dyDescent="0.3">
      <c r="A3406" t="s">
        <v>20</v>
      </c>
      <c r="G3406" s="25">
        <v>44179</v>
      </c>
      <c r="H3406">
        <v>2020</v>
      </c>
      <c r="I3406" t="s">
        <v>53</v>
      </c>
    </row>
    <row r="3407" spans="1:9" x14ac:dyDescent="0.3">
      <c r="A3407" t="s">
        <v>37</v>
      </c>
      <c r="G3407" s="25">
        <v>44179</v>
      </c>
      <c r="H3407">
        <v>2020</v>
      </c>
      <c r="I3407" t="s">
        <v>53</v>
      </c>
    </row>
    <row r="3408" spans="1:9" x14ac:dyDescent="0.3">
      <c r="A3408" t="s">
        <v>17</v>
      </c>
      <c r="B3408">
        <v>162000</v>
      </c>
      <c r="C3408">
        <v>153000</v>
      </c>
      <c r="G3408" s="25">
        <v>44179</v>
      </c>
      <c r="H3408">
        <v>2020</v>
      </c>
      <c r="I3408" t="s">
        <v>53</v>
      </c>
    </row>
    <row r="3409" spans="1:9" x14ac:dyDescent="0.3">
      <c r="A3409" t="s">
        <v>0</v>
      </c>
      <c r="B3409">
        <v>270000</v>
      </c>
      <c r="C3409">
        <v>162000</v>
      </c>
      <c r="G3409" s="25">
        <v>44179</v>
      </c>
      <c r="H3409">
        <v>2020</v>
      </c>
      <c r="I3409" t="s">
        <v>53</v>
      </c>
    </row>
    <row r="3410" spans="1:9" x14ac:dyDescent="0.3">
      <c r="A3410" t="s">
        <v>25</v>
      </c>
      <c r="B3410">
        <v>216000</v>
      </c>
      <c r="C3410">
        <v>108000</v>
      </c>
      <c r="D3410">
        <v>216000</v>
      </c>
      <c r="E3410">
        <v>54000</v>
      </c>
      <c r="G3410" s="25">
        <v>44179</v>
      </c>
      <c r="H3410">
        <v>2020</v>
      </c>
      <c r="I3410" t="s">
        <v>53</v>
      </c>
    </row>
    <row r="3411" spans="1:9" x14ac:dyDescent="0.3">
      <c r="A3411" t="s">
        <v>15</v>
      </c>
      <c r="C3411">
        <v>270000</v>
      </c>
      <c r="E3411">
        <v>162000</v>
      </c>
      <c r="G3411" s="25">
        <v>44179</v>
      </c>
      <c r="H3411">
        <v>2020</v>
      </c>
      <c r="I3411" t="s">
        <v>53</v>
      </c>
    </row>
    <row r="3412" spans="1:9" x14ac:dyDescent="0.3">
      <c r="A3412" t="s">
        <v>26</v>
      </c>
      <c r="B3412">
        <v>216000</v>
      </c>
      <c r="C3412">
        <v>104000</v>
      </c>
      <c r="G3412" s="25">
        <v>44179</v>
      </c>
      <c r="H3412">
        <v>2020</v>
      </c>
      <c r="I3412" t="s">
        <v>53</v>
      </c>
    </row>
    <row r="3413" spans="1:9" x14ac:dyDescent="0.3">
      <c r="A3413" t="s">
        <v>22</v>
      </c>
      <c r="G3413" s="25">
        <v>44179</v>
      </c>
      <c r="H3413">
        <v>2020</v>
      </c>
      <c r="I3413" t="s">
        <v>53</v>
      </c>
    </row>
    <row r="3414" spans="1:9" x14ac:dyDescent="0.3">
      <c r="A3414" t="s">
        <v>19</v>
      </c>
      <c r="C3414">
        <v>324000</v>
      </c>
      <c r="D3414">
        <v>324000</v>
      </c>
      <c r="G3414" s="25">
        <v>44179</v>
      </c>
      <c r="H3414">
        <v>2020</v>
      </c>
      <c r="I3414" t="s">
        <v>53</v>
      </c>
    </row>
    <row r="3415" spans="1:9" x14ac:dyDescent="0.3">
      <c r="A3415" t="s">
        <v>14</v>
      </c>
      <c r="C3415">
        <v>162000</v>
      </c>
      <c r="E3415">
        <v>104000</v>
      </c>
      <c r="G3415" s="25">
        <v>44179</v>
      </c>
      <c r="H3415">
        <v>2020</v>
      </c>
      <c r="I3415" t="s">
        <v>53</v>
      </c>
    </row>
    <row r="3416" spans="1:9" x14ac:dyDescent="0.3">
      <c r="A3416" t="s">
        <v>24</v>
      </c>
      <c r="B3416">
        <v>324000</v>
      </c>
      <c r="D3416">
        <v>211500</v>
      </c>
      <c r="G3416" s="25">
        <v>44179</v>
      </c>
      <c r="H3416">
        <v>2020</v>
      </c>
      <c r="I3416" t="s">
        <v>53</v>
      </c>
    </row>
    <row r="3417" spans="1:9" x14ac:dyDescent="0.3">
      <c r="A3417" t="s">
        <v>21</v>
      </c>
      <c r="G3417" s="25">
        <v>44179</v>
      </c>
      <c r="H3417">
        <v>2020</v>
      </c>
      <c r="I3417" t="s">
        <v>53</v>
      </c>
    </row>
    <row r="3418" spans="1:9" x14ac:dyDescent="0.3">
      <c r="A3418" t="s">
        <v>18</v>
      </c>
      <c r="G3418" s="25">
        <v>44179</v>
      </c>
      <c r="H3418">
        <v>2020</v>
      </c>
      <c r="I3418" t="s">
        <v>53</v>
      </c>
    </row>
    <row r="3419" spans="1:9" x14ac:dyDescent="0.3">
      <c r="A3419" t="s">
        <v>16</v>
      </c>
      <c r="C3419">
        <v>216000</v>
      </c>
      <c r="E3419">
        <v>54000</v>
      </c>
      <c r="G3419" s="25">
        <v>44179</v>
      </c>
      <c r="H3419">
        <v>2020</v>
      </c>
      <c r="I3419" t="s">
        <v>53</v>
      </c>
    </row>
    <row r="3420" spans="1:9" x14ac:dyDescent="0.3">
      <c r="A3420" t="s">
        <v>20</v>
      </c>
      <c r="G3420" s="25">
        <v>44180</v>
      </c>
      <c r="H3420">
        <v>2020</v>
      </c>
      <c r="I3420" t="s">
        <v>53</v>
      </c>
    </row>
    <row r="3421" spans="1:9" x14ac:dyDescent="0.3">
      <c r="A3421" t="s">
        <v>37</v>
      </c>
      <c r="G3421" s="25">
        <v>44180</v>
      </c>
      <c r="H3421">
        <v>2020</v>
      </c>
      <c r="I3421" t="s">
        <v>53</v>
      </c>
    </row>
    <row r="3422" spans="1:9" x14ac:dyDescent="0.3">
      <c r="A3422" t="s">
        <v>17</v>
      </c>
      <c r="B3422">
        <v>202500</v>
      </c>
      <c r="C3422">
        <v>54000</v>
      </c>
      <c r="G3422" s="25">
        <v>44180</v>
      </c>
      <c r="H3422">
        <v>2020</v>
      </c>
      <c r="I3422" t="s">
        <v>53</v>
      </c>
    </row>
    <row r="3423" spans="1:9" x14ac:dyDescent="0.3">
      <c r="A3423" t="s">
        <v>0</v>
      </c>
      <c r="B3423">
        <v>370000</v>
      </c>
      <c r="C3423">
        <v>54000</v>
      </c>
      <c r="G3423" s="25">
        <v>44180</v>
      </c>
      <c r="H3423">
        <v>2020</v>
      </c>
      <c r="I3423" t="s">
        <v>53</v>
      </c>
    </row>
    <row r="3424" spans="1:9" x14ac:dyDescent="0.3">
      <c r="A3424" t="s">
        <v>25</v>
      </c>
      <c r="B3424">
        <v>373500</v>
      </c>
      <c r="C3424">
        <v>108000</v>
      </c>
      <c r="D3424">
        <v>455000</v>
      </c>
      <c r="G3424" s="25">
        <v>44180</v>
      </c>
      <c r="H3424">
        <v>2020</v>
      </c>
      <c r="I3424" t="s">
        <v>53</v>
      </c>
    </row>
    <row r="3425" spans="1:9" x14ac:dyDescent="0.3">
      <c r="A3425" t="s">
        <v>15</v>
      </c>
      <c r="B3425">
        <v>104000</v>
      </c>
      <c r="C3425">
        <v>162000</v>
      </c>
      <c r="E3425">
        <v>54000</v>
      </c>
      <c r="G3425" s="25">
        <v>44180</v>
      </c>
      <c r="H3425">
        <v>2020</v>
      </c>
      <c r="I3425" t="s">
        <v>53</v>
      </c>
    </row>
    <row r="3426" spans="1:9" x14ac:dyDescent="0.3">
      <c r="A3426" t="s">
        <v>26</v>
      </c>
      <c r="B3426">
        <v>261500</v>
      </c>
      <c r="C3426">
        <v>108000</v>
      </c>
      <c r="D3426">
        <v>45000</v>
      </c>
      <c r="G3426" s="25">
        <v>44180</v>
      </c>
      <c r="H3426">
        <v>2020</v>
      </c>
      <c r="I3426" t="s">
        <v>53</v>
      </c>
    </row>
    <row r="3427" spans="1:9" x14ac:dyDescent="0.3">
      <c r="A3427" t="s">
        <v>22</v>
      </c>
      <c r="G3427" s="25">
        <v>44180</v>
      </c>
      <c r="H3427">
        <v>2020</v>
      </c>
      <c r="I3427" t="s">
        <v>53</v>
      </c>
    </row>
    <row r="3428" spans="1:9" x14ac:dyDescent="0.3">
      <c r="A3428" t="s">
        <v>19</v>
      </c>
      <c r="C3428">
        <v>432000</v>
      </c>
      <c r="G3428" s="25">
        <v>44180</v>
      </c>
      <c r="H3428">
        <v>2020</v>
      </c>
      <c r="I3428" t="s">
        <v>53</v>
      </c>
    </row>
    <row r="3429" spans="1:9" x14ac:dyDescent="0.3">
      <c r="A3429" t="s">
        <v>14</v>
      </c>
      <c r="C3429">
        <v>108000</v>
      </c>
      <c r="G3429" s="25">
        <v>44180</v>
      </c>
      <c r="H3429">
        <v>2020</v>
      </c>
      <c r="I3429" t="s">
        <v>53</v>
      </c>
    </row>
    <row r="3430" spans="1:9" x14ac:dyDescent="0.3">
      <c r="A3430" t="s">
        <v>24</v>
      </c>
      <c r="B3430">
        <v>594000</v>
      </c>
      <c r="D3430">
        <v>162000</v>
      </c>
      <c r="G3430" s="25">
        <v>44180</v>
      </c>
      <c r="H3430">
        <v>2020</v>
      </c>
      <c r="I3430" t="s">
        <v>53</v>
      </c>
    </row>
    <row r="3431" spans="1:9" x14ac:dyDescent="0.3">
      <c r="A3431" t="s">
        <v>21</v>
      </c>
      <c r="G3431" s="25">
        <v>44180</v>
      </c>
      <c r="H3431">
        <v>2020</v>
      </c>
      <c r="I3431" t="s">
        <v>53</v>
      </c>
    </row>
    <row r="3432" spans="1:9" x14ac:dyDescent="0.3">
      <c r="A3432" t="s">
        <v>18</v>
      </c>
      <c r="G3432" s="25">
        <v>44180</v>
      </c>
      <c r="H3432">
        <v>2020</v>
      </c>
      <c r="I3432" t="s">
        <v>53</v>
      </c>
    </row>
    <row r="3433" spans="1:9" x14ac:dyDescent="0.3">
      <c r="A3433" t="s">
        <v>16</v>
      </c>
      <c r="C3433">
        <v>261500</v>
      </c>
      <c r="G3433" s="25">
        <v>44180</v>
      </c>
      <c r="H3433">
        <v>2020</v>
      </c>
      <c r="I3433" t="s">
        <v>53</v>
      </c>
    </row>
    <row r="3434" spans="1:9" x14ac:dyDescent="0.3">
      <c r="A3434" t="s">
        <v>20</v>
      </c>
      <c r="G3434" s="25">
        <v>44181</v>
      </c>
      <c r="H3434">
        <v>2020</v>
      </c>
      <c r="I3434" t="s">
        <v>53</v>
      </c>
    </row>
    <row r="3435" spans="1:9" x14ac:dyDescent="0.3">
      <c r="A3435" t="s">
        <v>37</v>
      </c>
      <c r="G3435" s="25">
        <v>44181</v>
      </c>
      <c r="H3435">
        <v>2020</v>
      </c>
      <c r="I3435" t="s">
        <v>53</v>
      </c>
    </row>
    <row r="3436" spans="1:9" x14ac:dyDescent="0.3">
      <c r="A3436" t="s">
        <v>17</v>
      </c>
      <c r="B3436">
        <v>324000</v>
      </c>
      <c r="C3436">
        <v>162000</v>
      </c>
      <c r="G3436" s="25">
        <v>44181</v>
      </c>
      <c r="H3436">
        <v>2020</v>
      </c>
      <c r="I3436" t="s">
        <v>53</v>
      </c>
    </row>
    <row r="3437" spans="1:9" x14ac:dyDescent="0.3">
      <c r="A3437" t="s">
        <v>0</v>
      </c>
      <c r="B3437">
        <v>432000</v>
      </c>
      <c r="C3437">
        <v>45000</v>
      </c>
      <c r="G3437" s="25">
        <v>44181</v>
      </c>
      <c r="H3437">
        <v>2020</v>
      </c>
      <c r="I3437" t="s">
        <v>53</v>
      </c>
    </row>
    <row r="3438" spans="1:9" x14ac:dyDescent="0.3">
      <c r="A3438" t="s">
        <v>25</v>
      </c>
      <c r="B3438">
        <v>432000</v>
      </c>
      <c r="C3438">
        <v>266000</v>
      </c>
      <c r="E3438">
        <v>54000</v>
      </c>
      <c r="G3438" s="25">
        <v>44181</v>
      </c>
      <c r="H3438">
        <v>2020</v>
      </c>
      <c r="I3438" t="s">
        <v>53</v>
      </c>
    </row>
    <row r="3439" spans="1:9" x14ac:dyDescent="0.3">
      <c r="A3439" t="s">
        <v>15</v>
      </c>
      <c r="C3439">
        <v>486000</v>
      </c>
      <c r="E3439">
        <v>216000</v>
      </c>
      <c r="G3439" s="25">
        <v>44181</v>
      </c>
      <c r="H3439">
        <v>2020</v>
      </c>
      <c r="I3439" t="s">
        <v>53</v>
      </c>
    </row>
    <row r="3440" spans="1:9" x14ac:dyDescent="0.3">
      <c r="A3440" t="s">
        <v>26</v>
      </c>
      <c r="B3440">
        <v>311000</v>
      </c>
      <c r="C3440">
        <v>270000</v>
      </c>
      <c r="D3440">
        <v>95000</v>
      </c>
      <c r="G3440" s="25">
        <v>44181</v>
      </c>
      <c r="H3440">
        <v>2020</v>
      </c>
      <c r="I3440" t="s">
        <v>53</v>
      </c>
    </row>
    <row r="3441" spans="1:9" x14ac:dyDescent="0.3">
      <c r="A3441" t="s">
        <v>22</v>
      </c>
      <c r="G3441" s="25">
        <v>44181</v>
      </c>
      <c r="H3441">
        <v>2020</v>
      </c>
      <c r="I3441" t="s">
        <v>53</v>
      </c>
    </row>
    <row r="3442" spans="1:9" x14ac:dyDescent="0.3">
      <c r="A3442" t="s">
        <v>19</v>
      </c>
      <c r="D3442">
        <v>162000</v>
      </c>
      <c r="G3442" s="25">
        <v>44181</v>
      </c>
      <c r="H3442">
        <v>2020</v>
      </c>
      <c r="I3442" t="s">
        <v>53</v>
      </c>
    </row>
    <row r="3443" spans="1:9" x14ac:dyDescent="0.3">
      <c r="A3443" t="s">
        <v>14</v>
      </c>
      <c r="C3443">
        <v>360000</v>
      </c>
      <c r="E3443">
        <v>157500</v>
      </c>
      <c r="G3443" s="25">
        <v>44181</v>
      </c>
      <c r="H3443">
        <v>2020</v>
      </c>
      <c r="I3443" t="s">
        <v>53</v>
      </c>
    </row>
    <row r="3444" spans="1:9" x14ac:dyDescent="0.3">
      <c r="A3444" t="s">
        <v>24</v>
      </c>
      <c r="B3444">
        <v>918000</v>
      </c>
      <c r="D3444">
        <v>162000</v>
      </c>
      <c r="G3444" s="25">
        <v>44181</v>
      </c>
      <c r="H3444">
        <v>2020</v>
      </c>
      <c r="I3444" t="s">
        <v>53</v>
      </c>
    </row>
    <row r="3445" spans="1:9" x14ac:dyDescent="0.3">
      <c r="A3445" t="s">
        <v>21</v>
      </c>
      <c r="G3445" s="25">
        <v>44181</v>
      </c>
      <c r="H3445">
        <v>2020</v>
      </c>
      <c r="I3445" t="s">
        <v>53</v>
      </c>
    </row>
    <row r="3446" spans="1:9" x14ac:dyDescent="0.3">
      <c r="A3446" t="s">
        <v>18</v>
      </c>
      <c r="E3446">
        <v>104000</v>
      </c>
      <c r="G3446" s="25">
        <v>44181</v>
      </c>
      <c r="H3446">
        <v>2020</v>
      </c>
      <c r="I3446" t="s">
        <v>53</v>
      </c>
    </row>
    <row r="3447" spans="1:9" x14ac:dyDescent="0.3">
      <c r="A3447" t="s">
        <v>16</v>
      </c>
      <c r="C3447">
        <v>428000</v>
      </c>
      <c r="E3447">
        <v>162000</v>
      </c>
      <c r="G3447" s="25">
        <v>44181</v>
      </c>
      <c r="H3447">
        <v>2020</v>
      </c>
      <c r="I3447" t="s">
        <v>53</v>
      </c>
    </row>
    <row r="3448" spans="1:9" x14ac:dyDescent="0.3">
      <c r="A3448" t="s">
        <v>20</v>
      </c>
      <c r="G3448" s="25">
        <v>44182</v>
      </c>
      <c r="H3448">
        <v>2020</v>
      </c>
      <c r="I3448" t="s">
        <v>53</v>
      </c>
    </row>
    <row r="3449" spans="1:9" x14ac:dyDescent="0.3">
      <c r="A3449" t="s">
        <v>37</v>
      </c>
      <c r="G3449" s="25">
        <v>44182</v>
      </c>
      <c r="H3449">
        <v>2020</v>
      </c>
      <c r="I3449" t="s">
        <v>53</v>
      </c>
    </row>
    <row r="3450" spans="1:9" x14ac:dyDescent="0.3">
      <c r="A3450" t="s">
        <v>17</v>
      </c>
      <c r="B3450">
        <v>216000</v>
      </c>
      <c r="C3450">
        <v>268000</v>
      </c>
      <c r="G3450" s="25">
        <v>44182</v>
      </c>
      <c r="H3450">
        <v>2020</v>
      </c>
      <c r="I3450" t="s">
        <v>53</v>
      </c>
    </row>
    <row r="3451" spans="1:9" x14ac:dyDescent="0.3">
      <c r="A3451" t="s">
        <v>0</v>
      </c>
      <c r="G3451" s="25">
        <v>44182</v>
      </c>
      <c r="H3451">
        <v>2020</v>
      </c>
      <c r="I3451" t="s">
        <v>53</v>
      </c>
    </row>
    <row r="3452" spans="1:9" x14ac:dyDescent="0.3">
      <c r="A3452" t="s">
        <v>25</v>
      </c>
      <c r="B3452">
        <v>216000</v>
      </c>
      <c r="C3452">
        <v>270000</v>
      </c>
      <c r="D3452">
        <v>54000</v>
      </c>
      <c r="E3452">
        <v>54000</v>
      </c>
      <c r="G3452" s="25">
        <v>44182</v>
      </c>
      <c r="H3452">
        <v>2020</v>
      </c>
      <c r="I3452" t="s">
        <v>53</v>
      </c>
    </row>
    <row r="3453" spans="1:9" x14ac:dyDescent="0.3">
      <c r="A3453" t="s">
        <v>15</v>
      </c>
      <c r="C3453">
        <v>263000</v>
      </c>
      <c r="E3453">
        <v>216000</v>
      </c>
      <c r="G3453" s="25">
        <v>44182</v>
      </c>
      <c r="H3453">
        <v>2020</v>
      </c>
      <c r="I3453" t="s">
        <v>53</v>
      </c>
    </row>
    <row r="3454" spans="1:9" x14ac:dyDescent="0.3">
      <c r="A3454" t="s">
        <v>26</v>
      </c>
      <c r="B3454">
        <v>212000</v>
      </c>
      <c r="C3454">
        <v>216000</v>
      </c>
      <c r="D3454">
        <v>45000</v>
      </c>
      <c r="E3454">
        <v>54000</v>
      </c>
      <c r="G3454" s="25">
        <v>44182</v>
      </c>
      <c r="H3454">
        <v>2020</v>
      </c>
      <c r="I3454" t="s">
        <v>53</v>
      </c>
    </row>
    <row r="3455" spans="1:9" x14ac:dyDescent="0.3">
      <c r="A3455" t="s">
        <v>22</v>
      </c>
      <c r="G3455" s="25">
        <v>44182</v>
      </c>
      <c r="H3455">
        <v>2020</v>
      </c>
      <c r="I3455" t="s">
        <v>53</v>
      </c>
    </row>
    <row r="3456" spans="1:9" x14ac:dyDescent="0.3">
      <c r="A3456" t="s">
        <v>19</v>
      </c>
      <c r="D3456">
        <v>324000</v>
      </c>
      <c r="G3456" s="25">
        <v>44182</v>
      </c>
      <c r="H3456">
        <v>2020</v>
      </c>
      <c r="I3456" t="s">
        <v>53</v>
      </c>
    </row>
    <row r="3457" spans="1:9" x14ac:dyDescent="0.3">
      <c r="A3457" t="s">
        <v>14</v>
      </c>
      <c r="B3457">
        <v>162000</v>
      </c>
      <c r="C3457">
        <v>266000</v>
      </c>
      <c r="E3457">
        <v>216000</v>
      </c>
      <c r="G3457" s="25">
        <v>44182</v>
      </c>
      <c r="H3457">
        <v>2020</v>
      </c>
      <c r="I3457" t="s">
        <v>53</v>
      </c>
    </row>
    <row r="3458" spans="1:9" x14ac:dyDescent="0.3">
      <c r="A3458" t="s">
        <v>24</v>
      </c>
      <c r="B3458">
        <v>324000</v>
      </c>
      <c r="D3458">
        <v>54000</v>
      </c>
      <c r="G3458" s="25">
        <v>44182</v>
      </c>
      <c r="H3458">
        <v>2020</v>
      </c>
      <c r="I3458" t="s">
        <v>53</v>
      </c>
    </row>
    <row r="3459" spans="1:9" x14ac:dyDescent="0.3">
      <c r="A3459" t="s">
        <v>21</v>
      </c>
      <c r="G3459" s="25">
        <v>44182</v>
      </c>
      <c r="H3459">
        <v>2020</v>
      </c>
      <c r="I3459" t="s">
        <v>53</v>
      </c>
    </row>
    <row r="3460" spans="1:9" x14ac:dyDescent="0.3">
      <c r="A3460" t="s">
        <v>18</v>
      </c>
      <c r="B3460">
        <v>324000</v>
      </c>
      <c r="D3460">
        <v>54000</v>
      </c>
      <c r="E3460">
        <v>54000</v>
      </c>
      <c r="G3460" s="25">
        <v>44182</v>
      </c>
      <c r="H3460">
        <v>2020</v>
      </c>
      <c r="I3460" t="s">
        <v>53</v>
      </c>
    </row>
    <row r="3461" spans="1:9" x14ac:dyDescent="0.3">
      <c r="A3461" t="s">
        <v>16</v>
      </c>
      <c r="B3461">
        <v>343000</v>
      </c>
      <c r="C3461">
        <v>270000</v>
      </c>
      <c r="D3461">
        <v>369000</v>
      </c>
      <c r="E3461">
        <v>162000</v>
      </c>
      <c r="G3461" s="25">
        <v>44182</v>
      </c>
      <c r="H3461">
        <v>2020</v>
      </c>
      <c r="I3461" t="s">
        <v>53</v>
      </c>
    </row>
    <row r="3462" spans="1:9" x14ac:dyDescent="0.3">
      <c r="A3462" t="s">
        <v>20</v>
      </c>
      <c r="G3462" s="25">
        <v>44183</v>
      </c>
      <c r="H3462">
        <v>2020</v>
      </c>
      <c r="I3462" t="s">
        <v>53</v>
      </c>
    </row>
    <row r="3463" spans="1:9" x14ac:dyDescent="0.3">
      <c r="A3463" t="s">
        <v>37</v>
      </c>
      <c r="G3463" s="25">
        <v>44183</v>
      </c>
      <c r="H3463">
        <v>2020</v>
      </c>
      <c r="I3463" t="s">
        <v>53</v>
      </c>
    </row>
    <row r="3464" spans="1:9" x14ac:dyDescent="0.3">
      <c r="A3464" t="s">
        <v>17</v>
      </c>
      <c r="B3464">
        <v>95000</v>
      </c>
      <c r="C3464">
        <v>216000</v>
      </c>
      <c r="G3464" s="25">
        <v>44183</v>
      </c>
      <c r="H3464">
        <v>2020</v>
      </c>
      <c r="I3464" t="s">
        <v>53</v>
      </c>
    </row>
    <row r="3465" spans="1:9" x14ac:dyDescent="0.3">
      <c r="A3465" t="s">
        <v>0</v>
      </c>
      <c r="B3465">
        <v>54000</v>
      </c>
      <c r="G3465" s="25">
        <v>44183</v>
      </c>
      <c r="H3465">
        <v>2020</v>
      </c>
      <c r="I3465" t="s">
        <v>53</v>
      </c>
    </row>
    <row r="3466" spans="1:9" x14ac:dyDescent="0.3">
      <c r="A3466" t="s">
        <v>25</v>
      </c>
      <c r="B3466">
        <v>216000</v>
      </c>
      <c r="C3466">
        <v>216000</v>
      </c>
      <c r="E3466">
        <v>320000</v>
      </c>
      <c r="G3466" s="25">
        <v>44183</v>
      </c>
      <c r="H3466">
        <v>2020</v>
      </c>
      <c r="I3466" t="s">
        <v>53</v>
      </c>
    </row>
    <row r="3467" spans="1:9" x14ac:dyDescent="0.3">
      <c r="A3467" t="s">
        <v>15</v>
      </c>
      <c r="C3467">
        <v>54000</v>
      </c>
      <c r="E3467">
        <v>428000</v>
      </c>
      <c r="G3467" s="25">
        <v>44183</v>
      </c>
      <c r="H3467">
        <v>2020</v>
      </c>
      <c r="I3467" t="s">
        <v>53</v>
      </c>
    </row>
    <row r="3468" spans="1:9" x14ac:dyDescent="0.3">
      <c r="A3468" t="s">
        <v>26</v>
      </c>
      <c r="C3468">
        <v>158000</v>
      </c>
      <c r="G3468" s="25">
        <v>44183</v>
      </c>
      <c r="H3468">
        <v>2020</v>
      </c>
      <c r="I3468" t="s">
        <v>53</v>
      </c>
    </row>
    <row r="3469" spans="1:9" x14ac:dyDescent="0.3">
      <c r="A3469" t="s">
        <v>22</v>
      </c>
      <c r="G3469" s="25">
        <v>44183</v>
      </c>
      <c r="H3469">
        <v>2020</v>
      </c>
      <c r="I3469" t="s">
        <v>53</v>
      </c>
    </row>
    <row r="3470" spans="1:9" x14ac:dyDescent="0.3">
      <c r="A3470" t="s">
        <v>19</v>
      </c>
      <c r="B3470">
        <v>216000</v>
      </c>
      <c r="D3470">
        <v>324000</v>
      </c>
      <c r="G3470" s="25">
        <v>44183</v>
      </c>
      <c r="H3470">
        <v>2020</v>
      </c>
      <c r="I3470" t="s">
        <v>53</v>
      </c>
    </row>
    <row r="3471" spans="1:9" x14ac:dyDescent="0.3">
      <c r="A3471" t="s">
        <v>14</v>
      </c>
      <c r="C3471">
        <v>370000</v>
      </c>
      <c r="E3471">
        <v>162000</v>
      </c>
      <c r="G3471" s="25">
        <v>44183</v>
      </c>
      <c r="H3471">
        <v>2020</v>
      </c>
      <c r="I3471" t="s">
        <v>53</v>
      </c>
    </row>
    <row r="3472" spans="1:9" x14ac:dyDescent="0.3">
      <c r="A3472" t="s">
        <v>24</v>
      </c>
      <c r="B3472">
        <v>270000</v>
      </c>
      <c r="G3472" s="25">
        <v>44183</v>
      </c>
      <c r="H3472">
        <v>2020</v>
      </c>
      <c r="I3472" t="s">
        <v>53</v>
      </c>
    </row>
    <row r="3473" spans="1:9" x14ac:dyDescent="0.3">
      <c r="A3473" t="s">
        <v>21</v>
      </c>
      <c r="G3473" s="25">
        <v>44183</v>
      </c>
      <c r="H3473">
        <v>2020</v>
      </c>
      <c r="I3473" t="s">
        <v>53</v>
      </c>
    </row>
    <row r="3474" spans="1:9" x14ac:dyDescent="0.3">
      <c r="A3474" t="s">
        <v>18</v>
      </c>
      <c r="B3474">
        <v>207000</v>
      </c>
      <c r="E3474">
        <v>216000</v>
      </c>
      <c r="G3474" s="25">
        <v>44183</v>
      </c>
      <c r="H3474">
        <v>2020</v>
      </c>
      <c r="I3474" t="s">
        <v>53</v>
      </c>
    </row>
    <row r="3475" spans="1:9" x14ac:dyDescent="0.3">
      <c r="A3475" t="s">
        <v>16</v>
      </c>
      <c r="B3475">
        <v>212000</v>
      </c>
      <c r="D3475">
        <v>324000</v>
      </c>
      <c r="E3475">
        <v>162000</v>
      </c>
      <c r="G3475" s="25">
        <v>44183</v>
      </c>
      <c r="H3475">
        <v>2020</v>
      </c>
      <c r="I3475" t="s">
        <v>53</v>
      </c>
    </row>
    <row r="3476" spans="1:9" x14ac:dyDescent="0.3">
      <c r="A3476" t="s">
        <v>20</v>
      </c>
      <c r="G3476" s="25">
        <v>44186</v>
      </c>
      <c r="H3476">
        <v>2020</v>
      </c>
      <c r="I3476" t="s">
        <v>53</v>
      </c>
    </row>
    <row r="3477" spans="1:9" x14ac:dyDescent="0.3">
      <c r="A3477" t="s">
        <v>37</v>
      </c>
      <c r="G3477" s="25">
        <v>44186</v>
      </c>
      <c r="H3477">
        <v>2020</v>
      </c>
      <c r="I3477" t="s">
        <v>53</v>
      </c>
    </row>
    <row r="3478" spans="1:9" x14ac:dyDescent="0.3">
      <c r="A3478" t="s">
        <v>17</v>
      </c>
      <c r="E3478">
        <v>54000</v>
      </c>
      <c r="G3478" s="25">
        <v>44186</v>
      </c>
      <c r="H3478">
        <v>2020</v>
      </c>
      <c r="I3478" t="s">
        <v>53</v>
      </c>
    </row>
    <row r="3479" spans="1:9" x14ac:dyDescent="0.3">
      <c r="A3479" t="s">
        <v>0</v>
      </c>
      <c r="G3479" s="25">
        <v>44186</v>
      </c>
      <c r="H3479">
        <v>2020</v>
      </c>
      <c r="I3479" t="s">
        <v>53</v>
      </c>
    </row>
    <row r="3480" spans="1:9" x14ac:dyDescent="0.3">
      <c r="A3480" t="s">
        <v>25</v>
      </c>
      <c r="E3480">
        <v>108000</v>
      </c>
      <c r="G3480" s="25">
        <v>44186</v>
      </c>
      <c r="H3480">
        <v>2020</v>
      </c>
      <c r="I3480" t="s">
        <v>53</v>
      </c>
    </row>
    <row r="3481" spans="1:9" x14ac:dyDescent="0.3">
      <c r="A3481" t="s">
        <v>15</v>
      </c>
      <c r="E3481">
        <v>108000</v>
      </c>
      <c r="G3481" s="25">
        <v>44186</v>
      </c>
      <c r="H3481">
        <v>2020</v>
      </c>
      <c r="I3481" t="s">
        <v>53</v>
      </c>
    </row>
    <row r="3482" spans="1:9" x14ac:dyDescent="0.3">
      <c r="A3482" t="s">
        <v>26</v>
      </c>
      <c r="E3482">
        <v>45000</v>
      </c>
      <c r="G3482" s="25">
        <v>44186</v>
      </c>
      <c r="H3482">
        <v>2020</v>
      </c>
      <c r="I3482" t="s">
        <v>53</v>
      </c>
    </row>
    <row r="3483" spans="1:9" x14ac:dyDescent="0.3">
      <c r="A3483" t="s">
        <v>22</v>
      </c>
      <c r="G3483" s="25">
        <v>44186</v>
      </c>
      <c r="H3483">
        <v>2020</v>
      </c>
      <c r="I3483" t="s">
        <v>53</v>
      </c>
    </row>
    <row r="3484" spans="1:9" x14ac:dyDescent="0.3">
      <c r="A3484" t="s">
        <v>19</v>
      </c>
      <c r="C3484">
        <v>315000</v>
      </c>
      <c r="D3484">
        <v>477000</v>
      </c>
      <c r="G3484" s="25">
        <v>44186</v>
      </c>
      <c r="H3484">
        <v>2020</v>
      </c>
      <c r="I3484" t="s">
        <v>53</v>
      </c>
    </row>
    <row r="3485" spans="1:9" x14ac:dyDescent="0.3">
      <c r="A3485" t="s">
        <v>14</v>
      </c>
      <c r="E3485">
        <v>54000</v>
      </c>
      <c r="G3485" s="25">
        <v>44186</v>
      </c>
      <c r="H3485">
        <v>2020</v>
      </c>
      <c r="I3485" t="s">
        <v>53</v>
      </c>
    </row>
    <row r="3486" spans="1:9" x14ac:dyDescent="0.3">
      <c r="A3486" t="s">
        <v>24</v>
      </c>
      <c r="G3486" s="25">
        <v>44186</v>
      </c>
      <c r="H3486">
        <v>2020</v>
      </c>
      <c r="I3486" t="s">
        <v>53</v>
      </c>
    </row>
    <row r="3487" spans="1:9" x14ac:dyDescent="0.3">
      <c r="A3487" t="s">
        <v>21</v>
      </c>
      <c r="G3487" s="25">
        <v>44186</v>
      </c>
      <c r="H3487">
        <v>2020</v>
      </c>
      <c r="I3487" t="s">
        <v>53</v>
      </c>
    </row>
    <row r="3488" spans="1:9" x14ac:dyDescent="0.3">
      <c r="A3488" t="s">
        <v>18</v>
      </c>
      <c r="E3488">
        <v>54000</v>
      </c>
      <c r="G3488" s="25">
        <v>44186</v>
      </c>
      <c r="H3488">
        <v>2020</v>
      </c>
      <c r="I3488" t="s">
        <v>53</v>
      </c>
    </row>
    <row r="3489" spans="1:9" x14ac:dyDescent="0.3">
      <c r="A3489" t="s">
        <v>16</v>
      </c>
      <c r="D3489">
        <v>423000</v>
      </c>
      <c r="E3489">
        <v>108000</v>
      </c>
      <c r="G3489" s="25">
        <v>44186</v>
      </c>
      <c r="H3489">
        <v>2020</v>
      </c>
      <c r="I3489" t="s">
        <v>53</v>
      </c>
    </row>
    <row r="3490" spans="1:9" x14ac:dyDescent="0.3">
      <c r="A3490" t="s">
        <v>20</v>
      </c>
      <c r="G3490" s="25">
        <v>44187</v>
      </c>
      <c r="H3490">
        <v>2020</v>
      </c>
      <c r="I3490" t="s">
        <v>53</v>
      </c>
    </row>
    <row r="3491" spans="1:9" x14ac:dyDescent="0.3">
      <c r="A3491" t="s">
        <v>37</v>
      </c>
      <c r="F3491">
        <v>594000</v>
      </c>
      <c r="G3491" s="25">
        <v>44187</v>
      </c>
      <c r="H3491">
        <v>2020</v>
      </c>
      <c r="I3491" t="s">
        <v>53</v>
      </c>
    </row>
    <row r="3492" spans="1:9" x14ac:dyDescent="0.3">
      <c r="A3492" t="s">
        <v>17</v>
      </c>
      <c r="E3492">
        <v>108000</v>
      </c>
      <c r="G3492" s="25">
        <v>44187</v>
      </c>
      <c r="H3492">
        <v>2020</v>
      </c>
      <c r="I3492" t="s">
        <v>53</v>
      </c>
    </row>
    <row r="3493" spans="1:9" x14ac:dyDescent="0.3">
      <c r="A3493" t="s">
        <v>0</v>
      </c>
      <c r="C3493">
        <v>54000</v>
      </c>
      <c r="G3493" s="25">
        <v>44187</v>
      </c>
      <c r="H3493">
        <v>2020</v>
      </c>
      <c r="I3493" t="s">
        <v>53</v>
      </c>
    </row>
    <row r="3494" spans="1:9" x14ac:dyDescent="0.3">
      <c r="A3494" t="s">
        <v>25</v>
      </c>
      <c r="E3494">
        <v>108000</v>
      </c>
      <c r="G3494" s="25">
        <v>44187</v>
      </c>
      <c r="H3494">
        <v>2020</v>
      </c>
      <c r="I3494" t="s">
        <v>53</v>
      </c>
    </row>
    <row r="3495" spans="1:9" x14ac:dyDescent="0.3">
      <c r="A3495" t="s">
        <v>15</v>
      </c>
      <c r="C3495">
        <v>45000</v>
      </c>
      <c r="E3495">
        <v>108000</v>
      </c>
      <c r="G3495" s="25">
        <v>44187</v>
      </c>
      <c r="H3495">
        <v>2020</v>
      </c>
      <c r="I3495" t="s">
        <v>53</v>
      </c>
    </row>
    <row r="3496" spans="1:9" x14ac:dyDescent="0.3">
      <c r="A3496" t="s">
        <v>26</v>
      </c>
      <c r="C3496">
        <v>50000</v>
      </c>
      <c r="G3496" s="25">
        <v>44187</v>
      </c>
      <c r="H3496">
        <v>2020</v>
      </c>
      <c r="I3496" t="s">
        <v>53</v>
      </c>
    </row>
    <row r="3497" spans="1:9" x14ac:dyDescent="0.3">
      <c r="A3497" t="s">
        <v>22</v>
      </c>
      <c r="G3497" s="25">
        <v>44187</v>
      </c>
      <c r="H3497">
        <v>2020</v>
      </c>
      <c r="I3497" t="s">
        <v>53</v>
      </c>
    </row>
    <row r="3498" spans="1:9" x14ac:dyDescent="0.3">
      <c r="A3498" t="s">
        <v>19</v>
      </c>
      <c r="C3498">
        <v>270000</v>
      </c>
      <c r="D3498">
        <v>162000</v>
      </c>
      <c r="G3498" s="25">
        <v>44187</v>
      </c>
      <c r="H3498">
        <v>2020</v>
      </c>
      <c r="I3498" t="s">
        <v>53</v>
      </c>
    </row>
    <row r="3499" spans="1:9" x14ac:dyDescent="0.3">
      <c r="A3499" t="s">
        <v>14</v>
      </c>
      <c r="E3499">
        <v>108000</v>
      </c>
      <c r="G3499" s="25">
        <v>44187</v>
      </c>
      <c r="H3499">
        <v>2020</v>
      </c>
      <c r="I3499" t="s">
        <v>53</v>
      </c>
    </row>
    <row r="3500" spans="1:9" x14ac:dyDescent="0.3">
      <c r="A3500" t="s">
        <v>24</v>
      </c>
      <c r="B3500">
        <v>54000</v>
      </c>
      <c r="G3500" s="25">
        <v>44187</v>
      </c>
      <c r="H3500">
        <v>2020</v>
      </c>
      <c r="I3500" t="s">
        <v>53</v>
      </c>
    </row>
    <row r="3501" spans="1:9" x14ac:dyDescent="0.3">
      <c r="A3501" t="s">
        <v>21</v>
      </c>
      <c r="G3501" s="25">
        <v>44187</v>
      </c>
      <c r="H3501">
        <v>2020</v>
      </c>
      <c r="I3501" t="s">
        <v>53</v>
      </c>
    </row>
    <row r="3502" spans="1:9" x14ac:dyDescent="0.3">
      <c r="A3502" t="s">
        <v>18</v>
      </c>
      <c r="B3502">
        <v>103500</v>
      </c>
      <c r="G3502" s="25">
        <v>44187</v>
      </c>
      <c r="H3502">
        <v>2020</v>
      </c>
      <c r="I3502" t="s">
        <v>53</v>
      </c>
    </row>
    <row r="3503" spans="1:9" x14ac:dyDescent="0.3">
      <c r="A3503" t="s">
        <v>16</v>
      </c>
      <c r="D3503">
        <v>108000</v>
      </c>
      <c r="E3503">
        <v>162000</v>
      </c>
      <c r="G3503" s="25">
        <v>44187</v>
      </c>
      <c r="H3503">
        <v>2020</v>
      </c>
      <c r="I3503" t="s">
        <v>53</v>
      </c>
    </row>
    <row r="3504" spans="1:9" x14ac:dyDescent="0.3">
      <c r="A3504" t="s">
        <v>20</v>
      </c>
      <c r="G3504" s="25">
        <v>44188</v>
      </c>
      <c r="H3504">
        <v>2020</v>
      </c>
      <c r="I3504" t="s">
        <v>53</v>
      </c>
    </row>
    <row r="3505" spans="1:9" x14ac:dyDescent="0.3">
      <c r="A3505" t="s">
        <v>37</v>
      </c>
      <c r="B3505">
        <v>324000</v>
      </c>
      <c r="G3505" s="25">
        <v>44188</v>
      </c>
      <c r="H3505">
        <v>2020</v>
      </c>
      <c r="I3505" t="s">
        <v>53</v>
      </c>
    </row>
    <row r="3506" spans="1:9" x14ac:dyDescent="0.3">
      <c r="A3506" t="s">
        <v>17</v>
      </c>
      <c r="B3506">
        <v>54000</v>
      </c>
      <c r="G3506" s="25">
        <v>44188</v>
      </c>
      <c r="H3506">
        <v>2020</v>
      </c>
      <c r="I3506" t="s">
        <v>53</v>
      </c>
    </row>
    <row r="3507" spans="1:9" x14ac:dyDescent="0.3">
      <c r="A3507" t="s">
        <v>0</v>
      </c>
      <c r="C3507">
        <v>257000</v>
      </c>
      <c r="G3507" s="25">
        <v>44188</v>
      </c>
      <c r="H3507">
        <v>2020</v>
      </c>
      <c r="I3507" t="s">
        <v>53</v>
      </c>
    </row>
    <row r="3508" spans="1:9" x14ac:dyDescent="0.3">
      <c r="A3508" t="s">
        <v>25</v>
      </c>
      <c r="B3508">
        <v>482000</v>
      </c>
      <c r="C3508">
        <v>424000</v>
      </c>
      <c r="G3508" s="25">
        <v>44188</v>
      </c>
      <c r="H3508">
        <v>2020</v>
      </c>
      <c r="I3508" t="s">
        <v>53</v>
      </c>
    </row>
    <row r="3509" spans="1:9" x14ac:dyDescent="0.3">
      <c r="A3509" t="s">
        <v>15</v>
      </c>
      <c r="C3509">
        <v>270000</v>
      </c>
      <c r="G3509" s="25">
        <v>44188</v>
      </c>
      <c r="H3509">
        <v>2020</v>
      </c>
      <c r="I3509" t="s">
        <v>53</v>
      </c>
    </row>
    <row r="3510" spans="1:9" x14ac:dyDescent="0.3">
      <c r="A3510" t="s">
        <v>26</v>
      </c>
      <c r="C3510">
        <v>54000</v>
      </c>
      <c r="E3510">
        <v>45000</v>
      </c>
      <c r="G3510" s="25">
        <v>44188</v>
      </c>
      <c r="H3510">
        <v>2020</v>
      </c>
      <c r="I3510" t="s">
        <v>53</v>
      </c>
    </row>
    <row r="3511" spans="1:9" x14ac:dyDescent="0.3">
      <c r="A3511" t="s">
        <v>22</v>
      </c>
      <c r="C3511">
        <v>216000</v>
      </c>
      <c r="G3511" s="25">
        <v>44188</v>
      </c>
      <c r="H3511">
        <v>2020</v>
      </c>
      <c r="I3511" t="s">
        <v>53</v>
      </c>
    </row>
    <row r="3512" spans="1:9" x14ac:dyDescent="0.3">
      <c r="A3512" t="s">
        <v>19</v>
      </c>
      <c r="B3512">
        <v>634000</v>
      </c>
      <c r="G3512" s="25">
        <v>44188</v>
      </c>
      <c r="H3512">
        <v>2020</v>
      </c>
      <c r="I3512" t="s">
        <v>53</v>
      </c>
    </row>
    <row r="3513" spans="1:9" x14ac:dyDescent="0.3">
      <c r="A3513" t="s">
        <v>14</v>
      </c>
      <c r="B3513">
        <v>212000</v>
      </c>
      <c r="C3513">
        <v>315000</v>
      </c>
      <c r="G3513" s="25">
        <v>44188</v>
      </c>
      <c r="H3513">
        <v>2020</v>
      </c>
      <c r="I3513" t="s">
        <v>53</v>
      </c>
    </row>
    <row r="3514" spans="1:9" x14ac:dyDescent="0.3">
      <c r="A3514" t="s">
        <v>24</v>
      </c>
      <c r="G3514" s="25">
        <v>44188</v>
      </c>
      <c r="H3514">
        <v>2020</v>
      </c>
      <c r="I3514" t="s">
        <v>53</v>
      </c>
    </row>
    <row r="3515" spans="1:9" x14ac:dyDescent="0.3">
      <c r="A3515" t="s">
        <v>21</v>
      </c>
      <c r="G3515" s="25">
        <v>44188</v>
      </c>
      <c r="H3515">
        <v>2020</v>
      </c>
      <c r="I3515" t="s">
        <v>53</v>
      </c>
    </row>
    <row r="3516" spans="1:9" x14ac:dyDescent="0.3">
      <c r="A3516" t="s">
        <v>18</v>
      </c>
      <c r="B3516">
        <v>324000</v>
      </c>
      <c r="G3516" s="25">
        <v>44188</v>
      </c>
      <c r="H3516">
        <v>2020</v>
      </c>
      <c r="I3516" t="s">
        <v>53</v>
      </c>
    </row>
    <row r="3517" spans="1:9" x14ac:dyDescent="0.3">
      <c r="A3517" t="s">
        <v>16</v>
      </c>
      <c r="B3517">
        <v>432000</v>
      </c>
      <c r="G3517" s="25">
        <v>44188</v>
      </c>
      <c r="H3517">
        <v>2020</v>
      </c>
      <c r="I3517" t="s">
        <v>53</v>
      </c>
    </row>
    <row r="3518" spans="1:9" x14ac:dyDescent="0.3">
      <c r="A3518" t="s">
        <v>20</v>
      </c>
      <c r="G3518" s="25">
        <v>44189</v>
      </c>
      <c r="H3518">
        <v>2020</v>
      </c>
      <c r="I3518" t="s">
        <v>53</v>
      </c>
    </row>
    <row r="3519" spans="1:9" x14ac:dyDescent="0.3">
      <c r="A3519" t="s">
        <v>37</v>
      </c>
      <c r="B3519">
        <v>148500</v>
      </c>
      <c r="G3519" s="25">
        <v>44189</v>
      </c>
      <c r="H3519">
        <v>2020</v>
      </c>
      <c r="I3519" t="s">
        <v>53</v>
      </c>
    </row>
    <row r="3520" spans="1:9" x14ac:dyDescent="0.3">
      <c r="A3520" t="s">
        <v>17</v>
      </c>
      <c r="B3520">
        <v>162000</v>
      </c>
      <c r="C3520">
        <v>199000</v>
      </c>
      <c r="G3520" s="25">
        <v>44189</v>
      </c>
      <c r="H3520">
        <v>2020</v>
      </c>
      <c r="I3520" t="s">
        <v>53</v>
      </c>
    </row>
    <row r="3521" spans="1:9" x14ac:dyDescent="0.3">
      <c r="A3521" t="s">
        <v>0</v>
      </c>
      <c r="C3521">
        <v>270000</v>
      </c>
      <c r="G3521" s="25">
        <v>44189</v>
      </c>
      <c r="H3521">
        <v>2020</v>
      </c>
      <c r="I3521" t="s">
        <v>53</v>
      </c>
    </row>
    <row r="3522" spans="1:9" x14ac:dyDescent="0.3">
      <c r="A3522" t="s">
        <v>25</v>
      </c>
      <c r="B3522">
        <v>536000</v>
      </c>
      <c r="C3522">
        <v>266000</v>
      </c>
      <c r="G3522" s="25">
        <v>44189</v>
      </c>
      <c r="H3522">
        <v>2020</v>
      </c>
      <c r="I3522" t="s">
        <v>53</v>
      </c>
    </row>
    <row r="3523" spans="1:9" x14ac:dyDescent="0.3">
      <c r="A3523" t="s">
        <v>15</v>
      </c>
      <c r="C3523">
        <v>315000</v>
      </c>
      <c r="G3523" s="25">
        <v>44189</v>
      </c>
      <c r="H3523">
        <v>2020</v>
      </c>
      <c r="I3523" t="s">
        <v>53</v>
      </c>
    </row>
    <row r="3524" spans="1:9" x14ac:dyDescent="0.3">
      <c r="A3524" t="s">
        <v>26</v>
      </c>
      <c r="B3524">
        <v>54000</v>
      </c>
      <c r="C3524">
        <v>108000</v>
      </c>
      <c r="G3524" s="25">
        <v>44189</v>
      </c>
      <c r="H3524">
        <v>2020</v>
      </c>
      <c r="I3524" t="s">
        <v>53</v>
      </c>
    </row>
    <row r="3525" spans="1:9" x14ac:dyDescent="0.3">
      <c r="A3525" t="s">
        <v>22</v>
      </c>
      <c r="C3525">
        <v>270000</v>
      </c>
      <c r="G3525" s="25">
        <v>44189</v>
      </c>
      <c r="H3525">
        <v>2020</v>
      </c>
      <c r="I3525" t="s">
        <v>53</v>
      </c>
    </row>
    <row r="3526" spans="1:9" x14ac:dyDescent="0.3">
      <c r="A3526" t="s">
        <v>19</v>
      </c>
      <c r="B3526">
        <v>356000</v>
      </c>
      <c r="C3526">
        <v>54000</v>
      </c>
      <c r="G3526" s="25">
        <v>44189</v>
      </c>
      <c r="H3526">
        <v>2020</v>
      </c>
      <c r="I3526" t="s">
        <v>53</v>
      </c>
    </row>
    <row r="3527" spans="1:9" x14ac:dyDescent="0.3">
      <c r="A3527" t="s">
        <v>14</v>
      </c>
      <c r="C3527">
        <v>324000</v>
      </c>
      <c r="G3527" s="25">
        <v>44189</v>
      </c>
      <c r="H3527">
        <v>2020</v>
      </c>
      <c r="I3527" t="s">
        <v>53</v>
      </c>
    </row>
    <row r="3528" spans="1:9" x14ac:dyDescent="0.3">
      <c r="A3528" t="s">
        <v>24</v>
      </c>
      <c r="G3528" s="25">
        <v>44189</v>
      </c>
      <c r="H3528">
        <v>2020</v>
      </c>
      <c r="I3528" t="s">
        <v>53</v>
      </c>
    </row>
    <row r="3529" spans="1:9" x14ac:dyDescent="0.3">
      <c r="A3529" t="s">
        <v>21</v>
      </c>
      <c r="G3529" s="25">
        <v>44189</v>
      </c>
      <c r="H3529">
        <v>2020</v>
      </c>
      <c r="I3529" t="s">
        <v>53</v>
      </c>
    </row>
    <row r="3530" spans="1:9" x14ac:dyDescent="0.3">
      <c r="A3530" t="s">
        <v>18</v>
      </c>
      <c r="B3530">
        <v>369000</v>
      </c>
      <c r="G3530" s="25">
        <v>44189</v>
      </c>
      <c r="H3530">
        <v>2020</v>
      </c>
      <c r="I3530" t="s">
        <v>53</v>
      </c>
    </row>
    <row r="3531" spans="1:9" x14ac:dyDescent="0.3">
      <c r="A3531" t="s">
        <v>16</v>
      </c>
      <c r="B3531">
        <v>308000</v>
      </c>
      <c r="G3531" s="25">
        <v>44189</v>
      </c>
      <c r="H3531">
        <v>2020</v>
      </c>
      <c r="I3531" t="s">
        <v>53</v>
      </c>
    </row>
    <row r="3532" spans="1:9" x14ac:dyDescent="0.3">
      <c r="A3532" t="s">
        <v>20</v>
      </c>
      <c r="G3532" s="25">
        <v>44194</v>
      </c>
      <c r="H3532">
        <v>2020</v>
      </c>
      <c r="I3532" t="s">
        <v>53</v>
      </c>
    </row>
    <row r="3533" spans="1:9" x14ac:dyDescent="0.3">
      <c r="A3533" t="s">
        <v>37</v>
      </c>
      <c r="B3533">
        <v>54000</v>
      </c>
      <c r="G3533" s="25">
        <v>44194</v>
      </c>
      <c r="H3533">
        <v>2020</v>
      </c>
      <c r="I3533" t="s">
        <v>53</v>
      </c>
    </row>
    <row r="3534" spans="1:9" x14ac:dyDescent="0.3">
      <c r="A3534" t="s">
        <v>17</v>
      </c>
      <c r="B3534">
        <v>680500</v>
      </c>
      <c r="C3534">
        <v>153000</v>
      </c>
      <c r="E3534">
        <v>99000</v>
      </c>
      <c r="G3534" s="25">
        <v>44194</v>
      </c>
      <c r="H3534">
        <v>2020</v>
      </c>
      <c r="I3534" t="s">
        <v>53</v>
      </c>
    </row>
    <row r="3535" spans="1:9" x14ac:dyDescent="0.3">
      <c r="A3535" t="s">
        <v>0</v>
      </c>
      <c r="C3535">
        <v>162000</v>
      </c>
      <c r="E3535">
        <v>162000</v>
      </c>
      <c r="G3535" s="25">
        <v>44194</v>
      </c>
      <c r="H3535">
        <v>2020</v>
      </c>
      <c r="I3535" t="s">
        <v>53</v>
      </c>
    </row>
    <row r="3536" spans="1:9" x14ac:dyDescent="0.3">
      <c r="A3536" t="s">
        <v>25</v>
      </c>
      <c r="B3536">
        <v>486000</v>
      </c>
      <c r="C3536">
        <v>216000</v>
      </c>
      <c r="E3536">
        <v>54000</v>
      </c>
      <c r="G3536" s="25">
        <v>44194</v>
      </c>
      <c r="H3536">
        <v>2020</v>
      </c>
      <c r="I3536" t="s">
        <v>53</v>
      </c>
    </row>
    <row r="3537" spans="1:9" x14ac:dyDescent="0.3">
      <c r="A3537" t="s">
        <v>15</v>
      </c>
      <c r="C3537">
        <v>270000</v>
      </c>
      <c r="E3537">
        <v>99000</v>
      </c>
      <c r="G3537" s="25">
        <v>44194</v>
      </c>
      <c r="H3537">
        <v>2020</v>
      </c>
      <c r="I3537" t="s">
        <v>53</v>
      </c>
    </row>
    <row r="3538" spans="1:9" x14ac:dyDescent="0.3">
      <c r="A3538" t="s">
        <v>26</v>
      </c>
      <c r="G3538" s="25">
        <v>44194</v>
      </c>
      <c r="H3538">
        <v>2020</v>
      </c>
      <c r="I3538" t="s">
        <v>53</v>
      </c>
    </row>
    <row r="3539" spans="1:9" x14ac:dyDescent="0.3">
      <c r="A3539" t="s">
        <v>22</v>
      </c>
      <c r="C3539">
        <v>216000</v>
      </c>
      <c r="G3539" s="25">
        <v>44194</v>
      </c>
      <c r="H3539">
        <v>2020</v>
      </c>
      <c r="I3539" t="s">
        <v>53</v>
      </c>
    </row>
    <row r="3540" spans="1:9" x14ac:dyDescent="0.3">
      <c r="A3540" t="s">
        <v>19</v>
      </c>
      <c r="B3540">
        <v>369000</v>
      </c>
      <c r="G3540" s="25">
        <v>44194</v>
      </c>
      <c r="H3540">
        <v>2020</v>
      </c>
      <c r="I3540" t="s">
        <v>53</v>
      </c>
    </row>
    <row r="3541" spans="1:9" x14ac:dyDescent="0.3">
      <c r="A3541" t="s">
        <v>14</v>
      </c>
      <c r="C3541">
        <v>216000</v>
      </c>
      <c r="E3541">
        <v>45000</v>
      </c>
      <c r="G3541" s="25">
        <v>44194</v>
      </c>
      <c r="H3541">
        <v>2020</v>
      </c>
      <c r="I3541" t="s">
        <v>53</v>
      </c>
    </row>
    <row r="3542" spans="1:9" x14ac:dyDescent="0.3">
      <c r="A3542" t="s">
        <v>24</v>
      </c>
      <c r="G3542" s="25">
        <v>44194</v>
      </c>
      <c r="H3542">
        <v>2020</v>
      </c>
      <c r="I3542" t="s">
        <v>53</v>
      </c>
    </row>
    <row r="3543" spans="1:9" x14ac:dyDescent="0.3">
      <c r="A3543" t="s">
        <v>21</v>
      </c>
      <c r="G3543" s="25">
        <v>44194</v>
      </c>
      <c r="H3543">
        <v>2020</v>
      </c>
      <c r="I3543" t="s">
        <v>53</v>
      </c>
    </row>
    <row r="3544" spans="1:9" x14ac:dyDescent="0.3">
      <c r="A3544" t="s">
        <v>18</v>
      </c>
      <c r="B3544">
        <v>162000</v>
      </c>
      <c r="G3544" s="25">
        <v>44194</v>
      </c>
      <c r="H3544">
        <v>2020</v>
      </c>
      <c r="I3544" t="s">
        <v>53</v>
      </c>
    </row>
    <row r="3545" spans="1:9" x14ac:dyDescent="0.3">
      <c r="A3545" t="s">
        <v>16</v>
      </c>
      <c r="B3545">
        <v>108000</v>
      </c>
      <c r="D3545">
        <v>162000</v>
      </c>
      <c r="E3545">
        <v>50000</v>
      </c>
      <c r="G3545" s="25">
        <v>44194</v>
      </c>
      <c r="H3545">
        <v>2020</v>
      </c>
      <c r="I3545" t="s">
        <v>53</v>
      </c>
    </row>
    <row r="3546" spans="1:9" x14ac:dyDescent="0.3">
      <c r="A3546" t="s">
        <v>20</v>
      </c>
      <c r="G3546" s="25">
        <v>44195</v>
      </c>
      <c r="H3546">
        <v>2020</v>
      </c>
      <c r="I3546" t="s">
        <v>53</v>
      </c>
    </row>
    <row r="3547" spans="1:9" x14ac:dyDescent="0.3">
      <c r="A3547" t="s">
        <v>37</v>
      </c>
      <c r="B3547">
        <v>50000</v>
      </c>
      <c r="G3547" s="25">
        <v>44195</v>
      </c>
      <c r="H3547">
        <v>2020</v>
      </c>
      <c r="I3547" t="s">
        <v>53</v>
      </c>
    </row>
    <row r="3548" spans="1:9" x14ac:dyDescent="0.3">
      <c r="A3548" t="s">
        <v>17</v>
      </c>
      <c r="B3548">
        <v>755500</v>
      </c>
      <c r="C3548">
        <v>207500</v>
      </c>
      <c r="E3548">
        <v>108000</v>
      </c>
      <c r="F3548">
        <v>536000</v>
      </c>
      <c r="G3548" s="25">
        <v>44195</v>
      </c>
      <c r="H3548">
        <v>2020</v>
      </c>
      <c r="I3548" t="s">
        <v>53</v>
      </c>
    </row>
    <row r="3549" spans="1:9" x14ac:dyDescent="0.3">
      <c r="A3549" t="s">
        <v>0</v>
      </c>
      <c r="C3549">
        <v>216000</v>
      </c>
      <c r="E3549">
        <v>108000</v>
      </c>
      <c r="G3549" s="25">
        <v>44195</v>
      </c>
      <c r="H3549">
        <v>2020</v>
      </c>
      <c r="I3549" t="s">
        <v>53</v>
      </c>
    </row>
    <row r="3550" spans="1:9" x14ac:dyDescent="0.3">
      <c r="A3550" t="s">
        <v>25</v>
      </c>
      <c r="B3550">
        <v>315000</v>
      </c>
      <c r="C3550">
        <v>162000</v>
      </c>
      <c r="E3550">
        <v>216000</v>
      </c>
      <c r="G3550" s="25">
        <v>44195</v>
      </c>
      <c r="H3550">
        <v>2020</v>
      </c>
      <c r="I3550" t="s">
        <v>53</v>
      </c>
    </row>
    <row r="3551" spans="1:9" x14ac:dyDescent="0.3">
      <c r="A3551" t="s">
        <v>15</v>
      </c>
      <c r="C3551">
        <v>161000</v>
      </c>
      <c r="E3551">
        <v>108000</v>
      </c>
      <c r="G3551" s="25">
        <v>44195</v>
      </c>
      <c r="H3551">
        <v>2020</v>
      </c>
      <c r="I3551" t="s">
        <v>53</v>
      </c>
    </row>
    <row r="3552" spans="1:9" x14ac:dyDescent="0.3">
      <c r="A3552" t="s">
        <v>26</v>
      </c>
      <c r="E3552">
        <v>45000</v>
      </c>
      <c r="G3552" s="25">
        <v>44195</v>
      </c>
      <c r="H3552">
        <v>2020</v>
      </c>
      <c r="I3552" t="s">
        <v>53</v>
      </c>
    </row>
    <row r="3553" spans="1:9" x14ac:dyDescent="0.3">
      <c r="A3553" t="s">
        <v>22</v>
      </c>
      <c r="C3553">
        <v>162000</v>
      </c>
      <c r="G3553" s="25">
        <v>44195</v>
      </c>
      <c r="H3553">
        <v>2020</v>
      </c>
      <c r="I3553" t="s">
        <v>53</v>
      </c>
    </row>
    <row r="3554" spans="1:9" x14ac:dyDescent="0.3">
      <c r="A3554" t="s">
        <v>19</v>
      </c>
      <c r="B3554">
        <v>324000</v>
      </c>
      <c r="D3554">
        <v>216000</v>
      </c>
      <c r="G3554" s="25">
        <v>44195</v>
      </c>
      <c r="H3554">
        <v>2020</v>
      </c>
      <c r="I3554" t="s">
        <v>53</v>
      </c>
    </row>
    <row r="3555" spans="1:9" x14ac:dyDescent="0.3">
      <c r="A3555" t="s">
        <v>14</v>
      </c>
      <c r="C3555">
        <v>216000</v>
      </c>
      <c r="E3555">
        <v>108000</v>
      </c>
      <c r="G3555" s="25">
        <v>44195</v>
      </c>
      <c r="H3555">
        <v>2020</v>
      </c>
      <c r="I3555" t="s">
        <v>53</v>
      </c>
    </row>
    <row r="3556" spans="1:9" x14ac:dyDescent="0.3">
      <c r="A3556" t="s">
        <v>24</v>
      </c>
      <c r="G3556" s="25">
        <v>44195</v>
      </c>
      <c r="H3556">
        <v>2020</v>
      </c>
      <c r="I3556" t="s">
        <v>53</v>
      </c>
    </row>
    <row r="3557" spans="1:9" x14ac:dyDescent="0.3">
      <c r="A3557" t="s">
        <v>21</v>
      </c>
      <c r="G3557" s="25">
        <v>44195</v>
      </c>
      <c r="H3557">
        <v>2020</v>
      </c>
      <c r="I3557" t="s">
        <v>53</v>
      </c>
    </row>
    <row r="3558" spans="1:9" x14ac:dyDescent="0.3">
      <c r="A3558" t="s">
        <v>18</v>
      </c>
      <c r="B3558">
        <v>216000</v>
      </c>
      <c r="E3558">
        <v>54000</v>
      </c>
      <c r="G3558" s="25">
        <v>44195</v>
      </c>
      <c r="H3558">
        <v>2020</v>
      </c>
      <c r="I3558" t="s">
        <v>53</v>
      </c>
    </row>
    <row r="3559" spans="1:9" x14ac:dyDescent="0.3">
      <c r="A3559" t="s">
        <v>16</v>
      </c>
      <c r="B3559">
        <v>101000</v>
      </c>
      <c r="D3559">
        <v>108000</v>
      </c>
      <c r="E3559">
        <v>108000</v>
      </c>
      <c r="G3559" s="25">
        <v>44195</v>
      </c>
      <c r="H3559">
        <v>2020</v>
      </c>
      <c r="I3559" t="s">
        <v>53</v>
      </c>
    </row>
    <row r="3560" spans="1:9" x14ac:dyDescent="0.3">
      <c r="A3560" t="s">
        <v>20</v>
      </c>
      <c r="G3560" s="25">
        <v>44196</v>
      </c>
      <c r="H3560">
        <v>2020</v>
      </c>
      <c r="I3560" t="s">
        <v>53</v>
      </c>
    </row>
    <row r="3561" spans="1:9" x14ac:dyDescent="0.3">
      <c r="A3561" t="s">
        <v>37</v>
      </c>
      <c r="G3561" s="25">
        <v>44196</v>
      </c>
      <c r="H3561">
        <v>2020</v>
      </c>
      <c r="I3561" t="s">
        <v>53</v>
      </c>
    </row>
    <row r="3562" spans="1:9" x14ac:dyDescent="0.3">
      <c r="A3562" t="s">
        <v>17</v>
      </c>
      <c r="B3562">
        <v>311000</v>
      </c>
      <c r="C3562">
        <v>162000</v>
      </c>
      <c r="G3562" s="25">
        <v>44196</v>
      </c>
      <c r="H3562">
        <v>2020</v>
      </c>
      <c r="I3562" t="s">
        <v>53</v>
      </c>
    </row>
    <row r="3563" spans="1:9" x14ac:dyDescent="0.3">
      <c r="A3563" t="s">
        <v>0</v>
      </c>
      <c r="C3563">
        <v>54000</v>
      </c>
      <c r="G3563" s="25">
        <v>44196</v>
      </c>
      <c r="H3563">
        <v>2020</v>
      </c>
      <c r="I3563" t="s">
        <v>53</v>
      </c>
    </row>
    <row r="3564" spans="1:9" x14ac:dyDescent="0.3">
      <c r="A3564" t="s">
        <v>25</v>
      </c>
      <c r="B3564">
        <v>99000</v>
      </c>
      <c r="C3564">
        <v>108000</v>
      </c>
      <c r="G3564" s="25">
        <v>44196</v>
      </c>
      <c r="H3564">
        <v>2020</v>
      </c>
      <c r="I3564" t="s">
        <v>53</v>
      </c>
    </row>
    <row r="3565" spans="1:9" x14ac:dyDescent="0.3">
      <c r="A3565" t="s">
        <v>15</v>
      </c>
      <c r="G3565" s="25">
        <v>44196</v>
      </c>
      <c r="H3565">
        <v>2020</v>
      </c>
      <c r="I3565" t="s">
        <v>53</v>
      </c>
    </row>
    <row r="3566" spans="1:9" x14ac:dyDescent="0.3">
      <c r="A3566" t="s">
        <v>26</v>
      </c>
      <c r="G3566" s="25">
        <v>44196</v>
      </c>
      <c r="H3566">
        <v>2020</v>
      </c>
      <c r="I3566" t="s">
        <v>53</v>
      </c>
    </row>
    <row r="3567" spans="1:9" x14ac:dyDescent="0.3">
      <c r="A3567" t="s">
        <v>22</v>
      </c>
      <c r="C3567">
        <v>54000</v>
      </c>
      <c r="G3567" s="25">
        <v>44196</v>
      </c>
      <c r="H3567">
        <v>2020</v>
      </c>
      <c r="I3567" t="s">
        <v>53</v>
      </c>
    </row>
    <row r="3568" spans="1:9" x14ac:dyDescent="0.3">
      <c r="A3568" t="s">
        <v>19</v>
      </c>
      <c r="B3568">
        <v>99000</v>
      </c>
      <c r="C3568">
        <v>486000</v>
      </c>
      <c r="G3568" s="25">
        <v>44196</v>
      </c>
      <c r="H3568">
        <v>2020</v>
      </c>
      <c r="I3568" t="s">
        <v>53</v>
      </c>
    </row>
    <row r="3569" spans="1:9" x14ac:dyDescent="0.3">
      <c r="A3569" t="s">
        <v>14</v>
      </c>
      <c r="G3569" s="25">
        <v>44196</v>
      </c>
      <c r="H3569">
        <v>2020</v>
      </c>
      <c r="I3569" t="s">
        <v>53</v>
      </c>
    </row>
    <row r="3570" spans="1:9" x14ac:dyDescent="0.3">
      <c r="A3570" t="s">
        <v>24</v>
      </c>
      <c r="C3570">
        <v>54000</v>
      </c>
      <c r="G3570" s="25">
        <v>44196</v>
      </c>
      <c r="H3570">
        <v>2020</v>
      </c>
      <c r="I3570" t="s">
        <v>53</v>
      </c>
    </row>
    <row r="3571" spans="1:9" x14ac:dyDescent="0.3">
      <c r="A3571" t="s">
        <v>21</v>
      </c>
      <c r="G3571" s="25">
        <v>44196</v>
      </c>
      <c r="H3571">
        <v>2020</v>
      </c>
      <c r="I3571" t="s">
        <v>53</v>
      </c>
    </row>
    <row r="3572" spans="1:9" x14ac:dyDescent="0.3">
      <c r="A3572" t="s">
        <v>18</v>
      </c>
      <c r="B3572">
        <v>324000</v>
      </c>
      <c r="G3572" s="25">
        <v>44196</v>
      </c>
      <c r="H3572">
        <v>2020</v>
      </c>
      <c r="I3572" t="s">
        <v>53</v>
      </c>
    </row>
    <row r="3573" spans="1:9" x14ac:dyDescent="0.3">
      <c r="A3573" t="s">
        <v>16</v>
      </c>
      <c r="G3573" s="25">
        <v>44196</v>
      </c>
      <c r="H3573">
        <v>2020</v>
      </c>
      <c r="I3573" t="s">
        <v>53</v>
      </c>
    </row>
    <row r="3574" spans="1:9" x14ac:dyDescent="0.3">
      <c r="A3574" t="s">
        <v>20</v>
      </c>
      <c r="G3574">
        <v>44200</v>
      </c>
      <c r="H3574">
        <v>2021</v>
      </c>
      <c r="I3574" t="s">
        <v>42</v>
      </c>
    </row>
    <row r="3575" spans="1:9" x14ac:dyDescent="0.3">
      <c r="A3575" t="s">
        <v>37</v>
      </c>
      <c r="G3575">
        <v>44200</v>
      </c>
      <c r="H3575">
        <v>2021</v>
      </c>
      <c r="I3575" t="s">
        <v>42</v>
      </c>
    </row>
    <row r="3576" spans="1:9" x14ac:dyDescent="0.3">
      <c r="A3576" t="s">
        <v>17</v>
      </c>
      <c r="B3576">
        <v>54000</v>
      </c>
      <c r="F3576">
        <v>320000</v>
      </c>
      <c r="G3576">
        <v>44200</v>
      </c>
      <c r="H3576">
        <v>2021</v>
      </c>
      <c r="I3576" t="s">
        <v>42</v>
      </c>
    </row>
    <row r="3577" spans="1:9" x14ac:dyDescent="0.3">
      <c r="A3577" t="s">
        <v>0</v>
      </c>
      <c r="C3577">
        <v>647500</v>
      </c>
      <c r="E3577">
        <v>216000</v>
      </c>
      <c r="G3577">
        <v>44200</v>
      </c>
      <c r="H3577">
        <v>2021</v>
      </c>
      <c r="I3577" t="s">
        <v>42</v>
      </c>
    </row>
    <row r="3578" spans="1:9" x14ac:dyDescent="0.3">
      <c r="A3578" t="s">
        <v>25</v>
      </c>
      <c r="C3578">
        <v>108000</v>
      </c>
      <c r="G3578">
        <v>44200</v>
      </c>
      <c r="H3578">
        <v>2021</v>
      </c>
      <c r="I3578" t="s">
        <v>42</v>
      </c>
    </row>
    <row r="3579" spans="1:9" x14ac:dyDescent="0.3">
      <c r="A3579" t="s">
        <v>15</v>
      </c>
      <c r="B3579">
        <v>270000</v>
      </c>
      <c r="C3579">
        <v>216000</v>
      </c>
      <c r="D3579">
        <v>54000</v>
      </c>
      <c r="F3579">
        <v>162000</v>
      </c>
      <c r="G3579">
        <v>44200</v>
      </c>
      <c r="H3579">
        <v>2021</v>
      </c>
      <c r="I3579" t="s">
        <v>42</v>
      </c>
    </row>
    <row r="3580" spans="1:9" x14ac:dyDescent="0.3">
      <c r="A3580" t="s">
        <v>26</v>
      </c>
      <c r="G3580">
        <v>44200</v>
      </c>
      <c r="H3580">
        <v>2021</v>
      </c>
      <c r="I3580" t="s">
        <v>42</v>
      </c>
    </row>
    <row r="3581" spans="1:9" x14ac:dyDescent="0.3">
      <c r="A3581" t="s">
        <v>22</v>
      </c>
      <c r="C3581">
        <v>108000</v>
      </c>
      <c r="G3581">
        <v>44200</v>
      </c>
      <c r="H3581">
        <v>2021</v>
      </c>
      <c r="I3581" t="s">
        <v>42</v>
      </c>
    </row>
    <row r="3582" spans="1:9" x14ac:dyDescent="0.3">
      <c r="A3582" t="s">
        <v>19</v>
      </c>
      <c r="C3582">
        <v>54000</v>
      </c>
      <c r="G3582">
        <v>44200</v>
      </c>
      <c r="H3582">
        <v>2021</v>
      </c>
      <c r="I3582" t="s">
        <v>42</v>
      </c>
    </row>
    <row r="3583" spans="1:9" x14ac:dyDescent="0.3">
      <c r="A3583" t="s">
        <v>14</v>
      </c>
      <c r="C3583">
        <v>108000</v>
      </c>
      <c r="G3583">
        <v>44200</v>
      </c>
      <c r="H3583">
        <v>2021</v>
      </c>
      <c r="I3583" t="s">
        <v>42</v>
      </c>
    </row>
    <row r="3584" spans="1:9" x14ac:dyDescent="0.3">
      <c r="A3584" t="s">
        <v>24</v>
      </c>
      <c r="G3584">
        <v>44200</v>
      </c>
      <c r="H3584">
        <v>2021</v>
      </c>
      <c r="I3584" t="s">
        <v>42</v>
      </c>
    </row>
    <row r="3585" spans="1:9" x14ac:dyDescent="0.3">
      <c r="A3585" t="s">
        <v>21</v>
      </c>
      <c r="G3585">
        <v>44200</v>
      </c>
      <c r="H3585">
        <v>2021</v>
      </c>
      <c r="I3585" t="s">
        <v>42</v>
      </c>
    </row>
    <row r="3586" spans="1:9" x14ac:dyDescent="0.3">
      <c r="A3586" t="s">
        <v>18</v>
      </c>
      <c r="B3586">
        <v>639000</v>
      </c>
      <c r="G3586">
        <v>44200</v>
      </c>
      <c r="H3586">
        <v>2021</v>
      </c>
      <c r="I3586" t="s">
        <v>42</v>
      </c>
    </row>
    <row r="3587" spans="1:9" x14ac:dyDescent="0.3">
      <c r="A3587" t="s">
        <v>16</v>
      </c>
      <c r="G3587">
        <v>44200</v>
      </c>
      <c r="H3587">
        <v>2021</v>
      </c>
      <c r="I3587" t="s">
        <v>42</v>
      </c>
    </row>
    <row r="3588" spans="1:9" x14ac:dyDescent="0.3">
      <c r="A3588" t="s">
        <v>20</v>
      </c>
      <c r="G3588">
        <v>44201</v>
      </c>
      <c r="H3588">
        <v>2021</v>
      </c>
      <c r="I3588" t="s">
        <v>42</v>
      </c>
    </row>
    <row r="3589" spans="1:9" x14ac:dyDescent="0.3">
      <c r="A3589" t="s">
        <v>37</v>
      </c>
      <c r="G3589">
        <v>44201</v>
      </c>
      <c r="H3589">
        <v>2021</v>
      </c>
      <c r="I3589" t="s">
        <v>42</v>
      </c>
    </row>
    <row r="3590" spans="1:9" x14ac:dyDescent="0.3">
      <c r="A3590" t="s">
        <v>17</v>
      </c>
      <c r="C3590">
        <v>162000</v>
      </c>
      <c r="E3590">
        <v>54000</v>
      </c>
      <c r="G3590">
        <v>44201</v>
      </c>
      <c r="H3590">
        <v>2021</v>
      </c>
      <c r="I3590" t="s">
        <v>42</v>
      </c>
    </row>
    <row r="3591" spans="1:9" x14ac:dyDescent="0.3">
      <c r="A3591" t="s">
        <v>0</v>
      </c>
      <c r="C3591">
        <v>377000</v>
      </c>
      <c r="E3591">
        <v>216000</v>
      </c>
      <c r="G3591">
        <v>44201</v>
      </c>
      <c r="H3591">
        <v>2021</v>
      </c>
      <c r="I3591" t="s">
        <v>42</v>
      </c>
    </row>
    <row r="3592" spans="1:9" x14ac:dyDescent="0.3">
      <c r="A3592" t="s">
        <v>25</v>
      </c>
      <c r="B3592">
        <v>45000</v>
      </c>
      <c r="C3592">
        <v>162000</v>
      </c>
      <c r="G3592">
        <v>44201</v>
      </c>
      <c r="H3592">
        <v>2021</v>
      </c>
      <c r="I3592" t="s">
        <v>42</v>
      </c>
    </row>
    <row r="3593" spans="1:9" x14ac:dyDescent="0.3">
      <c r="A3593" t="s">
        <v>15</v>
      </c>
      <c r="B3593">
        <v>702000</v>
      </c>
      <c r="C3593">
        <v>108000</v>
      </c>
      <c r="D3593">
        <v>108000</v>
      </c>
      <c r="F3593">
        <v>54000</v>
      </c>
      <c r="G3593">
        <v>44201</v>
      </c>
      <c r="H3593">
        <v>2021</v>
      </c>
      <c r="I3593" t="s">
        <v>42</v>
      </c>
    </row>
    <row r="3594" spans="1:9" x14ac:dyDescent="0.3">
      <c r="A3594" t="s">
        <v>26</v>
      </c>
      <c r="C3594">
        <v>54000</v>
      </c>
      <c r="G3594">
        <v>44201</v>
      </c>
      <c r="H3594">
        <v>2021</v>
      </c>
      <c r="I3594" t="s">
        <v>42</v>
      </c>
    </row>
    <row r="3595" spans="1:9" x14ac:dyDescent="0.3">
      <c r="A3595" t="s">
        <v>22</v>
      </c>
      <c r="C3595">
        <v>162000</v>
      </c>
      <c r="G3595">
        <v>44201</v>
      </c>
      <c r="H3595">
        <v>2021</v>
      </c>
      <c r="I3595" t="s">
        <v>42</v>
      </c>
    </row>
    <row r="3596" spans="1:9" x14ac:dyDescent="0.3">
      <c r="A3596" t="s">
        <v>19</v>
      </c>
      <c r="C3596">
        <v>162000</v>
      </c>
      <c r="G3596">
        <v>44201</v>
      </c>
      <c r="H3596">
        <v>2021</v>
      </c>
      <c r="I3596" t="s">
        <v>42</v>
      </c>
    </row>
    <row r="3597" spans="1:9" x14ac:dyDescent="0.3">
      <c r="A3597" t="s">
        <v>14</v>
      </c>
      <c r="B3597">
        <v>432000</v>
      </c>
      <c r="C3597">
        <v>108000</v>
      </c>
      <c r="D3597">
        <v>54000</v>
      </c>
      <c r="G3597">
        <v>44201</v>
      </c>
      <c r="H3597">
        <v>2021</v>
      </c>
      <c r="I3597" t="s">
        <v>42</v>
      </c>
    </row>
    <row r="3598" spans="1:9" x14ac:dyDescent="0.3">
      <c r="A3598" t="s">
        <v>24</v>
      </c>
      <c r="G3598">
        <v>44201</v>
      </c>
      <c r="H3598">
        <v>2021</v>
      </c>
      <c r="I3598" t="s">
        <v>42</v>
      </c>
    </row>
    <row r="3599" spans="1:9" x14ac:dyDescent="0.3">
      <c r="A3599" t="s">
        <v>21</v>
      </c>
      <c r="G3599">
        <v>44201</v>
      </c>
      <c r="H3599">
        <v>2021</v>
      </c>
      <c r="I3599" t="s">
        <v>42</v>
      </c>
    </row>
    <row r="3600" spans="1:9" x14ac:dyDescent="0.3">
      <c r="A3600" t="s">
        <v>18</v>
      </c>
      <c r="B3600">
        <v>95000</v>
      </c>
      <c r="G3600">
        <v>44201</v>
      </c>
      <c r="H3600">
        <v>2021</v>
      </c>
      <c r="I3600" t="s">
        <v>42</v>
      </c>
    </row>
    <row r="3601" spans="1:9" x14ac:dyDescent="0.3">
      <c r="A3601" t="s">
        <v>16</v>
      </c>
      <c r="C3601">
        <v>54000</v>
      </c>
      <c r="E3601">
        <v>54000</v>
      </c>
      <c r="G3601">
        <v>44201</v>
      </c>
      <c r="H3601">
        <v>2021</v>
      </c>
      <c r="I3601" t="s">
        <v>42</v>
      </c>
    </row>
    <row r="3602" spans="1:9" x14ac:dyDescent="0.3">
      <c r="A3602" t="s">
        <v>20</v>
      </c>
      <c r="G3602">
        <v>44202</v>
      </c>
      <c r="H3602">
        <v>2021</v>
      </c>
      <c r="I3602" t="s">
        <v>42</v>
      </c>
    </row>
    <row r="3603" spans="1:9" x14ac:dyDescent="0.3">
      <c r="A3603" t="s">
        <v>37</v>
      </c>
      <c r="G3603">
        <v>44202</v>
      </c>
      <c r="H3603">
        <v>2021</v>
      </c>
      <c r="I3603" t="s">
        <v>42</v>
      </c>
    </row>
    <row r="3604" spans="1:9" x14ac:dyDescent="0.3">
      <c r="A3604" t="s">
        <v>17</v>
      </c>
      <c r="C3604">
        <v>54000</v>
      </c>
      <c r="G3604">
        <v>44202</v>
      </c>
      <c r="H3604">
        <v>2021</v>
      </c>
      <c r="I3604" t="s">
        <v>42</v>
      </c>
    </row>
    <row r="3605" spans="1:9" x14ac:dyDescent="0.3">
      <c r="A3605" t="s">
        <v>0</v>
      </c>
      <c r="C3605">
        <v>377000</v>
      </c>
      <c r="G3605">
        <v>44202</v>
      </c>
      <c r="H3605">
        <v>2021</v>
      </c>
      <c r="I3605" t="s">
        <v>42</v>
      </c>
    </row>
    <row r="3606" spans="1:9" x14ac:dyDescent="0.3">
      <c r="A3606" t="s">
        <v>25</v>
      </c>
      <c r="C3606">
        <v>54000</v>
      </c>
      <c r="G3606">
        <v>44202</v>
      </c>
      <c r="H3606">
        <v>2021</v>
      </c>
      <c r="I3606" t="s">
        <v>42</v>
      </c>
    </row>
    <row r="3607" spans="1:9" x14ac:dyDescent="0.3">
      <c r="A3607" t="s">
        <v>15</v>
      </c>
      <c r="B3607">
        <v>266000</v>
      </c>
      <c r="E3607">
        <v>54000</v>
      </c>
      <c r="F3607">
        <v>266000</v>
      </c>
      <c r="G3607">
        <v>44202</v>
      </c>
      <c r="H3607">
        <v>2021</v>
      </c>
      <c r="I3607" t="s">
        <v>42</v>
      </c>
    </row>
    <row r="3608" spans="1:9" x14ac:dyDescent="0.3">
      <c r="A3608" t="s">
        <v>26</v>
      </c>
      <c r="G3608">
        <v>44202</v>
      </c>
      <c r="H3608">
        <v>2021</v>
      </c>
      <c r="I3608" t="s">
        <v>42</v>
      </c>
    </row>
    <row r="3609" spans="1:9" x14ac:dyDescent="0.3">
      <c r="A3609" t="s">
        <v>22</v>
      </c>
      <c r="C3609">
        <v>54000</v>
      </c>
      <c r="G3609">
        <v>44202</v>
      </c>
      <c r="H3609">
        <v>2021</v>
      </c>
      <c r="I3609" t="s">
        <v>42</v>
      </c>
    </row>
    <row r="3610" spans="1:9" x14ac:dyDescent="0.3">
      <c r="A3610" t="s">
        <v>19</v>
      </c>
      <c r="C3610">
        <v>594000</v>
      </c>
      <c r="G3610">
        <v>44202</v>
      </c>
      <c r="H3610">
        <v>2021</v>
      </c>
      <c r="I3610" t="s">
        <v>42</v>
      </c>
    </row>
    <row r="3611" spans="1:9" x14ac:dyDescent="0.3">
      <c r="A3611" t="s">
        <v>14</v>
      </c>
      <c r="B3611">
        <v>427000</v>
      </c>
      <c r="C3611">
        <v>153000</v>
      </c>
      <c r="D3611">
        <v>324000</v>
      </c>
      <c r="G3611">
        <v>44202</v>
      </c>
      <c r="H3611">
        <v>2021</v>
      </c>
      <c r="I3611" t="s">
        <v>42</v>
      </c>
    </row>
    <row r="3612" spans="1:9" x14ac:dyDescent="0.3">
      <c r="A3612" t="s">
        <v>24</v>
      </c>
      <c r="G3612">
        <v>44202</v>
      </c>
      <c r="H3612">
        <v>2021</v>
      </c>
      <c r="I3612" t="s">
        <v>42</v>
      </c>
    </row>
    <row r="3613" spans="1:9" x14ac:dyDescent="0.3">
      <c r="A3613" t="s">
        <v>21</v>
      </c>
      <c r="G3613">
        <v>44202</v>
      </c>
      <c r="H3613">
        <v>2021</v>
      </c>
      <c r="I3613" t="s">
        <v>42</v>
      </c>
    </row>
    <row r="3614" spans="1:9" x14ac:dyDescent="0.3">
      <c r="A3614" t="s">
        <v>18</v>
      </c>
      <c r="B3614">
        <v>50000</v>
      </c>
      <c r="G3614">
        <v>44202</v>
      </c>
      <c r="H3614">
        <v>2021</v>
      </c>
      <c r="I3614" t="s">
        <v>42</v>
      </c>
    </row>
    <row r="3615" spans="1:9" x14ac:dyDescent="0.3">
      <c r="A3615" t="s">
        <v>16</v>
      </c>
      <c r="C3615">
        <v>108000</v>
      </c>
      <c r="G3615">
        <v>44202</v>
      </c>
      <c r="H3615">
        <v>2021</v>
      </c>
      <c r="I3615" t="s">
        <v>42</v>
      </c>
    </row>
    <row r="3616" spans="1:9" x14ac:dyDescent="0.3">
      <c r="A3616" t="s">
        <v>20</v>
      </c>
      <c r="G3616">
        <v>44204</v>
      </c>
      <c r="H3616">
        <v>2021</v>
      </c>
      <c r="I3616" t="s">
        <v>42</v>
      </c>
    </row>
    <row r="3617" spans="1:9" x14ac:dyDescent="0.3">
      <c r="A3617" t="s">
        <v>37</v>
      </c>
      <c r="G3617">
        <v>44204</v>
      </c>
      <c r="H3617">
        <v>2021</v>
      </c>
      <c r="I3617" t="s">
        <v>42</v>
      </c>
    </row>
    <row r="3618" spans="1:9" x14ac:dyDescent="0.3">
      <c r="A3618" t="s">
        <v>17</v>
      </c>
      <c r="C3618">
        <v>103500</v>
      </c>
      <c r="E3618">
        <v>54000</v>
      </c>
      <c r="G3618">
        <v>44204</v>
      </c>
      <c r="H3618">
        <v>2021</v>
      </c>
      <c r="I3618" t="s">
        <v>42</v>
      </c>
    </row>
    <row r="3619" spans="1:9" x14ac:dyDescent="0.3">
      <c r="A3619" t="s">
        <v>0</v>
      </c>
      <c r="C3619">
        <v>470000</v>
      </c>
      <c r="E3619">
        <v>270000</v>
      </c>
      <c r="G3619">
        <v>44204</v>
      </c>
      <c r="H3619">
        <v>2021</v>
      </c>
      <c r="I3619" t="s">
        <v>42</v>
      </c>
    </row>
    <row r="3620" spans="1:9" x14ac:dyDescent="0.3">
      <c r="A3620" t="s">
        <v>25</v>
      </c>
      <c r="B3620">
        <v>540000</v>
      </c>
      <c r="C3620">
        <v>216000</v>
      </c>
      <c r="D3620">
        <v>261000</v>
      </c>
      <c r="E3620">
        <v>54000</v>
      </c>
      <c r="G3620">
        <v>44204</v>
      </c>
      <c r="H3620">
        <v>2021</v>
      </c>
      <c r="I3620" t="s">
        <v>42</v>
      </c>
    </row>
    <row r="3621" spans="1:9" x14ac:dyDescent="0.3">
      <c r="A3621" t="s">
        <v>15</v>
      </c>
      <c r="B3621">
        <v>162000</v>
      </c>
      <c r="C3621">
        <v>54000</v>
      </c>
      <c r="D3621">
        <v>45000</v>
      </c>
      <c r="E3621">
        <v>108000</v>
      </c>
      <c r="F3621">
        <v>428000</v>
      </c>
      <c r="G3621">
        <v>44204</v>
      </c>
      <c r="H3621">
        <v>2021</v>
      </c>
      <c r="I3621" t="s">
        <v>42</v>
      </c>
    </row>
    <row r="3622" spans="1:9" x14ac:dyDescent="0.3">
      <c r="A3622" t="s">
        <v>26</v>
      </c>
      <c r="G3622">
        <v>44204</v>
      </c>
      <c r="H3622">
        <v>2021</v>
      </c>
      <c r="I3622" t="s">
        <v>42</v>
      </c>
    </row>
    <row r="3623" spans="1:9" x14ac:dyDescent="0.3">
      <c r="A3623" t="s">
        <v>22</v>
      </c>
      <c r="C3623">
        <v>45000</v>
      </c>
      <c r="G3623">
        <v>44204</v>
      </c>
      <c r="H3623">
        <v>2021</v>
      </c>
      <c r="I3623" t="s">
        <v>42</v>
      </c>
    </row>
    <row r="3624" spans="1:9" x14ac:dyDescent="0.3">
      <c r="A3624" t="s">
        <v>19</v>
      </c>
      <c r="G3624">
        <v>44204</v>
      </c>
      <c r="H3624">
        <v>2021</v>
      </c>
      <c r="I3624" t="s">
        <v>42</v>
      </c>
    </row>
    <row r="3625" spans="1:9" x14ac:dyDescent="0.3">
      <c r="A3625" t="s">
        <v>14</v>
      </c>
      <c r="B3625">
        <v>828000</v>
      </c>
      <c r="C3625">
        <v>162000</v>
      </c>
      <c r="D3625">
        <v>378000</v>
      </c>
      <c r="E3625">
        <v>108000</v>
      </c>
      <c r="G3625">
        <v>44204</v>
      </c>
      <c r="H3625">
        <v>2021</v>
      </c>
      <c r="I3625" t="s">
        <v>42</v>
      </c>
    </row>
    <row r="3626" spans="1:9" x14ac:dyDescent="0.3">
      <c r="A3626" t="s">
        <v>24</v>
      </c>
      <c r="C3626">
        <v>103500</v>
      </c>
      <c r="G3626">
        <v>44204</v>
      </c>
      <c r="H3626">
        <v>2021</v>
      </c>
      <c r="I3626" t="s">
        <v>42</v>
      </c>
    </row>
    <row r="3627" spans="1:9" x14ac:dyDescent="0.3">
      <c r="A3627" t="s">
        <v>21</v>
      </c>
      <c r="G3627">
        <v>44204</v>
      </c>
      <c r="H3627">
        <v>2021</v>
      </c>
      <c r="I3627" t="s">
        <v>42</v>
      </c>
    </row>
    <row r="3628" spans="1:9" x14ac:dyDescent="0.3">
      <c r="A3628" t="s">
        <v>18</v>
      </c>
      <c r="G3628">
        <v>44204</v>
      </c>
      <c r="H3628">
        <v>2021</v>
      </c>
      <c r="I3628" t="s">
        <v>42</v>
      </c>
    </row>
    <row r="3629" spans="1:9" x14ac:dyDescent="0.3">
      <c r="A3629" t="s">
        <v>16</v>
      </c>
      <c r="C3629">
        <v>54000</v>
      </c>
      <c r="E3629">
        <v>108000</v>
      </c>
      <c r="G3629">
        <v>44204</v>
      </c>
      <c r="H3629">
        <v>2021</v>
      </c>
      <c r="I3629" t="s">
        <v>42</v>
      </c>
    </row>
    <row r="3630" spans="1:9" x14ac:dyDescent="0.3">
      <c r="A3630" t="s">
        <v>20</v>
      </c>
      <c r="G3630">
        <v>44205</v>
      </c>
      <c r="H3630">
        <v>2021</v>
      </c>
      <c r="I3630" t="s">
        <v>42</v>
      </c>
    </row>
    <row r="3631" spans="1:9" x14ac:dyDescent="0.3">
      <c r="A3631" t="s">
        <v>37</v>
      </c>
      <c r="G3631">
        <v>44205</v>
      </c>
      <c r="H3631">
        <v>2021</v>
      </c>
      <c r="I3631" t="s">
        <v>42</v>
      </c>
    </row>
    <row r="3632" spans="1:9" x14ac:dyDescent="0.3">
      <c r="A3632" t="s">
        <v>17</v>
      </c>
      <c r="C3632">
        <v>162000</v>
      </c>
      <c r="E3632">
        <v>54000</v>
      </c>
      <c r="F3632">
        <v>90000</v>
      </c>
      <c r="G3632">
        <v>44205</v>
      </c>
      <c r="H3632">
        <v>2021</v>
      </c>
      <c r="I3632" t="s">
        <v>42</v>
      </c>
    </row>
    <row r="3633" spans="1:9" x14ac:dyDescent="0.3">
      <c r="A3633" t="s">
        <v>0</v>
      </c>
      <c r="C3633">
        <v>540000</v>
      </c>
      <c r="E3633">
        <v>216000</v>
      </c>
      <c r="G3633">
        <v>44205</v>
      </c>
      <c r="H3633">
        <v>2021</v>
      </c>
      <c r="I3633" t="s">
        <v>42</v>
      </c>
    </row>
    <row r="3634" spans="1:9" x14ac:dyDescent="0.3">
      <c r="A3634" t="s">
        <v>25</v>
      </c>
      <c r="B3634">
        <v>756000</v>
      </c>
      <c r="C3634">
        <v>162000</v>
      </c>
      <c r="D3634">
        <v>216000</v>
      </c>
      <c r="G3634">
        <v>44205</v>
      </c>
      <c r="H3634">
        <v>2021</v>
      </c>
      <c r="I3634" t="s">
        <v>42</v>
      </c>
    </row>
    <row r="3635" spans="1:9" x14ac:dyDescent="0.3">
      <c r="A3635" t="s">
        <v>15</v>
      </c>
      <c r="B3635">
        <v>259000</v>
      </c>
      <c r="C3635">
        <v>145000</v>
      </c>
      <c r="E3635">
        <v>108000</v>
      </c>
      <c r="F3635">
        <v>90000</v>
      </c>
      <c r="G3635">
        <v>44205</v>
      </c>
      <c r="H3635">
        <v>2021</v>
      </c>
      <c r="I3635" t="s">
        <v>42</v>
      </c>
    </row>
    <row r="3636" spans="1:9" x14ac:dyDescent="0.3">
      <c r="A3636" t="s">
        <v>26</v>
      </c>
      <c r="G3636">
        <v>44205</v>
      </c>
      <c r="H3636">
        <v>2021</v>
      </c>
      <c r="I3636" t="s">
        <v>42</v>
      </c>
    </row>
    <row r="3637" spans="1:9" x14ac:dyDescent="0.3">
      <c r="A3637" t="s">
        <v>22</v>
      </c>
      <c r="C3637">
        <v>162000</v>
      </c>
      <c r="G3637">
        <v>44205</v>
      </c>
      <c r="H3637">
        <v>2021</v>
      </c>
      <c r="I3637" t="s">
        <v>42</v>
      </c>
    </row>
    <row r="3638" spans="1:9" x14ac:dyDescent="0.3">
      <c r="A3638" t="s">
        <v>19</v>
      </c>
      <c r="B3638">
        <v>324000</v>
      </c>
      <c r="C3638">
        <v>108000</v>
      </c>
      <c r="G3638">
        <v>44205</v>
      </c>
      <c r="H3638">
        <v>2021</v>
      </c>
      <c r="I3638" t="s">
        <v>42</v>
      </c>
    </row>
    <row r="3639" spans="1:9" x14ac:dyDescent="0.3">
      <c r="A3639" t="s">
        <v>14</v>
      </c>
      <c r="B3639">
        <v>518000</v>
      </c>
      <c r="C3639">
        <v>108000</v>
      </c>
      <c r="D3639">
        <v>108000</v>
      </c>
      <c r="E3639">
        <v>54000</v>
      </c>
      <c r="G3639">
        <v>44205</v>
      </c>
      <c r="H3639">
        <v>2021</v>
      </c>
      <c r="I3639" t="s">
        <v>42</v>
      </c>
    </row>
    <row r="3640" spans="1:9" x14ac:dyDescent="0.3">
      <c r="A3640" t="s">
        <v>24</v>
      </c>
      <c r="C3640">
        <v>378000</v>
      </c>
      <c r="G3640">
        <v>44205</v>
      </c>
      <c r="H3640">
        <v>2021</v>
      </c>
      <c r="I3640" t="s">
        <v>42</v>
      </c>
    </row>
    <row r="3641" spans="1:9" x14ac:dyDescent="0.3">
      <c r="A3641" t="s">
        <v>21</v>
      </c>
      <c r="G3641">
        <v>44205</v>
      </c>
      <c r="H3641">
        <v>2021</v>
      </c>
      <c r="I3641" t="s">
        <v>42</v>
      </c>
    </row>
    <row r="3642" spans="1:9" x14ac:dyDescent="0.3">
      <c r="A3642" t="s">
        <v>18</v>
      </c>
      <c r="G3642">
        <v>44205</v>
      </c>
      <c r="H3642">
        <v>2021</v>
      </c>
      <c r="I3642" t="s">
        <v>42</v>
      </c>
    </row>
    <row r="3643" spans="1:9" x14ac:dyDescent="0.3">
      <c r="A3643" t="s">
        <v>16</v>
      </c>
      <c r="C3643">
        <v>108000</v>
      </c>
      <c r="E3643">
        <v>108000</v>
      </c>
      <c r="G3643">
        <v>44205</v>
      </c>
      <c r="H3643">
        <v>2021</v>
      </c>
      <c r="I3643" t="s">
        <v>42</v>
      </c>
    </row>
    <row r="3644" spans="1:9" x14ac:dyDescent="0.3">
      <c r="A3644" t="s">
        <v>20</v>
      </c>
      <c r="G3644">
        <v>44207</v>
      </c>
      <c r="H3644">
        <v>2021</v>
      </c>
      <c r="I3644" t="s">
        <v>42</v>
      </c>
    </row>
    <row r="3645" spans="1:9" x14ac:dyDescent="0.3">
      <c r="A3645" t="s">
        <v>37</v>
      </c>
      <c r="G3645">
        <v>44207</v>
      </c>
      <c r="H3645">
        <v>2021</v>
      </c>
      <c r="I3645" t="s">
        <v>42</v>
      </c>
    </row>
    <row r="3646" spans="1:9" x14ac:dyDescent="0.3">
      <c r="A3646" t="s">
        <v>17</v>
      </c>
      <c r="C3646">
        <v>158000</v>
      </c>
      <c r="F3646">
        <v>54000</v>
      </c>
      <c r="G3646">
        <v>44207</v>
      </c>
      <c r="H3646">
        <v>2021</v>
      </c>
      <c r="I3646" t="s">
        <v>42</v>
      </c>
    </row>
    <row r="3647" spans="1:9" x14ac:dyDescent="0.3">
      <c r="A3647" t="s">
        <v>0</v>
      </c>
      <c r="C3647">
        <v>216000</v>
      </c>
      <c r="E3647">
        <v>324000</v>
      </c>
      <c r="G3647">
        <v>44207</v>
      </c>
      <c r="H3647">
        <v>2021</v>
      </c>
      <c r="I3647" t="s">
        <v>42</v>
      </c>
    </row>
    <row r="3648" spans="1:9" x14ac:dyDescent="0.3">
      <c r="A3648" t="s">
        <v>25</v>
      </c>
      <c r="B3648">
        <v>590000</v>
      </c>
      <c r="C3648">
        <v>162000</v>
      </c>
      <c r="E3648">
        <v>54000</v>
      </c>
      <c r="G3648">
        <v>44207</v>
      </c>
      <c r="H3648">
        <v>2021</v>
      </c>
      <c r="I3648" t="s">
        <v>42</v>
      </c>
    </row>
    <row r="3649" spans="1:9" x14ac:dyDescent="0.3">
      <c r="A3649" t="s">
        <v>15</v>
      </c>
      <c r="C3649">
        <v>54000</v>
      </c>
      <c r="E3649">
        <v>90000</v>
      </c>
      <c r="G3649">
        <v>44207</v>
      </c>
      <c r="H3649">
        <v>2021</v>
      </c>
      <c r="I3649" t="s">
        <v>42</v>
      </c>
    </row>
    <row r="3650" spans="1:9" x14ac:dyDescent="0.3">
      <c r="A3650" t="s">
        <v>26</v>
      </c>
      <c r="G3650">
        <v>44207</v>
      </c>
      <c r="H3650">
        <v>2021</v>
      </c>
      <c r="I3650" t="s">
        <v>42</v>
      </c>
    </row>
    <row r="3651" spans="1:9" x14ac:dyDescent="0.3">
      <c r="A3651" t="s">
        <v>22</v>
      </c>
      <c r="C3651">
        <v>216000</v>
      </c>
      <c r="G3651">
        <v>44207</v>
      </c>
      <c r="H3651">
        <v>2021</v>
      </c>
      <c r="I3651" t="s">
        <v>42</v>
      </c>
    </row>
    <row r="3652" spans="1:9" x14ac:dyDescent="0.3">
      <c r="A3652" t="s">
        <v>19</v>
      </c>
      <c r="B3652">
        <v>752000</v>
      </c>
      <c r="G3652">
        <v>44207</v>
      </c>
      <c r="H3652">
        <v>2021</v>
      </c>
      <c r="I3652" t="s">
        <v>42</v>
      </c>
    </row>
    <row r="3653" spans="1:9" x14ac:dyDescent="0.3">
      <c r="A3653" t="s">
        <v>14</v>
      </c>
      <c r="B3653">
        <v>702000</v>
      </c>
      <c r="C3653">
        <v>47000</v>
      </c>
      <c r="G3653">
        <v>44207</v>
      </c>
      <c r="H3653">
        <v>2021</v>
      </c>
      <c r="I3653" t="s">
        <v>42</v>
      </c>
    </row>
    <row r="3654" spans="1:9" x14ac:dyDescent="0.3">
      <c r="A3654" t="s">
        <v>24</v>
      </c>
      <c r="C3654">
        <v>54000</v>
      </c>
      <c r="G3654">
        <v>44207</v>
      </c>
      <c r="H3654">
        <v>2021</v>
      </c>
      <c r="I3654" t="s">
        <v>42</v>
      </c>
    </row>
    <row r="3655" spans="1:9" x14ac:dyDescent="0.3">
      <c r="A3655" t="s">
        <v>21</v>
      </c>
      <c r="G3655">
        <v>44207</v>
      </c>
      <c r="H3655">
        <v>2021</v>
      </c>
      <c r="I3655" t="s">
        <v>42</v>
      </c>
    </row>
    <row r="3656" spans="1:9" x14ac:dyDescent="0.3">
      <c r="A3656" t="s">
        <v>18</v>
      </c>
      <c r="B3656">
        <v>54000</v>
      </c>
      <c r="C3656">
        <v>162000</v>
      </c>
      <c r="D3656">
        <v>54000</v>
      </c>
      <c r="G3656">
        <v>44207</v>
      </c>
      <c r="H3656">
        <v>2021</v>
      </c>
      <c r="I3656" t="s">
        <v>42</v>
      </c>
    </row>
    <row r="3657" spans="1:9" x14ac:dyDescent="0.3">
      <c r="A3657" t="s">
        <v>16</v>
      </c>
      <c r="C3657">
        <v>54000</v>
      </c>
      <c r="E3657">
        <v>378000</v>
      </c>
      <c r="G3657">
        <v>44207</v>
      </c>
      <c r="H3657">
        <v>2021</v>
      </c>
      <c r="I3657" t="s">
        <v>42</v>
      </c>
    </row>
    <row r="3658" spans="1:9" x14ac:dyDescent="0.3">
      <c r="A3658" t="s">
        <v>20</v>
      </c>
      <c r="G3658">
        <v>44208</v>
      </c>
      <c r="H3658">
        <v>2021</v>
      </c>
      <c r="I3658" t="s">
        <v>42</v>
      </c>
    </row>
    <row r="3659" spans="1:9" x14ac:dyDescent="0.3">
      <c r="A3659" t="s">
        <v>37</v>
      </c>
      <c r="G3659">
        <v>44208</v>
      </c>
      <c r="H3659">
        <v>2021</v>
      </c>
      <c r="I3659" t="s">
        <v>42</v>
      </c>
    </row>
    <row r="3660" spans="1:9" x14ac:dyDescent="0.3">
      <c r="A3660" t="s">
        <v>17</v>
      </c>
      <c r="C3660">
        <v>108000</v>
      </c>
      <c r="G3660">
        <v>44208</v>
      </c>
      <c r="H3660">
        <v>2021</v>
      </c>
      <c r="I3660" t="s">
        <v>42</v>
      </c>
    </row>
    <row r="3661" spans="1:9" x14ac:dyDescent="0.3">
      <c r="A3661" t="s">
        <v>0</v>
      </c>
      <c r="C3661">
        <v>108000</v>
      </c>
      <c r="E3661">
        <v>162000</v>
      </c>
      <c r="G3661">
        <v>44208</v>
      </c>
      <c r="H3661">
        <v>2021</v>
      </c>
      <c r="I3661" t="s">
        <v>42</v>
      </c>
    </row>
    <row r="3662" spans="1:9" x14ac:dyDescent="0.3">
      <c r="A3662" t="s">
        <v>25</v>
      </c>
      <c r="B3662">
        <v>108000</v>
      </c>
      <c r="C3662">
        <v>153000</v>
      </c>
      <c r="G3662">
        <v>44208</v>
      </c>
      <c r="H3662">
        <v>2021</v>
      </c>
      <c r="I3662" t="s">
        <v>42</v>
      </c>
    </row>
    <row r="3663" spans="1:9" x14ac:dyDescent="0.3">
      <c r="A3663" t="s">
        <v>15</v>
      </c>
      <c r="C3663">
        <v>162000</v>
      </c>
      <c r="G3663">
        <v>44208</v>
      </c>
      <c r="H3663">
        <v>2021</v>
      </c>
      <c r="I3663" t="s">
        <v>42</v>
      </c>
    </row>
    <row r="3664" spans="1:9" x14ac:dyDescent="0.3">
      <c r="A3664" t="s">
        <v>26</v>
      </c>
      <c r="C3664">
        <v>108000</v>
      </c>
      <c r="E3664">
        <v>54000</v>
      </c>
      <c r="G3664">
        <v>44208</v>
      </c>
      <c r="H3664">
        <v>2021</v>
      </c>
      <c r="I3664" t="s">
        <v>42</v>
      </c>
    </row>
    <row r="3665" spans="1:9" x14ac:dyDescent="0.3">
      <c r="A3665" t="s">
        <v>22</v>
      </c>
      <c r="C3665">
        <v>153000</v>
      </c>
      <c r="G3665">
        <v>44208</v>
      </c>
      <c r="H3665">
        <v>2021</v>
      </c>
      <c r="I3665" t="s">
        <v>42</v>
      </c>
    </row>
    <row r="3666" spans="1:9" x14ac:dyDescent="0.3">
      <c r="A3666" t="s">
        <v>19</v>
      </c>
      <c r="B3666">
        <v>747000</v>
      </c>
      <c r="D3666">
        <v>216000</v>
      </c>
      <c r="G3666">
        <v>44208</v>
      </c>
      <c r="H3666">
        <v>2021</v>
      </c>
      <c r="I3666" t="s">
        <v>42</v>
      </c>
    </row>
    <row r="3667" spans="1:9" x14ac:dyDescent="0.3">
      <c r="A3667" t="s">
        <v>14</v>
      </c>
      <c r="B3667">
        <v>531000</v>
      </c>
      <c r="C3667">
        <v>108000</v>
      </c>
      <c r="D3667">
        <v>45000</v>
      </c>
      <c r="E3667">
        <v>54000</v>
      </c>
      <c r="G3667">
        <v>44208</v>
      </c>
      <c r="H3667">
        <v>2021</v>
      </c>
      <c r="I3667" t="s">
        <v>42</v>
      </c>
    </row>
    <row r="3668" spans="1:9" x14ac:dyDescent="0.3">
      <c r="A3668" t="s">
        <v>24</v>
      </c>
      <c r="C3668">
        <v>158000</v>
      </c>
      <c r="G3668">
        <v>44208</v>
      </c>
      <c r="H3668">
        <v>2021</v>
      </c>
      <c r="I3668" t="s">
        <v>42</v>
      </c>
    </row>
    <row r="3669" spans="1:9" x14ac:dyDescent="0.3">
      <c r="A3669" t="s">
        <v>21</v>
      </c>
      <c r="G3669">
        <v>44208</v>
      </c>
      <c r="H3669">
        <v>2021</v>
      </c>
      <c r="I3669" t="s">
        <v>42</v>
      </c>
    </row>
    <row r="3670" spans="1:9" x14ac:dyDescent="0.3">
      <c r="A3670" t="s">
        <v>18</v>
      </c>
      <c r="C3670">
        <v>99000</v>
      </c>
      <c r="G3670">
        <v>44208</v>
      </c>
      <c r="H3670">
        <v>2021</v>
      </c>
      <c r="I3670" t="s">
        <v>42</v>
      </c>
    </row>
    <row r="3671" spans="1:9" x14ac:dyDescent="0.3">
      <c r="A3671" t="s">
        <v>16</v>
      </c>
      <c r="B3671">
        <v>536000</v>
      </c>
      <c r="C3671">
        <v>108000</v>
      </c>
      <c r="D3671">
        <v>216000</v>
      </c>
      <c r="E3671">
        <v>162000</v>
      </c>
      <c r="G3671">
        <v>44208</v>
      </c>
      <c r="H3671">
        <v>2021</v>
      </c>
      <c r="I3671" t="s">
        <v>42</v>
      </c>
    </row>
    <row r="3672" spans="1:9" x14ac:dyDescent="0.3">
      <c r="A3672" t="s">
        <v>20</v>
      </c>
      <c r="G3672">
        <v>44209</v>
      </c>
      <c r="H3672">
        <v>2021</v>
      </c>
      <c r="I3672" t="s">
        <v>42</v>
      </c>
    </row>
    <row r="3673" spans="1:9" x14ac:dyDescent="0.3">
      <c r="A3673" t="s">
        <v>37</v>
      </c>
      <c r="G3673">
        <v>44209</v>
      </c>
      <c r="H3673">
        <v>2021</v>
      </c>
      <c r="I3673" t="s">
        <v>42</v>
      </c>
    </row>
    <row r="3674" spans="1:9" x14ac:dyDescent="0.3">
      <c r="A3674" t="s">
        <v>17</v>
      </c>
      <c r="C3674">
        <v>54000</v>
      </c>
      <c r="G3674">
        <v>44209</v>
      </c>
      <c r="H3674">
        <v>2021</v>
      </c>
      <c r="I3674" t="s">
        <v>42</v>
      </c>
    </row>
    <row r="3675" spans="1:9" x14ac:dyDescent="0.3">
      <c r="A3675" t="s">
        <v>0</v>
      </c>
      <c r="C3675">
        <v>270000</v>
      </c>
      <c r="E3675">
        <v>99000</v>
      </c>
      <c r="G3675">
        <v>44209</v>
      </c>
      <c r="H3675">
        <v>2021</v>
      </c>
      <c r="I3675" t="s">
        <v>42</v>
      </c>
    </row>
    <row r="3676" spans="1:9" x14ac:dyDescent="0.3">
      <c r="A3676" t="s">
        <v>25</v>
      </c>
      <c r="C3676">
        <v>108000</v>
      </c>
      <c r="G3676">
        <v>44209</v>
      </c>
      <c r="H3676">
        <v>2021</v>
      </c>
      <c r="I3676" t="s">
        <v>42</v>
      </c>
    </row>
    <row r="3677" spans="1:9" x14ac:dyDescent="0.3">
      <c r="A3677" t="s">
        <v>15</v>
      </c>
      <c r="E3677">
        <v>54000</v>
      </c>
      <c r="G3677">
        <v>44209</v>
      </c>
      <c r="H3677">
        <v>2021</v>
      </c>
      <c r="I3677" t="s">
        <v>42</v>
      </c>
    </row>
    <row r="3678" spans="1:9" x14ac:dyDescent="0.3">
      <c r="A3678" t="s">
        <v>26</v>
      </c>
      <c r="C3678">
        <v>207000</v>
      </c>
      <c r="E3678">
        <v>108000</v>
      </c>
      <c r="G3678">
        <v>44209</v>
      </c>
      <c r="H3678">
        <v>2021</v>
      </c>
      <c r="I3678" t="s">
        <v>42</v>
      </c>
    </row>
    <row r="3679" spans="1:9" x14ac:dyDescent="0.3">
      <c r="A3679" t="s">
        <v>22</v>
      </c>
      <c r="C3679">
        <v>315000</v>
      </c>
      <c r="G3679">
        <v>44209</v>
      </c>
      <c r="H3679">
        <v>2021</v>
      </c>
      <c r="I3679" t="s">
        <v>42</v>
      </c>
    </row>
    <row r="3680" spans="1:9" x14ac:dyDescent="0.3">
      <c r="A3680" t="s">
        <v>19</v>
      </c>
      <c r="B3680">
        <v>635000</v>
      </c>
      <c r="C3680">
        <v>54000</v>
      </c>
      <c r="D3680">
        <v>216000</v>
      </c>
      <c r="G3680">
        <v>44209</v>
      </c>
      <c r="H3680">
        <v>2021</v>
      </c>
      <c r="I3680" t="s">
        <v>42</v>
      </c>
    </row>
    <row r="3681" spans="1:9" x14ac:dyDescent="0.3">
      <c r="A3681" t="s">
        <v>14</v>
      </c>
      <c r="B3681">
        <v>216000</v>
      </c>
      <c r="C3681">
        <v>158000</v>
      </c>
      <c r="D3681">
        <v>90000</v>
      </c>
      <c r="E3681">
        <v>50000</v>
      </c>
      <c r="G3681">
        <v>44209</v>
      </c>
      <c r="H3681">
        <v>2021</v>
      </c>
      <c r="I3681" t="s">
        <v>42</v>
      </c>
    </row>
    <row r="3682" spans="1:9" x14ac:dyDescent="0.3">
      <c r="A3682" t="s">
        <v>24</v>
      </c>
      <c r="C3682">
        <v>108000</v>
      </c>
      <c r="G3682">
        <v>44209</v>
      </c>
      <c r="H3682">
        <v>2021</v>
      </c>
      <c r="I3682" t="s">
        <v>42</v>
      </c>
    </row>
    <row r="3683" spans="1:9" x14ac:dyDescent="0.3">
      <c r="A3683" t="s">
        <v>21</v>
      </c>
      <c r="G3683">
        <v>44209</v>
      </c>
      <c r="H3683">
        <v>2021</v>
      </c>
      <c r="I3683" t="s">
        <v>42</v>
      </c>
    </row>
    <row r="3684" spans="1:9" x14ac:dyDescent="0.3">
      <c r="A3684" t="s">
        <v>18</v>
      </c>
      <c r="B3684">
        <v>162000</v>
      </c>
      <c r="C3684">
        <v>162000</v>
      </c>
      <c r="D3684">
        <v>108000</v>
      </c>
      <c r="E3684">
        <v>50000</v>
      </c>
      <c r="F3684">
        <v>486000</v>
      </c>
      <c r="G3684">
        <v>44209</v>
      </c>
      <c r="H3684">
        <v>2021</v>
      </c>
      <c r="I3684" t="s">
        <v>42</v>
      </c>
    </row>
    <row r="3685" spans="1:9" x14ac:dyDescent="0.3">
      <c r="A3685" t="s">
        <v>16</v>
      </c>
      <c r="B3685">
        <v>261500</v>
      </c>
      <c r="C3685">
        <v>90000</v>
      </c>
      <c r="D3685">
        <v>270000</v>
      </c>
      <c r="E3685">
        <v>108000</v>
      </c>
      <c r="G3685">
        <v>44209</v>
      </c>
      <c r="H3685">
        <v>2021</v>
      </c>
      <c r="I3685" t="s">
        <v>42</v>
      </c>
    </row>
    <row r="3686" spans="1:9" x14ac:dyDescent="0.3">
      <c r="A3686" t="s">
        <v>20</v>
      </c>
      <c r="G3686">
        <v>44210</v>
      </c>
      <c r="H3686">
        <v>2021</v>
      </c>
      <c r="I3686" t="s">
        <v>42</v>
      </c>
    </row>
    <row r="3687" spans="1:9" x14ac:dyDescent="0.3">
      <c r="A3687" t="s">
        <v>37</v>
      </c>
      <c r="G3687">
        <v>44210</v>
      </c>
      <c r="H3687">
        <v>2021</v>
      </c>
      <c r="I3687" t="s">
        <v>42</v>
      </c>
    </row>
    <row r="3688" spans="1:9" x14ac:dyDescent="0.3">
      <c r="A3688" t="s">
        <v>17</v>
      </c>
      <c r="B3688">
        <v>536000</v>
      </c>
      <c r="C3688">
        <v>54000</v>
      </c>
      <c r="E3688">
        <v>54000</v>
      </c>
      <c r="G3688">
        <v>44210</v>
      </c>
      <c r="H3688">
        <v>2021</v>
      </c>
      <c r="I3688" t="s">
        <v>42</v>
      </c>
    </row>
    <row r="3689" spans="1:9" x14ac:dyDescent="0.3">
      <c r="A3689" t="s">
        <v>0</v>
      </c>
      <c r="C3689">
        <v>201000</v>
      </c>
      <c r="E3689">
        <v>270000</v>
      </c>
      <c r="G3689">
        <v>44210</v>
      </c>
      <c r="H3689">
        <v>2021</v>
      </c>
      <c r="I3689" t="s">
        <v>42</v>
      </c>
    </row>
    <row r="3690" spans="1:9" x14ac:dyDescent="0.3">
      <c r="A3690" t="s">
        <v>25</v>
      </c>
      <c r="G3690">
        <v>44210</v>
      </c>
      <c r="H3690">
        <v>2021</v>
      </c>
      <c r="I3690" t="s">
        <v>42</v>
      </c>
    </row>
    <row r="3691" spans="1:9" x14ac:dyDescent="0.3">
      <c r="A3691" t="s">
        <v>15</v>
      </c>
      <c r="G3691">
        <v>44210</v>
      </c>
      <c r="H3691">
        <v>2021</v>
      </c>
      <c r="I3691" t="s">
        <v>42</v>
      </c>
    </row>
    <row r="3692" spans="1:9" x14ac:dyDescent="0.3">
      <c r="A3692" t="s">
        <v>26</v>
      </c>
      <c r="C3692">
        <v>54000</v>
      </c>
      <c r="E3692">
        <v>99000</v>
      </c>
      <c r="G3692">
        <v>44210</v>
      </c>
      <c r="H3692">
        <v>2021</v>
      </c>
      <c r="I3692" t="s">
        <v>42</v>
      </c>
    </row>
    <row r="3693" spans="1:9" x14ac:dyDescent="0.3">
      <c r="A3693" t="s">
        <v>22</v>
      </c>
      <c r="C3693">
        <v>54000</v>
      </c>
      <c r="G3693">
        <v>44210</v>
      </c>
      <c r="H3693">
        <v>2021</v>
      </c>
      <c r="I3693" t="s">
        <v>42</v>
      </c>
    </row>
    <row r="3694" spans="1:9" x14ac:dyDescent="0.3">
      <c r="A3694" t="s">
        <v>19</v>
      </c>
      <c r="B3694">
        <v>540000</v>
      </c>
      <c r="C3694">
        <v>702000</v>
      </c>
      <c r="D3694">
        <v>54000</v>
      </c>
      <c r="G3694">
        <v>44210</v>
      </c>
      <c r="H3694">
        <v>2021</v>
      </c>
      <c r="I3694" t="s">
        <v>42</v>
      </c>
    </row>
    <row r="3695" spans="1:9" x14ac:dyDescent="0.3">
      <c r="A3695" t="s">
        <v>14</v>
      </c>
      <c r="C3695">
        <v>54000</v>
      </c>
      <c r="E3695">
        <v>54000</v>
      </c>
      <c r="G3695">
        <v>44210</v>
      </c>
      <c r="H3695">
        <v>2021</v>
      </c>
      <c r="I3695" t="s">
        <v>42</v>
      </c>
    </row>
    <row r="3696" spans="1:9" x14ac:dyDescent="0.3">
      <c r="A3696" t="s">
        <v>24</v>
      </c>
      <c r="C3696">
        <v>54000</v>
      </c>
      <c r="G3696">
        <v>44210</v>
      </c>
      <c r="H3696">
        <v>2021</v>
      </c>
      <c r="I3696" t="s">
        <v>42</v>
      </c>
    </row>
    <row r="3697" spans="1:9" x14ac:dyDescent="0.3">
      <c r="A3697" t="s">
        <v>21</v>
      </c>
      <c r="G3697">
        <v>44210</v>
      </c>
      <c r="H3697">
        <v>2021</v>
      </c>
      <c r="I3697" t="s">
        <v>42</v>
      </c>
    </row>
    <row r="3698" spans="1:9" x14ac:dyDescent="0.3">
      <c r="A3698" t="s">
        <v>18</v>
      </c>
      <c r="C3698">
        <v>54000</v>
      </c>
      <c r="D3698">
        <v>158000</v>
      </c>
      <c r="E3698">
        <v>54000</v>
      </c>
      <c r="F3698">
        <v>324000</v>
      </c>
      <c r="G3698">
        <v>44210</v>
      </c>
      <c r="H3698">
        <v>2021</v>
      </c>
      <c r="I3698" t="s">
        <v>42</v>
      </c>
    </row>
    <row r="3699" spans="1:9" x14ac:dyDescent="0.3">
      <c r="A3699" t="s">
        <v>16</v>
      </c>
      <c r="B3699">
        <v>108000</v>
      </c>
      <c r="D3699">
        <v>108000</v>
      </c>
      <c r="G3699">
        <v>44210</v>
      </c>
      <c r="H3699">
        <v>2021</v>
      </c>
      <c r="I3699" t="s">
        <v>42</v>
      </c>
    </row>
    <row r="3700" spans="1:9" x14ac:dyDescent="0.3">
      <c r="A3700" t="s">
        <v>20</v>
      </c>
      <c r="G3700">
        <v>44211</v>
      </c>
      <c r="H3700">
        <v>2021</v>
      </c>
      <c r="I3700" t="s">
        <v>42</v>
      </c>
    </row>
    <row r="3701" spans="1:9" x14ac:dyDescent="0.3">
      <c r="A3701" t="s">
        <v>37</v>
      </c>
      <c r="G3701">
        <v>44211</v>
      </c>
      <c r="H3701">
        <v>2021</v>
      </c>
      <c r="I3701" t="s">
        <v>42</v>
      </c>
    </row>
    <row r="3702" spans="1:9" x14ac:dyDescent="0.3">
      <c r="A3702" t="s">
        <v>17</v>
      </c>
      <c r="B3702">
        <v>585000</v>
      </c>
      <c r="C3702">
        <v>108000</v>
      </c>
      <c r="G3702">
        <v>44211</v>
      </c>
      <c r="H3702">
        <v>2021</v>
      </c>
      <c r="I3702" t="s">
        <v>42</v>
      </c>
    </row>
    <row r="3703" spans="1:9" x14ac:dyDescent="0.3">
      <c r="A3703" t="s">
        <v>0</v>
      </c>
      <c r="C3703">
        <v>693000</v>
      </c>
      <c r="E3703">
        <v>324000</v>
      </c>
      <c r="G3703">
        <v>44211</v>
      </c>
      <c r="H3703">
        <v>2021</v>
      </c>
      <c r="I3703" t="s">
        <v>42</v>
      </c>
    </row>
    <row r="3704" spans="1:9" x14ac:dyDescent="0.3">
      <c r="A3704" t="s">
        <v>25</v>
      </c>
      <c r="C3704">
        <v>162000</v>
      </c>
      <c r="E3704">
        <v>54000</v>
      </c>
      <c r="G3704">
        <v>44211</v>
      </c>
      <c r="H3704">
        <v>2021</v>
      </c>
      <c r="I3704" t="s">
        <v>42</v>
      </c>
    </row>
    <row r="3705" spans="1:9" x14ac:dyDescent="0.3">
      <c r="A3705" t="s">
        <v>15</v>
      </c>
      <c r="B3705">
        <v>50000</v>
      </c>
      <c r="C3705">
        <v>54000</v>
      </c>
      <c r="E3705">
        <v>54000</v>
      </c>
      <c r="G3705">
        <v>44211</v>
      </c>
      <c r="H3705">
        <v>2021</v>
      </c>
      <c r="I3705" t="s">
        <v>42</v>
      </c>
    </row>
    <row r="3706" spans="1:9" x14ac:dyDescent="0.3">
      <c r="A3706" t="s">
        <v>26</v>
      </c>
      <c r="B3706">
        <v>108000</v>
      </c>
      <c r="C3706">
        <v>54000</v>
      </c>
      <c r="D3706">
        <v>162000</v>
      </c>
      <c r="E3706">
        <v>54000</v>
      </c>
      <c r="G3706">
        <v>44211</v>
      </c>
      <c r="H3706">
        <v>2021</v>
      </c>
      <c r="I3706" t="s">
        <v>42</v>
      </c>
    </row>
    <row r="3707" spans="1:9" x14ac:dyDescent="0.3">
      <c r="A3707" t="s">
        <v>22</v>
      </c>
      <c r="C3707">
        <v>108000</v>
      </c>
      <c r="G3707">
        <v>44211</v>
      </c>
      <c r="H3707">
        <v>2021</v>
      </c>
      <c r="I3707" t="s">
        <v>42</v>
      </c>
    </row>
    <row r="3708" spans="1:9" x14ac:dyDescent="0.3">
      <c r="A3708" t="s">
        <v>19</v>
      </c>
      <c r="C3708">
        <v>54000</v>
      </c>
      <c r="D3708">
        <v>216000</v>
      </c>
      <c r="G3708">
        <v>44211</v>
      </c>
      <c r="H3708">
        <v>2021</v>
      </c>
      <c r="I3708" t="s">
        <v>42</v>
      </c>
    </row>
    <row r="3709" spans="1:9" x14ac:dyDescent="0.3">
      <c r="A3709" t="s">
        <v>14</v>
      </c>
      <c r="B3709">
        <v>324000</v>
      </c>
      <c r="C3709">
        <v>108000</v>
      </c>
      <c r="G3709">
        <v>44211</v>
      </c>
      <c r="H3709">
        <v>2021</v>
      </c>
      <c r="I3709" t="s">
        <v>42</v>
      </c>
    </row>
    <row r="3710" spans="1:9" x14ac:dyDescent="0.3">
      <c r="A3710" t="s">
        <v>24</v>
      </c>
      <c r="G3710">
        <v>44211</v>
      </c>
      <c r="H3710">
        <v>2021</v>
      </c>
      <c r="I3710" t="s">
        <v>42</v>
      </c>
    </row>
    <row r="3711" spans="1:9" x14ac:dyDescent="0.3">
      <c r="A3711" t="s">
        <v>21</v>
      </c>
      <c r="G3711">
        <v>44211</v>
      </c>
      <c r="H3711">
        <v>2021</v>
      </c>
      <c r="I3711" t="s">
        <v>42</v>
      </c>
    </row>
    <row r="3712" spans="1:9" x14ac:dyDescent="0.3">
      <c r="A3712" t="s">
        <v>18</v>
      </c>
      <c r="C3712">
        <v>54000</v>
      </c>
      <c r="D3712">
        <v>162000</v>
      </c>
      <c r="E3712">
        <v>54000</v>
      </c>
      <c r="F3712">
        <v>190000</v>
      </c>
      <c r="G3712">
        <v>44211</v>
      </c>
      <c r="H3712">
        <v>2021</v>
      </c>
      <c r="I3712" t="s">
        <v>42</v>
      </c>
    </row>
    <row r="3713" spans="1:9" x14ac:dyDescent="0.3">
      <c r="A3713" t="s">
        <v>16</v>
      </c>
      <c r="D3713">
        <v>162000</v>
      </c>
      <c r="G3713">
        <v>44211</v>
      </c>
      <c r="H3713">
        <v>2021</v>
      </c>
      <c r="I3713" t="s">
        <v>42</v>
      </c>
    </row>
    <row r="3714" spans="1:9" x14ac:dyDescent="0.3">
      <c r="A3714" t="s">
        <v>20</v>
      </c>
      <c r="G3714">
        <v>44212</v>
      </c>
      <c r="H3714">
        <v>2021</v>
      </c>
      <c r="I3714" t="s">
        <v>42</v>
      </c>
    </row>
    <row r="3715" spans="1:9" x14ac:dyDescent="0.3">
      <c r="A3715" t="s">
        <v>37</v>
      </c>
      <c r="G3715">
        <v>44212</v>
      </c>
      <c r="H3715">
        <v>2021</v>
      </c>
      <c r="I3715" t="s">
        <v>42</v>
      </c>
    </row>
    <row r="3716" spans="1:9" x14ac:dyDescent="0.3">
      <c r="A3716" t="s">
        <v>17</v>
      </c>
      <c r="B3716">
        <v>536000</v>
      </c>
      <c r="C3716">
        <v>108000</v>
      </c>
      <c r="G3716">
        <v>44212</v>
      </c>
      <c r="H3716">
        <v>2021</v>
      </c>
      <c r="I3716" t="s">
        <v>42</v>
      </c>
    </row>
    <row r="3717" spans="1:9" x14ac:dyDescent="0.3">
      <c r="A3717" t="s">
        <v>0</v>
      </c>
      <c r="C3717">
        <v>315000</v>
      </c>
      <c r="E3717">
        <v>216000</v>
      </c>
      <c r="G3717">
        <v>44212</v>
      </c>
      <c r="H3717">
        <v>2021</v>
      </c>
      <c r="I3717" t="s">
        <v>42</v>
      </c>
    </row>
    <row r="3718" spans="1:9" x14ac:dyDescent="0.3">
      <c r="A3718" t="s">
        <v>25</v>
      </c>
      <c r="C3718">
        <v>374000</v>
      </c>
      <c r="E3718">
        <v>108000</v>
      </c>
      <c r="G3718">
        <v>44212</v>
      </c>
      <c r="H3718">
        <v>2021</v>
      </c>
      <c r="I3718" t="s">
        <v>42</v>
      </c>
    </row>
    <row r="3719" spans="1:9" x14ac:dyDescent="0.3">
      <c r="A3719" t="s">
        <v>15</v>
      </c>
      <c r="B3719">
        <v>428000</v>
      </c>
      <c r="D3719">
        <v>45000</v>
      </c>
      <c r="G3719">
        <v>44212</v>
      </c>
      <c r="H3719">
        <v>2021</v>
      </c>
      <c r="I3719" t="s">
        <v>42</v>
      </c>
    </row>
    <row r="3720" spans="1:9" x14ac:dyDescent="0.3">
      <c r="A3720" t="s">
        <v>26</v>
      </c>
      <c r="B3720">
        <v>482000</v>
      </c>
      <c r="C3720">
        <v>108000</v>
      </c>
      <c r="D3720">
        <v>54000</v>
      </c>
      <c r="G3720">
        <v>44212</v>
      </c>
      <c r="H3720">
        <v>2021</v>
      </c>
      <c r="I3720" t="s">
        <v>42</v>
      </c>
    </row>
    <row r="3721" spans="1:9" x14ac:dyDescent="0.3">
      <c r="A3721" t="s">
        <v>22</v>
      </c>
      <c r="C3721">
        <v>162000</v>
      </c>
      <c r="G3721">
        <v>44212</v>
      </c>
      <c r="H3721">
        <v>2021</v>
      </c>
      <c r="I3721" t="s">
        <v>42</v>
      </c>
    </row>
    <row r="3722" spans="1:9" x14ac:dyDescent="0.3">
      <c r="A3722" t="s">
        <v>19</v>
      </c>
      <c r="C3722">
        <v>162000</v>
      </c>
      <c r="D3722">
        <v>270000</v>
      </c>
      <c r="G3722">
        <v>44212</v>
      </c>
      <c r="H3722">
        <v>2021</v>
      </c>
      <c r="I3722" t="s">
        <v>42</v>
      </c>
    </row>
    <row r="3723" spans="1:9" x14ac:dyDescent="0.3">
      <c r="A3723" t="s">
        <v>14</v>
      </c>
      <c r="C3723">
        <v>108000</v>
      </c>
      <c r="E3723">
        <v>162000</v>
      </c>
      <c r="G3723">
        <v>44212</v>
      </c>
      <c r="H3723">
        <v>2021</v>
      </c>
      <c r="I3723" t="s">
        <v>42</v>
      </c>
    </row>
    <row r="3724" spans="1:9" x14ac:dyDescent="0.3">
      <c r="A3724" t="s">
        <v>24</v>
      </c>
      <c r="G3724">
        <v>44212</v>
      </c>
      <c r="H3724">
        <v>2021</v>
      </c>
      <c r="I3724" t="s">
        <v>42</v>
      </c>
    </row>
    <row r="3725" spans="1:9" x14ac:dyDescent="0.3">
      <c r="A3725" t="s">
        <v>21</v>
      </c>
      <c r="G3725">
        <v>44212</v>
      </c>
      <c r="H3725">
        <v>2021</v>
      </c>
      <c r="I3725" t="s">
        <v>42</v>
      </c>
    </row>
    <row r="3726" spans="1:9" x14ac:dyDescent="0.3">
      <c r="A3726" t="s">
        <v>18</v>
      </c>
      <c r="C3726">
        <v>108000</v>
      </c>
      <c r="D3726">
        <v>54000</v>
      </c>
      <c r="E3726">
        <v>54000</v>
      </c>
      <c r="G3726">
        <v>44212</v>
      </c>
      <c r="H3726">
        <v>2021</v>
      </c>
      <c r="I3726" t="s">
        <v>42</v>
      </c>
    </row>
    <row r="3727" spans="1:9" x14ac:dyDescent="0.3">
      <c r="A3727" t="s">
        <v>16</v>
      </c>
      <c r="D3727">
        <v>162000</v>
      </c>
      <c r="G3727">
        <v>44212</v>
      </c>
      <c r="H3727">
        <v>2021</v>
      </c>
      <c r="I3727" t="s">
        <v>42</v>
      </c>
    </row>
    <row r="3728" spans="1:9" x14ac:dyDescent="0.3">
      <c r="A3728" t="s">
        <v>20</v>
      </c>
      <c r="G3728">
        <v>44214</v>
      </c>
      <c r="H3728">
        <v>2021</v>
      </c>
      <c r="I3728" t="s">
        <v>42</v>
      </c>
    </row>
    <row r="3729" spans="1:9" x14ac:dyDescent="0.3">
      <c r="A3729" t="s">
        <v>37</v>
      </c>
      <c r="G3729">
        <v>44214</v>
      </c>
      <c r="H3729">
        <v>2021</v>
      </c>
      <c r="I3729" t="s">
        <v>42</v>
      </c>
    </row>
    <row r="3730" spans="1:9" x14ac:dyDescent="0.3">
      <c r="A3730" t="s">
        <v>17</v>
      </c>
      <c r="B3730">
        <v>162000</v>
      </c>
      <c r="C3730">
        <v>162000</v>
      </c>
      <c r="E3730">
        <v>54000</v>
      </c>
      <c r="G3730">
        <v>44214</v>
      </c>
      <c r="H3730">
        <v>2021</v>
      </c>
      <c r="I3730" t="s">
        <v>42</v>
      </c>
    </row>
    <row r="3731" spans="1:9" x14ac:dyDescent="0.3">
      <c r="A3731" t="s">
        <v>0</v>
      </c>
      <c r="C3731">
        <v>482000</v>
      </c>
      <c r="E3731">
        <v>162000</v>
      </c>
      <c r="G3731">
        <v>44214</v>
      </c>
      <c r="H3731">
        <v>2021</v>
      </c>
      <c r="I3731" t="s">
        <v>42</v>
      </c>
    </row>
    <row r="3732" spans="1:9" x14ac:dyDescent="0.3">
      <c r="A3732" t="s">
        <v>25</v>
      </c>
      <c r="C3732">
        <v>266000</v>
      </c>
      <c r="E3732">
        <v>108000</v>
      </c>
      <c r="G3732">
        <v>44214</v>
      </c>
      <c r="H3732">
        <v>2021</v>
      </c>
      <c r="I3732" t="s">
        <v>42</v>
      </c>
    </row>
    <row r="3733" spans="1:9" x14ac:dyDescent="0.3">
      <c r="A3733" t="s">
        <v>15</v>
      </c>
      <c r="B3733">
        <v>482000</v>
      </c>
      <c r="E3733">
        <v>54000</v>
      </c>
      <c r="G3733">
        <v>44214</v>
      </c>
      <c r="H3733">
        <v>2021</v>
      </c>
      <c r="I3733" t="s">
        <v>42</v>
      </c>
    </row>
    <row r="3734" spans="1:9" x14ac:dyDescent="0.3">
      <c r="A3734" t="s">
        <v>26</v>
      </c>
      <c r="B3734">
        <v>212000</v>
      </c>
      <c r="G3734">
        <v>44214</v>
      </c>
      <c r="H3734">
        <v>2021</v>
      </c>
      <c r="I3734" t="s">
        <v>42</v>
      </c>
    </row>
    <row r="3735" spans="1:9" x14ac:dyDescent="0.3">
      <c r="A3735" t="s">
        <v>22</v>
      </c>
      <c r="C3735">
        <v>270000</v>
      </c>
      <c r="G3735">
        <v>44214</v>
      </c>
      <c r="H3735">
        <v>2021</v>
      </c>
      <c r="I3735" t="s">
        <v>42</v>
      </c>
    </row>
    <row r="3736" spans="1:9" x14ac:dyDescent="0.3">
      <c r="A3736" t="s">
        <v>19</v>
      </c>
      <c r="C3736">
        <v>104000</v>
      </c>
      <c r="D3736">
        <v>428000</v>
      </c>
      <c r="G3736">
        <v>44214</v>
      </c>
      <c r="H3736">
        <v>2021</v>
      </c>
      <c r="I3736" t="s">
        <v>42</v>
      </c>
    </row>
    <row r="3737" spans="1:9" x14ac:dyDescent="0.3">
      <c r="A3737" t="s">
        <v>14</v>
      </c>
      <c r="C3737">
        <v>108000</v>
      </c>
      <c r="E3737">
        <v>162000</v>
      </c>
      <c r="G3737">
        <v>44214</v>
      </c>
      <c r="H3737">
        <v>2021</v>
      </c>
      <c r="I3737" t="s">
        <v>42</v>
      </c>
    </row>
    <row r="3738" spans="1:9" x14ac:dyDescent="0.3">
      <c r="A3738" t="s">
        <v>24</v>
      </c>
      <c r="G3738">
        <v>44214</v>
      </c>
      <c r="H3738">
        <v>2021</v>
      </c>
      <c r="I3738" t="s">
        <v>42</v>
      </c>
    </row>
    <row r="3739" spans="1:9" x14ac:dyDescent="0.3">
      <c r="A3739" t="s">
        <v>21</v>
      </c>
      <c r="G3739">
        <v>44214</v>
      </c>
      <c r="H3739">
        <v>2021</v>
      </c>
      <c r="I3739" t="s">
        <v>42</v>
      </c>
    </row>
    <row r="3740" spans="1:9" x14ac:dyDescent="0.3">
      <c r="A3740" t="s">
        <v>18</v>
      </c>
      <c r="C3740">
        <v>108000</v>
      </c>
      <c r="G3740">
        <v>44214</v>
      </c>
      <c r="H3740">
        <v>2021</v>
      </c>
      <c r="I3740" t="s">
        <v>42</v>
      </c>
    </row>
    <row r="3741" spans="1:9" x14ac:dyDescent="0.3">
      <c r="A3741" t="s">
        <v>16</v>
      </c>
      <c r="D3741">
        <v>270000</v>
      </c>
      <c r="E3741">
        <v>104000</v>
      </c>
      <c r="G3741">
        <v>44214</v>
      </c>
      <c r="H3741">
        <v>2021</v>
      </c>
      <c r="I3741" t="s">
        <v>42</v>
      </c>
    </row>
    <row r="3742" spans="1:9" x14ac:dyDescent="0.3">
      <c r="A3742" t="s">
        <v>20</v>
      </c>
      <c r="G3742">
        <v>44215</v>
      </c>
      <c r="H3742">
        <v>2021</v>
      </c>
      <c r="I3742" t="s">
        <v>42</v>
      </c>
    </row>
    <row r="3743" spans="1:9" x14ac:dyDescent="0.3">
      <c r="A3743" t="s">
        <v>37</v>
      </c>
      <c r="G3743">
        <v>44215</v>
      </c>
      <c r="H3743">
        <v>2021</v>
      </c>
      <c r="I3743" t="s">
        <v>42</v>
      </c>
    </row>
    <row r="3744" spans="1:9" x14ac:dyDescent="0.3">
      <c r="A3744" t="s">
        <v>17</v>
      </c>
      <c r="B3744">
        <v>162000</v>
      </c>
      <c r="C3744">
        <v>54000</v>
      </c>
      <c r="G3744">
        <v>44215</v>
      </c>
      <c r="H3744">
        <v>2021</v>
      </c>
      <c r="I3744" t="s">
        <v>42</v>
      </c>
    </row>
    <row r="3745" spans="1:9" x14ac:dyDescent="0.3">
      <c r="A3745" t="s">
        <v>0</v>
      </c>
      <c r="C3745">
        <v>377000</v>
      </c>
      <c r="E3745">
        <v>270000</v>
      </c>
      <c r="G3745">
        <v>44215</v>
      </c>
      <c r="H3745">
        <v>2021</v>
      </c>
      <c r="I3745" t="s">
        <v>42</v>
      </c>
    </row>
    <row r="3746" spans="1:9" x14ac:dyDescent="0.3">
      <c r="A3746" t="s">
        <v>25</v>
      </c>
      <c r="B3746">
        <v>428000</v>
      </c>
      <c r="C3746">
        <v>108000</v>
      </c>
      <c r="E3746">
        <v>108000</v>
      </c>
      <c r="G3746">
        <v>44215</v>
      </c>
      <c r="H3746">
        <v>2021</v>
      </c>
      <c r="I3746" t="s">
        <v>42</v>
      </c>
    </row>
    <row r="3747" spans="1:9" x14ac:dyDescent="0.3">
      <c r="A3747" t="s">
        <v>15</v>
      </c>
      <c r="B3747">
        <v>682000</v>
      </c>
      <c r="D3747">
        <v>45000</v>
      </c>
      <c r="E3747">
        <v>54000</v>
      </c>
      <c r="G3747">
        <v>44215</v>
      </c>
      <c r="H3747">
        <v>2021</v>
      </c>
      <c r="I3747" t="s">
        <v>42</v>
      </c>
    </row>
    <row r="3748" spans="1:9" x14ac:dyDescent="0.3">
      <c r="A3748" t="s">
        <v>26</v>
      </c>
      <c r="B3748">
        <v>369000</v>
      </c>
      <c r="D3748">
        <v>45000</v>
      </c>
      <c r="G3748">
        <v>44215</v>
      </c>
      <c r="H3748">
        <v>2021</v>
      </c>
      <c r="I3748" t="s">
        <v>42</v>
      </c>
    </row>
    <row r="3749" spans="1:9" x14ac:dyDescent="0.3">
      <c r="A3749" t="s">
        <v>22</v>
      </c>
      <c r="C3749">
        <v>54000</v>
      </c>
      <c r="G3749">
        <v>44215</v>
      </c>
      <c r="H3749">
        <v>2021</v>
      </c>
      <c r="I3749" t="s">
        <v>42</v>
      </c>
    </row>
    <row r="3750" spans="1:9" x14ac:dyDescent="0.3">
      <c r="A3750" t="s">
        <v>19</v>
      </c>
      <c r="C3750">
        <v>675000</v>
      </c>
      <c r="D3750">
        <v>594000</v>
      </c>
      <c r="G3750">
        <v>44215</v>
      </c>
      <c r="H3750">
        <v>2021</v>
      </c>
      <c r="I3750" t="s">
        <v>42</v>
      </c>
    </row>
    <row r="3751" spans="1:9" x14ac:dyDescent="0.3">
      <c r="A3751" t="s">
        <v>14</v>
      </c>
      <c r="C3751">
        <v>100000</v>
      </c>
      <c r="E3751">
        <v>54000</v>
      </c>
      <c r="G3751">
        <v>44215</v>
      </c>
      <c r="H3751">
        <v>2021</v>
      </c>
      <c r="I3751" t="s">
        <v>42</v>
      </c>
    </row>
    <row r="3752" spans="1:9" x14ac:dyDescent="0.3">
      <c r="A3752" t="s">
        <v>24</v>
      </c>
      <c r="G3752">
        <v>44215</v>
      </c>
      <c r="H3752">
        <v>2021</v>
      </c>
      <c r="I3752" t="s">
        <v>42</v>
      </c>
    </row>
    <row r="3753" spans="1:9" x14ac:dyDescent="0.3">
      <c r="A3753" t="s">
        <v>21</v>
      </c>
      <c r="G3753">
        <v>44215</v>
      </c>
      <c r="H3753">
        <v>2021</v>
      </c>
      <c r="I3753" t="s">
        <v>42</v>
      </c>
    </row>
    <row r="3754" spans="1:9" x14ac:dyDescent="0.3">
      <c r="A3754" t="s">
        <v>18</v>
      </c>
      <c r="G3754">
        <v>44215</v>
      </c>
      <c r="H3754">
        <v>2021</v>
      </c>
      <c r="I3754" t="s">
        <v>42</v>
      </c>
    </row>
    <row r="3755" spans="1:9" x14ac:dyDescent="0.3">
      <c r="A3755" t="s">
        <v>16</v>
      </c>
      <c r="B3755">
        <v>99000</v>
      </c>
      <c r="D3755">
        <v>153000</v>
      </c>
      <c r="E3755">
        <v>54000</v>
      </c>
      <c r="G3755">
        <v>44215</v>
      </c>
      <c r="H3755">
        <v>2021</v>
      </c>
      <c r="I3755" t="s">
        <v>42</v>
      </c>
    </row>
    <row r="3756" spans="1:9" x14ac:dyDescent="0.3">
      <c r="A3756" t="s">
        <v>20</v>
      </c>
      <c r="G3756">
        <v>44216</v>
      </c>
      <c r="H3756">
        <v>2021</v>
      </c>
      <c r="I3756" t="s">
        <v>42</v>
      </c>
    </row>
    <row r="3757" spans="1:9" x14ac:dyDescent="0.3">
      <c r="A3757" t="s">
        <v>37</v>
      </c>
      <c r="G3757">
        <v>44216</v>
      </c>
      <c r="H3757">
        <v>2021</v>
      </c>
      <c r="I3757" t="s">
        <v>42</v>
      </c>
    </row>
    <row r="3758" spans="1:9" x14ac:dyDescent="0.3">
      <c r="A3758" t="s">
        <v>17</v>
      </c>
      <c r="C3758">
        <v>162000</v>
      </c>
      <c r="E3758">
        <v>54000</v>
      </c>
      <c r="G3758">
        <v>44216</v>
      </c>
      <c r="H3758">
        <v>2021</v>
      </c>
      <c r="I3758" t="s">
        <v>42</v>
      </c>
    </row>
    <row r="3759" spans="1:9" x14ac:dyDescent="0.3">
      <c r="A3759" t="s">
        <v>0</v>
      </c>
      <c r="B3759">
        <v>297000</v>
      </c>
      <c r="C3759">
        <v>270000</v>
      </c>
      <c r="D3759">
        <v>212000</v>
      </c>
      <c r="E3759">
        <v>270000</v>
      </c>
      <c r="F3759">
        <v>216000</v>
      </c>
      <c r="G3759">
        <v>44216</v>
      </c>
      <c r="H3759">
        <v>2021</v>
      </c>
      <c r="I3759" t="s">
        <v>42</v>
      </c>
    </row>
    <row r="3760" spans="1:9" x14ac:dyDescent="0.3">
      <c r="A3760" t="s">
        <v>25</v>
      </c>
      <c r="B3760">
        <v>1130000</v>
      </c>
      <c r="C3760">
        <v>161000</v>
      </c>
      <c r="E3760">
        <v>108000</v>
      </c>
      <c r="G3760">
        <v>44216</v>
      </c>
      <c r="H3760">
        <v>2021</v>
      </c>
      <c r="I3760" t="s">
        <v>42</v>
      </c>
    </row>
    <row r="3761" spans="1:9" x14ac:dyDescent="0.3">
      <c r="A3761" t="s">
        <v>15</v>
      </c>
      <c r="B3761">
        <v>212000</v>
      </c>
      <c r="E3761">
        <v>54000</v>
      </c>
      <c r="G3761">
        <v>44216</v>
      </c>
      <c r="H3761">
        <v>2021</v>
      </c>
      <c r="I3761" t="s">
        <v>42</v>
      </c>
    </row>
    <row r="3762" spans="1:9" x14ac:dyDescent="0.3">
      <c r="A3762" t="s">
        <v>26</v>
      </c>
      <c r="B3762">
        <v>108000</v>
      </c>
      <c r="C3762">
        <v>108000</v>
      </c>
      <c r="D3762">
        <v>135000</v>
      </c>
      <c r="E3762">
        <v>108000</v>
      </c>
      <c r="G3762">
        <v>44216</v>
      </c>
      <c r="H3762">
        <v>2021</v>
      </c>
      <c r="I3762" t="s">
        <v>42</v>
      </c>
    </row>
    <row r="3763" spans="1:9" x14ac:dyDescent="0.3">
      <c r="A3763" t="s">
        <v>22</v>
      </c>
      <c r="G3763">
        <v>44216</v>
      </c>
      <c r="H3763">
        <v>2021</v>
      </c>
      <c r="I3763" t="s">
        <v>42</v>
      </c>
    </row>
    <row r="3764" spans="1:9" x14ac:dyDescent="0.3">
      <c r="A3764" t="s">
        <v>19</v>
      </c>
      <c r="C3764">
        <v>54000</v>
      </c>
      <c r="G3764">
        <v>44216</v>
      </c>
      <c r="H3764">
        <v>2021</v>
      </c>
      <c r="I3764" t="s">
        <v>42</v>
      </c>
    </row>
    <row r="3765" spans="1:9" x14ac:dyDescent="0.3">
      <c r="A3765" t="s">
        <v>14</v>
      </c>
      <c r="C3765">
        <v>162000</v>
      </c>
      <c r="E3765">
        <v>108000</v>
      </c>
      <c r="G3765">
        <v>44216</v>
      </c>
      <c r="H3765">
        <v>2021</v>
      </c>
      <c r="I3765" t="s">
        <v>42</v>
      </c>
    </row>
    <row r="3766" spans="1:9" x14ac:dyDescent="0.3">
      <c r="A3766" t="s">
        <v>24</v>
      </c>
      <c r="C3766">
        <v>108000</v>
      </c>
      <c r="G3766">
        <v>44216</v>
      </c>
      <c r="H3766">
        <v>2021</v>
      </c>
      <c r="I3766" t="s">
        <v>42</v>
      </c>
    </row>
    <row r="3767" spans="1:9" x14ac:dyDescent="0.3">
      <c r="A3767" t="s">
        <v>21</v>
      </c>
      <c r="G3767">
        <v>44216</v>
      </c>
      <c r="H3767">
        <v>2021</v>
      </c>
      <c r="I3767" t="s">
        <v>42</v>
      </c>
    </row>
    <row r="3768" spans="1:9" x14ac:dyDescent="0.3">
      <c r="A3768" t="s">
        <v>18</v>
      </c>
      <c r="C3768">
        <v>54000</v>
      </c>
      <c r="D3768">
        <v>45000</v>
      </c>
      <c r="E3768">
        <v>108000</v>
      </c>
      <c r="G3768">
        <v>44216</v>
      </c>
      <c r="H3768">
        <v>2021</v>
      </c>
      <c r="I3768" t="s">
        <v>42</v>
      </c>
    </row>
    <row r="3769" spans="1:9" x14ac:dyDescent="0.3">
      <c r="A3769" t="s">
        <v>16</v>
      </c>
      <c r="B3769">
        <v>45000</v>
      </c>
      <c r="E3769">
        <v>54000</v>
      </c>
      <c r="G3769">
        <v>44216</v>
      </c>
      <c r="H3769">
        <v>2021</v>
      </c>
      <c r="I3769" t="s">
        <v>42</v>
      </c>
    </row>
    <row r="3770" spans="1:9" x14ac:dyDescent="0.3">
      <c r="A3770" t="s">
        <v>20</v>
      </c>
      <c r="G3770">
        <v>44217</v>
      </c>
      <c r="H3770">
        <v>2021</v>
      </c>
      <c r="I3770" t="s">
        <v>42</v>
      </c>
    </row>
    <row r="3771" spans="1:9" x14ac:dyDescent="0.3">
      <c r="A3771" t="s">
        <v>37</v>
      </c>
      <c r="G3771">
        <v>44217</v>
      </c>
      <c r="H3771">
        <v>2021</v>
      </c>
      <c r="I3771" t="s">
        <v>42</v>
      </c>
    </row>
    <row r="3772" spans="1:9" x14ac:dyDescent="0.3">
      <c r="A3772" t="s">
        <v>17</v>
      </c>
      <c r="C3772">
        <v>152500</v>
      </c>
      <c r="E3772">
        <v>54000</v>
      </c>
      <c r="G3772">
        <v>44217</v>
      </c>
      <c r="H3772">
        <v>2021</v>
      </c>
      <c r="I3772" t="s">
        <v>42</v>
      </c>
    </row>
    <row r="3773" spans="1:9" x14ac:dyDescent="0.3">
      <c r="A3773" t="s">
        <v>0</v>
      </c>
      <c r="B3773">
        <v>1294000</v>
      </c>
      <c r="C3773">
        <v>323000</v>
      </c>
      <c r="D3773">
        <v>864000</v>
      </c>
      <c r="E3773">
        <v>270000</v>
      </c>
      <c r="F3773">
        <v>860000</v>
      </c>
      <c r="G3773">
        <v>44217</v>
      </c>
      <c r="H3773">
        <v>2021</v>
      </c>
      <c r="I3773" t="s">
        <v>42</v>
      </c>
    </row>
    <row r="3774" spans="1:9" x14ac:dyDescent="0.3">
      <c r="A3774" t="s">
        <v>25</v>
      </c>
      <c r="C3774">
        <v>317500</v>
      </c>
      <c r="E3774">
        <v>162000</v>
      </c>
      <c r="G3774">
        <v>44217</v>
      </c>
      <c r="H3774">
        <v>2021</v>
      </c>
      <c r="I3774" t="s">
        <v>42</v>
      </c>
    </row>
    <row r="3775" spans="1:9" x14ac:dyDescent="0.3">
      <c r="A3775" t="s">
        <v>15</v>
      </c>
      <c r="B3775">
        <v>54000</v>
      </c>
      <c r="E3775">
        <v>108000</v>
      </c>
      <c r="G3775">
        <v>44217</v>
      </c>
      <c r="H3775">
        <v>2021</v>
      </c>
      <c r="I3775" t="s">
        <v>42</v>
      </c>
    </row>
    <row r="3776" spans="1:9" x14ac:dyDescent="0.3">
      <c r="A3776" t="s">
        <v>26</v>
      </c>
      <c r="C3776">
        <v>162000</v>
      </c>
      <c r="E3776">
        <v>54000</v>
      </c>
      <c r="G3776">
        <v>44217</v>
      </c>
      <c r="H3776">
        <v>2021</v>
      </c>
      <c r="I3776" t="s">
        <v>42</v>
      </c>
    </row>
    <row r="3777" spans="1:9" x14ac:dyDescent="0.3">
      <c r="A3777" t="s">
        <v>22</v>
      </c>
      <c r="C3777">
        <v>324000</v>
      </c>
      <c r="G3777">
        <v>44217</v>
      </c>
      <c r="H3777">
        <v>2021</v>
      </c>
      <c r="I3777" t="s">
        <v>42</v>
      </c>
    </row>
    <row r="3778" spans="1:9" x14ac:dyDescent="0.3">
      <c r="A3778" t="s">
        <v>19</v>
      </c>
      <c r="C3778">
        <v>162000</v>
      </c>
      <c r="G3778">
        <v>44217</v>
      </c>
      <c r="H3778">
        <v>2021</v>
      </c>
      <c r="I3778" t="s">
        <v>42</v>
      </c>
    </row>
    <row r="3779" spans="1:9" x14ac:dyDescent="0.3">
      <c r="A3779" t="s">
        <v>14</v>
      </c>
      <c r="C3779">
        <v>158000</v>
      </c>
      <c r="E3779">
        <v>54000</v>
      </c>
      <c r="G3779">
        <v>44217</v>
      </c>
      <c r="H3779">
        <v>2021</v>
      </c>
      <c r="I3779" t="s">
        <v>42</v>
      </c>
    </row>
    <row r="3780" spans="1:9" x14ac:dyDescent="0.3">
      <c r="A3780" t="s">
        <v>24</v>
      </c>
      <c r="C3780">
        <v>153000</v>
      </c>
      <c r="G3780">
        <v>44217</v>
      </c>
      <c r="H3780">
        <v>2021</v>
      </c>
      <c r="I3780" t="s">
        <v>42</v>
      </c>
    </row>
    <row r="3781" spans="1:9" x14ac:dyDescent="0.3">
      <c r="A3781" t="s">
        <v>21</v>
      </c>
      <c r="G3781">
        <v>44217</v>
      </c>
      <c r="H3781">
        <v>2021</v>
      </c>
      <c r="I3781" t="s">
        <v>42</v>
      </c>
    </row>
    <row r="3782" spans="1:9" x14ac:dyDescent="0.3">
      <c r="A3782" t="s">
        <v>18</v>
      </c>
      <c r="E3782">
        <v>54000</v>
      </c>
      <c r="G3782">
        <v>44217</v>
      </c>
      <c r="H3782">
        <v>2021</v>
      </c>
      <c r="I3782" t="s">
        <v>42</v>
      </c>
    </row>
    <row r="3783" spans="1:9" x14ac:dyDescent="0.3">
      <c r="A3783" t="s">
        <v>16</v>
      </c>
      <c r="G3783">
        <v>44217</v>
      </c>
      <c r="H3783">
        <v>2021</v>
      </c>
      <c r="I3783" t="s">
        <v>42</v>
      </c>
    </row>
    <row r="3784" spans="1:9" x14ac:dyDescent="0.3">
      <c r="A3784" t="s">
        <v>20</v>
      </c>
      <c r="G3784">
        <v>44218</v>
      </c>
      <c r="H3784">
        <v>2021</v>
      </c>
      <c r="I3784" t="s">
        <v>42</v>
      </c>
    </row>
    <row r="3785" spans="1:9" x14ac:dyDescent="0.3">
      <c r="A3785" t="s">
        <v>37</v>
      </c>
      <c r="B3785">
        <v>162000</v>
      </c>
      <c r="D3785">
        <v>486000</v>
      </c>
      <c r="G3785">
        <v>44218</v>
      </c>
      <c r="H3785">
        <v>2021</v>
      </c>
      <c r="I3785" t="s">
        <v>42</v>
      </c>
    </row>
    <row r="3786" spans="1:9" x14ac:dyDescent="0.3">
      <c r="A3786" t="s">
        <v>17</v>
      </c>
      <c r="B3786">
        <v>153000</v>
      </c>
      <c r="C3786">
        <v>144000</v>
      </c>
      <c r="E3786">
        <v>162000</v>
      </c>
      <c r="G3786">
        <v>44218</v>
      </c>
      <c r="H3786">
        <v>2021</v>
      </c>
      <c r="I3786" t="s">
        <v>42</v>
      </c>
    </row>
    <row r="3787" spans="1:9" x14ac:dyDescent="0.3">
      <c r="A3787" t="s">
        <v>0</v>
      </c>
      <c r="B3787">
        <v>635000</v>
      </c>
      <c r="C3787">
        <v>324000</v>
      </c>
      <c r="D3787">
        <v>320000</v>
      </c>
      <c r="E3787">
        <v>270000</v>
      </c>
      <c r="F3787">
        <v>212000</v>
      </c>
      <c r="G3787">
        <v>44218</v>
      </c>
      <c r="H3787">
        <v>2021</v>
      </c>
      <c r="I3787" t="s">
        <v>42</v>
      </c>
    </row>
    <row r="3788" spans="1:9" x14ac:dyDescent="0.3">
      <c r="A3788" t="s">
        <v>25</v>
      </c>
      <c r="B3788">
        <v>158000</v>
      </c>
      <c r="C3788">
        <v>108000</v>
      </c>
      <c r="E3788">
        <v>108000</v>
      </c>
      <c r="G3788">
        <v>44218</v>
      </c>
      <c r="H3788">
        <v>2021</v>
      </c>
      <c r="I3788" t="s">
        <v>42</v>
      </c>
    </row>
    <row r="3789" spans="1:9" x14ac:dyDescent="0.3">
      <c r="A3789" t="s">
        <v>15</v>
      </c>
      <c r="B3789">
        <v>209000</v>
      </c>
      <c r="D3789">
        <v>482000</v>
      </c>
      <c r="G3789">
        <v>44218</v>
      </c>
      <c r="H3789">
        <v>2021</v>
      </c>
      <c r="I3789" t="s">
        <v>42</v>
      </c>
    </row>
    <row r="3790" spans="1:9" x14ac:dyDescent="0.3">
      <c r="A3790" t="s">
        <v>26</v>
      </c>
      <c r="B3790">
        <v>54000</v>
      </c>
      <c r="C3790">
        <v>54000</v>
      </c>
      <c r="E3790">
        <v>54000</v>
      </c>
      <c r="G3790">
        <v>44218</v>
      </c>
      <c r="H3790">
        <v>2021</v>
      </c>
      <c r="I3790" t="s">
        <v>42</v>
      </c>
    </row>
    <row r="3791" spans="1:9" x14ac:dyDescent="0.3">
      <c r="A3791" t="s">
        <v>22</v>
      </c>
      <c r="C3791">
        <v>108000</v>
      </c>
      <c r="G3791">
        <v>44218</v>
      </c>
      <c r="H3791">
        <v>2021</v>
      </c>
      <c r="I3791" t="s">
        <v>42</v>
      </c>
    </row>
    <row r="3792" spans="1:9" x14ac:dyDescent="0.3">
      <c r="A3792" t="s">
        <v>19</v>
      </c>
      <c r="C3792">
        <v>54000</v>
      </c>
      <c r="E3792">
        <v>54000</v>
      </c>
      <c r="G3792">
        <v>44218</v>
      </c>
      <c r="H3792">
        <v>2021</v>
      </c>
      <c r="I3792" t="s">
        <v>42</v>
      </c>
    </row>
    <row r="3793" spans="1:9" x14ac:dyDescent="0.3">
      <c r="A3793" t="s">
        <v>14</v>
      </c>
      <c r="C3793">
        <v>162000</v>
      </c>
      <c r="E3793">
        <v>108000</v>
      </c>
      <c r="G3793">
        <v>44218</v>
      </c>
      <c r="H3793">
        <v>2021</v>
      </c>
      <c r="I3793" t="s">
        <v>42</v>
      </c>
    </row>
    <row r="3794" spans="1:9" x14ac:dyDescent="0.3">
      <c r="A3794" t="s">
        <v>24</v>
      </c>
      <c r="C3794">
        <v>103500</v>
      </c>
      <c r="G3794">
        <v>44218</v>
      </c>
      <c r="H3794">
        <v>2021</v>
      </c>
      <c r="I3794" t="s">
        <v>42</v>
      </c>
    </row>
    <row r="3795" spans="1:9" x14ac:dyDescent="0.3">
      <c r="A3795" t="s">
        <v>21</v>
      </c>
      <c r="G3795">
        <v>44218</v>
      </c>
      <c r="H3795">
        <v>2021</v>
      </c>
      <c r="I3795" t="s">
        <v>42</v>
      </c>
    </row>
    <row r="3796" spans="1:9" x14ac:dyDescent="0.3">
      <c r="A3796" t="s">
        <v>18</v>
      </c>
      <c r="C3796">
        <v>54000</v>
      </c>
      <c r="E3796">
        <v>54000</v>
      </c>
      <c r="G3796">
        <v>44218</v>
      </c>
      <c r="H3796">
        <v>2021</v>
      </c>
      <c r="I3796" t="s">
        <v>42</v>
      </c>
    </row>
    <row r="3797" spans="1:9" x14ac:dyDescent="0.3">
      <c r="A3797" t="s">
        <v>16</v>
      </c>
      <c r="E3797">
        <v>54000</v>
      </c>
      <c r="G3797">
        <v>44218</v>
      </c>
      <c r="H3797">
        <v>2021</v>
      </c>
      <c r="I3797" t="s">
        <v>42</v>
      </c>
    </row>
    <row r="3798" spans="1:9" x14ac:dyDescent="0.3">
      <c r="A3798" t="s">
        <v>20</v>
      </c>
      <c r="G3798">
        <v>44221</v>
      </c>
      <c r="H3798">
        <v>2021</v>
      </c>
      <c r="I3798" t="s">
        <v>42</v>
      </c>
    </row>
    <row r="3799" spans="1:9" x14ac:dyDescent="0.3">
      <c r="A3799" t="s">
        <v>37</v>
      </c>
      <c r="D3799">
        <v>108000</v>
      </c>
      <c r="G3799">
        <v>44221</v>
      </c>
      <c r="H3799">
        <v>2021</v>
      </c>
      <c r="I3799" t="s">
        <v>42</v>
      </c>
    </row>
    <row r="3800" spans="1:9" x14ac:dyDescent="0.3">
      <c r="A3800" t="s">
        <v>17</v>
      </c>
      <c r="B3800">
        <v>207000</v>
      </c>
      <c r="C3800">
        <v>270000</v>
      </c>
      <c r="E3800">
        <v>54000</v>
      </c>
      <c r="F3800">
        <v>324000</v>
      </c>
      <c r="G3800">
        <v>44221</v>
      </c>
      <c r="H3800">
        <v>2021</v>
      </c>
      <c r="I3800" t="s">
        <v>42</v>
      </c>
    </row>
    <row r="3801" spans="1:9" x14ac:dyDescent="0.3">
      <c r="A3801" t="s">
        <v>0</v>
      </c>
      <c r="B3801">
        <v>427000</v>
      </c>
      <c r="E3801">
        <v>54000</v>
      </c>
      <c r="F3801">
        <v>216000</v>
      </c>
      <c r="G3801">
        <v>44221</v>
      </c>
      <c r="H3801">
        <v>2021</v>
      </c>
      <c r="I3801" t="s">
        <v>42</v>
      </c>
    </row>
    <row r="3802" spans="1:9" x14ac:dyDescent="0.3">
      <c r="A3802" t="s">
        <v>25</v>
      </c>
      <c r="B3802">
        <v>54000</v>
      </c>
      <c r="C3802">
        <v>54000</v>
      </c>
      <c r="G3802">
        <v>44221</v>
      </c>
      <c r="H3802">
        <v>2021</v>
      </c>
      <c r="I3802" t="s">
        <v>42</v>
      </c>
    </row>
    <row r="3803" spans="1:9" x14ac:dyDescent="0.3">
      <c r="A3803" t="s">
        <v>15</v>
      </c>
      <c r="B3803">
        <v>481500</v>
      </c>
      <c r="C3803">
        <v>54000</v>
      </c>
      <c r="D3803">
        <v>369000</v>
      </c>
      <c r="G3803">
        <v>44221</v>
      </c>
      <c r="H3803">
        <v>2021</v>
      </c>
      <c r="I3803" t="s">
        <v>42</v>
      </c>
    </row>
    <row r="3804" spans="1:9" x14ac:dyDescent="0.3">
      <c r="A3804" t="s">
        <v>26</v>
      </c>
      <c r="B3804">
        <v>54000</v>
      </c>
      <c r="C3804">
        <v>212000</v>
      </c>
      <c r="E3804">
        <v>54000</v>
      </c>
      <c r="G3804">
        <v>44221</v>
      </c>
      <c r="H3804">
        <v>2021</v>
      </c>
      <c r="I3804" t="s">
        <v>42</v>
      </c>
    </row>
    <row r="3805" spans="1:9" x14ac:dyDescent="0.3">
      <c r="A3805" t="s">
        <v>22</v>
      </c>
      <c r="C3805">
        <v>47500</v>
      </c>
      <c r="G3805">
        <v>44221</v>
      </c>
      <c r="H3805">
        <v>2021</v>
      </c>
      <c r="I3805" t="s">
        <v>42</v>
      </c>
    </row>
    <row r="3806" spans="1:9" x14ac:dyDescent="0.3">
      <c r="A3806" t="s">
        <v>19</v>
      </c>
      <c r="B3806">
        <v>50000</v>
      </c>
      <c r="C3806">
        <v>162000</v>
      </c>
      <c r="E3806">
        <v>154000</v>
      </c>
      <c r="G3806">
        <v>44221</v>
      </c>
      <c r="H3806">
        <v>2021</v>
      </c>
      <c r="I3806" t="s">
        <v>42</v>
      </c>
    </row>
    <row r="3807" spans="1:9" x14ac:dyDescent="0.3">
      <c r="A3807" t="s">
        <v>14</v>
      </c>
      <c r="B3807">
        <v>162000</v>
      </c>
      <c r="C3807">
        <v>50000</v>
      </c>
      <c r="E3807">
        <v>54000</v>
      </c>
      <c r="G3807">
        <v>44221</v>
      </c>
      <c r="H3807">
        <v>2021</v>
      </c>
      <c r="I3807" t="s">
        <v>42</v>
      </c>
    </row>
    <row r="3808" spans="1:9" x14ac:dyDescent="0.3">
      <c r="A3808" t="s">
        <v>24</v>
      </c>
      <c r="C3808">
        <v>261000</v>
      </c>
      <c r="G3808">
        <v>44221</v>
      </c>
      <c r="H3808">
        <v>2021</v>
      </c>
      <c r="I3808" t="s">
        <v>42</v>
      </c>
    </row>
    <row r="3809" spans="1:9" x14ac:dyDescent="0.3">
      <c r="A3809" t="s">
        <v>21</v>
      </c>
      <c r="G3809">
        <v>44221</v>
      </c>
      <c r="H3809">
        <v>2021</v>
      </c>
      <c r="I3809" t="s">
        <v>42</v>
      </c>
    </row>
    <row r="3810" spans="1:9" x14ac:dyDescent="0.3">
      <c r="A3810" t="s">
        <v>18</v>
      </c>
      <c r="C3810">
        <v>104000</v>
      </c>
      <c r="E3810">
        <v>54000</v>
      </c>
      <c r="G3810">
        <v>44221</v>
      </c>
      <c r="H3810">
        <v>2021</v>
      </c>
      <c r="I3810" t="s">
        <v>42</v>
      </c>
    </row>
    <row r="3811" spans="1:9" x14ac:dyDescent="0.3">
      <c r="A3811" t="s">
        <v>16</v>
      </c>
      <c r="C3811">
        <v>103500</v>
      </c>
      <c r="E3811">
        <v>162000</v>
      </c>
      <c r="G3811">
        <v>44221</v>
      </c>
      <c r="H3811">
        <v>2021</v>
      </c>
      <c r="I3811" t="s">
        <v>42</v>
      </c>
    </row>
    <row r="3812" spans="1:9" x14ac:dyDescent="0.3">
      <c r="A3812" t="s">
        <v>20</v>
      </c>
      <c r="G3812">
        <v>44222</v>
      </c>
      <c r="H3812">
        <v>2021</v>
      </c>
      <c r="I3812" t="s">
        <v>42</v>
      </c>
    </row>
    <row r="3813" spans="1:9" x14ac:dyDescent="0.3">
      <c r="A3813" t="s">
        <v>37</v>
      </c>
      <c r="B3813">
        <v>216000</v>
      </c>
      <c r="G3813">
        <v>44222</v>
      </c>
      <c r="H3813">
        <v>2021</v>
      </c>
      <c r="I3813" t="s">
        <v>42</v>
      </c>
    </row>
    <row r="3814" spans="1:9" x14ac:dyDescent="0.3">
      <c r="A3814" t="s">
        <v>17</v>
      </c>
      <c r="B3814">
        <v>374000</v>
      </c>
      <c r="E3814">
        <v>162000</v>
      </c>
      <c r="F3814">
        <v>536000</v>
      </c>
      <c r="G3814">
        <v>44222</v>
      </c>
      <c r="H3814">
        <v>2021</v>
      </c>
      <c r="I3814" t="s">
        <v>42</v>
      </c>
    </row>
    <row r="3815" spans="1:9" x14ac:dyDescent="0.3">
      <c r="A3815" t="s">
        <v>0</v>
      </c>
      <c r="B3815">
        <v>756000</v>
      </c>
      <c r="G3815">
        <v>44222</v>
      </c>
      <c r="H3815">
        <v>2021</v>
      </c>
      <c r="I3815" t="s">
        <v>42</v>
      </c>
    </row>
    <row r="3816" spans="1:9" x14ac:dyDescent="0.3">
      <c r="A3816" t="s">
        <v>25</v>
      </c>
      <c r="C3816">
        <v>54000</v>
      </c>
      <c r="E3816">
        <v>54000</v>
      </c>
      <c r="G3816">
        <v>44222</v>
      </c>
      <c r="H3816">
        <v>2021</v>
      </c>
      <c r="I3816" t="s">
        <v>42</v>
      </c>
    </row>
    <row r="3817" spans="1:9" x14ac:dyDescent="0.3">
      <c r="A3817" t="s">
        <v>15</v>
      </c>
      <c r="B3817">
        <v>270000</v>
      </c>
      <c r="D3817">
        <v>99000</v>
      </c>
      <c r="E3817">
        <v>108000</v>
      </c>
      <c r="G3817">
        <v>44222</v>
      </c>
      <c r="H3817">
        <v>2021</v>
      </c>
      <c r="I3817" t="s">
        <v>42</v>
      </c>
    </row>
    <row r="3818" spans="1:9" x14ac:dyDescent="0.3">
      <c r="A3818" t="s">
        <v>26</v>
      </c>
      <c r="C3818">
        <v>54000</v>
      </c>
      <c r="G3818">
        <v>44222</v>
      </c>
      <c r="H3818">
        <v>2021</v>
      </c>
      <c r="I3818" t="s">
        <v>42</v>
      </c>
    </row>
    <row r="3819" spans="1:9" x14ac:dyDescent="0.3">
      <c r="A3819" t="s">
        <v>22</v>
      </c>
      <c r="C3819">
        <v>108000</v>
      </c>
      <c r="G3819">
        <v>44222</v>
      </c>
      <c r="H3819">
        <v>2021</v>
      </c>
      <c r="I3819" t="s">
        <v>42</v>
      </c>
    </row>
    <row r="3820" spans="1:9" x14ac:dyDescent="0.3">
      <c r="A3820" t="s">
        <v>19</v>
      </c>
      <c r="C3820">
        <v>702000</v>
      </c>
      <c r="G3820">
        <v>44222</v>
      </c>
      <c r="H3820">
        <v>2021</v>
      </c>
      <c r="I3820" t="s">
        <v>42</v>
      </c>
    </row>
    <row r="3821" spans="1:9" x14ac:dyDescent="0.3">
      <c r="A3821" t="s">
        <v>14</v>
      </c>
      <c r="B3821">
        <v>378000</v>
      </c>
      <c r="C3821">
        <v>108000</v>
      </c>
      <c r="E3821">
        <v>108000</v>
      </c>
      <c r="G3821">
        <v>44222</v>
      </c>
      <c r="H3821">
        <v>2021</v>
      </c>
      <c r="I3821" t="s">
        <v>42</v>
      </c>
    </row>
    <row r="3822" spans="1:9" x14ac:dyDescent="0.3">
      <c r="A3822" t="s">
        <v>24</v>
      </c>
      <c r="C3822">
        <v>108000</v>
      </c>
      <c r="G3822">
        <v>44222</v>
      </c>
      <c r="H3822">
        <v>2021</v>
      </c>
      <c r="I3822" t="s">
        <v>42</v>
      </c>
    </row>
    <row r="3823" spans="1:9" x14ac:dyDescent="0.3">
      <c r="A3823" t="s">
        <v>21</v>
      </c>
      <c r="G3823">
        <v>44222</v>
      </c>
      <c r="H3823">
        <v>2021</v>
      </c>
      <c r="I3823" t="s">
        <v>42</v>
      </c>
    </row>
    <row r="3824" spans="1:9" x14ac:dyDescent="0.3">
      <c r="A3824" t="s">
        <v>18</v>
      </c>
      <c r="B3824">
        <v>50000</v>
      </c>
      <c r="E3824">
        <v>104000</v>
      </c>
      <c r="G3824">
        <v>44222</v>
      </c>
      <c r="H3824">
        <v>2021</v>
      </c>
      <c r="I3824" t="s">
        <v>42</v>
      </c>
    </row>
    <row r="3825" spans="1:9" x14ac:dyDescent="0.3">
      <c r="A3825" t="s">
        <v>16</v>
      </c>
      <c r="E3825">
        <v>54000</v>
      </c>
      <c r="G3825">
        <v>44222</v>
      </c>
      <c r="H3825">
        <v>2021</v>
      </c>
      <c r="I3825" t="s">
        <v>42</v>
      </c>
    </row>
    <row r="3826" spans="1:9" x14ac:dyDescent="0.3">
      <c r="A3826" t="s">
        <v>20</v>
      </c>
      <c r="G3826">
        <v>44223</v>
      </c>
      <c r="H3826">
        <v>2021</v>
      </c>
      <c r="I3826" t="s">
        <v>42</v>
      </c>
    </row>
    <row r="3827" spans="1:9" x14ac:dyDescent="0.3">
      <c r="A3827" t="s">
        <v>37</v>
      </c>
      <c r="B3827">
        <v>158000</v>
      </c>
      <c r="G3827">
        <v>44223</v>
      </c>
      <c r="H3827">
        <v>2021</v>
      </c>
      <c r="I3827" t="s">
        <v>42</v>
      </c>
    </row>
    <row r="3828" spans="1:9" x14ac:dyDescent="0.3">
      <c r="A3828" t="s">
        <v>17</v>
      </c>
      <c r="B3828">
        <v>266000</v>
      </c>
      <c r="C3828">
        <v>108000</v>
      </c>
      <c r="E3828">
        <v>54000</v>
      </c>
      <c r="F3828">
        <v>140000</v>
      </c>
      <c r="G3828">
        <v>44223</v>
      </c>
      <c r="H3828">
        <v>2021</v>
      </c>
      <c r="I3828" t="s">
        <v>42</v>
      </c>
    </row>
    <row r="3829" spans="1:9" x14ac:dyDescent="0.3">
      <c r="A3829" t="s">
        <v>0</v>
      </c>
      <c r="B3829">
        <v>900000</v>
      </c>
      <c r="F3829">
        <v>45000</v>
      </c>
      <c r="G3829">
        <v>44223</v>
      </c>
      <c r="H3829">
        <v>2021</v>
      </c>
      <c r="I3829" t="s">
        <v>42</v>
      </c>
    </row>
    <row r="3830" spans="1:9" x14ac:dyDescent="0.3">
      <c r="A3830" t="s">
        <v>25</v>
      </c>
      <c r="C3830">
        <v>216000</v>
      </c>
      <c r="E3830">
        <v>162000</v>
      </c>
      <c r="G3830">
        <v>44223</v>
      </c>
      <c r="H3830">
        <v>2021</v>
      </c>
      <c r="I3830" t="s">
        <v>42</v>
      </c>
    </row>
    <row r="3831" spans="1:9" x14ac:dyDescent="0.3">
      <c r="A3831" t="s">
        <v>15</v>
      </c>
      <c r="B3831">
        <v>162000</v>
      </c>
      <c r="C3831">
        <v>216000</v>
      </c>
      <c r="E3831">
        <v>162000</v>
      </c>
      <c r="G3831">
        <v>44223</v>
      </c>
      <c r="H3831">
        <v>2021</v>
      </c>
      <c r="I3831" t="s">
        <v>42</v>
      </c>
    </row>
    <row r="3832" spans="1:9" x14ac:dyDescent="0.3">
      <c r="A3832" t="s">
        <v>26</v>
      </c>
      <c r="C3832">
        <v>54000</v>
      </c>
      <c r="E3832">
        <v>108000</v>
      </c>
      <c r="G3832">
        <v>44223</v>
      </c>
      <c r="H3832">
        <v>2021</v>
      </c>
      <c r="I3832" t="s">
        <v>42</v>
      </c>
    </row>
    <row r="3833" spans="1:9" x14ac:dyDescent="0.3">
      <c r="A3833" t="s">
        <v>22</v>
      </c>
      <c r="C3833">
        <v>108000</v>
      </c>
      <c r="G3833">
        <v>44223</v>
      </c>
      <c r="H3833">
        <v>2021</v>
      </c>
      <c r="I3833" t="s">
        <v>42</v>
      </c>
    </row>
    <row r="3834" spans="1:9" x14ac:dyDescent="0.3">
      <c r="A3834" t="s">
        <v>19</v>
      </c>
      <c r="C3834">
        <v>108000</v>
      </c>
      <c r="E3834">
        <v>261000</v>
      </c>
      <c r="G3834">
        <v>44223</v>
      </c>
      <c r="H3834">
        <v>2021</v>
      </c>
      <c r="I3834" t="s">
        <v>42</v>
      </c>
    </row>
    <row r="3835" spans="1:9" x14ac:dyDescent="0.3">
      <c r="A3835" t="s">
        <v>14</v>
      </c>
      <c r="B3835">
        <v>748000</v>
      </c>
      <c r="C3835">
        <v>54000</v>
      </c>
      <c r="E3835">
        <v>108000</v>
      </c>
      <c r="G3835">
        <v>44223</v>
      </c>
      <c r="H3835">
        <v>2021</v>
      </c>
      <c r="I3835" t="s">
        <v>42</v>
      </c>
    </row>
    <row r="3836" spans="1:9" x14ac:dyDescent="0.3">
      <c r="A3836" t="s">
        <v>24</v>
      </c>
      <c r="C3836">
        <v>54000</v>
      </c>
      <c r="G3836">
        <v>44223</v>
      </c>
      <c r="H3836">
        <v>2021</v>
      </c>
      <c r="I3836" t="s">
        <v>42</v>
      </c>
    </row>
    <row r="3837" spans="1:9" x14ac:dyDescent="0.3">
      <c r="A3837" t="s">
        <v>21</v>
      </c>
      <c r="G3837">
        <v>44223</v>
      </c>
      <c r="H3837">
        <v>2021</v>
      </c>
      <c r="I3837" t="s">
        <v>42</v>
      </c>
    </row>
    <row r="3838" spans="1:9" x14ac:dyDescent="0.3">
      <c r="A3838" t="s">
        <v>18</v>
      </c>
      <c r="C3838">
        <v>54000</v>
      </c>
      <c r="D3838">
        <v>90000</v>
      </c>
      <c r="E3838">
        <v>54000</v>
      </c>
      <c r="G3838">
        <v>44223</v>
      </c>
      <c r="H3838">
        <v>2021</v>
      </c>
      <c r="I3838" t="s">
        <v>42</v>
      </c>
    </row>
    <row r="3839" spans="1:9" x14ac:dyDescent="0.3">
      <c r="A3839" t="s">
        <v>16</v>
      </c>
      <c r="C3839">
        <v>108000</v>
      </c>
      <c r="E3839">
        <v>162000</v>
      </c>
      <c r="G3839">
        <v>44223</v>
      </c>
      <c r="H3839">
        <v>2021</v>
      </c>
      <c r="I3839" t="s">
        <v>42</v>
      </c>
    </row>
    <row r="3840" spans="1:9" x14ac:dyDescent="0.3">
      <c r="A3840" t="s">
        <v>20</v>
      </c>
      <c r="G3840">
        <v>44224</v>
      </c>
      <c r="H3840">
        <v>2021</v>
      </c>
      <c r="I3840" t="s">
        <v>42</v>
      </c>
    </row>
    <row r="3841" spans="1:9" x14ac:dyDescent="0.3">
      <c r="A3841" t="s">
        <v>37</v>
      </c>
      <c r="G3841">
        <v>44224</v>
      </c>
      <c r="H3841">
        <v>2021</v>
      </c>
      <c r="I3841" t="s">
        <v>42</v>
      </c>
    </row>
    <row r="3842" spans="1:9" x14ac:dyDescent="0.3">
      <c r="A3842" t="s">
        <v>17</v>
      </c>
      <c r="B3842">
        <v>153000</v>
      </c>
      <c r="C3842">
        <v>149000</v>
      </c>
      <c r="E3842">
        <v>108000</v>
      </c>
      <c r="G3842">
        <v>44224</v>
      </c>
      <c r="H3842">
        <v>2021</v>
      </c>
      <c r="I3842" t="s">
        <v>42</v>
      </c>
    </row>
    <row r="3843" spans="1:9" x14ac:dyDescent="0.3">
      <c r="A3843" t="s">
        <v>0</v>
      </c>
      <c r="B3843">
        <v>590000</v>
      </c>
      <c r="F3843">
        <v>50000</v>
      </c>
      <c r="G3843">
        <v>44224</v>
      </c>
      <c r="H3843">
        <v>2021</v>
      </c>
      <c r="I3843" t="s">
        <v>42</v>
      </c>
    </row>
    <row r="3844" spans="1:9" x14ac:dyDescent="0.3">
      <c r="A3844" t="s">
        <v>25</v>
      </c>
      <c r="B3844">
        <v>692000</v>
      </c>
      <c r="C3844">
        <v>162000</v>
      </c>
      <c r="E3844">
        <v>103500</v>
      </c>
      <c r="F3844">
        <v>540000</v>
      </c>
      <c r="G3844">
        <v>44224</v>
      </c>
      <c r="H3844">
        <v>2021</v>
      </c>
      <c r="I3844" t="s">
        <v>42</v>
      </c>
    </row>
    <row r="3845" spans="1:9" x14ac:dyDescent="0.3">
      <c r="A3845" t="s">
        <v>15</v>
      </c>
      <c r="B3845">
        <v>140000</v>
      </c>
      <c r="C3845">
        <v>108000</v>
      </c>
      <c r="E3845">
        <v>108000</v>
      </c>
      <c r="G3845">
        <v>44224</v>
      </c>
      <c r="H3845">
        <v>2021</v>
      </c>
      <c r="I3845" t="s">
        <v>42</v>
      </c>
    </row>
    <row r="3846" spans="1:9" x14ac:dyDescent="0.3">
      <c r="A3846" t="s">
        <v>26</v>
      </c>
      <c r="C3846">
        <v>151000</v>
      </c>
      <c r="E3846">
        <v>108000</v>
      </c>
      <c r="G3846">
        <v>44224</v>
      </c>
      <c r="H3846">
        <v>2021</v>
      </c>
      <c r="I3846" t="s">
        <v>42</v>
      </c>
    </row>
    <row r="3847" spans="1:9" x14ac:dyDescent="0.3">
      <c r="A3847" t="s">
        <v>22</v>
      </c>
      <c r="C3847">
        <v>108000</v>
      </c>
      <c r="G3847">
        <v>44224</v>
      </c>
      <c r="H3847">
        <v>2021</v>
      </c>
      <c r="I3847" t="s">
        <v>42</v>
      </c>
    </row>
    <row r="3848" spans="1:9" x14ac:dyDescent="0.3">
      <c r="A3848" t="s">
        <v>19</v>
      </c>
      <c r="C3848">
        <v>108000</v>
      </c>
      <c r="E3848">
        <v>108000</v>
      </c>
      <c r="G3848">
        <v>44224</v>
      </c>
      <c r="H3848">
        <v>2021</v>
      </c>
      <c r="I3848" t="s">
        <v>42</v>
      </c>
    </row>
    <row r="3849" spans="1:9" x14ac:dyDescent="0.3">
      <c r="A3849" t="s">
        <v>14</v>
      </c>
      <c r="B3849">
        <v>317500</v>
      </c>
      <c r="C3849">
        <v>54000</v>
      </c>
      <c r="E3849">
        <v>108000</v>
      </c>
      <c r="G3849">
        <v>44224</v>
      </c>
      <c r="H3849">
        <v>2021</v>
      </c>
      <c r="I3849" t="s">
        <v>42</v>
      </c>
    </row>
    <row r="3850" spans="1:9" x14ac:dyDescent="0.3">
      <c r="A3850" t="s">
        <v>24</v>
      </c>
      <c r="C3850">
        <v>108000</v>
      </c>
      <c r="G3850">
        <v>44224</v>
      </c>
      <c r="H3850">
        <v>2021</v>
      </c>
      <c r="I3850" t="s">
        <v>42</v>
      </c>
    </row>
    <row r="3851" spans="1:9" x14ac:dyDescent="0.3">
      <c r="A3851" t="s">
        <v>21</v>
      </c>
      <c r="G3851">
        <v>44224</v>
      </c>
      <c r="H3851">
        <v>2021</v>
      </c>
      <c r="I3851" t="s">
        <v>42</v>
      </c>
    </row>
    <row r="3852" spans="1:9" x14ac:dyDescent="0.3">
      <c r="A3852" t="s">
        <v>18</v>
      </c>
      <c r="E3852">
        <v>54000</v>
      </c>
      <c r="G3852">
        <v>44224</v>
      </c>
      <c r="H3852">
        <v>2021</v>
      </c>
      <c r="I3852" t="s">
        <v>42</v>
      </c>
    </row>
    <row r="3853" spans="1:9" x14ac:dyDescent="0.3">
      <c r="A3853" t="s">
        <v>16</v>
      </c>
      <c r="C3853">
        <v>108000</v>
      </c>
      <c r="E3853">
        <v>104000</v>
      </c>
      <c r="G3853">
        <v>44224</v>
      </c>
      <c r="H3853">
        <v>2021</v>
      </c>
      <c r="I3853" t="s">
        <v>42</v>
      </c>
    </row>
    <row r="3854" spans="1:9" x14ac:dyDescent="0.3">
      <c r="A3854" t="s">
        <v>20</v>
      </c>
      <c r="G3854">
        <v>44225</v>
      </c>
      <c r="H3854">
        <v>2021</v>
      </c>
      <c r="I3854" t="s">
        <v>42</v>
      </c>
    </row>
    <row r="3855" spans="1:9" x14ac:dyDescent="0.3">
      <c r="A3855" t="s">
        <v>37</v>
      </c>
      <c r="B3855">
        <v>54000</v>
      </c>
      <c r="G3855">
        <v>44225</v>
      </c>
      <c r="H3855">
        <v>2021</v>
      </c>
      <c r="I3855" t="s">
        <v>42</v>
      </c>
    </row>
    <row r="3856" spans="1:9" x14ac:dyDescent="0.3">
      <c r="A3856" t="s">
        <v>17</v>
      </c>
      <c r="B3856">
        <v>693000</v>
      </c>
      <c r="C3856">
        <v>54000</v>
      </c>
      <c r="E3856">
        <v>99000</v>
      </c>
      <c r="G3856">
        <v>44225</v>
      </c>
      <c r="H3856">
        <v>2021</v>
      </c>
      <c r="I3856" t="s">
        <v>42</v>
      </c>
    </row>
    <row r="3857" spans="1:9" x14ac:dyDescent="0.3">
      <c r="A3857" t="s">
        <v>0</v>
      </c>
      <c r="B3857">
        <v>47000</v>
      </c>
      <c r="G3857">
        <v>44225</v>
      </c>
      <c r="H3857">
        <v>2021</v>
      </c>
      <c r="I3857" t="s">
        <v>42</v>
      </c>
    </row>
    <row r="3858" spans="1:9" x14ac:dyDescent="0.3">
      <c r="A3858" t="s">
        <v>25</v>
      </c>
      <c r="B3858">
        <v>648000</v>
      </c>
      <c r="C3858">
        <v>202500</v>
      </c>
      <c r="E3858">
        <v>216000</v>
      </c>
      <c r="F3858">
        <v>369000</v>
      </c>
      <c r="G3858">
        <v>44225</v>
      </c>
      <c r="H3858">
        <v>2021</v>
      </c>
      <c r="I3858" t="s">
        <v>42</v>
      </c>
    </row>
    <row r="3859" spans="1:9" x14ac:dyDescent="0.3">
      <c r="A3859" t="s">
        <v>15</v>
      </c>
      <c r="B3859">
        <v>203000</v>
      </c>
      <c r="C3859">
        <v>104000</v>
      </c>
      <c r="E3859">
        <v>108000</v>
      </c>
      <c r="G3859">
        <v>44225</v>
      </c>
      <c r="H3859">
        <v>2021</v>
      </c>
      <c r="I3859" t="s">
        <v>42</v>
      </c>
    </row>
    <row r="3860" spans="1:9" x14ac:dyDescent="0.3">
      <c r="A3860" t="s">
        <v>26</v>
      </c>
      <c r="C3860">
        <v>162000</v>
      </c>
      <c r="G3860">
        <v>44225</v>
      </c>
      <c r="H3860">
        <v>2021</v>
      </c>
      <c r="I3860" t="s">
        <v>42</v>
      </c>
    </row>
    <row r="3861" spans="1:9" x14ac:dyDescent="0.3">
      <c r="A3861" t="s">
        <v>22</v>
      </c>
      <c r="C3861">
        <v>158000</v>
      </c>
      <c r="G3861">
        <v>44225</v>
      </c>
      <c r="H3861">
        <v>2021</v>
      </c>
      <c r="I3861" t="s">
        <v>42</v>
      </c>
    </row>
    <row r="3862" spans="1:9" x14ac:dyDescent="0.3">
      <c r="A3862" t="s">
        <v>19</v>
      </c>
      <c r="C3862">
        <v>104000</v>
      </c>
      <c r="E3862">
        <v>54000</v>
      </c>
      <c r="G3862">
        <v>44225</v>
      </c>
      <c r="H3862">
        <v>2021</v>
      </c>
      <c r="I3862" t="s">
        <v>42</v>
      </c>
    </row>
    <row r="3863" spans="1:9" x14ac:dyDescent="0.3">
      <c r="A3863" t="s">
        <v>14</v>
      </c>
      <c r="B3863">
        <v>639000</v>
      </c>
      <c r="C3863">
        <v>103500</v>
      </c>
      <c r="E3863">
        <v>108000</v>
      </c>
      <c r="G3863">
        <v>44225</v>
      </c>
      <c r="H3863">
        <v>2021</v>
      </c>
      <c r="I3863" t="s">
        <v>42</v>
      </c>
    </row>
    <row r="3864" spans="1:9" x14ac:dyDescent="0.3">
      <c r="A3864" t="s">
        <v>24</v>
      </c>
      <c r="B3864">
        <v>378000</v>
      </c>
      <c r="G3864">
        <v>44225</v>
      </c>
      <c r="H3864">
        <v>2021</v>
      </c>
      <c r="I3864" t="s">
        <v>42</v>
      </c>
    </row>
    <row r="3865" spans="1:9" x14ac:dyDescent="0.3">
      <c r="A3865" t="s">
        <v>21</v>
      </c>
      <c r="G3865">
        <v>44225</v>
      </c>
      <c r="H3865">
        <v>2021</v>
      </c>
      <c r="I3865" t="s">
        <v>42</v>
      </c>
    </row>
    <row r="3866" spans="1:9" x14ac:dyDescent="0.3">
      <c r="A3866" t="s">
        <v>18</v>
      </c>
      <c r="C3866">
        <v>104000</v>
      </c>
      <c r="E3866">
        <v>54000</v>
      </c>
      <c r="G3866">
        <v>44225</v>
      </c>
      <c r="H3866">
        <v>2021</v>
      </c>
      <c r="I3866" t="s">
        <v>42</v>
      </c>
    </row>
    <row r="3867" spans="1:9" x14ac:dyDescent="0.3">
      <c r="A3867" t="s">
        <v>16</v>
      </c>
      <c r="C3867">
        <v>148000</v>
      </c>
      <c r="E3867">
        <v>158000</v>
      </c>
      <c r="G3867">
        <v>44225</v>
      </c>
      <c r="H3867">
        <v>2021</v>
      </c>
      <c r="I3867" t="s">
        <v>42</v>
      </c>
    </row>
    <row r="3868" spans="1:9" x14ac:dyDescent="0.3">
      <c r="A3868" t="s">
        <v>20</v>
      </c>
      <c r="G3868">
        <v>44228</v>
      </c>
      <c r="H3868">
        <v>2021</v>
      </c>
      <c r="I3868" t="s">
        <v>43</v>
      </c>
    </row>
    <row r="3869" spans="1:9" x14ac:dyDescent="0.3">
      <c r="A3869" t="s">
        <v>37</v>
      </c>
      <c r="G3869">
        <v>44228</v>
      </c>
      <c r="H3869">
        <v>2021</v>
      </c>
      <c r="I3869" t="s">
        <v>43</v>
      </c>
    </row>
    <row r="3870" spans="1:9" x14ac:dyDescent="0.3">
      <c r="A3870" t="s">
        <v>17</v>
      </c>
      <c r="C3870">
        <v>108000</v>
      </c>
      <c r="G3870">
        <v>44228</v>
      </c>
      <c r="H3870">
        <v>2021</v>
      </c>
      <c r="I3870" t="s">
        <v>43</v>
      </c>
    </row>
    <row r="3871" spans="1:9" x14ac:dyDescent="0.3">
      <c r="A3871" t="s">
        <v>0</v>
      </c>
      <c r="G3871">
        <v>44228</v>
      </c>
      <c r="H3871">
        <v>2021</v>
      </c>
      <c r="I3871" t="s">
        <v>43</v>
      </c>
    </row>
    <row r="3872" spans="1:9" x14ac:dyDescent="0.3">
      <c r="A3872" t="s">
        <v>25</v>
      </c>
      <c r="C3872">
        <v>108000</v>
      </c>
      <c r="G3872">
        <v>44228</v>
      </c>
      <c r="H3872">
        <v>2021</v>
      </c>
      <c r="I3872" t="s">
        <v>43</v>
      </c>
    </row>
    <row r="3873" spans="1:9" x14ac:dyDescent="0.3">
      <c r="A3873" t="s">
        <v>15</v>
      </c>
      <c r="C3873">
        <v>108000</v>
      </c>
      <c r="E3873">
        <v>54000</v>
      </c>
      <c r="G3873">
        <v>44228</v>
      </c>
      <c r="H3873">
        <v>2021</v>
      </c>
      <c r="I3873" t="s">
        <v>43</v>
      </c>
    </row>
    <row r="3874" spans="1:9" x14ac:dyDescent="0.3">
      <c r="A3874" t="s">
        <v>26</v>
      </c>
      <c r="C3874">
        <v>54000</v>
      </c>
      <c r="G3874">
        <v>44228</v>
      </c>
      <c r="H3874">
        <v>2021</v>
      </c>
      <c r="I3874" t="s">
        <v>43</v>
      </c>
    </row>
    <row r="3875" spans="1:9" x14ac:dyDescent="0.3">
      <c r="A3875" t="s">
        <v>22</v>
      </c>
      <c r="C3875">
        <v>54000</v>
      </c>
      <c r="G3875">
        <v>44228</v>
      </c>
      <c r="H3875">
        <v>2021</v>
      </c>
      <c r="I3875" t="s">
        <v>43</v>
      </c>
    </row>
    <row r="3876" spans="1:9" x14ac:dyDescent="0.3">
      <c r="A3876" t="s">
        <v>19</v>
      </c>
      <c r="C3876">
        <v>54000</v>
      </c>
      <c r="G3876">
        <v>44228</v>
      </c>
      <c r="H3876">
        <v>2021</v>
      </c>
      <c r="I3876" t="s">
        <v>43</v>
      </c>
    </row>
    <row r="3877" spans="1:9" x14ac:dyDescent="0.3">
      <c r="A3877" t="s">
        <v>14</v>
      </c>
      <c r="C3877">
        <v>54000</v>
      </c>
      <c r="G3877">
        <v>44228</v>
      </c>
      <c r="H3877">
        <v>2021</v>
      </c>
      <c r="I3877" t="s">
        <v>43</v>
      </c>
    </row>
    <row r="3878" spans="1:9" x14ac:dyDescent="0.3">
      <c r="A3878" t="s">
        <v>24</v>
      </c>
      <c r="C3878">
        <v>54000</v>
      </c>
      <c r="G3878">
        <v>44228</v>
      </c>
      <c r="H3878">
        <v>2021</v>
      </c>
      <c r="I3878" t="s">
        <v>43</v>
      </c>
    </row>
    <row r="3879" spans="1:9" x14ac:dyDescent="0.3">
      <c r="A3879" t="s">
        <v>21</v>
      </c>
      <c r="G3879">
        <v>44228</v>
      </c>
      <c r="H3879">
        <v>2021</v>
      </c>
      <c r="I3879" t="s">
        <v>43</v>
      </c>
    </row>
    <row r="3880" spans="1:9" x14ac:dyDescent="0.3">
      <c r="A3880" t="s">
        <v>18</v>
      </c>
      <c r="C3880">
        <v>54000</v>
      </c>
      <c r="E3880">
        <v>54000</v>
      </c>
      <c r="G3880">
        <v>44228</v>
      </c>
      <c r="H3880">
        <v>2021</v>
      </c>
      <c r="I3880" t="s">
        <v>43</v>
      </c>
    </row>
    <row r="3881" spans="1:9" x14ac:dyDescent="0.3">
      <c r="A3881" t="s">
        <v>16</v>
      </c>
      <c r="C3881">
        <v>162000</v>
      </c>
      <c r="E3881">
        <v>54000</v>
      </c>
      <c r="G3881">
        <v>44228</v>
      </c>
      <c r="H3881">
        <v>2021</v>
      </c>
      <c r="I3881" t="s">
        <v>43</v>
      </c>
    </row>
    <row r="3882" spans="1:9" x14ac:dyDescent="0.3">
      <c r="A3882" t="s">
        <v>20</v>
      </c>
      <c r="G3882">
        <v>44229</v>
      </c>
      <c r="H3882">
        <v>2021</v>
      </c>
      <c r="I3882" t="s">
        <v>43</v>
      </c>
    </row>
    <row r="3883" spans="1:9" x14ac:dyDescent="0.3">
      <c r="A3883" t="s">
        <v>37</v>
      </c>
      <c r="G3883">
        <v>44229</v>
      </c>
      <c r="H3883">
        <v>2021</v>
      </c>
      <c r="I3883" t="s">
        <v>43</v>
      </c>
    </row>
    <row r="3884" spans="1:9" x14ac:dyDescent="0.3">
      <c r="A3884" t="s">
        <v>17</v>
      </c>
      <c r="C3884">
        <v>158000</v>
      </c>
      <c r="E3884">
        <v>54000</v>
      </c>
      <c r="G3884">
        <v>44229</v>
      </c>
      <c r="H3884">
        <v>2021</v>
      </c>
      <c r="I3884" t="s">
        <v>43</v>
      </c>
    </row>
    <row r="3885" spans="1:9" x14ac:dyDescent="0.3">
      <c r="A3885" t="s">
        <v>0</v>
      </c>
      <c r="G3885">
        <v>44229</v>
      </c>
      <c r="H3885">
        <v>2021</v>
      </c>
      <c r="I3885" t="s">
        <v>43</v>
      </c>
    </row>
    <row r="3886" spans="1:9" x14ac:dyDescent="0.3">
      <c r="A3886" t="s">
        <v>25</v>
      </c>
      <c r="C3886">
        <v>207000</v>
      </c>
      <c r="G3886">
        <v>44229</v>
      </c>
      <c r="H3886">
        <v>2021</v>
      </c>
      <c r="I3886" t="s">
        <v>43</v>
      </c>
    </row>
    <row r="3887" spans="1:9" x14ac:dyDescent="0.3">
      <c r="A3887" t="s">
        <v>15</v>
      </c>
      <c r="C3887">
        <v>54000</v>
      </c>
      <c r="E3887">
        <v>54000</v>
      </c>
      <c r="G3887">
        <v>44229</v>
      </c>
      <c r="H3887">
        <v>2021</v>
      </c>
      <c r="I3887" t="s">
        <v>43</v>
      </c>
    </row>
    <row r="3888" spans="1:9" x14ac:dyDescent="0.3">
      <c r="A3888" t="s">
        <v>26</v>
      </c>
      <c r="C3888">
        <v>162000</v>
      </c>
      <c r="G3888">
        <v>44229</v>
      </c>
      <c r="H3888">
        <v>2021</v>
      </c>
      <c r="I3888" t="s">
        <v>43</v>
      </c>
    </row>
    <row r="3889" spans="1:9" x14ac:dyDescent="0.3">
      <c r="A3889" t="s">
        <v>22</v>
      </c>
      <c r="C3889">
        <v>99000</v>
      </c>
      <c r="G3889">
        <v>44229</v>
      </c>
      <c r="H3889">
        <v>2021</v>
      </c>
      <c r="I3889" t="s">
        <v>43</v>
      </c>
    </row>
    <row r="3890" spans="1:9" x14ac:dyDescent="0.3">
      <c r="A3890" t="s">
        <v>19</v>
      </c>
      <c r="C3890">
        <v>108000</v>
      </c>
      <c r="E3890">
        <v>108000</v>
      </c>
      <c r="G3890">
        <v>44229</v>
      </c>
      <c r="H3890">
        <v>2021</v>
      </c>
      <c r="I3890" t="s">
        <v>43</v>
      </c>
    </row>
    <row r="3891" spans="1:9" x14ac:dyDescent="0.3">
      <c r="A3891" t="s">
        <v>14</v>
      </c>
      <c r="G3891">
        <v>44229</v>
      </c>
      <c r="H3891">
        <v>2021</v>
      </c>
      <c r="I3891" t="s">
        <v>43</v>
      </c>
    </row>
    <row r="3892" spans="1:9" x14ac:dyDescent="0.3">
      <c r="A3892" t="s">
        <v>24</v>
      </c>
      <c r="C3892">
        <v>54000</v>
      </c>
      <c r="G3892">
        <v>44229</v>
      </c>
      <c r="H3892">
        <v>2021</v>
      </c>
      <c r="I3892" t="s">
        <v>43</v>
      </c>
    </row>
    <row r="3893" spans="1:9" x14ac:dyDescent="0.3">
      <c r="A3893" t="s">
        <v>21</v>
      </c>
      <c r="G3893">
        <v>44229</v>
      </c>
      <c r="H3893">
        <v>2021</v>
      </c>
      <c r="I3893" t="s">
        <v>43</v>
      </c>
    </row>
    <row r="3894" spans="1:9" x14ac:dyDescent="0.3">
      <c r="A3894" t="s">
        <v>18</v>
      </c>
      <c r="C3894">
        <v>104000</v>
      </c>
      <c r="G3894">
        <v>44229</v>
      </c>
      <c r="H3894">
        <v>2021</v>
      </c>
      <c r="I3894" t="s">
        <v>43</v>
      </c>
    </row>
    <row r="3895" spans="1:9" x14ac:dyDescent="0.3">
      <c r="A3895" t="s">
        <v>16</v>
      </c>
      <c r="C3895">
        <v>54000</v>
      </c>
      <c r="E3895">
        <v>54000</v>
      </c>
      <c r="G3895">
        <v>44229</v>
      </c>
      <c r="H3895">
        <v>2021</v>
      </c>
      <c r="I3895" t="s">
        <v>43</v>
      </c>
    </row>
    <row r="3896" spans="1:9" x14ac:dyDescent="0.3">
      <c r="A3896" t="s">
        <v>20</v>
      </c>
      <c r="G3896">
        <v>44230</v>
      </c>
      <c r="H3896">
        <v>2021</v>
      </c>
      <c r="I3896" t="s">
        <v>43</v>
      </c>
    </row>
    <row r="3897" spans="1:9" x14ac:dyDescent="0.3">
      <c r="A3897" t="s">
        <v>37</v>
      </c>
      <c r="G3897">
        <v>44230</v>
      </c>
      <c r="H3897">
        <v>2021</v>
      </c>
      <c r="I3897" t="s">
        <v>43</v>
      </c>
    </row>
    <row r="3898" spans="1:9" x14ac:dyDescent="0.3">
      <c r="A3898" t="s">
        <v>17</v>
      </c>
      <c r="C3898">
        <v>99000</v>
      </c>
      <c r="G3898">
        <v>44230</v>
      </c>
      <c r="H3898">
        <v>2021</v>
      </c>
      <c r="I3898" t="s">
        <v>43</v>
      </c>
    </row>
    <row r="3899" spans="1:9" x14ac:dyDescent="0.3">
      <c r="A3899" t="s">
        <v>0</v>
      </c>
      <c r="B3899">
        <v>54000</v>
      </c>
      <c r="G3899">
        <v>44230</v>
      </c>
      <c r="H3899">
        <v>2021</v>
      </c>
      <c r="I3899" t="s">
        <v>43</v>
      </c>
    </row>
    <row r="3900" spans="1:9" x14ac:dyDescent="0.3">
      <c r="A3900" t="s">
        <v>25</v>
      </c>
      <c r="C3900">
        <v>108000</v>
      </c>
      <c r="E3900">
        <v>54000</v>
      </c>
      <c r="G3900">
        <v>44230</v>
      </c>
      <c r="H3900">
        <v>2021</v>
      </c>
      <c r="I3900" t="s">
        <v>43</v>
      </c>
    </row>
    <row r="3901" spans="1:9" x14ac:dyDescent="0.3">
      <c r="A3901" t="s">
        <v>15</v>
      </c>
      <c r="G3901">
        <v>44230</v>
      </c>
      <c r="H3901">
        <v>2021</v>
      </c>
      <c r="I3901" t="s">
        <v>43</v>
      </c>
    </row>
    <row r="3902" spans="1:9" x14ac:dyDescent="0.3">
      <c r="A3902" t="s">
        <v>26</v>
      </c>
      <c r="B3902">
        <v>324000</v>
      </c>
      <c r="C3902">
        <v>54000</v>
      </c>
      <c r="D3902">
        <v>486000</v>
      </c>
      <c r="E3902">
        <v>54000</v>
      </c>
      <c r="G3902">
        <v>44230</v>
      </c>
      <c r="H3902">
        <v>2021</v>
      </c>
      <c r="I3902" t="s">
        <v>43</v>
      </c>
    </row>
    <row r="3903" spans="1:9" x14ac:dyDescent="0.3">
      <c r="A3903" t="s">
        <v>22</v>
      </c>
      <c r="C3903">
        <v>162000</v>
      </c>
      <c r="G3903">
        <v>44230</v>
      </c>
      <c r="H3903">
        <v>2021</v>
      </c>
      <c r="I3903" t="s">
        <v>43</v>
      </c>
    </row>
    <row r="3904" spans="1:9" x14ac:dyDescent="0.3">
      <c r="A3904" t="s">
        <v>19</v>
      </c>
      <c r="B3904">
        <v>162000</v>
      </c>
      <c r="G3904">
        <v>44230</v>
      </c>
      <c r="H3904">
        <v>2021</v>
      </c>
      <c r="I3904" t="s">
        <v>43</v>
      </c>
    </row>
    <row r="3905" spans="1:9" x14ac:dyDescent="0.3">
      <c r="A3905" t="s">
        <v>14</v>
      </c>
      <c r="B3905">
        <v>428000</v>
      </c>
      <c r="C3905">
        <v>107000</v>
      </c>
      <c r="E3905">
        <v>54000</v>
      </c>
      <c r="G3905">
        <v>44230</v>
      </c>
      <c r="H3905">
        <v>2021</v>
      </c>
      <c r="I3905" t="s">
        <v>43</v>
      </c>
    </row>
    <row r="3906" spans="1:9" x14ac:dyDescent="0.3">
      <c r="A3906" t="s">
        <v>24</v>
      </c>
      <c r="B3906">
        <v>207000</v>
      </c>
      <c r="C3906">
        <v>54000</v>
      </c>
      <c r="G3906">
        <v>44230</v>
      </c>
      <c r="H3906">
        <v>2021</v>
      </c>
      <c r="I3906" t="s">
        <v>43</v>
      </c>
    </row>
    <row r="3907" spans="1:9" x14ac:dyDescent="0.3">
      <c r="A3907" t="s">
        <v>21</v>
      </c>
      <c r="G3907">
        <v>44230</v>
      </c>
      <c r="H3907">
        <v>2021</v>
      </c>
      <c r="I3907" t="s">
        <v>43</v>
      </c>
    </row>
    <row r="3908" spans="1:9" x14ac:dyDescent="0.3">
      <c r="A3908" t="s">
        <v>18</v>
      </c>
      <c r="C3908">
        <v>216000</v>
      </c>
      <c r="E3908">
        <v>108000</v>
      </c>
      <c r="G3908">
        <v>44230</v>
      </c>
      <c r="H3908">
        <v>2021</v>
      </c>
      <c r="I3908" t="s">
        <v>43</v>
      </c>
    </row>
    <row r="3909" spans="1:9" x14ac:dyDescent="0.3">
      <c r="A3909" t="s">
        <v>16</v>
      </c>
      <c r="C3909">
        <v>54000</v>
      </c>
      <c r="G3909">
        <v>44230</v>
      </c>
      <c r="H3909">
        <v>2021</v>
      </c>
      <c r="I3909" t="s">
        <v>43</v>
      </c>
    </row>
    <row r="3910" spans="1:9" x14ac:dyDescent="0.3">
      <c r="A3910" t="s">
        <v>20</v>
      </c>
      <c r="G3910">
        <v>44231</v>
      </c>
      <c r="H3910">
        <v>2021</v>
      </c>
      <c r="I3910" t="s">
        <v>43</v>
      </c>
    </row>
    <row r="3911" spans="1:9" x14ac:dyDescent="0.3">
      <c r="A3911" t="s">
        <v>37</v>
      </c>
      <c r="G3911">
        <v>44231</v>
      </c>
      <c r="H3911">
        <v>2021</v>
      </c>
      <c r="I3911" t="s">
        <v>43</v>
      </c>
    </row>
    <row r="3912" spans="1:9" x14ac:dyDescent="0.3">
      <c r="A3912" t="s">
        <v>17</v>
      </c>
      <c r="B3912">
        <v>153000</v>
      </c>
      <c r="C3912">
        <v>153000</v>
      </c>
      <c r="E3912">
        <v>99000</v>
      </c>
      <c r="G3912">
        <v>44231</v>
      </c>
      <c r="H3912">
        <v>2021</v>
      </c>
      <c r="I3912" t="s">
        <v>43</v>
      </c>
    </row>
    <row r="3913" spans="1:9" x14ac:dyDescent="0.3">
      <c r="A3913" t="s">
        <v>0</v>
      </c>
      <c r="G3913">
        <v>44231</v>
      </c>
      <c r="H3913">
        <v>2021</v>
      </c>
      <c r="I3913" t="s">
        <v>43</v>
      </c>
    </row>
    <row r="3914" spans="1:9" x14ac:dyDescent="0.3">
      <c r="A3914" t="s">
        <v>25</v>
      </c>
      <c r="B3914">
        <v>473000</v>
      </c>
      <c r="C3914">
        <v>208500</v>
      </c>
      <c r="E3914">
        <v>54000</v>
      </c>
      <c r="F3914">
        <v>90000</v>
      </c>
      <c r="G3914">
        <v>44231</v>
      </c>
      <c r="H3914">
        <v>2021</v>
      </c>
      <c r="I3914" t="s">
        <v>43</v>
      </c>
    </row>
    <row r="3915" spans="1:9" x14ac:dyDescent="0.3">
      <c r="A3915" t="s">
        <v>15</v>
      </c>
      <c r="B3915">
        <v>54000</v>
      </c>
      <c r="C3915">
        <v>108000</v>
      </c>
      <c r="E3915">
        <v>99000</v>
      </c>
      <c r="G3915">
        <v>44231</v>
      </c>
      <c r="H3915">
        <v>2021</v>
      </c>
      <c r="I3915" t="s">
        <v>43</v>
      </c>
    </row>
    <row r="3916" spans="1:9" x14ac:dyDescent="0.3">
      <c r="A3916" t="s">
        <v>26</v>
      </c>
      <c r="B3916">
        <v>373500</v>
      </c>
      <c r="C3916">
        <v>162000</v>
      </c>
      <c r="E3916">
        <v>54000</v>
      </c>
      <c r="G3916">
        <v>44231</v>
      </c>
      <c r="H3916">
        <v>2021</v>
      </c>
      <c r="I3916" t="s">
        <v>43</v>
      </c>
    </row>
    <row r="3917" spans="1:9" x14ac:dyDescent="0.3">
      <c r="A3917" t="s">
        <v>22</v>
      </c>
      <c r="C3917">
        <v>216000</v>
      </c>
      <c r="G3917">
        <v>44231</v>
      </c>
      <c r="H3917">
        <v>2021</v>
      </c>
      <c r="I3917" t="s">
        <v>43</v>
      </c>
    </row>
    <row r="3918" spans="1:9" x14ac:dyDescent="0.3">
      <c r="A3918" t="s">
        <v>19</v>
      </c>
      <c r="B3918">
        <v>683000</v>
      </c>
      <c r="C3918">
        <v>108000</v>
      </c>
      <c r="E3918">
        <v>162000</v>
      </c>
      <c r="G3918">
        <v>44231</v>
      </c>
      <c r="H3918">
        <v>2021</v>
      </c>
      <c r="I3918" t="s">
        <v>43</v>
      </c>
    </row>
    <row r="3919" spans="1:9" x14ac:dyDescent="0.3">
      <c r="A3919" t="s">
        <v>14</v>
      </c>
      <c r="B3919">
        <v>485000</v>
      </c>
      <c r="C3919">
        <v>50000</v>
      </c>
      <c r="E3919">
        <v>162000</v>
      </c>
      <c r="G3919">
        <v>44231</v>
      </c>
      <c r="H3919">
        <v>2021</v>
      </c>
      <c r="I3919" t="s">
        <v>43</v>
      </c>
    </row>
    <row r="3920" spans="1:9" x14ac:dyDescent="0.3">
      <c r="A3920" t="s">
        <v>24</v>
      </c>
      <c r="B3920">
        <v>378000</v>
      </c>
      <c r="C3920">
        <v>162000</v>
      </c>
      <c r="G3920">
        <v>44231</v>
      </c>
      <c r="H3920">
        <v>2021</v>
      </c>
      <c r="I3920" t="s">
        <v>43</v>
      </c>
    </row>
    <row r="3921" spans="1:9" x14ac:dyDescent="0.3">
      <c r="A3921" t="s">
        <v>21</v>
      </c>
      <c r="G3921">
        <v>44231</v>
      </c>
      <c r="H3921">
        <v>2021</v>
      </c>
      <c r="I3921" t="s">
        <v>43</v>
      </c>
    </row>
    <row r="3922" spans="1:9" x14ac:dyDescent="0.3">
      <c r="A3922" t="s">
        <v>18</v>
      </c>
      <c r="C3922">
        <v>157500</v>
      </c>
      <c r="E3922">
        <v>216000</v>
      </c>
      <c r="G3922">
        <v>44231</v>
      </c>
      <c r="H3922">
        <v>2021</v>
      </c>
      <c r="I3922" t="s">
        <v>43</v>
      </c>
    </row>
    <row r="3923" spans="1:9" x14ac:dyDescent="0.3">
      <c r="A3923" t="s">
        <v>16</v>
      </c>
      <c r="C3923">
        <v>54000</v>
      </c>
      <c r="E3923">
        <v>162000</v>
      </c>
      <c r="G3923">
        <v>44231</v>
      </c>
      <c r="H3923">
        <v>2021</v>
      </c>
      <c r="I3923" t="s">
        <v>43</v>
      </c>
    </row>
    <row r="3924" spans="1:9" x14ac:dyDescent="0.3">
      <c r="A3924" t="s">
        <v>20</v>
      </c>
      <c r="G3924">
        <v>44232</v>
      </c>
      <c r="H3924">
        <v>2021</v>
      </c>
      <c r="I3924" t="s">
        <v>43</v>
      </c>
    </row>
    <row r="3925" spans="1:9" x14ac:dyDescent="0.3">
      <c r="A3925" t="s">
        <v>37</v>
      </c>
      <c r="G3925">
        <v>44232</v>
      </c>
      <c r="H3925">
        <v>2021</v>
      </c>
      <c r="I3925" t="s">
        <v>43</v>
      </c>
    </row>
    <row r="3926" spans="1:9" x14ac:dyDescent="0.3">
      <c r="A3926" t="s">
        <v>17</v>
      </c>
      <c r="C3926">
        <v>162000</v>
      </c>
      <c r="E3926">
        <v>95000</v>
      </c>
      <c r="G3926">
        <v>44232</v>
      </c>
      <c r="H3926">
        <v>2021</v>
      </c>
      <c r="I3926" t="s">
        <v>43</v>
      </c>
    </row>
    <row r="3927" spans="1:9" x14ac:dyDescent="0.3">
      <c r="A3927" t="s">
        <v>0</v>
      </c>
      <c r="G3927">
        <v>44232</v>
      </c>
      <c r="H3927">
        <v>2021</v>
      </c>
      <c r="I3927" t="s">
        <v>43</v>
      </c>
    </row>
    <row r="3928" spans="1:9" x14ac:dyDescent="0.3">
      <c r="A3928" t="s">
        <v>25</v>
      </c>
      <c r="B3928">
        <v>162000</v>
      </c>
      <c r="C3928">
        <v>296000</v>
      </c>
      <c r="E3928">
        <v>54000</v>
      </c>
      <c r="G3928">
        <v>44232</v>
      </c>
      <c r="H3928">
        <v>2021</v>
      </c>
      <c r="I3928" t="s">
        <v>43</v>
      </c>
    </row>
    <row r="3929" spans="1:9" x14ac:dyDescent="0.3">
      <c r="A3929" t="s">
        <v>15</v>
      </c>
      <c r="C3929">
        <v>270000</v>
      </c>
      <c r="E3929">
        <v>108000</v>
      </c>
      <c r="G3929">
        <v>44232</v>
      </c>
      <c r="H3929">
        <v>2021</v>
      </c>
      <c r="I3929" t="s">
        <v>43</v>
      </c>
    </row>
    <row r="3930" spans="1:9" x14ac:dyDescent="0.3">
      <c r="A3930" t="s">
        <v>26</v>
      </c>
      <c r="B3930">
        <v>318000</v>
      </c>
      <c r="C3930">
        <v>153000</v>
      </c>
      <c r="E3930">
        <v>45000</v>
      </c>
      <c r="G3930">
        <v>44232</v>
      </c>
      <c r="H3930">
        <v>2021</v>
      </c>
      <c r="I3930" t="s">
        <v>43</v>
      </c>
    </row>
    <row r="3931" spans="1:9" x14ac:dyDescent="0.3">
      <c r="A3931" t="s">
        <v>22</v>
      </c>
      <c r="C3931">
        <v>154000</v>
      </c>
      <c r="G3931">
        <v>44232</v>
      </c>
      <c r="H3931">
        <v>2021</v>
      </c>
      <c r="I3931" t="s">
        <v>43</v>
      </c>
    </row>
    <row r="3932" spans="1:9" x14ac:dyDescent="0.3">
      <c r="A3932" t="s">
        <v>19</v>
      </c>
      <c r="B3932">
        <v>378000</v>
      </c>
      <c r="C3932">
        <v>162000</v>
      </c>
      <c r="E3932">
        <v>54000</v>
      </c>
      <c r="G3932">
        <v>44232</v>
      </c>
      <c r="H3932">
        <v>2021</v>
      </c>
      <c r="I3932" t="s">
        <v>43</v>
      </c>
    </row>
    <row r="3933" spans="1:9" x14ac:dyDescent="0.3">
      <c r="A3933" t="s">
        <v>14</v>
      </c>
      <c r="B3933">
        <v>374000</v>
      </c>
      <c r="C3933">
        <v>266000</v>
      </c>
      <c r="E3933">
        <v>54000</v>
      </c>
      <c r="G3933">
        <v>44232</v>
      </c>
      <c r="H3933">
        <v>2021</v>
      </c>
      <c r="I3933" t="s">
        <v>43</v>
      </c>
    </row>
    <row r="3934" spans="1:9" x14ac:dyDescent="0.3">
      <c r="A3934" t="s">
        <v>24</v>
      </c>
      <c r="C3934">
        <v>108000</v>
      </c>
      <c r="G3934">
        <v>44232</v>
      </c>
      <c r="H3934">
        <v>2021</v>
      </c>
      <c r="I3934" t="s">
        <v>43</v>
      </c>
    </row>
    <row r="3935" spans="1:9" x14ac:dyDescent="0.3">
      <c r="A3935" t="s">
        <v>21</v>
      </c>
      <c r="G3935">
        <v>44232</v>
      </c>
      <c r="H3935">
        <v>2021</v>
      </c>
      <c r="I3935" t="s">
        <v>43</v>
      </c>
    </row>
    <row r="3936" spans="1:9" x14ac:dyDescent="0.3">
      <c r="A3936" t="s">
        <v>18</v>
      </c>
      <c r="C3936">
        <v>108000</v>
      </c>
      <c r="G3936">
        <v>44232</v>
      </c>
      <c r="H3936">
        <v>2021</v>
      </c>
      <c r="I3936" t="s">
        <v>43</v>
      </c>
    </row>
    <row r="3937" spans="1:9" x14ac:dyDescent="0.3">
      <c r="A3937" t="s">
        <v>16</v>
      </c>
      <c r="B3937">
        <v>320000</v>
      </c>
      <c r="C3937">
        <v>108000</v>
      </c>
      <c r="D3937">
        <v>540000</v>
      </c>
      <c r="E3937">
        <v>45000</v>
      </c>
      <c r="F3937">
        <v>594000</v>
      </c>
      <c r="G3937">
        <v>44232</v>
      </c>
      <c r="H3937">
        <v>2021</v>
      </c>
      <c r="I3937" t="s">
        <v>43</v>
      </c>
    </row>
    <row r="3938" spans="1:9" x14ac:dyDescent="0.3">
      <c r="A3938" t="s">
        <v>20</v>
      </c>
      <c r="G3938">
        <v>44235</v>
      </c>
      <c r="H3938">
        <v>2021</v>
      </c>
      <c r="I3938" t="s">
        <v>43</v>
      </c>
    </row>
    <row r="3939" spans="1:9" x14ac:dyDescent="0.3">
      <c r="A3939" t="s">
        <v>37</v>
      </c>
      <c r="G3939">
        <v>44235</v>
      </c>
      <c r="H3939">
        <v>2021</v>
      </c>
      <c r="I3939" t="s">
        <v>43</v>
      </c>
    </row>
    <row r="3940" spans="1:9" x14ac:dyDescent="0.3">
      <c r="A3940" t="s">
        <v>17</v>
      </c>
      <c r="C3940">
        <v>54000</v>
      </c>
      <c r="E3940">
        <v>108000</v>
      </c>
      <c r="G3940">
        <v>44235</v>
      </c>
      <c r="H3940">
        <v>2021</v>
      </c>
      <c r="I3940" t="s">
        <v>43</v>
      </c>
    </row>
    <row r="3941" spans="1:9" x14ac:dyDescent="0.3">
      <c r="A3941" t="s">
        <v>0</v>
      </c>
      <c r="G3941">
        <v>44235</v>
      </c>
      <c r="H3941">
        <v>2021</v>
      </c>
      <c r="I3941" t="s">
        <v>43</v>
      </c>
    </row>
    <row r="3942" spans="1:9" x14ac:dyDescent="0.3">
      <c r="A3942" t="s">
        <v>25</v>
      </c>
      <c r="B3942">
        <v>54000</v>
      </c>
      <c r="C3942">
        <v>54000</v>
      </c>
      <c r="G3942">
        <v>44235</v>
      </c>
      <c r="H3942">
        <v>2021</v>
      </c>
      <c r="I3942" t="s">
        <v>43</v>
      </c>
    </row>
    <row r="3943" spans="1:9" x14ac:dyDescent="0.3">
      <c r="A3943" t="s">
        <v>15</v>
      </c>
      <c r="C3943">
        <v>54000</v>
      </c>
      <c r="E3943">
        <v>158000</v>
      </c>
      <c r="G3943">
        <v>44235</v>
      </c>
      <c r="H3943">
        <v>2021</v>
      </c>
      <c r="I3943" t="s">
        <v>43</v>
      </c>
    </row>
    <row r="3944" spans="1:9" x14ac:dyDescent="0.3">
      <c r="A3944" t="s">
        <v>26</v>
      </c>
      <c r="B3944">
        <v>162000</v>
      </c>
      <c r="E3944">
        <v>108000</v>
      </c>
      <c r="F3944">
        <v>324000</v>
      </c>
      <c r="G3944">
        <v>44235</v>
      </c>
      <c r="H3944">
        <v>2021</v>
      </c>
      <c r="I3944" t="s">
        <v>43</v>
      </c>
    </row>
    <row r="3945" spans="1:9" x14ac:dyDescent="0.3">
      <c r="A3945" t="s">
        <v>22</v>
      </c>
      <c r="G3945">
        <v>44235</v>
      </c>
      <c r="H3945">
        <v>2021</v>
      </c>
      <c r="I3945" t="s">
        <v>43</v>
      </c>
    </row>
    <row r="3946" spans="1:9" x14ac:dyDescent="0.3">
      <c r="A3946" t="s">
        <v>19</v>
      </c>
      <c r="B3946">
        <v>432000</v>
      </c>
      <c r="C3946">
        <v>810000</v>
      </c>
      <c r="E3946">
        <v>108000</v>
      </c>
      <c r="G3946">
        <v>44235</v>
      </c>
      <c r="H3946">
        <v>2021</v>
      </c>
      <c r="I3946" t="s">
        <v>43</v>
      </c>
    </row>
    <row r="3947" spans="1:9" x14ac:dyDescent="0.3">
      <c r="A3947" t="s">
        <v>14</v>
      </c>
      <c r="B3947">
        <v>659000</v>
      </c>
      <c r="E3947">
        <v>216000</v>
      </c>
      <c r="G3947">
        <v>44235</v>
      </c>
      <c r="H3947">
        <v>2021</v>
      </c>
      <c r="I3947" t="s">
        <v>43</v>
      </c>
    </row>
    <row r="3948" spans="1:9" x14ac:dyDescent="0.3">
      <c r="A3948" t="s">
        <v>24</v>
      </c>
      <c r="C3948">
        <v>54000</v>
      </c>
      <c r="G3948">
        <v>44235</v>
      </c>
      <c r="H3948">
        <v>2021</v>
      </c>
      <c r="I3948" t="s">
        <v>43</v>
      </c>
    </row>
    <row r="3949" spans="1:9" x14ac:dyDescent="0.3">
      <c r="A3949" t="s">
        <v>21</v>
      </c>
      <c r="G3949">
        <v>44235</v>
      </c>
      <c r="H3949">
        <v>2021</v>
      </c>
      <c r="I3949" t="s">
        <v>43</v>
      </c>
    </row>
    <row r="3950" spans="1:9" x14ac:dyDescent="0.3">
      <c r="A3950" t="s">
        <v>18</v>
      </c>
      <c r="E3950">
        <v>54000</v>
      </c>
      <c r="G3950">
        <v>44235</v>
      </c>
      <c r="H3950">
        <v>2021</v>
      </c>
      <c r="I3950" t="s">
        <v>43</v>
      </c>
    </row>
    <row r="3951" spans="1:9" x14ac:dyDescent="0.3">
      <c r="A3951" t="s">
        <v>16</v>
      </c>
      <c r="B3951">
        <v>378000</v>
      </c>
      <c r="C3951">
        <v>108000</v>
      </c>
      <c r="D3951">
        <v>54000</v>
      </c>
      <c r="G3951">
        <v>44235</v>
      </c>
      <c r="H3951">
        <v>2021</v>
      </c>
      <c r="I3951" t="s">
        <v>43</v>
      </c>
    </row>
    <row r="3952" spans="1:9" x14ac:dyDescent="0.3">
      <c r="A3952" t="s">
        <v>20</v>
      </c>
      <c r="G3952">
        <v>44236</v>
      </c>
      <c r="H3952">
        <v>2021</v>
      </c>
      <c r="I3952" t="s">
        <v>43</v>
      </c>
    </row>
    <row r="3953" spans="1:9" x14ac:dyDescent="0.3">
      <c r="A3953" t="s">
        <v>37</v>
      </c>
      <c r="G3953">
        <v>44236</v>
      </c>
      <c r="H3953">
        <v>2021</v>
      </c>
      <c r="I3953" t="s">
        <v>43</v>
      </c>
    </row>
    <row r="3954" spans="1:9" x14ac:dyDescent="0.3">
      <c r="A3954" t="s">
        <v>17</v>
      </c>
      <c r="C3954">
        <v>108000</v>
      </c>
      <c r="E3954">
        <v>162000</v>
      </c>
      <c r="G3954">
        <v>44236</v>
      </c>
      <c r="H3954">
        <v>2021</v>
      </c>
      <c r="I3954" t="s">
        <v>43</v>
      </c>
    </row>
    <row r="3955" spans="1:9" x14ac:dyDescent="0.3">
      <c r="A3955" t="s">
        <v>0</v>
      </c>
      <c r="B3955">
        <v>968000</v>
      </c>
      <c r="G3955">
        <v>44236</v>
      </c>
      <c r="H3955">
        <v>2021</v>
      </c>
      <c r="I3955" t="s">
        <v>43</v>
      </c>
    </row>
    <row r="3956" spans="1:9" x14ac:dyDescent="0.3">
      <c r="A3956" t="s">
        <v>25</v>
      </c>
      <c r="C3956">
        <v>99000</v>
      </c>
      <c r="E3956">
        <v>54000</v>
      </c>
      <c r="G3956">
        <v>44236</v>
      </c>
      <c r="H3956">
        <v>2021</v>
      </c>
      <c r="I3956" t="s">
        <v>43</v>
      </c>
    </row>
    <row r="3957" spans="1:9" x14ac:dyDescent="0.3">
      <c r="A3957" t="s">
        <v>15</v>
      </c>
      <c r="C3957">
        <v>54000</v>
      </c>
      <c r="E3957">
        <v>108000</v>
      </c>
      <c r="G3957">
        <v>44236</v>
      </c>
      <c r="H3957">
        <v>2021</v>
      </c>
      <c r="I3957" t="s">
        <v>43</v>
      </c>
    </row>
    <row r="3958" spans="1:9" x14ac:dyDescent="0.3">
      <c r="A3958" t="s">
        <v>26</v>
      </c>
      <c r="B3958">
        <v>216000</v>
      </c>
      <c r="C3958">
        <v>211500</v>
      </c>
      <c r="E3958">
        <v>103500</v>
      </c>
      <c r="G3958">
        <v>44236</v>
      </c>
      <c r="H3958">
        <v>2021</v>
      </c>
      <c r="I3958" t="s">
        <v>43</v>
      </c>
    </row>
    <row r="3959" spans="1:9" x14ac:dyDescent="0.3">
      <c r="A3959" t="s">
        <v>22</v>
      </c>
      <c r="C3959">
        <v>157500</v>
      </c>
      <c r="G3959">
        <v>44236</v>
      </c>
      <c r="H3959">
        <v>2021</v>
      </c>
      <c r="I3959" t="s">
        <v>43</v>
      </c>
    </row>
    <row r="3960" spans="1:9" x14ac:dyDescent="0.3">
      <c r="A3960" t="s">
        <v>19</v>
      </c>
      <c r="B3960">
        <v>216000</v>
      </c>
      <c r="C3960">
        <v>54000</v>
      </c>
      <c r="E3960">
        <v>162000</v>
      </c>
      <c r="G3960">
        <v>44236</v>
      </c>
      <c r="H3960">
        <v>2021</v>
      </c>
      <c r="I3960" t="s">
        <v>43</v>
      </c>
    </row>
    <row r="3961" spans="1:9" x14ac:dyDescent="0.3">
      <c r="A3961" t="s">
        <v>14</v>
      </c>
      <c r="B3961">
        <v>432000</v>
      </c>
      <c r="C3961">
        <v>207000</v>
      </c>
      <c r="E3961">
        <v>135000</v>
      </c>
      <c r="G3961">
        <v>44236</v>
      </c>
      <c r="H3961">
        <v>2021</v>
      </c>
      <c r="I3961" t="s">
        <v>43</v>
      </c>
    </row>
    <row r="3962" spans="1:9" x14ac:dyDescent="0.3">
      <c r="A3962" t="s">
        <v>24</v>
      </c>
      <c r="B3962">
        <v>431000</v>
      </c>
      <c r="C3962">
        <v>53000</v>
      </c>
      <c r="G3962">
        <v>44236</v>
      </c>
      <c r="H3962">
        <v>2021</v>
      </c>
      <c r="I3962" t="s">
        <v>43</v>
      </c>
    </row>
    <row r="3963" spans="1:9" x14ac:dyDescent="0.3">
      <c r="A3963" t="s">
        <v>21</v>
      </c>
      <c r="G3963">
        <v>44236</v>
      </c>
      <c r="H3963">
        <v>2021</v>
      </c>
      <c r="I3963" t="s">
        <v>43</v>
      </c>
    </row>
    <row r="3964" spans="1:9" x14ac:dyDescent="0.3">
      <c r="A3964" t="s">
        <v>18</v>
      </c>
      <c r="C3964">
        <v>162000</v>
      </c>
      <c r="E3964">
        <v>157500</v>
      </c>
      <c r="G3964">
        <v>44236</v>
      </c>
      <c r="H3964">
        <v>2021</v>
      </c>
      <c r="I3964" t="s">
        <v>43</v>
      </c>
    </row>
    <row r="3965" spans="1:9" x14ac:dyDescent="0.3">
      <c r="A3965" t="s">
        <v>16</v>
      </c>
      <c r="B3965">
        <v>261000</v>
      </c>
      <c r="C3965">
        <v>54000</v>
      </c>
      <c r="E3965">
        <v>108000</v>
      </c>
      <c r="G3965">
        <v>44236</v>
      </c>
      <c r="H3965">
        <v>2021</v>
      </c>
      <c r="I3965" t="s">
        <v>43</v>
      </c>
    </row>
    <row r="3966" spans="1:9" x14ac:dyDescent="0.3">
      <c r="A3966" t="s">
        <v>20</v>
      </c>
      <c r="G3966">
        <v>44237</v>
      </c>
      <c r="H3966">
        <v>2021</v>
      </c>
      <c r="I3966" t="s">
        <v>43</v>
      </c>
    </row>
    <row r="3967" spans="1:9" x14ac:dyDescent="0.3">
      <c r="A3967" t="s">
        <v>37</v>
      </c>
      <c r="G3967">
        <v>44237</v>
      </c>
      <c r="H3967">
        <v>2021</v>
      </c>
      <c r="I3967" t="s">
        <v>43</v>
      </c>
    </row>
    <row r="3968" spans="1:9" x14ac:dyDescent="0.3">
      <c r="A3968" t="s">
        <v>17</v>
      </c>
      <c r="C3968">
        <v>216000</v>
      </c>
      <c r="E3968">
        <v>108000</v>
      </c>
      <c r="G3968">
        <v>44237</v>
      </c>
      <c r="H3968">
        <v>2021</v>
      </c>
      <c r="I3968" t="s">
        <v>43</v>
      </c>
    </row>
    <row r="3969" spans="1:9" x14ac:dyDescent="0.3">
      <c r="A3969" t="s">
        <v>0</v>
      </c>
      <c r="B3969">
        <v>1345500</v>
      </c>
      <c r="G3969">
        <v>44237</v>
      </c>
      <c r="H3969">
        <v>2021</v>
      </c>
      <c r="I3969" t="s">
        <v>43</v>
      </c>
    </row>
    <row r="3970" spans="1:9" x14ac:dyDescent="0.3">
      <c r="A3970" t="s">
        <v>25</v>
      </c>
      <c r="C3970">
        <v>207500</v>
      </c>
      <c r="E3970">
        <v>108000</v>
      </c>
      <c r="F3970">
        <v>270000</v>
      </c>
      <c r="G3970">
        <v>44237</v>
      </c>
      <c r="H3970">
        <v>2021</v>
      </c>
      <c r="I3970" t="s">
        <v>43</v>
      </c>
    </row>
    <row r="3971" spans="1:9" x14ac:dyDescent="0.3">
      <c r="A3971" t="s">
        <v>15</v>
      </c>
      <c r="C3971">
        <v>261000</v>
      </c>
      <c r="E3971">
        <v>54000</v>
      </c>
      <c r="G3971">
        <v>44237</v>
      </c>
      <c r="H3971">
        <v>2021</v>
      </c>
      <c r="I3971" t="s">
        <v>43</v>
      </c>
    </row>
    <row r="3972" spans="1:9" x14ac:dyDescent="0.3">
      <c r="A3972" t="s">
        <v>26</v>
      </c>
      <c r="C3972">
        <v>146500</v>
      </c>
      <c r="E3972">
        <v>54000</v>
      </c>
      <c r="G3972">
        <v>44237</v>
      </c>
      <c r="H3972">
        <v>2021</v>
      </c>
      <c r="I3972" t="s">
        <v>43</v>
      </c>
    </row>
    <row r="3973" spans="1:9" x14ac:dyDescent="0.3">
      <c r="A3973" t="s">
        <v>22</v>
      </c>
      <c r="C3973">
        <v>108000</v>
      </c>
      <c r="G3973">
        <v>44237</v>
      </c>
      <c r="H3973">
        <v>2021</v>
      </c>
      <c r="I3973" t="s">
        <v>43</v>
      </c>
    </row>
    <row r="3974" spans="1:9" x14ac:dyDescent="0.3">
      <c r="A3974" t="s">
        <v>19</v>
      </c>
      <c r="B3974">
        <v>108000</v>
      </c>
      <c r="E3974">
        <v>54000</v>
      </c>
      <c r="G3974">
        <v>44237</v>
      </c>
      <c r="H3974">
        <v>2021</v>
      </c>
      <c r="I3974" t="s">
        <v>43</v>
      </c>
    </row>
    <row r="3975" spans="1:9" x14ac:dyDescent="0.3">
      <c r="A3975" t="s">
        <v>14</v>
      </c>
      <c r="B3975">
        <v>320000</v>
      </c>
      <c r="C3975">
        <v>373500</v>
      </c>
      <c r="E3975">
        <v>108000</v>
      </c>
      <c r="G3975">
        <v>44237</v>
      </c>
      <c r="H3975">
        <v>2021</v>
      </c>
      <c r="I3975" t="s">
        <v>43</v>
      </c>
    </row>
    <row r="3976" spans="1:9" x14ac:dyDescent="0.3">
      <c r="A3976" t="s">
        <v>24</v>
      </c>
      <c r="B3976">
        <v>378000</v>
      </c>
      <c r="C3976">
        <v>216000</v>
      </c>
      <c r="G3976">
        <v>44237</v>
      </c>
      <c r="H3976">
        <v>2021</v>
      </c>
      <c r="I3976" t="s">
        <v>43</v>
      </c>
    </row>
    <row r="3977" spans="1:9" x14ac:dyDescent="0.3">
      <c r="A3977" t="s">
        <v>21</v>
      </c>
      <c r="G3977">
        <v>44237</v>
      </c>
      <c r="H3977">
        <v>2021</v>
      </c>
      <c r="I3977" t="s">
        <v>43</v>
      </c>
    </row>
    <row r="3978" spans="1:9" x14ac:dyDescent="0.3">
      <c r="A3978" t="s">
        <v>18</v>
      </c>
      <c r="C3978">
        <v>162000</v>
      </c>
      <c r="E3978">
        <v>153000</v>
      </c>
      <c r="G3978">
        <v>44237</v>
      </c>
      <c r="H3978">
        <v>2021</v>
      </c>
      <c r="I3978" t="s">
        <v>43</v>
      </c>
    </row>
    <row r="3979" spans="1:9" x14ac:dyDescent="0.3">
      <c r="A3979" t="s">
        <v>16</v>
      </c>
      <c r="B3979">
        <v>216000</v>
      </c>
      <c r="C3979">
        <v>157500</v>
      </c>
      <c r="E3979">
        <v>54000</v>
      </c>
      <c r="G3979">
        <v>44237</v>
      </c>
      <c r="H3979">
        <v>2021</v>
      </c>
      <c r="I3979" t="s">
        <v>43</v>
      </c>
    </row>
    <row r="3980" spans="1:9" x14ac:dyDescent="0.3">
      <c r="A3980" t="s">
        <v>20</v>
      </c>
      <c r="G3980">
        <v>44238</v>
      </c>
      <c r="H3980">
        <v>2021</v>
      </c>
      <c r="I3980" t="s">
        <v>43</v>
      </c>
    </row>
    <row r="3981" spans="1:9" x14ac:dyDescent="0.3">
      <c r="A3981" t="s">
        <v>37</v>
      </c>
      <c r="G3981">
        <v>44238</v>
      </c>
      <c r="H3981">
        <v>2021</v>
      </c>
      <c r="I3981" t="s">
        <v>43</v>
      </c>
    </row>
    <row r="3982" spans="1:9" x14ac:dyDescent="0.3">
      <c r="A3982" t="s">
        <v>17</v>
      </c>
      <c r="E3982">
        <v>108000</v>
      </c>
      <c r="G3982">
        <v>44238</v>
      </c>
      <c r="H3982">
        <v>2021</v>
      </c>
      <c r="I3982" t="s">
        <v>43</v>
      </c>
    </row>
    <row r="3983" spans="1:9" x14ac:dyDescent="0.3">
      <c r="A3983" t="s">
        <v>0</v>
      </c>
      <c r="B3983">
        <v>644000</v>
      </c>
      <c r="G3983">
        <v>44238</v>
      </c>
      <c r="H3983">
        <v>2021</v>
      </c>
      <c r="I3983" t="s">
        <v>43</v>
      </c>
    </row>
    <row r="3984" spans="1:9" x14ac:dyDescent="0.3">
      <c r="A3984" t="s">
        <v>25</v>
      </c>
      <c r="B3984">
        <v>324000</v>
      </c>
      <c r="C3984">
        <v>162000</v>
      </c>
      <c r="E3984">
        <v>54000</v>
      </c>
      <c r="F3984">
        <v>486000</v>
      </c>
      <c r="G3984">
        <v>44238</v>
      </c>
      <c r="H3984">
        <v>2021</v>
      </c>
      <c r="I3984" t="s">
        <v>43</v>
      </c>
    </row>
    <row r="3985" spans="1:9" x14ac:dyDescent="0.3">
      <c r="A3985" t="s">
        <v>15</v>
      </c>
      <c r="C3985">
        <v>216000</v>
      </c>
      <c r="E3985">
        <v>162000</v>
      </c>
      <c r="G3985">
        <v>44238</v>
      </c>
      <c r="H3985">
        <v>2021</v>
      </c>
      <c r="I3985" t="s">
        <v>43</v>
      </c>
    </row>
    <row r="3986" spans="1:9" x14ac:dyDescent="0.3">
      <c r="A3986" t="s">
        <v>26</v>
      </c>
      <c r="C3986">
        <v>211500</v>
      </c>
      <c r="G3986">
        <v>44238</v>
      </c>
      <c r="H3986">
        <v>2021</v>
      </c>
      <c r="I3986" t="s">
        <v>43</v>
      </c>
    </row>
    <row r="3987" spans="1:9" x14ac:dyDescent="0.3">
      <c r="A3987" t="s">
        <v>22</v>
      </c>
      <c r="C3987">
        <v>162000</v>
      </c>
      <c r="G3987">
        <v>44238</v>
      </c>
      <c r="H3987">
        <v>2021</v>
      </c>
      <c r="I3987" t="s">
        <v>43</v>
      </c>
    </row>
    <row r="3988" spans="1:9" x14ac:dyDescent="0.3">
      <c r="A3988" t="s">
        <v>19</v>
      </c>
      <c r="C3988">
        <v>108000</v>
      </c>
      <c r="E3988">
        <v>162000</v>
      </c>
      <c r="G3988">
        <v>44238</v>
      </c>
      <c r="H3988">
        <v>2021</v>
      </c>
      <c r="I3988" t="s">
        <v>43</v>
      </c>
    </row>
    <row r="3989" spans="1:9" x14ac:dyDescent="0.3">
      <c r="A3989" t="s">
        <v>14</v>
      </c>
      <c r="B3989">
        <v>54000</v>
      </c>
      <c r="C3989">
        <v>270000</v>
      </c>
      <c r="E3989">
        <v>216000</v>
      </c>
      <c r="G3989">
        <v>44238</v>
      </c>
      <c r="H3989">
        <v>2021</v>
      </c>
      <c r="I3989" t="s">
        <v>43</v>
      </c>
    </row>
    <row r="3990" spans="1:9" x14ac:dyDescent="0.3">
      <c r="A3990" t="s">
        <v>24</v>
      </c>
      <c r="C3990">
        <v>108000</v>
      </c>
      <c r="G3990">
        <v>44238</v>
      </c>
      <c r="H3990">
        <v>2021</v>
      </c>
      <c r="I3990" t="s">
        <v>43</v>
      </c>
    </row>
    <row r="3991" spans="1:9" x14ac:dyDescent="0.3">
      <c r="A3991" t="s">
        <v>21</v>
      </c>
      <c r="G3991">
        <v>44238</v>
      </c>
      <c r="H3991">
        <v>2021</v>
      </c>
      <c r="I3991" t="s">
        <v>43</v>
      </c>
    </row>
    <row r="3992" spans="1:9" x14ac:dyDescent="0.3">
      <c r="A3992" t="s">
        <v>18</v>
      </c>
      <c r="C3992">
        <v>108000</v>
      </c>
      <c r="E3992">
        <v>54000</v>
      </c>
      <c r="G3992">
        <v>44238</v>
      </c>
      <c r="H3992">
        <v>2021</v>
      </c>
      <c r="I3992" t="s">
        <v>43</v>
      </c>
    </row>
    <row r="3993" spans="1:9" x14ac:dyDescent="0.3">
      <c r="A3993" t="s">
        <v>16</v>
      </c>
      <c r="C3993">
        <v>108000</v>
      </c>
      <c r="G3993">
        <v>44238</v>
      </c>
      <c r="H3993">
        <v>2021</v>
      </c>
      <c r="I3993" t="s">
        <v>43</v>
      </c>
    </row>
    <row r="3994" spans="1:9" x14ac:dyDescent="0.3">
      <c r="A3994" t="s">
        <v>20</v>
      </c>
      <c r="G3994">
        <v>44239</v>
      </c>
      <c r="H3994">
        <v>2021</v>
      </c>
      <c r="I3994" t="s">
        <v>43</v>
      </c>
    </row>
    <row r="3995" spans="1:9" x14ac:dyDescent="0.3">
      <c r="A3995" t="s">
        <v>37</v>
      </c>
      <c r="C3995">
        <v>162000</v>
      </c>
      <c r="G3995">
        <v>44239</v>
      </c>
      <c r="H3995">
        <v>2021</v>
      </c>
      <c r="I3995" t="s">
        <v>43</v>
      </c>
    </row>
    <row r="3996" spans="1:9" x14ac:dyDescent="0.3">
      <c r="A3996" t="s">
        <v>17</v>
      </c>
      <c r="B3996">
        <v>378000</v>
      </c>
      <c r="C3996">
        <v>162000</v>
      </c>
      <c r="D3996">
        <v>324000</v>
      </c>
      <c r="E3996">
        <v>45000</v>
      </c>
      <c r="G3996">
        <v>44239</v>
      </c>
      <c r="H3996">
        <v>2021</v>
      </c>
      <c r="I3996" t="s">
        <v>43</v>
      </c>
    </row>
    <row r="3997" spans="1:9" x14ac:dyDescent="0.3">
      <c r="A3997" t="s">
        <v>0</v>
      </c>
      <c r="B3997">
        <v>756000</v>
      </c>
      <c r="G3997">
        <v>44239</v>
      </c>
      <c r="H3997">
        <v>2021</v>
      </c>
      <c r="I3997" t="s">
        <v>43</v>
      </c>
    </row>
    <row r="3998" spans="1:9" x14ac:dyDescent="0.3">
      <c r="A3998" t="s">
        <v>25</v>
      </c>
      <c r="B3998">
        <v>153000</v>
      </c>
      <c r="C3998">
        <v>45000</v>
      </c>
      <c r="E3998">
        <v>54000</v>
      </c>
      <c r="F3998">
        <v>154000</v>
      </c>
      <c r="G3998">
        <v>44239</v>
      </c>
      <c r="H3998">
        <v>2021</v>
      </c>
      <c r="I3998" t="s">
        <v>43</v>
      </c>
    </row>
    <row r="3999" spans="1:9" x14ac:dyDescent="0.3">
      <c r="A3999" t="s">
        <v>15</v>
      </c>
      <c r="C3999">
        <v>216000</v>
      </c>
      <c r="E3999">
        <v>108000</v>
      </c>
      <c r="G3999">
        <v>44239</v>
      </c>
      <c r="H3999">
        <v>2021</v>
      </c>
      <c r="I3999" t="s">
        <v>43</v>
      </c>
    </row>
    <row r="4000" spans="1:9" x14ac:dyDescent="0.3">
      <c r="A4000" t="s">
        <v>26</v>
      </c>
      <c r="C4000">
        <v>157500</v>
      </c>
      <c r="E4000">
        <v>45000</v>
      </c>
      <c r="G4000">
        <v>44239</v>
      </c>
      <c r="H4000">
        <v>2021</v>
      </c>
      <c r="I4000" t="s">
        <v>43</v>
      </c>
    </row>
    <row r="4001" spans="1:9" x14ac:dyDescent="0.3">
      <c r="A4001" t="s">
        <v>22</v>
      </c>
      <c r="C4001">
        <v>144000</v>
      </c>
      <c r="G4001">
        <v>44239</v>
      </c>
      <c r="H4001">
        <v>2021</v>
      </c>
      <c r="I4001" t="s">
        <v>43</v>
      </c>
    </row>
    <row r="4002" spans="1:9" x14ac:dyDescent="0.3">
      <c r="A4002" t="s">
        <v>19</v>
      </c>
      <c r="B4002">
        <v>265500</v>
      </c>
      <c r="C4002">
        <v>301500</v>
      </c>
      <c r="D4002">
        <v>752000</v>
      </c>
      <c r="F4002">
        <v>270000</v>
      </c>
      <c r="G4002">
        <v>44239</v>
      </c>
      <c r="H4002">
        <v>2021</v>
      </c>
      <c r="I4002" t="s">
        <v>43</v>
      </c>
    </row>
    <row r="4003" spans="1:9" x14ac:dyDescent="0.3">
      <c r="A4003" t="s">
        <v>14</v>
      </c>
      <c r="C4003">
        <v>211500</v>
      </c>
      <c r="E4003">
        <v>162000</v>
      </c>
      <c r="G4003">
        <v>44239</v>
      </c>
      <c r="H4003">
        <v>2021</v>
      </c>
      <c r="I4003" t="s">
        <v>43</v>
      </c>
    </row>
    <row r="4004" spans="1:9" x14ac:dyDescent="0.3">
      <c r="A4004" t="s">
        <v>24</v>
      </c>
      <c r="C4004">
        <v>153000</v>
      </c>
      <c r="G4004">
        <v>44239</v>
      </c>
      <c r="H4004">
        <v>2021</v>
      </c>
      <c r="I4004" t="s">
        <v>43</v>
      </c>
    </row>
    <row r="4005" spans="1:9" x14ac:dyDescent="0.3">
      <c r="A4005" t="s">
        <v>21</v>
      </c>
      <c r="C4005">
        <v>162000</v>
      </c>
      <c r="G4005">
        <v>44239</v>
      </c>
      <c r="H4005">
        <v>2021</v>
      </c>
      <c r="I4005" t="s">
        <v>43</v>
      </c>
    </row>
    <row r="4006" spans="1:9" x14ac:dyDescent="0.3">
      <c r="A4006" t="s">
        <v>18</v>
      </c>
      <c r="C4006">
        <v>54000</v>
      </c>
      <c r="E4006">
        <v>108000</v>
      </c>
      <c r="G4006">
        <v>44239</v>
      </c>
      <c r="H4006">
        <v>2021</v>
      </c>
      <c r="I4006" t="s">
        <v>43</v>
      </c>
    </row>
    <row r="4007" spans="1:9" x14ac:dyDescent="0.3">
      <c r="A4007" t="s">
        <v>16</v>
      </c>
      <c r="G4007">
        <v>44239</v>
      </c>
      <c r="H4007">
        <v>2021</v>
      </c>
      <c r="I4007" t="s">
        <v>43</v>
      </c>
    </row>
    <row r="4008" spans="1:9" x14ac:dyDescent="0.3">
      <c r="A4008" t="s">
        <v>20</v>
      </c>
      <c r="G4008">
        <v>44240</v>
      </c>
      <c r="H4008">
        <v>2021</v>
      </c>
      <c r="I4008" t="s">
        <v>43</v>
      </c>
    </row>
    <row r="4009" spans="1:9" x14ac:dyDescent="0.3">
      <c r="A4009" t="s">
        <v>37</v>
      </c>
      <c r="C4009">
        <v>158000</v>
      </c>
      <c r="G4009">
        <v>44240</v>
      </c>
      <c r="H4009">
        <v>2021</v>
      </c>
      <c r="I4009" t="s">
        <v>43</v>
      </c>
    </row>
    <row r="4010" spans="1:9" x14ac:dyDescent="0.3">
      <c r="A4010" t="s">
        <v>17</v>
      </c>
      <c r="B4010">
        <v>365000</v>
      </c>
      <c r="C4010">
        <v>216000</v>
      </c>
      <c r="D4010">
        <v>108000</v>
      </c>
      <c r="G4010">
        <v>44240</v>
      </c>
      <c r="H4010">
        <v>2021</v>
      </c>
      <c r="I4010" t="s">
        <v>43</v>
      </c>
    </row>
    <row r="4011" spans="1:9" x14ac:dyDescent="0.3">
      <c r="A4011" t="s">
        <v>0</v>
      </c>
      <c r="B4011">
        <v>540000</v>
      </c>
      <c r="G4011">
        <v>44240</v>
      </c>
      <c r="H4011">
        <v>2021</v>
      </c>
      <c r="I4011" t="s">
        <v>43</v>
      </c>
    </row>
    <row r="4012" spans="1:9" x14ac:dyDescent="0.3">
      <c r="A4012" t="s">
        <v>25</v>
      </c>
      <c r="B4012">
        <v>270000</v>
      </c>
      <c r="C4012">
        <v>208000</v>
      </c>
      <c r="E4012">
        <v>54000</v>
      </c>
      <c r="G4012">
        <v>44240</v>
      </c>
      <c r="H4012">
        <v>2021</v>
      </c>
      <c r="I4012" t="s">
        <v>43</v>
      </c>
    </row>
    <row r="4013" spans="1:9" x14ac:dyDescent="0.3">
      <c r="A4013" t="s">
        <v>15</v>
      </c>
      <c r="C4013">
        <v>151000</v>
      </c>
      <c r="E4013">
        <v>108000</v>
      </c>
      <c r="G4013">
        <v>44240</v>
      </c>
      <c r="H4013">
        <v>2021</v>
      </c>
      <c r="I4013" t="s">
        <v>43</v>
      </c>
    </row>
    <row r="4014" spans="1:9" x14ac:dyDescent="0.3">
      <c r="A4014" t="s">
        <v>26</v>
      </c>
      <c r="C4014">
        <v>208000</v>
      </c>
      <c r="E4014">
        <v>54000</v>
      </c>
      <c r="G4014">
        <v>44240</v>
      </c>
      <c r="H4014">
        <v>2021</v>
      </c>
      <c r="I4014" t="s">
        <v>43</v>
      </c>
    </row>
    <row r="4015" spans="1:9" x14ac:dyDescent="0.3">
      <c r="A4015" t="s">
        <v>22</v>
      </c>
      <c r="G4015">
        <v>44240</v>
      </c>
      <c r="H4015">
        <v>2021</v>
      </c>
      <c r="I4015" t="s">
        <v>43</v>
      </c>
    </row>
    <row r="4016" spans="1:9" x14ac:dyDescent="0.3">
      <c r="A4016" t="s">
        <v>19</v>
      </c>
      <c r="B4016">
        <v>319500</v>
      </c>
      <c r="C4016">
        <v>108000</v>
      </c>
      <c r="D4016">
        <v>248000</v>
      </c>
      <c r="E4016">
        <v>108000</v>
      </c>
      <c r="F4016">
        <v>216000</v>
      </c>
      <c r="G4016">
        <v>44240</v>
      </c>
      <c r="H4016">
        <v>2021</v>
      </c>
      <c r="I4016" t="s">
        <v>43</v>
      </c>
    </row>
    <row r="4017" spans="1:9" x14ac:dyDescent="0.3">
      <c r="A4017" t="s">
        <v>14</v>
      </c>
      <c r="C4017">
        <v>266000</v>
      </c>
      <c r="E4017">
        <v>54000</v>
      </c>
      <c r="G4017">
        <v>44240</v>
      </c>
      <c r="H4017">
        <v>2021</v>
      </c>
      <c r="I4017" t="s">
        <v>43</v>
      </c>
    </row>
    <row r="4018" spans="1:9" x14ac:dyDescent="0.3">
      <c r="A4018" t="s">
        <v>24</v>
      </c>
      <c r="B4018">
        <v>307000</v>
      </c>
      <c r="C4018">
        <v>162000</v>
      </c>
      <c r="G4018">
        <v>44240</v>
      </c>
      <c r="H4018">
        <v>2021</v>
      </c>
      <c r="I4018" t="s">
        <v>43</v>
      </c>
    </row>
    <row r="4019" spans="1:9" x14ac:dyDescent="0.3">
      <c r="A4019" t="s">
        <v>21</v>
      </c>
      <c r="G4019">
        <v>44240</v>
      </c>
      <c r="H4019">
        <v>2021</v>
      </c>
      <c r="I4019" t="s">
        <v>43</v>
      </c>
    </row>
    <row r="4020" spans="1:9" x14ac:dyDescent="0.3">
      <c r="A4020" t="s">
        <v>18</v>
      </c>
      <c r="C4020">
        <v>162000</v>
      </c>
      <c r="E4020">
        <v>108000</v>
      </c>
      <c r="G4020">
        <v>44240</v>
      </c>
      <c r="H4020">
        <v>2021</v>
      </c>
      <c r="I4020" t="s">
        <v>43</v>
      </c>
    </row>
    <row r="4021" spans="1:9" x14ac:dyDescent="0.3">
      <c r="A4021" t="s">
        <v>16</v>
      </c>
      <c r="G4021">
        <v>44240</v>
      </c>
      <c r="H4021">
        <v>2021</v>
      </c>
      <c r="I4021" t="s">
        <v>43</v>
      </c>
    </row>
    <row r="4022" spans="1:9" x14ac:dyDescent="0.3">
      <c r="A4022" t="s">
        <v>20</v>
      </c>
      <c r="G4022">
        <v>44242</v>
      </c>
      <c r="H4022">
        <v>2021</v>
      </c>
      <c r="I4022" t="s">
        <v>43</v>
      </c>
    </row>
    <row r="4023" spans="1:9" x14ac:dyDescent="0.3">
      <c r="A4023" t="s">
        <v>37</v>
      </c>
      <c r="C4023">
        <v>148500</v>
      </c>
      <c r="G4023">
        <v>44242</v>
      </c>
      <c r="H4023">
        <v>2021</v>
      </c>
      <c r="I4023" t="s">
        <v>43</v>
      </c>
    </row>
    <row r="4024" spans="1:9" x14ac:dyDescent="0.3">
      <c r="A4024" t="s">
        <v>17</v>
      </c>
      <c r="B4024">
        <v>315000</v>
      </c>
      <c r="D4024">
        <v>54000</v>
      </c>
      <c r="E4024">
        <v>108000</v>
      </c>
      <c r="F4024">
        <v>270000</v>
      </c>
      <c r="G4024">
        <v>44242</v>
      </c>
      <c r="H4024">
        <v>2021</v>
      </c>
      <c r="I4024" t="s">
        <v>43</v>
      </c>
    </row>
    <row r="4025" spans="1:9" x14ac:dyDescent="0.3">
      <c r="A4025" t="s">
        <v>0</v>
      </c>
      <c r="B4025">
        <v>369000</v>
      </c>
      <c r="G4025">
        <v>44242</v>
      </c>
      <c r="H4025">
        <v>2021</v>
      </c>
      <c r="I4025" t="s">
        <v>43</v>
      </c>
    </row>
    <row r="4026" spans="1:9" x14ac:dyDescent="0.3">
      <c r="A4026" t="s">
        <v>25</v>
      </c>
      <c r="B4026">
        <v>153000</v>
      </c>
      <c r="E4026">
        <v>54000</v>
      </c>
      <c r="F4026">
        <v>90000</v>
      </c>
      <c r="G4026">
        <v>44242</v>
      </c>
      <c r="H4026">
        <v>2021</v>
      </c>
      <c r="I4026" t="s">
        <v>43</v>
      </c>
    </row>
    <row r="4027" spans="1:9" x14ac:dyDescent="0.3">
      <c r="A4027" t="s">
        <v>15</v>
      </c>
      <c r="C4027">
        <v>45000</v>
      </c>
      <c r="E4027">
        <v>108000</v>
      </c>
      <c r="G4027">
        <v>44242</v>
      </c>
      <c r="H4027">
        <v>2021</v>
      </c>
      <c r="I4027" t="s">
        <v>43</v>
      </c>
    </row>
    <row r="4028" spans="1:9" x14ac:dyDescent="0.3">
      <c r="A4028" t="s">
        <v>26</v>
      </c>
      <c r="E4028">
        <v>270000</v>
      </c>
      <c r="G4028">
        <v>44242</v>
      </c>
      <c r="H4028">
        <v>2021</v>
      </c>
      <c r="I4028" t="s">
        <v>43</v>
      </c>
    </row>
    <row r="4029" spans="1:9" x14ac:dyDescent="0.3">
      <c r="A4029" t="s">
        <v>22</v>
      </c>
      <c r="G4029">
        <v>44242</v>
      </c>
      <c r="H4029">
        <v>2021</v>
      </c>
      <c r="I4029" t="s">
        <v>43</v>
      </c>
    </row>
    <row r="4030" spans="1:9" x14ac:dyDescent="0.3">
      <c r="A4030" t="s">
        <v>19</v>
      </c>
      <c r="B4030">
        <v>153000</v>
      </c>
      <c r="C4030">
        <v>630000</v>
      </c>
      <c r="F4030">
        <v>414000</v>
      </c>
      <c r="G4030">
        <v>44242</v>
      </c>
      <c r="H4030">
        <v>2021</v>
      </c>
      <c r="I4030" t="s">
        <v>43</v>
      </c>
    </row>
    <row r="4031" spans="1:9" x14ac:dyDescent="0.3">
      <c r="A4031" t="s">
        <v>14</v>
      </c>
      <c r="C4031">
        <v>162000</v>
      </c>
      <c r="E4031">
        <v>216000</v>
      </c>
      <c r="G4031">
        <v>44242</v>
      </c>
      <c r="H4031">
        <v>2021</v>
      </c>
      <c r="I4031" t="s">
        <v>43</v>
      </c>
    </row>
    <row r="4032" spans="1:9" x14ac:dyDescent="0.3">
      <c r="A4032" t="s">
        <v>24</v>
      </c>
      <c r="B4032">
        <v>54000</v>
      </c>
      <c r="C4032">
        <v>54000</v>
      </c>
      <c r="G4032">
        <v>44242</v>
      </c>
      <c r="H4032">
        <v>2021</v>
      </c>
      <c r="I4032" t="s">
        <v>43</v>
      </c>
    </row>
    <row r="4033" spans="1:9" x14ac:dyDescent="0.3">
      <c r="A4033" t="s">
        <v>21</v>
      </c>
      <c r="C4033">
        <v>99000</v>
      </c>
      <c r="G4033">
        <v>44242</v>
      </c>
      <c r="H4033">
        <v>2021</v>
      </c>
      <c r="I4033" t="s">
        <v>43</v>
      </c>
    </row>
    <row r="4034" spans="1:9" x14ac:dyDescent="0.3">
      <c r="A4034" t="s">
        <v>18</v>
      </c>
      <c r="E4034">
        <v>103500</v>
      </c>
      <c r="G4034">
        <v>44242</v>
      </c>
      <c r="H4034">
        <v>2021</v>
      </c>
      <c r="I4034" t="s">
        <v>43</v>
      </c>
    </row>
    <row r="4035" spans="1:9" x14ac:dyDescent="0.3">
      <c r="A4035" t="s">
        <v>16</v>
      </c>
      <c r="G4035">
        <v>44242</v>
      </c>
      <c r="H4035">
        <v>2021</v>
      </c>
      <c r="I4035" t="s">
        <v>43</v>
      </c>
    </row>
    <row r="4036" spans="1:9" x14ac:dyDescent="0.3">
      <c r="A4036" t="s">
        <v>20</v>
      </c>
      <c r="G4036">
        <v>44243</v>
      </c>
      <c r="H4036">
        <v>2021</v>
      </c>
      <c r="I4036" t="s">
        <v>43</v>
      </c>
    </row>
    <row r="4037" spans="1:9" x14ac:dyDescent="0.3">
      <c r="A4037" t="s">
        <v>37</v>
      </c>
      <c r="C4037">
        <v>108000</v>
      </c>
      <c r="G4037">
        <v>44243</v>
      </c>
      <c r="H4037">
        <v>2021</v>
      </c>
      <c r="I4037" t="s">
        <v>43</v>
      </c>
    </row>
    <row r="4038" spans="1:9" x14ac:dyDescent="0.3">
      <c r="A4038" t="s">
        <v>17</v>
      </c>
      <c r="B4038">
        <v>270000</v>
      </c>
      <c r="C4038">
        <v>108000</v>
      </c>
      <c r="E4038">
        <v>45000</v>
      </c>
      <c r="G4038">
        <v>44243</v>
      </c>
      <c r="H4038">
        <v>2021</v>
      </c>
      <c r="I4038" t="s">
        <v>43</v>
      </c>
    </row>
    <row r="4039" spans="1:9" x14ac:dyDescent="0.3">
      <c r="A4039" t="s">
        <v>0</v>
      </c>
      <c r="B4039">
        <v>477000</v>
      </c>
      <c r="G4039">
        <v>44243</v>
      </c>
      <c r="H4039">
        <v>2021</v>
      </c>
      <c r="I4039" t="s">
        <v>43</v>
      </c>
    </row>
    <row r="4040" spans="1:9" x14ac:dyDescent="0.3">
      <c r="A4040" t="s">
        <v>25</v>
      </c>
      <c r="B4040">
        <v>212000</v>
      </c>
      <c r="C4040">
        <v>162000</v>
      </c>
      <c r="E4040">
        <v>162000</v>
      </c>
      <c r="G4040">
        <v>44243</v>
      </c>
      <c r="H4040">
        <v>2021</v>
      </c>
      <c r="I4040" t="s">
        <v>43</v>
      </c>
    </row>
    <row r="4041" spans="1:9" x14ac:dyDescent="0.3">
      <c r="A4041" t="s">
        <v>15</v>
      </c>
      <c r="C4041">
        <v>103500</v>
      </c>
      <c r="E4041">
        <v>432000</v>
      </c>
      <c r="G4041">
        <v>44243</v>
      </c>
      <c r="H4041">
        <v>2021</v>
      </c>
      <c r="I4041" t="s">
        <v>43</v>
      </c>
    </row>
    <row r="4042" spans="1:9" x14ac:dyDescent="0.3">
      <c r="A4042" t="s">
        <v>26</v>
      </c>
      <c r="C4042">
        <v>103500</v>
      </c>
      <c r="G4042">
        <v>44243</v>
      </c>
      <c r="H4042">
        <v>2021</v>
      </c>
      <c r="I4042" t="s">
        <v>43</v>
      </c>
    </row>
    <row r="4043" spans="1:9" x14ac:dyDescent="0.3">
      <c r="A4043" t="s">
        <v>22</v>
      </c>
      <c r="C4043">
        <v>162000</v>
      </c>
      <c r="G4043">
        <v>44243</v>
      </c>
      <c r="H4043">
        <v>2021</v>
      </c>
      <c r="I4043" t="s">
        <v>43</v>
      </c>
    </row>
    <row r="4044" spans="1:9" x14ac:dyDescent="0.3">
      <c r="A4044" t="s">
        <v>19</v>
      </c>
      <c r="B4044">
        <v>157500</v>
      </c>
      <c r="F4044">
        <v>50000</v>
      </c>
      <c r="G4044">
        <v>44243</v>
      </c>
      <c r="H4044">
        <v>2021</v>
      </c>
      <c r="I4044" t="s">
        <v>43</v>
      </c>
    </row>
    <row r="4045" spans="1:9" x14ac:dyDescent="0.3">
      <c r="A4045" t="s">
        <v>14</v>
      </c>
      <c r="C4045">
        <v>162000</v>
      </c>
      <c r="E4045">
        <v>540000</v>
      </c>
      <c r="G4045">
        <v>44243</v>
      </c>
      <c r="H4045">
        <v>2021</v>
      </c>
      <c r="I4045" t="s">
        <v>43</v>
      </c>
    </row>
    <row r="4046" spans="1:9" x14ac:dyDescent="0.3">
      <c r="A4046" t="s">
        <v>24</v>
      </c>
      <c r="B4046">
        <v>207000</v>
      </c>
      <c r="C4046">
        <v>103500</v>
      </c>
      <c r="G4046">
        <v>44243</v>
      </c>
      <c r="H4046">
        <v>2021</v>
      </c>
      <c r="I4046" t="s">
        <v>43</v>
      </c>
    </row>
    <row r="4047" spans="1:9" x14ac:dyDescent="0.3">
      <c r="A4047" t="s">
        <v>21</v>
      </c>
      <c r="C4047">
        <v>108000</v>
      </c>
      <c r="G4047">
        <v>44243</v>
      </c>
      <c r="H4047">
        <v>2021</v>
      </c>
      <c r="I4047" t="s">
        <v>43</v>
      </c>
    </row>
    <row r="4048" spans="1:9" x14ac:dyDescent="0.3">
      <c r="A4048" t="s">
        <v>18</v>
      </c>
      <c r="E4048">
        <v>270000</v>
      </c>
      <c r="G4048">
        <v>44243</v>
      </c>
      <c r="H4048">
        <v>2021</v>
      </c>
      <c r="I4048" t="s">
        <v>43</v>
      </c>
    </row>
    <row r="4049" spans="1:9" x14ac:dyDescent="0.3">
      <c r="A4049" t="s">
        <v>16</v>
      </c>
      <c r="G4049">
        <v>44243</v>
      </c>
      <c r="H4049">
        <v>2021</v>
      </c>
      <c r="I4049" t="s">
        <v>43</v>
      </c>
    </row>
    <row r="4050" spans="1:9" x14ac:dyDescent="0.3">
      <c r="A4050" t="s">
        <v>20</v>
      </c>
      <c r="G4050">
        <v>44244</v>
      </c>
      <c r="H4050">
        <v>2021</v>
      </c>
      <c r="I4050" t="s">
        <v>43</v>
      </c>
    </row>
    <row r="4051" spans="1:9" x14ac:dyDescent="0.3">
      <c r="A4051" t="s">
        <v>37</v>
      </c>
      <c r="C4051">
        <v>108000</v>
      </c>
      <c r="G4051">
        <v>44244</v>
      </c>
      <c r="H4051">
        <v>2021</v>
      </c>
      <c r="I4051" t="s">
        <v>43</v>
      </c>
    </row>
    <row r="4052" spans="1:9" x14ac:dyDescent="0.3">
      <c r="A4052" t="s">
        <v>17</v>
      </c>
      <c r="B4052">
        <v>430000</v>
      </c>
      <c r="C4052">
        <v>108000</v>
      </c>
      <c r="F4052">
        <v>135000</v>
      </c>
      <c r="G4052">
        <v>44244</v>
      </c>
      <c r="H4052">
        <v>2021</v>
      </c>
      <c r="I4052" t="s">
        <v>43</v>
      </c>
    </row>
    <row r="4053" spans="1:9" x14ac:dyDescent="0.3">
      <c r="A4053" t="s">
        <v>0</v>
      </c>
      <c r="B4053">
        <v>486000</v>
      </c>
      <c r="G4053">
        <v>44244</v>
      </c>
      <c r="H4053">
        <v>2021</v>
      </c>
      <c r="I4053" t="s">
        <v>43</v>
      </c>
    </row>
    <row r="4054" spans="1:9" x14ac:dyDescent="0.3">
      <c r="A4054" t="s">
        <v>25</v>
      </c>
      <c r="B4054">
        <v>108000</v>
      </c>
      <c r="C4054">
        <v>324000</v>
      </c>
      <c r="G4054">
        <v>44244</v>
      </c>
      <c r="H4054">
        <v>2021</v>
      </c>
      <c r="I4054" t="s">
        <v>43</v>
      </c>
    </row>
    <row r="4055" spans="1:9" x14ac:dyDescent="0.3">
      <c r="A4055" t="s">
        <v>15</v>
      </c>
      <c r="C4055">
        <v>108000</v>
      </c>
      <c r="E4055">
        <v>864000</v>
      </c>
      <c r="G4055">
        <v>44244</v>
      </c>
      <c r="H4055">
        <v>2021</v>
      </c>
      <c r="I4055" t="s">
        <v>43</v>
      </c>
    </row>
    <row r="4056" spans="1:9" x14ac:dyDescent="0.3">
      <c r="A4056" t="s">
        <v>54</v>
      </c>
      <c r="B4056">
        <v>374000</v>
      </c>
      <c r="G4056">
        <v>44244</v>
      </c>
      <c r="H4056">
        <v>2021</v>
      </c>
      <c r="I4056" t="s">
        <v>43</v>
      </c>
    </row>
    <row r="4057" spans="1:9" x14ac:dyDescent="0.3">
      <c r="A4057" t="s">
        <v>26</v>
      </c>
      <c r="C4057">
        <v>108000</v>
      </c>
      <c r="G4057">
        <v>44244</v>
      </c>
      <c r="H4057">
        <v>2021</v>
      </c>
      <c r="I4057" t="s">
        <v>43</v>
      </c>
    </row>
    <row r="4058" spans="1:9" x14ac:dyDescent="0.3">
      <c r="A4058" t="s">
        <v>22</v>
      </c>
      <c r="C4058">
        <v>216000</v>
      </c>
      <c r="G4058">
        <v>44244</v>
      </c>
      <c r="H4058">
        <v>2021</v>
      </c>
      <c r="I4058" t="s">
        <v>43</v>
      </c>
    </row>
    <row r="4059" spans="1:9" x14ac:dyDescent="0.3">
      <c r="A4059" t="s">
        <v>19</v>
      </c>
      <c r="B4059">
        <v>270000</v>
      </c>
      <c r="F4059">
        <v>50000</v>
      </c>
      <c r="G4059">
        <v>44244</v>
      </c>
      <c r="H4059">
        <v>2021</v>
      </c>
      <c r="I4059" t="s">
        <v>43</v>
      </c>
    </row>
    <row r="4060" spans="1:9" x14ac:dyDescent="0.3">
      <c r="A4060" t="s">
        <v>14</v>
      </c>
      <c r="C4060">
        <v>216000</v>
      </c>
      <c r="E4060">
        <v>162000</v>
      </c>
      <c r="G4060">
        <v>44244</v>
      </c>
      <c r="H4060">
        <v>2021</v>
      </c>
      <c r="I4060" t="s">
        <v>43</v>
      </c>
    </row>
    <row r="4061" spans="1:9" x14ac:dyDescent="0.3">
      <c r="A4061" t="s">
        <v>24</v>
      </c>
      <c r="B4061">
        <v>270000</v>
      </c>
      <c r="C4061">
        <v>52000</v>
      </c>
      <c r="G4061">
        <v>44244</v>
      </c>
      <c r="H4061">
        <v>2021</v>
      </c>
      <c r="I4061" t="s">
        <v>43</v>
      </c>
    </row>
    <row r="4062" spans="1:9" x14ac:dyDescent="0.3">
      <c r="A4062" t="s">
        <v>21</v>
      </c>
      <c r="C4062">
        <v>108000</v>
      </c>
      <c r="G4062">
        <v>44244</v>
      </c>
      <c r="H4062">
        <v>2021</v>
      </c>
      <c r="I4062" t="s">
        <v>43</v>
      </c>
    </row>
    <row r="4063" spans="1:9" x14ac:dyDescent="0.3">
      <c r="A4063" t="s">
        <v>18</v>
      </c>
      <c r="E4063">
        <v>270000</v>
      </c>
      <c r="G4063">
        <v>44244</v>
      </c>
      <c r="H4063">
        <v>2021</v>
      </c>
      <c r="I4063" t="s">
        <v>43</v>
      </c>
    </row>
    <row r="4064" spans="1:9" x14ac:dyDescent="0.3">
      <c r="A4064" t="s">
        <v>16</v>
      </c>
      <c r="G4064">
        <v>44244</v>
      </c>
      <c r="H4064">
        <v>2021</v>
      </c>
      <c r="I4064" t="s">
        <v>43</v>
      </c>
    </row>
    <row r="4065" spans="1:9" x14ac:dyDescent="0.3">
      <c r="A4065" t="s">
        <v>20</v>
      </c>
      <c r="G4065">
        <v>44245</v>
      </c>
      <c r="H4065">
        <v>2021</v>
      </c>
      <c r="I4065" t="s">
        <v>43</v>
      </c>
    </row>
    <row r="4066" spans="1:9" x14ac:dyDescent="0.3">
      <c r="A4066" t="s">
        <v>37</v>
      </c>
      <c r="C4066">
        <v>108000</v>
      </c>
      <c r="G4066">
        <v>44245</v>
      </c>
      <c r="H4066">
        <v>2021</v>
      </c>
      <c r="I4066" t="s">
        <v>43</v>
      </c>
    </row>
    <row r="4067" spans="1:9" x14ac:dyDescent="0.3">
      <c r="A4067" t="s">
        <v>17</v>
      </c>
      <c r="B4067">
        <v>756000</v>
      </c>
      <c r="C4067">
        <v>54000</v>
      </c>
      <c r="E4067">
        <v>45000</v>
      </c>
      <c r="F4067">
        <v>50000</v>
      </c>
      <c r="G4067">
        <v>44245</v>
      </c>
      <c r="H4067">
        <v>2021</v>
      </c>
      <c r="I4067" t="s">
        <v>43</v>
      </c>
    </row>
    <row r="4068" spans="1:9" x14ac:dyDescent="0.3">
      <c r="A4068" t="s">
        <v>0</v>
      </c>
      <c r="B4068">
        <v>162000</v>
      </c>
      <c r="G4068">
        <v>44245</v>
      </c>
      <c r="H4068">
        <v>2021</v>
      </c>
      <c r="I4068" t="s">
        <v>43</v>
      </c>
    </row>
    <row r="4069" spans="1:9" x14ac:dyDescent="0.3">
      <c r="A4069" t="s">
        <v>25</v>
      </c>
      <c r="B4069">
        <v>270000</v>
      </c>
      <c r="C4069">
        <v>216000</v>
      </c>
      <c r="E4069">
        <v>153000</v>
      </c>
      <c r="G4069">
        <v>44245</v>
      </c>
      <c r="H4069">
        <v>2021</v>
      </c>
      <c r="I4069" t="s">
        <v>43</v>
      </c>
    </row>
    <row r="4070" spans="1:9" x14ac:dyDescent="0.3">
      <c r="A4070" t="s">
        <v>15</v>
      </c>
      <c r="C4070">
        <v>162000</v>
      </c>
      <c r="E4070">
        <v>324000</v>
      </c>
      <c r="G4070">
        <v>44245</v>
      </c>
      <c r="H4070">
        <v>2021</v>
      </c>
      <c r="I4070" t="s">
        <v>43</v>
      </c>
    </row>
    <row r="4071" spans="1:9" x14ac:dyDescent="0.3">
      <c r="A4071" t="s">
        <v>54</v>
      </c>
      <c r="B4071">
        <v>540000</v>
      </c>
      <c r="G4071">
        <v>44245</v>
      </c>
      <c r="H4071">
        <v>2021</v>
      </c>
      <c r="I4071" t="s">
        <v>43</v>
      </c>
    </row>
    <row r="4072" spans="1:9" x14ac:dyDescent="0.3">
      <c r="A4072" t="s">
        <v>26</v>
      </c>
      <c r="C4072">
        <v>104000</v>
      </c>
      <c r="G4072">
        <v>44245</v>
      </c>
      <c r="H4072">
        <v>2021</v>
      </c>
      <c r="I4072" t="s">
        <v>43</v>
      </c>
    </row>
    <row r="4073" spans="1:9" x14ac:dyDescent="0.3">
      <c r="A4073" t="s">
        <v>22</v>
      </c>
      <c r="C4073">
        <v>162000</v>
      </c>
      <c r="G4073">
        <v>44245</v>
      </c>
      <c r="H4073">
        <v>2021</v>
      </c>
      <c r="I4073" t="s">
        <v>43</v>
      </c>
    </row>
    <row r="4074" spans="1:9" x14ac:dyDescent="0.3">
      <c r="A4074" t="s">
        <v>19</v>
      </c>
      <c r="B4074">
        <v>374000</v>
      </c>
      <c r="C4074">
        <v>90000</v>
      </c>
      <c r="G4074">
        <v>44245</v>
      </c>
      <c r="H4074">
        <v>2021</v>
      </c>
      <c r="I4074" t="s">
        <v>43</v>
      </c>
    </row>
    <row r="4075" spans="1:9" x14ac:dyDescent="0.3">
      <c r="A4075" t="s">
        <v>14</v>
      </c>
      <c r="C4075">
        <v>162000</v>
      </c>
      <c r="G4075">
        <v>44245</v>
      </c>
      <c r="H4075">
        <v>2021</v>
      </c>
      <c r="I4075" t="s">
        <v>43</v>
      </c>
    </row>
    <row r="4076" spans="1:9" x14ac:dyDescent="0.3">
      <c r="A4076" t="s">
        <v>24</v>
      </c>
      <c r="B4076">
        <v>215500</v>
      </c>
      <c r="C4076">
        <v>162000</v>
      </c>
      <c r="G4076">
        <v>44245</v>
      </c>
      <c r="H4076">
        <v>2021</v>
      </c>
      <c r="I4076" t="s">
        <v>43</v>
      </c>
    </row>
    <row r="4077" spans="1:9" x14ac:dyDescent="0.3">
      <c r="A4077" t="s">
        <v>21</v>
      </c>
      <c r="G4077">
        <v>44245</v>
      </c>
      <c r="H4077">
        <v>2021</v>
      </c>
      <c r="I4077" t="s">
        <v>43</v>
      </c>
    </row>
    <row r="4078" spans="1:9" x14ac:dyDescent="0.3">
      <c r="A4078" t="s">
        <v>18</v>
      </c>
      <c r="C4078">
        <v>54000</v>
      </c>
      <c r="G4078">
        <v>44245</v>
      </c>
      <c r="H4078">
        <v>2021</v>
      </c>
      <c r="I4078" t="s">
        <v>43</v>
      </c>
    </row>
    <row r="4079" spans="1:9" x14ac:dyDescent="0.3">
      <c r="A4079" t="s">
        <v>16</v>
      </c>
      <c r="G4079">
        <v>44245</v>
      </c>
      <c r="H4079">
        <v>2021</v>
      </c>
      <c r="I4079" t="s">
        <v>43</v>
      </c>
    </row>
    <row r="4080" spans="1:9" x14ac:dyDescent="0.3">
      <c r="A4080" t="s">
        <v>20</v>
      </c>
      <c r="G4080">
        <v>44246</v>
      </c>
      <c r="H4080">
        <v>2021</v>
      </c>
      <c r="I4080" t="s">
        <v>43</v>
      </c>
    </row>
    <row r="4081" spans="1:9" x14ac:dyDescent="0.3">
      <c r="A4081" t="s">
        <v>37</v>
      </c>
      <c r="C4081">
        <v>320000</v>
      </c>
      <c r="G4081">
        <v>44246</v>
      </c>
      <c r="H4081">
        <v>2021</v>
      </c>
      <c r="I4081" t="s">
        <v>43</v>
      </c>
    </row>
    <row r="4082" spans="1:9" x14ac:dyDescent="0.3">
      <c r="A4082" t="s">
        <v>17</v>
      </c>
      <c r="B4082">
        <v>108000</v>
      </c>
      <c r="C4082">
        <v>270000</v>
      </c>
      <c r="G4082">
        <v>44246</v>
      </c>
      <c r="H4082">
        <v>2021</v>
      </c>
      <c r="I4082" t="s">
        <v>43</v>
      </c>
    </row>
    <row r="4083" spans="1:9" x14ac:dyDescent="0.3">
      <c r="A4083" t="s">
        <v>0</v>
      </c>
      <c r="B4083">
        <v>162000</v>
      </c>
      <c r="G4083">
        <v>44246</v>
      </c>
      <c r="H4083">
        <v>2021</v>
      </c>
      <c r="I4083" t="s">
        <v>43</v>
      </c>
    </row>
    <row r="4084" spans="1:9" x14ac:dyDescent="0.3">
      <c r="A4084" t="s">
        <v>25</v>
      </c>
      <c r="B4084">
        <v>270000</v>
      </c>
      <c r="C4084">
        <v>162000</v>
      </c>
      <c r="G4084">
        <v>44246</v>
      </c>
      <c r="H4084">
        <v>2021</v>
      </c>
      <c r="I4084" t="s">
        <v>43</v>
      </c>
    </row>
    <row r="4085" spans="1:9" x14ac:dyDescent="0.3">
      <c r="A4085" t="s">
        <v>15</v>
      </c>
      <c r="C4085">
        <v>324000</v>
      </c>
      <c r="G4085">
        <v>44246</v>
      </c>
      <c r="H4085">
        <v>2021</v>
      </c>
      <c r="I4085" t="s">
        <v>43</v>
      </c>
    </row>
    <row r="4086" spans="1:9" x14ac:dyDescent="0.3">
      <c r="A4086" t="s">
        <v>54</v>
      </c>
      <c r="B4086">
        <v>270000</v>
      </c>
      <c r="G4086">
        <v>44246</v>
      </c>
      <c r="H4086">
        <v>2021</v>
      </c>
      <c r="I4086" t="s">
        <v>43</v>
      </c>
    </row>
    <row r="4087" spans="1:9" x14ac:dyDescent="0.3">
      <c r="A4087" t="s">
        <v>26</v>
      </c>
      <c r="B4087">
        <v>162000</v>
      </c>
      <c r="G4087">
        <v>44246</v>
      </c>
      <c r="H4087">
        <v>2021</v>
      </c>
      <c r="I4087" t="s">
        <v>43</v>
      </c>
    </row>
    <row r="4088" spans="1:9" x14ac:dyDescent="0.3">
      <c r="A4088" t="s">
        <v>22</v>
      </c>
      <c r="C4088">
        <v>216000</v>
      </c>
      <c r="G4088">
        <v>44246</v>
      </c>
      <c r="H4088">
        <v>2021</v>
      </c>
      <c r="I4088" t="s">
        <v>43</v>
      </c>
    </row>
    <row r="4089" spans="1:9" x14ac:dyDescent="0.3">
      <c r="A4089" t="s">
        <v>19</v>
      </c>
      <c r="B4089">
        <v>216000</v>
      </c>
      <c r="G4089">
        <v>44246</v>
      </c>
      <c r="H4089">
        <v>2021</v>
      </c>
      <c r="I4089" t="s">
        <v>43</v>
      </c>
    </row>
    <row r="4090" spans="1:9" x14ac:dyDescent="0.3">
      <c r="A4090" t="s">
        <v>14</v>
      </c>
      <c r="C4090">
        <v>324000</v>
      </c>
      <c r="G4090">
        <v>44246</v>
      </c>
      <c r="H4090">
        <v>2021</v>
      </c>
      <c r="I4090" t="s">
        <v>43</v>
      </c>
    </row>
    <row r="4091" spans="1:9" x14ac:dyDescent="0.3">
      <c r="A4091" t="s">
        <v>24</v>
      </c>
      <c r="C4091">
        <v>432000</v>
      </c>
      <c r="G4091">
        <v>44246</v>
      </c>
      <c r="H4091">
        <v>2021</v>
      </c>
      <c r="I4091" t="s">
        <v>43</v>
      </c>
    </row>
    <row r="4092" spans="1:9" x14ac:dyDescent="0.3">
      <c r="A4092" t="s">
        <v>21</v>
      </c>
      <c r="B4092">
        <v>162000</v>
      </c>
      <c r="C4092">
        <v>49500</v>
      </c>
      <c r="G4092">
        <v>44246</v>
      </c>
      <c r="H4092">
        <v>2021</v>
      </c>
      <c r="I4092" t="s">
        <v>43</v>
      </c>
    </row>
    <row r="4093" spans="1:9" x14ac:dyDescent="0.3">
      <c r="A4093" t="s">
        <v>18</v>
      </c>
      <c r="C4093">
        <v>54000</v>
      </c>
      <c r="G4093">
        <v>44246</v>
      </c>
      <c r="H4093">
        <v>2021</v>
      </c>
      <c r="I4093" t="s">
        <v>43</v>
      </c>
    </row>
    <row r="4094" spans="1:9" x14ac:dyDescent="0.3">
      <c r="A4094" t="s">
        <v>16</v>
      </c>
      <c r="G4094">
        <v>44246</v>
      </c>
      <c r="H4094">
        <v>2021</v>
      </c>
      <c r="I4094" t="s">
        <v>43</v>
      </c>
    </row>
    <row r="4095" spans="1:9" x14ac:dyDescent="0.3">
      <c r="A4095" t="s">
        <v>20</v>
      </c>
      <c r="G4095">
        <v>44249</v>
      </c>
      <c r="H4095">
        <v>2021</v>
      </c>
      <c r="I4095" t="s">
        <v>43</v>
      </c>
    </row>
    <row r="4096" spans="1:9" x14ac:dyDescent="0.3">
      <c r="A4096" t="s">
        <v>37</v>
      </c>
      <c r="C4096">
        <v>216000</v>
      </c>
      <c r="G4096">
        <v>44249</v>
      </c>
      <c r="H4096">
        <v>2021</v>
      </c>
      <c r="I4096" t="s">
        <v>43</v>
      </c>
    </row>
    <row r="4097" spans="1:9" x14ac:dyDescent="0.3">
      <c r="A4097" t="s">
        <v>17</v>
      </c>
      <c r="B4097">
        <v>377500</v>
      </c>
      <c r="C4097">
        <v>270000</v>
      </c>
      <c r="F4097">
        <v>45000</v>
      </c>
      <c r="G4097">
        <v>44249</v>
      </c>
      <c r="H4097">
        <v>2021</v>
      </c>
      <c r="I4097" t="s">
        <v>43</v>
      </c>
    </row>
    <row r="4098" spans="1:9" x14ac:dyDescent="0.3">
      <c r="A4098" t="s">
        <v>0</v>
      </c>
      <c r="B4098">
        <v>45000</v>
      </c>
      <c r="G4098">
        <v>44249</v>
      </c>
      <c r="H4098">
        <v>2021</v>
      </c>
      <c r="I4098" t="s">
        <v>43</v>
      </c>
    </row>
    <row r="4099" spans="1:9" x14ac:dyDescent="0.3">
      <c r="A4099" t="s">
        <v>25</v>
      </c>
      <c r="B4099">
        <v>153000</v>
      </c>
      <c r="G4099">
        <v>44249</v>
      </c>
      <c r="H4099">
        <v>2021</v>
      </c>
      <c r="I4099" t="s">
        <v>43</v>
      </c>
    </row>
    <row r="4100" spans="1:9" x14ac:dyDescent="0.3">
      <c r="A4100" t="s">
        <v>15</v>
      </c>
      <c r="C4100">
        <v>270000</v>
      </c>
      <c r="G4100">
        <v>44249</v>
      </c>
      <c r="H4100">
        <v>2021</v>
      </c>
      <c r="I4100" t="s">
        <v>43</v>
      </c>
    </row>
    <row r="4101" spans="1:9" x14ac:dyDescent="0.3">
      <c r="A4101" t="s">
        <v>54</v>
      </c>
      <c r="B4101">
        <v>378000</v>
      </c>
      <c r="G4101">
        <v>44249</v>
      </c>
      <c r="H4101">
        <v>2021</v>
      </c>
      <c r="I4101" t="s">
        <v>43</v>
      </c>
    </row>
    <row r="4102" spans="1:9" x14ac:dyDescent="0.3">
      <c r="A4102" t="s">
        <v>26</v>
      </c>
      <c r="B4102">
        <v>270000</v>
      </c>
      <c r="C4102">
        <v>157000</v>
      </c>
      <c r="F4102">
        <v>351000</v>
      </c>
      <c r="G4102">
        <v>44249</v>
      </c>
      <c r="H4102">
        <v>2021</v>
      </c>
      <c r="I4102" t="s">
        <v>43</v>
      </c>
    </row>
    <row r="4103" spans="1:9" x14ac:dyDescent="0.3">
      <c r="A4103" t="s">
        <v>22</v>
      </c>
      <c r="C4103">
        <v>104000</v>
      </c>
      <c r="G4103">
        <v>44249</v>
      </c>
      <c r="H4103">
        <v>2021</v>
      </c>
      <c r="I4103" t="s">
        <v>43</v>
      </c>
    </row>
    <row r="4104" spans="1:9" x14ac:dyDescent="0.3">
      <c r="A4104" t="s">
        <v>19</v>
      </c>
      <c r="B4104">
        <v>108000</v>
      </c>
      <c r="G4104">
        <v>44249</v>
      </c>
      <c r="H4104">
        <v>2021</v>
      </c>
      <c r="I4104" t="s">
        <v>43</v>
      </c>
    </row>
    <row r="4105" spans="1:9" x14ac:dyDescent="0.3">
      <c r="A4105" t="s">
        <v>14</v>
      </c>
      <c r="C4105">
        <v>269000</v>
      </c>
      <c r="G4105">
        <v>44249</v>
      </c>
      <c r="H4105">
        <v>2021</v>
      </c>
      <c r="I4105" t="s">
        <v>43</v>
      </c>
    </row>
    <row r="4106" spans="1:9" x14ac:dyDescent="0.3">
      <c r="A4106" t="s">
        <v>24</v>
      </c>
      <c r="C4106">
        <v>216000</v>
      </c>
      <c r="G4106">
        <v>44249</v>
      </c>
      <c r="H4106">
        <v>2021</v>
      </c>
      <c r="I4106" t="s">
        <v>43</v>
      </c>
    </row>
    <row r="4107" spans="1:9" x14ac:dyDescent="0.3">
      <c r="A4107" t="s">
        <v>21</v>
      </c>
      <c r="B4107">
        <v>270000</v>
      </c>
      <c r="C4107">
        <v>108000</v>
      </c>
      <c r="G4107">
        <v>44249</v>
      </c>
      <c r="H4107">
        <v>2021</v>
      </c>
      <c r="I4107" t="s">
        <v>43</v>
      </c>
    </row>
    <row r="4108" spans="1:9" x14ac:dyDescent="0.3">
      <c r="A4108" t="s">
        <v>18</v>
      </c>
      <c r="C4108">
        <v>270000</v>
      </c>
      <c r="G4108">
        <v>44249</v>
      </c>
      <c r="H4108">
        <v>2021</v>
      </c>
      <c r="I4108" t="s">
        <v>43</v>
      </c>
    </row>
    <row r="4109" spans="1:9" x14ac:dyDescent="0.3">
      <c r="A4109" t="s">
        <v>16</v>
      </c>
      <c r="G4109">
        <v>44249</v>
      </c>
      <c r="H4109">
        <v>2021</v>
      </c>
      <c r="I4109" t="s">
        <v>43</v>
      </c>
    </row>
    <row r="4110" spans="1:9" x14ac:dyDescent="0.3">
      <c r="A4110" t="s">
        <v>20</v>
      </c>
      <c r="G4110">
        <v>44250</v>
      </c>
      <c r="H4110">
        <v>2021</v>
      </c>
      <c r="I4110" t="s">
        <v>43</v>
      </c>
    </row>
    <row r="4111" spans="1:9" x14ac:dyDescent="0.3">
      <c r="A4111" t="s">
        <v>37</v>
      </c>
      <c r="C4111">
        <v>374000</v>
      </c>
      <c r="G4111">
        <v>44250</v>
      </c>
      <c r="H4111">
        <v>2021</v>
      </c>
      <c r="I4111" t="s">
        <v>43</v>
      </c>
    </row>
    <row r="4112" spans="1:9" x14ac:dyDescent="0.3">
      <c r="A4112" t="s">
        <v>17</v>
      </c>
      <c r="B4112">
        <v>373500</v>
      </c>
      <c r="C4112">
        <v>216000</v>
      </c>
      <c r="G4112">
        <v>44250</v>
      </c>
      <c r="H4112">
        <v>2021</v>
      </c>
      <c r="I4112" t="s">
        <v>43</v>
      </c>
    </row>
    <row r="4113" spans="1:9" x14ac:dyDescent="0.3">
      <c r="A4113" t="s">
        <v>0</v>
      </c>
      <c r="B4113">
        <v>45000</v>
      </c>
      <c r="G4113">
        <v>44250</v>
      </c>
      <c r="H4113">
        <v>2021</v>
      </c>
      <c r="I4113" t="s">
        <v>43</v>
      </c>
    </row>
    <row r="4114" spans="1:9" x14ac:dyDescent="0.3">
      <c r="A4114" t="s">
        <v>25</v>
      </c>
      <c r="B4114">
        <v>54000</v>
      </c>
      <c r="G4114">
        <v>44250</v>
      </c>
      <c r="H4114">
        <v>2021</v>
      </c>
      <c r="I4114" t="s">
        <v>43</v>
      </c>
    </row>
    <row r="4115" spans="1:9" x14ac:dyDescent="0.3">
      <c r="A4115" t="s">
        <v>15</v>
      </c>
      <c r="C4115">
        <v>378000</v>
      </c>
      <c r="E4115">
        <v>135000</v>
      </c>
      <c r="G4115">
        <v>44250</v>
      </c>
      <c r="H4115">
        <v>2021</v>
      </c>
      <c r="I4115" t="s">
        <v>43</v>
      </c>
    </row>
    <row r="4116" spans="1:9" x14ac:dyDescent="0.3">
      <c r="A4116" t="s">
        <v>54</v>
      </c>
      <c r="B4116">
        <v>216000</v>
      </c>
      <c r="G4116">
        <v>44250</v>
      </c>
      <c r="H4116">
        <v>2021</v>
      </c>
      <c r="I4116" t="s">
        <v>43</v>
      </c>
    </row>
    <row r="4117" spans="1:9" x14ac:dyDescent="0.3">
      <c r="A4117" t="s">
        <v>26</v>
      </c>
      <c r="B4117">
        <v>431000</v>
      </c>
      <c r="C4117">
        <v>216000</v>
      </c>
      <c r="F4117">
        <v>45000</v>
      </c>
      <c r="G4117">
        <v>44250</v>
      </c>
      <c r="H4117">
        <v>2021</v>
      </c>
      <c r="I4117" t="s">
        <v>43</v>
      </c>
    </row>
    <row r="4118" spans="1:9" x14ac:dyDescent="0.3">
      <c r="A4118" t="s">
        <v>22</v>
      </c>
      <c r="G4118">
        <v>44250</v>
      </c>
      <c r="H4118">
        <v>2021</v>
      </c>
      <c r="I4118" t="s">
        <v>43</v>
      </c>
    </row>
    <row r="4119" spans="1:9" x14ac:dyDescent="0.3">
      <c r="A4119" t="s">
        <v>19</v>
      </c>
      <c r="B4119">
        <v>45000</v>
      </c>
      <c r="G4119">
        <v>44250</v>
      </c>
      <c r="H4119">
        <v>2021</v>
      </c>
      <c r="I4119" t="s">
        <v>43</v>
      </c>
    </row>
    <row r="4120" spans="1:9" x14ac:dyDescent="0.3">
      <c r="A4120" t="s">
        <v>14</v>
      </c>
      <c r="C4120">
        <v>216000</v>
      </c>
      <c r="E4120">
        <v>45000</v>
      </c>
      <c r="G4120">
        <v>44250</v>
      </c>
      <c r="H4120">
        <v>2021</v>
      </c>
      <c r="I4120" t="s">
        <v>43</v>
      </c>
    </row>
    <row r="4121" spans="1:9" x14ac:dyDescent="0.3">
      <c r="A4121" t="s">
        <v>24</v>
      </c>
      <c r="B4121">
        <v>92000</v>
      </c>
      <c r="C4121">
        <v>378000</v>
      </c>
      <c r="G4121">
        <v>44250</v>
      </c>
      <c r="H4121">
        <v>2021</v>
      </c>
      <c r="I4121" t="s">
        <v>43</v>
      </c>
    </row>
    <row r="4122" spans="1:9" x14ac:dyDescent="0.3">
      <c r="A4122" t="s">
        <v>21</v>
      </c>
      <c r="B4122">
        <v>486000</v>
      </c>
      <c r="C4122">
        <v>162000</v>
      </c>
      <c r="G4122">
        <v>44250</v>
      </c>
      <c r="H4122">
        <v>2021</v>
      </c>
      <c r="I4122" t="s">
        <v>43</v>
      </c>
    </row>
    <row r="4123" spans="1:9" x14ac:dyDescent="0.3">
      <c r="A4123" t="s">
        <v>18</v>
      </c>
      <c r="C4123">
        <v>54000</v>
      </c>
      <c r="G4123">
        <v>44250</v>
      </c>
      <c r="H4123">
        <v>2021</v>
      </c>
      <c r="I4123" t="s">
        <v>43</v>
      </c>
    </row>
    <row r="4124" spans="1:9" x14ac:dyDescent="0.3">
      <c r="A4124" t="s">
        <v>16</v>
      </c>
      <c r="G4124">
        <v>44250</v>
      </c>
      <c r="H4124">
        <v>2021</v>
      </c>
      <c r="I4124" t="s">
        <v>43</v>
      </c>
    </row>
    <row r="4125" spans="1:9" x14ac:dyDescent="0.3">
      <c r="A4125" t="s">
        <v>20</v>
      </c>
      <c r="G4125">
        <v>44251</v>
      </c>
      <c r="H4125">
        <v>2021</v>
      </c>
      <c r="I4125" t="s">
        <v>43</v>
      </c>
    </row>
    <row r="4126" spans="1:9" x14ac:dyDescent="0.3">
      <c r="A4126" t="s">
        <v>37</v>
      </c>
      <c r="C4126">
        <v>157500</v>
      </c>
      <c r="G4126">
        <v>44251</v>
      </c>
      <c r="H4126">
        <v>2021</v>
      </c>
      <c r="I4126" t="s">
        <v>43</v>
      </c>
    </row>
    <row r="4127" spans="1:9" x14ac:dyDescent="0.3">
      <c r="A4127" t="s">
        <v>17</v>
      </c>
      <c r="B4127">
        <v>864000</v>
      </c>
      <c r="C4127">
        <v>216000</v>
      </c>
      <c r="G4127">
        <v>44251</v>
      </c>
      <c r="H4127">
        <v>2021</v>
      </c>
      <c r="I4127" t="s">
        <v>43</v>
      </c>
    </row>
    <row r="4128" spans="1:9" x14ac:dyDescent="0.3">
      <c r="A4128" t="s">
        <v>0</v>
      </c>
      <c r="G4128">
        <v>44251</v>
      </c>
      <c r="H4128">
        <v>2021</v>
      </c>
      <c r="I4128" t="s">
        <v>43</v>
      </c>
    </row>
    <row r="4129" spans="1:9" x14ac:dyDescent="0.3">
      <c r="A4129" t="s">
        <v>25</v>
      </c>
      <c r="G4129">
        <v>44251</v>
      </c>
      <c r="H4129">
        <v>2021</v>
      </c>
      <c r="I4129" t="s">
        <v>43</v>
      </c>
    </row>
    <row r="4130" spans="1:9" x14ac:dyDescent="0.3">
      <c r="A4130" t="s">
        <v>15</v>
      </c>
      <c r="C4130">
        <v>324000</v>
      </c>
      <c r="G4130">
        <v>44251</v>
      </c>
      <c r="H4130">
        <v>2021</v>
      </c>
      <c r="I4130" t="s">
        <v>43</v>
      </c>
    </row>
    <row r="4131" spans="1:9" x14ac:dyDescent="0.3">
      <c r="A4131" t="s">
        <v>54</v>
      </c>
      <c r="G4131">
        <v>44251</v>
      </c>
      <c r="H4131">
        <v>2021</v>
      </c>
      <c r="I4131" t="s">
        <v>43</v>
      </c>
    </row>
    <row r="4132" spans="1:9" x14ac:dyDescent="0.3">
      <c r="A4132" t="s">
        <v>26</v>
      </c>
      <c r="B4132">
        <v>585000</v>
      </c>
      <c r="C4132">
        <v>266000</v>
      </c>
      <c r="G4132">
        <v>44251</v>
      </c>
      <c r="H4132">
        <v>2021</v>
      </c>
      <c r="I4132" t="s">
        <v>43</v>
      </c>
    </row>
    <row r="4133" spans="1:9" x14ac:dyDescent="0.3">
      <c r="A4133" t="s">
        <v>22</v>
      </c>
      <c r="C4133">
        <v>188000</v>
      </c>
      <c r="G4133">
        <v>44251</v>
      </c>
      <c r="H4133">
        <v>2021</v>
      </c>
      <c r="I4133" t="s">
        <v>43</v>
      </c>
    </row>
    <row r="4134" spans="1:9" x14ac:dyDescent="0.3">
      <c r="A4134" t="s">
        <v>19</v>
      </c>
      <c r="B4134">
        <v>90000</v>
      </c>
      <c r="C4134">
        <v>45000</v>
      </c>
      <c r="G4134">
        <v>44251</v>
      </c>
      <c r="H4134">
        <v>2021</v>
      </c>
      <c r="I4134" t="s">
        <v>43</v>
      </c>
    </row>
    <row r="4135" spans="1:9" x14ac:dyDescent="0.3">
      <c r="A4135" t="s">
        <v>14</v>
      </c>
      <c r="C4135">
        <v>432000</v>
      </c>
      <c r="G4135">
        <v>44251</v>
      </c>
      <c r="H4135">
        <v>2021</v>
      </c>
      <c r="I4135" t="s">
        <v>43</v>
      </c>
    </row>
    <row r="4136" spans="1:9" x14ac:dyDescent="0.3">
      <c r="A4136" t="s">
        <v>24</v>
      </c>
      <c r="C4136">
        <v>324000</v>
      </c>
      <c r="G4136">
        <v>44251</v>
      </c>
      <c r="H4136">
        <v>2021</v>
      </c>
      <c r="I4136" t="s">
        <v>43</v>
      </c>
    </row>
    <row r="4137" spans="1:9" x14ac:dyDescent="0.3">
      <c r="A4137" t="s">
        <v>21</v>
      </c>
      <c r="B4137">
        <v>211500</v>
      </c>
      <c r="G4137">
        <v>44251</v>
      </c>
      <c r="H4137">
        <v>2021</v>
      </c>
      <c r="I4137" t="s">
        <v>43</v>
      </c>
    </row>
    <row r="4138" spans="1:9" x14ac:dyDescent="0.3">
      <c r="A4138" t="s">
        <v>18</v>
      </c>
      <c r="G4138">
        <v>44251</v>
      </c>
      <c r="H4138">
        <v>2021</v>
      </c>
      <c r="I4138" t="s">
        <v>43</v>
      </c>
    </row>
    <row r="4139" spans="1:9" x14ac:dyDescent="0.3">
      <c r="A4139" t="s">
        <v>16</v>
      </c>
      <c r="G4139">
        <v>44251</v>
      </c>
      <c r="H4139">
        <v>2021</v>
      </c>
      <c r="I4139" t="s">
        <v>43</v>
      </c>
    </row>
    <row r="4140" spans="1:9" x14ac:dyDescent="0.3">
      <c r="A4140" t="s">
        <v>20</v>
      </c>
      <c r="G4140">
        <v>44252</v>
      </c>
      <c r="H4140">
        <v>2021</v>
      </c>
      <c r="I4140" t="s">
        <v>43</v>
      </c>
    </row>
    <row r="4141" spans="1:9" x14ac:dyDescent="0.3">
      <c r="A4141" t="s">
        <v>37</v>
      </c>
      <c r="C4141">
        <v>92500</v>
      </c>
      <c r="G4141">
        <v>44252</v>
      </c>
      <c r="H4141">
        <v>2021</v>
      </c>
      <c r="I4141" t="s">
        <v>43</v>
      </c>
    </row>
    <row r="4142" spans="1:9" x14ac:dyDescent="0.3">
      <c r="A4142" t="s">
        <v>17</v>
      </c>
      <c r="B4142">
        <v>702000</v>
      </c>
      <c r="C4142">
        <v>158000</v>
      </c>
      <c r="G4142">
        <v>44252</v>
      </c>
      <c r="H4142">
        <v>2021</v>
      </c>
      <c r="I4142" t="s">
        <v>43</v>
      </c>
    </row>
    <row r="4143" spans="1:9" x14ac:dyDescent="0.3">
      <c r="A4143" t="s">
        <v>0</v>
      </c>
      <c r="F4143">
        <v>486000</v>
      </c>
      <c r="G4143">
        <v>44252</v>
      </c>
      <c r="H4143">
        <v>2021</v>
      </c>
      <c r="I4143" t="s">
        <v>43</v>
      </c>
    </row>
    <row r="4144" spans="1:9" x14ac:dyDescent="0.3">
      <c r="A4144" t="s">
        <v>25</v>
      </c>
      <c r="B4144">
        <v>540000</v>
      </c>
      <c r="G4144">
        <v>44252</v>
      </c>
      <c r="H4144">
        <v>2021</v>
      </c>
      <c r="I4144" t="s">
        <v>43</v>
      </c>
    </row>
    <row r="4145" spans="1:9" x14ac:dyDescent="0.3">
      <c r="A4145" t="s">
        <v>15</v>
      </c>
      <c r="C4145">
        <v>269000</v>
      </c>
      <c r="G4145">
        <v>44252</v>
      </c>
      <c r="H4145">
        <v>2021</v>
      </c>
      <c r="I4145" t="s">
        <v>43</v>
      </c>
    </row>
    <row r="4146" spans="1:9" x14ac:dyDescent="0.3">
      <c r="A4146" t="s">
        <v>54</v>
      </c>
      <c r="G4146">
        <v>44252</v>
      </c>
      <c r="H4146">
        <v>2021</v>
      </c>
      <c r="I4146" t="s">
        <v>43</v>
      </c>
    </row>
    <row r="4147" spans="1:9" x14ac:dyDescent="0.3">
      <c r="A4147" t="s">
        <v>26</v>
      </c>
      <c r="B4147">
        <v>486000</v>
      </c>
      <c r="C4147">
        <v>540000</v>
      </c>
      <c r="E4147">
        <v>369000</v>
      </c>
      <c r="G4147">
        <v>44252</v>
      </c>
      <c r="H4147">
        <v>2021</v>
      </c>
      <c r="I4147" t="s">
        <v>43</v>
      </c>
    </row>
    <row r="4148" spans="1:9" x14ac:dyDescent="0.3">
      <c r="A4148" t="s">
        <v>22</v>
      </c>
      <c r="G4148">
        <v>44252</v>
      </c>
      <c r="H4148">
        <v>2021</v>
      </c>
      <c r="I4148" t="s">
        <v>43</v>
      </c>
    </row>
    <row r="4149" spans="1:9" x14ac:dyDescent="0.3">
      <c r="A4149" t="s">
        <v>19</v>
      </c>
      <c r="C4149">
        <v>45000</v>
      </c>
      <c r="G4149">
        <v>44252</v>
      </c>
      <c r="H4149">
        <v>2021</v>
      </c>
      <c r="I4149" t="s">
        <v>43</v>
      </c>
    </row>
    <row r="4150" spans="1:9" x14ac:dyDescent="0.3">
      <c r="A4150" t="s">
        <v>14</v>
      </c>
      <c r="C4150">
        <v>378000</v>
      </c>
      <c r="G4150">
        <v>44252</v>
      </c>
      <c r="H4150">
        <v>2021</v>
      </c>
      <c r="I4150" t="s">
        <v>43</v>
      </c>
    </row>
    <row r="4151" spans="1:9" x14ac:dyDescent="0.3">
      <c r="A4151" t="s">
        <v>24</v>
      </c>
      <c r="B4151">
        <v>45000</v>
      </c>
      <c r="C4151">
        <v>378000</v>
      </c>
      <c r="G4151">
        <v>44252</v>
      </c>
      <c r="H4151">
        <v>2021</v>
      </c>
      <c r="I4151" t="s">
        <v>43</v>
      </c>
    </row>
    <row r="4152" spans="1:9" x14ac:dyDescent="0.3">
      <c r="A4152" t="s">
        <v>21</v>
      </c>
      <c r="B4152">
        <v>54000</v>
      </c>
      <c r="G4152">
        <v>44252</v>
      </c>
      <c r="H4152">
        <v>2021</v>
      </c>
      <c r="I4152" t="s">
        <v>43</v>
      </c>
    </row>
    <row r="4153" spans="1:9" x14ac:dyDescent="0.3">
      <c r="A4153" t="s">
        <v>18</v>
      </c>
      <c r="G4153">
        <v>44252</v>
      </c>
      <c r="H4153">
        <v>2021</v>
      </c>
      <c r="I4153" t="s">
        <v>43</v>
      </c>
    </row>
    <row r="4154" spans="1:9" x14ac:dyDescent="0.3">
      <c r="A4154" t="s">
        <v>16</v>
      </c>
      <c r="G4154">
        <v>44252</v>
      </c>
      <c r="H4154">
        <v>2021</v>
      </c>
      <c r="I4154" t="s">
        <v>43</v>
      </c>
    </row>
    <row r="4155" spans="1:9" x14ac:dyDescent="0.3">
      <c r="A4155" t="s">
        <v>20</v>
      </c>
      <c r="G4155">
        <v>44253</v>
      </c>
      <c r="H4155">
        <v>2021</v>
      </c>
      <c r="I4155" t="s">
        <v>43</v>
      </c>
    </row>
    <row r="4156" spans="1:9" x14ac:dyDescent="0.3">
      <c r="A4156" t="s">
        <v>37</v>
      </c>
      <c r="C4156">
        <v>45000</v>
      </c>
      <c r="G4156">
        <v>44253</v>
      </c>
      <c r="H4156">
        <v>2021</v>
      </c>
      <c r="I4156" t="s">
        <v>43</v>
      </c>
    </row>
    <row r="4157" spans="1:9" x14ac:dyDescent="0.3">
      <c r="A4157" t="s">
        <v>17</v>
      </c>
      <c r="C4157">
        <v>200000</v>
      </c>
      <c r="G4157">
        <v>44253</v>
      </c>
      <c r="H4157">
        <v>2021</v>
      </c>
      <c r="I4157" t="s">
        <v>43</v>
      </c>
    </row>
    <row r="4158" spans="1:9" x14ac:dyDescent="0.3">
      <c r="A4158" t="s">
        <v>0</v>
      </c>
      <c r="F4158">
        <v>424000</v>
      </c>
      <c r="G4158">
        <v>44253</v>
      </c>
      <c r="H4158">
        <v>2021</v>
      </c>
      <c r="I4158" t="s">
        <v>43</v>
      </c>
    </row>
    <row r="4159" spans="1:9" x14ac:dyDescent="0.3">
      <c r="A4159" t="s">
        <v>25</v>
      </c>
      <c r="B4159">
        <v>1391000</v>
      </c>
      <c r="G4159">
        <v>44253</v>
      </c>
      <c r="H4159">
        <v>2021</v>
      </c>
      <c r="I4159" t="s">
        <v>43</v>
      </c>
    </row>
    <row r="4160" spans="1:9" x14ac:dyDescent="0.3">
      <c r="A4160" t="s">
        <v>15</v>
      </c>
      <c r="C4160">
        <v>108000</v>
      </c>
      <c r="G4160">
        <v>44253</v>
      </c>
      <c r="H4160">
        <v>2021</v>
      </c>
      <c r="I4160" t="s">
        <v>43</v>
      </c>
    </row>
    <row r="4161" spans="1:9" x14ac:dyDescent="0.3">
      <c r="A4161" t="s">
        <v>54</v>
      </c>
      <c r="G4161">
        <v>44253</v>
      </c>
      <c r="H4161">
        <v>2021</v>
      </c>
      <c r="I4161" t="s">
        <v>43</v>
      </c>
    </row>
    <row r="4162" spans="1:9" x14ac:dyDescent="0.3">
      <c r="A4162" t="s">
        <v>26</v>
      </c>
      <c r="C4162">
        <v>162000</v>
      </c>
      <c r="E4162">
        <v>162000</v>
      </c>
      <c r="G4162">
        <v>44253</v>
      </c>
      <c r="H4162">
        <v>2021</v>
      </c>
      <c r="I4162" t="s">
        <v>43</v>
      </c>
    </row>
    <row r="4163" spans="1:9" x14ac:dyDescent="0.3">
      <c r="A4163" t="s">
        <v>22</v>
      </c>
      <c r="G4163">
        <v>44253</v>
      </c>
      <c r="H4163">
        <v>2021</v>
      </c>
      <c r="I4163" t="s">
        <v>43</v>
      </c>
    </row>
    <row r="4164" spans="1:9" x14ac:dyDescent="0.3">
      <c r="A4164" t="s">
        <v>19</v>
      </c>
      <c r="C4164">
        <v>972000</v>
      </c>
      <c r="G4164">
        <v>44253</v>
      </c>
      <c r="H4164">
        <v>2021</v>
      </c>
      <c r="I4164" t="s">
        <v>43</v>
      </c>
    </row>
    <row r="4165" spans="1:9" x14ac:dyDescent="0.3">
      <c r="A4165" t="s">
        <v>14</v>
      </c>
      <c r="C4165">
        <v>162000</v>
      </c>
      <c r="G4165">
        <v>44253</v>
      </c>
      <c r="H4165">
        <v>2021</v>
      </c>
      <c r="I4165" t="s">
        <v>43</v>
      </c>
    </row>
    <row r="4166" spans="1:9" x14ac:dyDescent="0.3">
      <c r="A4166" t="s">
        <v>24</v>
      </c>
      <c r="C4166">
        <v>108000</v>
      </c>
      <c r="G4166">
        <v>44253</v>
      </c>
      <c r="H4166">
        <v>2021</v>
      </c>
      <c r="I4166" t="s">
        <v>43</v>
      </c>
    </row>
    <row r="4167" spans="1:9" x14ac:dyDescent="0.3">
      <c r="A4167" t="s">
        <v>21</v>
      </c>
      <c r="G4167">
        <v>44253</v>
      </c>
      <c r="H4167">
        <v>2021</v>
      </c>
      <c r="I4167" t="s">
        <v>43</v>
      </c>
    </row>
    <row r="4168" spans="1:9" x14ac:dyDescent="0.3">
      <c r="A4168" t="s">
        <v>18</v>
      </c>
      <c r="F4168">
        <v>216000</v>
      </c>
      <c r="G4168">
        <v>44253</v>
      </c>
      <c r="H4168">
        <v>2021</v>
      </c>
      <c r="I4168" t="s">
        <v>43</v>
      </c>
    </row>
    <row r="4169" spans="1:9" x14ac:dyDescent="0.3">
      <c r="A4169" t="s">
        <v>16</v>
      </c>
      <c r="C4169">
        <v>54000</v>
      </c>
      <c r="E4169">
        <v>216000</v>
      </c>
      <c r="G4169">
        <v>44253</v>
      </c>
      <c r="H4169">
        <v>2021</v>
      </c>
      <c r="I4169" t="s">
        <v>43</v>
      </c>
    </row>
    <row r="4170" spans="1:9" x14ac:dyDescent="0.3">
      <c r="A4170" t="s">
        <v>20</v>
      </c>
      <c r="G4170">
        <v>44254</v>
      </c>
      <c r="H4170">
        <v>2021</v>
      </c>
      <c r="I4170" t="s">
        <v>43</v>
      </c>
    </row>
    <row r="4171" spans="1:9" x14ac:dyDescent="0.3">
      <c r="A4171" t="s">
        <v>37</v>
      </c>
      <c r="G4171">
        <v>44254</v>
      </c>
      <c r="H4171">
        <v>2021</v>
      </c>
      <c r="I4171" t="s">
        <v>43</v>
      </c>
    </row>
    <row r="4172" spans="1:9" x14ac:dyDescent="0.3">
      <c r="A4172" t="s">
        <v>17</v>
      </c>
      <c r="B4172">
        <v>54000</v>
      </c>
      <c r="C4172">
        <v>54000</v>
      </c>
      <c r="G4172">
        <v>44254</v>
      </c>
      <c r="H4172">
        <v>2021</v>
      </c>
      <c r="I4172" t="s">
        <v>43</v>
      </c>
    </row>
    <row r="4173" spans="1:9" x14ac:dyDescent="0.3">
      <c r="A4173" t="s">
        <v>0</v>
      </c>
      <c r="F4173">
        <v>90000</v>
      </c>
      <c r="G4173">
        <v>44254</v>
      </c>
      <c r="H4173">
        <v>2021</v>
      </c>
      <c r="I4173" t="s">
        <v>43</v>
      </c>
    </row>
    <row r="4174" spans="1:9" x14ac:dyDescent="0.3">
      <c r="A4174" t="s">
        <v>25</v>
      </c>
      <c r="B4174">
        <v>910000</v>
      </c>
      <c r="G4174">
        <v>44254</v>
      </c>
      <c r="H4174">
        <v>2021</v>
      </c>
      <c r="I4174" t="s">
        <v>43</v>
      </c>
    </row>
    <row r="4175" spans="1:9" x14ac:dyDescent="0.3">
      <c r="A4175" t="s">
        <v>15</v>
      </c>
      <c r="C4175">
        <v>108000</v>
      </c>
      <c r="G4175">
        <v>44254</v>
      </c>
      <c r="H4175">
        <v>2021</v>
      </c>
      <c r="I4175" t="s">
        <v>43</v>
      </c>
    </row>
    <row r="4176" spans="1:9" x14ac:dyDescent="0.3">
      <c r="A4176" t="s">
        <v>54</v>
      </c>
      <c r="G4176">
        <v>44254</v>
      </c>
      <c r="H4176">
        <v>2021</v>
      </c>
      <c r="I4176" t="s">
        <v>43</v>
      </c>
    </row>
    <row r="4177" spans="1:9" x14ac:dyDescent="0.3">
      <c r="A4177" t="s">
        <v>26</v>
      </c>
      <c r="B4177">
        <v>54000</v>
      </c>
      <c r="C4177">
        <v>377000</v>
      </c>
      <c r="E4177">
        <v>468000</v>
      </c>
      <c r="G4177">
        <v>44254</v>
      </c>
      <c r="H4177">
        <v>2021</v>
      </c>
      <c r="I4177" t="s">
        <v>43</v>
      </c>
    </row>
    <row r="4178" spans="1:9" x14ac:dyDescent="0.3">
      <c r="A4178" t="s">
        <v>22</v>
      </c>
      <c r="G4178">
        <v>44254</v>
      </c>
      <c r="H4178">
        <v>2021</v>
      </c>
      <c r="I4178" t="s">
        <v>43</v>
      </c>
    </row>
    <row r="4179" spans="1:9" x14ac:dyDescent="0.3">
      <c r="A4179" t="s">
        <v>19</v>
      </c>
      <c r="G4179">
        <v>44254</v>
      </c>
      <c r="H4179">
        <v>2021</v>
      </c>
      <c r="I4179" t="s">
        <v>43</v>
      </c>
    </row>
    <row r="4180" spans="1:9" x14ac:dyDescent="0.3">
      <c r="A4180" t="s">
        <v>14</v>
      </c>
      <c r="B4180">
        <v>858000</v>
      </c>
      <c r="C4180">
        <v>378000</v>
      </c>
      <c r="D4180">
        <v>316000</v>
      </c>
      <c r="E4180">
        <v>45000</v>
      </c>
      <c r="G4180">
        <v>44254</v>
      </c>
      <c r="H4180">
        <v>2021</v>
      </c>
      <c r="I4180" t="s">
        <v>43</v>
      </c>
    </row>
    <row r="4181" spans="1:9" x14ac:dyDescent="0.3">
      <c r="A4181" t="s">
        <v>24</v>
      </c>
      <c r="C4181">
        <v>216000</v>
      </c>
      <c r="G4181">
        <v>44254</v>
      </c>
      <c r="H4181">
        <v>2021</v>
      </c>
      <c r="I4181" t="s">
        <v>43</v>
      </c>
    </row>
    <row r="4182" spans="1:9" x14ac:dyDescent="0.3">
      <c r="A4182" t="s">
        <v>21</v>
      </c>
      <c r="G4182">
        <v>44254</v>
      </c>
      <c r="H4182">
        <v>2021</v>
      </c>
      <c r="I4182" t="s">
        <v>43</v>
      </c>
    </row>
    <row r="4183" spans="1:9" x14ac:dyDescent="0.3">
      <c r="A4183" t="s">
        <v>18</v>
      </c>
      <c r="F4183">
        <v>270000</v>
      </c>
      <c r="G4183">
        <v>44254</v>
      </c>
      <c r="H4183">
        <v>2021</v>
      </c>
      <c r="I4183" t="s">
        <v>43</v>
      </c>
    </row>
    <row r="4184" spans="1:9" x14ac:dyDescent="0.3">
      <c r="A4184" t="s">
        <v>16</v>
      </c>
      <c r="C4184">
        <v>378000</v>
      </c>
      <c r="E4184">
        <v>150000</v>
      </c>
      <c r="G4184">
        <v>44254</v>
      </c>
      <c r="H4184">
        <v>2021</v>
      </c>
      <c r="I4184" t="s">
        <v>43</v>
      </c>
    </row>
    <row r="4185" spans="1:9" x14ac:dyDescent="0.3">
      <c r="A4185" t="s">
        <v>20</v>
      </c>
      <c r="G4185">
        <v>44256</v>
      </c>
      <c r="H4185">
        <v>2021</v>
      </c>
      <c r="I4185" t="s">
        <v>45</v>
      </c>
    </row>
    <row r="4186" spans="1:9" x14ac:dyDescent="0.3">
      <c r="A4186" t="s">
        <v>37</v>
      </c>
      <c r="G4186">
        <v>44256</v>
      </c>
      <c r="H4186">
        <v>2021</v>
      </c>
      <c r="I4186" t="s">
        <v>45</v>
      </c>
    </row>
    <row r="4187" spans="1:9" x14ac:dyDescent="0.3">
      <c r="A4187" t="s">
        <v>17</v>
      </c>
      <c r="G4187">
        <v>44256</v>
      </c>
      <c r="H4187">
        <v>2021</v>
      </c>
      <c r="I4187" t="s">
        <v>45</v>
      </c>
    </row>
    <row r="4188" spans="1:9" x14ac:dyDescent="0.3">
      <c r="A4188" t="s">
        <v>0</v>
      </c>
      <c r="G4188">
        <v>44256</v>
      </c>
      <c r="H4188">
        <v>2021</v>
      </c>
      <c r="I4188" t="s">
        <v>45</v>
      </c>
    </row>
    <row r="4189" spans="1:9" x14ac:dyDescent="0.3">
      <c r="A4189" t="s">
        <v>25</v>
      </c>
      <c r="G4189">
        <v>44256</v>
      </c>
      <c r="H4189">
        <v>2021</v>
      </c>
      <c r="I4189" t="s">
        <v>45</v>
      </c>
    </row>
    <row r="4190" spans="1:9" x14ac:dyDescent="0.3">
      <c r="A4190" t="s">
        <v>15</v>
      </c>
      <c r="C4190">
        <v>108000</v>
      </c>
      <c r="G4190">
        <v>44256</v>
      </c>
      <c r="H4190">
        <v>2021</v>
      </c>
      <c r="I4190" t="s">
        <v>45</v>
      </c>
    </row>
    <row r="4191" spans="1:9" x14ac:dyDescent="0.3">
      <c r="A4191" t="s">
        <v>54</v>
      </c>
      <c r="G4191">
        <v>44256</v>
      </c>
      <c r="H4191">
        <v>2021</v>
      </c>
      <c r="I4191" t="s">
        <v>45</v>
      </c>
    </row>
    <row r="4192" spans="1:9" x14ac:dyDescent="0.3">
      <c r="A4192" t="s">
        <v>26</v>
      </c>
      <c r="C4192">
        <v>162000</v>
      </c>
      <c r="G4192">
        <v>44256</v>
      </c>
      <c r="H4192">
        <v>2021</v>
      </c>
      <c r="I4192" t="s">
        <v>45</v>
      </c>
    </row>
    <row r="4193" spans="1:9" x14ac:dyDescent="0.3">
      <c r="A4193" t="s">
        <v>22</v>
      </c>
      <c r="G4193">
        <v>44256</v>
      </c>
      <c r="H4193">
        <v>2021</v>
      </c>
      <c r="I4193" t="s">
        <v>45</v>
      </c>
    </row>
    <row r="4194" spans="1:9" x14ac:dyDescent="0.3">
      <c r="A4194" t="s">
        <v>19</v>
      </c>
      <c r="G4194">
        <v>44256</v>
      </c>
      <c r="H4194">
        <v>2021</v>
      </c>
      <c r="I4194" t="s">
        <v>45</v>
      </c>
    </row>
    <row r="4195" spans="1:9" x14ac:dyDescent="0.3">
      <c r="A4195" t="s">
        <v>14</v>
      </c>
      <c r="B4195">
        <v>500500</v>
      </c>
      <c r="G4195">
        <v>44256</v>
      </c>
      <c r="H4195">
        <v>2021</v>
      </c>
      <c r="I4195" t="s">
        <v>45</v>
      </c>
    </row>
    <row r="4196" spans="1:9" x14ac:dyDescent="0.3">
      <c r="A4196" t="s">
        <v>24</v>
      </c>
      <c r="C4196">
        <v>104000</v>
      </c>
      <c r="G4196">
        <v>44256</v>
      </c>
      <c r="H4196">
        <v>2021</v>
      </c>
      <c r="I4196" t="s">
        <v>45</v>
      </c>
    </row>
    <row r="4197" spans="1:9" x14ac:dyDescent="0.3">
      <c r="A4197" t="s">
        <v>21</v>
      </c>
      <c r="G4197">
        <v>44256</v>
      </c>
      <c r="H4197">
        <v>2021</v>
      </c>
      <c r="I4197" t="s">
        <v>45</v>
      </c>
    </row>
    <row r="4198" spans="1:9" x14ac:dyDescent="0.3">
      <c r="A4198" t="s">
        <v>18</v>
      </c>
      <c r="G4198">
        <v>44256</v>
      </c>
      <c r="H4198">
        <v>2021</v>
      </c>
      <c r="I4198" t="s">
        <v>45</v>
      </c>
    </row>
    <row r="4199" spans="1:9" x14ac:dyDescent="0.3">
      <c r="A4199" t="s">
        <v>16</v>
      </c>
      <c r="C4199">
        <v>158000</v>
      </c>
      <c r="G4199">
        <v>44256</v>
      </c>
      <c r="H4199">
        <v>2021</v>
      </c>
      <c r="I4199" t="s">
        <v>45</v>
      </c>
    </row>
    <row r="4200" spans="1:9" x14ac:dyDescent="0.3">
      <c r="A4200" t="s">
        <v>20</v>
      </c>
      <c r="G4200">
        <v>44257</v>
      </c>
      <c r="H4200">
        <v>2021</v>
      </c>
      <c r="I4200" t="s">
        <v>45</v>
      </c>
    </row>
    <row r="4201" spans="1:9" x14ac:dyDescent="0.3">
      <c r="A4201" t="s">
        <v>37</v>
      </c>
      <c r="G4201">
        <v>44257</v>
      </c>
      <c r="H4201">
        <v>2021</v>
      </c>
      <c r="I4201" t="s">
        <v>45</v>
      </c>
    </row>
    <row r="4202" spans="1:9" x14ac:dyDescent="0.3">
      <c r="A4202" t="s">
        <v>17</v>
      </c>
      <c r="G4202">
        <v>44257</v>
      </c>
      <c r="H4202">
        <v>2021</v>
      </c>
      <c r="I4202" t="s">
        <v>45</v>
      </c>
    </row>
    <row r="4203" spans="1:9" x14ac:dyDescent="0.3">
      <c r="A4203" t="s">
        <v>0</v>
      </c>
      <c r="G4203">
        <v>44257</v>
      </c>
      <c r="H4203">
        <v>2021</v>
      </c>
      <c r="I4203" t="s">
        <v>45</v>
      </c>
    </row>
    <row r="4204" spans="1:9" x14ac:dyDescent="0.3">
      <c r="A4204" t="s">
        <v>25</v>
      </c>
      <c r="G4204">
        <v>44257</v>
      </c>
      <c r="H4204">
        <v>2021</v>
      </c>
      <c r="I4204" t="s">
        <v>45</v>
      </c>
    </row>
    <row r="4205" spans="1:9" x14ac:dyDescent="0.3">
      <c r="A4205" t="s">
        <v>15</v>
      </c>
      <c r="C4205">
        <v>108000</v>
      </c>
      <c r="G4205">
        <v>44257</v>
      </c>
      <c r="H4205">
        <v>2021</v>
      </c>
      <c r="I4205" t="s">
        <v>45</v>
      </c>
    </row>
    <row r="4206" spans="1:9" x14ac:dyDescent="0.3">
      <c r="A4206" t="s">
        <v>54</v>
      </c>
      <c r="G4206">
        <v>44257</v>
      </c>
      <c r="H4206">
        <v>2021</v>
      </c>
      <c r="I4206" t="s">
        <v>45</v>
      </c>
    </row>
    <row r="4207" spans="1:9" x14ac:dyDescent="0.3">
      <c r="A4207" t="s">
        <v>26</v>
      </c>
      <c r="C4207">
        <v>648000</v>
      </c>
      <c r="G4207">
        <v>44257</v>
      </c>
      <c r="H4207">
        <v>2021</v>
      </c>
      <c r="I4207" t="s">
        <v>45</v>
      </c>
    </row>
    <row r="4208" spans="1:9" x14ac:dyDescent="0.3">
      <c r="A4208" t="s">
        <v>22</v>
      </c>
      <c r="G4208">
        <v>44257</v>
      </c>
      <c r="H4208">
        <v>2021</v>
      </c>
      <c r="I4208" t="s">
        <v>45</v>
      </c>
    </row>
    <row r="4209" spans="1:9" x14ac:dyDescent="0.3">
      <c r="A4209" t="s">
        <v>19</v>
      </c>
      <c r="G4209">
        <v>44257</v>
      </c>
      <c r="H4209">
        <v>2021</v>
      </c>
      <c r="I4209" t="s">
        <v>45</v>
      </c>
    </row>
    <row r="4210" spans="1:9" x14ac:dyDescent="0.3">
      <c r="A4210" t="s">
        <v>14</v>
      </c>
      <c r="B4210">
        <v>540000</v>
      </c>
      <c r="C4210">
        <v>54000</v>
      </c>
      <c r="D4210">
        <v>162000</v>
      </c>
      <c r="E4210">
        <v>45000</v>
      </c>
      <c r="G4210">
        <v>44257</v>
      </c>
      <c r="H4210">
        <v>2021</v>
      </c>
      <c r="I4210" t="s">
        <v>45</v>
      </c>
    </row>
    <row r="4211" spans="1:9" x14ac:dyDescent="0.3">
      <c r="A4211" t="s">
        <v>24</v>
      </c>
      <c r="G4211">
        <v>44257</v>
      </c>
      <c r="H4211">
        <v>2021</v>
      </c>
      <c r="I4211" t="s">
        <v>45</v>
      </c>
    </row>
    <row r="4212" spans="1:9" x14ac:dyDescent="0.3">
      <c r="A4212" t="s">
        <v>21</v>
      </c>
      <c r="G4212">
        <v>44257</v>
      </c>
      <c r="H4212">
        <v>2021</v>
      </c>
      <c r="I4212" t="s">
        <v>45</v>
      </c>
    </row>
    <row r="4213" spans="1:9" x14ac:dyDescent="0.3">
      <c r="A4213" t="s">
        <v>18</v>
      </c>
      <c r="F4213">
        <v>918000</v>
      </c>
      <c r="G4213">
        <v>44257</v>
      </c>
      <c r="H4213">
        <v>2021</v>
      </c>
      <c r="I4213" t="s">
        <v>45</v>
      </c>
    </row>
    <row r="4214" spans="1:9" x14ac:dyDescent="0.3">
      <c r="A4214" t="s">
        <v>16</v>
      </c>
      <c r="C4214">
        <v>755500</v>
      </c>
      <c r="G4214">
        <v>44257</v>
      </c>
      <c r="H4214">
        <v>2021</v>
      </c>
      <c r="I4214" t="s">
        <v>45</v>
      </c>
    </row>
    <row r="4215" spans="1:9" x14ac:dyDescent="0.3">
      <c r="A4215" t="s">
        <v>20</v>
      </c>
      <c r="G4215">
        <v>44258</v>
      </c>
      <c r="H4215">
        <v>2021</v>
      </c>
      <c r="I4215" t="s">
        <v>45</v>
      </c>
    </row>
    <row r="4216" spans="1:9" x14ac:dyDescent="0.3">
      <c r="A4216" t="s">
        <v>37</v>
      </c>
      <c r="G4216">
        <v>44258</v>
      </c>
      <c r="H4216">
        <v>2021</v>
      </c>
      <c r="I4216" t="s">
        <v>45</v>
      </c>
    </row>
    <row r="4217" spans="1:9" x14ac:dyDescent="0.3">
      <c r="A4217" t="s">
        <v>17</v>
      </c>
      <c r="B4217">
        <v>1188000</v>
      </c>
      <c r="D4217">
        <v>324000</v>
      </c>
      <c r="G4217">
        <v>44258</v>
      </c>
      <c r="H4217">
        <v>2021</v>
      </c>
      <c r="I4217" t="s">
        <v>45</v>
      </c>
    </row>
    <row r="4218" spans="1:9" x14ac:dyDescent="0.3">
      <c r="A4218" t="s">
        <v>0</v>
      </c>
      <c r="F4218">
        <v>145000</v>
      </c>
      <c r="G4218">
        <v>44258</v>
      </c>
      <c r="H4218">
        <v>2021</v>
      </c>
      <c r="I4218" t="s">
        <v>45</v>
      </c>
    </row>
    <row r="4219" spans="1:9" x14ac:dyDescent="0.3">
      <c r="A4219" t="s">
        <v>25</v>
      </c>
      <c r="G4219">
        <v>44258</v>
      </c>
      <c r="H4219">
        <v>2021</v>
      </c>
      <c r="I4219" t="s">
        <v>45</v>
      </c>
    </row>
    <row r="4220" spans="1:9" x14ac:dyDescent="0.3">
      <c r="A4220" t="s">
        <v>15</v>
      </c>
      <c r="C4220">
        <v>216000</v>
      </c>
      <c r="G4220">
        <v>44258</v>
      </c>
      <c r="H4220">
        <v>2021</v>
      </c>
      <c r="I4220" t="s">
        <v>45</v>
      </c>
    </row>
    <row r="4221" spans="1:9" x14ac:dyDescent="0.3">
      <c r="A4221" t="s">
        <v>54</v>
      </c>
      <c r="G4221">
        <v>44258</v>
      </c>
      <c r="H4221">
        <v>2021</v>
      </c>
      <c r="I4221" t="s">
        <v>45</v>
      </c>
    </row>
    <row r="4222" spans="1:9" x14ac:dyDescent="0.3">
      <c r="A4222" t="s">
        <v>26</v>
      </c>
      <c r="C4222">
        <v>398000</v>
      </c>
      <c r="G4222">
        <v>44258</v>
      </c>
      <c r="H4222">
        <v>2021</v>
      </c>
      <c r="I4222" t="s">
        <v>45</v>
      </c>
    </row>
    <row r="4223" spans="1:9" x14ac:dyDescent="0.3">
      <c r="A4223" t="s">
        <v>22</v>
      </c>
      <c r="G4223">
        <v>44258</v>
      </c>
      <c r="H4223">
        <v>2021</v>
      </c>
      <c r="I4223" t="s">
        <v>45</v>
      </c>
    </row>
    <row r="4224" spans="1:9" x14ac:dyDescent="0.3">
      <c r="A4224" t="s">
        <v>19</v>
      </c>
      <c r="G4224">
        <v>44258</v>
      </c>
      <c r="H4224">
        <v>2021</v>
      </c>
      <c r="I4224" t="s">
        <v>45</v>
      </c>
    </row>
    <row r="4225" spans="1:9" x14ac:dyDescent="0.3">
      <c r="A4225" t="s">
        <v>14</v>
      </c>
      <c r="C4225">
        <v>1395000</v>
      </c>
      <c r="D4225">
        <v>162000</v>
      </c>
      <c r="G4225">
        <v>44258</v>
      </c>
      <c r="H4225">
        <v>2021</v>
      </c>
      <c r="I4225" t="s">
        <v>45</v>
      </c>
    </row>
    <row r="4226" spans="1:9" x14ac:dyDescent="0.3">
      <c r="A4226" t="s">
        <v>24</v>
      </c>
      <c r="G4226">
        <v>44258</v>
      </c>
      <c r="H4226">
        <v>2021</v>
      </c>
      <c r="I4226" t="s">
        <v>45</v>
      </c>
    </row>
    <row r="4227" spans="1:9" x14ac:dyDescent="0.3">
      <c r="A4227" t="s">
        <v>21</v>
      </c>
      <c r="G4227">
        <v>44258</v>
      </c>
      <c r="H4227">
        <v>2021</v>
      </c>
      <c r="I4227" t="s">
        <v>45</v>
      </c>
    </row>
    <row r="4228" spans="1:9" x14ac:dyDescent="0.3">
      <c r="A4228" t="s">
        <v>18</v>
      </c>
      <c r="F4228">
        <v>270000</v>
      </c>
      <c r="G4228">
        <v>44258</v>
      </c>
      <c r="H4228">
        <v>2021</v>
      </c>
      <c r="I4228" t="s">
        <v>45</v>
      </c>
    </row>
    <row r="4229" spans="1:9" x14ac:dyDescent="0.3">
      <c r="A4229" t="s">
        <v>16</v>
      </c>
      <c r="C4229">
        <v>216000</v>
      </c>
      <c r="G4229">
        <v>44258</v>
      </c>
      <c r="H4229">
        <v>2021</v>
      </c>
      <c r="I4229" t="s">
        <v>45</v>
      </c>
    </row>
    <row r="4230" spans="1:9" x14ac:dyDescent="0.3">
      <c r="A4230" t="s">
        <v>20</v>
      </c>
      <c r="G4230">
        <v>44259</v>
      </c>
      <c r="H4230">
        <v>2021</v>
      </c>
      <c r="I4230" t="s">
        <v>45</v>
      </c>
    </row>
    <row r="4231" spans="1:9" x14ac:dyDescent="0.3">
      <c r="A4231" t="s">
        <v>37</v>
      </c>
      <c r="G4231">
        <v>44259</v>
      </c>
      <c r="H4231">
        <v>2021</v>
      </c>
      <c r="I4231" t="s">
        <v>45</v>
      </c>
    </row>
    <row r="4232" spans="1:9" x14ac:dyDescent="0.3">
      <c r="A4232" t="s">
        <v>17</v>
      </c>
      <c r="B4232">
        <v>1021500</v>
      </c>
      <c r="D4232">
        <v>406000</v>
      </c>
      <c r="G4232">
        <v>44259</v>
      </c>
      <c r="H4232">
        <v>2021</v>
      </c>
      <c r="I4232" t="s">
        <v>45</v>
      </c>
    </row>
    <row r="4233" spans="1:9" x14ac:dyDescent="0.3">
      <c r="A4233" t="s">
        <v>0</v>
      </c>
      <c r="F4233">
        <v>577000</v>
      </c>
      <c r="G4233">
        <v>44259</v>
      </c>
      <c r="H4233">
        <v>2021</v>
      </c>
      <c r="I4233" t="s">
        <v>45</v>
      </c>
    </row>
    <row r="4234" spans="1:9" x14ac:dyDescent="0.3">
      <c r="A4234" t="s">
        <v>25</v>
      </c>
      <c r="B4234">
        <v>158000</v>
      </c>
      <c r="G4234">
        <v>44259</v>
      </c>
      <c r="H4234">
        <v>2021</v>
      </c>
      <c r="I4234" t="s">
        <v>45</v>
      </c>
    </row>
    <row r="4235" spans="1:9" x14ac:dyDescent="0.3">
      <c r="A4235" t="s">
        <v>15</v>
      </c>
      <c r="C4235">
        <v>162000</v>
      </c>
      <c r="G4235">
        <v>44259</v>
      </c>
      <c r="H4235">
        <v>2021</v>
      </c>
      <c r="I4235" t="s">
        <v>45</v>
      </c>
    </row>
    <row r="4236" spans="1:9" x14ac:dyDescent="0.3">
      <c r="A4236" t="s">
        <v>54</v>
      </c>
      <c r="B4236">
        <v>54000</v>
      </c>
      <c r="G4236">
        <v>44259</v>
      </c>
      <c r="H4236">
        <v>2021</v>
      </c>
      <c r="I4236" t="s">
        <v>45</v>
      </c>
    </row>
    <row r="4237" spans="1:9" x14ac:dyDescent="0.3">
      <c r="A4237" t="s">
        <v>26</v>
      </c>
      <c r="G4237">
        <v>44259</v>
      </c>
      <c r="H4237">
        <v>2021</v>
      </c>
      <c r="I4237" t="s">
        <v>45</v>
      </c>
    </row>
    <row r="4238" spans="1:9" x14ac:dyDescent="0.3">
      <c r="A4238" t="s">
        <v>22</v>
      </c>
      <c r="G4238">
        <v>44259</v>
      </c>
      <c r="H4238">
        <v>2021</v>
      </c>
      <c r="I4238" t="s">
        <v>45</v>
      </c>
    </row>
    <row r="4239" spans="1:9" x14ac:dyDescent="0.3">
      <c r="A4239" t="s">
        <v>19</v>
      </c>
      <c r="C4239">
        <v>864000</v>
      </c>
      <c r="G4239">
        <v>44259</v>
      </c>
      <c r="H4239">
        <v>2021</v>
      </c>
      <c r="I4239" t="s">
        <v>45</v>
      </c>
    </row>
    <row r="4240" spans="1:9" x14ac:dyDescent="0.3">
      <c r="A4240" t="s">
        <v>14</v>
      </c>
      <c r="B4240">
        <v>100000</v>
      </c>
      <c r="C4240">
        <v>378000</v>
      </c>
      <c r="D4240">
        <v>54000</v>
      </c>
      <c r="G4240">
        <v>44259</v>
      </c>
      <c r="H4240">
        <v>2021</v>
      </c>
      <c r="I4240" t="s">
        <v>45</v>
      </c>
    </row>
    <row r="4241" spans="1:9" x14ac:dyDescent="0.3">
      <c r="A4241" t="s">
        <v>24</v>
      </c>
      <c r="G4241">
        <v>44259</v>
      </c>
      <c r="H4241">
        <v>2021</v>
      </c>
      <c r="I4241" t="s">
        <v>45</v>
      </c>
    </row>
    <row r="4242" spans="1:9" x14ac:dyDescent="0.3">
      <c r="A4242" t="s">
        <v>21</v>
      </c>
      <c r="G4242">
        <v>44259</v>
      </c>
      <c r="H4242">
        <v>2021</v>
      </c>
      <c r="I4242" t="s">
        <v>45</v>
      </c>
    </row>
    <row r="4243" spans="1:9" x14ac:dyDescent="0.3">
      <c r="A4243" t="s">
        <v>18</v>
      </c>
      <c r="G4243">
        <v>44259</v>
      </c>
      <c r="H4243">
        <v>2021</v>
      </c>
      <c r="I4243" t="s">
        <v>45</v>
      </c>
    </row>
    <row r="4244" spans="1:9" x14ac:dyDescent="0.3">
      <c r="A4244" t="s">
        <v>16</v>
      </c>
      <c r="C4244">
        <v>99000</v>
      </c>
      <c r="G4244">
        <v>44259</v>
      </c>
      <c r="H4244">
        <v>2021</v>
      </c>
      <c r="I4244" t="s">
        <v>45</v>
      </c>
    </row>
    <row r="4245" spans="1:9" x14ac:dyDescent="0.3">
      <c r="A4245" t="s">
        <v>20</v>
      </c>
      <c r="G4245">
        <v>44260</v>
      </c>
      <c r="H4245">
        <v>2021</v>
      </c>
      <c r="I4245" t="s">
        <v>45</v>
      </c>
    </row>
    <row r="4246" spans="1:9" x14ac:dyDescent="0.3">
      <c r="A4246" t="s">
        <v>37</v>
      </c>
      <c r="G4246">
        <v>44260</v>
      </c>
      <c r="H4246">
        <v>2021</v>
      </c>
      <c r="I4246" t="s">
        <v>45</v>
      </c>
    </row>
    <row r="4247" spans="1:9" x14ac:dyDescent="0.3">
      <c r="A4247" t="s">
        <v>17</v>
      </c>
      <c r="B4247">
        <v>1674000</v>
      </c>
      <c r="G4247">
        <v>44260</v>
      </c>
      <c r="H4247">
        <v>2021</v>
      </c>
      <c r="I4247" t="s">
        <v>45</v>
      </c>
    </row>
    <row r="4248" spans="1:9" x14ac:dyDescent="0.3">
      <c r="A4248" t="s">
        <v>0</v>
      </c>
      <c r="F4248">
        <v>486000</v>
      </c>
      <c r="G4248">
        <v>44260</v>
      </c>
      <c r="H4248">
        <v>2021</v>
      </c>
      <c r="I4248" t="s">
        <v>45</v>
      </c>
    </row>
    <row r="4249" spans="1:9" x14ac:dyDescent="0.3">
      <c r="A4249" t="s">
        <v>25</v>
      </c>
      <c r="G4249">
        <v>44260</v>
      </c>
      <c r="H4249">
        <v>2021</v>
      </c>
      <c r="I4249" t="s">
        <v>45</v>
      </c>
    </row>
    <row r="4250" spans="1:9" x14ac:dyDescent="0.3">
      <c r="A4250" t="s">
        <v>15</v>
      </c>
      <c r="G4250">
        <v>44260</v>
      </c>
      <c r="H4250">
        <v>2021</v>
      </c>
      <c r="I4250" t="s">
        <v>45</v>
      </c>
    </row>
    <row r="4251" spans="1:9" x14ac:dyDescent="0.3">
      <c r="A4251" t="s">
        <v>54</v>
      </c>
      <c r="G4251">
        <v>44260</v>
      </c>
      <c r="H4251">
        <v>2021</v>
      </c>
      <c r="I4251" t="s">
        <v>45</v>
      </c>
    </row>
    <row r="4252" spans="1:9" x14ac:dyDescent="0.3">
      <c r="A4252" t="s">
        <v>26</v>
      </c>
      <c r="G4252">
        <v>44260</v>
      </c>
      <c r="H4252">
        <v>2021</v>
      </c>
      <c r="I4252" t="s">
        <v>45</v>
      </c>
    </row>
    <row r="4253" spans="1:9" x14ac:dyDescent="0.3">
      <c r="A4253" t="s">
        <v>22</v>
      </c>
      <c r="G4253">
        <v>44260</v>
      </c>
      <c r="H4253">
        <v>2021</v>
      </c>
      <c r="I4253" t="s">
        <v>45</v>
      </c>
    </row>
    <row r="4254" spans="1:9" x14ac:dyDescent="0.3">
      <c r="A4254" t="s">
        <v>19</v>
      </c>
      <c r="G4254">
        <v>44260</v>
      </c>
      <c r="H4254">
        <v>2021</v>
      </c>
      <c r="I4254" t="s">
        <v>45</v>
      </c>
    </row>
    <row r="4255" spans="1:9" x14ac:dyDescent="0.3">
      <c r="A4255" t="s">
        <v>14</v>
      </c>
      <c r="G4255">
        <v>44260</v>
      </c>
      <c r="H4255">
        <v>2021</v>
      </c>
      <c r="I4255" t="s">
        <v>45</v>
      </c>
    </row>
    <row r="4256" spans="1:9" x14ac:dyDescent="0.3">
      <c r="A4256" t="s">
        <v>24</v>
      </c>
      <c r="G4256">
        <v>44260</v>
      </c>
      <c r="H4256">
        <v>2021</v>
      </c>
      <c r="I4256" t="s">
        <v>45</v>
      </c>
    </row>
    <row r="4257" spans="1:9" x14ac:dyDescent="0.3">
      <c r="A4257" t="s">
        <v>21</v>
      </c>
      <c r="G4257">
        <v>44260</v>
      </c>
      <c r="H4257">
        <v>2021</v>
      </c>
      <c r="I4257" t="s">
        <v>45</v>
      </c>
    </row>
    <row r="4258" spans="1:9" x14ac:dyDescent="0.3">
      <c r="A4258" t="s">
        <v>18</v>
      </c>
      <c r="G4258">
        <v>44260</v>
      </c>
      <c r="H4258">
        <v>2021</v>
      </c>
      <c r="I4258" t="s">
        <v>45</v>
      </c>
    </row>
    <row r="4259" spans="1:9" x14ac:dyDescent="0.3">
      <c r="A4259" t="s">
        <v>16</v>
      </c>
      <c r="C4259">
        <v>45000</v>
      </c>
      <c r="G4259">
        <v>44260</v>
      </c>
      <c r="H4259">
        <v>2021</v>
      </c>
      <c r="I4259" t="s">
        <v>45</v>
      </c>
    </row>
    <row r="4260" spans="1:9" x14ac:dyDescent="0.3">
      <c r="A4260" t="s">
        <v>20</v>
      </c>
      <c r="G4260">
        <v>44265</v>
      </c>
      <c r="H4260">
        <v>2021</v>
      </c>
      <c r="I4260" t="s">
        <v>45</v>
      </c>
    </row>
    <row r="4261" spans="1:9" x14ac:dyDescent="0.3">
      <c r="A4261" t="s">
        <v>37</v>
      </c>
      <c r="G4261">
        <v>44265</v>
      </c>
      <c r="H4261">
        <v>2021</v>
      </c>
      <c r="I4261" t="s">
        <v>45</v>
      </c>
    </row>
    <row r="4262" spans="1:9" x14ac:dyDescent="0.3">
      <c r="A4262" t="s">
        <v>17</v>
      </c>
      <c r="B4262">
        <v>108000</v>
      </c>
      <c r="D4262">
        <v>145000</v>
      </c>
      <c r="G4262">
        <v>44265</v>
      </c>
      <c r="H4262">
        <v>2021</v>
      </c>
      <c r="I4262" t="s">
        <v>45</v>
      </c>
    </row>
    <row r="4263" spans="1:9" x14ac:dyDescent="0.3">
      <c r="A4263" t="s">
        <v>0</v>
      </c>
      <c r="F4263">
        <v>216000</v>
      </c>
      <c r="G4263">
        <v>44265</v>
      </c>
      <c r="H4263">
        <v>2021</v>
      </c>
      <c r="I4263" t="s">
        <v>45</v>
      </c>
    </row>
    <row r="4264" spans="1:9" x14ac:dyDescent="0.3">
      <c r="A4264" t="s">
        <v>25</v>
      </c>
      <c r="G4264">
        <v>44265</v>
      </c>
      <c r="H4264">
        <v>2021</v>
      </c>
      <c r="I4264" t="s">
        <v>45</v>
      </c>
    </row>
    <row r="4265" spans="1:9" x14ac:dyDescent="0.3">
      <c r="A4265" t="s">
        <v>15</v>
      </c>
      <c r="G4265">
        <v>44265</v>
      </c>
      <c r="H4265">
        <v>2021</v>
      </c>
      <c r="I4265" t="s">
        <v>45</v>
      </c>
    </row>
    <row r="4266" spans="1:9" x14ac:dyDescent="0.3">
      <c r="A4266" t="s">
        <v>54</v>
      </c>
      <c r="G4266">
        <v>44265</v>
      </c>
      <c r="H4266">
        <v>2021</v>
      </c>
      <c r="I4266" t="s">
        <v>45</v>
      </c>
    </row>
    <row r="4267" spans="1:9" x14ac:dyDescent="0.3">
      <c r="A4267" t="s">
        <v>26</v>
      </c>
      <c r="G4267">
        <v>44265</v>
      </c>
      <c r="H4267">
        <v>2021</v>
      </c>
      <c r="I4267" t="s">
        <v>45</v>
      </c>
    </row>
    <row r="4268" spans="1:9" x14ac:dyDescent="0.3">
      <c r="A4268" t="s">
        <v>22</v>
      </c>
      <c r="G4268">
        <v>44265</v>
      </c>
      <c r="H4268">
        <v>2021</v>
      </c>
      <c r="I4268" t="s">
        <v>45</v>
      </c>
    </row>
    <row r="4269" spans="1:9" x14ac:dyDescent="0.3">
      <c r="A4269" t="s">
        <v>19</v>
      </c>
      <c r="B4269">
        <v>1890000</v>
      </c>
      <c r="D4269">
        <v>540000</v>
      </c>
      <c r="G4269">
        <v>44265</v>
      </c>
      <c r="H4269">
        <v>2021</v>
      </c>
      <c r="I4269" t="s">
        <v>45</v>
      </c>
    </row>
    <row r="4270" spans="1:9" x14ac:dyDescent="0.3">
      <c r="A4270" t="s">
        <v>14</v>
      </c>
      <c r="G4270">
        <v>44265</v>
      </c>
      <c r="H4270">
        <v>2021</v>
      </c>
      <c r="I4270" t="s">
        <v>45</v>
      </c>
    </row>
    <row r="4271" spans="1:9" x14ac:dyDescent="0.3">
      <c r="A4271" t="s">
        <v>24</v>
      </c>
      <c r="G4271">
        <v>44265</v>
      </c>
      <c r="H4271">
        <v>2021</v>
      </c>
      <c r="I4271" t="s">
        <v>45</v>
      </c>
    </row>
    <row r="4272" spans="1:9" x14ac:dyDescent="0.3">
      <c r="A4272" t="s">
        <v>21</v>
      </c>
      <c r="G4272">
        <v>44265</v>
      </c>
      <c r="H4272">
        <v>2021</v>
      </c>
      <c r="I4272" t="s">
        <v>45</v>
      </c>
    </row>
    <row r="4273" spans="1:9" x14ac:dyDescent="0.3">
      <c r="A4273" t="s">
        <v>18</v>
      </c>
      <c r="F4273">
        <v>54000</v>
      </c>
      <c r="G4273">
        <v>44265</v>
      </c>
      <c r="H4273">
        <v>2021</v>
      </c>
      <c r="I4273" t="s">
        <v>45</v>
      </c>
    </row>
    <row r="4274" spans="1:9" x14ac:dyDescent="0.3">
      <c r="A4274" t="s">
        <v>16</v>
      </c>
      <c r="G4274">
        <v>44265</v>
      </c>
      <c r="H4274">
        <v>2021</v>
      </c>
      <c r="I4274" t="s">
        <v>45</v>
      </c>
    </row>
    <row r="4275" spans="1:9" x14ac:dyDescent="0.3">
      <c r="A4275" t="s">
        <v>20</v>
      </c>
      <c r="G4275">
        <v>44266</v>
      </c>
      <c r="H4275">
        <v>2021</v>
      </c>
      <c r="I4275" t="s">
        <v>45</v>
      </c>
    </row>
    <row r="4276" spans="1:9" x14ac:dyDescent="0.3">
      <c r="A4276" t="s">
        <v>37</v>
      </c>
      <c r="G4276">
        <v>44266</v>
      </c>
      <c r="H4276">
        <v>2021</v>
      </c>
      <c r="I4276" t="s">
        <v>45</v>
      </c>
    </row>
    <row r="4277" spans="1:9" x14ac:dyDescent="0.3">
      <c r="A4277" t="s">
        <v>17</v>
      </c>
      <c r="G4277">
        <v>44266</v>
      </c>
      <c r="H4277">
        <v>2021</v>
      </c>
      <c r="I4277" t="s">
        <v>45</v>
      </c>
    </row>
    <row r="4278" spans="1:9" x14ac:dyDescent="0.3">
      <c r="A4278" t="s">
        <v>0</v>
      </c>
      <c r="C4278">
        <v>1232500</v>
      </c>
      <c r="E4278">
        <v>626000</v>
      </c>
      <c r="F4278">
        <v>468000</v>
      </c>
      <c r="G4278">
        <v>44266</v>
      </c>
      <c r="H4278">
        <v>2021</v>
      </c>
      <c r="I4278" t="s">
        <v>45</v>
      </c>
    </row>
    <row r="4279" spans="1:9" x14ac:dyDescent="0.3">
      <c r="A4279" t="s">
        <v>25</v>
      </c>
      <c r="G4279">
        <v>44266</v>
      </c>
      <c r="H4279">
        <v>2021</v>
      </c>
      <c r="I4279" t="s">
        <v>45</v>
      </c>
    </row>
    <row r="4280" spans="1:9" x14ac:dyDescent="0.3">
      <c r="A4280" t="s">
        <v>15</v>
      </c>
      <c r="G4280">
        <v>44266</v>
      </c>
      <c r="H4280">
        <v>2021</v>
      </c>
      <c r="I4280" t="s">
        <v>45</v>
      </c>
    </row>
    <row r="4281" spans="1:9" x14ac:dyDescent="0.3">
      <c r="A4281" t="s">
        <v>54</v>
      </c>
      <c r="G4281">
        <v>44266</v>
      </c>
      <c r="H4281">
        <v>2021</v>
      </c>
      <c r="I4281" t="s">
        <v>45</v>
      </c>
    </row>
    <row r="4282" spans="1:9" x14ac:dyDescent="0.3">
      <c r="A4282" t="s">
        <v>26</v>
      </c>
      <c r="D4282">
        <v>540000</v>
      </c>
      <c r="G4282">
        <v>44266</v>
      </c>
      <c r="H4282">
        <v>2021</v>
      </c>
      <c r="I4282" t="s">
        <v>45</v>
      </c>
    </row>
    <row r="4283" spans="1:9" x14ac:dyDescent="0.3">
      <c r="A4283" t="s">
        <v>22</v>
      </c>
      <c r="G4283">
        <v>44266</v>
      </c>
      <c r="H4283">
        <v>2021</v>
      </c>
      <c r="I4283" t="s">
        <v>45</v>
      </c>
    </row>
    <row r="4284" spans="1:9" x14ac:dyDescent="0.3">
      <c r="A4284" t="s">
        <v>19</v>
      </c>
      <c r="B4284">
        <v>108000</v>
      </c>
      <c r="D4284">
        <v>405000</v>
      </c>
      <c r="G4284">
        <v>44266</v>
      </c>
      <c r="H4284">
        <v>2021</v>
      </c>
      <c r="I4284" t="s">
        <v>45</v>
      </c>
    </row>
    <row r="4285" spans="1:9" x14ac:dyDescent="0.3">
      <c r="A4285" t="s">
        <v>14</v>
      </c>
      <c r="G4285">
        <v>44266</v>
      </c>
      <c r="H4285">
        <v>2021</v>
      </c>
      <c r="I4285" t="s">
        <v>45</v>
      </c>
    </row>
    <row r="4286" spans="1:9" x14ac:dyDescent="0.3">
      <c r="A4286" t="s">
        <v>24</v>
      </c>
      <c r="B4286">
        <v>378000</v>
      </c>
      <c r="G4286">
        <v>44266</v>
      </c>
      <c r="H4286">
        <v>2021</v>
      </c>
      <c r="I4286" t="s">
        <v>45</v>
      </c>
    </row>
    <row r="4287" spans="1:9" x14ac:dyDescent="0.3">
      <c r="A4287" t="s">
        <v>21</v>
      </c>
      <c r="G4287">
        <v>44266</v>
      </c>
      <c r="H4287">
        <v>2021</v>
      </c>
      <c r="I4287" t="s">
        <v>45</v>
      </c>
    </row>
    <row r="4288" spans="1:9" x14ac:dyDescent="0.3">
      <c r="A4288" t="s">
        <v>18</v>
      </c>
      <c r="G4288">
        <v>44266</v>
      </c>
      <c r="H4288">
        <v>2021</v>
      </c>
      <c r="I4288" t="s">
        <v>45</v>
      </c>
    </row>
    <row r="4289" spans="1:9" x14ac:dyDescent="0.3">
      <c r="A4289" t="s">
        <v>16</v>
      </c>
      <c r="B4289">
        <v>589500</v>
      </c>
      <c r="D4289">
        <v>324000</v>
      </c>
      <c r="G4289">
        <v>44266</v>
      </c>
      <c r="H4289">
        <v>2021</v>
      </c>
      <c r="I4289" t="s">
        <v>45</v>
      </c>
    </row>
    <row r="4290" spans="1:9" x14ac:dyDescent="0.3">
      <c r="A4290" t="s">
        <v>20</v>
      </c>
      <c r="G4290">
        <v>44267</v>
      </c>
      <c r="H4290">
        <v>2021</v>
      </c>
      <c r="I4290" t="s">
        <v>45</v>
      </c>
    </row>
    <row r="4291" spans="1:9" x14ac:dyDescent="0.3">
      <c r="A4291" t="s">
        <v>37</v>
      </c>
      <c r="B4291">
        <v>108000</v>
      </c>
      <c r="D4291">
        <v>162000</v>
      </c>
      <c r="G4291">
        <v>44267</v>
      </c>
      <c r="H4291">
        <v>2021</v>
      </c>
      <c r="I4291" t="s">
        <v>45</v>
      </c>
    </row>
    <row r="4292" spans="1:9" x14ac:dyDescent="0.3">
      <c r="A4292" t="s">
        <v>17</v>
      </c>
      <c r="G4292">
        <v>44267</v>
      </c>
      <c r="H4292">
        <v>2021</v>
      </c>
      <c r="I4292" t="s">
        <v>45</v>
      </c>
    </row>
    <row r="4293" spans="1:9" x14ac:dyDescent="0.3">
      <c r="A4293" t="s">
        <v>0</v>
      </c>
      <c r="C4293">
        <v>1814000</v>
      </c>
      <c r="E4293">
        <v>324000</v>
      </c>
      <c r="F4293">
        <v>54000</v>
      </c>
      <c r="G4293">
        <v>44267</v>
      </c>
      <c r="H4293">
        <v>2021</v>
      </c>
      <c r="I4293" t="s">
        <v>45</v>
      </c>
    </row>
    <row r="4294" spans="1:9" x14ac:dyDescent="0.3">
      <c r="A4294" t="s">
        <v>25</v>
      </c>
      <c r="G4294">
        <v>44267</v>
      </c>
      <c r="H4294">
        <v>2021</v>
      </c>
      <c r="I4294" t="s">
        <v>45</v>
      </c>
    </row>
    <row r="4295" spans="1:9" x14ac:dyDescent="0.3">
      <c r="A4295" t="s">
        <v>15</v>
      </c>
      <c r="G4295">
        <v>44267</v>
      </c>
      <c r="H4295">
        <v>2021</v>
      </c>
      <c r="I4295" t="s">
        <v>45</v>
      </c>
    </row>
    <row r="4296" spans="1:9" x14ac:dyDescent="0.3">
      <c r="A4296" t="s">
        <v>54</v>
      </c>
      <c r="G4296">
        <v>44267</v>
      </c>
      <c r="H4296">
        <v>2021</v>
      </c>
      <c r="I4296" t="s">
        <v>45</v>
      </c>
    </row>
    <row r="4297" spans="1:9" x14ac:dyDescent="0.3">
      <c r="A4297" t="s">
        <v>26</v>
      </c>
      <c r="D4297">
        <v>415000</v>
      </c>
      <c r="G4297">
        <v>44267</v>
      </c>
      <c r="H4297">
        <v>2021</v>
      </c>
      <c r="I4297" t="s">
        <v>45</v>
      </c>
    </row>
    <row r="4298" spans="1:9" x14ac:dyDescent="0.3">
      <c r="A4298" t="s">
        <v>22</v>
      </c>
      <c r="G4298">
        <v>44267</v>
      </c>
      <c r="H4298">
        <v>2021</v>
      </c>
      <c r="I4298" t="s">
        <v>45</v>
      </c>
    </row>
    <row r="4299" spans="1:9" x14ac:dyDescent="0.3">
      <c r="A4299" t="s">
        <v>19</v>
      </c>
      <c r="G4299">
        <v>44267</v>
      </c>
      <c r="H4299">
        <v>2021</v>
      </c>
      <c r="I4299" t="s">
        <v>45</v>
      </c>
    </row>
    <row r="4300" spans="1:9" x14ac:dyDescent="0.3">
      <c r="A4300" t="s">
        <v>14</v>
      </c>
      <c r="B4300">
        <v>486000</v>
      </c>
      <c r="D4300">
        <v>477000</v>
      </c>
      <c r="E4300">
        <v>374000</v>
      </c>
      <c r="G4300">
        <v>44267</v>
      </c>
      <c r="H4300">
        <v>2021</v>
      </c>
      <c r="I4300" t="s">
        <v>45</v>
      </c>
    </row>
    <row r="4301" spans="1:9" x14ac:dyDescent="0.3">
      <c r="A4301" t="s">
        <v>24</v>
      </c>
      <c r="B4301">
        <v>648000</v>
      </c>
      <c r="G4301">
        <v>44267</v>
      </c>
      <c r="H4301">
        <v>2021</v>
      </c>
      <c r="I4301" t="s">
        <v>45</v>
      </c>
    </row>
    <row r="4302" spans="1:9" x14ac:dyDescent="0.3">
      <c r="A4302" t="s">
        <v>21</v>
      </c>
      <c r="G4302">
        <v>44267</v>
      </c>
      <c r="H4302">
        <v>2021</v>
      </c>
      <c r="I4302" t="s">
        <v>45</v>
      </c>
    </row>
    <row r="4303" spans="1:9" x14ac:dyDescent="0.3">
      <c r="A4303" t="s">
        <v>18</v>
      </c>
      <c r="G4303">
        <v>44267</v>
      </c>
      <c r="H4303">
        <v>2021</v>
      </c>
      <c r="I4303" t="s">
        <v>45</v>
      </c>
    </row>
    <row r="4304" spans="1:9" x14ac:dyDescent="0.3">
      <c r="A4304" t="s">
        <v>16</v>
      </c>
      <c r="B4304">
        <v>212000</v>
      </c>
      <c r="D4304">
        <v>266000</v>
      </c>
      <c r="G4304">
        <v>44267</v>
      </c>
      <c r="H4304">
        <v>2021</v>
      </c>
      <c r="I4304" t="s">
        <v>45</v>
      </c>
    </row>
    <row r="4305" spans="1:9" x14ac:dyDescent="0.3">
      <c r="A4305" t="s">
        <v>20</v>
      </c>
      <c r="G4305">
        <v>44270</v>
      </c>
      <c r="H4305">
        <v>2021</v>
      </c>
      <c r="I4305" t="s">
        <v>45</v>
      </c>
    </row>
    <row r="4306" spans="1:9" x14ac:dyDescent="0.3">
      <c r="A4306" t="s">
        <v>37</v>
      </c>
      <c r="B4306">
        <v>153000</v>
      </c>
      <c r="D4306">
        <v>216000</v>
      </c>
      <c r="G4306">
        <v>44270</v>
      </c>
      <c r="H4306">
        <v>2021</v>
      </c>
      <c r="I4306" t="s">
        <v>45</v>
      </c>
    </row>
    <row r="4307" spans="1:9" x14ac:dyDescent="0.3">
      <c r="A4307" t="s">
        <v>17</v>
      </c>
      <c r="G4307">
        <v>44270</v>
      </c>
      <c r="H4307">
        <v>2021</v>
      </c>
      <c r="I4307" t="s">
        <v>45</v>
      </c>
    </row>
    <row r="4308" spans="1:9" x14ac:dyDescent="0.3">
      <c r="A4308" t="s">
        <v>0</v>
      </c>
      <c r="C4308">
        <v>756000</v>
      </c>
      <c r="F4308">
        <v>54000</v>
      </c>
      <c r="G4308">
        <v>44270</v>
      </c>
      <c r="H4308">
        <v>2021</v>
      </c>
      <c r="I4308" t="s">
        <v>45</v>
      </c>
    </row>
    <row r="4309" spans="1:9" x14ac:dyDescent="0.3">
      <c r="A4309" t="s">
        <v>25</v>
      </c>
      <c r="G4309">
        <v>44270</v>
      </c>
      <c r="H4309">
        <v>2021</v>
      </c>
      <c r="I4309" t="s">
        <v>45</v>
      </c>
    </row>
    <row r="4310" spans="1:9" x14ac:dyDescent="0.3">
      <c r="A4310" t="s">
        <v>15</v>
      </c>
      <c r="G4310">
        <v>44270</v>
      </c>
      <c r="H4310">
        <v>2021</v>
      </c>
      <c r="I4310" t="s">
        <v>45</v>
      </c>
    </row>
    <row r="4311" spans="1:9" x14ac:dyDescent="0.3">
      <c r="A4311" t="s">
        <v>54</v>
      </c>
      <c r="G4311">
        <v>44270</v>
      </c>
      <c r="H4311">
        <v>2021</v>
      </c>
      <c r="I4311" t="s">
        <v>45</v>
      </c>
    </row>
    <row r="4312" spans="1:9" x14ac:dyDescent="0.3">
      <c r="A4312" t="s">
        <v>26</v>
      </c>
      <c r="C4312">
        <v>45000</v>
      </c>
      <c r="D4312">
        <v>45000</v>
      </c>
      <c r="G4312">
        <v>44270</v>
      </c>
      <c r="H4312">
        <v>2021</v>
      </c>
      <c r="I4312" t="s">
        <v>45</v>
      </c>
    </row>
    <row r="4313" spans="1:9" x14ac:dyDescent="0.3">
      <c r="A4313" t="s">
        <v>22</v>
      </c>
      <c r="G4313">
        <v>44270</v>
      </c>
      <c r="H4313">
        <v>2021</v>
      </c>
      <c r="I4313" t="s">
        <v>45</v>
      </c>
    </row>
    <row r="4314" spans="1:9" x14ac:dyDescent="0.3">
      <c r="A4314" t="s">
        <v>19</v>
      </c>
      <c r="D4314">
        <v>54000</v>
      </c>
      <c r="G4314">
        <v>44270</v>
      </c>
      <c r="H4314">
        <v>2021</v>
      </c>
      <c r="I4314" t="s">
        <v>45</v>
      </c>
    </row>
    <row r="4315" spans="1:9" x14ac:dyDescent="0.3">
      <c r="A4315" t="s">
        <v>14</v>
      </c>
      <c r="B4315">
        <v>489000</v>
      </c>
      <c r="C4315">
        <v>852000</v>
      </c>
      <c r="D4315">
        <v>369000</v>
      </c>
      <c r="E4315">
        <v>540000</v>
      </c>
      <c r="G4315">
        <v>44270</v>
      </c>
      <c r="H4315">
        <v>2021</v>
      </c>
      <c r="I4315" t="s">
        <v>45</v>
      </c>
    </row>
    <row r="4316" spans="1:9" x14ac:dyDescent="0.3">
      <c r="A4316" t="s">
        <v>24</v>
      </c>
      <c r="B4316">
        <v>360000</v>
      </c>
      <c r="G4316">
        <v>44270</v>
      </c>
      <c r="H4316">
        <v>2021</v>
      </c>
      <c r="I4316" t="s">
        <v>45</v>
      </c>
    </row>
    <row r="4317" spans="1:9" x14ac:dyDescent="0.3">
      <c r="A4317" t="s">
        <v>21</v>
      </c>
      <c r="G4317">
        <v>44270</v>
      </c>
      <c r="H4317">
        <v>2021</v>
      </c>
      <c r="I4317" t="s">
        <v>45</v>
      </c>
    </row>
    <row r="4318" spans="1:9" x14ac:dyDescent="0.3">
      <c r="A4318" t="s">
        <v>18</v>
      </c>
      <c r="G4318">
        <v>44270</v>
      </c>
      <c r="H4318">
        <v>2021</v>
      </c>
      <c r="I4318" t="s">
        <v>45</v>
      </c>
    </row>
    <row r="4319" spans="1:9" x14ac:dyDescent="0.3">
      <c r="A4319" t="s">
        <v>16</v>
      </c>
      <c r="B4319">
        <v>158000</v>
      </c>
      <c r="C4319">
        <v>45000</v>
      </c>
      <c r="D4319">
        <v>150000</v>
      </c>
      <c r="G4319">
        <v>44270</v>
      </c>
      <c r="H4319">
        <v>2021</v>
      </c>
      <c r="I4319" t="s">
        <v>45</v>
      </c>
    </row>
    <row r="4320" spans="1:9" x14ac:dyDescent="0.3">
      <c r="A4320" t="s">
        <v>20</v>
      </c>
      <c r="G4320">
        <v>44271</v>
      </c>
      <c r="H4320">
        <v>2021</v>
      </c>
      <c r="I4320" t="s">
        <v>45</v>
      </c>
    </row>
    <row r="4321" spans="1:9" x14ac:dyDescent="0.3">
      <c r="A4321" t="s">
        <v>37</v>
      </c>
      <c r="B4321">
        <v>270000</v>
      </c>
      <c r="D4321">
        <v>270000</v>
      </c>
      <c r="G4321">
        <v>44271</v>
      </c>
      <c r="H4321">
        <v>2021</v>
      </c>
      <c r="I4321" t="s">
        <v>45</v>
      </c>
    </row>
    <row r="4322" spans="1:9" x14ac:dyDescent="0.3">
      <c r="A4322" t="s">
        <v>17</v>
      </c>
      <c r="G4322">
        <v>44271</v>
      </c>
      <c r="H4322">
        <v>2021</v>
      </c>
      <c r="I4322" t="s">
        <v>45</v>
      </c>
    </row>
    <row r="4323" spans="1:9" x14ac:dyDescent="0.3">
      <c r="A4323" t="s">
        <v>0</v>
      </c>
      <c r="C4323">
        <v>54000</v>
      </c>
      <c r="G4323">
        <v>44271</v>
      </c>
      <c r="H4323">
        <v>2021</v>
      </c>
      <c r="I4323" t="s">
        <v>45</v>
      </c>
    </row>
    <row r="4324" spans="1:9" x14ac:dyDescent="0.3">
      <c r="A4324" t="s">
        <v>25</v>
      </c>
      <c r="G4324">
        <v>44271</v>
      </c>
      <c r="H4324">
        <v>2021</v>
      </c>
      <c r="I4324" t="s">
        <v>45</v>
      </c>
    </row>
    <row r="4325" spans="1:9" x14ac:dyDescent="0.3">
      <c r="A4325" t="s">
        <v>15</v>
      </c>
      <c r="G4325">
        <v>44271</v>
      </c>
      <c r="H4325">
        <v>2021</v>
      </c>
      <c r="I4325" t="s">
        <v>45</v>
      </c>
    </row>
    <row r="4326" spans="1:9" x14ac:dyDescent="0.3">
      <c r="A4326" t="s">
        <v>54</v>
      </c>
      <c r="G4326">
        <v>44271</v>
      </c>
      <c r="H4326">
        <v>2021</v>
      </c>
      <c r="I4326" t="s">
        <v>45</v>
      </c>
    </row>
    <row r="4327" spans="1:9" x14ac:dyDescent="0.3">
      <c r="A4327" t="s">
        <v>26</v>
      </c>
      <c r="G4327">
        <v>44271</v>
      </c>
      <c r="H4327">
        <v>2021</v>
      </c>
      <c r="I4327" t="s">
        <v>45</v>
      </c>
    </row>
    <row r="4328" spans="1:9" x14ac:dyDescent="0.3">
      <c r="A4328" t="s">
        <v>22</v>
      </c>
      <c r="G4328">
        <v>44271</v>
      </c>
      <c r="H4328">
        <v>2021</v>
      </c>
      <c r="I4328" t="s">
        <v>45</v>
      </c>
    </row>
    <row r="4329" spans="1:9" x14ac:dyDescent="0.3">
      <c r="A4329" t="s">
        <v>19</v>
      </c>
      <c r="C4329">
        <v>324000</v>
      </c>
      <c r="G4329">
        <v>44271</v>
      </c>
      <c r="H4329">
        <v>2021</v>
      </c>
      <c r="I4329" t="s">
        <v>45</v>
      </c>
    </row>
    <row r="4330" spans="1:9" x14ac:dyDescent="0.3">
      <c r="A4330" t="s">
        <v>14</v>
      </c>
      <c r="B4330">
        <v>1080000</v>
      </c>
      <c r="C4330">
        <v>863000</v>
      </c>
      <c r="D4330">
        <v>378000</v>
      </c>
      <c r="G4330">
        <v>44271</v>
      </c>
      <c r="H4330">
        <v>2021</v>
      </c>
      <c r="I4330" t="s">
        <v>45</v>
      </c>
    </row>
    <row r="4331" spans="1:9" x14ac:dyDescent="0.3">
      <c r="A4331" t="s">
        <v>24</v>
      </c>
      <c r="B4331">
        <v>162000</v>
      </c>
      <c r="G4331">
        <v>44271</v>
      </c>
      <c r="H4331">
        <v>2021</v>
      </c>
      <c r="I4331" t="s">
        <v>45</v>
      </c>
    </row>
    <row r="4332" spans="1:9" x14ac:dyDescent="0.3">
      <c r="A4332" t="s">
        <v>21</v>
      </c>
      <c r="G4332">
        <v>44271</v>
      </c>
      <c r="H4332">
        <v>2021</v>
      </c>
      <c r="I4332" t="s">
        <v>45</v>
      </c>
    </row>
    <row r="4333" spans="1:9" x14ac:dyDescent="0.3">
      <c r="A4333" t="s">
        <v>18</v>
      </c>
      <c r="G4333">
        <v>44271</v>
      </c>
      <c r="H4333">
        <v>2021</v>
      </c>
      <c r="I4333" t="s">
        <v>45</v>
      </c>
    </row>
    <row r="4334" spans="1:9" x14ac:dyDescent="0.3">
      <c r="A4334" t="s">
        <v>16</v>
      </c>
      <c r="B4334">
        <v>139000</v>
      </c>
      <c r="G4334">
        <v>44271</v>
      </c>
      <c r="H4334">
        <v>2021</v>
      </c>
      <c r="I4334" t="s">
        <v>45</v>
      </c>
    </row>
    <row r="4335" spans="1:9" x14ac:dyDescent="0.3">
      <c r="A4335" t="s">
        <v>20</v>
      </c>
      <c r="G4335">
        <v>44272</v>
      </c>
      <c r="H4335">
        <v>2021</v>
      </c>
      <c r="I4335" t="s">
        <v>45</v>
      </c>
    </row>
    <row r="4336" spans="1:9" x14ac:dyDescent="0.3">
      <c r="A4336" t="s">
        <v>37</v>
      </c>
      <c r="B4336">
        <v>162000</v>
      </c>
      <c r="D4336">
        <v>108000</v>
      </c>
      <c r="G4336">
        <v>44272</v>
      </c>
      <c r="H4336">
        <v>2021</v>
      </c>
      <c r="I4336" t="s">
        <v>45</v>
      </c>
    </row>
    <row r="4337" spans="1:9" x14ac:dyDescent="0.3">
      <c r="A4337" t="s">
        <v>17</v>
      </c>
      <c r="G4337">
        <v>44272</v>
      </c>
      <c r="H4337">
        <v>2021</v>
      </c>
      <c r="I4337" t="s">
        <v>45</v>
      </c>
    </row>
    <row r="4338" spans="1:9" x14ac:dyDescent="0.3">
      <c r="A4338" t="s">
        <v>0</v>
      </c>
      <c r="G4338">
        <v>44272</v>
      </c>
      <c r="H4338">
        <v>2021</v>
      </c>
      <c r="I4338" t="s">
        <v>45</v>
      </c>
    </row>
    <row r="4339" spans="1:9" x14ac:dyDescent="0.3">
      <c r="A4339" t="s">
        <v>25</v>
      </c>
      <c r="G4339">
        <v>44272</v>
      </c>
      <c r="H4339">
        <v>2021</v>
      </c>
      <c r="I4339" t="s">
        <v>45</v>
      </c>
    </row>
    <row r="4340" spans="1:9" x14ac:dyDescent="0.3">
      <c r="A4340" t="s">
        <v>15</v>
      </c>
      <c r="B4340">
        <v>587500</v>
      </c>
      <c r="D4340">
        <v>320000</v>
      </c>
      <c r="G4340">
        <v>44272</v>
      </c>
      <c r="H4340">
        <v>2021</v>
      </c>
      <c r="I4340" t="s">
        <v>45</v>
      </c>
    </row>
    <row r="4341" spans="1:9" x14ac:dyDescent="0.3">
      <c r="A4341" t="s">
        <v>54</v>
      </c>
      <c r="G4341">
        <v>44272</v>
      </c>
      <c r="H4341">
        <v>2021</v>
      </c>
      <c r="I4341" t="s">
        <v>45</v>
      </c>
    </row>
    <row r="4342" spans="1:9" x14ac:dyDescent="0.3">
      <c r="A4342" t="s">
        <v>26</v>
      </c>
      <c r="G4342">
        <v>44272</v>
      </c>
      <c r="H4342">
        <v>2021</v>
      </c>
      <c r="I4342" t="s">
        <v>45</v>
      </c>
    </row>
    <row r="4343" spans="1:9" x14ac:dyDescent="0.3">
      <c r="A4343" t="s">
        <v>22</v>
      </c>
      <c r="G4343">
        <v>44272</v>
      </c>
      <c r="H4343">
        <v>2021</v>
      </c>
      <c r="I4343" t="s">
        <v>45</v>
      </c>
    </row>
    <row r="4344" spans="1:9" x14ac:dyDescent="0.3">
      <c r="A4344" t="s">
        <v>19</v>
      </c>
      <c r="C4344">
        <v>432000</v>
      </c>
      <c r="G4344">
        <v>44272</v>
      </c>
      <c r="H4344">
        <v>2021</v>
      </c>
      <c r="I4344" t="s">
        <v>45</v>
      </c>
    </row>
    <row r="4345" spans="1:9" x14ac:dyDescent="0.3">
      <c r="A4345" t="s">
        <v>14</v>
      </c>
      <c r="B4345">
        <v>742500</v>
      </c>
      <c r="D4345">
        <v>162000</v>
      </c>
      <c r="G4345">
        <v>44272</v>
      </c>
      <c r="H4345">
        <v>2021</v>
      </c>
      <c r="I4345" t="s">
        <v>45</v>
      </c>
    </row>
    <row r="4346" spans="1:9" x14ac:dyDescent="0.3">
      <c r="A4346" t="s">
        <v>24</v>
      </c>
      <c r="B4346">
        <v>216000</v>
      </c>
      <c r="G4346">
        <v>44272</v>
      </c>
      <c r="H4346">
        <v>2021</v>
      </c>
      <c r="I4346" t="s">
        <v>45</v>
      </c>
    </row>
    <row r="4347" spans="1:9" x14ac:dyDescent="0.3">
      <c r="A4347" t="s">
        <v>21</v>
      </c>
      <c r="G4347">
        <v>44272</v>
      </c>
      <c r="H4347">
        <v>2021</v>
      </c>
      <c r="I4347" t="s">
        <v>45</v>
      </c>
    </row>
    <row r="4348" spans="1:9" x14ac:dyDescent="0.3">
      <c r="A4348" t="s">
        <v>18</v>
      </c>
      <c r="G4348">
        <v>44272</v>
      </c>
      <c r="H4348">
        <v>2021</v>
      </c>
      <c r="I4348" t="s">
        <v>45</v>
      </c>
    </row>
    <row r="4349" spans="1:9" x14ac:dyDescent="0.3">
      <c r="A4349" t="s">
        <v>16</v>
      </c>
      <c r="G4349">
        <v>44272</v>
      </c>
      <c r="H4349">
        <v>2021</v>
      </c>
      <c r="I4349" t="s">
        <v>45</v>
      </c>
    </row>
    <row r="4350" spans="1:9" x14ac:dyDescent="0.3">
      <c r="A4350" t="s">
        <v>20</v>
      </c>
      <c r="G4350">
        <v>44273</v>
      </c>
      <c r="H4350">
        <v>2021</v>
      </c>
      <c r="I4350" t="s">
        <v>45</v>
      </c>
    </row>
    <row r="4351" spans="1:9" x14ac:dyDescent="0.3">
      <c r="A4351" t="s">
        <v>37</v>
      </c>
      <c r="B4351">
        <v>270000</v>
      </c>
      <c r="D4351">
        <v>216000</v>
      </c>
      <c r="G4351">
        <v>44273</v>
      </c>
      <c r="H4351">
        <v>2021</v>
      </c>
      <c r="I4351" t="s">
        <v>45</v>
      </c>
    </row>
    <row r="4352" spans="1:9" x14ac:dyDescent="0.3">
      <c r="A4352" t="s">
        <v>17</v>
      </c>
      <c r="G4352">
        <v>44273</v>
      </c>
      <c r="H4352">
        <v>2021</v>
      </c>
      <c r="I4352" t="s">
        <v>45</v>
      </c>
    </row>
    <row r="4353" spans="1:9" x14ac:dyDescent="0.3">
      <c r="A4353" t="s">
        <v>0</v>
      </c>
      <c r="G4353">
        <v>44273</v>
      </c>
      <c r="H4353">
        <v>2021</v>
      </c>
      <c r="I4353" t="s">
        <v>45</v>
      </c>
    </row>
    <row r="4354" spans="1:9" x14ac:dyDescent="0.3">
      <c r="A4354" t="s">
        <v>25</v>
      </c>
      <c r="G4354">
        <v>44273</v>
      </c>
      <c r="H4354">
        <v>2021</v>
      </c>
      <c r="I4354" t="s">
        <v>45</v>
      </c>
    </row>
    <row r="4355" spans="1:9" x14ac:dyDescent="0.3">
      <c r="A4355" t="s">
        <v>15</v>
      </c>
      <c r="B4355">
        <v>743000</v>
      </c>
      <c r="D4355">
        <v>162000</v>
      </c>
      <c r="G4355">
        <v>44273</v>
      </c>
      <c r="H4355">
        <v>2021</v>
      </c>
      <c r="I4355" t="s">
        <v>45</v>
      </c>
    </row>
    <row r="4356" spans="1:9" x14ac:dyDescent="0.3">
      <c r="A4356" t="s">
        <v>54</v>
      </c>
      <c r="G4356">
        <v>44273</v>
      </c>
      <c r="H4356">
        <v>2021</v>
      </c>
      <c r="I4356" t="s">
        <v>45</v>
      </c>
    </row>
    <row r="4357" spans="1:9" x14ac:dyDescent="0.3">
      <c r="A4357" t="s">
        <v>26</v>
      </c>
      <c r="G4357">
        <v>44273</v>
      </c>
      <c r="H4357">
        <v>2021</v>
      </c>
      <c r="I4357" t="s">
        <v>45</v>
      </c>
    </row>
    <row r="4358" spans="1:9" x14ac:dyDescent="0.3">
      <c r="A4358" t="s">
        <v>22</v>
      </c>
      <c r="G4358">
        <v>44273</v>
      </c>
      <c r="H4358">
        <v>2021</v>
      </c>
      <c r="I4358" t="s">
        <v>45</v>
      </c>
    </row>
    <row r="4359" spans="1:9" x14ac:dyDescent="0.3">
      <c r="A4359" t="s">
        <v>19</v>
      </c>
      <c r="C4359">
        <v>324000</v>
      </c>
      <c r="G4359">
        <v>44273</v>
      </c>
      <c r="H4359">
        <v>2021</v>
      </c>
      <c r="I4359" t="s">
        <v>45</v>
      </c>
    </row>
    <row r="4360" spans="1:9" x14ac:dyDescent="0.3">
      <c r="A4360" t="s">
        <v>14</v>
      </c>
      <c r="B4360">
        <v>648000</v>
      </c>
      <c r="C4360">
        <v>270000</v>
      </c>
      <c r="D4360">
        <v>216000</v>
      </c>
      <c r="G4360">
        <v>44273</v>
      </c>
      <c r="H4360">
        <v>2021</v>
      </c>
      <c r="I4360" t="s">
        <v>45</v>
      </c>
    </row>
    <row r="4361" spans="1:9" x14ac:dyDescent="0.3">
      <c r="A4361" t="s">
        <v>24</v>
      </c>
      <c r="B4361">
        <v>54000</v>
      </c>
      <c r="G4361">
        <v>44273</v>
      </c>
      <c r="H4361">
        <v>2021</v>
      </c>
      <c r="I4361" t="s">
        <v>45</v>
      </c>
    </row>
    <row r="4362" spans="1:9" x14ac:dyDescent="0.3">
      <c r="A4362" t="s">
        <v>21</v>
      </c>
      <c r="G4362">
        <v>44273</v>
      </c>
      <c r="H4362">
        <v>2021</v>
      </c>
      <c r="I4362" t="s">
        <v>45</v>
      </c>
    </row>
    <row r="4363" spans="1:9" x14ac:dyDescent="0.3">
      <c r="A4363" t="s">
        <v>18</v>
      </c>
      <c r="G4363">
        <v>44273</v>
      </c>
      <c r="H4363">
        <v>2021</v>
      </c>
      <c r="I4363" t="s">
        <v>45</v>
      </c>
    </row>
    <row r="4364" spans="1:9" x14ac:dyDescent="0.3">
      <c r="A4364" t="s">
        <v>16</v>
      </c>
      <c r="G4364">
        <v>44273</v>
      </c>
      <c r="H4364">
        <v>2021</v>
      </c>
      <c r="I4364" t="s">
        <v>45</v>
      </c>
    </row>
    <row r="4365" spans="1:9" x14ac:dyDescent="0.3">
      <c r="A4365" t="s">
        <v>20</v>
      </c>
      <c r="G4365">
        <v>44274</v>
      </c>
      <c r="H4365">
        <v>2021</v>
      </c>
      <c r="I4365" t="s">
        <v>45</v>
      </c>
    </row>
    <row r="4366" spans="1:9" x14ac:dyDescent="0.3">
      <c r="A4366" t="s">
        <v>37</v>
      </c>
      <c r="B4366">
        <v>49500</v>
      </c>
      <c r="G4366">
        <v>44274</v>
      </c>
      <c r="H4366">
        <v>2021</v>
      </c>
      <c r="I4366" t="s">
        <v>45</v>
      </c>
    </row>
    <row r="4367" spans="1:9" x14ac:dyDescent="0.3">
      <c r="A4367" t="s">
        <v>17</v>
      </c>
      <c r="B4367">
        <v>378000</v>
      </c>
      <c r="C4367">
        <v>540000</v>
      </c>
      <c r="E4367">
        <v>450000</v>
      </c>
      <c r="F4367">
        <v>540000</v>
      </c>
      <c r="G4367">
        <v>44274</v>
      </c>
      <c r="H4367">
        <v>2021</v>
      </c>
      <c r="I4367" t="s">
        <v>45</v>
      </c>
    </row>
    <row r="4368" spans="1:9" x14ac:dyDescent="0.3">
      <c r="A4368" t="s">
        <v>0</v>
      </c>
      <c r="G4368">
        <v>44274</v>
      </c>
      <c r="H4368">
        <v>2021</v>
      </c>
      <c r="I4368" t="s">
        <v>45</v>
      </c>
    </row>
    <row r="4369" spans="1:9" x14ac:dyDescent="0.3">
      <c r="A4369" t="s">
        <v>25</v>
      </c>
      <c r="B4369">
        <v>485000</v>
      </c>
      <c r="G4369">
        <v>44274</v>
      </c>
      <c r="H4369">
        <v>2021</v>
      </c>
      <c r="I4369" t="s">
        <v>45</v>
      </c>
    </row>
    <row r="4370" spans="1:9" x14ac:dyDescent="0.3">
      <c r="A4370" t="s">
        <v>15</v>
      </c>
      <c r="B4370">
        <v>103500</v>
      </c>
      <c r="D4370">
        <v>540000</v>
      </c>
      <c r="G4370">
        <v>44274</v>
      </c>
      <c r="H4370">
        <v>2021</v>
      </c>
      <c r="I4370" t="s">
        <v>45</v>
      </c>
    </row>
    <row r="4371" spans="1:9" x14ac:dyDescent="0.3">
      <c r="A4371" t="s">
        <v>54</v>
      </c>
      <c r="G4371">
        <v>44274</v>
      </c>
      <c r="H4371">
        <v>2021</v>
      </c>
      <c r="I4371" t="s">
        <v>45</v>
      </c>
    </row>
    <row r="4372" spans="1:9" x14ac:dyDescent="0.3">
      <c r="A4372" t="s">
        <v>26</v>
      </c>
      <c r="G4372">
        <v>44274</v>
      </c>
      <c r="H4372">
        <v>2021</v>
      </c>
      <c r="I4372" t="s">
        <v>45</v>
      </c>
    </row>
    <row r="4373" spans="1:9" x14ac:dyDescent="0.3">
      <c r="A4373" t="s">
        <v>22</v>
      </c>
      <c r="G4373">
        <v>44274</v>
      </c>
      <c r="H4373">
        <v>2021</v>
      </c>
      <c r="I4373" t="s">
        <v>45</v>
      </c>
    </row>
    <row r="4374" spans="1:9" x14ac:dyDescent="0.3">
      <c r="A4374" t="s">
        <v>19</v>
      </c>
      <c r="C4374">
        <v>696500</v>
      </c>
      <c r="G4374">
        <v>44274</v>
      </c>
      <c r="H4374">
        <v>2021</v>
      </c>
      <c r="I4374" t="s">
        <v>45</v>
      </c>
    </row>
    <row r="4375" spans="1:9" x14ac:dyDescent="0.3">
      <c r="A4375" t="s">
        <v>14</v>
      </c>
      <c r="B4375">
        <v>216000</v>
      </c>
      <c r="C4375">
        <v>648000</v>
      </c>
      <c r="D4375">
        <v>216000</v>
      </c>
      <c r="E4375">
        <v>135000</v>
      </c>
      <c r="G4375">
        <v>44274</v>
      </c>
      <c r="H4375">
        <v>2021</v>
      </c>
      <c r="I4375" t="s">
        <v>45</v>
      </c>
    </row>
    <row r="4376" spans="1:9" x14ac:dyDescent="0.3">
      <c r="A4376" t="s">
        <v>24</v>
      </c>
      <c r="B4376">
        <v>162000</v>
      </c>
      <c r="G4376">
        <v>44274</v>
      </c>
      <c r="H4376">
        <v>2021</v>
      </c>
      <c r="I4376" t="s">
        <v>45</v>
      </c>
    </row>
    <row r="4377" spans="1:9" x14ac:dyDescent="0.3">
      <c r="A4377" t="s">
        <v>21</v>
      </c>
      <c r="G4377">
        <v>44274</v>
      </c>
      <c r="H4377">
        <v>2021</v>
      </c>
      <c r="I4377" t="s">
        <v>45</v>
      </c>
    </row>
    <row r="4378" spans="1:9" x14ac:dyDescent="0.3">
      <c r="A4378" t="s">
        <v>18</v>
      </c>
      <c r="G4378">
        <v>44274</v>
      </c>
      <c r="H4378">
        <v>2021</v>
      </c>
      <c r="I4378" t="s">
        <v>45</v>
      </c>
    </row>
    <row r="4379" spans="1:9" x14ac:dyDescent="0.3">
      <c r="A4379" t="s">
        <v>16</v>
      </c>
      <c r="B4379">
        <v>54000</v>
      </c>
      <c r="D4379">
        <v>50000</v>
      </c>
      <c r="G4379">
        <v>44274</v>
      </c>
      <c r="H4379">
        <v>2021</v>
      </c>
      <c r="I4379" t="s">
        <v>45</v>
      </c>
    </row>
    <row r="4380" spans="1:9" x14ac:dyDescent="0.3">
      <c r="A4380" t="s">
        <v>20</v>
      </c>
      <c r="G4380">
        <v>44277</v>
      </c>
      <c r="H4380">
        <v>2021</v>
      </c>
      <c r="I4380" t="s">
        <v>45</v>
      </c>
    </row>
    <row r="4381" spans="1:9" x14ac:dyDescent="0.3">
      <c r="A4381" t="s">
        <v>37</v>
      </c>
      <c r="G4381">
        <v>44277</v>
      </c>
      <c r="H4381">
        <v>2021</v>
      </c>
      <c r="I4381" t="s">
        <v>45</v>
      </c>
    </row>
    <row r="4382" spans="1:9" x14ac:dyDescent="0.3">
      <c r="A4382" t="s">
        <v>17</v>
      </c>
      <c r="B4382">
        <v>324000</v>
      </c>
      <c r="C4382">
        <v>324000</v>
      </c>
      <c r="D4382">
        <v>45000</v>
      </c>
      <c r="E4382">
        <v>50000</v>
      </c>
      <c r="F4382">
        <v>460000</v>
      </c>
      <c r="G4382">
        <v>44277</v>
      </c>
      <c r="H4382">
        <v>2021</v>
      </c>
      <c r="I4382" t="s">
        <v>45</v>
      </c>
    </row>
    <row r="4383" spans="1:9" x14ac:dyDescent="0.3">
      <c r="A4383" t="s">
        <v>0</v>
      </c>
      <c r="C4383">
        <v>50000</v>
      </c>
      <c r="G4383">
        <v>44277</v>
      </c>
      <c r="H4383">
        <v>2021</v>
      </c>
      <c r="I4383" t="s">
        <v>45</v>
      </c>
    </row>
    <row r="4384" spans="1:9" x14ac:dyDescent="0.3">
      <c r="A4384" t="s">
        <v>25</v>
      </c>
      <c r="B4384">
        <v>540000</v>
      </c>
      <c r="G4384">
        <v>44277</v>
      </c>
      <c r="H4384">
        <v>2021</v>
      </c>
      <c r="I4384" t="s">
        <v>45</v>
      </c>
    </row>
    <row r="4385" spans="1:9" x14ac:dyDescent="0.3">
      <c r="A4385" t="s">
        <v>15</v>
      </c>
      <c r="B4385">
        <v>378000</v>
      </c>
      <c r="C4385">
        <v>108000</v>
      </c>
      <c r="D4385">
        <v>320000</v>
      </c>
      <c r="E4385">
        <v>918000</v>
      </c>
      <c r="G4385">
        <v>44277</v>
      </c>
      <c r="H4385">
        <v>2021</v>
      </c>
      <c r="I4385" t="s">
        <v>45</v>
      </c>
    </row>
    <row r="4386" spans="1:9" x14ac:dyDescent="0.3">
      <c r="A4386" t="s">
        <v>54</v>
      </c>
      <c r="G4386">
        <v>44277</v>
      </c>
      <c r="H4386">
        <v>2021</v>
      </c>
      <c r="I4386" t="s">
        <v>45</v>
      </c>
    </row>
    <row r="4387" spans="1:9" x14ac:dyDescent="0.3">
      <c r="A4387" t="s">
        <v>26</v>
      </c>
      <c r="G4387">
        <v>44277</v>
      </c>
      <c r="H4387">
        <v>2021</v>
      </c>
      <c r="I4387" t="s">
        <v>45</v>
      </c>
    </row>
    <row r="4388" spans="1:9" x14ac:dyDescent="0.3">
      <c r="A4388" t="s">
        <v>22</v>
      </c>
      <c r="G4388">
        <v>44277</v>
      </c>
      <c r="H4388">
        <v>2021</v>
      </c>
      <c r="I4388" t="s">
        <v>45</v>
      </c>
    </row>
    <row r="4389" spans="1:9" x14ac:dyDescent="0.3">
      <c r="A4389" t="s">
        <v>19</v>
      </c>
      <c r="C4389">
        <v>266000</v>
      </c>
      <c r="G4389">
        <v>44277</v>
      </c>
      <c r="H4389">
        <v>2021</v>
      </c>
      <c r="I4389" t="s">
        <v>45</v>
      </c>
    </row>
    <row r="4390" spans="1:9" x14ac:dyDescent="0.3">
      <c r="A4390" t="s">
        <v>14</v>
      </c>
      <c r="B4390">
        <v>162000</v>
      </c>
      <c r="C4390">
        <v>158000</v>
      </c>
      <c r="G4390">
        <v>44277</v>
      </c>
      <c r="H4390">
        <v>2021</v>
      </c>
      <c r="I4390" t="s">
        <v>45</v>
      </c>
    </row>
    <row r="4391" spans="1:9" x14ac:dyDescent="0.3">
      <c r="A4391" t="s">
        <v>24</v>
      </c>
      <c r="G4391">
        <v>44277</v>
      </c>
      <c r="H4391">
        <v>2021</v>
      </c>
      <c r="I4391" t="s">
        <v>45</v>
      </c>
    </row>
    <row r="4392" spans="1:9" x14ac:dyDescent="0.3">
      <c r="A4392" t="s">
        <v>21</v>
      </c>
      <c r="G4392">
        <v>44277</v>
      </c>
      <c r="H4392">
        <v>2021</v>
      </c>
      <c r="I4392" t="s">
        <v>45</v>
      </c>
    </row>
    <row r="4393" spans="1:9" x14ac:dyDescent="0.3">
      <c r="A4393" t="s">
        <v>18</v>
      </c>
      <c r="G4393">
        <v>44277</v>
      </c>
      <c r="H4393">
        <v>2021</v>
      </c>
      <c r="I4393" t="s">
        <v>45</v>
      </c>
    </row>
    <row r="4394" spans="1:9" x14ac:dyDescent="0.3">
      <c r="A4394" t="s">
        <v>16</v>
      </c>
      <c r="G4394">
        <v>44277</v>
      </c>
      <c r="H4394">
        <v>2021</v>
      </c>
      <c r="I4394" t="s">
        <v>45</v>
      </c>
    </row>
    <row r="4395" spans="1:9" x14ac:dyDescent="0.3">
      <c r="A4395" t="s">
        <v>20</v>
      </c>
      <c r="G4395">
        <v>44278</v>
      </c>
      <c r="H4395">
        <v>2021</v>
      </c>
      <c r="I4395" t="s">
        <v>45</v>
      </c>
    </row>
    <row r="4396" spans="1:9" x14ac:dyDescent="0.3">
      <c r="A4396" t="s">
        <v>37</v>
      </c>
      <c r="B4396">
        <v>95000</v>
      </c>
      <c r="D4396">
        <v>216000</v>
      </c>
      <c r="G4396">
        <v>44278</v>
      </c>
      <c r="H4396">
        <v>2021</v>
      </c>
      <c r="I4396" t="s">
        <v>45</v>
      </c>
    </row>
    <row r="4397" spans="1:9" x14ac:dyDescent="0.3">
      <c r="A4397" t="s">
        <v>17</v>
      </c>
      <c r="B4397">
        <v>244000</v>
      </c>
      <c r="C4397">
        <v>270000</v>
      </c>
      <c r="G4397">
        <v>44278</v>
      </c>
      <c r="H4397">
        <v>2021</v>
      </c>
      <c r="I4397" t="s">
        <v>45</v>
      </c>
    </row>
    <row r="4398" spans="1:9" x14ac:dyDescent="0.3">
      <c r="A4398" t="s">
        <v>0</v>
      </c>
      <c r="C4398">
        <v>90000</v>
      </c>
      <c r="G4398">
        <v>44278</v>
      </c>
      <c r="H4398">
        <v>2021</v>
      </c>
      <c r="I4398" t="s">
        <v>45</v>
      </c>
    </row>
    <row r="4399" spans="1:9" x14ac:dyDescent="0.3">
      <c r="A4399" t="s">
        <v>25</v>
      </c>
      <c r="B4399">
        <v>158000</v>
      </c>
      <c r="G4399">
        <v>44278</v>
      </c>
      <c r="H4399">
        <v>2021</v>
      </c>
      <c r="I4399" t="s">
        <v>45</v>
      </c>
    </row>
    <row r="4400" spans="1:9" x14ac:dyDescent="0.3">
      <c r="A4400" t="s">
        <v>15</v>
      </c>
      <c r="B4400">
        <v>594000</v>
      </c>
      <c r="C4400">
        <v>374000</v>
      </c>
      <c r="D4400">
        <v>482000</v>
      </c>
      <c r="E4400">
        <v>860000</v>
      </c>
      <c r="G4400">
        <v>44278</v>
      </c>
      <c r="H4400">
        <v>2021</v>
      </c>
      <c r="I4400" t="s">
        <v>45</v>
      </c>
    </row>
    <row r="4401" spans="1:9" x14ac:dyDescent="0.3">
      <c r="A4401" t="s">
        <v>54</v>
      </c>
      <c r="G4401">
        <v>44278</v>
      </c>
      <c r="H4401">
        <v>2021</v>
      </c>
      <c r="I4401" t="s">
        <v>45</v>
      </c>
    </row>
    <row r="4402" spans="1:9" x14ac:dyDescent="0.3">
      <c r="A4402" t="s">
        <v>26</v>
      </c>
      <c r="G4402">
        <v>44278</v>
      </c>
      <c r="H4402">
        <v>2021</v>
      </c>
      <c r="I4402" t="s">
        <v>45</v>
      </c>
    </row>
    <row r="4403" spans="1:9" x14ac:dyDescent="0.3">
      <c r="A4403" t="s">
        <v>22</v>
      </c>
      <c r="G4403">
        <v>44278</v>
      </c>
      <c r="H4403">
        <v>2021</v>
      </c>
      <c r="I4403" t="s">
        <v>45</v>
      </c>
    </row>
    <row r="4404" spans="1:9" x14ac:dyDescent="0.3">
      <c r="A4404" t="s">
        <v>19</v>
      </c>
      <c r="C4404">
        <v>324000</v>
      </c>
      <c r="G4404">
        <v>44278</v>
      </c>
      <c r="H4404">
        <v>2021</v>
      </c>
      <c r="I4404" t="s">
        <v>45</v>
      </c>
    </row>
    <row r="4405" spans="1:9" x14ac:dyDescent="0.3">
      <c r="A4405" t="s">
        <v>14</v>
      </c>
      <c r="B4405">
        <v>319500</v>
      </c>
      <c r="C4405">
        <v>374000</v>
      </c>
      <c r="D4405">
        <v>45000</v>
      </c>
      <c r="G4405">
        <v>44278</v>
      </c>
      <c r="H4405">
        <v>2021</v>
      </c>
      <c r="I4405" t="s">
        <v>45</v>
      </c>
    </row>
    <row r="4406" spans="1:9" x14ac:dyDescent="0.3">
      <c r="A4406" t="s">
        <v>24</v>
      </c>
      <c r="G4406">
        <v>44278</v>
      </c>
      <c r="H4406">
        <v>2021</v>
      </c>
      <c r="I4406" t="s">
        <v>45</v>
      </c>
    </row>
    <row r="4407" spans="1:9" x14ac:dyDescent="0.3">
      <c r="A4407" t="s">
        <v>21</v>
      </c>
      <c r="G4407">
        <v>44278</v>
      </c>
      <c r="H4407">
        <v>2021</v>
      </c>
      <c r="I4407" t="s">
        <v>45</v>
      </c>
    </row>
    <row r="4408" spans="1:9" x14ac:dyDescent="0.3">
      <c r="A4408" t="s">
        <v>18</v>
      </c>
      <c r="G4408">
        <v>44278</v>
      </c>
      <c r="H4408">
        <v>2021</v>
      </c>
      <c r="I4408" t="s">
        <v>45</v>
      </c>
    </row>
    <row r="4409" spans="1:9" x14ac:dyDescent="0.3">
      <c r="A4409" t="s">
        <v>16</v>
      </c>
      <c r="B4409">
        <v>45000</v>
      </c>
      <c r="C4409">
        <v>49500</v>
      </c>
      <c r="G4409">
        <v>44278</v>
      </c>
      <c r="H4409">
        <v>2021</v>
      </c>
      <c r="I4409" t="s">
        <v>45</v>
      </c>
    </row>
    <row r="4410" spans="1:9" x14ac:dyDescent="0.3">
      <c r="A4410" t="s">
        <v>20</v>
      </c>
      <c r="G4410">
        <v>44279</v>
      </c>
      <c r="H4410">
        <v>2021</v>
      </c>
      <c r="I4410" t="s">
        <v>45</v>
      </c>
    </row>
    <row r="4411" spans="1:9" x14ac:dyDescent="0.3">
      <c r="A4411" t="s">
        <v>37</v>
      </c>
      <c r="G4411">
        <v>44279</v>
      </c>
      <c r="H4411">
        <v>2021</v>
      </c>
      <c r="I4411" t="s">
        <v>45</v>
      </c>
    </row>
    <row r="4412" spans="1:9" x14ac:dyDescent="0.3">
      <c r="A4412" t="s">
        <v>17</v>
      </c>
      <c r="C4412">
        <v>378000</v>
      </c>
      <c r="G4412">
        <v>44279</v>
      </c>
      <c r="H4412">
        <v>2021</v>
      </c>
      <c r="I4412" t="s">
        <v>45</v>
      </c>
    </row>
    <row r="4413" spans="1:9" x14ac:dyDescent="0.3">
      <c r="A4413" t="s">
        <v>0</v>
      </c>
      <c r="G4413">
        <v>44279</v>
      </c>
      <c r="H4413">
        <v>2021</v>
      </c>
      <c r="I4413" t="s">
        <v>45</v>
      </c>
    </row>
    <row r="4414" spans="1:9" x14ac:dyDescent="0.3">
      <c r="A4414" t="s">
        <v>25</v>
      </c>
      <c r="G4414">
        <v>44279</v>
      </c>
      <c r="H4414">
        <v>2021</v>
      </c>
      <c r="I4414" t="s">
        <v>45</v>
      </c>
    </row>
    <row r="4415" spans="1:9" x14ac:dyDescent="0.3">
      <c r="A4415" t="s">
        <v>15</v>
      </c>
      <c r="B4415">
        <v>1882000</v>
      </c>
      <c r="C4415">
        <v>536000</v>
      </c>
      <c r="D4415">
        <v>428000</v>
      </c>
      <c r="E4415">
        <v>964000</v>
      </c>
      <c r="G4415">
        <v>44279</v>
      </c>
      <c r="H4415">
        <v>2021</v>
      </c>
      <c r="I4415" t="s">
        <v>45</v>
      </c>
    </row>
    <row r="4416" spans="1:9" x14ac:dyDescent="0.3">
      <c r="A4416" t="s">
        <v>54</v>
      </c>
      <c r="G4416">
        <v>44279</v>
      </c>
      <c r="H4416">
        <v>2021</v>
      </c>
      <c r="I4416" t="s">
        <v>45</v>
      </c>
    </row>
    <row r="4417" spans="1:9" x14ac:dyDescent="0.3">
      <c r="A4417" t="s">
        <v>26</v>
      </c>
      <c r="G4417">
        <v>44279</v>
      </c>
      <c r="H4417">
        <v>2021</v>
      </c>
      <c r="I4417" t="s">
        <v>45</v>
      </c>
    </row>
    <row r="4418" spans="1:9" x14ac:dyDescent="0.3">
      <c r="A4418" t="s">
        <v>22</v>
      </c>
      <c r="G4418">
        <v>44279</v>
      </c>
      <c r="H4418">
        <v>2021</v>
      </c>
      <c r="I4418" t="s">
        <v>45</v>
      </c>
    </row>
    <row r="4419" spans="1:9" x14ac:dyDescent="0.3">
      <c r="A4419" t="s">
        <v>19</v>
      </c>
      <c r="C4419">
        <v>270000</v>
      </c>
      <c r="F4419">
        <v>500000</v>
      </c>
      <c r="G4419">
        <v>44279</v>
      </c>
      <c r="H4419">
        <v>2021</v>
      </c>
      <c r="I4419" t="s">
        <v>45</v>
      </c>
    </row>
    <row r="4420" spans="1:9" x14ac:dyDescent="0.3">
      <c r="A4420" t="s">
        <v>14</v>
      </c>
      <c r="B4420">
        <v>108000</v>
      </c>
      <c r="C4420">
        <v>324000</v>
      </c>
      <c r="D4420">
        <v>45000</v>
      </c>
      <c r="G4420">
        <v>44279</v>
      </c>
      <c r="H4420">
        <v>2021</v>
      </c>
      <c r="I4420" t="s">
        <v>45</v>
      </c>
    </row>
    <row r="4421" spans="1:9" x14ac:dyDescent="0.3">
      <c r="A4421" t="s">
        <v>24</v>
      </c>
      <c r="G4421">
        <v>44279</v>
      </c>
      <c r="H4421">
        <v>2021</v>
      </c>
      <c r="I4421" t="s">
        <v>45</v>
      </c>
    </row>
    <row r="4422" spans="1:9" x14ac:dyDescent="0.3">
      <c r="A4422" t="s">
        <v>21</v>
      </c>
      <c r="G4422">
        <v>44279</v>
      </c>
      <c r="H4422">
        <v>2021</v>
      </c>
      <c r="I4422" t="s">
        <v>45</v>
      </c>
    </row>
    <row r="4423" spans="1:9" x14ac:dyDescent="0.3">
      <c r="A4423" t="s">
        <v>18</v>
      </c>
      <c r="G4423">
        <v>44279</v>
      </c>
      <c r="H4423">
        <v>2021</v>
      </c>
      <c r="I4423" t="s">
        <v>45</v>
      </c>
    </row>
    <row r="4424" spans="1:9" x14ac:dyDescent="0.3">
      <c r="A4424" t="s">
        <v>16</v>
      </c>
      <c r="G4424">
        <v>44279</v>
      </c>
      <c r="H4424">
        <v>2021</v>
      </c>
      <c r="I4424" t="s">
        <v>45</v>
      </c>
    </row>
    <row r="4425" spans="1:9" x14ac:dyDescent="0.3">
      <c r="A4425" t="s">
        <v>20</v>
      </c>
      <c r="G4425">
        <v>44280</v>
      </c>
      <c r="H4425">
        <v>2021</v>
      </c>
      <c r="I4425" t="s">
        <v>45</v>
      </c>
    </row>
    <row r="4426" spans="1:9" x14ac:dyDescent="0.3">
      <c r="A4426" t="s">
        <v>37</v>
      </c>
      <c r="B4426">
        <v>47000</v>
      </c>
      <c r="G4426">
        <v>44280</v>
      </c>
      <c r="H4426">
        <v>2021</v>
      </c>
      <c r="I4426" t="s">
        <v>45</v>
      </c>
    </row>
    <row r="4427" spans="1:9" x14ac:dyDescent="0.3">
      <c r="A4427" t="s">
        <v>17</v>
      </c>
      <c r="C4427">
        <v>162000</v>
      </c>
      <c r="G4427">
        <v>44280</v>
      </c>
      <c r="H4427">
        <v>2021</v>
      </c>
      <c r="I4427" t="s">
        <v>45</v>
      </c>
    </row>
    <row r="4428" spans="1:9" x14ac:dyDescent="0.3">
      <c r="A4428" t="s">
        <v>0</v>
      </c>
      <c r="G4428">
        <v>44280</v>
      </c>
      <c r="H4428">
        <v>2021</v>
      </c>
      <c r="I4428" t="s">
        <v>45</v>
      </c>
    </row>
    <row r="4429" spans="1:9" x14ac:dyDescent="0.3">
      <c r="A4429" t="s">
        <v>25</v>
      </c>
      <c r="C4429">
        <v>267500</v>
      </c>
      <c r="G4429">
        <v>44280</v>
      </c>
      <c r="H4429">
        <v>2021</v>
      </c>
      <c r="I4429" t="s">
        <v>45</v>
      </c>
    </row>
    <row r="4430" spans="1:9" x14ac:dyDescent="0.3">
      <c r="A4430" t="s">
        <v>15</v>
      </c>
      <c r="B4430">
        <v>162000</v>
      </c>
      <c r="C4430">
        <v>108000</v>
      </c>
      <c r="D4430">
        <v>45000</v>
      </c>
      <c r="E4430">
        <v>269000</v>
      </c>
      <c r="G4430">
        <v>44280</v>
      </c>
      <c r="H4430">
        <v>2021</v>
      </c>
      <c r="I4430" t="s">
        <v>45</v>
      </c>
    </row>
    <row r="4431" spans="1:9" x14ac:dyDescent="0.3">
      <c r="A4431" t="s">
        <v>54</v>
      </c>
      <c r="G4431">
        <v>44280</v>
      </c>
      <c r="H4431">
        <v>2021</v>
      </c>
      <c r="I4431" t="s">
        <v>45</v>
      </c>
    </row>
    <row r="4432" spans="1:9" x14ac:dyDescent="0.3">
      <c r="A4432" t="s">
        <v>26</v>
      </c>
      <c r="B4432">
        <v>910000</v>
      </c>
      <c r="E4432">
        <v>486000</v>
      </c>
      <c r="G4432">
        <v>44280</v>
      </c>
      <c r="H4432">
        <v>2021</v>
      </c>
      <c r="I4432" t="s">
        <v>45</v>
      </c>
    </row>
    <row r="4433" spans="1:9" x14ac:dyDescent="0.3">
      <c r="A4433" t="s">
        <v>22</v>
      </c>
      <c r="G4433">
        <v>44280</v>
      </c>
      <c r="H4433">
        <v>2021</v>
      </c>
      <c r="I4433" t="s">
        <v>45</v>
      </c>
    </row>
    <row r="4434" spans="1:9" x14ac:dyDescent="0.3">
      <c r="A4434" t="s">
        <v>19</v>
      </c>
      <c r="C4434">
        <v>756000</v>
      </c>
      <c r="G4434">
        <v>44280</v>
      </c>
      <c r="H4434">
        <v>2021</v>
      </c>
      <c r="I4434" t="s">
        <v>45</v>
      </c>
    </row>
    <row r="4435" spans="1:9" x14ac:dyDescent="0.3">
      <c r="A4435" t="s">
        <v>14</v>
      </c>
      <c r="B4435">
        <v>162000</v>
      </c>
      <c r="C4435">
        <v>318000</v>
      </c>
      <c r="G4435">
        <v>44280</v>
      </c>
      <c r="H4435">
        <v>2021</v>
      </c>
      <c r="I4435" t="s">
        <v>45</v>
      </c>
    </row>
    <row r="4436" spans="1:9" x14ac:dyDescent="0.3">
      <c r="A4436" t="s">
        <v>24</v>
      </c>
      <c r="G4436">
        <v>44280</v>
      </c>
      <c r="H4436">
        <v>2021</v>
      </c>
      <c r="I4436" t="s">
        <v>45</v>
      </c>
    </row>
    <row r="4437" spans="1:9" x14ac:dyDescent="0.3">
      <c r="A4437" t="s">
        <v>21</v>
      </c>
      <c r="G4437">
        <v>44280</v>
      </c>
      <c r="H4437">
        <v>2021</v>
      </c>
      <c r="I4437" t="s">
        <v>45</v>
      </c>
    </row>
    <row r="4438" spans="1:9" x14ac:dyDescent="0.3">
      <c r="A4438" t="s">
        <v>18</v>
      </c>
      <c r="G4438">
        <v>44280</v>
      </c>
      <c r="H4438">
        <v>2021</v>
      </c>
      <c r="I4438" t="s">
        <v>45</v>
      </c>
    </row>
    <row r="4439" spans="1:9" x14ac:dyDescent="0.3">
      <c r="A4439" t="s">
        <v>16</v>
      </c>
      <c r="G4439">
        <v>44280</v>
      </c>
      <c r="H4439">
        <v>2021</v>
      </c>
      <c r="I4439" t="s">
        <v>45</v>
      </c>
    </row>
    <row r="4440" spans="1:9" x14ac:dyDescent="0.3">
      <c r="A4440" t="s">
        <v>20</v>
      </c>
      <c r="G4440">
        <v>44281</v>
      </c>
      <c r="H4440">
        <v>2021</v>
      </c>
      <c r="I4440" t="s">
        <v>45</v>
      </c>
    </row>
    <row r="4441" spans="1:9" x14ac:dyDescent="0.3">
      <c r="A4441" t="s">
        <v>37</v>
      </c>
      <c r="B4441">
        <v>45000</v>
      </c>
      <c r="G4441">
        <v>44281</v>
      </c>
      <c r="H4441">
        <v>2021</v>
      </c>
      <c r="I4441" t="s">
        <v>45</v>
      </c>
    </row>
    <row r="4442" spans="1:9" x14ac:dyDescent="0.3">
      <c r="A4442" t="s">
        <v>17</v>
      </c>
      <c r="C4442">
        <v>216000</v>
      </c>
      <c r="G4442">
        <v>44281</v>
      </c>
      <c r="H4442">
        <v>2021</v>
      </c>
      <c r="I4442" t="s">
        <v>45</v>
      </c>
    </row>
    <row r="4443" spans="1:9" x14ac:dyDescent="0.3">
      <c r="A4443" t="s">
        <v>0</v>
      </c>
      <c r="G4443">
        <v>44281</v>
      </c>
      <c r="H4443">
        <v>2021</v>
      </c>
      <c r="I4443" t="s">
        <v>45</v>
      </c>
    </row>
    <row r="4444" spans="1:9" x14ac:dyDescent="0.3">
      <c r="A4444" t="s">
        <v>25</v>
      </c>
      <c r="C4444">
        <v>324000</v>
      </c>
      <c r="G4444">
        <v>44281</v>
      </c>
      <c r="H4444">
        <v>2021</v>
      </c>
      <c r="I4444" t="s">
        <v>45</v>
      </c>
    </row>
    <row r="4445" spans="1:9" x14ac:dyDescent="0.3">
      <c r="A4445" t="s">
        <v>15</v>
      </c>
      <c r="C4445">
        <v>378000</v>
      </c>
      <c r="E4445">
        <v>432000</v>
      </c>
      <c r="G4445">
        <v>44281</v>
      </c>
      <c r="H4445">
        <v>2021</v>
      </c>
      <c r="I4445" t="s">
        <v>45</v>
      </c>
    </row>
    <row r="4446" spans="1:9" x14ac:dyDescent="0.3">
      <c r="A4446" t="s">
        <v>54</v>
      </c>
      <c r="G4446">
        <v>44281</v>
      </c>
      <c r="H4446">
        <v>2021</v>
      </c>
      <c r="I4446" t="s">
        <v>45</v>
      </c>
    </row>
    <row r="4447" spans="1:9" x14ac:dyDescent="0.3">
      <c r="A4447" t="s">
        <v>26</v>
      </c>
      <c r="B4447">
        <v>266000</v>
      </c>
      <c r="E4447">
        <v>374000</v>
      </c>
      <c r="G4447">
        <v>44281</v>
      </c>
      <c r="H4447">
        <v>2021</v>
      </c>
      <c r="I4447" t="s">
        <v>45</v>
      </c>
    </row>
    <row r="4448" spans="1:9" x14ac:dyDescent="0.3">
      <c r="A4448" t="s">
        <v>22</v>
      </c>
      <c r="G4448">
        <v>44281</v>
      </c>
      <c r="H4448">
        <v>2021</v>
      </c>
      <c r="I4448" t="s">
        <v>45</v>
      </c>
    </row>
    <row r="4449" spans="1:9" x14ac:dyDescent="0.3">
      <c r="A4449" t="s">
        <v>19</v>
      </c>
      <c r="C4449">
        <v>478000</v>
      </c>
      <c r="G4449">
        <v>44281</v>
      </c>
      <c r="H4449">
        <v>2021</v>
      </c>
      <c r="I4449" t="s">
        <v>45</v>
      </c>
    </row>
    <row r="4450" spans="1:9" x14ac:dyDescent="0.3">
      <c r="A4450" t="s">
        <v>14</v>
      </c>
      <c r="B4450">
        <v>90000</v>
      </c>
      <c r="D4450">
        <v>45000</v>
      </c>
      <c r="G4450">
        <v>44281</v>
      </c>
      <c r="H4450">
        <v>2021</v>
      </c>
      <c r="I4450" t="s">
        <v>45</v>
      </c>
    </row>
    <row r="4451" spans="1:9" x14ac:dyDescent="0.3">
      <c r="A4451" t="s">
        <v>24</v>
      </c>
      <c r="G4451">
        <v>44281</v>
      </c>
      <c r="H4451">
        <v>2021</v>
      </c>
      <c r="I4451" t="s">
        <v>45</v>
      </c>
    </row>
    <row r="4452" spans="1:9" x14ac:dyDescent="0.3">
      <c r="A4452" t="s">
        <v>21</v>
      </c>
      <c r="G4452">
        <v>44281</v>
      </c>
      <c r="H4452">
        <v>2021</v>
      </c>
      <c r="I4452" t="s">
        <v>45</v>
      </c>
    </row>
    <row r="4453" spans="1:9" x14ac:dyDescent="0.3">
      <c r="A4453" t="s">
        <v>18</v>
      </c>
      <c r="G4453">
        <v>44281</v>
      </c>
      <c r="H4453">
        <v>2021</v>
      </c>
      <c r="I4453" t="s">
        <v>45</v>
      </c>
    </row>
    <row r="4454" spans="1:9" x14ac:dyDescent="0.3">
      <c r="A4454" t="s">
        <v>16</v>
      </c>
      <c r="G4454">
        <v>44281</v>
      </c>
      <c r="H4454">
        <v>2021</v>
      </c>
      <c r="I4454" t="s">
        <v>45</v>
      </c>
    </row>
    <row r="4455" spans="1:9" x14ac:dyDescent="0.3">
      <c r="A4455" t="s">
        <v>20</v>
      </c>
      <c r="G4455">
        <v>44284</v>
      </c>
      <c r="H4455">
        <v>2021</v>
      </c>
      <c r="I4455" t="s">
        <v>45</v>
      </c>
    </row>
    <row r="4456" spans="1:9" x14ac:dyDescent="0.3">
      <c r="A4456" t="s">
        <v>37</v>
      </c>
      <c r="G4456">
        <v>44284</v>
      </c>
      <c r="H4456">
        <v>2021</v>
      </c>
      <c r="I4456" t="s">
        <v>45</v>
      </c>
    </row>
    <row r="4457" spans="1:9" x14ac:dyDescent="0.3">
      <c r="A4457" t="s">
        <v>17</v>
      </c>
      <c r="C4457">
        <v>108000</v>
      </c>
      <c r="G4457">
        <v>44284</v>
      </c>
      <c r="H4457">
        <v>2021</v>
      </c>
      <c r="I4457" t="s">
        <v>45</v>
      </c>
    </row>
    <row r="4458" spans="1:9" x14ac:dyDescent="0.3">
      <c r="A4458" t="s">
        <v>0</v>
      </c>
      <c r="B4458">
        <v>1674000</v>
      </c>
      <c r="D4458">
        <v>1188000</v>
      </c>
      <c r="G4458">
        <v>44284</v>
      </c>
      <c r="H4458">
        <v>2021</v>
      </c>
      <c r="I4458" t="s">
        <v>45</v>
      </c>
    </row>
    <row r="4459" spans="1:9" x14ac:dyDescent="0.3">
      <c r="A4459" t="s">
        <v>25</v>
      </c>
      <c r="C4459">
        <v>432000</v>
      </c>
      <c r="G4459">
        <v>44284</v>
      </c>
      <c r="H4459">
        <v>2021</v>
      </c>
      <c r="I4459" t="s">
        <v>45</v>
      </c>
    </row>
    <row r="4460" spans="1:9" x14ac:dyDescent="0.3">
      <c r="A4460" t="s">
        <v>15</v>
      </c>
      <c r="C4460">
        <v>324000</v>
      </c>
      <c r="E4460">
        <v>54000</v>
      </c>
      <c r="G4460">
        <v>44284</v>
      </c>
      <c r="H4460">
        <v>2021</v>
      </c>
      <c r="I4460" t="s">
        <v>45</v>
      </c>
    </row>
    <row r="4461" spans="1:9" x14ac:dyDescent="0.3">
      <c r="A4461" t="s">
        <v>54</v>
      </c>
      <c r="G4461">
        <v>44284</v>
      </c>
      <c r="H4461">
        <v>2021</v>
      </c>
      <c r="I4461" t="s">
        <v>45</v>
      </c>
    </row>
    <row r="4462" spans="1:9" x14ac:dyDescent="0.3">
      <c r="A4462" t="s">
        <v>26</v>
      </c>
      <c r="E4462">
        <v>45000</v>
      </c>
      <c r="G4462">
        <v>44284</v>
      </c>
      <c r="H4462">
        <v>2021</v>
      </c>
      <c r="I4462" t="s">
        <v>45</v>
      </c>
    </row>
    <row r="4463" spans="1:9" x14ac:dyDescent="0.3">
      <c r="A4463" t="s">
        <v>22</v>
      </c>
      <c r="G4463">
        <v>44284</v>
      </c>
      <c r="H4463">
        <v>2021</v>
      </c>
      <c r="I4463" t="s">
        <v>45</v>
      </c>
    </row>
    <row r="4464" spans="1:9" x14ac:dyDescent="0.3">
      <c r="A4464" t="s">
        <v>19</v>
      </c>
      <c r="C4464">
        <v>648000</v>
      </c>
      <c r="G4464">
        <v>44284</v>
      </c>
      <c r="H4464">
        <v>2021</v>
      </c>
      <c r="I4464" t="s">
        <v>45</v>
      </c>
    </row>
    <row r="4465" spans="1:9" x14ac:dyDescent="0.3">
      <c r="A4465" t="s">
        <v>14</v>
      </c>
      <c r="C4465">
        <v>53000</v>
      </c>
      <c r="G4465">
        <v>44284</v>
      </c>
      <c r="H4465">
        <v>2021</v>
      </c>
      <c r="I4465" t="s">
        <v>45</v>
      </c>
    </row>
    <row r="4466" spans="1:9" x14ac:dyDescent="0.3">
      <c r="A4466" t="s">
        <v>24</v>
      </c>
      <c r="G4466">
        <v>44284</v>
      </c>
      <c r="H4466">
        <v>2021</v>
      </c>
      <c r="I4466" t="s">
        <v>45</v>
      </c>
    </row>
    <row r="4467" spans="1:9" x14ac:dyDescent="0.3">
      <c r="A4467" t="s">
        <v>21</v>
      </c>
      <c r="G4467">
        <v>44284</v>
      </c>
      <c r="H4467">
        <v>2021</v>
      </c>
      <c r="I4467" t="s">
        <v>45</v>
      </c>
    </row>
    <row r="4468" spans="1:9" x14ac:dyDescent="0.3">
      <c r="A4468" t="s">
        <v>18</v>
      </c>
      <c r="G4468">
        <v>44284</v>
      </c>
      <c r="H4468">
        <v>2021</v>
      </c>
      <c r="I4468" t="s">
        <v>45</v>
      </c>
    </row>
    <row r="4469" spans="1:9" x14ac:dyDescent="0.3">
      <c r="A4469" t="s">
        <v>16</v>
      </c>
      <c r="G4469">
        <v>44284</v>
      </c>
      <c r="H4469">
        <v>2021</v>
      </c>
      <c r="I4469" t="s">
        <v>45</v>
      </c>
    </row>
    <row r="4470" spans="1:9" x14ac:dyDescent="0.3">
      <c r="A4470" t="s">
        <v>20</v>
      </c>
      <c r="G4470">
        <v>44285</v>
      </c>
      <c r="H4470">
        <v>2021</v>
      </c>
      <c r="I4470" t="s">
        <v>45</v>
      </c>
    </row>
    <row r="4471" spans="1:9" x14ac:dyDescent="0.3">
      <c r="A4471" t="s">
        <v>37</v>
      </c>
      <c r="G4471">
        <v>44285</v>
      </c>
      <c r="H4471">
        <v>2021</v>
      </c>
      <c r="I4471" t="s">
        <v>45</v>
      </c>
    </row>
    <row r="4472" spans="1:9" x14ac:dyDescent="0.3">
      <c r="A4472" t="s">
        <v>17</v>
      </c>
      <c r="G4472">
        <v>44285</v>
      </c>
      <c r="H4472">
        <v>2021</v>
      </c>
      <c r="I4472" t="s">
        <v>45</v>
      </c>
    </row>
    <row r="4473" spans="1:9" x14ac:dyDescent="0.3">
      <c r="A4473" t="s">
        <v>0</v>
      </c>
      <c r="B4473">
        <v>2039000</v>
      </c>
      <c r="D4473">
        <v>756000</v>
      </c>
      <c r="G4473">
        <v>44285</v>
      </c>
      <c r="H4473">
        <v>2021</v>
      </c>
      <c r="I4473" t="s">
        <v>45</v>
      </c>
    </row>
    <row r="4474" spans="1:9" x14ac:dyDescent="0.3">
      <c r="A4474" t="s">
        <v>25</v>
      </c>
      <c r="C4474">
        <v>432000</v>
      </c>
      <c r="E4474">
        <v>90000</v>
      </c>
      <c r="G4474">
        <v>44285</v>
      </c>
      <c r="H4474">
        <v>2021</v>
      </c>
      <c r="I4474" t="s">
        <v>45</v>
      </c>
    </row>
    <row r="4475" spans="1:9" x14ac:dyDescent="0.3">
      <c r="A4475" t="s">
        <v>15</v>
      </c>
      <c r="C4475">
        <v>318500</v>
      </c>
      <c r="G4475">
        <v>44285</v>
      </c>
      <c r="H4475">
        <v>2021</v>
      </c>
      <c r="I4475" t="s">
        <v>45</v>
      </c>
    </row>
    <row r="4476" spans="1:9" x14ac:dyDescent="0.3">
      <c r="A4476" t="s">
        <v>54</v>
      </c>
      <c r="G4476">
        <v>44285</v>
      </c>
      <c r="H4476">
        <v>2021</v>
      </c>
      <c r="I4476" t="s">
        <v>45</v>
      </c>
    </row>
    <row r="4477" spans="1:9" x14ac:dyDescent="0.3">
      <c r="A4477" t="s">
        <v>26</v>
      </c>
      <c r="E4477">
        <v>95000</v>
      </c>
      <c r="G4477">
        <v>44285</v>
      </c>
      <c r="H4477">
        <v>2021</v>
      </c>
      <c r="I4477" t="s">
        <v>45</v>
      </c>
    </row>
    <row r="4478" spans="1:9" x14ac:dyDescent="0.3">
      <c r="A4478" t="s">
        <v>22</v>
      </c>
      <c r="G4478">
        <v>44285</v>
      </c>
      <c r="H4478">
        <v>2021</v>
      </c>
      <c r="I4478" t="s">
        <v>45</v>
      </c>
    </row>
    <row r="4479" spans="1:9" x14ac:dyDescent="0.3">
      <c r="A4479" t="s">
        <v>19</v>
      </c>
      <c r="C4479">
        <v>540000</v>
      </c>
      <c r="G4479">
        <v>44285</v>
      </c>
      <c r="H4479">
        <v>2021</v>
      </c>
      <c r="I4479" t="s">
        <v>45</v>
      </c>
    </row>
    <row r="4480" spans="1:9" x14ac:dyDescent="0.3">
      <c r="A4480" t="s">
        <v>14</v>
      </c>
      <c r="C4480">
        <v>140000</v>
      </c>
      <c r="G4480">
        <v>44285</v>
      </c>
      <c r="H4480">
        <v>2021</v>
      </c>
      <c r="I4480" t="s">
        <v>45</v>
      </c>
    </row>
    <row r="4481" spans="1:9" x14ac:dyDescent="0.3">
      <c r="A4481" t="s">
        <v>24</v>
      </c>
      <c r="G4481">
        <v>44285</v>
      </c>
      <c r="H4481">
        <v>2021</v>
      </c>
      <c r="I4481" t="s">
        <v>45</v>
      </c>
    </row>
    <row r="4482" spans="1:9" x14ac:dyDescent="0.3">
      <c r="A4482" t="s">
        <v>21</v>
      </c>
      <c r="G4482">
        <v>44285</v>
      </c>
      <c r="H4482">
        <v>2021</v>
      </c>
      <c r="I4482" t="s">
        <v>45</v>
      </c>
    </row>
    <row r="4483" spans="1:9" x14ac:dyDescent="0.3">
      <c r="A4483" t="s">
        <v>18</v>
      </c>
      <c r="C4483">
        <v>270000</v>
      </c>
      <c r="E4483">
        <v>54000</v>
      </c>
      <c r="G4483">
        <v>44285</v>
      </c>
      <c r="H4483">
        <v>2021</v>
      </c>
      <c r="I4483" t="s">
        <v>45</v>
      </c>
    </row>
    <row r="4484" spans="1:9" x14ac:dyDescent="0.3">
      <c r="A4484" t="s">
        <v>16</v>
      </c>
      <c r="G4484">
        <v>44285</v>
      </c>
      <c r="H4484">
        <v>2021</v>
      </c>
      <c r="I4484" t="s">
        <v>45</v>
      </c>
    </row>
    <row r="4485" spans="1:9" x14ac:dyDescent="0.3">
      <c r="A4485" t="s">
        <v>20</v>
      </c>
      <c r="G4485">
        <v>44286</v>
      </c>
      <c r="H4485">
        <v>2021</v>
      </c>
      <c r="I4485" t="s">
        <v>45</v>
      </c>
    </row>
    <row r="4486" spans="1:9" x14ac:dyDescent="0.3">
      <c r="A4486" t="s">
        <v>37</v>
      </c>
      <c r="G4486">
        <v>44286</v>
      </c>
      <c r="H4486">
        <v>2021</v>
      </c>
      <c r="I4486" t="s">
        <v>45</v>
      </c>
    </row>
    <row r="4487" spans="1:9" x14ac:dyDescent="0.3">
      <c r="A4487" t="s">
        <v>17</v>
      </c>
      <c r="G4487">
        <v>44286</v>
      </c>
      <c r="H4487">
        <v>2021</v>
      </c>
      <c r="I4487" t="s">
        <v>45</v>
      </c>
    </row>
    <row r="4488" spans="1:9" x14ac:dyDescent="0.3">
      <c r="A4488" t="s">
        <v>0</v>
      </c>
      <c r="B4488">
        <v>1145000</v>
      </c>
      <c r="D4488">
        <v>54000</v>
      </c>
      <c r="G4488">
        <v>44286</v>
      </c>
      <c r="H4488">
        <v>2021</v>
      </c>
      <c r="I4488" t="s">
        <v>45</v>
      </c>
    </row>
    <row r="4489" spans="1:9" x14ac:dyDescent="0.3">
      <c r="A4489" t="s">
        <v>25</v>
      </c>
      <c r="C4489">
        <v>324000</v>
      </c>
      <c r="G4489">
        <v>44286</v>
      </c>
      <c r="H4489">
        <v>2021</v>
      </c>
      <c r="I4489" t="s">
        <v>45</v>
      </c>
    </row>
    <row r="4490" spans="1:9" x14ac:dyDescent="0.3">
      <c r="A4490" t="s">
        <v>15</v>
      </c>
      <c r="C4490">
        <v>517500</v>
      </c>
      <c r="G4490">
        <v>44286</v>
      </c>
      <c r="H4490">
        <v>2021</v>
      </c>
      <c r="I4490" t="s">
        <v>45</v>
      </c>
    </row>
    <row r="4491" spans="1:9" x14ac:dyDescent="0.3">
      <c r="A4491" t="s">
        <v>54</v>
      </c>
      <c r="G4491">
        <v>44286</v>
      </c>
      <c r="H4491">
        <v>2021</v>
      </c>
      <c r="I4491" t="s">
        <v>45</v>
      </c>
    </row>
    <row r="4492" spans="1:9" x14ac:dyDescent="0.3">
      <c r="A4492" t="s">
        <v>26</v>
      </c>
      <c r="G4492">
        <v>44286</v>
      </c>
      <c r="H4492">
        <v>2021</v>
      </c>
      <c r="I4492" t="s">
        <v>45</v>
      </c>
    </row>
    <row r="4493" spans="1:9" x14ac:dyDescent="0.3">
      <c r="A4493" t="s">
        <v>22</v>
      </c>
      <c r="G4493">
        <v>44286</v>
      </c>
      <c r="H4493">
        <v>2021</v>
      </c>
      <c r="I4493" t="s">
        <v>45</v>
      </c>
    </row>
    <row r="4494" spans="1:9" x14ac:dyDescent="0.3">
      <c r="A4494" t="s">
        <v>19</v>
      </c>
      <c r="B4494">
        <v>918000</v>
      </c>
      <c r="C4494">
        <v>486000</v>
      </c>
      <c r="D4494">
        <v>756000</v>
      </c>
      <c r="G4494">
        <v>44286</v>
      </c>
      <c r="H4494">
        <v>2021</v>
      </c>
      <c r="I4494" t="s">
        <v>45</v>
      </c>
    </row>
    <row r="4495" spans="1:9" x14ac:dyDescent="0.3">
      <c r="A4495" t="s">
        <v>14</v>
      </c>
      <c r="D4495">
        <v>45000</v>
      </c>
      <c r="G4495">
        <v>44286</v>
      </c>
      <c r="H4495">
        <v>2021</v>
      </c>
      <c r="I4495" t="s">
        <v>45</v>
      </c>
    </row>
    <row r="4496" spans="1:9" x14ac:dyDescent="0.3">
      <c r="A4496" t="s">
        <v>24</v>
      </c>
      <c r="G4496">
        <v>44286</v>
      </c>
      <c r="H4496">
        <v>2021</v>
      </c>
      <c r="I4496" t="s">
        <v>45</v>
      </c>
    </row>
    <row r="4497" spans="1:9" x14ac:dyDescent="0.3">
      <c r="A4497" t="s">
        <v>21</v>
      </c>
      <c r="G4497">
        <v>44286</v>
      </c>
      <c r="H4497">
        <v>2021</v>
      </c>
      <c r="I4497" t="s">
        <v>45</v>
      </c>
    </row>
    <row r="4498" spans="1:9" x14ac:dyDescent="0.3">
      <c r="A4498" t="s">
        <v>18</v>
      </c>
      <c r="C4498">
        <v>162000</v>
      </c>
      <c r="E4498">
        <v>324000</v>
      </c>
      <c r="G4498">
        <v>44286</v>
      </c>
      <c r="H4498">
        <v>2021</v>
      </c>
      <c r="I4498" t="s">
        <v>45</v>
      </c>
    </row>
    <row r="4499" spans="1:9" x14ac:dyDescent="0.3">
      <c r="A4499" t="s">
        <v>16</v>
      </c>
      <c r="G4499">
        <v>44286</v>
      </c>
      <c r="H4499">
        <v>2021</v>
      </c>
      <c r="I4499" t="s">
        <v>45</v>
      </c>
    </row>
    <row r="4500" spans="1:9" x14ac:dyDescent="0.3">
      <c r="A4500" t="s">
        <v>20</v>
      </c>
      <c r="G4500">
        <v>44287</v>
      </c>
      <c r="H4500">
        <v>2021</v>
      </c>
      <c r="I4500" t="s">
        <v>46</v>
      </c>
    </row>
    <row r="4501" spans="1:9" x14ac:dyDescent="0.3">
      <c r="A4501" t="s">
        <v>37</v>
      </c>
      <c r="G4501">
        <v>44287</v>
      </c>
      <c r="H4501">
        <v>2021</v>
      </c>
      <c r="I4501" t="s">
        <v>46</v>
      </c>
    </row>
    <row r="4502" spans="1:9" x14ac:dyDescent="0.3">
      <c r="A4502" t="s">
        <v>17</v>
      </c>
      <c r="G4502">
        <v>44287</v>
      </c>
      <c r="H4502">
        <v>2021</v>
      </c>
      <c r="I4502" t="s">
        <v>46</v>
      </c>
    </row>
    <row r="4503" spans="1:9" x14ac:dyDescent="0.3">
      <c r="A4503" t="s">
        <v>0</v>
      </c>
      <c r="G4503">
        <v>44287</v>
      </c>
      <c r="H4503">
        <v>2021</v>
      </c>
      <c r="I4503" t="s">
        <v>46</v>
      </c>
    </row>
    <row r="4504" spans="1:9" x14ac:dyDescent="0.3">
      <c r="A4504" t="s">
        <v>25</v>
      </c>
      <c r="G4504">
        <v>44287</v>
      </c>
      <c r="H4504">
        <v>2021</v>
      </c>
      <c r="I4504" t="s">
        <v>46</v>
      </c>
    </row>
    <row r="4505" spans="1:9" x14ac:dyDescent="0.3">
      <c r="A4505" t="s">
        <v>15</v>
      </c>
      <c r="C4505">
        <v>203000</v>
      </c>
      <c r="G4505">
        <v>44287</v>
      </c>
      <c r="H4505">
        <v>2021</v>
      </c>
      <c r="I4505" t="s">
        <v>46</v>
      </c>
    </row>
    <row r="4506" spans="1:9" x14ac:dyDescent="0.3">
      <c r="A4506" t="s">
        <v>54</v>
      </c>
      <c r="G4506">
        <v>44287</v>
      </c>
      <c r="H4506">
        <v>2021</v>
      </c>
      <c r="I4506" t="s">
        <v>46</v>
      </c>
    </row>
    <row r="4507" spans="1:9" x14ac:dyDescent="0.3">
      <c r="A4507" t="s">
        <v>26</v>
      </c>
      <c r="G4507">
        <v>44287</v>
      </c>
      <c r="H4507">
        <v>2021</v>
      </c>
      <c r="I4507" t="s">
        <v>46</v>
      </c>
    </row>
    <row r="4508" spans="1:9" x14ac:dyDescent="0.3">
      <c r="A4508" t="s">
        <v>22</v>
      </c>
      <c r="G4508">
        <v>44287</v>
      </c>
      <c r="H4508">
        <v>2021</v>
      </c>
      <c r="I4508" t="s">
        <v>46</v>
      </c>
    </row>
    <row r="4509" spans="1:9" x14ac:dyDescent="0.3">
      <c r="A4509" t="s">
        <v>19</v>
      </c>
      <c r="B4509">
        <v>215000</v>
      </c>
      <c r="D4509">
        <v>54000</v>
      </c>
      <c r="G4509">
        <v>44287</v>
      </c>
      <c r="H4509">
        <v>2021</v>
      </c>
      <c r="I4509" t="s">
        <v>46</v>
      </c>
    </row>
    <row r="4510" spans="1:9" x14ac:dyDescent="0.3">
      <c r="A4510" t="s">
        <v>14</v>
      </c>
      <c r="G4510">
        <v>44287</v>
      </c>
      <c r="H4510">
        <v>2021</v>
      </c>
      <c r="I4510" t="s">
        <v>46</v>
      </c>
    </row>
    <row r="4511" spans="1:9" x14ac:dyDescent="0.3">
      <c r="A4511" t="s">
        <v>24</v>
      </c>
      <c r="G4511">
        <v>44287</v>
      </c>
      <c r="H4511">
        <v>2021</v>
      </c>
      <c r="I4511" t="s">
        <v>46</v>
      </c>
    </row>
    <row r="4512" spans="1:9" x14ac:dyDescent="0.3">
      <c r="A4512" t="s">
        <v>21</v>
      </c>
      <c r="G4512">
        <v>44287</v>
      </c>
      <c r="H4512">
        <v>2021</v>
      </c>
      <c r="I4512" t="s">
        <v>46</v>
      </c>
    </row>
    <row r="4513" spans="1:9" x14ac:dyDescent="0.3">
      <c r="A4513" t="s">
        <v>18</v>
      </c>
      <c r="G4513">
        <v>44287</v>
      </c>
      <c r="H4513">
        <v>2021</v>
      </c>
      <c r="I4513" t="s">
        <v>46</v>
      </c>
    </row>
    <row r="4514" spans="1:9" x14ac:dyDescent="0.3">
      <c r="A4514" t="s">
        <v>16</v>
      </c>
      <c r="G4514">
        <v>44287</v>
      </c>
      <c r="H4514">
        <v>2021</v>
      </c>
      <c r="I4514" t="s">
        <v>46</v>
      </c>
    </row>
    <row r="4515" spans="1:9" x14ac:dyDescent="0.3">
      <c r="A4515" t="s">
        <v>20</v>
      </c>
      <c r="G4515">
        <v>44292</v>
      </c>
      <c r="H4515">
        <v>2021</v>
      </c>
      <c r="I4515" t="s">
        <v>46</v>
      </c>
    </row>
    <row r="4516" spans="1:9" x14ac:dyDescent="0.3">
      <c r="A4516" t="s">
        <v>37</v>
      </c>
      <c r="G4516">
        <v>44292</v>
      </c>
      <c r="H4516">
        <v>2021</v>
      </c>
      <c r="I4516" t="s">
        <v>46</v>
      </c>
    </row>
    <row r="4517" spans="1:9" x14ac:dyDescent="0.3">
      <c r="A4517" t="s">
        <v>17</v>
      </c>
      <c r="G4517">
        <v>44292</v>
      </c>
      <c r="H4517">
        <v>2021</v>
      </c>
      <c r="I4517" t="s">
        <v>46</v>
      </c>
    </row>
    <row r="4518" spans="1:9" x14ac:dyDescent="0.3">
      <c r="A4518" t="s">
        <v>0</v>
      </c>
      <c r="B4518">
        <v>140000</v>
      </c>
      <c r="G4518">
        <v>44292</v>
      </c>
      <c r="H4518">
        <v>2021</v>
      </c>
      <c r="I4518" t="s">
        <v>46</v>
      </c>
    </row>
    <row r="4519" spans="1:9" x14ac:dyDescent="0.3">
      <c r="A4519" t="s">
        <v>25</v>
      </c>
      <c r="C4519">
        <v>162000</v>
      </c>
      <c r="G4519">
        <v>44292</v>
      </c>
      <c r="H4519">
        <v>2021</v>
      </c>
      <c r="I4519" t="s">
        <v>46</v>
      </c>
    </row>
    <row r="4520" spans="1:9" x14ac:dyDescent="0.3">
      <c r="A4520" t="s">
        <v>15</v>
      </c>
      <c r="C4520">
        <v>696500</v>
      </c>
      <c r="G4520">
        <v>44292</v>
      </c>
      <c r="H4520">
        <v>2021</v>
      </c>
      <c r="I4520" t="s">
        <v>46</v>
      </c>
    </row>
    <row r="4521" spans="1:9" x14ac:dyDescent="0.3">
      <c r="A4521" t="s">
        <v>54</v>
      </c>
      <c r="G4521">
        <v>44292</v>
      </c>
      <c r="H4521">
        <v>2021</v>
      </c>
      <c r="I4521" t="s">
        <v>46</v>
      </c>
    </row>
    <row r="4522" spans="1:9" x14ac:dyDescent="0.3">
      <c r="A4522" t="s">
        <v>26</v>
      </c>
      <c r="G4522">
        <v>44292</v>
      </c>
      <c r="H4522">
        <v>2021</v>
      </c>
      <c r="I4522" t="s">
        <v>46</v>
      </c>
    </row>
    <row r="4523" spans="1:9" x14ac:dyDescent="0.3">
      <c r="A4523" t="s">
        <v>22</v>
      </c>
      <c r="G4523">
        <v>44292</v>
      </c>
      <c r="H4523">
        <v>2021</v>
      </c>
      <c r="I4523" t="s">
        <v>46</v>
      </c>
    </row>
    <row r="4524" spans="1:9" x14ac:dyDescent="0.3">
      <c r="A4524" t="s">
        <v>19</v>
      </c>
      <c r="B4524">
        <v>972000</v>
      </c>
      <c r="C4524">
        <v>200000</v>
      </c>
      <c r="D4524">
        <v>270000</v>
      </c>
      <c r="G4524">
        <v>44292</v>
      </c>
      <c r="H4524">
        <v>2021</v>
      </c>
      <c r="I4524" t="s">
        <v>46</v>
      </c>
    </row>
    <row r="4525" spans="1:9" x14ac:dyDescent="0.3">
      <c r="A4525" t="s">
        <v>14</v>
      </c>
      <c r="G4525">
        <v>44292</v>
      </c>
      <c r="H4525">
        <v>2021</v>
      </c>
      <c r="I4525" t="s">
        <v>46</v>
      </c>
    </row>
    <row r="4526" spans="1:9" x14ac:dyDescent="0.3">
      <c r="A4526" t="s">
        <v>24</v>
      </c>
      <c r="G4526">
        <v>44292</v>
      </c>
      <c r="H4526">
        <v>2021</v>
      </c>
      <c r="I4526" t="s">
        <v>46</v>
      </c>
    </row>
    <row r="4527" spans="1:9" x14ac:dyDescent="0.3">
      <c r="A4527" t="s">
        <v>21</v>
      </c>
      <c r="G4527">
        <v>44292</v>
      </c>
      <c r="H4527">
        <v>2021</v>
      </c>
      <c r="I4527" t="s">
        <v>46</v>
      </c>
    </row>
    <row r="4528" spans="1:9" x14ac:dyDescent="0.3">
      <c r="A4528" t="s">
        <v>18</v>
      </c>
      <c r="E4528">
        <v>315000</v>
      </c>
      <c r="G4528">
        <v>44292</v>
      </c>
      <c r="H4528">
        <v>2021</v>
      </c>
      <c r="I4528" t="s">
        <v>46</v>
      </c>
    </row>
    <row r="4529" spans="1:9" x14ac:dyDescent="0.3">
      <c r="A4529" t="s">
        <v>16</v>
      </c>
      <c r="G4529">
        <v>44292</v>
      </c>
      <c r="H4529">
        <v>2021</v>
      </c>
      <c r="I4529" t="s">
        <v>46</v>
      </c>
    </row>
    <row r="4530" spans="1:9" x14ac:dyDescent="0.3">
      <c r="A4530" t="s">
        <v>20</v>
      </c>
      <c r="G4530">
        <v>44293</v>
      </c>
      <c r="H4530">
        <v>2021</v>
      </c>
      <c r="I4530" t="s">
        <v>46</v>
      </c>
    </row>
    <row r="4531" spans="1:9" x14ac:dyDescent="0.3">
      <c r="A4531" t="s">
        <v>37</v>
      </c>
      <c r="G4531">
        <v>44293</v>
      </c>
      <c r="H4531">
        <v>2021</v>
      </c>
      <c r="I4531" t="s">
        <v>46</v>
      </c>
    </row>
    <row r="4532" spans="1:9" x14ac:dyDescent="0.3">
      <c r="A4532" t="s">
        <v>17</v>
      </c>
      <c r="G4532">
        <v>44293</v>
      </c>
      <c r="H4532">
        <v>2021</v>
      </c>
      <c r="I4532" t="s">
        <v>46</v>
      </c>
    </row>
    <row r="4533" spans="1:9" x14ac:dyDescent="0.3">
      <c r="A4533" t="s">
        <v>0</v>
      </c>
      <c r="G4533">
        <v>44293</v>
      </c>
      <c r="H4533">
        <v>2021</v>
      </c>
      <c r="I4533" t="s">
        <v>46</v>
      </c>
    </row>
    <row r="4534" spans="1:9" x14ac:dyDescent="0.3">
      <c r="A4534" t="s">
        <v>25</v>
      </c>
      <c r="C4534">
        <v>54000</v>
      </c>
      <c r="G4534">
        <v>44293</v>
      </c>
      <c r="H4534">
        <v>2021</v>
      </c>
      <c r="I4534" t="s">
        <v>46</v>
      </c>
    </row>
    <row r="4535" spans="1:9" x14ac:dyDescent="0.3">
      <c r="A4535" t="s">
        <v>15</v>
      </c>
      <c r="G4535">
        <v>44293</v>
      </c>
      <c r="H4535">
        <v>2021</v>
      </c>
      <c r="I4535" t="s">
        <v>46</v>
      </c>
    </row>
    <row r="4536" spans="1:9" x14ac:dyDescent="0.3">
      <c r="A4536" t="s">
        <v>54</v>
      </c>
      <c r="G4536">
        <v>44293</v>
      </c>
      <c r="H4536">
        <v>2021</v>
      </c>
      <c r="I4536" t="s">
        <v>46</v>
      </c>
    </row>
    <row r="4537" spans="1:9" x14ac:dyDescent="0.3">
      <c r="A4537" t="s">
        <v>26</v>
      </c>
      <c r="B4537">
        <v>360000</v>
      </c>
      <c r="C4537">
        <v>483500</v>
      </c>
      <c r="E4537">
        <v>270000</v>
      </c>
      <c r="G4537">
        <v>44293</v>
      </c>
      <c r="H4537">
        <v>2021</v>
      </c>
      <c r="I4537" t="s">
        <v>46</v>
      </c>
    </row>
    <row r="4538" spans="1:9" x14ac:dyDescent="0.3">
      <c r="A4538" t="s">
        <v>22</v>
      </c>
      <c r="G4538">
        <v>44293</v>
      </c>
      <c r="H4538">
        <v>2021</v>
      </c>
      <c r="I4538" t="s">
        <v>46</v>
      </c>
    </row>
    <row r="4539" spans="1:9" x14ac:dyDescent="0.3">
      <c r="A4539" t="s">
        <v>19</v>
      </c>
      <c r="G4539">
        <v>44293</v>
      </c>
      <c r="H4539">
        <v>2021</v>
      </c>
      <c r="I4539" t="s">
        <v>46</v>
      </c>
    </row>
    <row r="4540" spans="1:9" x14ac:dyDescent="0.3">
      <c r="A4540" t="s">
        <v>14</v>
      </c>
      <c r="G4540">
        <v>44293</v>
      </c>
      <c r="H4540">
        <v>2021</v>
      </c>
      <c r="I4540" t="s">
        <v>46</v>
      </c>
    </row>
    <row r="4541" spans="1:9" x14ac:dyDescent="0.3">
      <c r="A4541" t="s">
        <v>24</v>
      </c>
      <c r="G4541">
        <v>44293</v>
      </c>
      <c r="H4541">
        <v>2021</v>
      </c>
      <c r="I4541" t="s">
        <v>46</v>
      </c>
    </row>
    <row r="4542" spans="1:9" x14ac:dyDescent="0.3">
      <c r="A4542" t="s">
        <v>21</v>
      </c>
      <c r="G4542">
        <v>44293</v>
      </c>
      <c r="H4542">
        <v>2021</v>
      </c>
      <c r="I4542" t="s">
        <v>46</v>
      </c>
    </row>
    <row r="4543" spans="1:9" x14ac:dyDescent="0.3">
      <c r="A4543" t="s">
        <v>18</v>
      </c>
      <c r="E4543">
        <v>540000</v>
      </c>
      <c r="G4543">
        <v>44293</v>
      </c>
      <c r="H4543">
        <v>2021</v>
      </c>
      <c r="I4543" t="s">
        <v>46</v>
      </c>
    </row>
    <row r="4544" spans="1:9" x14ac:dyDescent="0.3">
      <c r="A4544" t="s">
        <v>16</v>
      </c>
      <c r="G4544">
        <v>44293</v>
      </c>
      <c r="H4544">
        <v>2021</v>
      </c>
      <c r="I4544" t="s">
        <v>46</v>
      </c>
    </row>
    <row r="4545" spans="1:9" x14ac:dyDescent="0.3">
      <c r="A4545" t="s">
        <v>20</v>
      </c>
      <c r="G4545">
        <v>44294</v>
      </c>
      <c r="H4545">
        <v>2021</v>
      </c>
      <c r="I4545" t="s">
        <v>46</v>
      </c>
    </row>
    <row r="4546" spans="1:9" x14ac:dyDescent="0.3">
      <c r="A4546" t="s">
        <v>37</v>
      </c>
      <c r="G4546">
        <v>44294</v>
      </c>
      <c r="H4546">
        <v>2021</v>
      </c>
      <c r="I4546" t="s">
        <v>46</v>
      </c>
    </row>
    <row r="4547" spans="1:9" x14ac:dyDescent="0.3">
      <c r="A4547" t="s">
        <v>17</v>
      </c>
      <c r="B4547">
        <v>54000</v>
      </c>
      <c r="G4547">
        <v>44294</v>
      </c>
      <c r="H4547">
        <v>2021</v>
      </c>
      <c r="I4547" t="s">
        <v>46</v>
      </c>
    </row>
    <row r="4548" spans="1:9" x14ac:dyDescent="0.3">
      <c r="A4548" t="s">
        <v>0</v>
      </c>
      <c r="C4548">
        <v>540000</v>
      </c>
      <c r="G4548">
        <v>44294</v>
      </c>
      <c r="H4548">
        <v>2021</v>
      </c>
      <c r="I4548" t="s">
        <v>46</v>
      </c>
    </row>
    <row r="4549" spans="1:9" x14ac:dyDescent="0.3">
      <c r="A4549" t="s">
        <v>25</v>
      </c>
      <c r="C4549">
        <v>54000</v>
      </c>
      <c r="G4549">
        <v>44294</v>
      </c>
      <c r="H4549">
        <v>2021</v>
      </c>
      <c r="I4549" t="s">
        <v>46</v>
      </c>
    </row>
    <row r="4550" spans="1:9" x14ac:dyDescent="0.3">
      <c r="A4550" t="s">
        <v>15</v>
      </c>
      <c r="G4550">
        <v>44294</v>
      </c>
      <c r="H4550">
        <v>2021</v>
      </c>
      <c r="I4550" t="s">
        <v>46</v>
      </c>
    </row>
    <row r="4551" spans="1:9" x14ac:dyDescent="0.3">
      <c r="A4551" t="s">
        <v>54</v>
      </c>
      <c r="G4551">
        <v>44294</v>
      </c>
      <c r="H4551">
        <v>2021</v>
      </c>
      <c r="I4551" t="s">
        <v>46</v>
      </c>
    </row>
    <row r="4552" spans="1:9" x14ac:dyDescent="0.3">
      <c r="A4552" t="s">
        <v>26</v>
      </c>
      <c r="B4552">
        <v>194000</v>
      </c>
      <c r="C4552">
        <v>432000</v>
      </c>
      <c r="E4552">
        <v>464000</v>
      </c>
      <c r="F4552">
        <v>297000</v>
      </c>
      <c r="G4552">
        <v>44294</v>
      </c>
      <c r="H4552">
        <v>2021</v>
      </c>
      <c r="I4552" t="s">
        <v>46</v>
      </c>
    </row>
    <row r="4553" spans="1:9" x14ac:dyDescent="0.3">
      <c r="A4553" t="s">
        <v>22</v>
      </c>
      <c r="G4553">
        <v>44294</v>
      </c>
      <c r="H4553">
        <v>2021</v>
      </c>
      <c r="I4553" t="s">
        <v>46</v>
      </c>
    </row>
    <row r="4554" spans="1:9" x14ac:dyDescent="0.3">
      <c r="A4554" t="s">
        <v>19</v>
      </c>
      <c r="G4554">
        <v>44294</v>
      </c>
      <c r="H4554">
        <v>2021</v>
      </c>
      <c r="I4554" t="s">
        <v>46</v>
      </c>
    </row>
    <row r="4555" spans="1:9" x14ac:dyDescent="0.3">
      <c r="A4555" t="s">
        <v>14</v>
      </c>
      <c r="B4555">
        <v>1822000</v>
      </c>
      <c r="C4555">
        <v>743000</v>
      </c>
      <c r="E4555">
        <v>594000</v>
      </c>
      <c r="F4555">
        <v>270000</v>
      </c>
      <c r="G4555">
        <v>44294</v>
      </c>
      <c r="H4555">
        <v>2021</v>
      </c>
      <c r="I4555" t="s">
        <v>46</v>
      </c>
    </row>
    <row r="4556" spans="1:9" x14ac:dyDescent="0.3">
      <c r="A4556" t="s">
        <v>24</v>
      </c>
      <c r="G4556">
        <v>44294</v>
      </c>
      <c r="H4556">
        <v>2021</v>
      </c>
      <c r="I4556" t="s">
        <v>46</v>
      </c>
    </row>
    <row r="4557" spans="1:9" x14ac:dyDescent="0.3">
      <c r="A4557" t="s">
        <v>21</v>
      </c>
      <c r="G4557">
        <v>44294</v>
      </c>
      <c r="H4557">
        <v>2021</v>
      </c>
      <c r="I4557" t="s">
        <v>46</v>
      </c>
    </row>
    <row r="4558" spans="1:9" x14ac:dyDescent="0.3">
      <c r="A4558" t="s">
        <v>18</v>
      </c>
      <c r="E4558">
        <v>54000</v>
      </c>
      <c r="G4558">
        <v>44294</v>
      </c>
      <c r="H4558">
        <v>2021</v>
      </c>
      <c r="I4558" t="s">
        <v>46</v>
      </c>
    </row>
    <row r="4559" spans="1:9" x14ac:dyDescent="0.3">
      <c r="A4559" t="s">
        <v>16</v>
      </c>
      <c r="B4559">
        <v>270000</v>
      </c>
      <c r="G4559">
        <v>44294</v>
      </c>
      <c r="H4559">
        <v>2021</v>
      </c>
      <c r="I4559" t="s">
        <v>46</v>
      </c>
    </row>
    <row r="4560" spans="1:9" x14ac:dyDescent="0.3">
      <c r="A4560" t="s">
        <v>20</v>
      </c>
      <c r="G4560">
        <v>44295</v>
      </c>
      <c r="H4560">
        <v>2021</v>
      </c>
      <c r="I4560" t="s">
        <v>46</v>
      </c>
    </row>
    <row r="4561" spans="1:9" x14ac:dyDescent="0.3">
      <c r="A4561" t="s">
        <v>37</v>
      </c>
      <c r="G4561">
        <v>44295</v>
      </c>
      <c r="H4561">
        <v>2021</v>
      </c>
      <c r="I4561" t="s">
        <v>46</v>
      </c>
    </row>
    <row r="4562" spans="1:9" x14ac:dyDescent="0.3">
      <c r="A4562" t="s">
        <v>17</v>
      </c>
      <c r="G4562">
        <v>44295</v>
      </c>
      <c r="H4562">
        <v>2021</v>
      </c>
      <c r="I4562" t="s">
        <v>46</v>
      </c>
    </row>
    <row r="4563" spans="1:9" x14ac:dyDescent="0.3">
      <c r="A4563" t="s">
        <v>0</v>
      </c>
      <c r="C4563">
        <v>1183500</v>
      </c>
      <c r="E4563">
        <v>540000</v>
      </c>
      <c r="G4563">
        <v>44295</v>
      </c>
      <c r="H4563">
        <v>2021</v>
      </c>
      <c r="I4563" t="s">
        <v>46</v>
      </c>
    </row>
    <row r="4564" spans="1:9" x14ac:dyDescent="0.3">
      <c r="A4564" t="s">
        <v>25</v>
      </c>
      <c r="C4564">
        <v>252000</v>
      </c>
      <c r="E4564">
        <v>162000</v>
      </c>
      <c r="G4564">
        <v>44295</v>
      </c>
      <c r="H4564">
        <v>2021</v>
      </c>
      <c r="I4564" t="s">
        <v>46</v>
      </c>
    </row>
    <row r="4565" spans="1:9" x14ac:dyDescent="0.3">
      <c r="A4565" t="s">
        <v>15</v>
      </c>
      <c r="G4565">
        <v>44295</v>
      </c>
      <c r="H4565">
        <v>2021</v>
      </c>
      <c r="I4565" t="s">
        <v>46</v>
      </c>
    </row>
    <row r="4566" spans="1:9" x14ac:dyDescent="0.3">
      <c r="A4566" t="s">
        <v>54</v>
      </c>
      <c r="G4566">
        <v>44295</v>
      </c>
      <c r="H4566">
        <v>2021</v>
      </c>
      <c r="I4566" t="s">
        <v>46</v>
      </c>
    </row>
    <row r="4567" spans="1:9" x14ac:dyDescent="0.3">
      <c r="A4567" t="s">
        <v>26</v>
      </c>
      <c r="B4567">
        <v>45000</v>
      </c>
      <c r="C4567">
        <v>216000</v>
      </c>
      <c r="E4567">
        <v>108000</v>
      </c>
      <c r="G4567">
        <v>44295</v>
      </c>
      <c r="H4567">
        <v>2021</v>
      </c>
      <c r="I4567" t="s">
        <v>46</v>
      </c>
    </row>
    <row r="4568" spans="1:9" x14ac:dyDescent="0.3">
      <c r="A4568" t="s">
        <v>22</v>
      </c>
      <c r="G4568">
        <v>44295</v>
      </c>
      <c r="H4568">
        <v>2021</v>
      </c>
      <c r="I4568" t="s">
        <v>46</v>
      </c>
    </row>
    <row r="4569" spans="1:9" x14ac:dyDescent="0.3">
      <c r="A4569" t="s">
        <v>19</v>
      </c>
      <c r="G4569">
        <v>44295</v>
      </c>
      <c r="H4569">
        <v>2021</v>
      </c>
      <c r="I4569" t="s">
        <v>46</v>
      </c>
    </row>
    <row r="4570" spans="1:9" x14ac:dyDescent="0.3">
      <c r="A4570" t="s">
        <v>14</v>
      </c>
      <c r="B4570">
        <v>108000</v>
      </c>
      <c r="C4570">
        <v>162000</v>
      </c>
      <c r="E4570">
        <v>108000</v>
      </c>
      <c r="F4570">
        <v>424000</v>
      </c>
      <c r="G4570">
        <v>44295</v>
      </c>
      <c r="H4570">
        <v>2021</v>
      </c>
      <c r="I4570" t="s">
        <v>46</v>
      </c>
    </row>
    <row r="4571" spans="1:9" x14ac:dyDescent="0.3">
      <c r="A4571" t="s">
        <v>24</v>
      </c>
      <c r="G4571">
        <v>44295</v>
      </c>
      <c r="H4571">
        <v>2021</v>
      </c>
      <c r="I4571" t="s">
        <v>46</v>
      </c>
    </row>
    <row r="4572" spans="1:9" x14ac:dyDescent="0.3">
      <c r="A4572" t="s">
        <v>21</v>
      </c>
      <c r="G4572">
        <v>44295</v>
      </c>
      <c r="H4572">
        <v>2021</v>
      </c>
      <c r="I4572" t="s">
        <v>46</v>
      </c>
    </row>
    <row r="4573" spans="1:9" x14ac:dyDescent="0.3">
      <c r="A4573" t="s">
        <v>18</v>
      </c>
      <c r="E4573">
        <v>54000</v>
      </c>
      <c r="G4573">
        <v>44295</v>
      </c>
      <c r="H4573">
        <v>2021</v>
      </c>
      <c r="I4573" t="s">
        <v>46</v>
      </c>
    </row>
    <row r="4574" spans="1:9" x14ac:dyDescent="0.3">
      <c r="A4574" t="s">
        <v>16</v>
      </c>
      <c r="B4574">
        <v>729000</v>
      </c>
      <c r="F4574">
        <v>464000</v>
      </c>
      <c r="G4574">
        <v>44295</v>
      </c>
      <c r="H4574">
        <v>2021</v>
      </c>
      <c r="I4574" t="s">
        <v>46</v>
      </c>
    </row>
    <row r="4575" spans="1:9" x14ac:dyDescent="0.3">
      <c r="A4575" t="s">
        <v>20</v>
      </c>
      <c r="G4575">
        <v>44296</v>
      </c>
      <c r="H4575">
        <v>2021</v>
      </c>
      <c r="I4575" t="s">
        <v>46</v>
      </c>
    </row>
    <row r="4576" spans="1:9" x14ac:dyDescent="0.3">
      <c r="A4576" t="s">
        <v>37</v>
      </c>
      <c r="G4576">
        <v>44296</v>
      </c>
      <c r="H4576">
        <v>2021</v>
      </c>
      <c r="I4576" t="s">
        <v>46</v>
      </c>
    </row>
    <row r="4577" spans="1:9" x14ac:dyDescent="0.3">
      <c r="A4577" t="s">
        <v>17</v>
      </c>
      <c r="G4577">
        <v>44296</v>
      </c>
      <c r="H4577">
        <v>2021</v>
      </c>
      <c r="I4577" t="s">
        <v>46</v>
      </c>
    </row>
    <row r="4578" spans="1:9" x14ac:dyDescent="0.3">
      <c r="A4578" t="s">
        <v>0</v>
      </c>
      <c r="C4578">
        <v>1006000</v>
      </c>
      <c r="E4578">
        <v>532000</v>
      </c>
      <c r="G4578">
        <v>44296</v>
      </c>
      <c r="H4578">
        <v>2021</v>
      </c>
      <c r="I4578" t="s">
        <v>46</v>
      </c>
    </row>
    <row r="4579" spans="1:9" x14ac:dyDescent="0.3">
      <c r="A4579" t="s">
        <v>25</v>
      </c>
      <c r="G4579">
        <v>44296</v>
      </c>
      <c r="H4579">
        <v>2021</v>
      </c>
      <c r="I4579" t="s">
        <v>46</v>
      </c>
    </row>
    <row r="4580" spans="1:9" x14ac:dyDescent="0.3">
      <c r="A4580" t="s">
        <v>15</v>
      </c>
      <c r="G4580">
        <v>44296</v>
      </c>
      <c r="H4580">
        <v>2021</v>
      </c>
      <c r="I4580" t="s">
        <v>46</v>
      </c>
    </row>
    <row r="4581" spans="1:9" x14ac:dyDescent="0.3">
      <c r="A4581" t="s">
        <v>54</v>
      </c>
      <c r="G4581">
        <v>44296</v>
      </c>
      <c r="H4581">
        <v>2021</v>
      </c>
      <c r="I4581" t="s">
        <v>46</v>
      </c>
    </row>
    <row r="4582" spans="1:9" x14ac:dyDescent="0.3">
      <c r="A4582" t="s">
        <v>26</v>
      </c>
      <c r="G4582">
        <v>44296</v>
      </c>
      <c r="H4582">
        <v>2021</v>
      </c>
      <c r="I4582" t="s">
        <v>46</v>
      </c>
    </row>
    <row r="4583" spans="1:9" x14ac:dyDescent="0.3">
      <c r="A4583" t="s">
        <v>22</v>
      </c>
      <c r="G4583">
        <v>44296</v>
      </c>
      <c r="H4583">
        <v>2021</v>
      </c>
      <c r="I4583" t="s">
        <v>46</v>
      </c>
    </row>
    <row r="4584" spans="1:9" x14ac:dyDescent="0.3">
      <c r="A4584" t="s">
        <v>19</v>
      </c>
      <c r="B4584">
        <v>54000</v>
      </c>
      <c r="C4584">
        <v>810000</v>
      </c>
      <c r="G4584">
        <v>44296</v>
      </c>
      <c r="H4584">
        <v>2021</v>
      </c>
      <c r="I4584" t="s">
        <v>46</v>
      </c>
    </row>
    <row r="4585" spans="1:9" x14ac:dyDescent="0.3">
      <c r="A4585" t="s">
        <v>14</v>
      </c>
      <c r="B4585">
        <v>54000</v>
      </c>
      <c r="F4585">
        <v>270000</v>
      </c>
      <c r="G4585">
        <v>44296</v>
      </c>
      <c r="H4585">
        <v>2021</v>
      </c>
      <c r="I4585" t="s">
        <v>46</v>
      </c>
    </row>
    <row r="4586" spans="1:9" x14ac:dyDescent="0.3">
      <c r="A4586" t="s">
        <v>24</v>
      </c>
      <c r="G4586">
        <v>44296</v>
      </c>
      <c r="H4586">
        <v>2021</v>
      </c>
      <c r="I4586" t="s">
        <v>46</v>
      </c>
    </row>
    <row r="4587" spans="1:9" x14ac:dyDescent="0.3">
      <c r="A4587" t="s">
        <v>21</v>
      </c>
      <c r="G4587">
        <v>44296</v>
      </c>
      <c r="H4587">
        <v>2021</v>
      </c>
      <c r="I4587" t="s">
        <v>46</v>
      </c>
    </row>
    <row r="4588" spans="1:9" x14ac:dyDescent="0.3">
      <c r="A4588" t="s">
        <v>18</v>
      </c>
      <c r="G4588">
        <v>44296</v>
      </c>
      <c r="H4588">
        <v>2021</v>
      </c>
      <c r="I4588" t="s">
        <v>46</v>
      </c>
    </row>
    <row r="4589" spans="1:9" x14ac:dyDescent="0.3">
      <c r="A4589" t="s">
        <v>16</v>
      </c>
      <c r="F4589">
        <v>270000</v>
      </c>
      <c r="G4589">
        <v>44296</v>
      </c>
      <c r="H4589">
        <v>2021</v>
      </c>
      <c r="I4589" t="s">
        <v>46</v>
      </c>
    </row>
    <row r="4590" spans="1:9" x14ac:dyDescent="0.3">
      <c r="A4590" t="s">
        <v>20</v>
      </c>
      <c r="G4590">
        <v>44298</v>
      </c>
      <c r="H4590">
        <v>2021</v>
      </c>
      <c r="I4590" t="s">
        <v>46</v>
      </c>
    </row>
    <row r="4591" spans="1:9" x14ac:dyDescent="0.3">
      <c r="A4591" t="s">
        <v>37</v>
      </c>
      <c r="G4591">
        <v>44298</v>
      </c>
      <c r="H4591">
        <v>2021</v>
      </c>
      <c r="I4591" t="s">
        <v>46</v>
      </c>
    </row>
    <row r="4592" spans="1:9" x14ac:dyDescent="0.3">
      <c r="A4592" t="s">
        <v>17</v>
      </c>
      <c r="G4592">
        <v>44298</v>
      </c>
      <c r="H4592">
        <v>2021</v>
      </c>
      <c r="I4592" t="s">
        <v>46</v>
      </c>
    </row>
    <row r="4593" spans="1:9" x14ac:dyDescent="0.3">
      <c r="A4593" t="s">
        <v>0</v>
      </c>
      <c r="C4593">
        <v>837000</v>
      </c>
      <c r="E4593">
        <v>270000</v>
      </c>
      <c r="G4593">
        <v>44298</v>
      </c>
      <c r="H4593">
        <v>2021</v>
      </c>
      <c r="I4593" t="s">
        <v>46</v>
      </c>
    </row>
    <row r="4594" spans="1:9" x14ac:dyDescent="0.3">
      <c r="A4594" t="s">
        <v>25</v>
      </c>
      <c r="C4594">
        <v>266000</v>
      </c>
      <c r="E4594">
        <v>158000</v>
      </c>
      <c r="G4594">
        <v>44298</v>
      </c>
      <c r="H4594">
        <v>2021</v>
      </c>
      <c r="I4594" t="s">
        <v>46</v>
      </c>
    </row>
    <row r="4595" spans="1:9" x14ac:dyDescent="0.3">
      <c r="A4595" t="s">
        <v>15</v>
      </c>
      <c r="G4595">
        <v>44298</v>
      </c>
      <c r="H4595">
        <v>2021</v>
      </c>
      <c r="I4595" t="s">
        <v>46</v>
      </c>
    </row>
    <row r="4596" spans="1:9" x14ac:dyDescent="0.3">
      <c r="A4596" t="s">
        <v>54</v>
      </c>
      <c r="G4596">
        <v>44298</v>
      </c>
      <c r="H4596">
        <v>2021</v>
      </c>
      <c r="I4596" t="s">
        <v>46</v>
      </c>
    </row>
    <row r="4597" spans="1:9" x14ac:dyDescent="0.3">
      <c r="A4597" t="s">
        <v>26</v>
      </c>
      <c r="C4597">
        <v>261000</v>
      </c>
      <c r="E4597">
        <v>108000</v>
      </c>
      <c r="G4597">
        <v>44298</v>
      </c>
      <c r="H4597">
        <v>2021</v>
      </c>
      <c r="I4597" t="s">
        <v>46</v>
      </c>
    </row>
    <row r="4598" spans="1:9" x14ac:dyDescent="0.3">
      <c r="A4598" t="s">
        <v>22</v>
      </c>
      <c r="G4598">
        <v>44298</v>
      </c>
      <c r="H4598">
        <v>2021</v>
      </c>
      <c r="I4598" t="s">
        <v>46</v>
      </c>
    </row>
    <row r="4599" spans="1:9" x14ac:dyDescent="0.3">
      <c r="A4599" t="s">
        <v>19</v>
      </c>
      <c r="G4599">
        <v>44298</v>
      </c>
      <c r="H4599">
        <v>2021</v>
      </c>
      <c r="I4599" t="s">
        <v>46</v>
      </c>
    </row>
    <row r="4600" spans="1:9" x14ac:dyDescent="0.3">
      <c r="A4600" t="s">
        <v>14</v>
      </c>
      <c r="C4600">
        <v>162000</v>
      </c>
      <c r="E4600">
        <v>108000</v>
      </c>
      <c r="F4600">
        <v>797000</v>
      </c>
      <c r="G4600">
        <v>44298</v>
      </c>
      <c r="H4600">
        <v>2021</v>
      </c>
      <c r="I4600" t="s">
        <v>46</v>
      </c>
    </row>
    <row r="4601" spans="1:9" x14ac:dyDescent="0.3">
      <c r="A4601" t="s">
        <v>24</v>
      </c>
      <c r="G4601">
        <v>44298</v>
      </c>
      <c r="H4601">
        <v>2021</v>
      </c>
      <c r="I4601" t="s">
        <v>46</v>
      </c>
    </row>
    <row r="4602" spans="1:9" x14ac:dyDescent="0.3">
      <c r="A4602" t="s">
        <v>21</v>
      </c>
      <c r="G4602">
        <v>44298</v>
      </c>
      <c r="H4602">
        <v>2021</v>
      </c>
      <c r="I4602" t="s">
        <v>46</v>
      </c>
    </row>
    <row r="4603" spans="1:9" x14ac:dyDescent="0.3">
      <c r="A4603" t="s">
        <v>18</v>
      </c>
      <c r="E4603">
        <v>108000</v>
      </c>
      <c r="G4603">
        <v>44298</v>
      </c>
      <c r="H4603">
        <v>2021</v>
      </c>
      <c r="I4603" t="s">
        <v>46</v>
      </c>
    </row>
    <row r="4604" spans="1:9" x14ac:dyDescent="0.3">
      <c r="A4604" t="s">
        <v>16</v>
      </c>
      <c r="F4604">
        <v>108000</v>
      </c>
      <c r="G4604">
        <v>44298</v>
      </c>
      <c r="H4604">
        <v>2021</v>
      </c>
      <c r="I4604" t="s">
        <v>46</v>
      </c>
    </row>
    <row r="4605" spans="1:9" x14ac:dyDescent="0.3">
      <c r="A4605" t="s">
        <v>20</v>
      </c>
      <c r="G4605">
        <v>44299</v>
      </c>
      <c r="H4605">
        <v>2021</v>
      </c>
      <c r="I4605" t="s">
        <v>46</v>
      </c>
    </row>
    <row r="4606" spans="1:9" x14ac:dyDescent="0.3">
      <c r="A4606" t="s">
        <v>37</v>
      </c>
      <c r="G4606">
        <v>44299</v>
      </c>
      <c r="H4606">
        <v>2021</v>
      </c>
      <c r="I4606" t="s">
        <v>46</v>
      </c>
    </row>
    <row r="4607" spans="1:9" x14ac:dyDescent="0.3">
      <c r="A4607" t="s">
        <v>17</v>
      </c>
      <c r="B4607">
        <v>1597000</v>
      </c>
      <c r="F4607">
        <v>486000</v>
      </c>
      <c r="G4607">
        <v>44299</v>
      </c>
      <c r="H4607">
        <v>2021</v>
      </c>
      <c r="I4607" t="s">
        <v>46</v>
      </c>
    </row>
    <row r="4608" spans="1:9" x14ac:dyDescent="0.3">
      <c r="A4608" t="s">
        <v>0</v>
      </c>
      <c r="C4608">
        <v>157500</v>
      </c>
      <c r="E4608">
        <v>419000</v>
      </c>
      <c r="G4608">
        <v>44299</v>
      </c>
      <c r="H4608">
        <v>2021</v>
      </c>
      <c r="I4608" t="s">
        <v>46</v>
      </c>
    </row>
    <row r="4609" spans="1:9" x14ac:dyDescent="0.3">
      <c r="A4609" t="s">
        <v>25</v>
      </c>
      <c r="C4609">
        <v>157500</v>
      </c>
      <c r="E4609">
        <v>135000</v>
      </c>
      <c r="G4609">
        <v>44299</v>
      </c>
      <c r="H4609">
        <v>2021</v>
      </c>
      <c r="I4609" t="s">
        <v>46</v>
      </c>
    </row>
    <row r="4610" spans="1:9" x14ac:dyDescent="0.3">
      <c r="A4610" t="s">
        <v>15</v>
      </c>
      <c r="G4610">
        <v>44299</v>
      </c>
      <c r="H4610">
        <v>2021</v>
      </c>
      <c r="I4610" t="s">
        <v>46</v>
      </c>
    </row>
    <row r="4611" spans="1:9" x14ac:dyDescent="0.3">
      <c r="A4611" t="s">
        <v>54</v>
      </c>
      <c r="G4611">
        <v>44299</v>
      </c>
      <c r="H4611">
        <v>2021</v>
      </c>
      <c r="I4611" t="s">
        <v>46</v>
      </c>
    </row>
    <row r="4612" spans="1:9" x14ac:dyDescent="0.3">
      <c r="A4612" t="s">
        <v>26</v>
      </c>
      <c r="C4612">
        <v>144000</v>
      </c>
      <c r="E4612">
        <v>108000</v>
      </c>
      <c r="G4612">
        <v>44299</v>
      </c>
      <c r="H4612">
        <v>2021</v>
      </c>
      <c r="I4612" t="s">
        <v>46</v>
      </c>
    </row>
    <row r="4613" spans="1:9" x14ac:dyDescent="0.3">
      <c r="A4613" t="s">
        <v>22</v>
      </c>
      <c r="G4613">
        <v>44299</v>
      </c>
      <c r="H4613">
        <v>2021</v>
      </c>
      <c r="I4613" t="s">
        <v>46</v>
      </c>
    </row>
    <row r="4614" spans="1:9" x14ac:dyDescent="0.3">
      <c r="A4614" t="s">
        <v>19</v>
      </c>
      <c r="G4614">
        <v>44299</v>
      </c>
      <c r="H4614">
        <v>2021</v>
      </c>
      <c r="I4614" t="s">
        <v>46</v>
      </c>
    </row>
    <row r="4615" spans="1:9" x14ac:dyDescent="0.3">
      <c r="A4615" t="s">
        <v>14</v>
      </c>
      <c r="C4615">
        <v>157500</v>
      </c>
      <c r="E4615">
        <v>108000</v>
      </c>
      <c r="G4615">
        <v>44299</v>
      </c>
      <c r="H4615">
        <v>2021</v>
      </c>
      <c r="I4615" t="s">
        <v>46</v>
      </c>
    </row>
    <row r="4616" spans="1:9" x14ac:dyDescent="0.3">
      <c r="A4616" t="s">
        <v>24</v>
      </c>
      <c r="G4616">
        <v>44299</v>
      </c>
      <c r="H4616">
        <v>2021</v>
      </c>
      <c r="I4616" t="s">
        <v>46</v>
      </c>
    </row>
    <row r="4617" spans="1:9" x14ac:dyDescent="0.3">
      <c r="A4617" t="s">
        <v>21</v>
      </c>
      <c r="G4617">
        <v>44299</v>
      </c>
      <c r="H4617">
        <v>2021</v>
      </c>
      <c r="I4617" t="s">
        <v>46</v>
      </c>
    </row>
    <row r="4618" spans="1:9" x14ac:dyDescent="0.3">
      <c r="A4618" t="s">
        <v>18</v>
      </c>
      <c r="G4618">
        <v>44299</v>
      </c>
      <c r="H4618">
        <v>2021</v>
      </c>
      <c r="I4618" t="s">
        <v>46</v>
      </c>
    </row>
    <row r="4619" spans="1:9" x14ac:dyDescent="0.3">
      <c r="A4619" t="s">
        <v>16</v>
      </c>
      <c r="E4619">
        <v>162000</v>
      </c>
      <c r="G4619">
        <v>44299</v>
      </c>
      <c r="H4619">
        <v>2021</v>
      </c>
      <c r="I4619" t="s">
        <v>46</v>
      </c>
    </row>
    <row r="4620" spans="1:9" x14ac:dyDescent="0.3">
      <c r="A4620" t="s">
        <v>20</v>
      </c>
      <c r="G4620">
        <v>44300</v>
      </c>
      <c r="H4620">
        <v>2021</v>
      </c>
      <c r="I4620" t="s">
        <v>46</v>
      </c>
    </row>
    <row r="4621" spans="1:9" x14ac:dyDescent="0.3">
      <c r="A4621" t="s">
        <v>37</v>
      </c>
      <c r="G4621">
        <v>44300</v>
      </c>
      <c r="H4621">
        <v>2021</v>
      </c>
      <c r="I4621" t="s">
        <v>46</v>
      </c>
    </row>
    <row r="4622" spans="1:9" x14ac:dyDescent="0.3">
      <c r="A4622" t="s">
        <v>17</v>
      </c>
      <c r="B4622">
        <v>1017000</v>
      </c>
      <c r="F4622">
        <v>324000</v>
      </c>
      <c r="G4622">
        <v>44300</v>
      </c>
      <c r="H4622">
        <v>2021</v>
      </c>
      <c r="I4622" t="s">
        <v>46</v>
      </c>
    </row>
    <row r="4623" spans="1:9" x14ac:dyDescent="0.3">
      <c r="A4623" t="s">
        <v>0</v>
      </c>
      <c r="C4623">
        <v>636000</v>
      </c>
      <c r="E4623">
        <v>149000</v>
      </c>
      <c r="G4623">
        <v>44300</v>
      </c>
      <c r="H4623">
        <v>2021</v>
      </c>
      <c r="I4623" t="s">
        <v>46</v>
      </c>
    </row>
    <row r="4624" spans="1:9" x14ac:dyDescent="0.3">
      <c r="A4624" t="s">
        <v>25</v>
      </c>
      <c r="B4624">
        <v>810000</v>
      </c>
      <c r="C4624">
        <v>324000</v>
      </c>
      <c r="E4624">
        <v>45000</v>
      </c>
      <c r="G4624">
        <v>44300</v>
      </c>
      <c r="H4624">
        <v>2021</v>
      </c>
      <c r="I4624" t="s">
        <v>46</v>
      </c>
    </row>
    <row r="4625" spans="1:9" x14ac:dyDescent="0.3">
      <c r="A4625" t="s">
        <v>15</v>
      </c>
      <c r="G4625">
        <v>44300</v>
      </c>
      <c r="H4625">
        <v>2021</v>
      </c>
      <c r="I4625" t="s">
        <v>46</v>
      </c>
    </row>
    <row r="4626" spans="1:9" x14ac:dyDescent="0.3">
      <c r="A4626" t="s">
        <v>54</v>
      </c>
      <c r="G4626">
        <v>44300</v>
      </c>
      <c r="H4626">
        <v>2021</v>
      </c>
      <c r="I4626" t="s">
        <v>46</v>
      </c>
    </row>
    <row r="4627" spans="1:9" x14ac:dyDescent="0.3">
      <c r="A4627" t="s">
        <v>26</v>
      </c>
      <c r="C4627">
        <v>203000</v>
      </c>
      <c r="E4627">
        <v>324000</v>
      </c>
      <c r="G4627">
        <v>44300</v>
      </c>
      <c r="H4627">
        <v>2021</v>
      </c>
      <c r="I4627" t="s">
        <v>46</v>
      </c>
    </row>
    <row r="4628" spans="1:9" x14ac:dyDescent="0.3">
      <c r="A4628" t="s">
        <v>22</v>
      </c>
      <c r="G4628">
        <v>44300</v>
      </c>
      <c r="H4628">
        <v>2021</v>
      </c>
      <c r="I4628" t="s">
        <v>46</v>
      </c>
    </row>
    <row r="4629" spans="1:9" x14ac:dyDescent="0.3">
      <c r="A4629" t="s">
        <v>19</v>
      </c>
      <c r="G4629">
        <v>44300</v>
      </c>
      <c r="H4629">
        <v>2021</v>
      </c>
      <c r="I4629" t="s">
        <v>46</v>
      </c>
    </row>
    <row r="4630" spans="1:9" x14ac:dyDescent="0.3">
      <c r="A4630" t="s">
        <v>14</v>
      </c>
      <c r="C4630">
        <v>108000</v>
      </c>
      <c r="E4630">
        <v>486000</v>
      </c>
      <c r="G4630">
        <v>44300</v>
      </c>
      <c r="H4630">
        <v>2021</v>
      </c>
      <c r="I4630" t="s">
        <v>46</v>
      </c>
    </row>
    <row r="4631" spans="1:9" x14ac:dyDescent="0.3">
      <c r="A4631" t="s">
        <v>24</v>
      </c>
      <c r="G4631">
        <v>44300</v>
      </c>
      <c r="H4631">
        <v>2021</v>
      </c>
      <c r="I4631" t="s">
        <v>46</v>
      </c>
    </row>
    <row r="4632" spans="1:9" x14ac:dyDescent="0.3">
      <c r="A4632" t="s">
        <v>21</v>
      </c>
      <c r="G4632">
        <v>44300</v>
      </c>
      <c r="H4632">
        <v>2021</v>
      </c>
      <c r="I4632" t="s">
        <v>46</v>
      </c>
    </row>
    <row r="4633" spans="1:9" x14ac:dyDescent="0.3">
      <c r="A4633" t="s">
        <v>18</v>
      </c>
      <c r="G4633">
        <v>44300</v>
      </c>
      <c r="H4633">
        <v>2021</v>
      </c>
      <c r="I4633" t="s">
        <v>46</v>
      </c>
    </row>
    <row r="4634" spans="1:9" x14ac:dyDescent="0.3">
      <c r="A4634" t="s">
        <v>16</v>
      </c>
      <c r="G4634">
        <v>44300</v>
      </c>
      <c r="H4634">
        <v>2021</v>
      </c>
      <c r="I4634" t="s">
        <v>46</v>
      </c>
    </row>
    <row r="4635" spans="1:9" x14ac:dyDescent="0.3">
      <c r="A4635" t="s">
        <v>20</v>
      </c>
      <c r="G4635">
        <v>44301</v>
      </c>
      <c r="H4635">
        <v>2021</v>
      </c>
      <c r="I4635" t="s">
        <v>46</v>
      </c>
    </row>
    <row r="4636" spans="1:9" x14ac:dyDescent="0.3">
      <c r="A4636" t="s">
        <v>37</v>
      </c>
      <c r="G4636">
        <v>44301</v>
      </c>
      <c r="H4636">
        <v>2021</v>
      </c>
      <c r="I4636" t="s">
        <v>46</v>
      </c>
    </row>
    <row r="4637" spans="1:9" x14ac:dyDescent="0.3">
      <c r="A4637" t="s">
        <v>17</v>
      </c>
      <c r="B4637">
        <v>1450000</v>
      </c>
      <c r="F4637">
        <v>590000</v>
      </c>
      <c r="G4637">
        <v>44301</v>
      </c>
      <c r="H4637">
        <v>2021</v>
      </c>
      <c r="I4637" t="s">
        <v>46</v>
      </c>
    </row>
    <row r="4638" spans="1:9" x14ac:dyDescent="0.3">
      <c r="A4638" t="s">
        <v>0</v>
      </c>
      <c r="C4638">
        <v>581000</v>
      </c>
      <c r="G4638">
        <v>44301</v>
      </c>
      <c r="H4638">
        <v>2021</v>
      </c>
      <c r="I4638" t="s">
        <v>46</v>
      </c>
    </row>
    <row r="4639" spans="1:9" x14ac:dyDescent="0.3">
      <c r="A4639" t="s">
        <v>25</v>
      </c>
      <c r="B4639">
        <v>905000</v>
      </c>
      <c r="C4639">
        <v>845500</v>
      </c>
      <c r="G4639">
        <v>44301</v>
      </c>
      <c r="H4639">
        <v>2021</v>
      </c>
      <c r="I4639" t="s">
        <v>46</v>
      </c>
    </row>
    <row r="4640" spans="1:9" x14ac:dyDescent="0.3">
      <c r="A4640" t="s">
        <v>15</v>
      </c>
      <c r="G4640">
        <v>44301</v>
      </c>
      <c r="H4640">
        <v>2021</v>
      </c>
      <c r="I4640" t="s">
        <v>46</v>
      </c>
    </row>
    <row r="4641" spans="1:9" x14ac:dyDescent="0.3">
      <c r="A4641" t="s">
        <v>54</v>
      </c>
      <c r="G4641">
        <v>44301</v>
      </c>
      <c r="H4641">
        <v>2021</v>
      </c>
      <c r="I4641" t="s">
        <v>46</v>
      </c>
    </row>
    <row r="4642" spans="1:9" x14ac:dyDescent="0.3">
      <c r="A4642" t="s">
        <v>26</v>
      </c>
      <c r="C4642">
        <v>324000</v>
      </c>
      <c r="G4642">
        <v>44301</v>
      </c>
      <c r="H4642">
        <v>2021</v>
      </c>
      <c r="I4642" t="s">
        <v>46</v>
      </c>
    </row>
    <row r="4643" spans="1:9" x14ac:dyDescent="0.3">
      <c r="A4643" t="s">
        <v>22</v>
      </c>
      <c r="G4643">
        <v>44301</v>
      </c>
      <c r="H4643">
        <v>2021</v>
      </c>
      <c r="I4643" t="s">
        <v>46</v>
      </c>
    </row>
    <row r="4644" spans="1:9" x14ac:dyDescent="0.3">
      <c r="A4644" t="s">
        <v>19</v>
      </c>
      <c r="G4644">
        <v>44301</v>
      </c>
      <c r="H4644">
        <v>2021</v>
      </c>
      <c r="I4644" t="s">
        <v>46</v>
      </c>
    </row>
    <row r="4645" spans="1:9" x14ac:dyDescent="0.3">
      <c r="A4645" t="s">
        <v>14</v>
      </c>
      <c r="C4645">
        <v>748000</v>
      </c>
      <c r="F4645">
        <v>90000</v>
      </c>
      <c r="G4645">
        <v>44301</v>
      </c>
      <c r="H4645">
        <v>2021</v>
      </c>
      <c r="I4645" t="s">
        <v>46</v>
      </c>
    </row>
    <row r="4646" spans="1:9" x14ac:dyDescent="0.3">
      <c r="A4646" t="s">
        <v>24</v>
      </c>
      <c r="G4646">
        <v>44301</v>
      </c>
      <c r="H4646">
        <v>2021</v>
      </c>
      <c r="I4646" t="s">
        <v>46</v>
      </c>
    </row>
    <row r="4647" spans="1:9" x14ac:dyDescent="0.3">
      <c r="A4647" t="s">
        <v>21</v>
      </c>
      <c r="G4647">
        <v>44301</v>
      </c>
      <c r="H4647">
        <v>2021</v>
      </c>
      <c r="I4647" t="s">
        <v>46</v>
      </c>
    </row>
    <row r="4648" spans="1:9" x14ac:dyDescent="0.3">
      <c r="A4648" t="s">
        <v>18</v>
      </c>
      <c r="G4648">
        <v>44301</v>
      </c>
      <c r="H4648">
        <v>2021</v>
      </c>
      <c r="I4648" t="s">
        <v>46</v>
      </c>
    </row>
    <row r="4649" spans="1:9" x14ac:dyDescent="0.3">
      <c r="A4649" t="s">
        <v>16</v>
      </c>
      <c r="G4649">
        <v>44301</v>
      </c>
      <c r="H4649">
        <v>2021</v>
      </c>
      <c r="I4649" t="s">
        <v>46</v>
      </c>
    </row>
    <row r="4650" spans="1:9" x14ac:dyDescent="0.3">
      <c r="A4650" t="s">
        <v>20</v>
      </c>
      <c r="G4650">
        <v>44302</v>
      </c>
      <c r="H4650">
        <v>2021</v>
      </c>
      <c r="I4650" t="s">
        <v>46</v>
      </c>
    </row>
    <row r="4651" spans="1:9" x14ac:dyDescent="0.3">
      <c r="A4651" t="s">
        <v>37</v>
      </c>
      <c r="G4651">
        <v>44302</v>
      </c>
      <c r="H4651">
        <v>2021</v>
      </c>
      <c r="I4651" t="s">
        <v>46</v>
      </c>
    </row>
    <row r="4652" spans="1:9" x14ac:dyDescent="0.3">
      <c r="A4652" t="s">
        <v>17</v>
      </c>
      <c r="B4652">
        <v>1116500</v>
      </c>
      <c r="F4652">
        <v>104000</v>
      </c>
      <c r="G4652">
        <v>44302</v>
      </c>
      <c r="H4652">
        <v>2021</v>
      </c>
      <c r="I4652" t="s">
        <v>46</v>
      </c>
    </row>
    <row r="4653" spans="1:9" x14ac:dyDescent="0.3">
      <c r="A4653" t="s">
        <v>0</v>
      </c>
      <c r="C4653">
        <v>54000</v>
      </c>
      <c r="G4653">
        <v>44302</v>
      </c>
      <c r="H4653">
        <v>2021</v>
      </c>
      <c r="I4653" t="s">
        <v>46</v>
      </c>
    </row>
    <row r="4654" spans="1:9" x14ac:dyDescent="0.3">
      <c r="A4654" t="s">
        <v>25</v>
      </c>
      <c r="B4654">
        <v>751500</v>
      </c>
      <c r="C4654">
        <v>2022500</v>
      </c>
      <c r="F4654">
        <v>486000</v>
      </c>
      <c r="G4654">
        <v>44302</v>
      </c>
      <c r="H4654">
        <v>2021</v>
      </c>
      <c r="I4654" t="s">
        <v>46</v>
      </c>
    </row>
    <row r="4655" spans="1:9" x14ac:dyDescent="0.3">
      <c r="A4655" t="s">
        <v>15</v>
      </c>
      <c r="G4655">
        <v>44302</v>
      </c>
      <c r="H4655">
        <v>2021</v>
      </c>
      <c r="I4655" t="s">
        <v>46</v>
      </c>
    </row>
    <row r="4656" spans="1:9" x14ac:dyDescent="0.3">
      <c r="A4656" t="s">
        <v>54</v>
      </c>
      <c r="G4656">
        <v>44302</v>
      </c>
      <c r="H4656">
        <v>2021</v>
      </c>
      <c r="I4656" t="s">
        <v>46</v>
      </c>
    </row>
    <row r="4657" spans="1:9" x14ac:dyDescent="0.3">
      <c r="A4657" t="s">
        <v>26</v>
      </c>
      <c r="C4657">
        <v>378000</v>
      </c>
      <c r="G4657">
        <v>44302</v>
      </c>
      <c r="H4657">
        <v>2021</v>
      </c>
      <c r="I4657" t="s">
        <v>46</v>
      </c>
    </row>
    <row r="4658" spans="1:9" x14ac:dyDescent="0.3">
      <c r="A4658" t="s">
        <v>22</v>
      </c>
      <c r="G4658">
        <v>44302</v>
      </c>
      <c r="H4658">
        <v>2021</v>
      </c>
      <c r="I4658" t="s">
        <v>46</v>
      </c>
    </row>
    <row r="4659" spans="1:9" x14ac:dyDescent="0.3">
      <c r="A4659" t="s">
        <v>19</v>
      </c>
      <c r="G4659">
        <v>44302</v>
      </c>
      <c r="H4659">
        <v>2021</v>
      </c>
      <c r="I4659" t="s">
        <v>46</v>
      </c>
    </row>
    <row r="4660" spans="1:9" x14ac:dyDescent="0.3">
      <c r="A4660" t="s">
        <v>14</v>
      </c>
      <c r="G4660">
        <v>44302</v>
      </c>
      <c r="H4660">
        <v>2021</v>
      </c>
      <c r="I4660" t="s">
        <v>46</v>
      </c>
    </row>
    <row r="4661" spans="1:9" x14ac:dyDescent="0.3">
      <c r="A4661" t="s">
        <v>24</v>
      </c>
      <c r="G4661">
        <v>44302</v>
      </c>
      <c r="H4661">
        <v>2021</v>
      </c>
      <c r="I4661" t="s">
        <v>46</v>
      </c>
    </row>
    <row r="4662" spans="1:9" x14ac:dyDescent="0.3">
      <c r="A4662" t="s">
        <v>21</v>
      </c>
      <c r="G4662">
        <v>44302</v>
      </c>
      <c r="H4662">
        <v>2021</v>
      </c>
      <c r="I4662" t="s">
        <v>46</v>
      </c>
    </row>
    <row r="4663" spans="1:9" x14ac:dyDescent="0.3">
      <c r="A4663" t="s">
        <v>18</v>
      </c>
      <c r="G4663">
        <v>44302</v>
      </c>
      <c r="H4663">
        <v>2021</v>
      </c>
      <c r="I4663" t="s">
        <v>46</v>
      </c>
    </row>
    <row r="4664" spans="1:9" x14ac:dyDescent="0.3">
      <c r="A4664" t="s">
        <v>16</v>
      </c>
      <c r="C4664">
        <v>153500</v>
      </c>
      <c r="G4664">
        <v>44302</v>
      </c>
      <c r="H4664">
        <v>2021</v>
      </c>
      <c r="I4664" t="s">
        <v>46</v>
      </c>
    </row>
    <row r="4665" spans="1:9" x14ac:dyDescent="0.3">
      <c r="A4665" t="s">
        <v>20</v>
      </c>
      <c r="G4665">
        <v>44303</v>
      </c>
      <c r="H4665">
        <v>2021</v>
      </c>
      <c r="I4665" t="s">
        <v>46</v>
      </c>
    </row>
    <row r="4666" spans="1:9" x14ac:dyDescent="0.3">
      <c r="A4666" t="s">
        <v>37</v>
      </c>
      <c r="G4666">
        <v>44303</v>
      </c>
      <c r="H4666">
        <v>2021</v>
      </c>
      <c r="I4666" t="s">
        <v>46</v>
      </c>
    </row>
    <row r="4667" spans="1:9" x14ac:dyDescent="0.3">
      <c r="A4667" t="s">
        <v>17</v>
      </c>
      <c r="B4667">
        <v>576000</v>
      </c>
      <c r="G4667">
        <v>44303</v>
      </c>
      <c r="H4667">
        <v>2021</v>
      </c>
      <c r="I4667" t="s">
        <v>46</v>
      </c>
    </row>
    <row r="4668" spans="1:9" x14ac:dyDescent="0.3">
      <c r="A4668" t="s">
        <v>0</v>
      </c>
      <c r="G4668">
        <v>44303</v>
      </c>
      <c r="H4668">
        <v>2021</v>
      </c>
      <c r="I4668" t="s">
        <v>46</v>
      </c>
    </row>
    <row r="4669" spans="1:9" x14ac:dyDescent="0.3">
      <c r="A4669" t="s">
        <v>25</v>
      </c>
      <c r="C4669">
        <v>108000</v>
      </c>
      <c r="F4669">
        <v>414000</v>
      </c>
      <c r="G4669">
        <v>44303</v>
      </c>
      <c r="H4669">
        <v>2021</v>
      </c>
      <c r="I4669" t="s">
        <v>46</v>
      </c>
    </row>
    <row r="4670" spans="1:9" x14ac:dyDescent="0.3">
      <c r="A4670" t="s">
        <v>15</v>
      </c>
      <c r="G4670">
        <v>44303</v>
      </c>
      <c r="H4670">
        <v>2021</v>
      </c>
      <c r="I4670" t="s">
        <v>46</v>
      </c>
    </row>
    <row r="4671" spans="1:9" x14ac:dyDescent="0.3">
      <c r="A4671" t="s">
        <v>54</v>
      </c>
      <c r="G4671">
        <v>44303</v>
      </c>
      <c r="H4671">
        <v>2021</v>
      </c>
      <c r="I4671" t="s">
        <v>46</v>
      </c>
    </row>
    <row r="4672" spans="1:9" x14ac:dyDescent="0.3">
      <c r="A4672" t="s">
        <v>26</v>
      </c>
      <c r="G4672">
        <v>44303</v>
      </c>
      <c r="H4672">
        <v>2021</v>
      </c>
      <c r="I4672" t="s">
        <v>46</v>
      </c>
    </row>
    <row r="4673" spans="1:9" x14ac:dyDescent="0.3">
      <c r="A4673" t="s">
        <v>22</v>
      </c>
      <c r="G4673">
        <v>44303</v>
      </c>
      <c r="H4673">
        <v>2021</v>
      </c>
      <c r="I4673" t="s">
        <v>46</v>
      </c>
    </row>
    <row r="4674" spans="1:9" x14ac:dyDescent="0.3">
      <c r="A4674" t="s">
        <v>19</v>
      </c>
      <c r="G4674">
        <v>44303</v>
      </c>
      <c r="H4674">
        <v>2021</v>
      </c>
      <c r="I4674" t="s">
        <v>46</v>
      </c>
    </row>
    <row r="4675" spans="1:9" x14ac:dyDescent="0.3">
      <c r="A4675" t="s">
        <v>14</v>
      </c>
      <c r="B4675">
        <v>1325000</v>
      </c>
      <c r="F4675">
        <v>100000</v>
      </c>
      <c r="G4675">
        <v>44303</v>
      </c>
      <c r="H4675">
        <v>2021</v>
      </c>
      <c r="I4675" t="s">
        <v>46</v>
      </c>
    </row>
    <row r="4676" spans="1:9" x14ac:dyDescent="0.3">
      <c r="A4676" t="s">
        <v>24</v>
      </c>
      <c r="G4676">
        <v>44303</v>
      </c>
      <c r="H4676">
        <v>2021</v>
      </c>
      <c r="I4676" t="s">
        <v>46</v>
      </c>
    </row>
    <row r="4677" spans="1:9" x14ac:dyDescent="0.3">
      <c r="A4677" t="s">
        <v>21</v>
      </c>
      <c r="G4677">
        <v>44303</v>
      </c>
      <c r="H4677">
        <v>2021</v>
      </c>
      <c r="I4677" t="s">
        <v>46</v>
      </c>
    </row>
    <row r="4678" spans="1:9" x14ac:dyDescent="0.3">
      <c r="A4678" t="s">
        <v>18</v>
      </c>
      <c r="G4678">
        <v>44303</v>
      </c>
      <c r="H4678">
        <v>2021</v>
      </c>
      <c r="I4678" t="s">
        <v>46</v>
      </c>
    </row>
    <row r="4679" spans="1:9" x14ac:dyDescent="0.3">
      <c r="A4679" t="s">
        <v>16</v>
      </c>
      <c r="G4679">
        <v>44303</v>
      </c>
      <c r="H4679">
        <v>2021</v>
      </c>
      <c r="I4679" t="s">
        <v>46</v>
      </c>
    </row>
    <row r="4680" spans="1:9" x14ac:dyDescent="0.3">
      <c r="A4680" t="s">
        <v>20</v>
      </c>
      <c r="G4680">
        <v>44305</v>
      </c>
      <c r="H4680">
        <v>2021</v>
      </c>
      <c r="I4680" t="s">
        <v>46</v>
      </c>
    </row>
    <row r="4681" spans="1:9" x14ac:dyDescent="0.3">
      <c r="A4681" t="s">
        <v>37</v>
      </c>
      <c r="G4681">
        <v>44305</v>
      </c>
      <c r="H4681">
        <v>2021</v>
      </c>
      <c r="I4681" t="s">
        <v>46</v>
      </c>
    </row>
    <row r="4682" spans="1:9" x14ac:dyDescent="0.3">
      <c r="A4682" t="s">
        <v>17</v>
      </c>
      <c r="B4682">
        <v>914000</v>
      </c>
      <c r="F4682">
        <v>108000</v>
      </c>
      <c r="G4682">
        <v>44305</v>
      </c>
      <c r="H4682">
        <v>2021</v>
      </c>
      <c r="I4682" t="s">
        <v>46</v>
      </c>
    </row>
    <row r="4683" spans="1:9" x14ac:dyDescent="0.3">
      <c r="A4683" t="s">
        <v>0</v>
      </c>
      <c r="G4683">
        <v>44305</v>
      </c>
      <c r="H4683">
        <v>2021</v>
      </c>
      <c r="I4683" t="s">
        <v>46</v>
      </c>
    </row>
    <row r="4684" spans="1:9" x14ac:dyDescent="0.3">
      <c r="A4684" t="s">
        <v>25</v>
      </c>
      <c r="C4684">
        <v>810000</v>
      </c>
      <c r="F4684">
        <v>50000</v>
      </c>
      <c r="G4684">
        <v>44305</v>
      </c>
      <c r="H4684">
        <v>2021</v>
      </c>
      <c r="I4684" t="s">
        <v>46</v>
      </c>
    </row>
    <row r="4685" spans="1:9" x14ac:dyDescent="0.3">
      <c r="A4685" t="s">
        <v>15</v>
      </c>
      <c r="G4685">
        <v>44305</v>
      </c>
      <c r="H4685">
        <v>2021</v>
      </c>
      <c r="I4685" t="s">
        <v>46</v>
      </c>
    </row>
    <row r="4686" spans="1:9" x14ac:dyDescent="0.3">
      <c r="A4686" t="s">
        <v>54</v>
      </c>
      <c r="G4686">
        <v>44305</v>
      </c>
      <c r="H4686">
        <v>2021</v>
      </c>
      <c r="I4686" t="s">
        <v>46</v>
      </c>
    </row>
    <row r="4687" spans="1:9" x14ac:dyDescent="0.3">
      <c r="A4687" t="s">
        <v>26</v>
      </c>
      <c r="G4687">
        <v>44305</v>
      </c>
      <c r="H4687">
        <v>2021</v>
      </c>
      <c r="I4687" t="s">
        <v>46</v>
      </c>
    </row>
    <row r="4688" spans="1:9" x14ac:dyDescent="0.3">
      <c r="A4688" t="s">
        <v>22</v>
      </c>
      <c r="G4688">
        <v>44305</v>
      </c>
      <c r="H4688">
        <v>2021</v>
      </c>
      <c r="I4688" t="s">
        <v>46</v>
      </c>
    </row>
    <row r="4689" spans="1:9" x14ac:dyDescent="0.3">
      <c r="A4689" t="s">
        <v>19</v>
      </c>
      <c r="G4689">
        <v>44305</v>
      </c>
      <c r="H4689">
        <v>2021</v>
      </c>
      <c r="I4689" t="s">
        <v>46</v>
      </c>
    </row>
    <row r="4690" spans="1:9" x14ac:dyDescent="0.3">
      <c r="A4690" t="s">
        <v>14</v>
      </c>
      <c r="B4690">
        <v>760000</v>
      </c>
      <c r="F4690">
        <v>162000</v>
      </c>
      <c r="G4690">
        <v>44305</v>
      </c>
      <c r="H4690">
        <v>2021</v>
      </c>
      <c r="I4690" t="s">
        <v>46</v>
      </c>
    </row>
    <row r="4691" spans="1:9" x14ac:dyDescent="0.3">
      <c r="A4691" t="s">
        <v>24</v>
      </c>
      <c r="G4691">
        <v>44305</v>
      </c>
      <c r="H4691">
        <v>2021</v>
      </c>
      <c r="I4691" t="s">
        <v>46</v>
      </c>
    </row>
    <row r="4692" spans="1:9" x14ac:dyDescent="0.3">
      <c r="A4692" t="s">
        <v>21</v>
      </c>
      <c r="G4692">
        <v>44305</v>
      </c>
      <c r="H4692">
        <v>2021</v>
      </c>
      <c r="I4692" t="s">
        <v>46</v>
      </c>
    </row>
    <row r="4693" spans="1:9" x14ac:dyDescent="0.3">
      <c r="A4693" t="s">
        <v>18</v>
      </c>
      <c r="G4693">
        <v>44305</v>
      </c>
      <c r="H4693">
        <v>2021</v>
      </c>
      <c r="I4693" t="s">
        <v>46</v>
      </c>
    </row>
    <row r="4694" spans="1:9" x14ac:dyDescent="0.3">
      <c r="A4694" t="s">
        <v>16</v>
      </c>
      <c r="G4694">
        <v>44305</v>
      </c>
      <c r="H4694">
        <v>2021</v>
      </c>
      <c r="I4694" t="s">
        <v>46</v>
      </c>
    </row>
    <row r="4695" spans="1:9" x14ac:dyDescent="0.3">
      <c r="A4695" t="s">
        <v>20</v>
      </c>
      <c r="G4695">
        <v>44306</v>
      </c>
      <c r="H4695">
        <v>2021</v>
      </c>
      <c r="I4695" t="s">
        <v>46</v>
      </c>
    </row>
    <row r="4696" spans="1:9" x14ac:dyDescent="0.3">
      <c r="A4696" t="s">
        <v>37</v>
      </c>
      <c r="G4696">
        <v>44306</v>
      </c>
      <c r="H4696">
        <v>2021</v>
      </c>
      <c r="I4696" t="s">
        <v>46</v>
      </c>
    </row>
    <row r="4697" spans="1:9" x14ac:dyDescent="0.3">
      <c r="A4697" t="s">
        <v>17</v>
      </c>
      <c r="B4697">
        <v>316000</v>
      </c>
      <c r="C4697">
        <v>577000</v>
      </c>
      <c r="F4697">
        <v>162000</v>
      </c>
      <c r="G4697">
        <v>44306</v>
      </c>
      <c r="H4697">
        <v>2021</v>
      </c>
      <c r="I4697" t="s">
        <v>46</v>
      </c>
    </row>
    <row r="4698" spans="1:9" x14ac:dyDescent="0.3">
      <c r="A4698" t="s">
        <v>0</v>
      </c>
      <c r="G4698">
        <v>44306</v>
      </c>
      <c r="H4698">
        <v>2021</v>
      </c>
      <c r="I4698" t="s">
        <v>46</v>
      </c>
    </row>
    <row r="4699" spans="1:9" x14ac:dyDescent="0.3">
      <c r="A4699" t="s">
        <v>25</v>
      </c>
      <c r="C4699">
        <v>108000</v>
      </c>
      <c r="G4699">
        <v>44306</v>
      </c>
      <c r="H4699">
        <v>2021</v>
      </c>
      <c r="I4699" t="s">
        <v>46</v>
      </c>
    </row>
    <row r="4700" spans="1:9" x14ac:dyDescent="0.3">
      <c r="A4700" t="s">
        <v>15</v>
      </c>
      <c r="G4700">
        <v>44306</v>
      </c>
      <c r="H4700">
        <v>2021</v>
      </c>
      <c r="I4700" t="s">
        <v>46</v>
      </c>
    </row>
    <row r="4701" spans="1:9" x14ac:dyDescent="0.3">
      <c r="A4701" t="s">
        <v>54</v>
      </c>
      <c r="G4701">
        <v>44306</v>
      </c>
      <c r="H4701">
        <v>2021</v>
      </c>
      <c r="I4701" t="s">
        <v>46</v>
      </c>
    </row>
    <row r="4702" spans="1:9" x14ac:dyDescent="0.3">
      <c r="A4702" t="s">
        <v>26</v>
      </c>
      <c r="G4702">
        <v>44306</v>
      </c>
      <c r="H4702">
        <v>2021</v>
      </c>
      <c r="I4702" t="s">
        <v>46</v>
      </c>
    </row>
    <row r="4703" spans="1:9" x14ac:dyDescent="0.3">
      <c r="A4703" t="s">
        <v>22</v>
      </c>
      <c r="G4703">
        <v>44306</v>
      </c>
      <c r="H4703">
        <v>2021</v>
      </c>
      <c r="I4703" t="s">
        <v>46</v>
      </c>
    </row>
    <row r="4704" spans="1:9" x14ac:dyDescent="0.3">
      <c r="A4704" t="s">
        <v>19</v>
      </c>
      <c r="B4704">
        <v>270000</v>
      </c>
      <c r="G4704">
        <v>44306</v>
      </c>
      <c r="H4704">
        <v>2021</v>
      </c>
      <c r="I4704" t="s">
        <v>46</v>
      </c>
    </row>
    <row r="4705" spans="1:9" x14ac:dyDescent="0.3">
      <c r="A4705" t="s">
        <v>14</v>
      </c>
      <c r="B4705">
        <v>1452500</v>
      </c>
      <c r="F4705">
        <v>324000</v>
      </c>
      <c r="G4705">
        <v>44306</v>
      </c>
      <c r="H4705">
        <v>2021</v>
      </c>
      <c r="I4705" t="s">
        <v>46</v>
      </c>
    </row>
    <row r="4706" spans="1:9" x14ac:dyDescent="0.3">
      <c r="A4706" t="s">
        <v>24</v>
      </c>
      <c r="G4706">
        <v>44306</v>
      </c>
      <c r="H4706">
        <v>2021</v>
      </c>
      <c r="I4706" t="s">
        <v>46</v>
      </c>
    </row>
    <row r="4707" spans="1:9" x14ac:dyDescent="0.3">
      <c r="A4707" t="s">
        <v>21</v>
      </c>
      <c r="G4707">
        <v>44306</v>
      </c>
      <c r="H4707">
        <v>2021</v>
      </c>
      <c r="I4707" t="s">
        <v>46</v>
      </c>
    </row>
    <row r="4708" spans="1:9" x14ac:dyDescent="0.3">
      <c r="A4708" t="s">
        <v>18</v>
      </c>
      <c r="G4708">
        <v>44306</v>
      </c>
      <c r="H4708">
        <v>2021</v>
      </c>
      <c r="I4708" t="s">
        <v>46</v>
      </c>
    </row>
    <row r="4709" spans="1:9" x14ac:dyDescent="0.3">
      <c r="A4709" t="s">
        <v>16</v>
      </c>
      <c r="G4709">
        <v>44306</v>
      </c>
      <c r="H4709">
        <v>2021</v>
      </c>
      <c r="I4709" t="s">
        <v>46</v>
      </c>
    </row>
    <row r="4710" spans="1:9" x14ac:dyDescent="0.3">
      <c r="A4710" t="s">
        <v>20</v>
      </c>
      <c r="G4710">
        <v>44307</v>
      </c>
      <c r="H4710">
        <v>2021</v>
      </c>
      <c r="I4710" t="s">
        <v>46</v>
      </c>
    </row>
    <row r="4711" spans="1:9" x14ac:dyDescent="0.3">
      <c r="A4711" t="s">
        <v>37</v>
      </c>
      <c r="G4711">
        <v>44307</v>
      </c>
      <c r="H4711">
        <v>2021</v>
      </c>
      <c r="I4711" t="s">
        <v>46</v>
      </c>
    </row>
    <row r="4712" spans="1:9" x14ac:dyDescent="0.3">
      <c r="A4712" t="s">
        <v>17</v>
      </c>
      <c r="B4712">
        <v>950000</v>
      </c>
      <c r="C4712">
        <v>1106000</v>
      </c>
      <c r="G4712">
        <v>44307</v>
      </c>
      <c r="H4712">
        <v>2021</v>
      </c>
      <c r="I4712" t="s">
        <v>46</v>
      </c>
    </row>
    <row r="4713" spans="1:9" x14ac:dyDescent="0.3">
      <c r="A4713" t="s">
        <v>0</v>
      </c>
      <c r="G4713">
        <v>44307</v>
      </c>
      <c r="H4713">
        <v>2021</v>
      </c>
      <c r="I4713" t="s">
        <v>46</v>
      </c>
    </row>
    <row r="4714" spans="1:9" x14ac:dyDescent="0.3">
      <c r="A4714" t="s">
        <v>25</v>
      </c>
      <c r="G4714">
        <v>44307</v>
      </c>
      <c r="H4714">
        <v>2021</v>
      </c>
      <c r="I4714" t="s">
        <v>46</v>
      </c>
    </row>
    <row r="4715" spans="1:9" x14ac:dyDescent="0.3">
      <c r="A4715" t="s">
        <v>15</v>
      </c>
      <c r="G4715">
        <v>44307</v>
      </c>
      <c r="H4715">
        <v>2021</v>
      </c>
      <c r="I4715" t="s">
        <v>46</v>
      </c>
    </row>
    <row r="4716" spans="1:9" x14ac:dyDescent="0.3">
      <c r="A4716" t="s">
        <v>54</v>
      </c>
      <c r="G4716">
        <v>44307</v>
      </c>
      <c r="H4716">
        <v>2021</v>
      </c>
      <c r="I4716" t="s">
        <v>46</v>
      </c>
    </row>
    <row r="4717" spans="1:9" x14ac:dyDescent="0.3">
      <c r="A4717" t="s">
        <v>26</v>
      </c>
      <c r="C4717">
        <v>54000</v>
      </c>
      <c r="G4717">
        <v>44307</v>
      </c>
      <c r="H4717">
        <v>2021</v>
      </c>
      <c r="I4717" t="s">
        <v>46</v>
      </c>
    </row>
    <row r="4718" spans="1:9" x14ac:dyDescent="0.3">
      <c r="A4718" t="s">
        <v>22</v>
      </c>
      <c r="G4718">
        <v>44307</v>
      </c>
      <c r="H4718">
        <v>2021</v>
      </c>
      <c r="I4718" t="s">
        <v>46</v>
      </c>
    </row>
    <row r="4719" spans="1:9" x14ac:dyDescent="0.3">
      <c r="A4719" t="s">
        <v>19</v>
      </c>
      <c r="B4719">
        <v>748000</v>
      </c>
      <c r="G4719">
        <v>44307</v>
      </c>
      <c r="H4719">
        <v>2021</v>
      </c>
      <c r="I4719" t="s">
        <v>46</v>
      </c>
    </row>
    <row r="4720" spans="1:9" x14ac:dyDescent="0.3">
      <c r="A4720" t="s">
        <v>14</v>
      </c>
      <c r="B4720">
        <v>261000</v>
      </c>
      <c r="F4720">
        <v>324000</v>
      </c>
      <c r="G4720">
        <v>44307</v>
      </c>
      <c r="H4720">
        <v>2021</v>
      </c>
      <c r="I4720" t="s">
        <v>46</v>
      </c>
    </row>
    <row r="4721" spans="1:9" x14ac:dyDescent="0.3">
      <c r="A4721" t="s">
        <v>24</v>
      </c>
      <c r="G4721">
        <v>44307</v>
      </c>
      <c r="H4721">
        <v>2021</v>
      </c>
      <c r="I4721" t="s">
        <v>46</v>
      </c>
    </row>
    <row r="4722" spans="1:9" x14ac:dyDescent="0.3">
      <c r="A4722" t="s">
        <v>21</v>
      </c>
      <c r="G4722">
        <v>44307</v>
      </c>
      <c r="H4722">
        <v>2021</v>
      </c>
      <c r="I4722" t="s">
        <v>46</v>
      </c>
    </row>
    <row r="4723" spans="1:9" x14ac:dyDescent="0.3">
      <c r="A4723" t="s">
        <v>18</v>
      </c>
      <c r="G4723">
        <v>44307</v>
      </c>
      <c r="H4723">
        <v>2021</v>
      </c>
      <c r="I4723" t="s">
        <v>46</v>
      </c>
    </row>
    <row r="4724" spans="1:9" x14ac:dyDescent="0.3">
      <c r="A4724" t="s">
        <v>16</v>
      </c>
      <c r="G4724">
        <v>44307</v>
      </c>
      <c r="H4724">
        <v>2021</v>
      </c>
      <c r="I4724" t="s">
        <v>46</v>
      </c>
    </row>
    <row r="4725" spans="1:9" x14ac:dyDescent="0.3">
      <c r="A4725" t="s">
        <v>20</v>
      </c>
      <c r="G4725">
        <v>44308</v>
      </c>
      <c r="H4725">
        <v>2021</v>
      </c>
      <c r="I4725" t="s">
        <v>46</v>
      </c>
    </row>
    <row r="4726" spans="1:9" x14ac:dyDescent="0.3">
      <c r="A4726" t="s">
        <v>37</v>
      </c>
      <c r="G4726">
        <v>44308</v>
      </c>
      <c r="H4726">
        <v>2021</v>
      </c>
      <c r="I4726" t="s">
        <v>46</v>
      </c>
    </row>
    <row r="4727" spans="1:9" x14ac:dyDescent="0.3">
      <c r="A4727" t="s">
        <v>17</v>
      </c>
      <c r="B4727">
        <v>1428500</v>
      </c>
      <c r="C4727">
        <v>1295500</v>
      </c>
      <c r="F4727">
        <v>216000</v>
      </c>
      <c r="G4727">
        <v>44308</v>
      </c>
      <c r="H4727">
        <v>2021</v>
      </c>
      <c r="I4727" t="s">
        <v>46</v>
      </c>
    </row>
    <row r="4728" spans="1:9" x14ac:dyDescent="0.3">
      <c r="A4728" t="s">
        <v>0</v>
      </c>
      <c r="G4728">
        <v>44308</v>
      </c>
      <c r="H4728">
        <v>2021</v>
      </c>
      <c r="I4728" t="s">
        <v>46</v>
      </c>
    </row>
    <row r="4729" spans="1:9" x14ac:dyDescent="0.3">
      <c r="A4729" t="s">
        <v>25</v>
      </c>
      <c r="G4729">
        <v>44308</v>
      </c>
      <c r="H4729">
        <v>2021</v>
      </c>
      <c r="I4729" t="s">
        <v>46</v>
      </c>
    </row>
    <row r="4730" spans="1:9" x14ac:dyDescent="0.3">
      <c r="A4730" t="s">
        <v>15</v>
      </c>
      <c r="G4730">
        <v>44308</v>
      </c>
      <c r="H4730">
        <v>2021</v>
      </c>
      <c r="I4730" t="s">
        <v>46</v>
      </c>
    </row>
    <row r="4731" spans="1:9" x14ac:dyDescent="0.3">
      <c r="A4731" t="s">
        <v>54</v>
      </c>
      <c r="G4731">
        <v>44308</v>
      </c>
      <c r="H4731">
        <v>2021</v>
      </c>
      <c r="I4731" t="s">
        <v>46</v>
      </c>
    </row>
    <row r="4732" spans="1:9" x14ac:dyDescent="0.3">
      <c r="A4732" t="s">
        <v>26</v>
      </c>
      <c r="G4732">
        <v>44308</v>
      </c>
      <c r="H4732">
        <v>2021</v>
      </c>
      <c r="I4732" t="s">
        <v>46</v>
      </c>
    </row>
    <row r="4733" spans="1:9" x14ac:dyDescent="0.3">
      <c r="A4733" t="s">
        <v>22</v>
      </c>
      <c r="G4733">
        <v>44308</v>
      </c>
      <c r="H4733">
        <v>2021</v>
      </c>
      <c r="I4733" t="s">
        <v>46</v>
      </c>
    </row>
    <row r="4734" spans="1:9" x14ac:dyDescent="0.3">
      <c r="A4734" t="s">
        <v>19</v>
      </c>
      <c r="B4734">
        <v>648000</v>
      </c>
      <c r="G4734">
        <v>44308</v>
      </c>
      <c r="H4734">
        <v>2021</v>
      </c>
      <c r="I4734" t="s">
        <v>46</v>
      </c>
    </row>
    <row r="4735" spans="1:9" x14ac:dyDescent="0.3">
      <c r="A4735" t="s">
        <v>14</v>
      </c>
      <c r="B4735">
        <v>156000</v>
      </c>
      <c r="G4735">
        <v>44308</v>
      </c>
      <c r="H4735">
        <v>2021</v>
      </c>
      <c r="I4735" t="s">
        <v>46</v>
      </c>
    </row>
    <row r="4736" spans="1:9" x14ac:dyDescent="0.3">
      <c r="A4736" t="s">
        <v>24</v>
      </c>
      <c r="G4736">
        <v>44308</v>
      </c>
      <c r="H4736">
        <v>2021</v>
      </c>
      <c r="I4736" t="s">
        <v>46</v>
      </c>
    </row>
    <row r="4737" spans="1:9" x14ac:dyDescent="0.3">
      <c r="A4737" t="s">
        <v>21</v>
      </c>
      <c r="G4737">
        <v>44308</v>
      </c>
      <c r="H4737">
        <v>2021</v>
      </c>
      <c r="I4737" t="s">
        <v>46</v>
      </c>
    </row>
    <row r="4738" spans="1:9" x14ac:dyDescent="0.3">
      <c r="A4738" t="s">
        <v>18</v>
      </c>
      <c r="G4738">
        <v>44308</v>
      </c>
      <c r="H4738">
        <v>2021</v>
      </c>
      <c r="I4738" t="s">
        <v>46</v>
      </c>
    </row>
    <row r="4739" spans="1:9" x14ac:dyDescent="0.3">
      <c r="A4739" t="s">
        <v>16</v>
      </c>
      <c r="G4739">
        <v>44308</v>
      </c>
      <c r="H4739">
        <v>2021</v>
      </c>
      <c r="I4739" t="s">
        <v>46</v>
      </c>
    </row>
    <row r="4740" spans="1:9" x14ac:dyDescent="0.3">
      <c r="A4740" t="s">
        <v>20</v>
      </c>
      <c r="G4740">
        <v>44309</v>
      </c>
      <c r="H4740">
        <v>2021</v>
      </c>
      <c r="I4740" t="s">
        <v>46</v>
      </c>
    </row>
    <row r="4741" spans="1:9" x14ac:dyDescent="0.3">
      <c r="A4741" t="s">
        <v>37</v>
      </c>
      <c r="G4741">
        <v>44309</v>
      </c>
      <c r="H4741">
        <v>2021</v>
      </c>
      <c r="I4741" t="s">
        <v>46</v>
      </c>
    </row>
    <row r="4742" spans="1:9" x14ac:dyDescent="0.3">
      <c r="A4742" t="s">
        <v>17</v>
      </c>
      <c r="B4742">
        <v>486000</v>
      </c>
      <c r="G4742">
        <v>44309</v>
      </c>
      <c r="H4742">
        <v>2021</v>
      </c>
      <c r="I4742" t="s">
        <v>46</v>
      </c>
    </row>
    <row r="4743" spans="1:9" x14ac:dyDescent="0.3">
      <c r="A4743" t="s">
        <v>0</v>
      </c>
      <c r="G4743">
        <v>44309</v>
      </c>
      <c r="H4743">
        <v>2021</v>
      </c>
      <c r="I4743" t="s">
        <v>46</v>
      </c>
    </row>
    <row r="4744" spans="1:9" x14ac:dyDescent="0.3">
      <c r="A4744" t="s">
        <v>25</v>
      </c>
      <c r="F4744">
        <v>50000</v>
      </c>
      <c r="G4744">
        <v>44309</v>
      </c>
      <c r="H4744">
        <v>2021</v>
      </c>
      <c r="I4744" t="s">
        <v>46</v>
      </c>
    </row>
    <row r="4745" spans="1:9" x14ac:dyDescent="0.3">
      <c r="A4745" t="s">
        <v>15</v>
      </c>
      <c r="G4745">
        <v>44309</v>
      </c>
      <c r="H4745">
        <v>2021</v>
      </c>
      <c r="I4745" t="s">
        <v>46</v>
      </c>
    </row>
    <row r="4746" spans="1:9" x14ac:dyDescent="0.3">
      <c r="A4746" t="s">
        <v>54</v>
      </c>
      <c r="G4746">
        <v>44309</v>
      </c>
      <c r="H4746">
        <v>2021</v>
      </c>
      <c r="I4746" t="s">
        <v>46</v>
      </c>
    </row>
    <row r="4747" spans="1:9" x14ac:dyDescent="0.3">
      <c r="A4747" t="s">
        <v>26</v>
      </c>
      <c r="G4747">
        <v>44309</v>
      </c>
      <c r="H4747">
        <v>2021</v>
      </c>
      <c r="I4747" t="s">
        <v>46</v>
      </c>
    </row>
    <row r="4748" spans="1:9" x14ac:dyDescent="0.3">
      <c r="A4748" t="s">
        <v>22</v>
      </c>
      <c r="G4748">
        <v>44309</v>
      </c>
      <c r="H4748">
        <v>2021</v>
      </c>
      <c r="I4748" t="s">
        <v>46</v>
      </c>
    </row>
    <row r="4749" spans="1:9" x14ac:dyDescent="0.3">
      <c r="A4749" t="s">
        <v>19</v>
      </c>
      <c r="B4749">
        <v>486000</v>
      </c>
      <c r="C4749">
        <v>207000</v>
      </c>
      <c r="F4749">
        <v>536000</v>
      </c>
      <c r="G4749">
        <v>44309</v>
      </c>
      <c r="H4749">
        <v>2021</v>
      </c>
      <c r="I4749" t="s">
        <v>46</v>
      </c>
    </row>
    <row r="4750" spans="1:9" x14ac:dyDescent="0.3">
      <c r="A4750" t="s">
        <v>14</v>
      </c>
      <c r="G4750">
        <v>44309</v>
      </c>
      <c r="H4750">
        <v>2021</v>
      </c>
      <c r="I4750" t="s">
        <v>46</v>
      </c>
    </row>
    <row r="4751" spans="1:9" x14ac:dyDescent="0.3">
      <c r="A4751" t="s">
        <v>24</v>
      </c>
      <c r="G4751">
        <v>44309</v>
      </c>
      <c r="H4751">
        <v>2021</v>
      </c>
      <c r="I4751" t="s">
        <v>46</v>
      </c>
    </row>
    <row r="4752" spans="1:9" x14ac:dyDescent="0.3">
      <c r="A4752" t="s">
        <v>21</v>
      </c>
      <c r="G4752">
        <v>44309</v>
      </c>
      <c r="H4752">
        <v>2021</v>
      </c>
      <c r="I4752" t="s">
        <v>46</v>
      </c>
    </row>
    <row r="4753" spans="1:9" x14ac:dyDescent="0.3">
      <c r="A4753" t="s">
        <v>18</v>
      </c>
      <c r="G4753">
        <v>44309</v>
      </c>
      <c r="H4753">
        <v>2021</v>
      </c>
      <c r="I4753" t="s">
        <v>46</v>
      </c>
    </row>
    <row r="4754" spans="1:9" x14ac:dyDescent="0.3">
      <c r="A4754" t="s">
        <v>16</v>
      </c>
      <c r="G4754">
        <v>44309</v>
      </c>
      <c r="H4754">
        <v>2021</v>
      </c>
      <c r="I4754" t="s">
        <v>46</v>
      </c>
    </row>
    <row r="4755" spans="1:9" x14ac:dyDescent="0.3">
      <c r="A4755" t="s">
        <v>20</v>
      </c>
      <c r="G4755">
        <v>44312</v>
      </c>
      <c r="H4755">
        <v>2021</v>
      </c>
      <c r="I4755" t="s">
        <v>46</v>
      </c>
    </row>
    <row r="4756" spans="1:9" x14ac:dyDescent="0.3">
      <c r="A4756" t="s">
        <v>37</v>
      </c>
      <c r="G4756">
        <v>44312</v>
      </c>
      <c r="H4756">
        <v>2021</v>
      </c>
      <c r="I4756" t="s">
        <v>46</v>
      </c>
    </row>
    <row r="4757" spans="1:9" x14ac:dyDescent="0.3">
      <c r="A4757" t="s">
        <v>17</v>
      </c>
      <c r="B4757">
        <v>1866000</v>
      </c>
      <c r="C4757">
        <v>540000</v>
      </c>
      <c r="G4757">
        <v>44312</v>
      </c>
      <c r="H4757">
        <v>2021</v>
      </c>
      <c r="I4757" t="s">
        <v>46</v>
      </c>
    </row>
    <row r="4758" spans="1:9" x14ac:dyDescent="0.3">
      <c r="A4758" t="s">
        <v>0</v>
      </c>
      <c r="G4758">
        <v>44312</v>
      </c>
      <c r="H4758">
        <v>2021</v>
      </c>
      <c r="I4758" t="s">
        <v>46</v>
      </c>
    </row>
    <row r="4759" spans="1:9" x14ac:dyDescent="0.3">
      <c r="A4759" t="s">
        <v>25</v>
      </c>
      <c r="G4759">
        <v>44312</v>
      </c>
      <c r="H4759">
        <v>2021</v>
      </c>
      <c r="I4759" t="s">
        <v>46</v>
      </c>
    </row>
    <row r="4760" spans="1:9" x14ac:dyDescent="0.3">
      <c r="A4760" t="s">
        <v>15</v>
      </c>
      <c r="G4760">
        <v>44312</v>
      </c>
      <c r="H4760">
        <v>2021</v>
      </c>
      <c r="I4760" t="s">
        <v>46</v>
      </c>
    </row>
    <row r="4761" spans="1:9" x14ac:dyDescent="0.3">
      <c r="A4761" t="s">
        <v>54</v>
      </c>
      <c r="G4761">
        <v>44312</v>
      </c>
      <c r="H4761">
        <v>2021</v>
      </c>
      <c r="I4761" t="s">
        <v>46</v>
      </c>
    </row>
    <row r="4762" spans="1:9" x14ac:dyDescent="0.3">
      <c r="A4762" t="s">
        <v>26</v>
      </c>
      <c r="C4762">
        <v>702000</v>
      </c>
      <c r="G4762">
        <v>44312</v>
      </c>
      <c r="H4762">
        <v>2021</v>
      </c>
      <c r="I4762" t="s">
        <v>46</v>
      </c>
    </row>
    <row r="4763" spans="1:9" x14ac:dyDescent="0.3">
      <c r="A4763" t="s">
        <v>22</v>
      </c>
      <c r="G4763">
        <v>44312</v>
      </c>
      <c r="H4763">
        <v>2021</v>
      </c>
      <c r="I4763" t="s">
        <v>46</v>
      </c>
    </row>
    <row r="4764" spans="1:9" x14ac:dyDescent="0.3">
      <c r="A4764" t="s">
        <v>19</v>
      </c>
      <c r="C4764">
        <v>50000</v>
      </c>
      <c r="F4764">
        <v>540000</v>
      </c>
      <c r="G4764">
        <v>44312</v>
      </c>
      <c r="H4764">
        <v>2021</v>
      </c>
      <c r="I4764" t="s">
        <v>46</v>
      </c>
    </row>
    <row r="4765" spans="1:9" x14ac:dyDescent="0.3">
      <c r="A4765" t="s">
        <v>14</v>
      </c>
      <c r="B4765">
        <v>45000</v>
      </c>
      <c r="G4765">
        <v>44312</v>
      </c>
      <c r="H4765">
        <v>2021</v>
      </c>
      <c r="I4765" t="s">
        <v>46</v>
      </c>
    </row>
    <row r="4766" spans="1:9" x14ac:dyDescent="0.3">
      <c r="A4766" t="s">
        <v>24</v>
      </c>
      <c r="G4766">
        <v>44312</v>
      </c>
      <c r="H4766">
        <v>2021</v>
      </c>
      <c r="I4766" t="s">
        <v>46</v>
      </c>
    </row>
    <row r="4767" spans="1:9" x14ac:dyDescent="0.3">
      <c r="A4767" t="s">
        <v>21</v>
      </c>
      <c r="C4767">
        <v>648000</v>
      </c>
      <c r="G4767">
        <v>44312</v>
      </c>
      <c r="H4767">
        <v>2021</v>
      </c>
      <c r="I4767" t="s">
        <v>46</v>
      </c>
    </row>
    <row r="4768" spans="1:9" x14ac:dyDescent="0.3">
      <c r="A4768" t="s">
        <v>18</v>
      </c>
      <c r="G4768">
        <v>44312</v>
      </c>
      <c r="H4768">
        <v>2021</v>
      </c>
      <c r="I4768" t="s">
        <v>46</v>
      </c>
    </row>
    <row r="4769" spans="1:9" x14ac:dyDescent="0.3">
      <c r="A4769" t="s">
        <v>16</v>
      </c>
      <c r="C4769">
        <v>45000</v>
      </c>
      <c r="G4769">
        <v>44312</v>
      </c>
      <c r="H4769">
        <v>2021</v>
      </c>
      <c r="I4769" t="s">
        <v>46</v>
      </c>
    </row>
    <row r="4770" spans="1:9" x14ac:dyDescent="0.3">
      <c r="A4770" t="s">
        <v>20</v>
      </c>
      <c r="G4770">
        <v>44313</v>
      </c>
      <c r="H4770">
        <v>2021</v>
      </c>
      <c r="I4770" t="s">
        <v>46</v>
      </c>
    </row>
    <row r="4771" spans="1:9" x14ac:dyDescent="0.3">
      <c r="A4771" t="s">
        <v>37</v>
      </c>
      <c r="G4771">
        <v>44313</v>
      </c>
      <c r="H4771">
        <v>2021</v>
      </c>
      <c r="I4771" t="s">
        <v>46</v>
      </c>
    </row>
    <row r="4772" spans="1:9" x14ac:dyDescent="0.3">
      <c r="A4772" t="s">
        <v>17</v>
      </c>
      <c r="B4772">
        <v>162000</v>
      </c>
      <c r="C4772">
        <v>432000</v>
      </c>
      <c r="E4772">
        <v>108000</v>
      </c>
      <c r="G4772">
        <v>44313</v>
      </c>
      <c r="H4772">
        <v>2021</v>
      </c>
      <c r="I4772" t="s">
        <v>46</v>
      </c>
    </row>
    <row r="4773" spans="1:9" x14ac:dyDescent="0.3">
      <c r="A4773" t="s">
        <v>0</v>
      </c>
      <c r="G4773">
        <v>44313</v>
      </c>
      <c r="H4773">
        <v>2021</v>
      </c>
      <c r="I4773" t="s">
        <v>46</v>
      </c>
    </row>
    <row r="4774" spans="1:9" x14ac:dyDescent="0.3">
      <c r="A4774" t="s">
        <v>25</v>
      </c>
      <c r="B4774">
        <v>216000</v>
      </c>
      <c r="G4774">
        <v>44313</v>
      </c>
      <c r="H4774">
        <v>2021</v>
      </c>
      <c r="I4774" t="s">
        <v>46</v>
      </c>
    </row>
    <row r="4775" spans="1:9" x14ac:dyDescent="0.3">
      <c r="A4775" t="s">
        <v>15</v>
      </c>
      <c r="G4775">
        <v>44313</v>
      </c>
      <c r="H4775">
        <v>2021</v>
      </c>
      <c r="I4775" t="s">
        <v>46</v>
      </c>
    </row>
    <row r="4776" spans="1:9" x14ac:dyDescent="0.3">
      <c r="A4776" t="s">
        <v>54</v>
      </c>
      <c r="G4776">
        <v>44313</v>
      </c>
      <c r="H4776">
        <v>2021</v>
      </c>
      <c r="I4776" t="s">
        <v>46</v>
      </c>
    </row>
    <row r="4777" spans="1:9" x14ac:dyDescent="0.3">
      <c r="A4777" t="s">
        <v>26</v>
      </c>
      <c r="C4777">
        <v>540000</v>
      </c>
      <c r="E4777">
        <v>54000</v>
      </c>
      <c r="G4777">
        <v>44313</v>
      </c>
      <c r="H4777">
        <v>2021</v>
      </c>
      <c r="I4777" t="s">
        <v>46</v>
      </c>
    </row>
    <row r="4778" spans="1:9" x14ac:dyDescent="0.3">
      <c r="A4778" t="s">
        <v>22</v>
      </c>
      <c r="G4778">
        <v>44313</v>
      </c>
      <c r="H4778">
        <v>2021</v>
      </c>
      <c r="I4778" t="s">
        <v>46</v>
      </c>
    </row>
    <row r="4779" spans="1:9" x14ac:dyDescent="0.3">
      <c r="A4779" t="s">
        <v>19</v>
      </c>
      <c r="C4779">
        <v>585000</v>
      </c>
      <c r="G4779">
        <v>44313</v>
      </c>
      <c r="H4779">
        <v>2021</v>
      </c>
      <c r="I4779" t="s">
        <v>46</v>
      </c>
    </row>
    <row r="4780" spans="1:9" x14ac:dyDescent="0.3">
      <c r="A4780" t="s">
        <v>14</v>
      </c>
      <c r="F4780">
        <v>45000</v>
      </c>
      <c r="G4780">
        <v>44313</v>
      </c>
      <c r="H4780">
        <v>2021</v>
      </c>
      <c r="I4780" t="s">
        <v>46</v>
      </c>
    </row>
    <row r="4781" spans="1:9" x14ac:dyDescent="0.3">
      <c r="A4781" t="s">
        <v>24</v>
      </c>
      <c r="G4781">
        <v>44313</v>
      </c>
      <c r="H4781">
        <v>2021</v>
      </c>
      <c r="I4781" t="s">
        <v>46</v>
      </c>
    </row>
    <row r="4782" spans="1:9" x14ac:dyDescent="0.3">
      <c r="A4782" t="s">
        <v>21</v>
      </c>
      <c r="C4782">
        <v>108000</v>
      </c>
      <c r="G4782">
        <v>44313</v>
      </c>
      <c r="H4782">
        <v>2021</v>
      </c>
      <c r="I4782" t="s">
        <v>46</v>
      </c>
    </row>
    <row r="4783" spans="1:9" x14ac:dyDescent="0.3">
      <c r="A4783" t="s">
        <v>18</v>
      </c>
      <c r="G4783">
        <v>44313</v>
      </c>
      <c r="H4783">
        <v>2021</v>
      </c>
      <c r="I4783" t="s">
        <v>46</v>
      </c>
    </row>
    <row r="4784" spans="1:9" x14ac:dyDescent="0.3">
      <c r="A4784" t="s">
        <v>16</v>
      </c>
      <c r="E4784">
        <v>108000</v>
      </c>
      <c r="G4784">
        <v>44313</v>
      </c>
      <c r="H4784">
        <v>2021</v>
      </c>
      <c r="I4784" t="s">
        <v>46</v>
      </c>
    </row>
    <row r="4785" spans="1:9" x14ac:dyDescent="0.3">
      <c r="A4785" t="s">
        <v>20</v>
      </c>
      <c r="G4785">
        <v>44314</v>
      </c>
      <c r="H4785">
        <v>2021</v>
      </c>
      <c r="I4785" t="s">
        <v>46</v>
      </c>
    </row>
    <row r="4786" spans="1:9" x14ac:dyDescent="0.3">
      <c r="A4786" t="s">
        <v>37</v>
      </c>
      <c r="G4786">
        <v>44314</v>
      </c>
      <c r="H4786">
        <v>2021</v>
      </c>
      <c r="I4786" t="s">
        <v>46</v>
      </c>
    </row>
    <row r="4787" spans="1:9" x14ac:dyDescent="0.3">
      <c r="A4787" t="s">
        <v>17</v>
      </c>
      <c r="B4787">
        <v>45000</v>
      </c>
      <c r="C4787">
        <v>265500</v>
      </c>
      <c r="E4787">
        <v>216000</v>
      </c>
      <c r="G4787">
        <v>44314</v>
      </c>
      <c r="H4787">
        <v>2021</v>
      </c>
      <c r="I4787" t="s">
        <v>46</v>
      </c>
    </row>
    <row r="4788" spans="1:9" x14ac:dyDescent="0.3">
      <c r="A4788" t="s">
        <v>0</v>
      </c>
      <c r="G4788">
        <v>44314</v>
      </c>
      <c r="H4788">
        <v>2021</v>
      </c>
      <c r="I4788" t="s">
        <v>46</v>
      </c>
    </row>
    <row r="4789" spans="1:9" x14ac:dyDescent="0.3">
      <c r="A4789" t="s">
        <v>25</v>
      </c>
      <c r="G4789">
        <v>44314</v>
      </c>
      <c r="H4789">
        <v>2021</v>
      </c>
      <c r="I4789" t="s">
        <v>46</v>
      </c>
    </row>
    <row r="4790" spans="1:9" x14ac:dyDescent="0.3">
      <c r="A4790" t="s">
        <v>15</v>
      </c>
      <c r="G4790">
        <v>44314</v>
      </c>
      <c r="H4790">
        <v>2021</v>
      </c>
      <c r="I4790" t="s">
        <v>46</v>
      </c>
    </row>
    <row r="4791" spans="1:9" x14ac:dyDescent="0.3">
      <c r="A4791" t="s">
        <v>54</v>
      </c>
      <c r="G4791">
        <v>44314</v>
      </c>
      <c r="H4791">
        <v>2021</v>
      </c>
      <c r="I4791" t="s">
        <v>46</v>
      </c>
    </row>
    <row r="4792" spans="1:9" x14ac:dyDescent="0.3">
      <c r="A4792" t="s">
        <v>26</v>
      </c>
      <c r="C4792">
        <v>162000</v>
      </c>
      <c r="E4792">
        <v>108000</v>
      </c>
      <c r="G4792">
        <v>44314</v>
      </c>
      <c r="H4792">
        <v>2021</v>
      </c>
      <c r="I4792" t="s">
        <v>46</v>
      </c>
    </row>
    <row r="4793" spans="1:9" x14ac:dyDescent="0.3">
      <c r="A4793" t="s">
        <v>22</v>
      </c>
      <c r="G4793">
        <v>44314</v>
      </c>
      <c r="H4793">
        <v>2021</v>
      </c>
      <c r="I4793" t="s">
        <v>46</v>
      </c>
    </row>
    <row r="4794" spans="1:9" x14ac:dyDescent="0.3">
      <c r="A4794" t="s">
        <v>19</v>
      </c>
      <c r="B4794">
        <v>810000</v>
      </c>
      <c r="C4794">
        <v>320000</v>
      </c>
      <c r="E4794">
        <v>162000</v>
      </c>
      <c r="G4794">
        <v>44314</v>
      </c>
      <c r="H4794">
        <v>2021</v>
      </c>
      <c r="I4794" t="s">
        <v>46</v>
      </c>
    </row>
    <row r="4795" spans="1:9" x14ac:dyDescent="0.3">
      <c r="A4795" t="s">
        <v>14</v>
      </c>
      <c r="C4795">
        <v>270000</v>
      </c>
      <c r="F4795">
        <v>90000</v>
      </c>
      <c r="G4795">
        <v>44314</v>
      </c>
      <c r="H4795">
        <v>2021</v>
      </c>
      <c r="I4795" t="s">
        <v>46</v>
      </c>
    </row>
    <row r="4796" spans="1:9" x14ac:dyDescent="0.3">
      <c r="A4796" t="s">
        <v>24</v>
      </c>
      <c r="G4796">
        <v>44314</v>
      </c>
      <c r="H4796">
        <v>2021</v>
      </c>
      <c r="I4796" t="s">
        <v>46</v>
      </c>
    </row>
    <row r="4797" spans="1:9" x14ac:dyDescent="0.3">
      <c r="A4797" t="s">
        <v>21</v>
      </c>
      <c r="C4797">
        <v>108000</v>
      </c>
      <c r="G4797">
        <v>44314</v>
      </c>
      <c r="H4797">
        <v>2021</v>
      </c>
      <c r="I4797" t="s">
        <v>46</v>
      </c>
    </row>
    <row r="4798" spans="1:9" x14ac:dyDescent="0.3">
      <c r="A4798" t="s">
        <v>18</v>
      </c>
      <c r="G4798">
        <v>44314</v>
      </c>
      <c r="H4798">
        <v>2021</v>
      </c>
      <c r="I4798" t="s">
        <v>46</v>
      </c>
    </row>
    <row r="4799" spans="1:9" x14ac:dyDescent="0.3">
      <c r="A4799" t="s">
        <v>16</v>
      </c>
      <c r="E4799">
        <v>162000</v>
      </c>
      <c r="G4799">
        <v>44314</v>
      </c>
      <c r="H4799">
        <v>2021</v>
      </c>
      <c r="I4799" t="s">
        <v>46</v>
      </c>
    </row>
    <row r="4800" spans="1:9" x14ac:dyDescent="0.3">
      <c r="A4800" t="s">
        <v>20</v>
      </c>
      <c r="G4800">
        <v>44315</v>
      </c>
      <c r="H4800">
        <v>2021</v>
      </c>
      <c r="I4800" t="s">
        <v>46</v>
      </c>
    </row>
    <row r="4801" spans="1:9" x14ac:dyDescent="0.3">
      <c r="A4801" t="s">
        <v>37</v>
      </c>
      <c r="G4801">
        <v>44315</v>
      </c>
      <c r="H4801">
        <v>2021</v>
      </c>
      <c r="I4801" t="s">
        <v>46</v>
      </c>
    </row>
    <row r="4802" spans="1:9" x14ac:dyDescent="0.3">
      <c r="A4802" t="s">
        <v>17</v>
      </c>
      <c r="C4802">
        <v>162000</v>
      </c>
      <c r="E4802">
        <v>324000</v>
      </c>
      <c r="G4802">
        <v>44315</v>
      </c>
      <c r="H4802">
        <v>2021</v>
      </c>
      <c r="I4802" t="s">
        <v>46</v>
      </c>
    </row>
    <row r="4803" spans="1:9" x14ac:dyDescent="0.3">
      <c r="A4803" t="s">
        <v>0</v>
      </c>
      <c r="E4803">
        <v>45000</v>
      </c>
      <c r="G4803">
        <v>44315</v>
      </c>
      <c r="H4803">
        <v>2021</v>
      </c>
      <c r="I4803" t="s">
        <v>46</v>
      </c>
    </row>
    <row r="4804" spans="1:9" x14ac:dyDescent="0.3">
      <c r="A4804" t="s">
        <v>25</v>
      </c>
      <c r="G4804">
        <v>44315</v>
      </c>
      <c r="H4804">
        <v>2021</v>
      </c>
      <c r="I4804" t="s">
        <v>46</v>
      </c>
    </row>
    <row r="4805" spans="1:9" x14ac:dyDescent="0.3">
      <c r="A4805" t="s">
        <v>15</v>
      </c>
      <c r="C4805">
        <v>108000</v>
      </c>
      <c r="E4805">
        <v>161000</v>
      </c>
      <c r="G4805">
        <v>44315</v>
      </c>
      <c r="H4805">
        <v>2021</v>
      </c>
      <c r="I4805" t="s">
        <v>46</v>
      </c>
    </row>
    <row r="4806" spans="1:9" x14ac:dyDescent="0.3">
      <c r="A4806" t="s">
        <v>54</v>
      </c>
      <c r="G4806">
        <v>44315</v>
      </c>
      <c r="H4806">
        <v>2021</v>
      </c>
      <c r="I4806" t="s">
        <v>46</v>
      </c>
    </row>
    <row r="4807" spans="1:9" x14ac:dyDescent="0.3">
      <c r="A4807" t="s">
        <v>26</v>
      </c>
      <c r="C4807">
        <v>108000</v>
      </c>
      <c r="E4807">
        <v>162000</v>
      </c>
      <c r="G4807">
        <v>44315</v>
      </c>
      <c r="H4807">
        <v>2021</v>
      </c>
      <c r="I4807" t="s">
        <v>46</v>
      </c>
    </row>
    <row r="4808" spans="1:9" x14ac:dyDescent="0.3">
      <c r="A4808" t="s">
        <v>22</v>
      </c>
      <c r="G4808">
        <v>44315</v>
      </c>
      <c r="H4808">
        <v>2021</v>
      </c>
      <c r="I4808" t="s">
        <v>46</v>
      </c>
    </row>
    <row r="4809" spans="1:9" x14ac:dyDescent="0.3">
      <c r="A4809" t="s">
        <v>19</v>
      </c>
      <c r="C4809">
        <v>50000</v>
      </c>
      <c r="E4809">
        <v>162000</v>
      </c>
      <c r="G4809">
        <v>44315</v>
      </c>
      <c r="H4809">
        <v>2021</v>
      </c>
      <c r="I4809" t="s">
        <v>46</v>
      </c>
    </row>
    <row r="4810" spans="1:9" x14ac:dyDescent="0.3">
      <c r="A4810" t="s">
        <v>14</v>
      </c>
      <c r="B4810">
        <v>1076000</v>
      </c>
      <c r="C4810">
        <v>320000</v>
      </c>
      <c r="D4810">
        <v>486000</v>
      </c>
      <c r="G4810">
        <v>44315</v>
      </c>
      <c r="H4810">
        <v>2021</v>
      </c>
      <c r="I4810" t="s">
        <v>46</v>
      </c>
    </row>
    <row r="4811" spans="1:9" x14ac:dyDescent="0.3">
      <c r="A4811" t="s">
        <v>24</v>
      </c>
      <c r="G4811">
        <v>44315</v>
      </c>
      <c r="H4811">
        <v>2021</v>
      </c>
      <c r="I4811" t="s">
        <v>46</v>
      </c>
    </row>
    <row r="4812" spans="1:9" x14ac:dyDescent="0.3">
      <c r="A4812" t="s">
        <v>21</v>
      </c>
      <c r="C4812">
        <v>54000</v>
      </c>
      <c r="G4812">
        <v>44315</v>
      </c>
      <c r="H4812">
        <v>2021</v>
      </c>
      <c r="I4812" t="s">
        <v>46</v>
      </c>
    </row>
    <row r="4813" spans="1:9" x14ac:dyDescent="0.3">
      <c r="A4813" t="s">
        <v>18</v>
      </c>
      <c r="G4813">
        <v>44315</v>
      </c>
      <c r="H4813">
        <v>2021</v>
      </c>
      <c r="I4813" t="s">
        <v>46</v>
      </c>
    </row>
    <row r="4814" spans="1:9" x14ac:dyDescent="0.3">
      <c r="A4814" t="s">
        <v>16</v>
      </c>
      <c r="B4814">
        <v>432000</v>
      </c>
      <c r="E4814">
        <v>324000</v>
      </c>
      <c r="F4814">
        <v>540000</v>
      </c>
      <c r="G4814">
        <v>44315</v>
      </c>
      <c r="H4814">
        <v>2021</v>
      </c>
      <c r="I4814" t="s">
        <v>46</v>
      </c>
    </row>
    <row r="4815" spans="1:9" x14ac:dyDescent="0.3">
      <c r="A4815" t="s">
        <v>20</v>
      </c>
      <c r="G4815">
        <v>44316</v>
      </c>
      <c r="H4815">
        <v>2021</v>
      </c>
      <c r="I4815" t="s">
        <v>46</v>
      </c>
    </row>
    <row r="4816" spans="1:9" x14ac:dyDescent="0.3">
      <c r="A4816" t="s">
        <v>37</v>
      </c>
      <c r="G4816">
        <v>44316</v>
      </c>
      <c r="H4816">
        <v>2021</v>
      </c>
      <c r="I4816" t="s">
        <v>46</v>
      </c>
    </row>
    <row r="4817" spans="1:9" x14ac:dyDescent="0.3">
      <c r="A4817" t="s">
        <v>17</v>
      </c>
      <c r="C4817">
        <v>266000</v>
      </c>
      <c r="E4817">
        <v>108000</v>
      </c>
      <c r="G4817">
        <v>44316</v>
      </c>
      <c r="H4817">
        <v>2021</v>
      </c>
      <c r="I4817" t="s">
        <v>46</v>
      </c>
    </row>
    <row r="4818" spans="1:9" x14ac:dyDescent="0.3">
      <c r="A4818" t="s">
        <v>0</v>
      </c>
      <c r="G4818">
        <v>44316</v>
      </c>
      <c r="H4818">
        <v>2021</v>
      </c>
      <c r="I4818" t="s">
        <v>46</v>
      </c>
    </row>
    <row r="4819" spans="1:9" x14ac:dyDescent="0.3">
      <c r="A4819" t="s">
        <v>25</v>
      </c>
      <c r="G4819">
        <v>44316</v>
      </c>
      <c r="H4819">
        <v>2021</v>
      </c>
      <c r="I4819" t="s">
        <v>46</v>
      </c>
    </row>
    <row r="4820" spans="1:9" x14ac:dyDescent="0.3">
      <c r="A4820" t="s">
        <v>15</v>
      </c>
      <c r="B4820">
        <v>216000</v>
      </c>
      <c r="C4820">
        <v>374000</v>
      </c>
      <c r="D4820">
        <v>315000</v>
      </c>
      <c r="E4820">
        <v>54000</v>
      </c>
      <c r="G4820">
        <v>44316</v>
      </c>
      <c r="H4820">
        <v>2021</v>
      </c>
      <c r="I4820" t="s">
        <v>46</v>
      </c>
    </row>
    <row r="4821" spans="1:9" x14ac:dyDescent="0.3">
      <c r="A4821" t="s">
        <v>54</v>
      </c>
      <c r="G4821">
        <v>44316</v>
      </c>
      <c r="H4821">
        <v>2021</v>
      </c>
      <c r="I4821" t="s">
        <v>46</v>
      </c>
    </row>
    <row r="4822" spans="1:9" x14ac:dyDescent="0.3">
      <c r="A4822" t="s">
        <v>26</v>
      </c>
      <c r="C4822">
        <v>216000</v>
      </c>
      <c r="E4822">
        <v>54000</v>
      </c>
      <c r="G4822">
        <v>44316</v>
      </c>
      <c r="H4822">
        <v>2021</v>
      </c>
      <c r="I4822" t="s">
        <v>46</v>
      </c>
    </row>
    <row r="4823" spans="1:9" x14ac:dyDescent="0.3">
      <c r="A4823" t="s">
        <v>22</v>
      </c>
      <c r="G4823">
        <v>44316</v>
      </c>
      <c r="H4823">
        <v>2021</v>
      </c>
      <c r="I4823" t="s">
        <v>46</v>
      </c>
    </row>
    <row r="4824" spans="1:9" x14ac:dyDescent="0.3">
      <c r="A4824" t="s">
        <v>19</v>
      </c>
      <c r="C4824">
        <v>428000</v>
      </c>
      <c r="E4824">
        <v>212000</v>
      </c>
      <c r="G4824">
        <v>44316</v>
      </c>
      <c r="H4824">
        <v>2021</v>
      </c>
      <c r="I4824" t="s">
        <v>46</v>
      </c>
    </row>
    <row r="4825" spans="1:9" x14ac:dyDescent="0.3">
      <c r="A4825" t="s">
        <v>14</v>
      </c>
      <c r="B4825">
        <v>1422000</v>
      </c>
      <c r="C4825">
        <v>324000</v>
      </c>
      <c r="G4825">
        <v>44316</v>
      </c>
      <c r="H4825">
        <v>2021</v>
      </c>
      <c r="I4825" t="s">
        <v>46</v>
      </c>
    </row>
    <row r="4826" spans="1:9" x14ac:dyDescent="0.3">
      <c r="A4826" t="s">
        <v>24</v>
      </c>
      <c r="G4826">
        <v>44316</v>
      </c>
      <c r="H4826">
        <v>2021</v>
      </c>
      <c r="I4826" t="s">
        <v>46</v>
      </c>
    </row>
    <row r="4827" spans="1:9" x14ac:dyDescent="0.3">
      <c r="A4827" t="s">
        <v>21</v>
      </c>
      <c r="C4827">
        <v>162000</v>
      </c>
      <c r="G4827">
        <v>44316</v>
      </c>
      <c r="H4827">
        <v>2021</v>
      </c>
      <c r="I4827" t="s">
        <v>46</v>
      </c>
    </row>
    <row r="4828" spans="1:9" x14ac:dyDescent="0.3">
      <c r="A4828" t="s">
        <v>18</v>
      </c>
      <c r="B4828">
        <v>586000</v>
      </c>
      <c r="G4828">
        <v>44316</v>
      </c>
      <c r="H4828">
        <v>2021</v>
      </c>
      <c r="I4828" t="s">
        <v>46</v>
      </c>
    </row>
    <row r="4829" spans="1:9" x14ac:dyDescent="0.3">
      <c r="A4829" t="s">
        <v>16</v>
      </c>
      <c r="F4829">
        <v>270000</v>
      </c>
      <c r="G4829">
        <v>44316</v>
      </c>
      <c r="H4829">
        <v>2021</v>
      </c>
      <c r="I4829" t="s">
        <v>46</v>
      </c>
    </row>
    <row r="4830" spans="1:9" x14ac:dyDescent="0.3">
      <c r="A4830" t="s">
        <v>20</v>
      </c>
      <c r="G4830">
        <v>44321</v>
      </c>
      <c r="H4830">
        <v>2021</v>
      </c>
      <c r="I4830" t="s">
        <v>44</v>
      </c>
    </row>
    <row r="4831" spans="1:9" x14ac:dyDescent="0.3">
      <c r="A4831" t="s">
        <v>37</v>
      </c>
      <c r="G4831">
        <v>44321</v>
      </c>
      <c r="H4831">
        <v>2021</v>
      </c>
      <c r="I4831" t="s">
        <v>44</v>
      </c>
    </row>
    <row r="4832" spans="1:9" x14ac:dyDescent="0.3">
      <c r="A4832" t="s">
        <v>17</v>
      </c>
      <c r="C4832">
        <v>162000</v>
      </c>
      <c r="G4832">
        <v>44321</v>
      </c>
      <c r="H4832">
        <v>2021</v>
      </c>
      <c r="I4832" t="s">
        <v>44</v>
      </c>
    </row>
    <row r="4833" spans="1:9" x14ac:dyDescent="0.3">
      <c r="A4833" t="s">
        <v>0</v>
      </c>
      <c r="C4833">
        <v>540000</v>
      </c>
      <c r="G4833">
        <v>44321</v>
      </c>
      <c r="H4833">
        <v>2021</v>
      </c>
      <c r="I4833" t="s">
        <v>44</v>
      </c>
    </row>
    <row r="4834" spans="1:9" x14ac:dyDescent="0.3">
      <c r="A4834" t="s">
        <v>25</v>
      </c>
      <c r="G4834">
        <v>44321</v>
      </c>
      <c r="H4834">
        <v>2021</v>
      </c>
      <c r="I4834" t="s">
        <v>44</v>
      </c>
    </row>
    <row r="4835" spans="1:9" x14ac:dyDescent="0.3">
      <c r="A4835" t="s">
        <v>15</v>
      </c>
      <c r="B4835">
        <v>864000</v>
      </c>
      <c r="C4835">
        <v>162000</v>
      </c>
      <c r="D4835">
        <v>648000</v>
      </c>
      <c r="E4835">
        <v>108000</v>
      </c>
      <c r="G4835">
        <v>44321</v>
      </c>
      <c r="H4835">
        <v>2021</v>
      </c>
      <c r="I4835" t="s">
        <v>44</v>
      </c>
    </row>
    <row r="4836" spans="1:9" x14ac:dyDescent="0.3">
      <c r="A4836" t="s">
        <v>54</v>
      </c>
      <c r="G4836">
        <v>44321</v>
      </c>
      <c r="H4836">
        <v>2021</v>
      </c>
      <c r="I4836" t="s">
        <v>44</v>
      </c>
    </row>
    <row r="4837" spans="1:9" x14ac:dyDescent="0.3">
      <c r="A4837" t="s">
        <v>26</v>
      </c>
      <c r="C4837">
        <v>54000</v>
      </c>
      <c r="G4837">
        <v>44321</v>
      </c>
      <c r="H4837">
        <v>2021</v>
      </c>
      <c r="I4837" t="s">
        <v>44</v>
      </c>
    </row>
    <row r="4838" spans="1:9" x14ac:dyDescent="0.3">
      <c r="A4838" t="s">
        <v>22</v>
      </c>
      <c r="G4838">
        <v>44321</v>
      </c>
      <c r="H4838">
        <v>2021</v>
      </c>
      <c r="I4838" t="s">
        <v>44</v>
      </c>
    </row>
    <row r="4839" spans="1:9" x14ac:dyDescent="0.3">
      <c r="A4839" t="s">
        <v>19</v>
      </c>
      <c r="B4839">
        <v>100000</v>
      </c>
      <c r="C4839">
        <v>216000</v>
      </c>
      <c r="E4839">
        <v>108000</v>
      </c>
      <c r="G4839">
        <v>44321</v>
      </c>
      <c r="H4839">
        <v>2021</v>
      </c>
      <c r="I4839" t="s">
        <v>44</v>
      </c>
    </row>
    <row r="4840" spans="1:9" x14ac:dyDescent="0.3">
      <c r="A4840" t="s">
        <v>14</v>
      </c>
      <c r="C4840">
        <v>256000</v>
      </c>
      <c r="G4840">
        <v>44321</v>
      </c>
      <c r="H4840">
        <v>2021</v>
      </c>
      <c r="I4840" t="s">
        <v>44</v>
      </c>
    </row>
    <row r="4841" spans="1:9" x14ac:dyDescent="0.3">
      <c r="A4841" t="s">
        <v>24</v>
      </c>
      <c r="G4841">
        <v>44321</v>
      </c>
      <c r="H4841">
        <v>2021</v>
      </c>
      <c r="I4841" t="s">
        <v>44</v>
      </c>
    </row>
    <row r="4842" spans="1:9" x14ac:dyDescent="0.3">
      <c r="A4842" t="s">
        <v>21</v>
      </c>
      <c r="C4842">
        <v>54000</v>
      </c>
      <c r="G4842">
        <v>44321</v>
      </c>
      <c r="H4842">
        <v>2021</v>
      </c>
      <c r="I4842" t="s">
        <v>44</v>
      </c>
    </row>
    <row r="4843" spans="1:9" x14ac:dyDescent="0.3">
      <c r="A4843" t="s">
        <v>18</v>
      </c>
      <c r="B4843">
        <v>540000</v>
      </c>
      <c r="G4843">
        <v>44321</v>
      </c>
      <c r="H4843">
        <v>2021</v>
      </c>
      <c r="I4843" t="s">
        <v>44</v>
      </c>
    </row>
    <row r="4844" spans="1:9" x14ac:dyDescent="0.3">
      <c r="A4844" t="s">
        <v>16</v>
      </c>
      <c r="B4844">
        <v>95000</v>
      </c>
      <c r="G4844">
        <v>44321</v>
      </c>
      <c r="H4844">
        <v>2021</v>
      </c>
      <c r="I4844" t="s">
        <v>44</v>
      </c>
    </row>
    <row r="4845" spans="1:9" x14ac:dyDescent="0.3">
      <c r="A4845" t="s">
        <v>20</v>
      </c>
      <c r="G4845">
        <v>44322</v>
      </c>
      <c r="H4845">
        <v>2021</v>
      </c>
      <c r="I4845" t="s">
        <v>44</v>
      </c>
    </row>
    <row r="4846" spans="1:9" x14ac:dyDescent="0.3">
      <c r="A4846" t="s">
        <v>37</v>
      </c>
      <c r="G4846">
        <v>44322</v>
      </c>
      <c r="H4846">
        <v>2021</v>
      </c>
      <c r="I4846" t="s">
        <v>44</v>
      </c>
    </row>
    <row r="4847" spans="1:9" x14ac:dyDescent="0.3">
      <c r="A4847" t="s">
        <v>17</v>
      </c>
      <c r="C4847">
        <v>261000</v>
      </c>
      <c r="E4847">
        <v>162000</v>
      </c>
      <c r="G4847">
        <v>44322</v>
      </c>
      <c r="H4847">
        <v>2021</v>
      </c>
      <c r="I4847" t="s">
        <v>44</v>
      </c>
    </row>
    <row r="4848" spans="1:9" x14ac:dyDescent="0.3">
      <c r="A4848" t="s">
        <v>0</v>
      </c>
      <c r="C4848">
        <v>859500</v>
      </c>
      <c r="G4848">
        <v>44322</v>
      </c>
      <c r="H4848">
        <v>2021</v>
      </c>
      <c r="I4848" t="s">
        <v>44</v>
      </c>
    </row>
    <row r="4849" spans="1:9" x14ac:dyDescent="0.3">
      <c r="A4849" t="s">
        <v>25</v>
      </c>
      <c r="G4849">
        <v>44322</v>
      </c>
      <c r="H4849">
        <v>2021</v>
      </c>
      <c r="I4849" t="s">
        <v>44</v>
      </c>
    </row>
    <row r="4850" spans="1:9" x14ac:dyDescent="0.3">
      <c r="A4850" t="s">
        <v>15</v>
      </c>
      <c r="B4850">
        <v>590000</v>
      </c>
      <c r="C4850">
        <v>216000</v>
      </c>
      <c r="D4850">
        <v>50000</v>
      </c>
      <c r="E4850">
        <v>216000</v>
      </c>
      <c r="G4850">
        <v>44322</v>
      </c>
      <c r="H4850">
        <v>2021</v>
      </c>
      <c r="I4850" t="s">
        <v>44</v>
      </c>
    </row>
    <row r="4851" spans="1:9" x14ac:dyDescent="0.3">
      <c r="A4851" t="s">
        <v>54</v>
      </c>
      <c r="G4851">
        <v>44322</v>
      </c>
      <c r="H4851">
        <v>2021</v>
      </c>
      <c r="I4851" t="s">
        <v>44</v>
      </c>
    </row>
    <row r="4852" spans="1:9" x14ac:dyDescent="0.3">
      <c r="A4852" t="s">
        <v>26</v>
      </c>
      <c r="G4852">
        <v>44322</v>
      </c>
      <c r="H4852">
        <v>2021</v>
      </c>
      <c r="I4852" t="s">
        <v>44</v>
      </c>
    </row>
    <row r="4853" spans="1:9" x14ac:dyDescent="0.3">
      <c r="A4853" t="s">
        <v>22</v>
      </c>
      <c r="G4853">
        <v>44322</v>
      </c>
      <c r="H4853">
        <v>2021</v>
      </c>
      <c r="I4853" t="s">
        <v>44</v>
      </c>
    </row>
    <row r="4854" spans="1:9" x14ac:dyDescent="0.3">
      <c r="A4854" t="s">
        <v>19</v>
      </c>
      <c r="C4854">
        <v>216000</v>
      </c>
      <c r="E4854">
        <v>108000</v>
      </c>
      <c r="G4854">
        <v>44322</v>
      </c>
      <c r="H4854">
        <v>2021</v>
      </c>
      <c r="I4854" t="s">
        <v>44</v>
      </c>
    </row>
    <row r="4855" spans="1:9" x14ac:dyDescent="0.3">
      <c r="A4855" t="s">
        <v>14</v>
      </c>
      <c r="G4855">
        <v>44322</v>
      </c>
      <c r="H4855">
        <v>2021</v>
      </c>
      <c r="I4855" t="s">
        <v>44</v>
      </c>
    </row>
    <row r="4856" spans="1:9" x14ac:dyDescent="0.3">
      <c r="A4856" t="s">
        <v>24</v>
      </c>
      <c r="G4856">
        <v>44322</v>
      </c>
      <c r="H4856">
        <v>2021</v>
      </c>
      <c r="I4856" t="s">
        <v>44</v>
      </c>
    </row>
    <row r="4857" spans="1:9" x14ac:dyDescent="0.3">
      <c r="A4857" t="s">
        <v>21</v>
      </c>
      <c r="C4857">
        <v>49500</v>
      </c>
      <c r="G4857">
        <v>44322</v>
      </c>
      <c r="H4857">
        <v>2021</v>
      </c>
      <c r="I4857" t="s">
        <v>44</v>
      </c>
    </row>
    <row r="4858" spans="1:9" x14ac:dyDescent="0.3">
      <c r="A4858" t="s">
        <v>18</v>
      </c>
      <c r="G4858">
        <v>44322</v>
      </c>
      <c r="H4858">
        <v>2021</v>
      </c>
      <c r="I4858" t="s">
        <v>44</v>
      </c>
    </row>
    <row r="4859" spans="1:9" x14ac:dyDescent="0.3">
      <c r="A4859" t="s">
        <v>16</v>
      </c>
      <c r="B4859">
        <v>902000</v>
      </c>
      <c r="D4859">
        <v>104000</v>
      </c>
      <c r="G4859">
        <v>44322</v>
      </c>
      <c r="H4859">
        <v>2021</v>
      </c>
      <c r="I4859" t="s">
        <v>44</v>
      </c>
    </row>
    <row r="4860" spans="1:9" x14ac:dyDescent="0.3">
      <c r="A4860" t="s">
        <v>20</v>
      </c>
      <c r="G4860">
        <v>44323</v>
      </c>
      <c r="H4860">
        <v>2021</v>
      </c>
      <c r="I4860" t="s">
        <v>44</v>
      </c>
    </row>
    <row r="4861" spans="1:9" x14ac:dyDescent="0.3">
      <c r="A4861" t="s">
        <v>37</v>
      </c>
      <c r="C4861">
        <v>54000</v>
      </c>
      <c r="G4861">
        <v>44323</v>
      </c>
      <c r="H4861">
        <v>2021</v>
      </c>
      <c r="I4861" t="s">
        <v>44</v>
      </c>
    </row>
    <row r="4862" spans="1:9" x14ac:dyDescent="0.3">
      <c r="A4862" t="s">
        <v>17</v>
      </c>
      <c r="C4862">
        <v>153000</v>
      </c>
      <c r="E4862">
        <v>108000</v>
      </c>
      <c r="G4862">
        <v>44323</v>
      </c>
      <c r="H4862">
        <v>2021</v>
      </c>
      <c r="I4862" t="s">
        <v>44</v>
      </c>
    </row>
    <row r="4863" spans="1:9" x14ac:dyDescent="0.3">
      <c r="A4863" t="s">
        <v>0</v>
      </c>
      <c r="C4863">
        <v>256500</v>
      </c>
      <c r="G4863">
        <v>44323</v>
      </c>
      <c r="H4863">
        <v>2021</v>
      </c>
      <c r="I4863" t="s">
        <v>44</v>
      </c>
    </row>
    <row r="4864" spans="1:9" x14ac:dyDescent="0.3">
      <c r="A4864" t="s">
        <v>25</v>
      </c>
      <c r="C4864">
        <v>108000</v>
      </c>
      <c r="G4864">
        <v>44323</v>
      </c>
      <c r="H4864">
        <v>2021</v>
      </c>
      <c r="I4864" t="s">
        <v>44</v>
      </c>
    </row>
    <row r="4865" spans="1:9" x14ac:dyDescent="0.3">
      <c r="A4865" t="s">
        <v>15</v>
      </c>
      <c r="B4865">
        <v>806000</v>
      </c>
      <c r="C4865">
        <v>108000</v>
      </c>
      <c r="E4865">
        <v>270000</v>
      </c>
      <c r="G4865">
        <v>44323</v>
      </c>
      <c r="H4865">
        <v>2021</v>
      </c>
      <c r="I4865" t="s">
        <v>44</v>
      </c>
    </row>
    <row r="4866" spans="1:9" x14ac:dyDescent="0.3">
      <c r="A4866" t="s">
        <v>54</v>
      </c>
      <c r="G4866">
        <v>44323</v>
      </c>
      <c r="H4866">
        <v>2021</v>
      </c>
      <c r="I4866" t="s">
        <v>44</v>
      </c>
    </row>
    <row r="4867" spans="1:9" x14ac:dyDescent="0.3">
      <c r="A4867" t="s">
        <v>26</v>
      </c>
      <c r="C4867">
        <v>103500</v>
      </c>
      <c r="E4867">
        <v>54000</v>
      </c>
      <c r="G4867">
        <v>44323</v>
      </c>
      <c r="H4867">
        <v>2021</v>
      </c>
      <c r="I4867" t="s">
        <v>44</v>
      </c>
    </row>
    <row r="4868" spans="1:9" x14ac:dyDescent="0.3">
      <c r="A4868" t="s">
        <v>22</v>
      </c>
      <c r="G4868">
        <v>44323</v>
      </c>
      <c r="H4868">
        <v>2021</v>
      </c>
      <c r="I4868" t="s">
        <v>44</v>
      </c>
    </row>
    <row r="4869" spans="1:9" x14ac:dyDescent="0.3">
      <c r="A4869" t="s">
        <v>19</v>
      </c>
      <c r="B4869">
        <v>585000</v>
      </c>
      <c r="C4869">
        <v>756000</v>
      </c>
      <c r="E4869">
        <v>162000</v>
      </c>
      <c r="G4869">
        <v>44323</v>
      </c>
      <c r="H4869">
        <v>2021</v>
      </c>
      <c r="I4869" t="s">
        <v>44</v>
      </c>
    </row>
    <row r="4870" spans="1:9" x14ac:dyDescent="0.3">
      <c r="A4870" t="s">
        <v>14</v>
      </c>
      <c r="C4870">
        <v>162000</v>
      </c>
      <c r="G4870">
        <v>44323</v>
      </c>
      <c r="H4870">
        <v>2021</v>
      </c>
      <c r="I4870" t="s">
        <v>44</v>
      </c>
    </row>
    <row r="4871" spans="1:9" x14ac:dyDescent="0.3">
      <c r="A4871" t="s">
        <v>24</v>
      </c>
      <c r="G4871">
        <v>44323</v>
      </c>
      <c r="H4871">
        <v>2021</v>
      </c>
      <c r="I4871" t="s">
        <v>44</v>
      </c>
    </row>
    <row r="4872" spans="1:9" x14ac:dyDescent="0.3">
      <c r="A4872" t="s">
        <v>21</v>
      </c>
      <c r="C4872">
        <v>54000</v>
      </c>
      <c r="G4872">
        <v>44323</v>
      </c>
      <c r="H4872">
        <v>2021</v>
      </c>
      <c r="I4872" t="s">
        <v>44</v>
      </c>
    </row>
    <row r="4873" spans="1:9" x14ac:dyDescent="0.3">
      <c r="A4873" t="s">
        <v>18</v>
      </c>
      <c r="G4873">
        <v>44323</v>
      </c>
      <c r="H4873">
        <v>2021</v>
      </c>
      <c r="I4873" t="s">
        <v>44</v>
      </c>
    </row>
    <row r="4874" spans="1:9" x14ac:dyDescent="0.3">
      <c r="A4874" t="s">
        <v>16</v>
      </c>
      <c r="B4874">
        <v>45000</v>
      </c>
      <c r="D4874">
        <v>644000</v>
      </c>
      <c r="E4874">
        <v>54000</v>
      </c>
      <c r="G4874">
        <v>44323</v>
      </c>
      <c r="H4874">
        <v>2021</v>
      </c>
      <c r="I4874" t="s">
        <v>44</v>
      </c>
    </row>
    <row r="4875" spans="1:9" x14ac:dyDescent="0.3">
      <c r="A4875" t="s">
        <v>20</v>
      </c>
      <c r="G4875">
        <v>44326</v>
      </c>
      <c r="H4875">
        <v>2021</v>
      </c>
      <c r="I4875" t="s">
        <v>44</v>
      </c>
    </row>
    <row r="4876" spans="1:9" x14ac:dyDescent="0.3">
      <c r="A4876" t="s">
        <v>37</v>
      </c>
      <c r="C4876">
        <v>146000</v>
      </c>
      <c r="G4876">
        <v>44326</v>
      </c>
      <c r="H4876">
        <v>2021</v>
      </c>
      <c r="I4876" t="s">
        <v>44</v>
      </c>
    </row>
    <row r="4877" spans="1:9" x14ac:dyDescent="0.3">
      <c r="A4877" t="s">
        <v>17</v>
      </c>
      <c r="C4877">
        <v>216000</v>
      </c>
      <c r="E4877">
        <v>162000</v>
      </c>
      <c r="G4877">
        <v>44326</v>
      </c>
      <c r="H4877">
        <v>2021</v>
      </c>
      <c r="I4877" t="s">
        <v>44</v>
      </c>
    </row>
    <row r="4878" spans="1:9" x14ac:dyDescent="0.3">
      <c r="A4878" t="s">
        <v>0</v>
      </c>
      <c r="C4878">
        <v>733500</v>
      </c>
      <c r="E4878">
        <v>45000</v>
      </c>
      <c r="G4878">
        <v>44326</v>
      </c>
      <c r="H4878">
        <v>2021</v>
      </c>
      <c r="I4878" t="s">
        <v>44</v>
      </c>
    </row>
    <row r="4879" spans="1:9" x14ac:dyDescent="0.3">
      <c r="A4879" t="s">
        <v>25</v>
      </c>
      <c r="C4879">
        <v>45000</v>
      </c>
      <c r="G4879">
        <v>44326</v>
      </c>
      <c r="H4879">
        <v>2021</v>
      </c>
      <c r="I4879" t="s">
        <v>44</v>
      </c>
    </row>
    <row r="4880" spans="1:9" x14ac:dyDescent="0.3">
      <c r="A4880" t="s">
        <v>15</v>
      </c>
      <c r="C4880">
        <v>54000</v>
      </c>
      <c r="D4880">
        <v>54000</v>
      </c>
      <c r="E4880">
        <v>54000</v>
      </c>
      <c r="G4880">
        <v>44326</v>
      </c>
      <c r="H4880">
        <v>2021</v>
      </c>
      <c r="I4880" t="s">
        <v>44</v>
      </c>
    </row>
    <row r="4881" spans="1:9" x14ac:dyDescent="0.3">
      <c r="A4881" t="s">
        <v>54</v>
      </c>
      <c r="G4881">
        <v>44326</v>
      </c>
      <c r="H4881">
        <v>2021</v>
      </c>
      <c r="I4881" t="s">
        <v>44</v>
      </c>
    </row>
    <row r="4882" spans="1:9" x14ac:dyDescent="0.3">
      <c r="A4882" t="s">
        <v>26</v>
      </c>
      <c r="G4882">
        <v>44326</v>
      </c>
      <c r="H4882">
        <v>2021</v>
      </c>
      <c r="I4882" t="s">
        <v>44</v>
      </c>
    </row>
    <row r="4883" spans="1:9" x14ac:dyDescent="0.3">
      <c r="A4883" t="s">
        <v>22</v>
      </c>
      <c r="G4883">
        <v>44326</v>
      </c>
      <c r="H4883">
        <v>2021</v>
      </c>
      <c r="I4883" t="s">
        <v>44</v>
      </c>
    </row>
    <row r="4884" spans="1:9" x14ac:dyDescent="0.3">
      <c r="A4884" t="s">
        <v>19</v>
      </c>
      <c r="B4884">
        <v>1332000</v>
      </c>
      <c r="F4884">
        <v>540000</v>
      </c>
      <c r="G4884">
        <v>44326</v>
      </c>
      <c r="H4884">
        <v>2021</v>
      </c>
      <c r="I4884" t="s">
        <v>44</v>
      </c>
    </row>
    <row r="4885" spans="1:9" x14ac:dyDescent="0.3">
      <c r="A4885" t="s">
        <v>14</v>
      </c>
      <c r="C4885">
        <v>54000</v>
      </c>
      <c r="E4885">
        <v>50000</v>
      </c>
      <c r="G4885">
        <v>44326</v>
      </c>
      <c r="H4885">
        <v>2021</v>
      </c>
      <c r="I4885" t="s">
        <v>44</v>
      </c>
    </row>
    <row r="4886" spans="1:9" x14ac:dyDescent="0.3">
      <c r="A4886" t="s">
        <v>24</v>
      </c>
      <c r="G4886">
        <v>44326</v>
      </c>
      <c r="H4886">
        <v>2021</v>
      </c>
      <c r="I4886" t="s">
        <v>44</v>
      </c>
    </row>
    <row r="4887" spans="1:9" x14ac:dyDescent="0.3">
      <c r="A4887" t="s">
        <v>21</v>
      </c>
      <c r="C4887">
        <v>54000</v>
      </c>
      <c r="G4887">
        <v>44326</v>
      </c>
      <c r="H4887">
        <v>2021</v>
      </c>
      <c r="I4887" t="s">
        <v>44</v>
      </c>
    </row>
    <row r="4888" spans="1:9" x14ac:dyDescent="0.3">
      <c r="A4888" t="s">
        <v>18</v>
      </c>
      <c r="G4888">
        <v>44326</v>
      </c>
      <c r="H4888">
        <v>2021</v>
      </c>
      <c r="I4888" t="s">
        <v>44</v>
      </c>
    </row>
    <row r="4889" spans="1:9" x14ac:dyDescent="0.3">
      <c r="A4889" t="s">
        <v>16</v>
      </c>
      <c r="B4889">
        <v>50000</v>
      </c>
      <c r="C4889">
        <v>54000</v>
      </c>
      <c r="D4889">
        <v>99000</v>
      </c>
      <c r="E4889">
        <v>50000</v>
      </c>
      <c r="G4889">
        <v>44326</v>
      </c>
      <c r="H4889">
        <v>2021</v>
      </c>
      <c r="I4889" t="s">
        <v>44</v>
      </c>
    </row>
    <row r="4890" spans="1:9" x14ac:dyDescent="0.3">
      <c r="A4890" t="s">
        <v>20</v>
      </c>
      <c r="G4890">
        <v>44327</v>
      </c>
      <c r="H4890">
        <v>2021</v>
      </c>
      <c r="I4890" t="s">
        <v>44</v>
      </c>
    </row>
    <row r="4891" spans="1:9" x14ac:dyDescent="0.3">
      <c r="A4891" t="s">
        <v>37</v>
      </c>
      <c r="C4891">
        <v>270000</v>
      </c>
      <c r="G4891">
        <v>44327</v>
      </c>
      <c r="H4891">
        <v>2021</v>
      </c>
      <c r="I4891" t="s">
        <v>44</v>
      </c>
    </row>
    <row r="4892" spans="1:9" x14ac:dyDescent="0.3">
      <c r="A4892" t="s">
        <v>17</v>
      </c>
      <c r="C4892">
        <v>153000</v>
      </c>
      <c r="G4892">
        <v>44327</v>
      </c>
      <c r="H4892">
        <v>2021</v>
      </c>
      <c r="I4892" t="s">
        <v>44</v>
      </c>
    </row>
    <row r="4893" spans="1:9" x14ac:dyDescent="0.3">
      <c r="A4893" t="s">
        <v>0</v>
      </c>
      <c r="C4893">
        <v>540000</v>
      </c>
      <c r="G4893">
        <v>44327</v>
      </c>
      <c r="H4893">
        <v>2021</v>
      </c>
      <c r="I4893" t="s">
        <v>44</v>
      </c>
    </row>
    <row r="4894" spans="1:9" x14ac:dyDescent="0.3">
      <c r="A4894" t="s">
        <v>25</v>
      </c>
      <c r="G4894">
        <v>44327</v>
      </c>
      <c r="H4894">
        <v>2021</v>
      </c>
      <c r="I4894" t="s">
        <v>44</v>
      </c>
    </row>
    <row r="4895" spans="1:9" x14ac:dyDescent="0.3">
      <c r="A4895" t="s">
        <v>15</v>
      </c>
      <c r="C4895">
        <v>107500</v>
      </c>
      <c r="G4895">
        <v>44327</v>
      </c>
      <c r="H4895">
        <v>2021</v>
      </c>
      <c r="I4895" t="s">
        <v>44</v>
      </c>
    </row>
    <row r="4896" spans="1:9" x14ac:dyDescent="0.3">
      <c r="A4896" t="s">
        <v>54</v>
      </c>
      <c r="B4896">
        <v>1562000</v>
      </c>
      <c r="G4896">
        <v>44327</v>
      </c>
      <c r="H4896">
        <v>2021</v>
      </c>
      <c r="I4896" t="s">
        <v>44</v>
      </c>
    </row>
    <row r="4897" spans="1:9" x14ac:dyDescent="0.3">
      <c r="A4897" t="s">
        <v>26</v>
      </c>
      <c r="C4897">
        <v>108000</v>
      </c>
      <c r="G4897">
        <v>44327</v>
      </c>
      <c r="H4897">
        <v>2021</v>
      </c>
      <c r="I4897" t="s">
        <v>44</v>
      </c>
    </row>
    <row r="4898" spans="1:9" x14ac:dyDescent="0.3">
      <c r="A4898" t="s">
        <v>22</v>
      </c>
      <c r="G4898">
        <v>44327</v>
      </c>
      <c r="H4898">
        <v>2021</v>
      </c>
      <c r="I4898" t="s">
        <v>44</v>
      </c>
    </row>
    <row r="4899" spans="1:9" x14ac:dyDescent="0.3">
      <c r="A4899" t="s">
        <v>19</v>
      </c>
      <c r="B4899">
        <v>162000</v>
      </c>
      <c r="C4899">
        <v>54000</v>
      </c>
      <c r="F4899">
        <v>540000</v>
      </c>
      <c r="G4899">
        <v>44327</v>
      </c>
      <c r="H4899">
        <v>2021</v>
      </c>
      <c r="I4899" t="s">
        <v>44</v>
      </c>
    </row>
    <row r="4900" spans="1:9" x14ac:dyDescent="0.3">
      <c r="A4900" t="s">
        <v>14</v>
      </c>
      <c r="C4900">
        <v>378000</v>
      </c>
      <c r="G4900">
        <v>44327</v>
      </c>
      <c r="H4900">
        <v>2021</v>
      </c>
      <c r="I4900" t="s">
        <v>44</v>
      </c>
    </row>
    <row r="4901" spans="1:9" x14ac:dyDescent="0.3">
      <c r="A4901" t="s">
        <v>24</v>
      </c>
      <c r="G4901">
        <v>44327</v>
      </c>
      <c r="H4901">
        <v>2021</v>
      </c>
      <c r="I4901" t="s">
        <v>44</v>
      </c>
    </row>
    <row r="4902" spans="1:9" x14ac:dyDescent="0.3">
      <c r="A4902" t="s">
        <v>21</v>
      </c>
      <c r="G4902">
        <v>44327</v>
      </c>
      <c r="H4902">
        <v>2021</v>
      </c>
      <c r="I4902" t="s">
        <v>44</v>
      </c>
    </row>
    <row r="4903" spans="1:9" x14ac:dyDescent="0.3">
      <c r="A4903" t="s">
        <v>18</v>
      </c>
      <c r="G4903">
        <v>44327</v>
      </c>
      <c r="H4903">
        <v>2021</v>
      </c>
      <c r="I4903" t="s">
        <v>44</v>
      </c>
    </row>
    <row r="4904" spans="1:9" x14ac:dyDescent="0.3">
      <c r="A4904" t="s">
        <v>16</v>
      </c>
      <c r="C4904">
        <v>107000</v>
      </c>
      <c r="G4904">
        <v>44327</v>
      </c>
      <c r="H4904">
        <v>2021</v>
      </c>
      <c r="I4904" t="s">
        <v>44</v>
      </c>
    </row>
    <row r="4905" spans="1:9" x14ac:dyDescent="0.3">
      <c r="A4905" t="s">
        <v>20</v>
      </c>
      <c r="G4905">
        <v>44328</v>
      </c>
      <c r="H4905">
        <v>2021</v>
      </c>
      <c r="I4905" t="s">
        <v>44</v>
      </c>
    </row>
    <row r="4906" spans="1:9" x14ac:dyDescent="0.3">
      <c r="A4906" t="s">
        <v>37</v>
      </c>
      <c r="C4906">
        <v>103500</v>
      </c>
      <c r="G4906">
        <v>44328</v>
      </c>
      <c r="H4906">
        <v>2021</v>
      </c>
      <c r="I4906" t="s">
        <v>44</v>
      </c>
    </row>
    <row r="4907" spans="1:9" x14ac:dyDescent="0.3">
      <c r="A4907" t="s">
        <v>17</v>
      </c>
      <c r="B4907">
        <v>45000</v>
      </c>
      <c r="C4907">
        <v>431000</v>
      </c>
      <c r="G4907">
        <v>44328</v>
      </c>
      <c r="H4907">
        <v>2021</v>
      </c>
      <c r="I4907" t="s">
        <v>44</v>
      </c>
    </row>
    <row r="4908" spans="1:9" x14ac:dyDescent="0.3">
      <c r="A4908" t="s">
        <v>0</v>
      </c>
      <c r="G4908">
        <v>44328</v>
      </c>
      <c r="H4908">
        <v>2021</v>
      </c>
      <c r="I4908" t="s">
        <v>44</v>
      </c>
    </row>
    <row r="4909" spans="1:9" x14ac:dyDescent="0.3">
      <c r="A4909" t="s">
        <v>25</v>
      </c>
      <c r="C4909">
        <v>270000</v>
      </c>
      <c r="G4909">
        <v>44328</v>
      </c>
      <c r="H4909">
        <v>2021</v>
      </c>
      <c r="I4909" t="s">
        <v>44</v>
      </c>
    </row>
    <row r="4910" spans="1:9" x14ac:dyDescent="0.3">
      <c r="A4910" t="s">
        <v>15</v>
      </c>
      <c r="C4910">
        <v>162000</v>
      </c>
      <c r="D4910">
        <v>54000</v>
      </c>
      <c r="G4910">
        <v>44328</v>
      </c>
      <c r="H4910">
        <v>2021</v>
      </c>
      <c r="I4910" t="s">
        <v>44</v>
      </c>
    </row>
    <row r="4911" spans="1:9" x14ac:dyDescent="0.3">
      <c r="A4911" t="s">
        <v>54</v>
      </c>
      <c r="B4911">
        <v>747000</v>
      </c>
      <c r="G4911">
        <v>44328</v>
      </c>
      <c r="H4911">
        <v>2021</v>
      </c>
      <c r="I4911" t="s">
        <v>44</v>
      </c>
    </row>
    <row r="4912" spans="1:9" x14ac:dyDescent="0.3">
      <c r="A4912" t="s">
        <v>26</v>
      </c>
      <c r="B4912">
        <v>270000</v>
      </c>
      <c r="C4912">
        <v>54000</v>
      </c>
      <c r="D4912">
        <v>806000</v>
      </c>
      <c r="G4912">
        <v>44328</v>
      </c>
      <c r="H4912">
        <v>2021</v>
      </c>
      <c r="I4912" t="s">
        <v>44</v>
      </c>
    </row>
    <row r="4913" spans="1:9" x14ac:dyDescent="0.3">
      <c r="A4913" t="s">
        <v>22</v>
      </c>
      <c r="G4913">
        <v>44328</v>
      </c>
      <c r="H4913">
        <v>2021</v>
      </c>
      <c r="I4913" t="s">
        <v>44</v>
      </c>
    </row>
    <row r="4914" spans="1:9" x14ac:dyDescent="0.3">
      <c r="A4914" t="s">
        <v>61</v>
      </c>
      <c r="G4914">
        <v>44328</v>
      </c>
      <c r="H4914">
        <v>2021</v>
      </c>
      <c r="I4914" t="s">
        <v>44</v>
      </c>
    </row>
    <row r="4915" spans="1:9" x14ac:dyDescent="0.3">
      <c r="A4915" t="s">
        <v>19</v>
      </c>
      <c r="C4915">
        <v>216000</v>
      </c>
      <c r="F4915">
        <v>486000</v>
      </c>
      <c r="G4915">
        <v>44328</v>
      </c>
      <c r="H4915">
        <v>2021</v>
      </c>
      <c r="I4915" t="s">
        <v>44</v>
      </c>
    </row>
    <row r="4916" spans="1:9" x14ac:dyDescent="0.3">
      <c r="A4916" t="s">
        <v>14</v>
      </c>
      <c r="C4916">
        <v>265500</v>
      </c>
      <c r="G4916">
        <v>44328</v>
      </c>
      <c r="H4916">
        <v>2021</v>
      </c>
      <c r="I4916" t="s">
        <v>44</v>
      </c>
    </row>
    <row r="4917" spans="1:9" x14ac:dyDescent="0.3">
      <c r="A4917" t="s">
        <v>24</v>
      </c>
      <c r="G4917">
        <v>44328</v>
      </c>
      <c r="H4917">
        <v>2021</v>
      </c>
      <c r="I4917" t="s">
        <v>44</v>
      </c>
    </row>
    <row r="4918" spans="1:9" x14ac:dyDescent="0.3">
      <c r="A4918" t="s">
        <v>21</v>
      </c>
      <c r="C4918">
        <v>54000</v>
      </c>
      <c r="G4918">
        <v>44328</v>
      </c>
      <c r="H4918">
        <v>2021</v>
      </c>
      <c r="I4918" t="s">
        <v>44</v>
      </c>
    </row>
    <row r="4919" spans="1:9" x14ac:dyDescent="0.3">
      <c r="A4919" t="s">
        <v>18</v>
      </c>
      <c r="G4919">
        <v>44328</v>
      </c>
      <c r="H4919">
        <v>2021</v>
      </c>
      <c r="I4919" t="s">
        <v>44</v>
      </c>
    </row>
    <row r="4920" spans="1:9" x14ac:dyDescent="0.3">
      <c r="A4920" t="s">
        <v>16</v>
      </c>
      <c r="C4920">
        <v>270000</v>
      </c>
      <c r="G4920">
        <v>44328</v>
      </c>
      <c r="H4920">
        <v>2021</v>
      </c>
      <c r="I4920" t="s">
        <v>44</v>
      </c>
    </row>
    <row r="4921" spans="1:9" x14ac:dyDescent="0.3">
      <c r="A4921" t="s">
        <v>20</v>
      </c>
      <c r="G4921">
        <v>44330</v>
      </c>
      <c r="H4921">
        <v>2021</v>
      </c>
      <c r="I4921" t="s">
        <v>44</v>
      </c>
    </row>
    <row r="4922" spans="1:9" x14ac:dyDescent="0.3">
      <c r="A4922" t="s">
        <v>37</v>
      </c>
      <c r="C4922">
        <v>54000</v>
      </c>
      <c r="G4922">
        <v>44330</v>
      </c>
      <c r="H4922">
        <v>2021</v>
      </c>
      <c r="I4922" t="s">
        <v>44</v>
      </c>
    </row>
    <row r="4923" spans="1:9" x14ac:dyDescent="0.3">
      <c r="A4923" t="s">
        <v>17</v>
      </c>
      <c r="B4923">
        <v>108000</v>
      </c>
      <c r="C4923">
        <v>432000</v>
      </c>
      <c r="F4923">
        <v>162000</v>
      </c>
      <c r="G4923">
        <v>44330</v>
      </c>
      <c r="H4923">
        <v>2021</v>
      </c>
      <c r="I4923" t="s">
        <v>44</v>
      </c>
    </row>
    <row r="4924" spans="1:9" x14ac:dyDescent="0.3">
      <c r="A4924" t="s">
        <v>0</v>
      </c>
      <c r="C4924">
        <v>270000</v>
      </c>
      <c r="G4924">
        <v>44330</v>
      </c>
      <c r="H4924">
        <v>2021</v>
      </c>
      <c r="I4924" t="s">
        <v>44</v>
      </c>
    </row>
    <row r="4925" spans="1:9" x14ac:dyDescent="0.3">
      <c r="A4925" t="s">
        <v>25</v>
      </c>
      <c r="C4925">
        <v>108000</v>
      </c>
      <c r="G4925">
        <v>44330</v>
      </c>
      <c r="H4925">
        <v>2021</v>
      </c>
      <c r="I4925" t="s">
        <v>44</v>
      </c>
    </row>
    <row r="4926" spans="1:9" x14ac:dyDescent="0.3">
      <c r="A4926" t="s">
        <v>15</v>
      </c>
      <c r="C4926">
        <v>54000</v>
      </c>
      <c r="G4926">
        <v>44330</v>
      </c>
      <c r="H4926">
        <v>2021</v>
      </c>
      <c r="I4926" t="s">
        <v>44</v>
      </c>
    </row>
    <row r="4927" spans="1:9" x14ac:dyDescent="0.3">
      <c r="A4927" t="s">
        <v>54</v>
      </c>
      <c r="B4927">
        <v>54000</v>
      </c>
      <c r="G4927">
        <v>44330</v>
      </c>
      <c r="H4927">
        <v>2021</v>
      </c>
      <c r="I4927" t="s">
        <v>44</v>
      </c>
    </row>
    <row r="4928" spans="1:9" x14ac:dyDescent="0.3">
      <c r="A4928" t="s">
        <v>26</v>
      </c>
      <c r="B4928">
        <v>418000</v>
      </c>
      <c r="C4928">
        <v>54000</v>
      </c>
      <c r="D4928">
        <v>594000</v>
      </c>
      <c r="G4928">
        <v>44330</v>
      </c>
      <c r="H4928">
        <v>2021</v>
      </c>
      <c r="I4928" t="s">
        <v>44</v>
      </c>
    </row>
    <row r="4929" spans="1:9" x14ac:dyDescent="0.3">
      <c r="A4929" t="s">
        <v>22</v>
      </c>
      <c r="G4929">
        <v>44330</v>
      </c>
      <c r="H4929">
        <v>2021</v>
      </c>
      <c r="I4929" t="s">
        <v>44</v>
      </c>
    </row>
    <row r="4930" spans="1:9" x14ac:dyDescent="0.3">
      <c r="A4930" t="s">
        <v>61</v>
      </c>
      <c r="B4930">
        <v>477000</v>
      </c>
      <c r="D4930">
        <v>270000</v>
      </c>
      <c r="G4930">
        <v>44330</v>
      </c>
      <c r="H4930">
        <v>2021</v>
      </c>
      <c r="I4930" t="s">
        <v>44</v>
      </c>
    </row>
    <row r="4931" spans="1:9" x14ac:dyDescent="0.3">
      <c r="A4931" t="s">
        <v>19</v>
      </c>
      <c r="F4931">
        <v>432000</v>
      </c>
      <c r="G4931">
        <v>44330</v>
      </c>
      <c r="H4931">
        <v>2021</v>
      </c>
      <c r="I4931" t="s">
        <v>44</v>
      </c>
    </row>
    <row r="4932" spans="1:9" x14ac:dyDescent="0.3">
      <c r="A4932" t="s">
        <v>14</v>
      </c>
      <c r="C4932">
        <v>162000</v>
      </c>
      <c r="G4932">
        <v>44330</v>
      </c>
      <c r="H4932">
        <v>2021</v>
      </c>
      <c r="I4932" t="s">
        <v>44</v>
      </c>
    </row>
    <row r="4933" spans="1:9" x14ac:dyDescent="0.3">
      <c r="A4933" t="s">
        <v>24</v>
      </c>
      <c r="G4933">
        <v>44330</v>
      </c>
      <c r="H4933">
        <v>2021</v>
      </c>
      <c r="I4933" t="s">
        <v>44</v>
      </c>
    </row>
    <row r="4934" spans="1:9" x14ac:dyDescent="0.3">
      <c r="A4934" t="s">
        <v>21</v>
      </c>
      <c r="G4934">
        <v>44330</v>
      </c>
      <c r="H4934">
        <v>2021</v>
      </c>
      <c r="I4934" t="s">
        <v>44</v>
      </c>
    </row>
    <row r="4935" spans="1:9" x14ac:dyDescent="0.3">
      <c r="A4935" t="s">
        <v>18</v>
      </c>
      <c r="G4935">
        <v>44330</v>
      </c>
      <c r="H4935">
        <v>2021</v>
      </c>
      <c r="I4935" t="s">
        <v>44</v>
      </c>
    </row>
    <row r="4936" spans="1:9" x14ac:dyDescent="0.3">
      <c r="A4936" t="s">
        <v>16</v>
      </c>
      <c r="G4936">
        <v>44330</v>
      </c>
      <c r="H4936">
        <v>2021</v>
      </c>
      <c r="I4936" t="s">
        <v>44</v>
      </c>
    </row>
    <row r="4937" spans="1:9" x14ac:dyDescent="0.3">
      <c r="A4937" t="s">
        <v>20</v>
      </c>
      <c r="G4937">
        <v>44333</v>
      </c>
      <c r="H4937">
        <v>2021</v>
      </c>
      <c r="I4937" t="s">
        <v>44</v>
      </c>
    </row>
    <row r="4938" spans="1:9" x14ac:dyDescent="0.3">
      <c r="A4938" t="s">
        <v>37</v>
      </c>
      <c r="C4938">
        <v>103500</v>
      </c>
      <c r="G4938">
        <v>44333</v>
      </c>
      <c r="H4938">
        <v>2021</v>
      </c>
      <c r="I4938" t="s">
        <v>44</v>
      </c>
    </row>
    <row r="4939" spans="1:9" x14ac:dyDescent="0.3">
      <c r="A4939" t="s">
        <v>17</v>
      </c>
      <c r="B4939">
        <v>477000</v>
      </c>
      <c r="E4939">
        <v>162000</v>
      </c>
      <c r="F4939">
        <v>432000</v>
      </c>
      <c r="G4939">
        <v>44333</v>
      </c>
      <c r="H4939">
        <v>2021</v>
      </c>
      <c r="I4939" t="s">
        <v>44</v>
      </c>
    </row>
    <row r="4940" spans="1:9" x14ac:dyDescent="0.3">
      <c r="A4940" t="s">
        <v>0</v>
      </c>
      <c r="C4940">
        <v>414000</v>
      </c>
      <c r="G4940">
        <v>44333</v>
      </c>
      <c r="H4940">
        <v>2021</v>
      </c>
      <c r="I4940" t="s">
        <v>44</v>
      </c>
    </row>
    <row r="4941" spans="1:9" x14ac:dyDescent="0.3">
      <c r="A4941" t="s">
        <v>25</v>
      </c>
      <c r="C4941">
        <v>162000</v>
      </c>
      <c r="D4941">
        <v>702000</v>
      </c>
      <c r="G4941">
        <v>44333</v>
      </c>
      <c r="H4941">
        <v>2021</v>
      </c>
      <c r="I4941" t="s">
        <v>44</v>
      </c>
    </row>
    <row r="4942" spans="1:9" x14ac:dyDescent="0.3">
      <c r="A4942" t="s">
        <v>15</v>
      </c>
      <c r="E4942">
        <v>54000</v>
      </c>
      <c r="G4942">
        <v>44333</v>
      </c>
      <c r="H4942">
        <v>2021</v>
      </c>
      <c r="I4942" t="s">
        <v>44</v>
      </c>
    </row>
    <row r="4943" spans="1:9" x14ac:dyDescent="0.3">
      <c r="A4943" t="s">
        <v>54</v>
      </c>
      <c r="B4943">
        <v>45000</v>
      </c>
      <c r="G4943">
        <v>44333</v>
      </c>
      <c r="H4943">
        <v>2021</v>
      </c>
      <c r="I4943" t="s">
        <v>44</v>
      </c>
    </row>
    <row r="4944" spans="1:9" x14ac:dyDescent="0.3">
      <c r="A4944" t="s">
        <v>26</v>
      </c>
      <c r="B4944">
        <v>108000</v>
      </c>
      <c r="C4944">
        <v>103500</v>
      </c>
      <c r="D4944">
        <v>100000</v>
      </c>
      <c r="E4944">
        <v>162000</v>
      </c>
      <c r="G4944">
        <v>44333</v>
      </c>
      <c r="H4944">
        <v>2021</v>
      </c>
      <c r="I4944" t="s">
        <v>44</v>
      </c>
    </row>
    <row r="4945" spans="1:9" x14ac:dyDescent="0.3">
      <c r="A4945" t="s">
        <v>22</v>
      </c>
      <c r="G4945">
        <v>44333</v>
      </c>
      <c r="H4945">
        <v>2021</v>
      </c>
      <c r="I4945" t="s">
        <v>44</v>
      </c>
    </row>
    <row r="4946" spans="1:9" x14ac:dyDescent="0.3">
      <c r="A4946" t="s">
        <v>61</v>
      </c>
      <c r="B4946">
        <v>108000</v>
      </c>
      <c r="G4946">
        <v>44333</v>
      </c>
      <c r="H4946">
        <v>2021</v>
      </c>
      <c r="I4946" t="s">
        <v>44</v>
      </c>
    </row>
    <row r="4947" spans="1:9" x14ac:dyDescent="0.3">
      <c r="A4947" t="s">
        <v>19</v>
      </c>
      <c r="C4947">
        <v>45000</v>
      </c>
      <c r="E4947">
        <v>54000</v>
      </c>
      <c r="G4947">
        <v>44333</v>
      </c>
      <c r="H4947">
        <v>2021</v>
      </c>
      <c r="I4947" t="s">
        <v>44</v>
      </c>
    </row>
    <row r="4948" spans="1:9" x14ac:dyDescent="0.3">
      <c r="A4948" t="s">
        <v>14</v>
      </c>
      <c r="C4948">
        <v>216000</v>
      </c>
      <c r="G4948">
        <v>44333</v>
      </c>
      <c r="H4948">
        <v>2021</v>
      </c>
      <c r="I4948" t="s">
        <v>44</v>
      </c>
    </row>
    <row r="4949" spans="1:9" x14ac:dyDescent="0.3">
      <c r="A4949" t="s">
        <v>24</v>
      </c>
      <c r="G4949">
        <v>44333</v>
      </c>
      <c r="H4949">
        <v>2021</v>
      </c>
      <c r="I4949" t="s">
        <v>44</v>
      </c>
    </row>
    <row r="4950" spans="1:9" x14ac:dyDescent="0.3">
      <c r="A4950" t="s">
        <v>21</v>
      </c>
      <c r="G4950">
        <v>44333</v>
      </c>
      <c r="H4950">
        <v>2021</v>
      </c>
      <c r="I4950" t="s">
        <v>44</v>
      </c>
    </row>
    <row r="4951" spans="1:9" x14ac:dyDescent="0.3">
      <c r="A4951" t="s">
        <v>18</v>
      </c>
      <c r="B4951">
        <v>216000</v>
      </c>
      <c r="G4951">
        <v>44333</v>
      </c>
      <c r="H4951">
        <v>2021</v>
      </c>
      <c r="I4951" t="s">
        <v>44</v>
      </c>
    </row>
    <row r="4952" spans="1:9" x14ac:dyDescent="0.3">
      <c r="A4952" t="s">
        <v>16</v>
      </c>
      <c r="C4952">
        <v>108000</v>
      </c>
      <c r="E4952">
        <v>108000</v>
      </c>
      <c r="F4952">
        <v>50000</v>
      </c>
      <c r="G4952">
        <v>44333</v>
      </c>
      <c r="H4952">
        <v>2021</v>
      </c>
      <c r="I4952" t="s">
        <v>44</v>
      </c>
    </row>
    <row r="4953" spans="1:9" x14ac:dyDescent="0.3">
      <c r="A4953" t="s">
        <v>20</v>
      </c>
      <c r="G4953">
        <v>44334</v>
      </c>
      <c r="H4953">
        <v>2021</v>
      </c>
      <c r="I4953" t="s">
        <v>44</v>
      </c>
    </row>
    <row r="4954" spans="1:9" x14ac:dyDescent="0.3">
      <c r="A4954" t="s">
        <v>37</v>
      </c>
      <c r="G4954">
        <v>44334</v>
      </c>
      <c r="H4954">
        <v>2021</v>
      </c>
      <c r="I4954" t="s">
        <v>44</v>
      </c>
    </row>
    <row r="4955" spans="1:9" x14ac:dyDescent="0.3">
      <c r="A4955" t="s">
        <v>17</v>
      </c>
      <c r="B4955">
        <v>540000</v>
      </c>
      <c r="E4955">
        <v>54000</v>
      </c>
      <c r="F4955">
        <v>594000</v>
      </c>
      <c r="G4955">
        <v>44334</v>
      </c>
      <c r="H4955">
        <v>2021</v>
      </c>
      <c r="I4955" t="s">
        <v>44</v>
      </c>
    </row>
    <row r="4956" spans="1:9" x14ac:dyDescent="0.3">
      <c r="A4956" t="s">
        <v>0</v>
      </c>
      <c r="C4956">
        <v>486000</v>
      </c>
      <c r="E4956">
        <v>378000</v>
      </c>
      <c r="G4956">
        <v>44334</v>
      </c>
      <c r="H4956">
        <v>2021</v>
      </c>
      <c r="I4956" t="s">
        <v>44</v>
      </c>
    </row>
    <row r="4957" spans="1:9" x14ac:dyDescent="0.3">
      <c r="A4957" t="s">
        <v>25</v>
      </c>
      <c r="B4957">
        <v>153000</v>
      </c>
      <c r="C4957">
        <v>157500</v>
      </c>
      <c r="D4957">
        <v>162000</v>
      </c>
      <c r="E4957">
        <v>108000</v>
      </c>
      <c r="G4957">
        <v>44334</v>
      </c>
      <c r="H4957">
        <v>2021</v>
      </c>
      <c r="I4957" t="s">
        <v>44</v>
      </c>
    </row>
    <row r="4958" spans="1:9" x14ac:dyDescent="0.3">
      <c r="A4958" t="s">
        <v>15</v>
      </c>
      <c r="G4958">
        <v>44334</v>
      </c>
      <c r="H4958">
        <v>2021</v>
      </c>
      <c r="I4958" t="s">
        <v>44</v>
      </c>
    </row>
    <row r="4959" spans="1:9" x14ac:dyDescent="0.3">
      <c r="A4959" t="s">
        <v>54</v>
      </c>
      <c r="G4959">
        <v>44334</v>
      </c>
      <c r="H4959">
        <v>2021</v>
      </c>
      <c r="I4959" t="s">
        <v>44</v>
      </c>
    </row>
    <row r="4960" spans="1:9" x14ac:dyDescent="0.3">
      <c r="A4960" t="s">
        <v>26</v>
      </c>
      <c r="B4960">
        <v>432000</v>
      </c>
      <c r="E4960">
        <v>54000</v>
      </c>
      <c r="G4960">
        <v>44334</v>
      </c>
      <c r="H4960">
        <v>2021</v>
      </c>
      <c r="I4960" t="s">
        <v>44</v>
      </c>
    </row>
    <row r="4961" spans="1:9" x14ac:dyDescent="0.3">
      <c r="A4961" t="s">
        <v>22</v>
      </c>
      <c r="G4961">
        <v>44334</v>
      </c>
      <c r="H4961">
        <v>2021</v>
      </c>
      <c r="I4961" t="s">
        <v>44</v>
      </c>
    </row>
    <row r="4962" spans="1:9" x14ac:dyDescent="0.3">
      <c r="A4962" t="s">
        <v>61</v>
      </c>
      <c r="B4962">
        <v>162000</v>
      </c>
      <c r="D4962">
        <v>162000</v>
      </c>
      <c r="G4962">
        <v>44334</v>
      </c>
      <c r="H4962">
        <v>2021</v>
      </c>
      <c r="I4962" t="s">
        <v>44</v>
      </c>
    </row>
    <row r="4963" spans="1:9" x14ac:dyDescent="0.3">
      <c r="A4963" t="s">
        <v>19</v>
      </c>
      <c r="E4963">
        <v>108000</v>
      </c>
      <c r="G4963">
        <v>44334</v>
      </c>
      <c r="H4963">
        <v>2021</v>
      </c>
      <c r="I4963" t="s">
        <v>44</v>
      </c>
    </row>
    <row r="4964" spans="1:9" x14ac:dyDescent="0.3">
      <c r="A4964" t="s">
        <v>14</v>
      </c>
      <c r="C4964">
        <v>211500</v>
      </c>
      <c r="G4964">
        <v>44334</v>
      </c>
      <c r="H4964">
        <v>2021</v>
      </c>
      <c r="I4964" t="s">
        <v>44</v>
      </c>
    </row>
    <row r="4965" spans="1:9" x14ac:dyDescent="0.3">
      <c r="A4965" t="s">
        <v>24</v>
      </c>
      <c r="G4965">
        <v>44334</v>
      </c>
      <c r="H4965">
        <v>2021</v>
      </c>
      <c r="I4965" t="s">
        <v>44</v>
      </c>
    </row>
    <row r="4966" spans="1:9" x14ac:dyDescent="0.3">
      <c r="A4966" t="s">
        <v>21</v>
      </c>
      <c r="G4966">
        <v>44334</v>
      </c>
      <c r="H4966">
        <v>2021</v>
      </c>
      <c r="I4966" t="s">
        <v>44</v>
      </c>
    </row>
    <row r="4967" spans="1:9" x14ac:dyDescent="0.3">
      <c r="A4967" t="s">
        <v>18</v>
      </c>
      <c r="B4967">
        <v>216000</v>
      </c>
      <c r="G4967">
        <v>44334</v>
      </c>
      <c r="H4967">
        <v>2021</v>
      </c>
      <c r="I4967" t="s">
        <v>44</v>
      </c>
    </row>
    <row r="4968" spans="1:9" x14ac:dyDescent="0.3">
      <c r="A4968" t="s">
        <v>16</v>
      </c>
      <c r="C4968">
        <v>160000</v>
      </c>
      <c r="E4968">
        <v>108000</v>
      </c>
      <c r="F4968">
        <v>140000</v>
      </c>
      <c r="G4968">
        <v>44334</v>
      </c>
      <c r="H4968">
        <v>2021</v>
      </c>
      <c r="I4968" t="s">
        <v>44</v>
      </c>
    </row>
    <row r="4969" spans="1:9" x14ac:dyDescent="0.3">
      <c r="A4969" t="s">
        <v>20</v>
      </c>
      <c r="G4969">
        <v>44335</v>
      </c>
      <c r="H4969">
        <v>2021</v>
      </c>
      <c r="I4969" t="s">
        <v>44</v>
      </c>
    </row>
    <row r="4970" spans="1:9" x14ac:dyDescent="0.3">
      <c r="A4970" t="s">
        <v>37</v>
      </c>
      <c r="C4970">
        <v>54000</v>
      </c>
      <c r="G4970">
        <v>44335</v>
      </c>
      <c r="H4970">
        <v>2021</v>
      </c>
      <c r="I4970" t="s">
        <v>44</v>
      </c>
    </row>
    <row r="4971" spans="1:9" x14ac:dyDescent="0.3">
      <c r="A4971" t="s">
        <v>17</v>
      </c>
      <c r="B4971">
        <v>702000</v>
      </c>
      <c r="E4971">
        <v>54000</v>
      </c>
      <c r="F4971">
        <v>540000</v>
      </c>
      <c r="G4971">
        <v>44335</v>
      </c>
      <c r="H4971">
        <v>2021</v>
      </c>
      <c r="I4971" t="s">
        <v>44</v>
      </c>
    </row>
    <row r="4972" spans="1:9" x14ac:dyDescent="0.3">
      <c r="A4972" t="s">
        <v>0</v>
      </c>
      <c r="C4972">
        <v>810000</v>
      </c>
      <c r="E4972">
        <v>216000</v>
      </c>
      <c r="G4972">
        <v>44335</v>
      </c>
      <c r="H4972">
        <v>2021</v>
      </c>
      <c r="I4972" t="s">
        <v>44</v>
      </c>
    </row>
    <row r="4973" spans="1:9" x14ac:dyDescent="0.3">
      <c r="A4973" t="s">
        <v>25</v>
      </c>
      <c r="B4973">
        <v>432000</v>
      </c>
      <c r="C4973">
        <v>162000</v>
      </c>
      <c r="D4973">
        <v>270000</v>
      </c>
      <c r="E4973">
        <v>108000</v>
      </c>
      <c r="G4973">
        <v>44335</v>
      </c>
      <c r="H4973">
        <v>2021</v>
      </c>
      <c r="I4973" t="s">
        <v>44</v>
      </c>
    </row>
    <row r="4974" spans="1:9" x14ac:dyDescent="0.3">
      <c r="A4974" t="s">
        <v>15</v>
      </c>
      <c r="C4974">
        <v>108000</v>
      </c>
      <c r="E4974">
        <v>54000</v>
      </c>
      <c r="G4974">
        <v>44335</v>
      </c>
      <c r="H4974">
        <v>2021</v>
      </c>
      <c r="I4974" t="s">
        <v>44</v>
      </c>
    </row>
    <row r="4975" spans="1:9" x14ac:dyDescent="0.3">
      <c r="A4975" t="s">
        <v>54</v>
      </c>
      <c r="G4975">
        <v>44335</v>
      </c>
      <c r="H4975">
        <v>2021</v>
      </c>
      <c r="I4975" t="s">
        <v>44</v>
      </c>
    </row>
    <row r="4976" spans="1:9" x14ac:dyDescent="0.3">
      <c r="A4976" t="s">
        <v>26</v>
      </c>
      <c r="B4976">
        <v>374000</v>
      </c>
      <c r="C4976">
        <v>90000</v>
      </c>
      <c r="E4976">
        <v>108000</v>
      </c>
      <c r="G4976">
        <v>44335</v>
      </c>
      <c r="H4976">
        <v>2021</v>
      </c>
      <c r="I4976" t="s">
        <v>44</v>
      </c>
    </row>
    <row r="4977" spans="1:9" x14ac:dyDescent="0.3">
      <c r="A4977" t="s">
        <v>22</v>
      </c>
      <c r="G4977">
        <v>44335</v>
      </c>
      <c r="H4977">
        <v>2021</v>
      </c>
      <c r="I4977" t="s">
        <v>44</v>
      </c>
    </row>
    <row r="4978" spans="1:9" x14ac:dyDescent="0.3">
      <c r="A4978" t="s">
        <v>61</v>
      </c>
      <c r="B4978">
        <v>162000</v>
      </c>
      <c r="G4978">
        <v>44335</v>
      </c>
      <c r="H4978">
        <v>2021</v>
      </c>
      <c r="I4978" t="s">
        <v>44</v>
      </c>
    </row>
    <row r="4979" spans="1:9" x14ac:dyDescent="0.3">
      <c r="A4979" t="s">
        <v>19</v>
      </c>
      <c r="G4979">
        <v>44335</v>
      </c>
      <c r="H4979">
        <v>2021</v>
      </c>
      <c r="I4979" t="s">
        <v>44</v>
      </c>
    </row>
    <row r="4980" spans="1:9" x14ac:dyDescent="0.3">
      <c r="A4980" t="s">
        <v>14</v>
      </c>
      <c r="C4980">
        <v>211500</v>
      </c>
      <c r="G4980">
        <v>44335</v>
      </c>
      <c r="H4980">
        <v>2021</v>
      </c>
      <c r="I4980" t="s">
        <v>44</v>
      </c>
    </row>
    <row r="4981" spans="1:9" x14ac:dyDescent="0.3">
      <c r="A4981" t="s">
        <v>24</v>
      </c>
      <c r="G4981">
        <v>44335</v>
      </c>
      <c r="H4981">
        <v>2021</v>
      </c>
      <c r="I4981" t="s">
        <v>44</v>
      </c>
    </row>
    <row r="4982" spans="1:9" x14ac:dyDescent="0.3">
      <c r="A4982" t="s">
        <v>21</v>
      </c>
      <c r="G4982">
        <v>44335</v>
      </c>
      <c r="H4982">
        <v>2021</v>
      </c>
      <c r="I4982" t="s">
        <v>44</v>
      </c>
    </row>
    <row r="4983" spans="1:9" x14ac:dyDescent="0.3">
      <c r="A4983" t="s">
        <v>18</v>
      </c>
      <c r="B4983">
        <v>378000</v>
      </c>
      <c r="G4983">
        <v>44335</v>
      </c>
      <c r="H4983">
        <v>2021</v>
      </c>
      <c r="I4983" t="s">
        <v>44</v>
      </c>
    </row>
    <row r="4984" spans="1:9" x14ac:dyDescent="0.3">
      <c r="A4984" t="s">
        <v>16</v>
      </c>
      <c r="C4984">
        <v>162000</v>
      </c>
      <c r="E4984">
        <v>54000</v>
      </c>
      <c r="G4984">
        <v>44335</v>
      </c>
      <c r="H4984">
        <v>2021</v>
      </c>
      <c r="I4984" t="s">
        <v>44</v>
      </c>
    </row>
    <row r="4985" spans="1:9" x14ac:dyDescent="0.3">
      <c r="A4985" t="s">
        <v>20</v>
      </c>
      <c r="G4985">
        <v>44336</v>
      </c>
      <c r="H4985">
        <v>2021</v>
      </c>
      <c r="I4985" t="s">
        <v>44</v>
      </c>
    </row>
    <row r="4986" spans="1:9" x14ac:dyDescent="0.3">
      <c r="A4986" t="s">
        <v>37</v>
      </c>
      <c r="G4986">
        <v>44336</v>
      </c>
      <c r="H4986">
        <v>2021</v>
      </c>
      <c r="I4986" t="s">
        <v>44</v>
      </c>
    </row>
    <row r="4987" spans="1:9" x14ac:dyDescent="0.3">
      <c r="A4987" t="s">
        <v>17</v>
      </c>
      <c r="B4987">
        <v>270000</v>
      </c>
      <c r="E4987">
        <v>108000</v>
      </c>
      <c r="F4987">
        <v>270000</v>
      </c>
      <c r="G4987">
        <v>44336</v>
      </c>
      <c r="H4987">
        <v>2021</v>
      </c>
      <c r="I4987" t="s">
        <v>44</v>
      </c>
    </row>
    <row r="4988" spans="1:9" x14ac:dyDescent="0.3">
      <c r="A4988" t="s">
        <v>0</v>
      </c>
      <c r="C4988">
        <v>324000</v>
      </c>
      <c r="E4988">
        <v>486000</v>
      </c>
      <c r="G4988">
        <v>44336</v>
      </c>
      <c r="H4988">
        <v>2021</v>
      </c>
      <c r="I4988" t="s">
        <v>44</v>
      </c>
    </row>
    <row r="4989" spans="1:9" x14ac:dyDescent="0.3">
      <c r="A4989" t="s">
        <v>25</v>
      </c>
      <c r="B4989">
        <v>364500</v>
      </c>
      <c r="C4989">
        <v>162000</v>
      </c>
      <c r="D4989">
        <v>230000</v>
      </c>
      <c r="E4989">
        <v>54000</v>
      </c>
      <c r="G4989">
        <v>44336</v>
      </c>
      <c r="H4989">
        <v>2021</v>
      </c>
      <c r="I4989" t="s">
        <v>44</v>
      </c>
    </row>
    <row r="4990" spans="1:9" x14ac:dyDescent="0.3">
      <c r="A4990" t="s">
        <v>15</v>
      </c>
      <c r="C4990">
        <v>162000</v>
      </c>
      <c r="D4990">
        <v>50000</v>
      </c>
      <c r="E4990">
        <v>54000</v>
      </c>
      <c r="G4990">
        <v>44336</v>
      </c>
      <c r="H4990">
        <v>2021</v>
      </c>
      <c r="I4990" t="s">
        <v>44</v>
      </c>
    </row>
    <row r="4991" spans="1:9" x14ac:dyDescent="0.3">
      <c r="A4991" t="s">
        <v>54</v>
      </c>
      <c r="G4991">
        <v>44336</v>
      </c>
      <c r="H4991">
        <v>2021</v>
      </c>
      <c r="I4991" t="s">
        <v>44</v>
      </c>
    </row>
    <row r="4992" spans="1:9" x14ac:dyDescent="0.3">
      <c r="A4992" t="s">
        <v>26</v>
      </c>
      <c r="B4992">
        <v>162000</v>
      </c>
      <c r="C4992">
        <v>54000</v>
      </c>
      <c r="E4992">
        <v>54000</v>
      </c>
      <c r="G4992">
        <v>44336</v>
      </c>
      <c r="H4992">
        <v>2021</v>
      </c>
      <c r="I4992" t="s">
        <v>44</v>
      </c>
    </row>
    <row r="4993" spans="1:9" x14ac:dyDescent="0.3">
      <c r="A4993" t="s">
        <v>22</v>
      </c>
      <c r="G4993">
        <v>44336</v>
      </c>
      <c r="H4993">
        <v>2021</v>
      </c>
      <c r="I4993" t="s">
        <v>44</v>
      </c>
    </row>
    <row r="4994" spans="1:9" x14ac:dyDescent="0.3">
      <c r="A4994" t="s">
        <v>61</v>
      </c>
      <c r="B4994">
        <v>45000</v>
      </c>
      <c r="D4994">
        <v>54000</v>
      </c>
      <c r="G4994">
        <v>44336</v>
      </c>
      <c r="H4994">
        <v>2021</v>
      </c>
      <c r="I4994" t="s">
        <v>44</v>
      </c>
    </row>
    <row r="4995" spans="1:9" x14ac:dyDescent="0.3">
      <c r="A4995" t="s">
        <v>19</v>
      </c>
      <c r="C4995">
        <v>162000</v>
      </c>
      <c r="E4995">
        <v>54000</v>
      </c>
      <c r="G4995">
        <v>44336</v>
      </c>
      <c r="H4995">
        <v>2021</v>
      </c>
      <c r="I4995" t="s">
        <v>44</v>
      </c>
    </row>
    <row r="4996" spans="1:9" x14ac:dyDescent="0.3">
      <c r="A4996" t="s">
        <v>14</v>
      </c>
      <c r="C4996">
        <v>103500</v>
      </c>
      <c r="E4996">
        <v>45000</v>
      </c>
      <c r="G4996">
        <v>44336</v>
      </c>
      <c r="H4996">
        <v>2021</v>
      </c>
      <c r="I4996" t="s">
        <v>44</v>
      </c>
    </row>
    <row r="4997" spans="1:9" x14ac:dyDescent="0.3">
      <c r="A4997" t="s">
        <v>24</v>
      </c>
      <c r="G4997">
        <v>44336</v>
      </c>
      <c r="H4997">
        <v>2021</v>
      </c>
      <c r="I4997" t="s">
        <v>44</v>
      </c>
    </row>
    <row r="4998" spans="1:9" x14ac:dyDescent="0.3">
      <c r="A4998" t="s">
        <v>21</v>
      </c>
      <c r="G4998">
        <v>44336</v>
      </c>
      <c r="H4998">
        <v>2021</v>
      </c>
      <c r="I4998" t="s">
        <v>44</v>
      </c>
    </row>
    <row r="4999" spans="1:9" x14ac:dyDescent="0.3">
      <c r="A4999" t="s">
        <v>18</v>
      </c>
      <c r="B4999">
        <v>162000</v>
      </c>
      <c r="G4999">
        <v>44336</v>
      </c>
      <c r="H4999">
        <v>2021</v>
      </c>
      <c r="I4999" t="s">
        <v>44</v>
      </c>
    </row>
    <row r="5000" spans="1:9" x14ac:dyDescent="0.3">
      <c r="A5000" t="s">
        <v>16</v>
      </c>
      <c r="C5000">
        <v>108000</v>
      </c>
      <c r="E5000">
        <v>154000</v>
      </c>
      <c r="G5000">
        <v>44336</v>
      </c>
      <c r="H5000">
        <v>2021</v>
      </c>
      <c r="I5000" t="s">
        <v>44</v>
      </c>
    </row>
    <row r="5001" spans="1:9" x14ac:dyDescent="0.3">
      <c r="A5001" t="s">
        <v>20</v>
      </c>
      <c r="G5001">
        <v>44337</v>
      </c>
      <c r="H5001">
        <v>2021</v>
      </c>
      <c r="I5001" t="s">
        <v>44</v>
      </c>
    </row>
    <row r="5002" spans="1:9" x14ac:dyDescent="0.3">
      <c r="A5002" t="s">
        <v>37</v>
      </c>
      <c r="G5002">
        <v>44337</v>
      </c>
      <c r="H5002">
        <v>2021</v>
      </c>
      <c r="I5002" t="s">
        <v>44</v>
      </c>
    </row>
    <row r="5003" spans="1:9" x14ac:dyDescent="0.3">
      <c r="A5003" t="s">
        <v>17</v>
      </c>
      <c r="B5003">
        <v>851000</v>
      </c>
      <c r="E5003">
        <v>108000</v>
      </c>
      <c r="G5003">
        <v>44337</v>
      </c>
      <c r="H5003">
        <v>2021</v>
      </c>
      <c r="I5003" t="s">
        <v>44</v>
      </c>
    </row>
    <row r="5004" spans="1:9" x14ac:dyDescent="0.3">
      <c r="A5004" t="s">
        <v>0</v>
      </c>
      <c r="C5004">
        <v>202500</v>
      </c>
      <c r="E5004">
        <v>378000</v>
      </c>
      <c r="G5004">
        <v>44337</v>
      </c>
      <c r="H5004">
        <v>2021</v>
      </c>
      <c r="I5004" t="s">
        <v>44</v>
      </c>
    </row>
    <row r="5005" spans="1:9" x14ac:dyDescent="0.3">
      <c r="A5005" t="s">
        <v>25</v>
      </c>
      <c r="B5005">
        <v>518500</v>
      </c>
      <c r="C5005">
        <v>135000</v>
      </c>
      <c r="D5005">
        <v>135000</v>
      </c>
      <c r="E5005">
        <v>103500</v>
      </c>
      <c r="G5005">
        <v>44337</v>
      </c>
      <c r="H5005">
        <v>2021</v>
      </c>
      <c r="I5005" t="s">
        <v>44</v>
      </c>
    </row>
    <row r="5006" spans="1:9" x14ac:dyDescent="0.3">
      <c r="A5006" t="s">
        <v>15</v>
      </c>
      <c r="C5006">
        <v>103500</v>
      </c>
      <c r="E5006">
        <v>54000</v>
      </c>
      <c r="G5006">
        <v>44337</v>
      </c>
      <c r="H5006">
        <v>2021</v>
      </c>
      <c r="I5006" t="s">
        <v>44</v>
      </c>
    </row>
    <row r="5007" spans="1:9" x14ac:dyDescent="0.3">
      <c r="A5007" t="s">
        <v>54</v>
      </c>
      <c r="G5007">
        <v>44337</v>
      </c>
      <c r="H5007">
        <v>2021</v>
      </c>
      <c r="I5007" t="s">
        <v>44</v>
      </c>
    </row>
    <row r="5008" spans="1:9" x14ac:dyDescent="0.3">
      <c r="A5008" t="s">
        <v>26</v>
      </c>
      <c r="B5008">
        <v>378000</v>
      </c>
      <c r="C5008">
        <v>50000</v>
      </c>
      <c r="G5008">
        <v>44337</v>
      </c>
      <c r="H5008">
        <v>2021</v>
      </c>
      <c r="I5008" t="s">
        <v>44</v>
      </c>
    </row>
    <row r="5009" spans="1:9" x14ac:dyDescent="0.3">
      <c r="A5009" t="s">
        <v>22</v>
      </c>
      <c r="G5009">
        <v>44337</v>
      </c>
      <c r="H5009">
        <v>2021</v>
      </c>
      <c r="I5009" t="s">
        <v>44</v>
      </c>
    </row>
    <row r="5010" spans="1:9" x14ac:dyDescent="0.3">
      <c r="A5010" t="s">
        <v>61</v>
      </c>
      <c r="B5010">
        <v>45000</v>
      </c>
      <c r="G5010">
        <v>44337</v>
      </c>
      <c r="H5010">
        <v>2021</v>
      </c>
      <c r="I5010" t="s">
        <v>44</v>
      </c>
    </row>
    <row r="5011" spans="1:9" x14ac:dyDescent="0.3">
      <c r="A5011" t="s">
        <v>19</v>
      </c>
      <c r="C5011">
        <v>684000</v>
      </c>
      <c r="E5011">
        <v>54000</v>
      </c>
      <c r="G5011">
        <v>44337</v>
      </c>
      <c r="H5011">
        <v>2021</v>
      </c>
      <c r="I5011" t="s">
        <v>44</v>
      </c>
    </row>
    <row r="5012" spans="1:9" x14ac:dyDescent="0.3">
      <c r="A5012" t="s">
        <v>14</v>
      </c>
      <c r="C5012">
        <v>216000</v>
      </c>
      <c r="G5012">
        <v>44337</v>
      </c>
      <c r="H5012">
        <v>2021</v>
      </c>
      <c r="I5012" t="s">
        <v>44</v>
      </c>
    </row>
    <row r="5013" spans="1:9" x14ac:dyDescent="0.3">
      <c r="A5013" t="s">
        <v>24</v>
      </c>
      <c r="G5013">
        <v>44337</v>
      </c>
      <c r="H5013">
        <v>2021</v>
      </c>
      <c r="I5013" t="s">
        <v>44</v>
      </c>
    </row>
    <row r="5014" spans="1:9" x14ac:dyDescent="0.3">
      <c r="A5014" t="s">
        <v>21</v>
      </c>
      <c r="G5014">
        <v>44337</v>
      </c>
      <c r="H5014">
        <v>2021</v>
      </c>
      <c r="I5014" t="s">
        <v>44</v>
      </c>
    </row>
    <row r="5015" spans="1:9" x14ac:dyDescent="0.3">
      <c r="A5015" t="s">
        <v>18</v>
      </c>
      <c r="B5015">
        <v>108000</v>
      </c>
      <c r="G5015">
        <v>44337</v>
      </c>
      <c r="H5015">
        <v>2021</v>
      </c>
      <c r="I5015" t="s">
        <v>44</v>
      </c>
    </row>
    <row r="5016" spans="1:9" x14ac:dyDescent="0.3">
      <c r="A5016" t="s">
        <v>16</v>
      </c>
      <c r="C5016">
        <v>144000</v>
      </c>
      <c r="E5016">
        <v>54000</v>
      </c>
      <c r="G5016">
        <v>44337</v>
      </c>
      <c r="H5016">
        <v>2021</v>
      </c>
      <c r="I5016" t="s">
        <v>44</v>
      </c>
    </row>
    <row r="5017" spans="1:9" x14ac:dyDescent="0.3">
      <c r="A5017" t="s">
        <v>20</v>
      </c>
      <c r="G5017">
        <v>44340</v>
      </c>
      <c r="H5017">
        <v>2021</v>
      </c>
      <c r="I5017" t="s">
        <v>44</v>
      </c>
    </row>
    <row r="5018" spans="1:9" x14ac:dyDescent="0.3">
      <c r="A5018" t="s">
        <v>37</v>
      </c>
      <c r="G5018">
        <v>44340</v>
      </c>
      <c r="H5018">
        <v>2021</v>
      </c>
      <c r="I5018" t="s">
        <v>44</v>
      </c>
    </row>
    <row r="5019" spans="1:9" x14ac:dyDescent="0.3">
      <c r="A5019" t="s">
        <v>17</v>
      </c>
      <c r="B5019">
        <v>585000</v>
      </c>
      <c r="E5019">
        <v>54000</v>
      </c>
      <c r="G5019">
        <v>44340</v>
      </c>
      <c r="H5019">
        <v>2021</v>
      </c>
      <c r="I5019" t="s">
        <v>44</v>
      </c>
    </row>
    <row r="5020" spans="1:9" x14ac:dyDescent="0.3">
      <c r="A5020" t="s">
        <v>0</v>
      </c>
      <c r="C5020">
        <v>481500</v>
      </c>
      <c r="E5020">
        <v>270000</v>
      </c>
      <c r="G5020">
        <v>44340</v>
      </c>
      <c r="H5020">
        <v>2021</v>
      </c>
      <c r="I5020" t="s">
        <v>44</v>
      </c>
    </row>
    <row r="5021" spans="1:9" x14ac:dyDescent="0.3">
      <c r="A5021" t="s">
        <v>25</v>
      </c>
      <c r="B5021">
        <v>690000</v>
      </c>
      <c r="C5021">
        <v>162000</v>
      </c>
      <c r="G5021">
        <v>44340</v>
      </c>
      <c r="H5021">
        <v>2021</v>
      </c>
      <c r="I5021" t="s">
        <v>44</v>
      </c>
    </row>
    <row r="5022" spans="1:9" x14ac:dyDescent="0.3">
      <c r="A5022" t="s">
        <v>15</v>
      </c>
      <c r="C5022">
        <v>211500</v>
      </c>
      <c r="E5022">
        <v>54000</v>
      </c>
      <c r="G5022">
        <v>44340</v>
      </c>
      <c r="H5022">
        <v>2021</v>
      </c>
      <c r="I5022" t="s">
        <v>44</v>
      </c>
    </row>
    <row r="5023" spans="1:9" x14ac:dyDescent="0.3">
      <c r="A5023" t="s">
        <v>54</v>
      </c>
      <c r="G5023">
        <v>44340</v>
      </c>
      <c r="H5023">
        <v>2021</v>
      </c>
      <c r="I5023" t="s">
        <v>44</v>
      </c>
    </row>
    <row r="5024" spans="1:9" x14ac:dyDescent="0.3">
      <c r="A5024" t="s">
        <v>26</v>
      </c>
      <c r="B5024">
        <v>270000</v>
      </c>
      <c r="E5024">
        <v>54000</v>
      </c>
      <c r="G5024">
        <v>44340</v>
      </c>
      <c r="H5024">
        <v>2021</v>
      </c>
      <c r="I5024" t="s">
        <v>44</v>
      </c>
    </row>
    <row r="5025" spans="1:9" x14ac:dyDescent="0.3">
      <c r="A5025" t="s">
        <v>22</v>
      </c>
      <c r="G5025">
        <v>44340</v>
      </c>
      <c r="H5025">
        <v>2021</v>
      </c>
      <c r="I5025" t="s">
        <v>44</v>
      </c>
    </row>
    <row r="5026" spans="1:9" x14ac:dyDescent="0.3">
      <c r="A5026" t="s">
        <v>61</v>
      </c>
      <c r="G5026">
        <v>44340</v>
      </c>
      <c r="H5026">
        <v>2021</v>
      </c>
      <c r="I5026" t="s">
        <v>44</v>
      </c>
    </row>
    <row r="5027" spans="1:9" x14ac:dyDescent="0.3">
      <c r="A5027" t="s">
        <v>19</v>
      </c>
      <c r="G5027">
        <v>44340</v>
      </c>
      <c r="H5027">
        <v>2021</v>
      </c>
      <c r="I5027" t="s">
        <v>44</v>
      </c>
    </row>
    <row r="5028" spans="1:9" x14ac:dyDescent="0.3">
      <c r="A5028" t="s">
        <v>14</v>
      </c>
      <c r="C5028">
        <v>269000</v>
      </c>
      <c r="G5028">
        <v>44340</v>
      </c>
      <c r="H5028">
        <v>2021</v>
      </c>
      <c r="I5028" t="s">
        <v>44</v>
      </c>
    </row>
    <row r="5029" spans="1:9" x14ac:dyDescent="0.3">
      <c r="A5029" t="s">
        <v>24</v>
      </c>
      <c r="G5029">
        <v>44340</v>
      </c>
      <c r="H5029">
        <v>2021</v>
      </c>
      <c r="I5029" t="s">
        <v>44</v>
      </c>
    </row>
    <row r="5030" spans="1:9" x14ac:dyDescent="0.3">
      <c r="A5030" t="s">
        <v>21</v>
      </c>
      <c r="G5030">
        <v>44340</v>
      </c>
      <c r="H5030">
        <v>2021</v>
      </c>
      <c r="I5030" t="s">
        <v>44</v>
      </c>
    </row>
    <row r="5031" spans="1:9" x14ac:dyDescent="0.3">
      <c r="A5031" t="s">
        <v>18</v>
      </c>
      <c r="G5031">
        <v>44340</v>
      </c>
      <c r="H5031">
        <v>2021</v>
      </c>
      <c r="I5031" t="s">
        <v>44</v>
      </c>
    </row>
    <row r="5032" spans="1:9" x14ac:dyDescent="0.3">
      <c r="A5032" t="s">
        <v>16</v>
      </c>
      <c r="C5032">
        <v>45000</v>
      </c>
      <c r="E5032">
        <v>50000</v>
      </c>
      <c r="G5032">
        <v>44340</v>
      </c>
      <c r="H5032">
        <v>2021</v>
      </c>
      <c r="I5032" t="s">
        <v>44</v>
      </c>
    </row>
    <row r="5033" spans="1:9" x14ac:dyDescent="0.3">
      <c r="A5033" t="s">
        <v>20</v>
      </c>
      <c r="G5033">
        <v>44341</v>
      </c>
      <c r="H5033">
        <v>2021</v>
      </c>
      <c r="I5033" t="s">
        <v>44</v>
      </c>
    </row>
    <row r="5034" spans="1:9" x14ac:dyDescent="0.3">
      <c r="A5034" t="s">
        <v>37</v>
      </c>
      <c r="G5034">
        <v>44341</v>
      </c>
      <c r="H5034">
        <v>2021</v>
      </c>
      <c r="I5034" t="s">
        <v>44</v>
      </c>
    </row>
    <row r="5035" spans="1:9" x14ac:dyDescent="0.3">
      <c r="A5035" t="s">
        <v>17</v>
      </c>
      <c r="B5035">
        <v>1017000</v>
      </c>
      <c r="G5035">
        <v>44341</v>
      </c>
      <c r="H5035">
        <v>2021</v>
      </c>
      <c r="I5035" t="s">
        <v>44</v>
      </c>
    </row>
    <row r="5036" spans="1:9" x14ac:dyDescent="0.3">
      <c r="A5036" t="s">
        <v>0</v>
      </c>
      <c r="C5036">
        <v>369000</v>
      </c>
      <c r="G5036">
        <v>44341</v>
      </c>
      <c r="H5036">
        <v>2021</v>
      </c>
      <c r="I5036" t="s">
        <v>44</v>
      </c>
    </row>
    <row r="5037" spans="1:9" x14ac:dyDescent="0.3">
      <c r="A5037" t="s">
        <v>25</v>
      </c>
      <c r="B5037">
        <v>589000</v>
      </c>
      <c r="C5037">
        <v>376000</v>
      </c>
      <c r="G5037">
        <v>44341</v>
      </c>
      <c r="H5037">
        <v>2021</v>
      </c>
      <c r="I5037" t="s">
        <v>44</v>
      </c>
    </row>
    <row r="5038" spans="1:9" x14ac:dyDescent="0.3">
      <c r="A5038" t="s">
        <v>15</v>
      </c>
      <c r="C5038">
        <v>270000</v>
      </c>
      <c r="G5038">
        <v>44341</v>
      </c>
      <c r="H5038">
        <v>2021</v>
      </c>
      <c r="I5038" t="s">
        <v>44</v>
      </c>
    </row>
    <row r="5039" spans="1:9" x14ac:dyDescent="0.3">
      <c r="A5039" t="s">
        <v>54</v>
      </c>
      <c r="G5039">
        <v>44341</v>
      </c>
      <c r="H5039">
        <v>2021</v>
      </c>
      <c r="I5039" t="s">
        <v>44</v>
      </c>
    </row>
    <row r="5040" spans="1:9" x14ac:dyDescent="0.3">
      <c r="A5040" t="s">
        <v>26</v>
      </c>
      <c r="B5040">
        <v>54000</v>
      </c>
      <c r="G5040">
        <v>44341</v>
      </c>
      <c r="H5040">
        <v>2021</v>
      </c>
      <c r="I5040" t="s">
        <v>44</v>
      </c>
    </row>
    <row r="5041" spans="1:9" x14ac:dyDescent="0.3">
      <c r="A5041" t="s">
        <v>22</v>
      </c>
      <c r="G5041">
        <v>44341</v>
      </c>
      <c r="H5041">
        <v>2021</v>
      </c>
      <c r="I5041" t="s">
        <v>44</v>
      </c>
    </row>
    <row r="5042" spans="1:9" x14ac:dyDescent="0.3">
      <c r="A5042" t="s">
        <v>61</v>
      </c>
      <c r="G5042">
        <v>44341</v>
      </c>
      <c r="H5042">
        <v>2021</v>
      </c>
      <c r="I5042" t="s">
        <v>44</v>
      </c>
    </row>
    <row r="5043" spans="1:9" x14ac:dyDescent="0.3">
      <c r="A5043" t="s">
        <v>19</v>
      </c>
      <c r="G5043">
        <v>44341</v>
      </c>
      <c r="H5043">
        <v>2021</v>
      </c>
      <c r="I5043" t="s">
        <v>44</v>
      </c>
    </row>
    <row r="5044" spans="1:9" x14ac:dyDescent="0.3">
      <c r="A5044" t="s">
        <v>14</v>
      </c>
      <c r="C5044">
        <v>216000</v>
      </c>
      <c r="G5044">
        <v>44341</v>
      </c>
      <c r="H5044">
        <v>2021</v>
      </c>
      <c r="I5044" t="s">
        <v>44</v>
      </c>
    </row>
    <row r="5045" spans="1:9" x14ac:dyDescent="0.3">
      <c r="A5045" t="s">
        <v>24</v>
      </c>
      <c r="G5045">
        <v>44341</v>
      </c>
      <c r="H5045">
        <v>2021</v>
      </c>
      <c r="I5045" t="s">
        <v>44</v>
      </c>
    </row>
    <row r="5046" spans="1:9" x14ac:dyDescent="0.3">
      <c r="A5046" t="s">
        <v>21</v>
      </c>
      <c r="G5046">
        <v>44341</v>
      </c>
      <c r="H5046">
        <v>2021</v>
      </c>
      <c r="I5046" t="s">
        <v>44</v>
      </c>
    </row>
    <row r="5047" spans="1:9" x14ac:dyDescent="0.3">
      <c r="A5047" t="s">
        <v>18</v>
      </c>
      <c r="G5047">
        <v>44341</v>
      </c>
      <c r="H5047">
        <v>2021</v>
      </c>
      <c r="I5047" t="s">
        <v>44</v>
      </c>
    </row>
    <row r="5048" spans="1:9" x14ac:dyDescent="0.3">
      <c r="A5048" t="s">
        <v>16</v>
      </c>
      <c r="C5048">
        <v>49500</v>
      </c>
      <c r="G5048">
        <v>44341</v>
      </c>
      <c r="H5048">
        <v>2021</v>
      </c>
      <c r="I5048" t="s">
        <v>44</v>
      </c>
    </row>
    <row r="5049" spans="1:9" x14ac:dyDescent="0.3">
      <c r="A5049" t="s">
        <v>20</v>
      </c>
      <c r="G5049">
        <v>44342</v>
      </c>
      <c r="H5049">
        <v>2021</v>
      </c>
      <c r="I5049" t="s">
        <v>44</v>
      </c>
    </row>
    <row r="5050" spans="1:9" x14ac:dyDescent="0.3">
      <c r="A5050" t="s">
        <v>37</v>
      </c>
      <c r="G5050">
        <v>44342</v>
      </c>
      <c r="H5050">
        <v>2021</v>
      </c>
      <c r="I5050" t="s">
        <v>44</v>
      </c>
    </row>
    <row r="5051" spans="1:9" x14ac:dyDescent="0.3">
      <c r="A5051" t="s">
        <v>17</v>
      </c>
      <c r="B5051">
        <v>857000</v>
      </c>
      <c r="G5051">
        <v>44342</v>
      </c>
      <c r="H5051">
        <v>2021</v>
      </c>
      <c r="I5051" t="s">
        <v>44</v>
      </c>
    </row>
    <row r="5052" spans="1:9" x14ac:dyDescent="0.3">
      <c r="A5052" t="s">
        <v>0</v>
      </c>
      <c r="C5052">
        <v>369000</v>
      </c>
      <c r="G5052">
        <v>44342</v>
      </c>
      <c r="H5052">
        <v>2021</v>
      </c>
      <c r="I5052" t="s">
        <v>44</v>
      </c>
    </row>
    <row r="5053" spans="1:9" x14ac:dyDescent="0.3">
      <c r="A5053" t="s">
        <v>25</v>
      </c>
      <c r="B5053">
        <v>207000</v>
      </c>
      <c r="C5053">
        <v>212000</v>
      </c>
      <c r="G5053">
        <v>44342</v>
      </c>
      <c r="H5053">
        <v>2021</v>
      </c>
      <c r="I5053" t="s">
        <v>44</v>
      </c>
    </row>
    <row r="5054" spans="1:9" x14ac:dyDescent="0.3">
      <c r="A5054" t="s">
        <v>15</v>
      </c>
      <c r="C5054">
        <v>216000</v>
      </c>
      <c r="G5054">
        <v>44342</v>
      </c>
      <c r="H5054">
        <v>2021</v>
      </c>
      <c r="I5054" t="s">
        <v>44</v>
      </c>
    </row>
    <row r="5055" spans="1:9" x14ac:dyDescent="0.3">
      <c r="A5055" t="s">
        <v>54</v>
      </c>
      <c r="G5055">
        <v>44342</v>
      </c>
      <c r="H5055">
        <v>2021</v>
      </c>
      <c r="I5055" t="s">
        <v>44</v>
      </c>
    </row>
    <row r="5056" spans="1:9" x14ac:dyDescent="0.3">
      <c r="A5056" t="s">
        <v>26</v>
      </c>
      <c r="G5056">
        <v>44342</v>
      </c>
      <c r="H5056">
        <v>2021</v>
      </c>
      <c r="I5056" t="s">
        <v>44</v>
      </c>
    </row>
    <row r="5057" spans="1:9" x14ac:dyDescent="0.3">
      <c r="A5057" t="s">
        <v>22</v>
      </c>
      <c r="G5057">
        <v>44342</v>
      </c>
      <c r="H5057">
        <v>2021</v>
      </c>
      <c r="I5057" t="s">
        <v>44</v>
      </c>
    </row>
    <row r="5058" spans="1:9" x14ac:dyDescent="0.3">
      <c r="A5058" t="s">
        <v>61</v>
      </c>
      <c r="G5058">
        <v>44342</v>
      </c>
      <c r="H5058">
        <v>2021</v>
      </c>
      <c r="I5058" t="s">
        <v>44</v>
      </c>
    </row>
    <row r="5059" spans="1:9" x14ac:dyDescent="0.3">
      <c r="A5059" t="s">
        <v>19</v>
      </c>
      <c r="C5059">
        <v>45000</v>
      </c>
      <c r="G5059">
        <v>44342</v>
      </c>
      <c r="H5059">
        <v>2021</v>
      </c>
      <c r="I5059" t="s">
        <v>44</v>
      </c>
    </row>
    <row r="5060" spans="1:9" x14ac:dyDescent="0.3">
      <c r="A5060" t="s">
        <v>14</v>
      </c>
      <c r="B5060">
        <v>594000</v>
      </c>
      <c r="C5060">
        <v>216000</v>
      </c>
      <c r="D5060">
        <v>585000</v>
      </c>
      <c r="G5060">
        <v>44342</v>
      </c>
      <c r="H5060">
        <v>2021</v>
      </c>
      <c r="I5060" t="s">
        <v>44</v>
      </c>
    </row>
    <row r="5061" spans="1:9" x14ac:dyDescent="0.3">
      <c r="A5061" t="s">
        <v>24</v>
      </c>
      <c r="G5061">
        <v>44342</v>
      </c>
      <c r="H5061">
        <v>2021</v>
      </c>
      <c r="I5061" t="s">
        <v>44</v>
      </c>
    </row>
    <row r="5062" spans="1:9" x14ac:dyDescent="0.3">
      <c r="A5062" t="s">
        <v>21</v>
      </c>
      <c r="G5062">
        <v>44342</v>
      </c>
      <c r="H5062">
        <v>2021</v>
      </c>
      <c r="I5062" t="s">
        <v>44</v>
      </c>
    </row>
    <row r="5063" spans="1:9" x14ac:dyDescent="0.3">
      <c r="A5063" t="s">
        <v>18</v>
      </c>
      <c r="G5063">
        <v>44342</v>
      </c>
      <c r="H5063">
        <v>2021</v>
      </c>
      <c r="I5063" t="s">
        <v>44</v>
      </c>
    </row>
    <row r="5064" spans="1:9" x14ac:dyDescent="0.3">
      <c r="A5064" t="s">
        <v>16</v>
      </c>
      <c r="G5064">
        <v>44342</v>
      </c>
      <c r="H5064">
        <v>2021</v>
      </c>
      <c r="I5064" t="s">
        <v>44</v>
      </c>
    </row>
    <row r="5065" spans="1:9" x14ac:dyDescent="0.3">
      <c r="A5065" t="s">
        <v>20</v>
      </c>
      <c r="G5065">
        <v>44343</v>
      </c>
      <c r="H5065">
        <v>2021</v>
      </c>
      <c r="I5065" t="s">
        <v>44</v>
      </c>
    </row>
    <row r="5066" spans="1:9" x14ac:dyDescent="0.3">
      <c r="A5066" t="s">
        <v>37</v>
      </c>
      <c r="G5066">
        <v>44343</v>
      </c>
      <c r="H5066">
        <v>2021</v>
      </c>
      <c r="I5066" t="s">
        <v>44</v>
      </c>
    </row>
    <row r="5067" spans="1:9" x14ac:dyDescent="0.3">
      <c r="A5067" t="s">
        <v>17</v>
      </c>
      <c r="B5067">
        <v>485000</v>
      </c>
      <c r="G5067">
        <v>44343</v>
      </c>
      <c r="H5067">
        <v>2021</v>
      </c>
      <c r="I5067" t="s">
        <v>44</v>
      </c>
    </row>
    <row r="5068" spans="1:9" x14ac:dyDescent="0.3">
      <c r="A5068" t="s">
        <v>0</v>
      </c>
      <c r="C5068">
        <v>697500</v>
      </c>
      <c r="G5068">
        <v>44343</v>
      </c>
      <c r="H5068">
        <v>2021</v>
      </c>
      <c r="I5068" t="s">
        <v>44</v>
      </c>
    </row>
    <row r="5069" spans="1:9" x14ac:dyDescent="0.3">
      <c r="A5069" t="s">
        <v>25</v>
      </c>
      <c r="B5069">
        <v>45000</v>
      </c>
      <c r="C5069">
        <v>162000</v>
      </c>
      <c r="G5069">
        <v>44343</v>
      </c>
      <c r="H5069">
        <v>2021</v>
      </c>
      <c r="I5069" t="s">
        <v>44</v>
      </c>
    </row>
    <row r="5070" spans="1:9" x14ac:dyDescent="0.3">
      <c r="A5070" t="s">
        <v>15</v>
      </c>
      <c r="C5070">
        <v>153000</v>
      </c>
      <c r="G5070">
        <v>44343</v>
      </c>
      <c r="H5070">
        <v>2021</v>
      </c>
      <c r="I5070" t="s">
        <v>44</v>
      </c>
    </row>
    <row r="5071" spans="1:9" x14ac:dyDescent="0.3">
      <c r="A5071" t="s">
        <v>54</v>
      </c>
      <c r="G5071">
        <v>44343</v>
      </c>
      <c r="H5071">
        <v>2021</v>
      </c>
      <c r="I5071" t="s">
        <v>44</v>
      </c>
    </row>
    <row r="5072" spans="1:9" x14ac:dyDescent="0.3">
      <c r="A5072" t="s">
        <v>26</v>
      </c>
      <c r="G5072">
        <v>44343</v>
      </c>
      <c r="H5072">
        <v>2021</v>
      </c>
      <c r="I5072" t="s">
        <v>44</v>
      </c>
    </row>
    <row r="5073" spans="1:9" x14ac:dyDescent="0.3">
      <c r="A5073" t="s">
        <v>22</v>
      </c>
      <c r="G5073">
        <v>44343</v>
      </c>
      <c r="H5073">
        <v>2021</v>
      </c>
      <c r="I5073" t="s">
        <v>44</v>
      </c>
    </row>
    <row r="5074" spans="1:9" x14ac:dyDescent="0.3">
      <c r="A5074" t="s">
        <v>61</v>
      </c>
      <c r="G5074">
        <v>44343</v>
      </c>
      <c r="H5074">
        <v>2021</v>
      </c>
      <c r="I5074" t="s">
        <v>44</v>
      </c>
    </row>
    <row r="5075" spans="1:9" x14ac:dyDescent="0.3">
      <c r="A5075" t="s">
        <v>19</v>
      </c>
      <c r="G5075">
        <v>44343</v>
      </c>
      <c r="H5075">
        <v>2021</v>
      </c>
      <c r="I5075" t="s">
        <v>44</v>
      </c>
    </row>
    <row r="5076" spans="1:9" x14ac:dyDescent="0.3">
      <c r="A5076" t="s">
        <v>14</v>
      </c>
      <c r="B5076">
        <v>904500</v>
      </c>
      <c r="C5076">
        <v>256500</v>
      </c>
      <c r="D5076">
        <v>370000</v>
      </c>
      <c r="G5076">
        <v>44343</v>
      </c>
      <c r="H5076">
        <v>2021</v>
      </c>
      <c r="I5076" t="s">
        <v>44</v>
      </c>
    </row>
    <row r="5077" spans="1:9" x14ac:dyDescent="0.3">
      <c r="A5077" t="s">
        <v>24</v>
      </c>
      <c r="G5077">
        <v>44343</v>
      </c>
      <c r="H5077">
        <v>2021</v>
      </c>
      <c r="I5077" t="s">
        <v>44</v>
      </c>
    </row>
    <row r="5078" spans="1:9" x14ac:dyDescent="0.3">
      <c r="A5078" t="s">
        <v>21</v>
      </c>
      <c r="G5078">
        <v>44343</v>
      </c>
      <c r="H5078">
        <v>2021</v>
      </c>
      <c r="I5078" t="s">
        <v>44</v>
      </c>
    </row>
    <row r="5079" spans="1:9" x14ac:dyDescent="0.3">
      <c r="A5079" t="s">
        <v>18</v>
      </c>
      <c r="G5079">
        <v>44343</v>
      </c>
      <c r="H5079">
        <v>2021</v>
      </c>
      <c r="I5079" t="s">
        <v>44</v>
      </c>
    </row>
    <row r="5080" spans="1:9" x14ac:dyDescent="0.3">
      <c r="A5080" t="s">
        <v>16</v>
      </c>
      <c r="C5080">
        <v>45000</v>
      </c>
      <c r="G5080">
        <v>44343</v>
      </c>
      <c r="H5080">
        <v>2021</v>
      </c>
      <c r="I5080" t="s">
        <v>44</v>
      </c>
    </row>
    <row r="5081" spans="1:9" x14ac:dyDescent="0.3">
      <c r="A5081" t="s">
        <v>20</v>
      </c>
      <c r="G5081">
        <v>44344</v>
      </c>
      <c r="H5081">
        <v>2021</v>
      </c>
      <c r="I5081" t="s">
        <v>44</v>
      </c>
    </row>
    <row r="5082" spans="1:9" x14ac:dyDescent="0.3">
      <c r="A5082" t="s">
        <v>37</v>
      </c>
      <c r="G5082">
        <v>44344</v>
      </c>
      <c r="H5082">
        <v>2021</v>
      </c>
      <c r="I5082" t="s">
        <v>44</v>
      </c>
    </row>
    <row r="5083" spans="1:9" x14ac:dyDescent="0.3">
      <c r="A5083" t="s">
        <v>17</v>
      </c>
      <c r="B5083">
        <v>54000</v>
      </c>
      <c r="G5083">
        <v>44344</v>
      </c>
      <c r="H5083">
        <v>2021</v>
      </c>
      <c r="I5083" t="s">
        <v>44</v>
      </c>
    </row>
    <row r="5084" spans="1:9" x14ac:dyDescent="0.3">
      <c r="A5084" t="s">
        <v>0</v>
      </c>
      <c r="C5084">
        <v>643500</v>
      </c>
      <c r="G5084">
        <v>44344</v>
      </c>
      <c r="H5084">
        <v>2021</v>
      </c>
      <c r="I5084" t="s">
        <v>44</v>
      </c>
    </row>
    <row r="5085" spans="1:9" x14ac:dyDescent="0.3">
      <c r="A5085" t="s">
        <v>25</v>
      </c>
      <c r="C5085">
        <v>162000</v>
      </c>
      <c r="G5085">
        <v>44344</v>
      </c>
      <c r="H5085">
        <v>2021</v>
      </c>
      <c r="I5085" t="s">
        <v>44</v>
      </c>
    </row>
    <row r="5086" spans="1:9" x14ac:dyDescent="0.3">
      <c r="A5086" t="s">
        <v>15</v>
      </c>
      <c r="C5086">
        <v>324000</v>
      </c>
      <c r="G5086">
        <v>44344</v>
      </c>
      <c r="H5086">
        <v>2021</v>
      </c>
      <c r="I5086" t="s">
        <v>44</v>
      </c>
    </row>
    <row r="5087" spans="1:9" x14ac:dyDescent="0.3">
      <c r="A5087" t="s">
        <v>54</v>
      </c>
      <c r="G5087">
        <v>44344</v>
      </c>
      <c r="H5087">
        <v>2021</v>
      </c>
      <c r="I5087" t="s">
        <v>44</v>
      </c>
    </row>
    <row r="5088" spans="1:9" x14ac:dyDescent="0.3">
      <c r="A5088" t="s">
        <v>26</v>
      </c>
      <c r="G5088">
        <v>44344</v>
      </c>
      <c r="H5088">
        <v>2021</v>
      </c>
      <c r="I5088" t="s">
        <v>44</v>
      </c>
    </row>
    <row r="5089" spans="1:9" x14ac:dyDescent="0.3">
      <c r="A5089" t="s">
        <v>22</v>
      </c>
      <c r="G5089">
        <v>44344</v>
      </c>
      <c r="H5089">
        <v>2021</v>
      </c>
      <c r="I5089" t="s">
        <v>44</v>
      </c>
    </row>
    <row r="5090" spans="1:9" x14ac:dyDescent="0.3">
      <c r="A5090" t="s">
        <v>61</v>
      </c>
      <c r="G5090">
        <v>44344</v>
      </c>
      <c r="H5090">
        <v>2021</v>
      </c>
      <c r="I5090" t="s">
        <v>44</v>
      </c>
    </row>
    <row r="5091" spans="1:9" x14ac:dyDescent="0.3">
      <c r="A5091" t="s">
        <v>19</v>
      </c>
      <c r="G5091">
        <v>44344</v>
      </c>
      <c r="H5091">
        <v>2021</v>
      </c>
      <c r="I5091" t="s">
        <v>44</v>
      </c>
    </row>
    <row r="5092" spans="1:9" x14ac:dyDescent="0.3">
      <c r="A5092" t="s">
        <v>14</v>
      </c>
      <c r="B5092">
        <v>1302500</v>
      </c>
      <c r="C5092">
        <v>216000</v>
      </c>
      <c r="D5092">
        <v>45000</v>
      </c>
      <c r="G5092">
        <v>44344</v>
      </c>
      <c r="H5092">
        <v>2021</v>
      </c>
      <c r="I5092" t="s">
        <v>44</v>
      </c>
    </row>
    <row r="5093" spans="1:9" x14ac:dyDescent="0.3">
      <c r="A5093" t="s">
        <v>24</v>
      </c>
      <c r="G5093">
        <v>44344</v>
      </c>
      <c r="H5093">
        <v>2021</v>
      </c>
      <c r="I5093" t="s">
        <v>44</v>
      </c>
    </row>
    <row r="5094" spans="1:9" x14ac:dyDescent="0.3">
      <c r="A5094" t="s">
        <v>21</v>
      </c>
      <c r="G5094">
        <v>44344</v>
      </c>
      <c r="H5094">
        <v>2021</v>
      </c>
      <c r="I5094" t="s">
        <v>44</v>
      </c>
    </row>
    <row r="5095" spans="1:9" x14ac:dyDescent="0.3">
      <c r="A5095" t="s">
        <v>18</v>
      </c>
      <c r="G5095">
        <v>44344</v>
      </c>
      <c r="H5095">
        <v>2021</v>
      </c>
      <c r="I5095" t="s">
        <v>44</v>
      </c>
    </row>
    <row r="5096" spans="1:9" x14ac:dyDescent="0.3">
      <c r="A5096" t="s">
        <v>16</v>
      </c>
      <c r="C5096">
        <v>45000</v>
      </c>
      <c r="G5096">
        <v>44344</v>
      </c>
      <c r="H5096">
        <v>2021</v>
      </c>
      <c r="I5096" t="s">
        <v>44</v>
      </c>
    </row>
    <row r="5097" spans="1:9" x14ac:dyDescent="0.3">
      <c r="A5097" t="s">
        <v>20</v>
      </c>
      <c r="G5097">
        <v>44347</v>
      </c>
      <c r="H5097">
        <v>2021</v>
      </c>
      <c r="I5097" t="s">
        <v>44</v>
      </c>
    </row>
    <row r="5098" spans="1:9" x14ac:dyDescent="0.3">
      <c r="A5098" t="s">
        <v>37</v>
      </c>
      <c r="G5098">
        <v>44347</v>
      </c>
      <c r="H5098">
        <v>2021</v>
      </c>
      <c r="I5098" t="s">
        <v>44</v>
      </c>
    </row>
    <row r="5099" spans="1:9" x14ac:dyDescent="0.3">
      <c r="A5099" t="s">
        <v>17</v>
      </c>
      <c r="B5099">
        <v>54000</v>
      </c>
      <c r="G5099">
        <v>44347</v>
      </c>
      <c r="H5099">
        <v>2021</v>
      </c>
      <c r="I5099" t="s">
        <v>44</v>
      </c>
    </row>
    <row r="5100" spans="1:9" x14ac:dyDescent="0.3">
      <c r="A5100" t="s">
        <v>0</v>
      </c>
      <c r="C5100">
        <v>518000</v>
      </c>
      <c r="E5100">
        <v>270000</v>
      </c>
      <c r="G5100">
        <v>44347</v>
      </c>
      <c r="H5100">
        <v>2021</v>
      </c>
      <c r="I5100" t="s">
        <v>44</v>
      </c>
    </row>
    <row r="5101" spans="1:9" x14ac:dyDescent="0.3">
      <c r="A5101" t="s">
        <v>25</v>
      </c>
      <c r="C5101">
        <v>216000</v>
      </c>
      <c r="D5101">
        <v>540000</v>
      </c>
      <c r="G5101">
        <v>44347</v>
      </c>
      <c r="H5101">
        <v>2021</v>
      </c>
      <c r="I5101" t="s">
        <v>44</v>
      </c>
    </row>
    <row r="5102" spans="1:9" x14ac:dyDescent="0.3">
      <c r="A5102" t="s">
        <v>15</v>
      </c>
      <c r="C5102">
        <v>423000</v>
      </c>
      <c r="G5102">
        <v>44347</v>
      </c>
      <c r="H5102">
        <v>2021</v>
      </c>
      <c r="I5102" t="s">
        <v>44</v>
      </c>
    </row>
    <row r="5103" spans="1:9" x14ac:dyDescent="0.3">
      <c r="A5103" t="s">
        <v>54</v>
      </c>
      <c r="B5103">
        <v>54000</v>
      </c>
      <c r="G5103">
        <v>44347</v>
      </c>
      <c r="H5103">
        <v>2021</v>
      </c>
      <c r="I5103" t="s">
        <v>44</v>
      </c>
    </row>
    <row r="5104" spans="1:9" x14ac:dyDescent="0.3">
      <c r="A5104" t="s">
        <v>26</v>
      </c>
      <c r="G5104">
        <v>44347</v>
      </c>
      <c r="H5104">
        <v>2021</v>
      </c>
      <c r="I5104" t="s">
        <v>44</v>
      </c>
    </row>
    <row r="5105" spans="1:9" x14ac:dyDescent="0.3">
      <c r="A5105" t="s">
        <v>22</v>
      </c>
      <c r="G5105">
        <v>44347</v>
      </c>
      <c r="H5105">
        <v>2021</v>
      </c>
      <c r="I5105" t="s">
        <v>44</v>
      </c>
    </row>
    <row r="5106" spans="1:9" x14ac:dyDescent="0.3">
      <c r="A5106" t="s">
        <v>61</v>
      </c>
      <c r="G5106">
        <v>44347</v>
      </c>
      <c r="H5106">
        <v>2021</v>
      </c>
      <c r="I5106" t="s">
        <v>44</v>
      </c>
    </row>
    <row r="5107" spans="1:9" x14ac:dyDescent="0.3">
      <c r="A5107" t="s">
        <v>19</v>
      </c>
      <c r="G5107">
        <v>44347</v>
      </c>
      <c r="H5107">
        <v>2021</v>
      </c>
      <c r="I5107" t="s">
        <v>44</v>
      </c>
    </row>
    <row r="5108" spans="1:9" x14ac:dyDescent="0.3">
      <c r="A5108" t="s">
        <v>14</v>
      </c>
      <c r="B5108">
        <v>1134000</v>
      </c>
      <c r="C5108">
        <v>324000</v>
      </c>
      <c r="G5108">
        <v>44347</v>
      </c>
      <c r="H5108">
        <v>2021</v>
      </c>
      <c r="I5108" t="s">
        <v>44</v>
      </c>
    </row>
    <row r="5109" spans="1:9" x14ac:dyDescent="0.3">
      <c r="A5109" t="s">
        <v>24</v>
      </c>
      <c r="G5109">
        <v>44347</v>
      </c>
      <c r="H5109">
        <v>2021</v>
      </c>
      <c r="I5109" t="s">
        <v>44</v>
      </c>
    </row>
    <row r="5110" spans="1:9" x14ac:dyDescent="0.3">
      <c r="A5110" t="s">
        <v>21</v>
      </c>
      <c r="G5110">
        <v>44347</v>
      </c>
      <c r="H5110">
        <v>2021</v>
      </c>
      <c r="I5110" t="s">
        <v>44</v>
      </c>
    </row>
    <row r="5111" spans="1:9" x14ac:dyDescent="0.3">
      <c r="A5111" t="s">
        <v>18</v>
      </c>
      <c r="G5111">
        <v>44347</v>
      </c>
      <c r="H5111">
        <v>2021</v>
      </c>
      <c r="I5111" t="s">
        <v>44</v>
      </c>
    </row>
    <row r="5112" spans="1:9" x14ac:dyDescent="0.3">
      <c r="A5112" t="s">
        <v>16</v>
      </c>
      <c r="C5112">
        <v>216000</v>
      </c>
      <c r="G5112">
        <v>44347</v>
      </c>
      <c r="H5112">
        <v>2021</v>
      </c>
      <c r="I5112" t="s">
        <v>44</v>
      </c>
    </row>
    <row r="5113" spans="1:9" x14ac:dyDescent="0.3">
      <c r="A5113" t="s">
        <v>20</v>
      </c>
      <c r="G5113">
        <v>44348</v>
      </c>
      <c r="H5113">
        <v>2021</v>
      </c>
      <c r="I5113" t="s">
        <v>47</v>
      </c>
    </row>
    <row r="5114" spans="1:9" x14ac:dyDescent="0.3">
      <c r="A5114" t="s">
        <v>37</v>
      </c>
      <c r="G5114">
        <v>44348</v>
      </c>
      <c r="H5114">
        <v>2021</v>
      </c>
      <c r="I5114" t="s">
        <v>47</v>
      </c>
    </row>
    <row r="5115" spans="1:9" x14ac:dyDescent="0.3">
      <c r="A5115" t="s">
        <v>17</v>
      </c>
      <c r="G5115">
        <v>44348</v>
      </c>
      <c r="H5115">
        <v>2021</v>
      </c>
      <c r="I5115" t="s">
        <v>47</v>
      </c>
    </row>
    <row r="5116" spans="1:9" x14ac:dyDescent="0.3">
      <c r="A5116" t="s">
        <v>0</v>
      </c>
      <c r="G5116">
        <v>44348</v>
      </c>
      <c r="H5116">
        <v>2021</v>
      </c>
      <c r="I5116" t="s">
        <v>47</v>
      </c>
    </row>
    <row r="5117" spans="1:9" x14ac:dyDescent="0.3">
      <c r="A5117" t="s">
        <v>25</v>
      </c>
      <c r="G5117">
        <v>44348</v>
      </c>
      <c r="H5117">
        <v>2021</v>
      </c>
      <c r="I5117" t="s">
        <v>47</v>
      </c>
    </row>
    <row r="5118" spans="1:9" x14ac:dyDescent="0.3">
      <c r="A5118" t="s">
        <v>15</v>
      </c>
      <c r="G5118">
        <v>44348</v>
      </c>
      <c r="H5118">
        <v>2021</v>
      </c>
      <c r="I5118" t="s">
        <v>47</v>
      </c>
    </row>
    <row r="5119" spans="1:9" x14ac:dyDescent="0.3">
      <c r="A5119" t="s">
        <v>54</v>
      </c>
      <c r="G5119">
        <v>44348</v>
      </c>
      <c r="H5119">
        <v>2021</v>
      </c>
      <c r="I5119" t="s">
        <v>47</v>
      </c>
    </row>
    <row r="5120" spans="1:9" x14ac:dyDescent="0.3">
      <c r="A5120" t="s">
        <v>26</v>
      </c>
      <c r="G5120">
        <v>44348</v>
      </c>
      <c r="H5120">
        <v>2021</v>
      </c>
      <c r="I5120" t="s">
        <v>47</v>
      </c>
    </row>
    <row r="5121" spans="1:9" x14ac:dyDescent="0.3">
      <c r="A5121" t="s">
        <v>22</v>
      </c>
      <c r="G5121">
        <v>44348</v>
      </c>
      <c r="H5121">
        <v>2021</v>
      </c>
      <c r="I5121" t="s">
        <v>47</v>
      </c>
    </row>
    <row r="5122" spans="1:9" x14ac:dyDescent="0.3">
      <c r="A5122" t="s">
        <v>61</v>
      </c>
      <c r="G5122">
        <v>44348</v>
      </c>
      <c r="H5122">
        <v>2021</v>
      </c>
      <c r="I5122" t="s">
        <v>47</v>
      </c>
    </row>
    <row r="5123" spans="1:9" x14ac:dyDescent="0.3">
      <c r="A5123" t="s">
        <v>19</v>
      </c>
      <c r="C5123">
        <v>324000</v>
      </c>
      <c r="G5123">
        <v>44348</v>
      </c>
      <c r="H5123">
        <v>2021</v>
      </c>
      <c r="I5123" t="s">
        <v>47</v>
      </c>
    </row>
    <row r="5124" spans="1:9" x14ac:dyDescent="0.3">
      <c r="A5124" t="s">
        <v>14</v>
      </c>
      <c r="G5124">
        <v>44348</v>
      </c>
      <c r="H5124">
        <v>2021</v>
      </c>
      <c r="I5124" t="s">
        <v>47</v>
      </c>
    </row>
    <row r="5125" spans="1:9" x14ac:dyDescent="0.3">
      <c r="A5125" t="s">
        <v>24</v>
      </c>
      <c r="G5125">
        <v>44348</v>
      </c>
      <c r="H5125">
        <v>2021</v>
      </c>
      <c r="I5125" t="s">
        <v>47</v>
      </c>
    </row>
    <row r="5126" spans="1:9" x14ac:dyDescent="0.3">
      <c r="A5126" t="s">
        <v>21</v>
      </c>
      <c r="G5126">
        <v>44348</v>
      </c>
      <c r="H5126">
        <v>2021</v>
      </c>
      <c r="I5126" t="s">
        <v>47</v>
      </c>
    </row>
    <row r="5127" spans="1:9" x14ac:dyDescent="0.3">
      <c r="A5127" t="s">
        <v>18</v>
      </c>
      <c r="G5127">
        <v>44348</v>
      </c>
      <c r="H5127">
        <v>2021</v>
      </c>
      <c r="I5127" t="s">
        <v>47</v>
      </c>
    </row>
    <row r="5128" spans="1:9" x14ac:dyDescent="0.3">
      <c r="A5128" t="s">
        <v>16</v>
      </c>
      <c r="G5128">
        <v>44348</v>
      </c>
      <c r="H5128">
        <v>2021</v>
      </c>
      <c r="I5128" t="s">
        <v>47</v>
      </c>
    </row>
    <row r="5129" spans="1:9" x14ac:dyDescent="0.3">
      <c r="A5129" t="s">
        <v>20</v>
      </c>
      <c r="G5129">
        <v>44349</v>
      </c>
      <c r="H5129">
        <v>2021</v>
      </c>
      <c r="I5129" t="s">
        <v>47</v>
      </c>
    </row>
    <row r="5130" spans="1:9" x14ac:dyDescent="0.3">
      <c r="A5130" t="s">
        <v>37</v>
      </c>
      <c r="G5130">
        <v>44349</v>
      </c>
      <c r="H5130">
        <v>2021</v>
      </c>
      <c r="I5130" t="s">
        <v>47</v>
      </c>
    </row>
    <row r="5131" spans="1:9" x14ac:dyDescent="0.3">
      <c r="A5131" t="s">
        <v>17</v>
      </c>
      <c r="E5131">
        <v>108000</v>
      </c>
      <c r="G5131">
        <v>44349</v>
      </c>
      <c r="H5131">
        <v>2021</v>
      </c>
      <c r="I5131" t="s">
        <v>47</v>
      </c>
    </row>
    <row r="5132" spans="1:9" x14ac:dyDescent="0.3">
      <c r="A5132" t="s">
        <v>0</v>
      </c>
      <c r="B5132">
        <v>320000</v>
      </c>
      <c r="C5132">
        <v>49500</v>
      </c>
      <c r="G5132">
        <v>44349</v>
      </c>
      <c r="H5132">
        <v>2021</v>
      </c>
      <c r="I5132" t="s">
        <v>47</v>
      </c>
    </row>
    <row r="5133" spans="1:9" x14ac:dyDescent="0.3">
      <c r="A5133" t="s">
        <v>25</v>
      </c>
      <c r="C5133">
        <v>54000</v>
      </c>
      <c r="E5133">
        <v>158000</v>
      </c>
      <c r="G5133">
        <v>44349</v>
      </c>
      <c r="H5133">
        <v>2021</v>
      </c>
      <c r="I5133" t="s">
        <v>47</v>
      </c>
    </row>
    <row r="5134" spans="1:9" x14ac:dyDescent="0.3">
      <c r="A5134" t="s">
        <v>15</v>
      </c>
      <c r="C5134">
        <v>148500</v>
      </c>
      <c r="E5134">
        <v>54000</v>
      </c>
      <c r="G5134">
        <v>44349</v>
      </c>
      <c r="H5134">
        <v>2021</v>
      </c>
      <c r="I5134" t="s">
        <v>47</v>
      </c>
    </row>
    <row r="5135" spans="1:9" x14ac:dyDescent="0.3">
      <c r="A5135" t="s">
        <v>54</v>
      </c>
      <c r="G5135">
        <v>44349</v>
      </c>
      <c r="H5135">
        <v>2021</v>
      </c>
      <c r="I5135" t="s">
        <v>47</v>
      </c>
    </row>
    <row r="5136" spans="1:9" x14ac:dyDescent="0.3">
      <c r="A5136" t="s">
        <v>26</v>
      </c>
      <c r="C5136">
        <v>162000</v>
      </c>
      <c r="E5136">
        <v>162000</v>
      </c>
      <c r="G5136">
        <v>44349</v>
      </c>
      <c r="H5136">
        <v>2021</v>
      </c>
      <c r="I5136" t="s">
        <v>47</v>
      </c>
    </row>
    <row r="5137" spans="1:9" x14ac:dyDescent="0.3">
      <c r="A5137" t="s">
        <v>22</v>
      </c>
      <c r="G5137">
        <v>44349</v>
      </c>
      <c r="H5137">
        <v>2021</v>
      </c>
      <c r="I5137" t="s">
        <v>47</v>
      </c>
    </row>
    <row r="5138" spans="1:9" x14ac:dyDescent="0.3">
      <c r="A5138" t="s">
        <v>61</v>
      </c>
      <c r="G5138">
        <v>44349</v>
      </c>
      <c r="H5138">
        <v>2021</v>
      </c>
      <c r="I5138" t="s">
        <v>47</v>
      </c>
    </row>
    <row r="5139" spans="1:9" x14ac:dyDescent="0.3">
      <c r="A5139" t="s">
        <v>19</v>
      </c>
      <c r="C5139">
        <v>828000</v>
      </c>
      <c r="G5139">
        <v>44349</v>
      </c>
      <c r="H5139">
        <v>2021</v>
      </c>
      <c r="I5139" t="s">
        <v>47</v>
      </c>
    </row>
    <row r="5140" spans="1:9" x14ac:dyDescent="0.3">
      <c r="A5140" t="s">
        <v>14</v>
      </c>
      <c r="C5140">
        <v>270000</v>
      </c>
      <c r="G5140">
        <v>44349</v>
      </c>
      <c r="H5140">
        <v>2021</v>
      </c>
      <c r="I5140" t="s">
        <v>47</v>
      </c>
    </row>
    <row r="5141" spans="1:9" x14ac:dyDescent="0.3">
      <c r="A5141" t="s">
        <v>24</v>
      </c>
      <c r="G5141">
        <v>44349</v>
      </c>
      <c r="H5141">
        <v>2021</v>
      </c>
      <c r="I5141" t="s">
        <v>47</v>
      </c>
    </row>
    <row r="5142" spans="1:9" x14ac:dyDescent="0.3">
      <c r="A5142" t="s">
        <v>21</v>
      </c>
      <c r="C5142">
        <v>108000</v>
      </c>
      <c r="G5142">
        <v>44349</v>
      </c>
      <c r="H5142">
        <v>2021</v>
      </c>
      <c r="I5142" t="s">
        <v>47</v>
      </c>
    </row>
    <row r="5143" spans="1:9" x14ac:dyDescent="0.3">
      <c r="A5143" t="s">
        <v>18</v>
      </c>
      <c r="G5143">
        <v>44349</v>
      </c>
      <c r="H5143">
        <v>2021</v>
      </c>
      <c r="I5143" t="s">
        <v>47</v>
      </c>
    </row>
    <row r="5144" spans="1:9" x14ac:dyDescent="0.3">
      <c r="A5144" t="s">
        <v>16</v>
      </c>
      <c r="C5144">
        <v>108000</v>
      </c>
      <c r="E5144">
        <v>104000</v>
      </c>
      <c r="G5144">
        <v>44349</v>
      </c>
      <c r="H5144">
        <v>2021</v>
      </c>
      <c r="I5144" t="s">
        <v>47</v>
      </c>
    </row>
    <row r="5145" spans="1:9" x14ac:dyDescent="0.3">
      <c r="A5145" t="s">
        <v>20</v>
      </c>
      <c r="G5145">
        <v>44350</v>
      </c>
      <c r="H5145">
        <v>2021</v>
      </c>
      <c r="I5145" t="s">
        <v>47</v>
      </c>
    </row>
    <row r="5146" spans="1:9" x14ac:dyDescent="0.3">
      <c r="A5146" t="s">
        <v>37</v>
      </c>
      <c r="G5146">
        <v>44350</v>
      </c>
      <c r="H5146">
        <v>2021</v>
      </c>
      <c r="I5146" t="s">
        <v>47</v>
      </c>
    </row>
    <row r="5147" spans="1:9" x14ac:dyDescent="0.3">
      <c r="A5147" t="s">
        <v>17</v>
      </c>
      <c r="B5147">
        <v>426500</v>
      </c>
      <c r="E5147">
        <v>108000</v>
      </c>
      <c r="G5147">
        <v>44350</v>
      </c>
      <c r="H5147">
        <v>2021</v>
      </c>
      <c r="I5147" t="s">
        <v>47</v>
      </c>
    </row>
    <row r="5148" spans="1:9" x14ac:dyDescent="0.3">
      <c r="A5148" t="s">
        <v>0</v>
      </c>
      <c r="B5148">
        <v>1490000</v>
      </c>
      <c r="D5148">
        <v>315000</v>
      </c>
      <c r="G5148">
        <v>44350</v>
      </c>
      <c r="H5148">
        <v>2021</v>
      </c>
      <c r="I5148" t="s">
        <v>47</v>
      </c>
    </row>
    <row r="5149" spans="1:9" x14ac:dyDescent="0.3">
      <c r="A5149" t="s">
        <v>25</v>
      </c>
      <c r="C5149">
        <v>265500</v>
      </c>
      <c r="E5149">
        <v>108000</v>
      </c>
      <c r="G5149">
        <v>44350</v>
      </c>
      <c r="H5149">
        <v>2021</v>
      </c>
      <c r="I5149" t="s">
        <v>47</v>
      </c>
    </row>
    <row r="5150" spans="1:9" x14ac:dyDescent="0.3">
      <c r="A5150" t="s">
        <v>15</v>
      </c>
      <c r="C5150">
        <v>54000</v>
      </c>
      <c r="E5150">
        <v>108000</v>
      </c>
      <c r="G5150">
        <v>44350</v>
      </c>
      <c r="H5150">
        <v>2021</v>
      </c>
      <c r="I5150" t="s">
        <v>47</v>
      </c>
    </row>
    <row r="5151" spans="1:9" x14ac:dyDescent="0.3">
      <c r="A5151" t="s">
        <v>54</v>
      </c>
      <c r="G5151">
        <v>44350</v>
      </c>
      <c r="H5151">
        <v>2021</v>
      </c>
      <c r="I5151" t="s">
        <v>47</v>
      </c>
    </row>
    <row r="5152" spans="1:9" x14ac:dyDescent="0.3">
      <c r="A5152" t="s">
        <v>26</v>
      </c>
      <c r="C5152">
        <v>265500</v>
      </c>
      <c r="E5152">
        <v>162000</v>
      </c>
      <c r="G5152">
        <v>44350</v>
      </c>
      <c r="H5152">
        <v>2021</v>
      </c>
      <c r="I5152" t="s">
        <v>47</v>
      </c>
    </row>
    <row r="5153" spans="1:9" x14ac:dyDescent="0.3">
      <c r="A5153" t="s">
        <v>22</v>
      </c>
      <c r="G5153">
        <v>44350</v>
      </c>
      <c r="H5153">
        <v>2021</v>
      </c>
      <c r="I5153" t="s">
        <v>47</v>
      </c>
    </row>
    <row r="5154" spans="1:9" x14ac:dyDescent="0.3">
      <c r="A5154" t="s">
        <v>61</v>
      </c>
      <c r="G5154">
        <v>44350</v>
      </c>
      <c r="H5154">
        <v>2021</v>
      </c>
      <c r="I5154" t="s">
        <v>47</v>
      </c>
    </row>
    <row r="5155" spans="1:9" x14ac:dyDescent="0.3">
      <c r="A5155" t="s">
        <v>19</v>
      </c>
      <c r="G5155">
        <v>44350</v>
      </c>
      <c r="H5155">
        <v>2021</v>
      </c>
      <c r="I5155" t="s">
        <v>47</v>
      </c>
    </row>
    <row r="5156" spans="1:9" x14ac:dyDescent="0.3">
      <c r="A5156" t="s">
        <v>14</v>
      </c>
      <c r="C5156">
        <v>216000</v>
      </c>
      <c r="G5156">
        <v>44350</v>
      </c>
      <c r="H5156">
        <v>2021</v>
      </c>
      <c r="I5156" t="s">
        <v>47</v>
      </c>
    </row>
    <row r="5157" spans="1:9" x14ac:dyDescent="0.3">
      <c r="A5157" t="s">
        <v>24</v>
      </c>
      <c r="G5157">
        <v>44350</v>
      </c>
      <c r="H5157">
        <v>2021</v>
      </c>
      <c r="I5157" t="s">
        <v>47</v>
      </c>
    </row>
    <row r="5158" spans="1:9" x14ac:dyDescent="0.3">
      <c r="A5158" t="s">
        <v>21</v>
      </c>
      <c r="G5158">
        <v>44350</v>
      </c>
      <c r="H5158">
        <v>2021</v>
      </c>
      <c r="I5158" t="s">
        <v>47</v>
      </c>
    </row>
    <row r="5159" spans="1:9" x14ac:dyDescent="0.3">
      <c r="A5159" t="s">
        <v>18</v>
      </c>
      <c r="G5159">
        <v>44350</v>
      </c>
      <c r="H5159">
        <v>2021</v>
      </c>
      <c r="I5159" t="s">
        <v>47</v>
      </c>
    </row>
    <row r="5160" spans="1:9" x14ac:dyDescent="0.3">
      <c r="A5160" t="s">
        <v>16</v>
      </c>
      <c r="C5160">
        <v>216000</v>
      </c>
      <c r="E5160">
        <v>108000</v>
      </c>
      <c r="G5160">
        <v>44350</v>
      </c>
      <c r="H5160">
        <v>2021</v>
      </c>
      <c r="I5160" t="s">
        <v>47</v>
      </c>
    </row>
    <row r="5161" spans="1:9" x14ac:dyDescent="0.3">
      <c r="A5161" t="s">
        <v>20</v>
      </c>
      <c r="G5161">
        <v>44351</v>
      </c>
      <c r="H5161">
        <v>2021</v>
      </c>
      <c r="I5161" t="s">
        <v>47</v>
      </c>
    </row>
    <row r="5162" spans="1:9" x14ac:dyDescent="0.3">
      <c r="A5162" t="s">
        <v>37</v>
      </c>
      <c r="G5162">
        <v>44351</v>
      </c>
      <c r="H5162">
        <v>2021</v>
      </c>
      <c r="I5162" t="s">
        <v>47</v>
      </c>
    </row>
    <row r="5163" spans="1:9" x14ac:dyDescent="0.3">
      <c r="A5163" t="s">
        <v>17</v>
      </c>
      <c r="B5163">
        <v>540000</v>
      </c>
      <c r="G5163">
        <v>44351</v>
      </c>
      <c r="H5163">
        <v>2021</v>
      </c>
      <c r="I5163" t="s">
        <v>47</v>
      </c>
    </row>
    <row r="5164" spans="1:9" x14ac:dyDescent="0.3">
      <c r="A5164" t="s">
        <v>0</v>
      </c>
      <c r="B5164">
        <v>1054000</v>
      </c>
      <c r="D5164">
        <v>185000</v>
      </c>
      <c r="G5164">
        <v>44351</v>
      </c>
      <c r="H5164">
        <v>2021</v>
      </c>
      <c r="I5164" t="s">
        <v>47</v>
      </c>
    </row>
    <row r="5165" spans="1:9" x14ac:dyDescent="0.3">
      <c r="A5165" t="s">
        <v>25</v>
      </c>
      <c r="C5165">
        <v>108000</v>
      </c>
      <c r="D5165">
        <v>158000</v>
      </c>
      <c r="G5165">
        <v>44351</v>
      </c>
      <c r="H5165">
        <v>2021</v>
      </c>
      <c r="I5165" t="s">
        <v>47</v>
      </c>
    </row>
    <row r="5166" spans="1:9" x14ac:dyDescent="0.3">
      <c r="A5166" t="s">
        <v>15</v>
      </c>
      <c r="C5166">
        <v>316000</v>
      </c>
      <c r="G5166">
        <v>44351</v>
      </c>
      <c r="H5166">
        <v>2021</v>
      </c>
      <c r="I5166" t="s">
        <v>47</v>
      </c>
    </row>
    <row r="5167" spans="1:9" x14ac:dyDescent="0.3">
      <c r="A5167" t="s">
        <v>54</v>
      </c>
      <c r="G5167">
        <v>44351</v>
      </c>
      <c r="H5167">
        <v>2021</v>
      </c>
      <c r="I5167" t="s">
        <v>47</v>
      </c>
    </row>
    <row r="5168" spans="1:9" x14ac:dyDescent="0.3">
      <c r="A5168" t="s">
        <v>26</v>
      </c>
      <c r="C5168">
        <v>108000</v>
      </c>
      <c r="G5168">
        <v>44351</v>
      </c>
      <c r="H5168">
        <v>2021</v>
      </c>
      <c r="I5168" t="s">
        <v>47</v>
      </c>
    </row>
    <row r="5169" spans="1:9" x14ac:dyDescent="0.3">
      <c r="A5169" t="s">
        <v>22</v>
      </c>
      <c r="G5169">
        <v>44351</v>
      </c>
      <c r="H5169">
        <v>2021</v>
      </c>
      <c r="I5169" t="s">
        <v>47</v>
      </c>
    </row>
    <row r="5170" spans="1:9" x14ac:dyDescent="0.3">
      <c r="A5170" t="s">
        <v>61</v>
      </c>
      <c r="G5170">
        <v>44351</v>
      </c>
      <c r="H5170">
        <v>2021</v>
      </c>
      <c r="I5170" t="s">
        <v>47</v>
      </c>
    </row>
    <row r="5171" spans="1:9" x14ac:dyDescent="0.3">
      <c r="A5171" t="s">
        <v>19</v>
      </c>
      <c r="D5171">
        <v>648000</v>
      </c>
      <c r="G5171">
        <v>44351</v>
      </c>
      <c r="H5171">
        <v>2021</v>
      </c>
      <c r="I5171" t="s">
        <v>47</v>
      </c>
    </row>
    <row r="5172" spans="1:9" x14ac:dyDescent="0.3">
      <c r="A5172" t="s">
        <v>14</v>
      </c>
      <c r="C5172">
        <v>319500</v>
      </c>
      <c r="G5172">
        <v>44351</v>
      </c>
      <c r="H5172">
        <v>2021</v>
      </c>
      <c r="I5172" t="s">
        <v>47</v>
      </c>
    </row>
    <row r="5173" spans="1:9" x14ac:dyDescent="0.3">
      <c r="A5173" t="s">
        <v>24</v>
      </c>
      <c r="G5173">
        <v>44351</v>
      </c>
      <c r="H5173">
        <v>2021</v>
      </c>
      <c r="I5173" t="s">
        <v>47</v>
      </c>
    </row>
    <row r="5174" spans="1:9" x14ac:dyDescent="0.3">
      <c r="A5174" t="s">
        <v>21</v>
      </c>
      <c r="G5174">
        <v>44351</v>
      </c>
      <c r="H5174">
        <v>2021</v>
      </c>
      <c r="I5174" t="s">
        <v>47</v>
      </c>
    </row>
    <row r="5175" spans="1:9" x14ac:dyDescent="0.3">
      <c r="A5175" t="s">
        <v>18</v>
      </c>
      <c r="G5175">
        <v>44351</v>
      </c>
      <c r="H5175">
        <v>2021</v>
      </c>
      <c r="I5175" t="s">
        <v>47</v>
      </c>
    </row>
    <row r="5176" spans="1:9" x14ac:dyDescent="0.3">
      <c r="A5176" t="s">
        <v>16</v>
      </c>
      <c r="C5176">
        <v>212000</v>
      </c>
      <c r="G5176">
        <v>44351</v>
      </c>
      <c r="H5176">
        <v>2021</v>
      </c>
      <c r="I5176" t="s">
        <v>47</v>
      </c>
    </row>
    <row r="5177" spans="1:9" x14ac:dyDescent="0.3">
      <c r="A5177" t="s">
        <v>20</v>
      </c>
      <c r="G5177">
        <v>44354</v>
      </c>
      <c r="H5177">
        <v>2021</v>
      </c>
      <c r="I5177" t="s">
        <v>47</v>
      </c>
    </row>
    <row r="5178" spans="1:9" x14ac:dyDescent="0.3">
      <c r="A5178" t="s">
        <v>37</v>
      </c>
      <c r="G5178">
        <v>44354</v>
      </c>
      <c r="H5178">
        <v>2021</v>
      </c>
      <c r="I5178" t="s">
        <v>47</v>
      </c>
    </row>
    <row r="5179" spans="1:9" x14ac:dyDescent="0.3">
      <c r="A5179" t="s">
        <v>17</v>
      </c>
      <c r="B5179">
        <v>407000</v>
      </c>
      <c r="E5179">
        <v>108000</v>
      </c>
      <c r="G5179">
        <v>44354</v>
      </c>
      <c r="H5179">
        <v>2021</v>
      </c>
      <c r="I5179" t="s">
        <v>47</v>
      </c>
    </row>
    <row r="5180" spans="1:9" x14ac:dyDescent="0.3">
      <c r="A5180" t="s">
        <v>0</v>
      </c>
      <c r="B5180">
        <v>913500</v>
      </c>
      <c r="G5180">
        <v>44354</v>
      </c>
      <c r="H5180">
        <v>2021</v>
      </c>
      <c r="I5180" t="s">
        <v>47</v>
      </c>
    </row>
    <row r="5181" spans="1:9" x14ac:dyDescent="0.3">
      <c r="A5181" t="s">
        <v>25</v>
      </c>
      <c r="E5181">
        <v>108000</v>
      </c>
      <c r="G5181">
        <v>44354</v>
      </c>
      <c r="H5181">
        <v>2021</v>
      </c>
      <c r="I5181" t="s">
        <v>47</v>
      </c>
    </row>
    <row r="5182" spans="1:9" x14ac:dyDescent="0.3">
      <c r="A5182" t="s">
        <v>15</v>
      </c>
      <c r="C5182">
        <v>319500</v>
      </c>
      <c r="E5182">
        <v>162000</v>
      </c>
      <c r="G5182">
        <v>44354</v>
      </c>
      <c r="H5182">
        <v>2021</v>
      </c>
      <c r="I5182" t="s">
        <v>47</v>
      </c>
    </row>
    <row r="5183" spans="1:9" x14ac:dyDescent="0.3">
      <c r="A5183" t="s">
        <v>54</v>
      </c>
      <c r="G5183">
        <v>44354</v>
      </c>
      <c r="H5183">
        <v>2021</v>
      </c>
      <c r="I5183" t="s">
        <v>47</v>
      </c>
    </row>
    <row r="5184" spans="1:9" x14ac:dyDescent="0.3">
      <c r="A5184" t="s">
        <v>26</v>
      </c>
      <c r="C5184">
        <v>324000</v>
      </c>
      <c r="E5184">
        <v>108000</v>
      </c>
      <c r="G5184">
        <v>44354</v>
      </c>
      <c r="H5184">
        <v>2021</v>
      </c>
      <c r="I5184" t="s">
        <v>47</v>
      </c>
    </row>
    <row r="5185" spans="1:9" x14ac:dyDescent="0.3">
      <c r="A5185" t="s">
        <v>22</v>
      </c>
      <c r="G5185">
        <v>44354</v>
      </c>
      <c r="H5185">
        <v>2021</v>
      </c>
      <c r="I5185" t="s">
        <v>47</v>
      </c>
    </row>
    <row r="5186" spans="1:9" x14ac:dyDescent="0.3">
      <c r="A5186" t="s">
        <v>61</v>
      </c>
      <c r="G5186">
        <v>44354</v>
      </c>
      <c r="H5186">
        <v>2021</v>
      </c>
      <c r="I5186" t="s">
        <v>47</v>
      </c>
    </row>
    <row r="5187" spans="1:9" x14ac:dyDescent="0.3">
      <c r="A5187" t="s">
        <v>19</v>
      </c>
      <c r="D5187">
        <v>162000</v>
      </c>
      <c r="G5187">
        <v>44354</v>
      </c>
      <c r="H5187">
        <v>2021</v>
      </c>
      <c r="I5187" t="s">
        <v>47</v>
      </c>
    </row>
    <row r="5188" spans="1:9" x14ac:dyDescent="0.3">
      <c r="A5188" t="s">
        <v>14</v>
      </c>
      <c r="C5188">
        <v>432000</v>
      </c>
      <c r="G5188">
        <v>44354</v>
      </c>
      <c r="H5188">
        <v>2021</v>
      </c>
      <c r="I5188" t="s">
        <v>47</v>
      </c>
    </row>
    <row r="5189" spans="1:9" x14ac:dyDescent="0.3">
      <c r="A5189" t="s">
        <v>24</v>
      </c>
      <c r="G5189">
        <v>44354</v>
      </c>
      <c r="H5189">
        <v>2021</v>
      </c>
      <c r="I5189" t="s">
        <v>47</v>
      </c>
    </row>
    <row r="5190" spans="1:9" x14ac:dyDescent="0.3">
      <c r="A5190" t="s">
        <v>21</v>
      </c>
      <c r="G5190">
        <v>44354</v>
      </c>
      <c r="H5190">
        <v>2021</v>
      </c>
      <c r="I5190" t="s">
        <v>47</v>
      </c>
    </row>
    <row r="5191" spans="1:9" x14ac:dyDescent="0.3">
      <c r="A5191" t="s">
        <v>18</v>
      </c>
      <c r="G5191">
        <v>44354</v>
      </c>
      <c r="H5191">
        <v>2021</v>
      </c>
      <c r="I5191" t="s">
        <v>47</v>
      </c>
    </row>
    <row r="5192" spans="1:9" x14ac:dyDescent="0.3">
      <c r="A5192" t="s">
        <v>16</v>
      </c>
      <c r="C5192">
        <v>270000</v>
      </c>
      <c r="E5192">
        <v>108000</v>
      </c>
      <c r="G5192">
        <v>44354</v>
      </c>
      <c r="H5192">
        <v>2021</v>
      </c>
      <c r="I5192" t="s">
        <v>47</v>
      </c>
    </row>
    <row r="5193" spans="1:9" x14ac:dyDescent="0.3">
      <c r="A5193" t="s">
        <v>20</v>
      </c>
      <c r="G5193">
        <v>44355</v>
      </c>
      <c r="H5193">
        <v>2021</v>
      </c>
      <c r="I5193" t="s">
        <v>47</v>
      </c>
    </row>
    <row r="5194" spans="1:9" x14ac:dyDescent="0.3">
      <c r="A5194" t="s">
        <v>37</v>
      </c>
      <c r="G5194">
        <v>44355</v>
      </c>
      <c r="H5194">
        <v>2021</v>
      </c>
      <c r="I5194" t="s">
        <v>47</v>
      </c>
    </row>
    <row r="5195" spans="1:9" x14ac:dyDescent="0.3">
      <c r="A5195" t="s">
        <v>17</v>
      </c>
      <c r="B5195">
        <v>261000</v>
      </c>
      <c r="G5195">
        <v>44355</v>
      </c>
      <c r="H5195">
        <v>2021</v>
      </c>
      <c r="I5195" t="s">
        <v>47</v>
      </c>
    </row>
    <row r="5196" spans="1:9" x14ac:dyDescent="0.3">
      <c r="A5196" t="s">
        <v>0</v>
      </c>
      <c r="B5196">
        <v>1125000</v>
      </c>
      <c r="G5196">
        <v>44355</v>
      </c>
      <c r="H5196">
        <v>2021</v>
      </c>
      <c r="I5196" t="s">
        <v>47</v>
      </c>
    </row>
    <row r="5197" spans="1:9" x14ac:dyDescent="0.3">
      <c r="A5197" t="s">
        <v>25</v>
      </c>
      <c r="G5197">
        <v>44355</v>
      </c>
      <c r="H5197">
        <v>2021</v>
      </c>
      <c r="I5197" t="s">
        <v>47</v>
      </c>
    </row>
    <row r="5198" spans="1:9" x14ac:dyDescent="0.3">
      <c r="A5198" t="s">
        <v>15</v>
      </c>
      <c r="G5198">
        <v>44355</v>
      </c>
      <c r="H5198">
        <v>2021</v>
      </c>
      <c r="I5198" t="s">
        <v>47</v>
      </c>
    </row>
    <row r="5199" spans="1:9" x14ac:dyDescent="0.3">
      <c r="A5199" t="s">
        <v>54</v>
      </c>
      <c r="G5199">
        <v>44355</v>
      </c>
      <c r="H5199">
        <v>2021</v>
      </c>
      <c r="I5199" t="s">
        <v>47</v>
      </c>
    </row>
    <row r="5200" spans="1:9" x14ac:dyDescent="0.3">
      <c r="A5200" t="s">
        <v>26</v>
      </c>
      <c r="C5200">
        <v>324000</v>
      </c>
      <c r="G5200">
        <v>44355</v>
      </c>
      <c r="H5200">
        <v>2021</v>
      </c>
      <c r="I5200" t="s">
        <v>47</v>
      </c>
    </row>
    <row r="5201" spans="1:9" x14ac:dyDescent="0.3">
      <c r="A5201" t="s">
        <v>22</v>
      </c>
      <c r="G5201">
        <v>44355</v>
      </c>
      <c r="H5201">
        <v>2021</v>
      </c>
      <c r="I5201" t="s">
        <v>47</v>
      </c>
    </row>
    <row r="5202" spans="1:9" x14ac:dyDescent="0.3">
      <c r="A5202" t="s">
        <v>61</v>
      </c>
      <c r="G5202">
        <v>44355</v>
      </c>
      <c r="H5202">
        <v>2021</v>
      </c>
      <c r="I5202" t="s">
        <v>47</v>
      </c>
    </row>
    <row r="5203" spans="1:9" x14ac:dyDescent="0.3">
      <c r="A5203" t="s">
        <v>19</v>
      </c>
      <c r="D5203">
        <v>90000</v>
      </c>
      <c r="G5203">
        <v>44355</v>
      </c>
      <c r="H5203">
        <v>2021</v>
      </c>
      <c r="I5203" t="s">
        <v>47</v>
      </c>
    </row>
    <row r="5204" spans="1:9" x14ac:dyDescent="0.3">
      <c r="A5204" t="s">
        <v>14</v>
      </c>
      <c r="C5204">
        <v>373500</v>
      </c>
      <c r="G5204">
        <v>44355</v>
      </c>
      <c r="H5204">
        <v>2021</v>
      </c>
      <c r="I5204" t="s">
        <v>47</v>
      </c>
    </row>
    <row r="5205" spans="1:9" x14ac:dyDescent="0.3">
      <c r="A5205" t="s">
        <v>24</v>
      </c>
      <c r="G5205">
        <v>44355</v>
      </c>
      <c r="H5205">
        <v>2021</v>
      </c>
      <c r="I5205" t="s">
        <v>47</v>
      </c>
    </row>
    <row r="5206" spans="1:9" x14ac:dyDescent="0.3">
      <c r="A5206" t="s">
        <v>21</v>
      </c>
      <c r="C5206">
        <v>324000</v>
      </c>
      <c r="G5206">
        <v>44355</v>
      </c>
      <c r="H5206">
        <v>2021</v>
      </c>
      <c r="I5206" t="s">
        <v>47</v>
      </c>
    </row>
    <row r="5207" spans="1:9" x14ac:dyDescent="0.3">
      <c r="A5207" t="s">
        <v>18</v>
      </c>
      <c r="G5207">
        <v>44355</v>
      </c>
      <c r="H5207">
        <v>2021</v>
      </c>
      <c r="I5207" t="s">
        <v>47</v>
      </c>
    </row>
    <row r="5208" spans="1:9" x14ac:dyDescent="0.3">
      <c r="A5208" t="s">
        <v>16</v>
      </c>
      <c r="C5208">
        <v>324000</v>
      </c>
      <c r="G5208">
        <v>44355</v>
      </c>
      <c r="H5208">
        <v>2021</v>
      </c>
      <c r="I5208" t="s">
        <v>47</v>
      </c>
    </row>
    <row r="5209" spans="1:9" x14ac:dyDescent="0.3">
      <c r="A5209" t="s">
        <v>20</v>
      </c>
      <c r="G5209">
        <v>44356</v>
      </c>
      <c r="H5209">
        <v>2021</v>
      </c>
      <c r="I5209" t="s">
        <v>47</v>
      </c>
    </row>
    <row r="5210" spans="1:9" x14ac:dyDescent="0.3">
      <c r="A5210" t="s">
        <v>37</v>
      </c>
      <c r="G5210">
        <v>44356</v>
      </c>
      <c r="H5210">
        <v>2021</v>
      </c>
      <c r="I5210" t="s">
        <v>47</v>
      </c>
    </row>
    <row r="5211" spans="1:9" x14ac:dyDescent="0.3">
      <c r="A5211" t="s">
        <v>17</v>
      </c>
      <c r="B5211">
        <v>266000</v>
      </c>
      <c r="G5211">
        <v>44356</v>
      </c>
      <c r="H5211">
        <v>2021</v>
      </c>
      <c r="I5211" t="s">
        <v>47</v>
      </c>
    </row>
    <row r="5212" spans="1:9" x14ac:dyDescent="0.3">
      <c r="A5212" t="s">
        <v>0</v>
      </c>
      <c r="B5212">
        <v>52000</v>
      </c>
      <c r="G5212">
        <v>44356</v>
      </c>
      <c r="H5212">
        <v>2021</v>
      </c>
      <c r="I5212" t="s">
        <v>47</v>
      </c>
    </row>
    <row r="5213" spans="1:9" x14ac:dyDescent="0.3">
      <c r="A5213" t="s">
        <v>25</v>
      </c>
      <c r="G5213">
        <v>44356</v>
      </c>
      <c r="H5213">
        <v>2021</v>
      </c>
      <c r="I5213" t="s">
        <v>47</v>
      </c>
    </row>
    <row r="5214" spans="1:9" x14ac:dyDescent="0.3">
      <c r="A5214" t="s">
        <v>15</v>
      </c>
      <c r="G5214">
        <v>44356</v>
      </c>
      <c r="H5214">
        <v>2021</v>
      </c>
      <c r="I5214" t="s">
        <v>47</v>
      </c>
    </row>
    <row r="5215" spans="1:9" x14ac:dyDescent="0.3">
      <c r="A5215" t="s">
        <v>54</v>
      </c>
      <c r="G5215">
        <v>44356</v>
      </c>
      <c r="H5215">
        <v>2021</v>
      </c>
      <c r="I5215" t="s">
        <v>47</v>
      </c>
    </row>
    <row r="5216" spans="1:9" x14ac:dyDescent="0.3">
      <c r="A5216" t="s">
        <v>26</v>
      </c>
      <c r="C5216">
        <v>324000</v>
      </c>
      <c r="G5216">
        <v>44356</v>
      </c>
      <c r="H5216">
        <v>2021</v>
      </c>
      <c r="I5216" t="s">
        <v>47</v>
      </c>
    </row>
    <row r="5217" spans="1:9" x14ac:dyDescent="0.3">
      <c r="A5217" t="s">
        <v>22</v>
      </c>
      <c r="G5217">
        <v>44356</v>
      </c>
      <c r="H5217">
        <v>2021</v>
      </c>
      <c r="I5217" t="s">
        <v>47</v>
      </c>
    </row>
    <row r="5218" spans="1:9" x14ac:dyDescent="0.3">
      <c r="A5218" t="s">
        <v>61</v>
      </c>
      <c r="G5218">
        <v>44356</v>
      </c>
      <c r="H5218">
        <v>2021</v>
      </c>
      <c r="I5218" t="s">
        <v>47</v>
      </c>
    </row>
    <row r="5219" spans="1:9" x14ac:dyDescent="0.3">
      <c r="A5219" t="s">
        <v>19</v>
      </c>
      <c r="B5219">
        <v>638500</v>
      </c>
      <c r="G5219">
        <v>44356</v>
      </c>
      <c r="H5219">
        <v>2021</v>
      </c>
      <c r="I5219" t="s">
        <v>47</v>
      </c>
    </row>
    <row r="5220" spans="1:9" x14ac:dyDescent="0.3">
      <c r="A5220" t="s">
        <v>14</v>
      </c>
      <c r="C5220">
        <v>427500</v>
      </c>
      <c r="G5220">
        <v>44356</v>
      </c>
      <c r="H5220">
        <v>2021</v>
      </c>
      <c r="I5220" t="s">
        <v>47</v>
      </c>
    </row>
    <row r="5221" spans="1:9" x14ac:dyDescent="0.3">
      <c r="A5221" t="s">
        <v>24</v>
      </c>
      <c r="G5221">
        <v>44356</v>
      </c>
      <c r="H5221">
        <v>2021</v>
      </c>
      <c r="I5221" t="s">
        <v>47</v>
      </c>
    </row>
    <row r="5222" spans="1:9" x14ac:dyDescent="0.3">
      <c r="A5222" t="s">
        <v>21</v>
      </c>
      <c r="C5222">
        <v>378000</v>
      </c>
      <c r="G5222">
        <v>44356</v>
      </c>
      <c r="H5222">
        <v>2021</v>
      </c>
      <c r="I5222" t="s">
        <v>47</v>
      </c>
    </row>
    <row r="5223" spans="1:9" x14ac:dyDescent="0.3">
      <c r="A5223" t="s">
        <v>18</v>
      </c>
      <c r="G5223">
        <v>44356</v>
      </c>
      <c r="H5223">
        <v>2021</v>
      </c>
      <c r="I5223" t="s">
        <v>47</v>
      </c>
    </row>
    <row r="5224" spans="1:9" x14ac:dyDescent="0.3">
      <c r="A5224" t="s">
        <v>16</v>
      </c>
      <c r="B5224">
        <v>644000</v>
      </c>
      <c r="C5224">
        <v>270000</v>
      </c>
      <c r="F5224">
        <v>540000</v>
      </c>
      <c r="G5224">
        <v>44356</v>
      </c>
      <c r="H5224">
        <v>2021</v>
      </c>
      <c r="I5224" t="s">
        <v>47</v>
      </c>
    </row>
    <row r="5225" spans="1:9" x14ac:dyDescent="0.3">
      <c r="A5225" t="s">
        <v>20</v>
      </c>
      <c r="G5225">
        <v>44357</v>
      </c>
      <c r="H5225">
        <v>2021</v>
      </c>
      <c r="I5225" t="s">
        <v>47</v>
      </c>
    </row>
    <row r="5226" spans="1:9" x14ac:dyDescent="0.3">
      <c r="A5226" t="s">
        <v>37</v>
      </c>
      <c r="G5226">
        <v>44357</v>
      </c>
      <c r="H5226">
        <v>2021</v>
      </c>
      <c r="I5226" t="s">
        <v>47</v>
      </c>
    </row>
    <row r="5227" spans="1:9" x14ac:dyDescent="0.3">
      <c r="A5227" t="s">
        <v>17</v>
      </c>
      <c r="B5227">
        <v>54000</v>
      </c>
      <c r="G5227">
        <v>44357</v>
      </c>
      <c r="H5227">
        <v>2021</v>
      </c>
      <c r="I5227" t="s">
        <v>47</v>
      </c>
    </row>
    <row r="5228" spans="1:9" x14ac:dyDescent="0.3">
      <c r="A5228" t="s">
        <v>0</v>
      </c>
      <c r="B5228">
        <v>45000</v>
      </c>
      <c r="G5228">
        <v>44357</v>
      </c>
      <c r="H5228">
        <v>2021</v>
      </c>
      <c r="I5228" t="s">
        <v>47</v>
      </c>
    </row>
    <row r="5229" spans="1:9" x14ac:dyDescent="0.3">
      <c r="A5229" t="s">
        <v>25</v>
      </c>
      <c r="E5229">
        <v>54000</v>
      </c>
      <c r="G5229">
        <v>44357</v>
      </c>
      <c r="H5229">
        <v>2021</v>
      </c>
      <c r="I5229" t="s">
        <v>47</v>
      </c>
    </row>
    <row r="5230" spans="1:9" x14ac:dyDescent="0.3">
      <c r="A5230" t="s">
        <v>15</v>
      </c>
      <c r="E5230">
        <v>162000</v>
      </c>
      <c r="G5230">
        <v>44357</v>
      </c>
      <c r="H5230">
        <v>2021</v>
      </c>
      <c r="I5230" t="s">
        <v>47</v>
      </c>
    </row>
    <row r="5231" spans="1:9" x14ac:dyDescent="0.3">
      <c r="A5231" t="s">
        <v>54</v>
      </c>
      <c r="C5231">
        <v>319500</v>
      </c>
      <c r="G5231">
        <v>44357</v>
      </c>
      <c r="H5231">
        <v>2021</v>
      </c>
      <c r="I5231" t="s">
        <v>47</v>
      </c>
    </row>
    <row r="5232" spans="1:9" x14ac:dyDescent="0.3">
      <c r="A5232" t="s">
        <v>26</v>
      </c>
      <c r="C5232">
        <v>162000</v>
      </c>
      <c r="E5232">
        <v>162000</v>
      </c>
      <c r="G5232">
        <v>44357</v>
      </c>
      <c r="H5232">
        <v>2021</v>
      </c>
      <c r="I5232" t="s">
        <v>47</v>
      </c>
    </row>
    <row r="5233" spans="1:9" x14ac:dyDescent="0.3">
      <c r="A5233" t="s">
        <v>22</v>
      </c>
      <c r="G5233">
        <v>44357</v>
      </c>
      <c r="H5233">
        <v>2021</v>
      </c>
      <c r="I5233" t="s">
        <v>47</v>
      </c>
    </row>
    <row r="5234" spans="1:9" x14ac:dyDescent="0.3">
      <c r="A5234" t="s">
        <v>61</v>
      </c>
      <c r="G5234">
        <v>44357</v>
      </c>
      <c r="H5234">
        <v>2021</v>
      </c>
      <c r="I5234" t="s">
        <v>47</v>
      </c>
    </row>
    <row r="5235" spans="1:9" x14ac:dyDescent="0.3">
      <c r="A5235" t="s">
        <v>19</v>
      </c>
      <c r="B5235">
        <v>535500</v>
      </c>
      <c r="D5235">
        <v>45000</v>
      </c>
      <c r="G5235">
        <v>44357</v>
      </c>
      <c r="H5235">
        <v>2021</v>
      </c>
      <c r="I5235" t="s">
        <v>47</v>
      </c>
    </row>
    <row r="5236" spans="1:9" x14ac:dyDescent="0.3">
      <c r="A5236" t="s">
        <v>14</v>
      </c>
      <c r="B5236">
        <v>486000</v>
      </c>
      <c r="C5236">
        <v>797000</v>
      </c>
      <c r="F5236">
        <v>482000</v>
      </c>
      <c r="G5236">
        <v>44357</v>
      </c>
      <c r="H5236">
        <v>2021</v>
      </c>
      <c r="I5236" t="s">
        <v>47</v>
      </c>
    </row>
    <row r="5237" spans="1:9" x14ac:dyDescent="0.3">
      <c r="A5237" t="s">
        <v>24</v>
      </c>
      <c r="G5237">
        <v>44357</v>
      </c>
      <c r="H5237">
        <v>2021</v>
      </c>
      <c r="I5237" t="s">
        <v>47</v>
      </c>
    </row>
    <row r="5238" spans="1:9" x14ac:dyDescent="0.3">
      <c r="A5238" t="s">
        <v>21</v>
      </c>
      <c r="C5238">
        <v>108000</v>
      </c>
      <c r="G5238">
        <v>44357</v>
      </c>
      <c r="H5238">
        <v>2021</v>
      </c>
      <c r="I5238" t="s">
        <v>47</v>
      </c>
    </row>
    <row r="5239" spans="1:9" x14ac:dyDescent="0.3">
      <c r="A5239" t="s">
        <v>18</v>
      </c>
      <c r="G5239">
        <v>44357</v>
      </c>
      <c r="H5239">
        <v>2021</v>
      </c>
      <c r="I5239" t="s">
        <v>47</v>
      </c>
    </row>
    <row r="5240" spans="1:9" x14ac:dyDescent="0.3">
      <c r="A5240" t="s">
        <v>16</v>
      </c>
      <c r="B5240">
        <v>594000</v>
      </c>
      <c r="C5240">
        <v>216000</v>
      </c>
      <c r="E5240">
        <v>162000</v>
      </c>
      <c r="F5240">
        <v>324000</v>
      </c>
      <c r="G5240">
        <v>44357</v>
      </c>
      <c r="H5240">
        <v>2021</v>
      </c>
      <c r="I5240" t="s">
        <v>47</v>
      </c>
    </row>
    <row r="5241" spans="1:9" x14ac:dyDescent="0.3">
      <c r="A5241" t="s">
        <v>20</v>
      </c>
      <c r="G5241">
        <v>44358</v>
      </c>
      <c r="H5241">
        <v>2021</v>
      </c>
      <c r="I5241" t="s">
        <v>47</v>
      </c>
    </row>
    <row r="5242" spans="1:9" x14ac:dyDescent="0.3">
      <c r="A5242" t="s">
        <v>37</v>
      </c>
      <c r="G5242">
        <v>44358</v>
      </c>
      <c r="H5242">
        <v>2021</v>
      </c>
      <c r="I5242" t="s">
        <v>47</v>
      </c>
    </row>
    <row r="5243" spans="1:9" x14ac:dyDescent="0.3">
      <c r="A5243" t="s">
        <v>17</v>
      </c>
      <c r="B5243">
        <v>45000</v>
      </c>
      <c r="E5243">
        <v>162000</v>
      </c>
      <c r="G5243">
        <v>44358</v>
      </c>
      <c r="H5243">
        <v>2021</v>
      </c>
      <c r="I5243" t="s">
        <v>47</v>
      </c>
    </row>
    <row r="5244" spans="1:9" x14ac:dyDescent="0.3">
      <c r="A5244" t="s">
        <v>0</v>
      </c>
      <c r="G5244">
        <v>44358</v>
      </c>
      <c r="H5244">
        <v>2021</v>
      </c>
      <c r="I5244" t="s">
        <v>47</v>
      </c>
    </row>
    <row r="5245" spans="1:9" x14ac:dyDescent="0.3">
      <c r="A5245" t="s">
        <v>25</v>
      </c>
      <c r="G5245">
        <v>44358</v>
      </c>
      <c r="H5245">
        <v>2021</v>
      </c>
      <c r="I5245" t="s">
        <v>47</v>
      </c>
    </row>
    <row r="5246" spans="1:9" x14ac:dyDescent="0.3">
      <c r="A5246" t="s">
        <v>15</v>
      </c>
      <c r="E5246">
        <v>108000</v>
      </c>
      <c r="G5246">
        <v>44358</v>
      </c>
      <c r="H5246">
        <v>2021</v>
      </c>
      <c r="I5246" t="s">
        <v>47</v>
      </c>
    </row>
    <row r="5247" spans="1:9" x14ac:dyDescent="0.3">
      <c r="A5247" t="s">
        <v>54</v>
      </c>
      <c r="C5247">
        <v>270000</v>
      </c>
      <c r="G5247">
        <v>44358</v>
      </c>
      <c r="H5247">
        <v>2021</v>
      </c>
      <c r="I5247" t="s">
        <v>47</v>
      </c>
    </row>
    <row r="5248" spans="1:9" x14ac:dyDescent="0.3">
      <c r="A5248" t="s">
        <v>26</v>
      </c>
      <c r="E5248">
        <v>216000</v>
      </c>
      <c r="G5248">
        <v>44358</v>
      </c>
      <c r="H5248">
        <v>2021</v>
      </c>
      <c r="I5248" t="s">
        <v>47</v>
      </c>
    </row>
    <row r="5249" spans="1:9" x14ac:dyDescent="0.3">
      <c r="A5249" t="s">
        <v>22</v>
      </c>
      <c r="G5249">
        <v>44358</v>
      </c>
      <c r="H5249">
        <v>2021</v>
      </c>
      <c r="I5249" t="s">
        <v>47</v>
      </c>
    </row>
    <row r="5250" spans="1:9" x14ac:dyDescent="0.3">
      <c r="A5250" t="s">
        <v>61</v>
      </c>
      <c r="G5250">
        <v>44358</v>
      </c>
      <c r="H5250">
        <v>2021</v>
      </c>
      <c r="I5250" t="s">
        <v>47</v>
      </c>
    </row>
    <row r="5251" spans="1:9" x14ac:dyDescent="0.3">
      <c r="A5251" t="s">
        <v>19</v>
      </c>
      <c r="B5251">
        <v>427500</v>
      </c>
      <c r="G5251">
        <v>44358</v>
      </c>
      <c r="H5251">
        <v>2021</v>
      </c>
      <c r="I5251" t="s">
        <v>47</v>
      </c>
    </row>
    <row r="5252" spans="1:9" x14ac:dyDescent="0.3">
      <c r="A5252" t="s">
        <v>14</v>
      </c>
      <c r="B5252">
        <v>775000</v>
      </c>
      <c r="C5252">
        <v>306000</v>
      </c>
      <c r="F5252">
        <v>324000</v>
      </c>
      <c r="G5252">
        <v>44358</v>
      </c>
      <c r="H5252">
        <v>2021</v>
      </c>
      <c r="I5252" t="s">
        <v>47</v>
      </c>
    </row>
    <row r="5253" spans="1:9" x14ac:dyDescent="0.3">
      <c r="A5253" t="s">
        <v>24</v>
      </c>
      <c r="G5253">
        <v>44358</v>
      </c>
      <c r="H5253">
        <v>2021</v>
      </c>
      <c r="I5253" t="s">
        <v>47</v>
      </c>
    </row>
    <row r="5254" spans="1:9" x14ac:dyDescent="0.3">
      <c r="A5254" t="s">
        <v>21</v>
      </c>
      <c r="C5254">
        <v>270000</v>
      </c>
      <c r="G5254">
        <v>44358</v>
      </c>
      <c r="H5254">
        <v>2021</v>
      </c>
      <c r="I5254" t="s">
        <v>47</v>
      </c>
    </row>
    <row r="5255" spans="1:9" x14ac:dyDescent="0.3">
      <c r="A5255" t="s">
        <v>18</v>
      </c>
      <c r="G5255">
        <v>44358</v>
      </c>
      <c r="H5255">
        <v>2021</v>
      </c>
      <c r="I5255" t="s">
        <v>47</v>
      </c>
    </row>
    <row r="5256" spans="1:9" x14ac:dyDescent="0.3">
      <c r="A5256" t="s">
        <v>16</v>
      </c>
      <c r="B5256">
        <v>590000</v>
      </c>
      <c r="C5256">
        <v>162000</v>
      </c>
      <c r="E5256">
        <v>108000</v>
      </c>
      <c r="F5256">
        <v>486000</v>
      </c>
      <c r="G5256">
        <v>44358</v>
      </c>
      <c r="H5256">
        <v>2021</v>
      </c>
      <c r="I5256" t="s">
        <v>47</v>
      </c>
    </row>
    <row r="5257" spans="1:9" x14ac:dyDescent="0.3">
      <c r="A5257" t="s">
        <v>20</v>
      </c>
      <c r="G5257">
        <v>44361</v>
      </c>
      <c r="H5257">
        <v>2021</v>
      </c>
      <c r="I5257" t="s">
        <v>47</v>
      </c>
    </row>
    <row r="5258" spans="1:9" x14ac:dyDescent="0.3">
      <c r="A5258" t="s">
        <v>37</v>
      </c>
      <c r="G5258">
        <v>44361</v>
      </c>
      <c r="H5258">
        <v>2021</v>
      </c>
      <c r="I5258" t="s">
        <v>47</v>
      </c>
    </row>
    <row r="5259" spans="1:9" x14ac:dyDescent="0.3">
      <c r="A5259" t="s">
        <v>17</v>
      </c>
      <c r="E5259">
        <v>216000</v>
      </c>
      <c r="F5259">
        <v>216000</v>
      </c>
      <c r="G5259">
        <v>44361</v>
      </c>
      <c r="H5259">
        <v>2021</v>
      </c>
      <c r="I5259" t="s">
        <v>47</v>
      </c>
    </row>
    <row r="5260" spans="1:9" x14ac:dyDescent="0.3">
      <c r="A5260" t="s">
        <v>0</v>
      </c>
      <c r="G5260">
        <v>44361</v>
      </c>
      <c r="H5260">
        <v>2021</v>
      </c>
      <c r="I5260" t="s">
        <v>47</v>
      </c>
    </row>
    <row r="5261" spans="1:9" x14ac:dyDescent="0.3">
      <c r="A5261" t="s">
        <v>25</v>
      </c>
      <c r="G5261">
        <v>44361</v>
      </c>
      <c r="H5261">
        <v>2021</v>
      </c>
      <c r="I5261" t="s">
        <v>47</v>
      </c>
    </row>
    <row r="5262" spans="1:9" x14ac:dyDescent="0.3">
      <c r="A5262" t="s">
        <v>15</v>
      </c>
      <c r="E5262">
        <v>216000</v>
      </c>
      <c r="G5262">
        <v>44361</v>
      </c>
      <c r="H5262">
        <v>2021</v>
      </c>
      <c r="I5262" t="s">
        <v>47</v>
      </c>
    </row>
    <row r="5263" spans="1:9" x14ac:dyDescent="0.3">
      <c r="A5263" t="s">
        <v>54</v>
      </c>
      <c r="C5263">
        <v>324000</v>
      </c>
      <c r="G5263">
        <v>44361</v>
      </c>
      <c r="H5263">
        <v>2021</v>
      </c>
      <c r="I5263" t="s">
        <v>47</v>
      </c>
    </row>
    <row r="5264" spans="1:9" x14ac:dyDescent="0.3">
      <c r="A5264" t="s">
        <v>26</v>
      </c>
      <c r="E5264">
        <v>103500</v>
      </c>
      <c r="G5264">
        <v>44361</v>
      </c>
      <c r="H5264">
        <v>2021</v>
      </c>
      <c r="I5264" t="s">
        <v>47</v>
      </c>
    </row>
    <row r="5265" spans="1:9" x14ac:dyDescent="0.3">
      <c r="A5265" t="s">
        <v>22</v>
      </c>
      <c r="G5265">
        <v>44361</v>
      </c>
      <c r="H5265">
        <v>2021</v>
      </c>
      <c r="I5265" t="s">
        <v>47</v>
      </c>
    </row>
    <row r="5266" spans="1:9" x14ac:dyDescent="0.3">
      <c r="A5266" t="s">
        <v>61</v>
      </c>
      <c r="G5266">
        <v>44361</v>
      </c>
      <c r="H5266">
        <v>2021</v>
      </c>
      <c r="I5266" t="s">
        <v>47</v>
      </c>
    </row>
    <row r="5267" spans="1:9" x14ac:dyDescent="0.3">
      <c r="A5267" t="s">
        <v>19</v>
      </c>
      <c r="B5267">
        <v>108000</v>
      </c>
      <c r="G5267">
        <v>44361</v>
      </c>
      <c r="H5267">
        <v>2021</v>
      </c>
      <c r="I5267" t="s">
        <v>47</v>
      </c>
    </row>
    <row r="5268" spans="1:9" x14ac:dyDescent="0.3">
      <c r="A5268" t="s">
        <v>14</v>
      </c>
      <c r="B5268">
        <v>1125000</v>
      </c>
      <c r="C5268">
        <v>477000</v>
      </c>
      <c r="F5268">
        <v>90000</v>
      </c>
      <c r="G5268">
        <v>44361</v>
      </c>
      <c r="H5268">
        <v>2021</v>
      </c>
      <c r="I5268" t="s">
        <v>47</v>
      </c>
    </row>
    <row r="5269" spans="1:9" x14ac:dyDescent="0.3">
      <c r="A5269" t="s">
        <v>24</v>
      </c>
      <c r="G5269">
        <v>44361</v>
      </c>
      <c r="H5269">
        <v>2021</v>
      </c>
      <c r="I5269" t="s">
        <v>47</v>
      </c>
    </row>
    <row r="5270" spans="1:9" x14ac:dyDescent="0.3">
      <c r="A5270" t="s">
        <v>21</v>
      </c>
      <c r="C5270">
        <v>261000</v>
      </c>
      <c r="G5270">
        <v>44361</v>
      </c>
      <c r="H5270">
        <v>2021</v>
      </c>
      <c r="I5270" t="s">
        <v>47</v>
      </c>
    </row>
    <row r="5271" spans="1:9" x14ac:dyDescent="0.3">
      <c r="A5271" t="s">
        <v>18</v>
      </c>
      <c r="G5271">
        <v>44361</v>
      </c>
      <c r="H5271">
        <v>2021</v>
      </c>
      <c r="I5271" t="s">
        <v>47</v>
      </c>
    </row>
    <row r="5272" spans="1:9" x14ac:dyDescent="0.3">
      <c r="A5272" t="s">
        <v>16</v>
      </c>
      <c r="B5272">
        <v>108000</v>
      </c>
      <c r="E5272">
        <v>162000</v>
      </c>
      <c r="F5272">
        <v>216000</v>
      </c>
      <c r="G5272">
        <v>44361</v>
      </c>
      <c r="H5272">
        <v>2021</v>
      </c>
      <c r="I5272" t="s">
        <v>47</v>
      </c>
    </row>
    <row r="5273" spans="1:9" x14ac:dyDescent="0.3">
      <c r="A5273" t="s">
        <v>20</v>
      </c>
      <c r="G5273">
        <v>44362</v>
      </c>
      <c r="H5273">
        <v>2021</v>
      </c>
      <c r="I5273" t="s">
        <v>47</v>
      </c>
    </row>
    <row r="5274" spans="1:9" x14ac:dyDescent="0.3">
      <c r="A5274" t="s">
        <v>37</v>
      </c>
      <c r="G5274">
        <v>44362</v>
      </c>
      <c r="H5274">
        <v>2021</v>
      </c>
      <c r="I5274" t="s">
        <v>47</v>
      </c>
    </row>
    <row r="5275" spans="1:9" x14ac:dyDescent="0.3">
      <c r="A5275" t="s">
        <v>17</v>
      </c>
      <c r="D5275">
        <v>748000</v>
      </c>
      <c r="F5275">
        <v>644000</v>
      </c>
      <c r="G5275">
        <v>44362</v>
      </c>
      <c r="H5275">
        <v>2021</v>
      </c>
      <c r="I5275" t="s">
        <v>47</v>
      </c>
    </row>
    <row r="5276" spans="1:9" x14ac:dyDescent="0.3">
      <c r="A5276" t="s">
        <v>0</v>
      </c>
      <c r="G5276">
        <v>44362</v>
      </c>
      <c r="H5276">
        <v>2021</v>
      </c>
      <c r="I5276" t="s">
        <v>47</v>
      </c>
    </row>
    <row r="5277" spans="1:9" x14ac:dyDescent="0.3">
      <c r="A5277" t="s">
        <v>25</v>
      </c>
      <c r="G5277">
        <v>44362</v>
      </c>
      <c r="H5277">
        <v>2021</v>
      </c>
      <c r="I5277" t="s">
        <v>47</v>
      </c>
    </row>
    <row r="5278" spans="1:9" x14ac:dyDescent="0.3">
      <c r="A5278" t="s">
        <v>15</v>
      </c>
      <c r="G5278">
        <v>44362</v>
      </c>
      <c r="H5278">
        <v>2021</v>
      </c>
      <c r="I5278" t="s">
        <v>47</v>
      </c>
    </row>
    <row r="5279" spans="1:9" x14ac:dyDescent="0.3">
      <c r="A5279" t="s">
        <v>54</v>
      </c>
      <c r="C5279">
        <v>158000</v>
      </c>
      <c r="G5279">
        <v>44362</v>
      </c>
      <c r="H5279">
        <v>2021</v>
      </c>
      <c r="I5279" t="s">
        <v>47</v>
      </c>
    </row>
    <row r="5280" spans="1:9" x14ac:dyDescent="0.3">
      <c r="A5280" t="s">
        <v>26</v>
      </c>
      <c r="G5280">
        <v>44362</v>
      </c>
      <c r="H5280">
        <v>2021</v>
      </c>
      <c r="I5280" t="s">
        <v>47</v>
      </c>
    </row>
    <row r="5281" spans="1:9" x14ac:dyDescent="0.3">
      <c r="A5281" t="s">
        <v>22</v>
      </c>
      <c r="G5281">
        <v>44362</v>
      </c>
      <c r="H5281">
        <v>2021</v>
      </c>
      <c r="I5281" t="s">
        <v>47</v>
      </c>
    </row>
    <row r="5282" spans="1:9" x14ac:dyDescent="0.3">
      <c r="A5282" t="s">
        <v>61</v>
      </c>
      <c r="G5282">
        <v>44362</v>
      </c>
      <c r="H5282">
        <v>2021</v>
      </c>
      <c r="I5282" t="s">
        <v>47</v>
      </c>
    </row>
    <row r="5283" spans="1:9" x14ac:dyDescent="0.3">
      <c r="A5283" t="s">
        <v>19</v>
      </c>
      <c r="C5283">
        <v>702000</v>
      </c>
      <c r="D5283">
        <v>54000</v>
      </c>
      <c r="G5283">
        <v>44362</v>
      </c>
      <c r="H5283">
        <v>2021</v>
      </c>
      <c r="I5283" t="s">
        <v>47</v>
      </c>
    </row>
    <row r="5284" spans="1:9" x14ac:dyDescent="0.3">
      <c r="A5284" t="s">
        <v>14</v>
      </c>
      <c r="B5284">
        <v>54000</v>
      </c>
      <c r="F5284">
        <v>104000</v>
      </c>
      <c r="G5284">
        <v>44362</v>
      </c>
      <c r="H5284">
        <v>2021</v>
      </c>
      <c r="I5284" t="s">
        <v>47</v>
      </c>
    </row>
    <row r="5285" spans="1:9" x14ac:dyDescent="0.3">
      <c r="A5285" t="s">
        <v>24</v>
      </c>
      <c r="G5285">
        <v>44362</v>
      </c>
      <c r="H5285">
        <v>2021</v>
      </c>
      <c r="I5285" t="s">
        <v>47</v>
      </c>
    </row>
    <row r="5286" spans="1:9" x14ac:dyDescent="0.3">
      <c r="A5286" t="s">
        <v>21</v>
      </c>
      <c r="G5286">
        <v>44362</v>
      </c>
      <c r="H5286">
        <v>2021</v>
      </c>
      <c r="I5286" t="s">
        <v>47</v>
      </c>
    </row>
    <row r="5287" spans="1:9" x14ac:dyDescent="0.3">
      <c r="A5287" t="s">
        <v>18</v>
      </c>
      <c r="G5287">
        <v>44362</v>
      </c>
      <c r="H5287">
        <v>2021</v>
      </c>
      <c r="I5287" t="s">
        <v>47</v>
      </c>
    </row>
    <row r="5288" spans="1:9" x14ac:dyDescent="0.3">
      <c r="A5288" t="s">
        <v>16</v>
      </c>
      <c r="F5288">
        <v>45000</v>
      </c>
      <c r="G5288">
        <v>44362</v>
      </c>
      <c r="H5288">
        <v>2021</v>
      </c>
      <c r="I5288" t="s">
        <v>47</v>
      </c>
    </row>
    <row r="5289" spans="1:9" x14ac:dyDescent="0.3">
      <c r="A5289" t="s">
        <v>20</v>
      </c>
      <c r="G5289">
        <v>44363</v>
      </c>
      <c r="H5289">
        <v>2021</v>
      </c>
      <c r="I5289" t="s">
        <v>47</v>
      </c>
    </row>
    <row r="5290" spans="1:9" x14ac:dyDescent="0.3">
      <c r="A5290" t="s">
        <v>37</v>
      </c>
      <c r="C5290">
        <v>54000</v>
      </c>
      <c r="G5290">
        <v>44363</v>
      </c>
      <c r="H5290">
        <v>2021</v>
      </c>
      <c r="I5290" t="s">
        <v>47</v>
      </c>
    </row>
    <row r="5291" spans="1:9" x14ac:dyDescent="0.3">
      <c r="A5291" t="s">
        <v>17</v>
      </c>
      <c r="B5291">
        <v>265500</v>
      </c>
      <c r="C5291">
        <v>162000</v>
      </c>
      <c r="D5291">
        <v>108000</v>
      </c>
      <c r="F5291">
        <v>432000</v>
      </c>
      <c r="G5291">
        <v>44363</v>
      </c>
      <c r="H5291">
        <v>2021</v>
      </c>
      <c r="I5291" t="s">
        <v>47</v>
      </c>
    </row>
    <row r="5292" spans="1:9" x14ac:dyDescent="0.3">
      <c r="A5292" t="s">
        <v>0</v>
      </c>
      <c r="G5292">
        <v>44363</v>
      </c>
      <c r="H5292">
        <v>2021</v>
      </c>
      <c r="I5292" t="s">
        <v>47</v>
      </c>
    </row>
    <row r="5293" spans="1:9" x14ac:dyDescent="0.3">
      <c r="A5293" t="s">
        <v>25</v>
      </c>
      <c r="B5293">
        <v>216000</v>
      </c>
      <c r="D5293">
        <v>905000</v>
      </c>
      <c r="G5293">
        <v>44363</v>
      </c>
      <c r="H5293">
        <v>2021</v>
      </c>
      <c r="I5293" t="s">
        <v>47</v>
      </c>
    </row>
    <row r="5294" spans="1:9" x14ac:dyDescent="0.3">
      <c r="A5294" t="s">
        <v>15</v>
      </c>
      <c r="G5294">
        <v>44363</v>
      </c>
      <c r="H5294">
        <v>2021</v>
      </c>
      <c r="I5294" t="s">
        <v>47</v>
      </c>
    </row>
    <row r="5295" spans="1:9" x14ac:dyDescent="0.3">
      <c r="A5295" t="s">
        <v>54</v>
      </c>
      <c r="C5295">
        <v>103500</v>
      </c>
      <c r="G5295">
        <v>44363</v>
      </c>
      <c r="H5295">
        <v>2021</v>
      </c>
      <c r="I5295" t="s">
        <v>47</v>
      </c>
    </row>
    <row r="5296" spans="1:9" x14ac:dyDescent="0.3">
      <c r="A5296" t="s">
        <v>26</v>
      </c>
      <c r="B5296">
        <v>54000</v>
      </c>
      <c r="C5296">
        <v>54000</v>
      </c>
      <c r="G5296">
        <v>44363</v>
      </c>
      <c r="H5296">
        <v>2021</v>
      </c>
      <c r="I5296" t="s">
        <v>47</v>
      </c>
    </row>
    <row r="5297" spans="1:9" x14ac:dyDescent="0.3">
      <c r="A5297" t="s">
        <v>22</v>
      </c>
      <c r="G5297">
        <v>44363</v>
      </c>
      <c r="H5297">
        <v>2021</v>
      </c>
      <c r="I5297" t="s">
        <v>47</v>
      </c>
    </row>
    <row r="5298" spans="1:9" x14ac:dyDescent="0.3">
      <c r="A5298" t="s">
        <v>61</v>
      </c>
      <c r="G5298">
        <v>44363</v>
      </c>
      <c r="H5298">
        <v>2021</v>
      </c>
      <c r="I5298" t="s">
        <v>47</v>
      </c>
    </row>
    <row r="5299" spans="1:9" x14ac:dyDescent="0.3">
      <c r="A5299" t="s">
        <v>19</v>
      </c>
      <c r="B5299">
        <v>193500</v>
      </c>
      <c r="C5299">
        <v>54000</v>
      </c>
      <c r="G5299">
        <v>44363</v>
      </c>
      <c r="H5299">
        <v>2021</v>
      </c>
      <c r="I5299" t="s">
        <v>47</v>
      </c>
    </row>
    <row r="5300" spans="1:9" x14ac:dyDescent="0.3">
      <c r="A5300" t="s">
        <v>14</v>
      </c>
      <c r="B5300">
        <v>211500</v>
      </c>
      <c r="C5300">
        <v>103500</v>
      </c>
      <c r="G5300">
        <v>44363</v>
      </c>
      <c r="H5300">
        <v>2021</v>
      </c>
      <c r="I5300" t="s">
        <v>47</v>
      </c>
    </row>
    <row r="5301" spans="1:9" x14ac:dyDescent="0.3">
      <c r="A5301" t="s">
        <v>24</v>
      </c>
      <c r="G5301">
        <v>44363</v>
      </c>
      <c r="H5301">
        <v>2021</v>
      </c>
      <c r="I5301" t="s">
        <v>47</v>
      </c>
    </row>
    <row r="5302" spans="1:9" x14ac:dyDescent="0.3">
      <c r="A5302" t="s">
        <v>21</v>
      </c>
      <c r="C5302">
        <v>50000</v>
      </c>
      <c r="G5302">
        <v>44363</v>
      </c>
      <c r="H5302">
        <v>2021</v>
      </c>
      <c r="I5302" t="s">
        <v>47</v>
      </c>
    </row>
    <row r="5303" spans="1:9" x14ac:dyDescent="0.3">
      <c r="A5303" t="s">
        <v>18</v>
      </c>
      <c r="G5303">
        <v>44363</v>
      </c>
      <c r="H5303">
        <v>2021</v>
      </c>
      <c r="I5303" t="s">
        <v>47</v>
      </c>
    </row>
    <row r="5304" spans="1:9" x14ac:dyDescent="0.3">
      <c r="A5304" t="s">
        <v>16</v>
      </c>
      <c r="B5304">
        <v>54000</v>
      </c>
      <c r="G5304">
        <v>44363</v>
      </c>
      <c r="H5304">
        <v>2021</v>
      </c>
      <c r="I5304" t="s">
        <v>47</v>
      </c>
    </row>
    <row r="5305" spans="1:9" x14ac:dyDescent="0.3">
      <c r="A5305" t="s">
        <v>20</v>
      </c>
      <c r="G5305">
        <v>44364</v>
      </c>
      <c r="H5305">
        <v>2021</v>
      </c>
      <c r="I5305" t="s">
        <v>47</v>
      </c>
    </row>
    <row r="5306" spans="1:9" x14ac:dyDescent="0.3">
      <c r="A5306" t="s">
        <v>37</v>
      </c>
      <c r="G5306">
        <v>44364</v>
      </c>
      <c r="H5306">
        <v>2021</v>
      </c>
      <c r="I5306" t="s">
        <v>47</v>
      </c>
    </row>
    <row r="5307" spans="1:9" x14ac:dyDescent="0.3">
      <c r="A5307" t="s">
        <v>17</v>
      </c>
      <c r="B5307">
        <v>378000</v>
      </c>
      <c r="C5307">
        <v>108000</v>
      </c>
      <c r="D5307">
        <v>54000</v>
      </c>
      <c r="F5307">
        <v>208000</v>
      </c>
      <c r="G5307">
        <v>44364</v>
      </c>
      <c r="H5307">
        <v>2021</v>
      </c>
      <c r="I5307" t="s">
        <v>47</v>
      </c>
    </row>
    <row r="5308" spans="1:9" x14ac:dyDescent="0.3">
      <c r="A5308" t="s">
        <v>0</v>
      </c>
      <c r="G5308">
        <v>44364</v>
      </c>
      <c r="H5308">
        <v>2021</v>
      </c>
      <c r="I5308" t="s">
        <v>47</v>
      </c>
    </row>
    <row r="5309" spans="1:9" x14ac:dyDescent="0.3">
      <c r="A5309" t="s">
        <v>25</v>
      </c>
      <c r="B5309">
        <v>324000</v>
      </c>
      <c r="G5309">
        <v>44364</v>
      </c>
      <c r="H5309">
        <v>2021</v>
      </c>
      <c r="I5309" t="s">
        <v>47</v>
      </c>
    </row>
    <row r="5310" spans="1:9" x14ac:dyDescent="0.3">
      <c r="A5310" t="s">
        <v>15</v>
      </c>
      <c r="G5310">
        <v>44364</v>
      </c>
      <c r="H5310">
        <v>2021</v>
      </c>
      <c r="I5310" t="s">
        <v>47</v>
      </c>
    </row>
    <row r="5311" spans="1:9" x14ac:dyDescent="0.3">
      <c r="A5311" t="s">
        <v>54</v>
      </c>
      <c r="C5311">
        <v>108000</v>
      </c>
      <c r="G5311">
        <v>44364</v>
      </c>
      <c r="H5311">
        <v>2021</v>
      </c>
      <c r="I5311" t="s">
        <v>47</v>
      </c>
    </row>
    <row r="5312" spans="1:9" x14ac:dyDescent="0.3">
      <c r="A5312" t="s">
        <v>26</v>
      </c>
      <c r="B5312">
        <v>324000</v>
      </c>
      <c r="C5312">
        <v>108000</v>
      </c>
      <c r="D5312">
        <v>216000</v>
      </c>
      <c r="G5312">
        <v>44364</v>
      </c>
      <c r="H5312">
        <v>2021</v>
      </c>
      <c r="I5312" t="s">
        <v>47</v>
      </c>
    </row>
    <row r="5313" spans="1:9" x14ac:dyDescent="0.3">
      <c r="A5313" t="s">
        <v>22</v>
      </c>
      <c r="G5313">
        <v>44364</v>
      </c>
      <c r="H5313">
        <v>2021</v>
      </c>
      <c r="I5313" t="s">
        <v>47</v>
      </c>
    </row>
    <row r="5314" spans="1:9" x14ac:dyDescent="0.3">
      <c r="A5314" t="s">
        <v>61</v>
      </c>
      <c r="G5314">
        <v>44364</v>
      </c>
      <c r="H5314">
        <v>2021</v>
      </c>
      <c r="I5314" t="s">
        <v>47</v>
      </c>
    </row>
    <row r="5315" spans="1:9" x14ac:dyDescent="0.3">
      <c r="A5315" t="s">
        <v>19</v>
      </c>
      <c r="B5315">
        <v>49500</v>
      </c>
      <c r="G5315">
        <v>44364</v>
      </c>
      <c r="H5315">
        <v>2021</v>
      </c>
      <c r="I5315" t="s">
        <v>47</v>
      </c>
    </row>
    <row r="5316" spans="1:9" x14ac:dyDescent="0.3">
      <c r="A5316" t="s">
        <v>14</v>
      </c>
      <c r="B5316">
        <v>261000</v>
      </c>
      <c r="C5316">
        <v>54000</v>
      </c>
      <c r="G5316">
        <v>44364</v>
      </c>
      <c r="H5316">
        <v>2021</v>
      </c>
      <c r="I5316" t="s">
        <v>47</v>
      </c>
    </row>
    <row r="5317" spans="1:9" x14ac:dyDescent="0.3">
      <c r="A5317" t="s">
        <v>24</v>
      </c>
      <c r="G5317">
        <v>44364</v>
      </c>
      <c r="H5317">
        <v>2021</v>
      </c>
      <c r="I5317" t="s">
        <v>47</v>
      </c>
    </row>
    <row r="5318" spans="1:9" x14ac:dyDescent="0.3">
      <c r="A5318" t="s">
        <v>21</v>
      </c>
      <c r="C5318">
        <v>108000</v>
      </c>
      <c r="G5318">
        <v>44364</v>
      </c>
      <c r="H5318">
        <v>2021</v>
      </c>
      <c r="I5318" t="s">
        <v>47</v>
      </c>
    </row>
    <row r="5319" spans="1:9" x14ac:dyDescent="0.3">
      <c r="A5319" t="s">
        <v>18</v>
      </c>
      <c r="G5319">
        <v>44364</v>
      </c>
      <c r="H5319">
        <v>2021</v>
      </c>
      <c r="I5319" t="s">
        <v>47</v>
      </c>
    </row>
    <row r="5320" spans="1:9" x14ac:dyDescent="0.3">
      <c r="A5320" t="s">
        <v>16</v>
      </c>
      <c r="F5320">
        <v>90000</v>
      </c>
      <c r="G5320">
        <v>44364</v>
      </c>
      <c r="H5320">
        <v>2021</v>
      </c>
      <c r="I5320" t="s">
        <v>47</v>
      </c>
    </row>
    <row r="5321" spans="1:9" x14ac:dyDescent="0.3">
      <c r="A5321" t="s">
        <v>20</v>
      </c>
      <c r="G5321">
        <v>44365</v>
      </c>
      <c r="H5321">
        <v>2021</v>
      </c>
      <c r="I5321" t="s">
        <v>47</v>
      </c>
    </row>
    <row r="5322" spans="1:9" x14ac:dyDescent="0.3">
      <c r="A5322" t="s">
        <v>37</v>
      </c>
      <c r="C5322">
        <v>154000</v>
      </c>
      <c r="D5322">
        <v>432000</v>
      </c>
      <c r="G5322">
        <v>44365</v>
      </c>
      <c r="H5322">
        <v>2021</v>
      </c>
      <c r="I5322" t="s">
        <v>47</v>
      </c>
    </row>
    <row r="5323" spans="1:9" x14ac:dyDescent="0.3">
      <c r="A5323" t="s">
        <v>17</v>
      </c>
      <c r="B5323">
        <v>694000</v>
      </c>
      <c r="C5323">
        <v>153000</v>
      </c>
      <c r="D5323">
        <v>90000</v>
      </c>
      <c r="G5323">
        <v>44365</v>
      </c>
      <c r="H5323">
        <v>2021</v>
      </c>
      <c r="I5323" t="s">
        <v>47</v>
      </c>
    </row>
    <row r="5324" spans="1:9" x14ac:dyDescent="0.3">
      <c r="A5324" t="s">
        <v>0</v>
      </c>
      <c r="G5324">
        <v>44365</v>
      </c>
      <c r="H5324">
        <v>2021</v>
      </c>
      <c r="I5324" t="s">
        <v>47</v>
      </c>
    </row>
    <row r="5325" spans="1:9" x14ac:dyDescent="0.3">
      <c r="A5325" t="s">
        <v>25</v>
      </c>
      <c r="B5325">
        <v>797000</v>
      </c>
      <c r="D5325">
        <v>95000</v>
      </c>
      <c r="G5325">
        <v>44365</v>
      </c>
      <c r="H5325">
        <v>2021</v>
      </c>
      <c r="I5325" t="s">
        <v>47</v>
      </c>
    </row>
    <row r="5326" spans="1:9" x14ac:dyDescent="0.3">
      <c r="A5326" t="s">
        <v>15</v>
      </c>
      <c r="C5326">
        <v>104000</v>
      </c>
      <c r="G5326">
        <v>44365</v>
      </c>
      <c r="H5326">
        <v>2021</v>
      </c>
      <c r="I5326" t="s">
        <v>47</v>
      </c>
    </row>
    <row r="5327" spans="1:9" x14ac:dyDescent="0.3">
      <c r="A5327" t="s">
        <v>54</v>
      </c>
      <c r="C5327">
        <v>162000</v>
      </c>
      <c r="G5327">
        <v>44365</v>
      </c>
      <c r="H5327">
        <v>2021</v>
      </c>
      <c r="I5327" t="s">
        <v>47</v>
      </c>
    </row>
    <row r="5328" spans="1:9" x14ac:dyDescent="0.3">
      <c r="A5328" t="s">
        <v>26</v>
      </c>
      <c r="B5328">
        <v>423000</v>
      </c>
      <c r="C5328">
        <v>108000</v>
      </c>
      <c r="D5328">
        <v>184000</v>
      </c>
      <c r="G5328">
        <v>44365</v>
      </c>
      <c r="H5328">
        <v>2021</v>
      </c>
      <c r="I5328" t="s">
        <v>47</v>
      </c>
    </row>
    <row r="5329" spans="1:9" x14ac:dyDescent="0.3">
      <c r="A5329" t="s">
        <v>22</v>
      </c>
      <c r="G5329">
        <v>44365</v>
      </c>
      <c r="H5329">
        <v>2021</v>
      </c>
      <c r="I5329" t="s">
        <v>47</v>
      </c>
    </row>
    <row r="5330" spans="1:9" x14ac:dyDescent="0.3">
      <c r="A5330" t="s">
        <v>61</v>
      </c>
      <c r="G5330">
        <v>44365</v>
      </c>
      <c r="H5330">
        <v>2021</v>
      </c>
      <c r="I5330" t="s">
        <v>47</v>
      </c>
    </row>
    <row r="5331" spans="1:9" x14ac:dyDescent="0.3">
      <c r="A5331" t="s">
        <v>19</v>
      </c>
      <c r="G5331">
        <v>44365</v>
      </c>
      <c r="H5331">
        <v>2021</v>
      </c>
      <c r="I5331" t="s">
        <v>47</v>
      </c>
    </row>
    <row r="5332" spans="1:9" x14ac:dyDescent="0.3">
      <c r="A5332" t="s">
        <v>14</v>
      </c>
      <c r="B5332">
        <v>365000</v>
      </c>
      <c r="C5332">
        <v>216000</v>
      </c>
      <c r="G5332">
        <v>44365</v>
      </c>
      <c r="H5332">
        <v>2021</v>
      </c>
      <c r="I5332" t="s">
        <v>47</v>
      </c>
    </row>
    <row r="5333" spans="1:9" x14ac:dyDescent="0.3">
      <c r="A5333" t="s">
        <v>24</v>
      </c>
      <c r="G5333">
        <v>44365</v>
      </c>
      <c r="H5333">
        <v>2021</v>
      </c>
      <c r="I5333" t="s">
        <v>47</v>
      </c>
    </row>
    <row r="5334" spans="1:9" x14ac:dyDescent="0.3">
      <c r="A5334" t="s">
        <v>21</v>
      </c>
      <c r="C5334">
        <v>162000</v>
      </c>
      <c r="G5334">
        <v>44365</v>
      </c>
      <c r="H5334">
        <v>2021</v>
      </c>
      <c r="I5334" t="s">
        <v>47</v>
      </c>
    </row>
    <row r="5335" spans="1:9" x14ac:dyDescent="0.3">
      <c r="A5335" t="s">
        <v>18</v>
      </c>
      <c r="G5335">
        <v>44365</v>
      </c>
      <c r="H5335">
        <v>2021</v>
      </c>
      <c r="I5335" t="s">
        <v>47</v>
      </c>
    </row>
    <row r="5336" spans="1:9" x14ac:dyDescent="0.3">
      <c r="A5336" t="s">
        <v>16</v>
      </c>
      <c r="G5336">
        <v>44365</v>
      </c>
      <c r="H5336">
        <v>2021</v>
      </c>
      <c r="I5336" t="s">
        <v>47</v>
      </c>
    </row>
    <row r="5337" spans="1:9" x14ac:dyDescent="0.3">
      <c r="A5337" t="s">
        <v>20</v>
      </c>
      <c r="G5337">
        <v>44368</v>
      </c>
      <c r="H5337">
        <v>2021</v>
      </c>
      <c r="I5337" t="s">
        <v>47</v>
      </c>
    </row>
    <row r="5338" spans="1:9" x14ac:dyDescent="0.3">
      <c r="A5338" t="s">
        <v>37</v>
      </c>
      <c r="C5338">
        <v>103500</v>
      </c>
      <c r="D5338">
        <v>266000</v>
      </c>
      <c r="G5338">
        <v>44368</v>
      </c>
      <c r="H5338">
        <v>2021</v>
      </c>
      <c r="I5338" t="s">
        <v>47</v>
      </c>
    </row>
    <row r="5339" spans="1:9" x14ac:dyDescent="0.3">
      <c r="A5339" t="s">
        <v>17</v>
      </c>
      <c r="B5339">
        <v>648000</v>
      </c>
      <c r="C5339">
        <v>54000</v>
      </c>
      <c r="E5339">
        <v>108000</v>
      </c>
      <c r="G5339">
        <v>44368</v>
      </c>
      <c r="H5339">
        <v>2021</v>
      </c>
      <c r="I5339" t="s">
        <v>47</v>
      </c>
    </row>
    <row r="5340" spans="1:9" x14ac:dyDescent="0.3">
      <c r="A5340" t="s">
        <v>0</v>
      </c>
      <c r="G5340">
        <v>44368</v>
      </c>
      <c r="H5340">
        <v>2021</v>
      </c>
      <c r="I5340" t="s">
        <v>47</v>
      </c>
    </row>
    <row r="5341" spans="1:9" x14ac:dyDescent="0.3">
      <c r="A5341" t="s">
        <v>25</v>
      </c>
      <c r="B5341">
        <v>311000</v>
      </c>
      <c r="E5341">
        <v>108000</v>
      </c>
      <c r="G5341">
        <v>44368</v>
      </c>
      <c r="H5341">
        <v>2021</v>
      </c>
      <c r="I5341" t="s">
        <v>47</v>
      </c>
    </row>
    <row r="5342" spans="1:9" x14ac:dyDescent="0.3">
      <c r="A5342" t="s">
        <v>15</v>
      </c>
      <c r="C5342">
        <v>54000</v>
      </c>
      <c r="E5342">
        <v>153000</v>
      </c>
      <c r="G5342">
        <v>44368</v>
      </c>
      <c r="H5342">
        <v>2021</v>
      </c>
      <c r="I5342" t="s">
        <v>47</v>
      </c>
    </row>
    <row r="5343" spans="1:9" x14ac:dyDescent="0.3">
      <c r="A5343" t="s">
        <v>54</v>
      </c>
      <c r="C5343">
        <v>50000</v>
      </c>
      <c r="G5343">
        <v>44368</v>
      </c>
      <c r="H5343">
        <v>2021</v>
      </c>
      <c r="I5343" t="s">
        <v>47</v>
      </c>
    </row>
    <row r="5344" spans="1:9" x14ac:dyDescent="0.3">
      <c r="A5344" t="s">
        <v>26</v>
      </c>
      <c r="B5344">
        <v>198000</v>
      </c>
      <c r="C5344">
        <v>54000</v>
      </c>
      <c r="E5344">
        <v>108000</v>
      </c>
      <c r="G5344">
        <v>44368</v>
      </c>
      <c r="H5344">
        <v>2021</v>
      </c>
      <c r="I5344" t="s">
        <v>47</v>
      </c>
    </row>
    <row r="5345" spans="1:9" x14ac:dyDescent="0.3">
      <c r="A5345" t="s">
        <v>22</v>
      </c>
      <c r="G5345">
        <v>44368</v>
      </c>
      <c r="H5345">
        <v>2021</v>
      </c>
      <c r="I5345" t="s">
        <v>47</v>
      </c>
    </row>
    <row r="5346" spans="1:9" x14ac:dyDescent="0.3">
      <c r="A5346" t="s">
        <v>61</v>
      </c>
      <c r="D5346">
        <v>216000</v>
      </c>
      <c r="G5346">
        <v>44368</v>
      </c>
      <c r="H5346">
        <v>2021</v>
      </c>
      <c r="I5346" t="s">
        <v>47</v>
      </c>
    </row>
    <row r="5347" spans="1:9" x14ac:dyDescent="0.3">
      <c r="A5347" t="s">
        <v>19</v>
      </c>
      <c r="G5347">
        <v>44368</v>
      </c>
      <c r="H5347">
        <v>2021</v>
      </c>
      <c r="I5347" t="s">
        <v>47</v>
      </c>
    </row>
    <row r="5348" spans="1:9" x14ac:dyDescent="0.3">
      <c r="A5348" t="s">
        <v>14</v>
      </c>
      <c r="B5348">
        <v>162000</v>
      </c>
      <c r="C5348">
        <v>95000</v>
      </c>
      <c r="G5348">
        <v>44368</v>
      </c>
      <c r="H5348">
        <v>2021</v>
      </c>
      <c r="I5348" t="s">
        <v>47</v>
      </c>
    </row>
    <row r="5349" spans="1:9" x14ac:dyDescent="0.3">
      <c r="A5349" t="s">
        <v>24</v>
      </c>
      <c r="G5349">
        <v>44368</v>
      </c>
      <c r="H5349">
        <v>2021</v>
      </c>
      <c r="I5349" t="s">
        <v>47</v>
      </c>
    </row>
    <row r="5350" spans="1:9" x14ac:dyDescent="0.3">
      <c r="A5350" t="s">
        <v>21</v>
      </c>
      <c r="C5350">
        <v>49500</v>
      </c>
      <c r="G5350">
        <v>44368</v>
      </c>
      <c r="H5350">
        <v>2021</v>
      </c>
      <c r="I5350" t="s">
        <v>47</v>
      </c>
    </row>
    <row r="5351" spans="1:9" x14ac:dyDescent="0.3">
      <c r="A5351" t="s">
        <v>18</v>
      </c>
      <c r="G5351">
        <v>44368</v>
      </c>
      <c r="H5351">
        <v>2021</v>
      </c>
      <c r="I5351" t="s">
        <v>47</v>
      </c>
    </row>
    <row r="5352" spans="1:9" x14ac:dyDescent="0.3">
      <c r="A5352" t="s">
        <v>16</v>
      </c>
      <c r="E5352">
        <v>108000</v>
      </c>
      <c r="G5352">
        <v>44368</v>
      </c>
      <c r="H5352">
        <v>2021</v>
      </c>
      <c r="I5352" t="s">
        <v>47</v>
      </c>
    </row>
    <row r="5353" spans="1:9" x14ac:dyDescent="0.3">
      <c r="A5353" t="s">
        <v>20</v>
      </c>
      <c r="G5353">
        <v>44369</v>
      </c>
      <c r="H5353">
        <v>2021</v>
      </c>
      <c r="I5353" t="s">
        <v>47</v>
      </c>
    </row>
    <row r="5354" spans="1:9" x14ac:dyDescent="0.3">
      <c r="A5354" t="s">
        <v>37</v>
      </c>
      <c r="C5354">
        <v>157500</v>
      </c>
      <c r="G5354">
        <v>44369</v>
      </c>
      <c r="H5354">
        <v>2021</v>
      </c>
      <c r="I5354" t="s">
        <v>47</v>
      </c>
    </row>
    <row r="5355" spans="1:9" x14ac:dyDescent="0.3">
      <c r="A5355" t="s">
        <v>17</v>
      </c>
      <c r="B5355">
        <v>847000</v>
      </c>
      <c r="C5355">
        <v>207500</v>
      </c>
      <c r="E5355">
        <v>162000</v>
      </c>
      <c r="G5355">
        <v>44369</v>
      </c>
      <c r="H5355">
        <v>2021</v>
      </c>
      <c r="I5355" t="s">
        <v>47</v>
      </c>
    </row>
    <row r="5356" spans="1:9" x14ac:dyDescent="0.3">
      <c r="A5356" t="s">
        <v>0</v>
      </c>
      <c r="G5356">
        <v>44369</v>
      </c>
      <c r="H5356">
        <v>2021</v>
      </c>
      <c r="I5356" t="s">
        <v>47</v>
      </c>
    </row>
    <row r="5357" spans="1:9" x14ac:dyDescent="0.3">
      <c r="A5357" t="s">
        <v>25</v>
      </c>
      <c r="B5357">
        <v>486000</v>
      </c>
      <c r="E5357">
        <v>108000</v>
      </c>
      <c r="G5357">
        <v>44369</v>
      </c>
      <c r="H5357">
        <v>2021</v>
      </c>
      <c r="I5357" t="s">
        <v>47</v>
      </c>
    </row>
    <row r="5358" spans="1:9" x14ac:dyDescent="0.3">
      <c r="A5358" t="s">
        <v>15</v>
      </c>
      <c r="C5358">
        <v>162000</v>
      </c>
      <c r="E5358">
        <v>108000</v>
      </c>
      <c r="G5358">
        <v>44369</v>
      </c>
      <c r="H5358">
        <v>2021</v>
      </c>
      <c r="I5358" t="s">
        <v>47</v>
      </c>
    </row>
    <row r="5359" spans="1:9" x14ac:dyDescent="0.3">
      <c r="A5359" t="s">
        <v>54</v>
      </c>
      <c r="C5359">
        <v>108000</v>
      </c>
      <c r="G5359">
        <v>44369</v>
      </c>
      <c r="H5359">
        <v>2021</v>
      </c>
      <c r="I5359" t="s">
        <v>47</v>
      </c>
    </row>
    <row r="5360" spans="1:9" x14ac:dyDescent="0.3">
      <c r="A5360" t="s">
        <v>26</v>
      </c>
      <c r="C5360">
        <v>162000</v>
      </c>
      <c r="E5360">
        <v>108000</v>
      </c>
      <c r="G5360">
        <v>44369</v>
      </c>
      <c r="H5360">
        <v>2021</v>
      </c>
      <c r="I5360" t="s">
        <v>47</v>
      </c>
    </row>
    <row r="5361" spans="1:9" x14ac:dyDescent="0.3">
      <c r="A5361" t="s">
        <v>22</v>
      </c>
      <c r="G5361">
        <v>44369</v>
      </c>
      <c r="H5361">
        <v>2021</v>
      </c>
      <c r="I5361" t="s">
        <v>47</v>
      </c>
    </row>
    <row r="5362" spans="1:9" x14ac:dyDescent="0.3">
      <c r="A5362" t="s">
        <v>61</v>
      </c>
      <c r="G5362">
        <v>44369</v>
      </c>
      <c r="H5362">
        <v>2021</v>
      </c>
      <c r="I5362" t="s">
        <v>47</v>
      </c>
    </row>
    <row r="5363" spans="1:9" x14ac:dyDescent="0.3">
      <c r="A5363" t="s">
        <v>19</v>
      </c>
      <c r="G5363">
        <v>44369</v>
      </c>
      <c r="H5363">
        <v>2021</v>
      </c>
      <c r="I5363" t="s">
        <v>47</v>
      </c>
    </row>
    <row r="5364" spans="1:9" x14ac:dyDescent="0.3">
      <c r="A5364" t="s">
        <v>14</v>
      </c>
      <c r="B5364">
        <v>54000</v>
      </c>
      <c r="C5364">
        <v>162000</v>
      </c>
      <c r="G5364">
        <v>44369</v>
      </c>
      <c r="H5364">
        <v>2021</v>
      </c>
      <c r="I5364" t="s">
        <v>47</v>
      </c>
    </row>
    <row r="5365" spans="1:9" x14ac:dyDescent="0.3">
      <c r="A5365" t="s">
        <v>24</v>
      </c>
      <c r="G5365">
        <v>44369</v>
      </c>
      <c r="H5365">
        <v>2021</v>
      </c>
      <c r="I5365" t="s">
        <v>47</v>
      </c>
    </row>
    <row r="5366" spans="1:9" x14ac:dyDescent="0.3">
      <c r="A5366" t="s">
        <v>21</v>
      </c>
      <c r="C5366">
        <v>157500</v>
      </c>
      <c r="G5366">
        <v>44369</v>
      </c>
      <c r="H5366">
        <v>2021</v>
      </c>
      <c r="I5366" t="s">
        <v>47</v>
      </c>
    </row>
    <row r="5367" spans="1:9" x14ac:dyDescent="0.3">
      <c r="A5367" t="s">
        <v>18</v>
      </c>
      <c r="G5367">
        <v>44369</v>
      </c>
      <c r="H5367">
        <v>2021</v>
      </c>
      <c r="I5367" t="s">
        <v>47</v>
      </c>
    </row>
    <row r="5368" spans="1:9" x14ac:dyDescent="0.3">
      <c r="A5368" t="s">
        <v>16</v>
      </c>
      <c r="E5368">
        <v>108000</v>
      </c>
      <c r="G5368">
        <v>44369</v>
      </c>
      <c r="H5368">
        <v>2021</v>
      </c>
      <c r="I5368" t="s">
        <v>47</v>
      </c>
    </row>
    <row r="5369" spans="1:9" x14ac:dyDescent="0.3">
      <c r="A5369" t="s">
        <v>20</v>
      </c>
      <c r="G5369">
        <v>44370</v>
      </c>
      <c r="H5369">
        <v>2021</v>
      </c>
      <c r="I5369" t="s">
        <v>47</v>
      </c>
    </row>
    <row r="5370" spans="1:9" x14ac:dyDescent="0.3">
      <c r="A5370" t="s">
        <v>37</v>
      </c>
      <c r="C5370">
        <v>103500</v>
      </c>
      <c r="G5370">
        <v>44370</v>
      </c>
      <c r="H5370">
        <v>2021</v>
      </c>
      <c r="I5370" t="s">
        <v>47</v>
      </c>
    </row>
    <row r="5371" spans="1:9" x14ac:dyDescent="0.3">
      <c r="A5371" t="s">
        <v>17</v>
      </c>
      <c r="B5371">
        <v>486000</v>
      </c>
      <c r="C5371">
        <v>211500</v>
      </c>
      <c r="E5371">
        <v>108000</v>
      </c>
      <c r="G5371">
        <v>44370</v>
      </c>
      <c r="H5371">
        <v>2021</v>
      </c>
      <c r="I5371" t="s">
        <v>47</v>
      </c>
    </row>
    <row r="5372" spans="1:9" x14ac:dyDescent="0.3">
      <c r="A5372" t="s">
        <v>0</v>
      </c>
      <c r="G5372">
        <v>44370</v>
      </c>
      <c r="H5372">
        <v>2021</v>
      </c>
      <c r="I5372" t="s">
        <v>47</v>
      </c>
    </row>
    <row r="5373" spans="1:9" x14ac:dyDescent="0.3">
      <c r="A5373" t="s">
        <v>25</v>
      </c>
      <c r="B5373">
        <v>481500</v>
      </c>
      <c r="E5373">
        <v>108000</v>
      </c>
      <c r="G5373">
        <v>44370</v>
      </c>
      <c r="H5373">
        <v>2021</v>
      </c>
      <c r="I5373" t="s">
        <v>47</v>
      </c>
    </row>
    <row r="5374" spans="1:9" x14ac:dyDescent="0.3">
      <c r="A5374" t="s">
        <v>15</v>
      </c>
      <c r="C5374">
        <v>162000</v>
      </c>
      <c r="E5374">
        <v>108000</v>
      </c>
      <c r="G5374">
        <v>44370</v>
      </c>
      <c r="H5374">
        <v>2021</v>
      </c>
      <c r="I5374" t="s">
        <v>47</v>
      </c>
    </row>
    <row r="5375" spans="1:9" x14ac:dyDescent="0.3">
      <c r="A5375" t="s">
        <v>54</v>
      </c>
      <c r="C5375">
        <v>162000</v>
      </c>
      <c r="G5375">
        <v>44370</v>
      </c>
      <c r="H5375">
        <v>2021</v>
      </c>
      <c r="I5375" t="s">
        <v>47</v>
      </c>
    </row>
    <row r="5376" spans="1:9" x14ac:dyDescent="0.3">
      <c r="A5376" t="s">
        <v>26</v>
      </c>
      <c r="C5376">
        <v>162000</v>
      </c>
      <c r="E5376">
        <v>108000</v>
      </c>
      <c r="G5376">
        <v>44370</v>
      </c>
      <c r="H5376">
        <v>2021</v>
      </c>
      <c r="I5376" t="s">
        <v>47</v>
      </c>
    </row>
    <row r="5377" spans="1:9" x14ac:dyDescent="0.3">
      <c r="A5377" t="s">
        <v>22</v>
      </c>
      <c r="G5377">
        <v>44370</v>
      </c>
      <c r="H5377">
        <v>2021</v>
      </c>
      <c r="I5377" t="s">
        <v>47</v>
      </c>
    </row>
    <row r="5378" spans="1:9" x14ac:dyDescent="0.3">
      <c r="A5378" t="s">
        <v>61</v>
      </c>
      <c r="G5378">
        <v>44370</v>
      </c>
      <c r="H5378">
        <v>2021</v>
      </c>
      <c r="I5378" t="s">
        <v>47</v>
      </c>
    </row>
    <row r="5379" spans="1:9" x14ac:dyDescent="0.3">
      <c r="A5379" t="s">
        <v>19</v>
      </c>
      <c r="C5379">
        <v>360000</v>
      </c>
      <c r="G5379">
        <v>44370</v>
      </c>
      <c r="H5379">
        <v>2021</v>
      </c>
      <c r="I5379" t="s">
        <v>47</v>
      </c>
    </row>
    <row r="5380" spans="1:9" x14ac:dyDescent="0.3">
      <c r="A5380" t="s">
        <v>14</v>
      </c>
      <c r="C5380">
        <v>108000</v>
      </c>
      <c r="G5380">
        <v>44370</v>
      </c>
      <c r="H5380">
        <v>2021</v>
      </c>
      <c r="I5380" t="s">
        <v>47</v>
      </c>
    </row>
    <row r="5381" spans="1:9" x14ac:dyDescent="0.3">
      <c r="A5381" t="s">
        <v>24</v>
      </c>
      <c r="G5381">
        <v>44370</v>
      </c>
      <c r="H5381">
        <v>2021</v>
      </c>
      <c r="I5381" t="s">
        <v>47</v>
      </c>
    </row>
    <row r="5382" spans="1:9" x14ac:dyDescent="0.3">
      <c r="A5382" t="s">
        <v>21</v>
      </c>
      <c r="B5382">
        <v>432000</v>
      </c>
      <c r="C5382">
        <v>108000</v>
      </c>
      <c r="G5382">
        <v>44370</v>
      </c>
      <c r="H5382">
        <v>2021</v>
      </c>
      <c r="I5382" t="s">
        <v>47</v>
      </c>
    </row>
    <row r="5383" spans="1:9" x14ac:dyDescent="0.3">
      <c r="A5383" t="s">
        <v>18</v>
      </c>
      <c r="G5383">
        <v>44370</v>
      </c>
      <c r="H5383">
        <v>2021</v>
      </c>
      <c r="I5383" t="s">
        <v>47</v>
      </c>
    </row>
    <row r="5384" spans="1:9" x14ac:dyDescent="0.3">
      <c r="A5384" t="s">
        <v>16</v>
      </c>
      <c r="E5384">
        <v>108000</v>
      </c>
      <c r="G5384">
        <v>44370</v>
      </c>
      <c r="H5384">
        <v>2021</v>
      </c>
      <c r="I5384" t="s">
        <v>47</v>
      </c>
    </row>
    <row r="5385" spans="1:9" x14ac:dyDescent="0.3">
      <c r="A5385" t="s">
        <v>20</v>
      </c>
      <c r="G5385">
        <v>44371</v>
      </c>
      <c r="H5385">
        <v>2021</v>
      </c>
      <c r="I5385" t="s">
        <v>47</v>
      </c>
    </row>
    <row r="5386" spans="1:9" x14ac:dyDescent="0.3">
      <c r="A5386" t="s">
        <v>37</v>
      </c>
      <c r="C5386">
        <v>153000</v>
      </c>
      <c r="G5386">
        <v>44371</v>
      </c>
      <c r="H5386">
        <v>2021</v>
      </c>
      <c r="I5386" t="s">
        <v>47</v>
      </c>
    </row>
    <row r="5387" spans="1:9" x14ac:dyDescent="0.3">
      <c r="A5387" t="s">
        <v>17</v>
      </c>
      <c r="B5387">
        <v>432000</v>
      </c>
      <c r="C5387">
        <v>162000</v>
      </c>
      <c r="E5387">
        <v>162000</v>
      </c>
      <c r="G5387">
        <v>44371</v>
      </c>
      <c r="H5387">
        <v>2021</v>
      </c>
      <c r="I5387" t="s">
        <v>47</v>
      </c>
    </row>
    <row r="5388" spans="1:9" x14ac:dyDescent="0.3">
      <c r="A5388" t="s">
        <v>0</v>
      </c>
      <c r="G5388">
        <v>44371</v>
      </c>
      <c r="H5388">
        <v>2021</v>
      </c>
      <c r="I5388" t="s">
        <v>47</v>
      </c>
    </row>
    <row r="5389" spans="1:9" x14ac:dyDescent="0.3">
      <c r="A5389" t="s">
        <v>25</v>
      </c>
      <c r="B5389">
        <v>535500</v>
      </c>
      <c r="E5389">
        <v>108000</v>
      </c>
      <c r="G5389">
        <v>44371</v>
      </c>
      <c r="H5389">
        <v>2021</v>
      </c>
      <c r="I5389" t="s">
        <v>47</v>
      </c>
    </row>
    <row r="5390" spans="1:9" x14ac:dyDescent="0.3">
      <c r="A5390" t="s">
        <v>15</v>
      </c>
      <c r="C5390">
        <v>54000</v>
      </c>
      <c r="E5390">
        <v>162000</v>
      </c>
      <c r="G5390">
        <v>44371</v>
      </c>
      <c r="H5390">
        <v>2021</v>
      </c>
      <c r="I5390" t="s">
        <v>47</v>
      </c>
    </row>
    <row r="5391" spans="1:9" x14ac:dyDescent="0.3">
      <c r="A5391" t="s">
        <v>54</v>
      </c>
      <c r="C5391">
        <v>103000</v>
      </c>
      <c r="G5391">
        <v>44371</v>
      </c>
      <c r="H5391">
        <v>2021</v>
      </c>
      <c r="I5391" t="s">
        <v>47</v>
      </c>
    </row>
    <row r="5392" spans="1:9" x14ac:dyDescent="0.3">
      <c r="A5392" t="s">
        <v>26</v>
      </c>
      <c r="C5392">
        <v>211500</v>
      </c>
      <c r="E5392">
        <v>108000</v>
      </c>
      <c r="G5392">
        <v>44371</v>
      </c>
      <c r="H5392">
        <v>2021</v>
      </c>
      <c r="I5392" t="s">
        <v>47</v>
      </c>
    </row>
    <row r="5393" spans="1:9" x14ac:dyDescent="0.3">
      <c r="A5393" t="s">
        <v>22</v>
      </c>
      <c r="G5393">
        <v>44371</v>
      </c>
      <c r="H5393">
        <v>2021</v>
      </c>
      <c r="I5393" t="s">
        <v>47</v>
      </c>
    </row>
    <row r="5394" spans="1:9" x14ac:dyDescent="0.3">
      <c r="A5394" t="s">
        <v>61</v>
      </c>
      <c r="G5394">
        <v>44371</v>
      </c>
      <c r="H5394">
        <v>2021</v>
      </c>
      <c r="I5394" t="s">
        <v>47</v>
      </c>
    </row>
    <row r="5395" spans="1:9" x14ac:dyDescent="0.3">
      <c r="A5395" t="s">
        <v>19</v>
      </c>
      <c r="F5395">
        <v>648000</v>
      </c>
      <c r="G5395">
        <v>44371</v>
      </c>
      <c r="H5395">
        <v>2021</v>
      </c>
      <c r="I5395" t="s">
        <v>47</v>
      </c>
    </row>
    <row r="5396" spans="1:9" x14ac:dyDescent="0.3">
      <c r="A5396" t="s">
        <v>14</v>
      </c>
      <c r="C5396">
        <v>252500</v>
      </c>
      <c r="G5396">
        <v>44371</v>
      </c>
      <c r="H5396">
        <v>2021</v>
      </c>
      <c r="I5396" t="s">
        <v>47</v>
      </c>
    </row>
    <row r="5397" spans="1:9" x14ac:dyDescent="0.3">
      <c r="A5397" t="s">
        <v>24</v>
      </c>
      <c r="G5397">
        <v>44371</v>
      </c>
      <c r="H5397">
        <v>2021</v>
      </c>
      <c r="I5397" t="s">
        <v>47</v>
      </c>
    </row>
    <row r="5398" spans="1:9" x14ac:dyDescent="0.3">
      <c r="A5398" t="s">
        <v>21</v>
      </c>
      <c r="B5398">
        <v>419000</v>
      </c>
      <c r="C5398">
        <v>162000</v>
      </c>
      <c r="G5398">
        <v>44371</v>
      </c>
      <c r="H5398">
        <v>2021</v>
      </c>
      <c r="I5398" t="s">
        <v>47</v>
      </c>
    </row>
    <row r="5399" spans="1:9" x14ac:dyDescent="0.3">
      <c r="A5399" t="s">
        <v>18</v>
      </c>
      <c r="D5399">
        <v>297000</v>
      </c>
      <c r="G5399">
        <v>44371</v>
      </c>
      <c r="H5399">
        <v>2021</v>
      </c>
      <c r="I5399" t="s">
        <v>47</v>
      </c>
    </row>
    <row r="5400" spans="1:9" x14ac:dyDescent="0.3">
      <c r="A5400" t="s">
        <v>16</v>
      </c>
      <c r="G5400">
        <v>44371</v>
      </c>
      <c r="H5400">
        <v>2021</v>
      </c>
      <c r="I5400" t="s">
        <v>47</v>
      </c>
    </row>
    <row r="5401" spans="1:9" x14ac:dyDescent="0.3">
      <c r="A5401" t="s">
        <v>20</v>
      </c>
      <c r="G5401">
        <v>44372</v>
      </c>
      <c r="H5401">
        <v>2021</v>
      </c>
      <c r="I5401" t="s">
        <v>47</v>
      </c>
    </row>
    <row r="5402" spans="1:9" x14ac:dyDescent="0.3">
      <c r="A5402" t="s">
        <v>37</v>
      </c>
      <c r="C5402">
        <v>104000</v>
      </c>
      <c r="G5402">
        <v>44372</v>
      </c>
      <c r="H5402">
        <v>2021</v>
      </c>
      <c r="I5402" t="s">
        <v>47</v>
      </c>
    </row>
    <row r="5403" spans="1:9" x14ac:dyDescent="0.3">
      <c r="A5403" t="s">
        <v>17</v>
      </c>
      <c r="B5403">
        <v>482000</v>
      </c>
      <c r="C5403">
        <v>157500</v>
      </c>
      <c r="E5403">
        <v>162000</v>
      </c>
      <c r="G5403">
        <v>44372</v>
      </c>
      <c r="H5403">
        <v>2021</v>
      </c>
      <c r="I5403" t="s">
        <v>47</v>
      </c>
    </row>
    <row r="5404" spans="1:9" x14ac:dyDescent="0.3">
      <c r="A5404" t="s">
        <v>0</v>
      </c>
      <c r="G5404">
        <v>44372</v>
      </c>
      <c r="H5404">
        <v>2021</v>
      </c>
      <c r="I5404" t="s">
        <v>47</v>
      </c>
    </row>
    <row r="5405" spans="1:9" x14ac:dyDescent="0.3">
      <c r="A5405" t="s">
        <v>25</v>
      </c>
      <c r="B5405">
        <v>378000</v>
      </c>
      <c r="E5405">
        <v>108000</v>
      </c>
      <c r="G5405">
        <v>44372</v>
      </c>
      <c r="H5405">
        <v>2021</v>
      </c>
      <c r="I5405" t="s">
        <v>47</v>
      </c>
    </row>
    <row r="5406" spans="1:9" x14ac:dyDescent="0.3">
      <c r="A5406" t="s">
        <v>15</v>
      </c>
      <c r="C5406">
        <v>158000</v>
      </c>
      <c r="E5406">
        <v>108000</v>
      </c>
      <c r="G5406">
        <v>44372</v>
      </c>
      <c r="H5406">
        <v>2021</v>
      </c>
      <c r="I5406" t="s">
        <v>47</v>
      </c>
    </row>
    <row r="5407" spans="1:9" x14ac:dyDescent="0.3">
      <c r="A5407" t="s">
        <v>54</v>
      </c>
      <c r="C5407">
        <v>108000</v>
      </c>
      <c r="G5407">
        <v>44372</v>
      </c>
      <c r="H5407">
        <v>2021</v>
      </c>
      <c r="I5407" t="s">
        <v>47</v>
      </c>
    </row>
    <row r="5408" spans="1:9" x14ac:dyDescent="0.3">
      <c r="A5408" t="s">
        <v>26</v>
      </c>
      <c r="C5408">
        <v>207000</v>
      </c>
      <c r="E5408">
        <v>108000</v>
      </c>
      <c r="G5408">
        <v>44372</v>
      </c>
      <c r="H5408">
        <v>2021</v>
      </c>
      <c r="I5408" t="s">
        <v>47</v>
      </c>
    </row>
    <row r="5409" spans="1:9" x14ac:dyDescent="0.3">
      <c r="A5409" t="s">
        <v>22</v>
      </c>
      <c r="G5409">
        <v>44372</v>
      </c>
      <c r="H5409">
        <v>2021</v>
      </c>
      <c r="I5409" t="s">
        <v>47</v>
      </c>
    </row>
    <row r="5410" spans="1:9" x14ac:dyDescent="0.3">
      <c r="A5410" t="s">
        <v>61</v>
      </c>
      <c r="G5410">
        <v>44372</v>
      </c>
      <c r="H5410">
        <v>2021</v>
      </c>
      <c r="I5410" t="s">
        <v>47</v>
      </c>
    </row>
    <row r="5411" spans="1:9" x14ac:dyDescent="0.3">
      <c r="A5411" t="s">
        <v>19</v>
      </c>
      <c r="B5411">
        <v>45000</v>
      </c>
      <c r="F5411">
        <v>536000</v>
      </c>
      <c r="G5411">
        <v>44372</v>
      </c>
      <c r="H5411">
        <v>2021</v>
      </c>
      <c r="I5411" t="s">
        <v>47</v>
      </c>
    </row>
    <row r="5412" spans="1:9" x14ac:dyDescent="0.3">
      <c r="A5412" t="s">
        <v>14</v>
      </c>
      <c r="B5412">
        <v>315000</v>
      </c>
      <c r="C5412">
        <v>162000</v>
      </c>
      <c r="F5412">
        <v>594000</v>
      </c>
      <c r="G5412">
        <v>44372</v>
      </c>
      <c r="H5412">
        <v>2021</v>
      </c>
      <c r="I5412" t="s">
        <v>47</v>
      </c>
    </row>
    <row r="5413" spans="1:9" x14ac:dyDescent="0.3">
      <c r="A5413" t="s">
        <v>24</v>
      </c>
      <c r="G5413">
        <v>44372</v>
      </c>
      <c r="H5413">
        <v>2021</v>
      </c>
      <c r="I5413" t="s">
        <v>47</v>
      </c>
    </row>
    <row r="5414" spans="1:9" x14ac:dyDescent="0.3">
      <c r="A5414" t="s">
        <v>21</v>
      </c>
      <c r="B5414">
        <v>149000</v>
      </c>
      <c r="C5414">
        <v>157500</v>
      </c>
      <c r="G5414">
        <v>44372</v>
      </c>
      <c r="H5414">
        <v>2021</v>
      </c>
      <c r="I5414" t="s">
        <v>47</v>
      </c>
    </row>
    <row r="5415" spans="1:9" x14ac:dyDescent="0.3">
      <c r="A5415" t="s">
        <v>18</v>
      </c>
      <c r="G5415">
        <v>44372</v>
      </c>
      <c r="H5415">
        <v>2021</v>
      </c>
      <c r="I5415" t="s">
        <v>47</v>
      </c>
    </row>
    <row r="5416" spans="1:9" x14ac:dyDescent="0.3">
      <c r="A5416" t="s">
        <v>16</v>
      </c>
      <c r="G5416">
        <v>44372</v>
      </c>
      <c r="H5416">
        <v>2021</v>
      </c>
      <c r="I5416" t="s">
        <v>47</v>
      </c>
    </row>
    <row r="5417" spans="1:9" x14ac:dyDescent="0.3">
      <c r="A5417" t="s">
        <v>20</v>
      </c>
      <c r="G5417">
        <v>44375</v>
      </c>
      <c r="H5417">
        <v>2021</v>
      </c>
      <c r="I5417" t="s">
        <v>47</v>
      </c>
    </row>
    <row r="5418" spans="1:9" x14ac:dyDescent="0.3">
      <c r="A5418" t="s">
        <v>37</v>
      </c>
      <c r="G5418">
        <v>44375</v>
      </c>
      <c r="H5418">
        <v>2021</v>
      </c>
      <c r="I5418" t="s">
        <v>47</v>
      </c>
    </row>
    <row r="5419" spans="1:9" x14ac:dyDescent="0.3">
      <c r="A5419" t="s">
        <v>17</v>
      </c>
      <c r="B5419">
        <v>378000</v>
      </c>
      <c r="C5419">
        <v>216000</v>
      </c>
      <c r="G5419">
        <v>44375</v>
      </c>
      <c r="H5419">
        <v>2021</v>
      </c>
      <c r="I5419" t="s">
        <v>47</v>
      </c>
    </row>
    <row r="5420" spans="1:9" x14ac:dyDescent="0.3">
      <c r="A5420" t="s">
        <v>0</v>
      </c>
      <c r="G5420">
        <v>44375</v>
      </c>
      <c r="H5420">
        <v>2021</v>
      </c>
      <c r="I5420" t="s">
        <v>47</v>
      </c>
    </row>
    <row r="5421" spans="1:9" x14ac:dyDescent="0.3">
      <c r="A5421" t="s">
        <v>25</v>
      </c>
      <c r="B5421">
        <v>324000</v>
      </c>
      <c r="G5421">
        <v>44375</v>
      </c>
      <c r="H5421">
        <v>2021</v>
      </c>
      <c r="I5421" t="s">
        <v>47</v>
      </c>
    </row>
    <row r="5422" spans="1:9" x14ac:dyDescent="0.3">
      <c r="A5422" t="s">
        <v>15</v>
      </c>
      <c r="C5422">
        <v>162000</v>
      </c>
      <c r="G5422">
        <v>44375</v>
      </c>
      <c r="H5422">
        <v>2021</v>
      </c>
      <c r="I5422" t="s">
        <v>47</v>
      </c>
    </row>
    <row r="5423" spans="1:9" x14ac:dyDescent="0.3">
      <c r="A5423" t="s">
        <v>54</v>
      </c>
      <c r="C5423">
        <v>162000</v>
      </c>
      <c r="G5423">
        <v>44375</v>
      </c>
      <c r="H5423">
        <v>2021</v>
      </c>
      <c r="I5423" t="s">
        <v>47</v>
      </c>
    </row>
    <row r="5424" spans="1:9" x14ac:dyDescent="0.3">
      <c r="A5424" t="s">
        <v>26</v>
      </c>
      <c r="C5424">
        <v>162000</v>
      </c>
      <c r="G5424">
        <v>44375</v>
      </c>
      <c r="H5424">
        <v>2021</v>
      </c>
      <c r="I5424" t="s">
        <v>47</v>
      </c>
    </row>
    <row r="5425" spans="1:9" x14ac:dyDescent="0.3">
      <c r="A5425" t="s">
        <v>22</v>
      </c>
      <c r="G5425">
        <v>44375</v>
      </c>
      <c r="H5425">
        <v>2021</v>
      </c>
      <c r="I5425" t="s">
        <v>47</v>
      </c>
    </row>
    <row r="5426" spans="1:9" x14ac:dyDescent="0.3">
      <c r="A5426" t="s">
        <v>61</v>
      </c>
      <c r="G5426">
        <v>44375</v>
      </c>
      <c r="H5426">
        <v>2021</v>
      </c>
      <c r="I5426" t="s">
        <v>47</v>
      </c>
    </row>
    <row r="5427" spans="1:9" x14ac:dyDescent="0.3">
      <c r="A5427" t="s">
        <v>19</v>
      </c>
      <c r="F5427">
        <v>270000</v>
      </c>
      <c r="G5427">
        <v>44375</v>
      </c>
      <c r="H5427">
        <v>2021</v>
      </c>
      <c r="I5427" t="s">
        <v>47</v>
      </c>
    </row>
    <row r="5428" spans="1:9" x14ac:dyDescent="0.3">
      <c r="A5428" t="s">
        <v>14</v>
      </c>
      <c r="B5428">
        <v>427500</v>
      </c>
      <c r="C5428">
        <v>211500</v>
      </c>
      <c r="F5428">
        <v>270000</v>
      </c>
      <c r="G5428">
        <v>44375</v>
      </c>
      <c r="H5428">
        <v>2021</v>
      </c>
      <c r="I5428" t="s">
        <v>47</v>
      </c>
    </row>
    <row r="5429" spans="1:9" x14ac:dyDescent="0.3">
      <c r="A5429" t="s">
        <v>24</v>
      </c>
      <c r="G5429">
        <v>44375</v>
      </c>
      <c r="H5429">
        <v>2021</v>
      </c>
      <c r="I5429" t="s">
        <v>47</v>
      </c>
    </row>
    <row r="5430" spans="1:9" x14ac:dyDescent="0.3">
      <c r="A5430" t="s">
        <v>21</v>
      </c>
      <c r="C5430">
        <v>162000</v>
      </c>
      <c r="G5430">
        <v>44375</v>
      </c>
      <c r="H5430">
        <v>2021</v>
      </c>
      <c r="I5430" t="s">
        <v>47</v>
      </c>
    </row>
    <row r="5431" spans="1:9" x14ac:dyDescent="0.3">
      <c r="A5431" t="s">
        <v>18</v>
      </c>
      <c r="G5431">
        <v>44375</v>
      </c>
      <c r="H5431">
        <v>2021</v>
      </c>
      <c r="I5431" t="s">
        <v>47</v>
      </c>
    </row>
    <row r="5432" spans="1:9" x14ac:dyDescent="0.3">
      <c r="A5432" t="s">
        <v>16</v>
      </c>
      <c r="G5432">
        <v>44375</v>
      </c>
      <c r="H5432">
        <v>2021</v>
      </c>
      <c r="I5432" t="s">
        <v>47</v>
      </c>
    </row>
    <row r="5433" spans="1:9" x14ac:dyDescent="0.3">
      <c r="A5433" t="s">
        <v>20</v>
      </c>
      <c r="G5433">
        <v>44376</v>
      </c>
      <c r="H5433">
        <v>2021</v>
      </c>
      <c r="I5433" t="s">
        <v>47</v>
      </c>
    </row>
    <row r="5434" spans="1:9" x14ac:dyDescent="0.3">
      <c r="A5434" t="s">
        <v>37</v>
      </c>
      <c r="C5434">
        <v>108000</v>
      </c>
      <c r="G5434">
        <v>44376</v>
      </c>
      <c r="H5434">
        <v>2021</v>
      </c>
      <c r="I5434" t="s">
        <v>47</v>
      </c>
    </row>
    <row r="5435" spans="1:9" x14ac:dyDescent="0.3">
      <c r="A5435" t="s">
        <v>17</v>
      </c>
      <c r="B5435">
        <v>99000</v>
      </c>
      <c r="C5435">
        <v>216000</v>
      </c>
      <c r="G5435">
        <v>44376</v>
      </c>
      <c r="H5435">
        <v>2021</v>
      </c>
      <c r="I5435" t="s">
        <v>47</v>
      </c>
    </row>
    <row r="5436" spans="1:9" x14ac:dyDescent="0.3">
      <c r="A5436" t="s">
        <v>0</v>
      </c>
      <c r="G5436">
        <v>44376</v>
      </c>
      <c r="H5436">
        <v>2021</v>
      </c>
      <c r="I5436" t="s">
        <v>47</v>
      </c>
    </row>
    <row r="5437" spans="1:9" x14ac:dyDescent="0.3">
      <c r="A5437" t="s">
        <v>25</v>
      </c>
      <c r="B5437">
        <v>146000</v>
      </c>
      <c r="G5437">
        <v>44376</v>
      </c>
      <c r="H5437">
        <v>2021</v>
      </c>
      <c r="I5437" t="s">
        <v>47</v>
      </c>
    </row>
    <row r="5438" spans="1:9" x14ac:dyDescent="0.3">
      <c r="A5438" t="s">
        <v>15</v>
      </c>
      <c r="C5438">
        <v>216000</v>
      </c>
      <c r="G5438">
        <v>44376</v>
      </c>
      <c r="H5438">
        <v>2021</v>
      </c>
      <c r="I5438" t="s">
        <v>47</v>
      </c>
    </row>
    <row r="5439" spans="1:9" x14ac:dyDescent="0.3">
      <c r="A5439" t="s">
        <v>54</v>
      </c>
      <c r="C5439">
        <v>162000</v>
      </c>
      <c r="G5439">
        <v>44376</v>
      </c>
      <c r="H5439">
        <v>2021</v>
      </c>
      <c r="I5439" t="s">
        <v>47</v>
      </c>
    </row>
    <row r="5440" spans="1:9" x14ac:dyDescent="0.3">
      <c r="A5440" t="s">
        <v>26</v>
      </c>
      <c r="C5440">
        <v>99500</v>
      </c>
      <c r="G5440">
        <v>44376</v>
      </c>
      <c r="H5440">
        <v>2021</v>
      </c>
      <c r="I5440" t="s">
        <v>47</v>
      </c>
    </row>
    <row r="5441" spans="1:9" x14ac:dyDescent="0.3">
      <c r="A5441" t="s">
        <v>22</v>
      </c>
      <c r="G5441">
        <v>44376</v>
      </c>
      <c r="H5441">
        <v>2021</v>
      </c>
      <c r="I5441" t="s">
        <v>47</v>
      </c>
    </row>
    <row r="5442" spans="1:9" x14ac:dyDescent="0.3">
      <c r="A5442" t="s">
        <v>61</v>
      </c>
      <c r="G5442">
        <v>44376</v>
      </c>
      <c r="H5442">
        <v>2021</v>
      </c>
      <c r="I5442" t="s">
        <v>47</v>
      </c>
    </row>
    <row r="5443" spans="1:9" x14ac:dyDescent="0.3">
      <c r="A5443" t="s">
        <v>19</v>
      </c>
      <c r="F5443">
        <v>540000</v>
      </c>
      <c r="G5443">
        <v>44376</v>
      </c>
      <c r="H5443">
        <v>2021</v>
      </c>
      <c r="I5443" t="s">
        <v>47</v>
      </c>
    </row>
    <row r="5444" spans="1:9" x14ac:dyDescent="0.3">
      <c r="A5444" t="s">
        <v>14</v>
      </c>
      <c r="B5444">
        <v>1503000</v>
      </c>
      <c r="C5444">
        <v>270000</v>
      </c>
      <c r="F5444">
        <v>135000</v>
      </c>
      <c r="G5444">
        <v>44376</v>
      </c>
      <c r="H5444">
        <v>2021</v>
      </c>
      <c r="I5444" t="s">
        <v>47</v>
      </c>
    </row>
    <row r="5445" spans="1:9" x14ac:dyDescent="0.3">
      <c r="A5445" t="s">
        <v>24</v>
      </c>
      <c r="G5445">
        <v>44376</v>
      </c>
      <c r="H5445">
        <v>2021</v>
      </c>
      <c r="I5445" t="s">
        <v>47</v>
      </c>
    </row>
    <row r="5446" spans="1:9" x14ac:dyDescent="0.3">
      <c r="A5446" t="s">
        <v>21</v>
      </c>
      <c r="C5446">
        <v>270000</v>
      </c>
      <c r="G5446">
        <v>44376</v>
      </c>
      <c r="H5446">
        <v>2021</v>
      </c>
      <c r="I5446" t="s">
        <v>47</v>
      </c>
    </row>
    <row r="5447" spans="1:9" x14ac:dyDescent="0.3">
      <c r="A5447" t="s">
        <v>18</v>
      </c>
      <c r="G5447">
        <v>44376</v>
      </c>
      <c r="H5447">
        <v>2021</v>
      </c>
      <c r="I5447" t="s">
        <v>47</v>
      </c>
    </row>
    <row r="5448" spans="1:9" x14ac:dyDescent="0.3">
      <c r="A5448" t="s">
        <v>16</v>
      </c>
      <c r="B5448">
        <v>108000</v>
      </c>
      <c r="D5448">
        <v>486000</v>
      </c>
      <c r="G5448">
        <v>44376</v>
      </c>
      <c r="H5448">
        <v>2021</v>
      </c>
      <c r="I5448" t="s">
        <v>47</v>
      </c>
    </row>
    <row r="5449" spans="1:9" x14ac:dyDescent="0.3">
      <c r="A5449" t="s">
        <v>20</v>
      </c>
      <c r="G5449">
        <v>44377</v>
      </c>
      <c r="H5449">
        <v>2021</v>
      </c>
      <c r="I5449" t="s">
        <v>47</v>
      </c>
    </row>
    <row r="5450" spans="1:9" x14ac:dyDescent="0.3">
      <c r="A5450" t="s">
        <v>37</v>
      </c>
      <c r="G5450">
        <v>44377</v>
      </c>
      <c r="H5450">
        <v>2021</v>
      </c>
      <c r="I5450" t="s">
        <v>47</v>
      </c>
    </row>
    <row r="5451" spans="1:9" x14ac:dyDescent="0.3">
      <c r="A5451" t="s">
        <v>17</v>
      </c>
      <c r="B5451">
        <v>270000</v>
      </c>
      <c r="C5451">
        <v>207000</v>
      </c>
      <c r="G5451">
        <v>44377</v>
      </c>
      <c r="H5451">
        <v>2021</v>
      </c>
      <c r="I5451" t="s">
        <v>47</v>
      </c>
    </row>
    <row r="5452" spans="1:9" x14ac:dyDescent="0.3">
      <c r="A5452" t="s">
        <v>0</v>
      </c>
      <c r="G5452">
        <v>44377</v>
      </c>
      <c r="H5452">
        <v>2021</v>
      </c>
      <c r="I5452" t="s">
        <v>47</v>
      </c>
    </row>
    <row r="5453" spans="1:9" x14ac:dyDescent="0.3">
      <c r="A5453" t="s">
        <v>25</v>
      </c>
      <c r="F5453">
        <v>698000</v>
      </c>
      <c r="G5453">
        <v>44377</v>
      </c>
      <c r="H5453">
        <v>2021</v>
      </c>
      <c r="I5453" t="s">
        <v>47</v>
      </c>
    </row>
    <row r="5454" spans="1:9" x14ac:dyDescent="0.3">
      <c r="A5454" t="s">
        <v>15</v>
      </c>
      <c r="C5454">
        <v>216000</v>
      </c>
      <c r="G5454">
        <v>44377</v>
      </c>
      <c r="H5454">
        <v>2021</v>
      </c>
      <c r="I5454" t="s">
        <v>47</v>
      </c>
    </row>
    <row r="5455" spans="1:9" x14ac:dyDescent="0.3">
      <c r="A5455" t="s">
        <v>54</v>
      </c>
      <c r="C5455">
        <v>157500</v>
      </c>
      <c r="G5455">
        <v>44377</v>
      </c>
      <c r="H5455">
        <v>2021</v>
      </c>
      <c r="I5455" t="s">
        <v>47</v>
      </c>
    </row>
    <row r="5456" spans="1:9" x14ac:dyDescent="0.3">
      <c r="A5456" t="s">
        <v>26</v>
      </c>
      <c r="G5456">
        <v>44377</v>
      </c>
      <c r="H5456">
        <v>2021</v>
      </c>
      <c r="I5456" t="s">
        <v>47</v>
      </c>
    </row>
    <row r="5457" spans="1:9" x14ac:dyDescent="0.3">
      <c r="A5457" t="s">
        <v>22</v>
      </c>
      <c r="G5457">
        <v>44377</v>
      </c>
      <c r="H5457">
        <v>2021</v>
      </c>
      <c r="I5457" t="s">
        <v>47</v>
      </c>
    </row>
    <row r="5458" spans="1:9" x14ac:dyDescent="0.3">
      <c r="A5458" t="s">
        <v>61</v>
      </c>
      <c r="G5458">
        <v>44377</v>
      </c>
      <c r="H5458">
        <v>2021</v>
      </c>
      <c r="I5458" t="s">
        <v>47</v>
      </c>
    </row>
    <row r="5459" spans="1:9" x14ac:dyDescent="0.3">
      <c r="A5459" t="s">
        <v>19</v>
      </c>
      <c r="G5459">
        <v>44377</v>
      </c>
      <c r="H5459">
        <v>2021</v>
      </c>
      <c r="I5459" t="s">
        <v>47</v>
      </c>
    </row>
    <row r="5460" spans="1:9" x14ac:dyDescent="0.3">
      <c r="A5460" t="s">
        <v>14</v>
      </c>
      <c r="B5460">
        <v>702000</v>
      </c>
      <c r="C5460">
        <v>647000</v>
      </c>
      <c r="G5460">
        <v>44377</v>
      </c>
      <c r="H5460">
        <v>2021</v>
      </c>
      <c r="I5460" t="s">
        <v>47</v>
      </c>
    </row>
    <row r="5461" spans="1:9" x14ac:dyDescent="0.3">
      <c r="A5461" t="s">
        <v>24</v>
      </c>
      <c r="G5461">
        <v>44377</v>
      </c>
      <c r="H5461">
        <v>2021</v>
      </c>
      <c r="I5461" t="s">
        <v>47</v>
      </c>
    </row>
    <row r="5462" spans="1:9" x14ac:dyDescent="0.3">
      <c r="A5462" t="s">
        <v>21</v>
      </c>
      <c r="C5462">
        <v>536000</v>
      </c>
      <c r="G5462">
        <v>44377</v>
      </c>
      <c r="H5462">
        <v>2021</v>
      </c>
      <c r="I5462" t="s">
        <v>47</v>
      </c>
    </row>
    <row r="5463" spans="1:9" x14ac:dyDescent="0.3">
      <c r="A5463" t="s">
        <v>18</v>
      </c>
      <c r="G5463">
        <v>44377</v>
      </c>
      <c r="H5463">
        <v>2021</v>
      </c>
      <c r="I5463" t="s">
        <v>47</v>
      </c>
    </row>
    <row r="5464" spans="1:9" x14ac:dyDescent="0.3">
      <c r="A5464" t="s">
        <v>16</v>
      </c>
      <c r="B5464">
        <v>359000</v>
      </c>
      <c r="D5464">
        <v>162000</v>
      </c>
      <c r="G5464">
        <v>44377</v>
      </c>
      <c r="H5464">
        <v>2021</v>
      </c>
      <c r="I5464" t="s">
        <v>47</v>
      </c>
    </row>
    <row r="5465" spans="1:9" x14ac:dyDescent="0.3">
      <c r="A5465" t="s">
        <v>20</v>
      </c>
      <c r="G5465">
        <v>44379</v>
      </c>
      <c r="H5465">
        <v>2021</v>
      </c>
      <c r="I5465" t="s">
        <v>48</v>
      </c>
    </row>
    <row r="5466" spans="1:9" x14ac:dyDescent="0.3">
      <c r="A5466" t="s">
        <v>37</v>
      </c>
      <c r="C5466">
        <v>54000</v>
      </c>
      <c r="G5466">
        <v>44379</v>
      </c>
      <c r="H5466">
        <v>2021</v>
      </c>
      <c r="I5466" t="s">
        <v>48</v>
      </c>
    </row>
    <row r="5467" spans="1:9" x14ac:dyDescent="0.3">
      <c r="A5467" t="s">
        <v>17</v>
      </c>
      <c r="C5467">
        <v>54000</v>
      </c>
      <c r="E5467">
        <v>108000</v>
      </c>
      <c r="G5467">
        <v>44379</v>
      </c>
      <c r="H5467">
        <v>2021</v>
      </c>
      <c r="I5467" t="s">
        <v>48</v>
      </c>
    </row>
    <row r="5468" spans="1:9" x14ac:dyDescent="0.3">
      <c r="A5468" t="s">
        <v>0</v>
      </c>
      <c r="F5468">
        <v>200000</v>
      </c>
      <c r="G5468">
        <v>44379</v>
      </c>
      <c r="H5468">
        <v>2021</v>
      </c>
      <c r="I5468" t="s">
        <v>48</v>
      </c>
    </row>
    <row r="5469" spans="1:9" x14ac:dyDescent="0.3">
      <c r="A5469" t="s">
        <v>25</v>
      </c>
      <c r="E5469">
        <v>108000</v>
      </c>
      <c r="F5469">
        <v>302000</v>
      </c>
      <c r="G5469">
        <v>44379</v>
      </c>
      <c r="H5469">
        <v>2021</v>
      </c>
      <c r="I5469" t="s">
        <v>48</v>
      </c>
    </row>
    <row r="5470" spans="1:9" x14ac:dyDescent="0.3">
      <c r="A5470" t="s">
        <v>15</v>
      </c>
      <c r="E5470">
        <v>108000</v>
      </c>
      <c r="G5470">
        <v>44379</v>
      </c>
      <c r="H5470">
        <v>2021</v>
      </c>
      <c r="I5470" t="s">
        <v>48</v>
      </c>
    </row>
    <row r="5471" spans="1:9" x14ac:dyDescent="0.3">
      <c r="A5471" t="s">
        <v>54</v>
      </c>
      <c r="G5471">
        <v>44379</v>
      </c>
      <c r="H5471">
        <v>2021</v>
      </c>
      <c r="I5471" t="s">
        <v>48</v>
      </c>
    </row>
    <row r="5472" spans="1:9" x14ac:dyDescent="0.3">
      <c r="A5472" t="s">
        <v>26</v>
      </c>
      <c r="E5472">
        <v>54000</v>
      </c>
      <c r="G5472">
        <v>44379</v>
      </c>
      <c r="H5472">
        <v>2021</v>
      </c>
      <c r="I5472" t="s">
        <v>48</v>
      </c>
    </row>
    <row r="5473" spans="1:9" x14ac:dyDescent="0.3">
      <c r="A5473" t="s">
        <v>22</v>
      </c>
      <c r="G5473">
        <v>44379</v>
      </c>
      <c r="H5473">
        <v>2021</v>
      </c>
      <c r="I5473" t="s">
        <v>48</v>
      </c>
    </row>
    <row r="5474" spans="1:9" x14ac:dyDescent="0.3">
      <c r="A5474" t="s">
        <v>61</v>
      </c>
      <c r="G5474">
        <v>44379</v>
      </c>
      <c r="H5474">
        <v>2021</v>
      </c>
      <c r="I5474" t="s">
        <v>48</v>
      </c>
    </row>
    <row r="5475" spans="1:9" x14ac:dyDescent="0.3">
      <c r="A5475" t="s">
        <v>19</v>
      </c>
      <c r="B5475">
        <v>1778000</v>
      </c>
      <c r="C5475">
        <v>927000</v>
      </c>
      <c r="G5475">
        <v>44379</v>
      </c>
      <c r="H5475">
        <v>2021</v>
      </c>
      <c r="I5475" t="s">
        <v>48</v>
      </c>
    </row>
    <row r="5476" spans="1:9" x14ac:dyDescent="0.3">
      <c r="A5476" t="s">
        <v>14</v>
      </c>
      <c r="C5476">
        <v>162000</v>
      </c>
      <c r="G5476">
        <v>44379</v>
      </c>
      <c r="H5476">
        <v>2021</v>
      </c>
      <c r="I5476" t="s">
        <v>48</v>
      </c>
    </row>
    <row r="5477" spans="1:9" x14ac:dyDescent="0.3">
      <c r="A5477" t="s">
        <v>24</v>
      </c>
      <c r="G5477">
        <v>44379</v>
      </c>
      <c r="H5477">
        <v>2021</v>
      </c>
      <c r="I5477" t="s">
        <v>48</v>
      </c>
    </row>
    <row r="5478" spans="1:9" x14ac:dyDescent="0.3">
      <c r="A5478" t="s">
        <v>21</v>
      </c>
      <c r="G5478">
        <v>44379</v>
      </c>
      <c r="H5478">
        <v>2021</v>
      </c>
      <c r="I5478" t="s">
        <v>48</v>
      </c>
    </row>
    <row r="5479" spans="1:9" x14ac:dyDescent="0.3">
      <c r="A5479" t="s">
        <v>18</v>
      </c>
      <c r="G5479">
        <v>44379</v>
      </c>
      <c r="H5479">
        <v>2021</v>
      </c>
      <c r="I5479" t="s">
        <v>48</v>
      </c>
    </row>
    <row r="5480" spans="1:9" x14ac:dyDescent="0.3">
      <c r="A5480" t="s">
        <v>16</v>
      </c>
      <c r="C5480">
        <v>526500</v>
      </c>
      <c r="E5480">
        <v>108000</v>
      </c>
      <c r="G5480">
        <v>44379</v>
      </c>
      <c r="H5480">
        <v>2021</v>
      </c>
      <c r="I5480" t="s">
        <v>48</v>
      </c>
    </row>
    <row r="5481" spans="1:9" x14ac:dyDescent="0.3">
      <c r="A5481" t="s">
        <v>20</v>
      </c>
      <c r="G5481">
        <v>44382</v>
      </c>
      <c r="H5481">
        <v>2021</v>
      </c>
      <c r="I5481" t="s">
        <v>48</v>
      </c>
    </row>
    <row r="5482" spans="1:9" x14ac:dyDescent="0.3">
      <c r="A5482" t="s">
        <v>37</v>
      </c>
      <c r="G5482">
        <v>44382</v>
      </c>
      <c r="H5482">
        <v>2021</v>
      </c>
      <c r="I5482" t="s">
        <v>48</v>
      </c>
    </row>
    <row r="5483" spans="1:9" x14ac:dyDescent="0.3">
      <c r="A5483" t="s">
        <v>17</v>
      </c>
      <c r="E5483">
        <v>162000</v>
      </c>
      <c r="G5483">
        <v>44382</v>
      </c>
      <c r="H5483">
        <v>2021</v>
      </c>
      <c r="I5483" t="s">
        <v>48</v>
      </c>
    </row>
    <row r="5484" spans="1:9" x14ac:dyDescent="0.3">
      <c r="A5484" t="s">
        <v>0</v>
      </c>
      <c r="G5484">
        <v>44382</v>
      </c>
      <c r="H5484">
        <v>2021</v>
      </c>
      <c r="I5484" t="s">
        <v>48</v>
      </c>
    </row>
    <row r="5485" spans="1:9" x14ac:dyDescent="0.3">
      <c r="A5485" t="s">
        <v>25</v>
      </c>
      <c r="G5485">
        <v>44382</v>
      </c>
      <c r="H5485">
        <v>2021</v>
      </c>
      <c r="I5485" t="s">
        <v>48</v>
      </c>
    </row>
    <row r="5486" spans="1:9" x14ac:dyDescent="0.3">
      <c r="A5486" t="s">
        <v>15</v>
      </c>
      <c r="E5486">
        <v>162000</v>
      </c>
      <c r="G5486">
        <v>44382</v>
      </c>
      <c r="H5486">
        <v>2021</v>
      </c>
      <c r="I5486" t="s">
        <v>48</v>
      </c>
    </row>
    <row r="5487" spans="1:9" x14ac:dyDescent="0.3">
      <c r="A5487" t="s">
        <v>54</v>
      </c>
      <c r="C5487">
        <v>162000</v>
      </c>
      <c r="G5487">
        <v>44382</v>
      </c>
      <c r="H5487">
        <v>2021</v>
      </c>
      <c r="I5487" t="s">
        <v>48</v>
      </c>
    </row>
    <row r="5488" spans="1:9" x14ac:dyDescent="0.3">
      <c r="A5488" t="s">
        <v>26</v>
      </c>
      <c r="G5488">
        <v>44382</v>
      </c>
      <c r="H5488">
        <v>2021</v>
      </c>
      <c r="I5488" t="s">
        <v>48</v>
      </c>
    </row>
    <row r="5489" spans="1:9" x14ac:dyDescent="0.3">
      <c r="A5489" t="s">
        <v>22</v>
      </c>
      <c r="G5489">
        <v>44382</v>
      </c>
      <c r="H5489">
        <v>2021</v>
      </c>
      <c r="I5489" t="s">
        <v>48</v>
      </c>
    </row>
    <row r="5490" spans="1:9" x14ac:dyDescent="0.3">
      <c r="A5490" t="s">
        <v>61</v>
      </c>
      <c r="G5490">
        <v>44382</v>
      </c>
      <c r="H5490">
        <v>2021</v>
      </c>
      <c r="I5490" t="s">
        <v>48</v>
      </c>
    </row>
    <row r="5491" spans="1:9" x14ac:dyDescent="0.3">
      <c r="A5491" t="s">
        <v>19</v>
      </c>
      <c r="B5491">
        <v>216000</v>
      </c>
      <c r="C5491">
        <v>523000</v>
      </c>
      <c r="G5491">
        <v>44382</v>
      </c>
      <c r="H5491">
        <v>2021</v>
      </c>
      <c r="I5491" t="s">
        <v>48</v>
      </c>
    </row>
    <row r="5492" spans="1:9" x14ac:dyDescent="0.3">
      <c r="A5492" t="s">
        <v>14</v>
      </c>
      <c r="B5492">
        <v>49500</v>
      </c>
      <c r="C5492">
        <v>103500</v>
      </c>
      <c r="G5492">
        <v>44382</v>
      </c>
      <c r="H5492">
        <v>2021</v>
      </c>
      <c r="I5492" t="s">
        <v>48</v>
      </c>
    </row>
    <row r="5493" spans="1:9" x14ac:dyDescent="0.3">
      <c r="A5493" t="s">
        <v>24</v>
      </c>
      <c r="G5493">
        <v>44382</v>
      </c>
      <c r="H5493">
        <v>2021</v>
      </c>
      <c r="I5493" t="s">
        <v>48</v>
      </c>
    </row>
    <row r="5494" spans="1:9" x14ac:dyDescent="0.3">
      <c r="A5494" t="s">
        <v>21</v>
      </c>
      <c r="C5494">
        <v>216000</v>
      </c>
      <c r="G5494">
        <v>44382</v>
      </c>
      <c r="H5494">
        <v>2021</v>
      </c>
      <c r="I5494" t="s">
        <v>48</v>
      </c>
    </row>
    <row r="5495" spans="1:9" x14ac:dyDescent="0.3">
      <c r="A5495" t="s">
        <v>18</v>
      </c>
      <c r="G5495">
        <v>44382</v>
      </c>
      <c r="H5495">
        <v>2021</v>
      </c>
      <c r="I5495" t="s">
        <v>48</v>
      </c>
    </row>
    <row r="5496" spans="1:9" x14ac:dyDescent="0.3">
      <c r="A5496" t="s">
        <v>16</v>
      </c>
      <c r="C5496">
        <v>324000</v>
      </c>
      <c r="D5496">
        <v>50000</v>
      </c>
      <c r="E5496">
        <v>162000</v>
      </c>
      <c r="G5496">
        <v>44382</v>
      </c>
      <c r="H5496">
        <v>2021</v>
      </c>
      <c r="I5496" t="s">
        <v>48</v>
      </c>
    </row>
    <row r="5497" spans="1:9" x14ac:dyDescent="0.3">
      <c r="A5497" t="s">
        <v>20</v>
      </c>
      <c r="G5497">
        <v>44383</v>
      </c>
      <c r="H5497">
        <v>2021</v>
      </c>
      <c r="I5497" t="s">
        <v>48</v>
      </c>
    </row>
    <row r="5498" spans="1:9" x14ac:dyDescent="0.3">
      <c r="A5498" t="s">
        <v>37</v>
      </c>
      <c r="G5498">
        <v>44383</v>
      </c>
      <c r="H5498">
        <v>2021</v>
      </c>
      <c r="I5498" t="s">
        <v>48</v>
      </c>
    </row>
    <row r="5499" spans="1:9" x14ac:dyDescent="0.3">
      <c r="A5499" t="s">
        <v>17</v>
      </c>
      <c r="G5499">
        <v>44383</v>
      </c>
      <c r="H5499">
        <v>2021</v>
      </c>
      <c r="I5499" t="s">
        <v>48</v>
      </c>
    </row>
    <row r="5500" spans="1:9" x14ac:dyDescent="0.3">
      <c r="A5500" t="s">
        <v>0</v>
      </c>
      <c r="G5500">
        <v>44383</v>
      </c>
      <c r="H5500">
        <v>2021</v>
      </c>
      <c r="I5500" t="s">
        <v>48</v>
      </c>
    </row>
    <row r="5501" spans="1:9" x14ac:dyDescent="0.3">
      <c r="A5501" t="s">
        <v>25</v>
      </c>
      <c r="G5501">
        <v>44383</v>
      </c>
      <c r="H5501">
        <v>2021</v>
      </c>
      <c r="I5501" t="s">
        <v>48</v>
      </c>
    </row>
    <row r="5502" spans="1:9" x14ac:dyDescent="0.3">
      <c r="A5502" t="s">
        <v>15</v>
      </c>
      <c r="G5502">
        <v>44383</v>
      </c>
      <c r="H5502">
        <v>2021</v>
      </c>
      <c r="I5502" t="s">
        <v>48</v>
      </c>
    </row>
    <row r="5503" spans="1:9" x14ac:dyDescent="0.3">
      <c r="A5503" t="s">
        <v>54</v>
      </c>
      <c r="C5503">
        <v>108000</v>
      </c>
      <c r="G5503">
        <v>44383</v>
      </c>
      <c r="H5503">
        <v>2021</v>
      </c>
      <c r="I5503" t="s">
        <v>48</v>
      </c>
    </row>
    <row r="5504" spans="1:9" x14ac:dyDescent="0.3">
      <c r="A5504" t="s">
        <v>26</v>
      </c>
      <c r="F5504">
        <v>455000</v>
      </c>
      <c r="G5504">
        <v>44383</v>
      </c>
      <c r="H5504">
        <v>2021</v>
      </c>
      <c r="I5504" t="s">
        <v>48</v>
      </c>
    </row>
    <row r="5505" spans="1:9" x14ac:dyDescent="0.3">
      <c r="A5505" t="s">
        <v>22</v>
      </c>
      <c r="G5505">
        <v>44383</v>
      </c>
      <c r="H5505">
        <v>2021</v>
      </c>
      <c r="I5505" t="s">
        <v>48</v>
      </c>
    </row>
    <row r="5506" spans="1:9" x14ac:dyDescent="0.3">
      <c r="A5506" t="s">
        <v>61</v>
      </c>
      <c r="G5506">
        <v>44383</v>
      </c>
      <c r="H5506">
        <v>2021</v>
      </c>
      <c r="I5506" t="s">
        <v>48</v>
      </c>
    </row>
    <row r="5507" spans="1:9" x14ac:dyDescent="0.3">
      <c r="A5507" t="s">
        <v>19</v>
      </c>
      <c r="C5507">
        <v>517500</v>
      </c>
      <c r="G5507">
        <v>44383</v>
      </c>
      <c r="H5507">
        <v>2021</v>
      </c>
      <c r="I5507" t="s">
        <v>48</v>
      </c>
    </row>
    <row r="5508" spans="1:9" x14ac:dyDescent="0.3">
      <c r="A5508" t="s">
        <v>14</v>
      </c>
      <c r="G5508">
        <v>44383</v>
      </c>
      <c r="H5508">
        <v>2021</v>
      </c>
      <c r="I5508" t="s">
        <v>48</v>
      </c>
    </row>
    <row r="5509" spans="1:9" x14ac:dyDescent="0.3">
      <c r="A5509" t="s">
        <v>24</v>
      </c>
      <c r="G5509">
        <v>44383</v>
      </c>
      <c r="H5509">
        <v>2021</v>
      </c>
      <c r="I5509" t="s">
        <v>48</v>
      </c>
    </row>
    <row r="5510" spans="1:9" x14ac:dyDescent="0.3">
      <c r="A5510" t="s">
        <v>21</v>
      </c>
      <c r="G5510">
        <v>44383</v>
      </c>
      <c r="H5510">
        <v>2021</v>
      </c>
      <c r="I5510" t="s">
        <v>48</v>
      </c>
    </row>
    <row r="5511" spans="1:9" x14ac:dyDescent="0.3">
      <c r="A5511" t="s">
        <v>18</v>
      </c>
      <c r="G5511">
        <v>44383</v>
      </c>
      <c r="H5511">
        <v>2021</v>
      </c>
      <c r="I5511" t="s">
        <v>48</v>
      </c>
    </row>
    <row r="5512" spans="1:9" x14ac:dyDescent="0.3">
      <c r="A5512" t="s">
        <v>16</v>
      </c>
      <c r="C5512">
        <v>324000</v>
      </c>
      <c r="G5512">
        <v>44383</v>
      </c>
      <c r="H5512">
        <v>2021</v>
      </c>
      <c r="I5512" t="s">
        <v>48</v>
      </c>
    </row>
    <row r="5513" spans="1:9" x14ac:dyDescent="0.3">
      <c r="A5513" t="s">
        <v>20</v>
      </c>
      <c r="G5513">
        <v>44384</v>
      </c>
      <c r="H5513">
        <v>2021</v>
      </c>
      <c r="I5513" t="s">
        <v>48</v>
      </c>
    </row>
    <row r="5514" spans="1:9" x14ac:dyDescent="0.3">
      <c r="A5514" t="s">
        <v>37</v>
      </c>
      <c r="G5514">
        <v>44384</v>
      </c>
      <c r="H5514">
        <v>2021</v>
      </c>
      <c r="I5514" t="s">
        <v>48</v>
      </c>
    </row>
    <row r="5515" spans="1:9" x14ac:dyDescent="0.3">
      <c r="A5515" t="s">
        <v>17</v>
      </c>
      <c r="C5515">
        <v>538000</v>
      </c>
      <c r="G5515">
        <v>44384</v>
      </c>
      <c r="H5515">
        <v>2021</v>
      </c>
      <c r="I5515" t="s">
        <v>48</v>
      </c>
    </row>
    <row r="5516" spans="1:9" x14ac:dyDescent="0.3">
      <c r="A5516" t="s">
        <v>0</v>
      </c>
      <c r="G5516">
        <v>44384</v>
      </c>
      <c r="H5516">
        <v>2021</v>
      </c>
      <c r="I5516" t="s">
        <v>48</v>
      </c>
    </row>
    <row r="5517" spans="1:9" x14ac:dyDescent="0.3">
      <c r="A5517" t="s">
        <v>25</v>
      </c>
      <c r="G5517">
        <v>44384</v>
      </c>
      <c r="H5517">
        <v>2021</v>
      </c>
      <c r="I5517" t="s">
        <v>48</v>
      </c>
    </row>
    <row r="5518" spans="1:9" x14ac:dyDescent="0.3">
      <c r="A5518" t="s">
        <v>15</v>
      </c>
      <c r="G5518">
        <v>44384</v>
      </c>
      <c r="H5518">
        <v>2021</v>
      </c>
      <c r="I5518" t="s">
        <v>48</v>
      </c>
    </row>
    <row r="5519" spans="1:9" x14ac:dyDescent="0.3">
      <c r="A5519" t="s">
        <v>54</v>
      </c>
      <c r="G5519">
        <v>44384</v>
      </c>
      <c r="H5519">
        <v>2021</v>
      </c>
      <c r="I5519" t="s">
        <v>48</v>
      </c>
    </row>
    <row r="5520" spans="1:9" x14ac:dyDescent="0.3">
      <c r="A5520" t="s">
        <v>26</v>
      </c>
      <c r="F5520">
        <v>45000</v>
      </c>
      <c r="G5520">
        <v>44384</v>
      </c>
      <c r="H5520">
        <v>2021</v>
      </c>
      <c r="I5520" t="s">
        <v>48</v>
      </c>
    </row>
    <row r="5521" spans="1:9" x14ac:dyDescent="0.3">
      <c r="A5521" t="s">
        <v>22</v>
      </c>
      <c r="G5521">
        <v>44384</v>
      </c>
      <c r="H5521">
        <v>2021</v>
      </c>
      <c r="I5521" t="s">
        <v>48</v>
      </c>
    </row>
    <row r="5522" spans="1:9" x14ac:dyDescent="0.3">
      <c r="A5522" t="s">
        <v>61</v>
      </c>
      <c r="G5522">
        <v>44384</v>
      </c>
      <c r="H5522">
        <v>2021</v>
      </c>
      <c r="I5522" t="s">
        <v>48</v>
      </c>
    </row>
    <row r="5523" spans="1:9" x14ac:dyDescent="0.3">
      <c r="A5523" t="s">
        <v>19</v>
      </c>
      <c r="C5523">
        <v>648000</v>
      </c>
      <c r="G5523">
        <v>44384</v>
      </c>
      <c r="H5523">
        <v>2021</v>
      </c>
      <c r="I5523" t="s">
        <v>48</v>
      </c>
    </row>
    <row r="5524" spans="1:9" x14ac:dyDescent="0.3">
      <c r="A5524" t="s">
        <v>14</v>
      </c>
      <c r="C5524">
        <v>54000</v>
      </c>
      <c r="F5524">
        <v>500000</v>
      </c>
      <c r="G5524">
        <v>44384</v>
      </c>
      <c r="H5524">
        <v>2021</v>
      </c>
      <c r="I5524" t="s">
        <v>48</v>
      </c>
    </row>
    <row r="5525" spans="1:9" x14ac:dyDescent="0.3">
      <c r="A5525" t="s">
        <v>24</v>
      </c>
      <c r="G5525">
        <v>44384</v>
      </c>
      <c r="H5525">
        <v>2021</v>
      </c>
      <c r="I5525" t="s">
        <v>48</v>
      </c>
    </row>
    <row r="5526" spans="1:9" x14ac:dyDescent="0.3">
      <c r="A5526" t="s">
        <v>21</v>
      </c>
      <c r="G5526">
        <v>44384</v>
      </c>
      <c r="H5526">
        <v>2021</v>
      </c>
      <c r="I5526" t="s">
        <v>48</v>
      </c>
    </row>
    <row r="5527" spans="1:9" x14ac:dyDescent="0.3">
      <c r="A5527" t="s">
        <v>18</v>
      </c>
      <c r="G5527">
        <v>44384</v>
      </c>
      <c r="H5527">
        <v>2021</v>
      </c>
      <c r="I5527" t="s">
        <v>48</v>
      </c>
    </row>
    <row r="5528" spans="1:9" x14ac:dyDescent="0.3">
      <c r="A5528" t="s">
        <v>16</v>
      </c>
      <c r="C5528">
        <v>378000</v>
      </c>
      <c r="G5528">
        <v>44384</v>
      </c>
      <c r="H5528">
        <v>2021</v>
      </c>
      <c r="I5528" t="s">
        <v>48</v>
      </c>
    </row>
    <row r="5529" spans="1:9" x14ac:dyDescent="0.3">
      <c r="A5529" t="s">
        <v>20</v>
      </c>
      <c r="G5529">
        <v>44385</v>
      </c>
      <c r="H5529">
        <v>2021</v>
      </c>
      <c r="I5529" t="s">
        <v>48</v>
      </c>
    </row>
    <row r="5530" spans="1:9" x14ac:dyDescent="0.3">
      <c r="A5530" t="s">
        <v>37</v>
      </c>
      <c r="G5530">
        <v>44385</v>
      </c>
      <c r="H5530">
        <v>2021</v>
      </c>
      <c r="I5530" t="s">
        <v>48</v>
      </c>
    </row>
    <row r="5531" spans="1:9" x14ac:dyDescent="0.3">
      <c r="A5531" t="s">
        <v>17</v>
      </c>
      <c r="C5531">
        <v>1350000</v>
      </c>
      <c r="G5531">
        <v>44385</v>
      </c>
      <c r="H5531">
        <v>2021</v>
      </c>
      <c r="I5531" t="s">
        <v>48</v>
      </c>
    </row>
    <row r="5532" spans="1:9" x14ac:dyDescent="0.3">
      <c r="A5532" t="s">
        <v>0</v>
      </c>
      <c r="G5532">
        <v>44385</v>
      </c>
      <c r="H5532">
        <v>2021</v>
      </c>
      <c r="I5532" t="s">
        <v>48</v>
      </c>
    </row>
    <row r="5533" spans="1:9" x14ac:dyDescent="0.3">
      <c r="A5533" t="s">
        <v>25</v>
      </c>
      <c r="G5533">
        <v>44385</v>
      </c>
      <c r="H5533">
        <v>2021</v>
      </c>
      <c r="I5533" t="s">
        <v>48</v>
      </c>
    </row>
    <row r="5534" spans="1:9" x14ac:dyDescent="0.3">
      <c r="A5534" t="s">
        <v>15</v>
      </c>
      <c r="G5534">
        <v>44385</v>
      </c>
      <c r="H5534">
        <v>2021</v>
      </c>
      <c r="I5534" t="s">
        <v>48</v>
      </c>
    </row>
    <row r="5535" spans="1:9" x14ac:dyDescent="0.3">
      <c r="A5535" t="s">
        <v>54</v>
      </c>
      <c r="G5535">
        <v>44385</v>
      </c>
      <c r="H5535">
        <v>2021</v>
      </c>
      <c r="I5535" t="s">
        <v>48</v>
      </c>
    </row>
    <row r="5536" spans="1:9" x14ac:dyDescent="0.3">
      <c r="A5536" t="s">
        <v>26</v>
      </c>
      <c r="G5536">
        <v>44385</v>
      </c>
      <c r="H5536">
        <v>2021</v>
      </c>
      <c r="I5536" t="s">
        <v>48</v>
      </c>
    </row>
    <row r="5537" spans="1:9" x14ac:dyDescent="0.3">
      <c r="A5537" t="s">
        <v>22</v>
      </c>
      <c r="G5537">
        <v>44385</v>
      </c>
      <c r="H5537">
        <v>2021</v>
      </c>
      <c r="I5537" t="s">
        <v>48</v>
      </c>
    </row>
    <row r="5538" spans="1:9" x14ac:dyDescent="0.3">
      <c r="A5538" t="s">
        <v>61</v>
      </c>
      <c r="G5538">
        <v>44385</v>
      </c>
      <c r="H5538">
        <v>2021</v>
      </c>
      <c r="I5538" t="s">
        <v>48</v>
      </c>
    </row>
    <row r="5539" spans="1:9" x14ac:dyDescent="0.3">
      <c r="A5539" t="s">
        <v>19</v>
      </c>
      <c r="C5539">
        <v>265500</v>
      </c>
      <c r="D5539">
        <v>810000</v>
      </c>
      <c r="G5539">
        <v>44385</v>
      </c>
      <c r="H5539">
        <v>2021</v>
      </c>
      <c r="I5539" t="s">
        <v>48</v>
      </c>
    </row>
    <row r="5540" spans="1:9" x14ac:dyDescent="0.3">
      <c r="A5540" t="s">
        <v>14</v>
      </c>
      <c r="G5540">
        <v>44385</v>
      </c>
      <c r="H5540">
        <v>2021</v>
      </c>
      <c r="I5540" t="s">
        <v>48</v>
      </c>
    </row>
    <row r="5541" spans="1:9" x14ac:dyDescent="0.3">
      <c r="A5541" t="s">
        <v>24</v>
      </c>
      <c r="G5541">
        <v>44385</v>
      </c>
      <c r="H5541">
        <v>2021</v>
      </c>
      <c r="I5541" t="s">
        <v>48</v>
      </c>
    </row>
    <row r="5542" spans="1:9" x14ac:dyDescent="0.3">
      <c r="A5542" t="s">
        <v>21</v>
      </c>
      <c r="G5542">
        <v>44385</v>
      </c>
      <c r="H5542">
        <v>2021</v>
      </c>
      <c r="I5542" t="s">
        <v>48</v>
      </c>
    </row>
    <row r="5543" spans="1:9" x14ac:dyDescent="0.3">
      <c r="A5543" t="s">
        <v>18</v>
      </c>
      <c r="G5543">
        <v>44385</v>
      </c>
      <c r="H5543">
        <v>2021</v>
      </c>
      <c r="I5543" t="s">
        <v>48</v>
      </c>
    </row>
    <row r="5544" spans="1:9" x14ac:dyDescent="0.3">
      <c r="A5544" t="s">
        <v>16</v>
      </c>
      <c r="G5544">
        <v>44385</v>
      </c>
      <c r="H5544">
        <v>2021</v>
      </c>
      <c r="I5544" t="s">
        <v>48</v>
      </c>
    </row>
    <row r="5545" spans="1:9" x14ac:dyDescent="0.3">
      <c r="A5545" t="s">
        <v>20</v>
      </c>
      <c r="G5545">
        <v>44386</v>
      </c>
      <c r="H5545">
        <v>2021</v>
      </c>
      <c r="I5545" t="s">
        <v>48</v>
      </c>
    </row>
    <row r="5546" spans="1:9" x14ac:dyDescent="0.3">
      <c r="A5546" t="s">
        <v>37</v>
      </c>
      <c r="G5546">
        <v>44386</v>
      </c>
      <c r="H5546">
        <v>2021</v>
      </c>
      <c r="I5546" t="s">
        <v>48</v>
      </c>
    </row>
    <row r="5547" spans="1:9" x14ac:dyDescent="0.3">
      <c r="A5547" t="s">
        <v>17</v>
      </c>
      <c r="C5547">
        <v>1593500</v>
      </c>
      <c r="E5547">
        <v>212000</v>
      </c>
      <c r="G5547">
        <v>44386</v>
      </c>
      <c r="H5547">
        <v>2021</v>
      </c>
      <c r="I5547" t="s">
        <v>48</v>
      </c>
    </row>
    <row r="5548" spans="1:9" x14ac:dyDescent="0.3">
      <c r="A5548" t="s">
        <v>0</v>
      </c>
      <c r="G5548">
        <v>44386</v>
      </c>
      <c r="H5548">
        <v>2021</v>
      </c>
      <c r="I5548" t="s">
        <v>48</v>
      </c>
    </row>
    <row r="5549" spans="1:9" x14ac:dyDescent="0.3">
      <c r="A5549" t="s">
        <v>25</v>
      </c>
      <c r="G5549">
        <v>44386</v>
      </c>
      <c r="H5549">
        <v>2021</v>
      </c>
      <c r="I5549" t="s">
        <v>48</v>
      </c>
    </row>
    <row r="5550" spans="1:9" x14ac:dyDescent="0.3">
      <c r="A5550" t="s">
        <v>15</v>
      </c>
      <c r="E5550">
        <v>216000</v>
      </c>
      <c r="G5550">
        <v>44386</v>
      </c>
      <c r="H5550">
        <v>2021</v>
      </c>
      <c r="I5550" t="s">
        <v>48</v>
      </c>
    </row>
    <row r="5551" spans="1:9" x14ac:dyDescent="0.3">
      <c r="A5551" t="s">
        <v>54</v>
      </c>
      <c r="G5551">
        <v>44386</v>
      </c>
      <c r="H5551">
        <v>2021</v>
      </c>
      <c r="I5551" t="s">
        <v>48</v>
      </c>
    </row>
    <row r="5552" spans="1:9" x14ac:dyDescent="0.3">
      <c r="A5552" t="s">
        <v>26</v>
      </c>
      <c r="E5552">
        <v>54000</v>
      </c>
      <c r="G5552">
        <v>44386</v>
      </c>
      <c r="H5552">
        <v>2021</v>
      </c>
      <c r="I5552" t="s">
        <v>48</v>
      </c>
    </row>
    <row r="5553" spans="1:9" x14ac:dyDescent="0.3">
      <c r="A5553" t="s">
        <v>22</v>
      </c>
      <c r="G5553">
        <v>44386</v>
      </c>
      <c r="H5553">
        <v>2021</v>
      </c>
      <c r="I5553" t="s">
        <v>48</v>
      </c>
    </row>
    <row r="5554" spans="1:9" x14ac:dyDescent="0.3">
      <c r="A5554" t="s">
        <v>61</v>
      </c>
      <c r="G5554">
        <v>44386</v>
      </c>
      <c r="H5554">
        <v>2021</v>
      </c>
      <c r="I5554" t="s">
        <v>48</v>
      </c>
    </row>
    <row r="5555" spans="1:9" x14ac:dyDescent="0.3">
      <c r="A5555" t="s">
        <v>19</v>
      </c>
      <c r="G5555">
        <v>44386</v>
      </c>
      <c r="H5555">
        <v>2021</v>
      </c>
      <c r="I5555" t="s">
        <v>48</v>
      </c>
    </row>
    <row r="5556" spans="1:9" x14ac:dyDescent="0.3">
      <c r="A5556" t="s">
        <v>14</v>
      </c>
      <c r="G5556">
        <v>44386</v>
      </c>
      <c r="H5556">
        <v>2021</v>
      </c>
      <c r="I5556" t="s">
        <v>48</v>
      </c>
    </row>
    <row r="5557" spans="1:9" x14ac:dyDescent="0.3">
      <c r="A5557" t="s">
        <v>24</v>
      </c>
      <c r="G5557">
        <v>44386</v>
      </c>
      <c r="H5557">
        <v>2021</v>
      </c>
      <c r="I5557" t="s">
        <v>48</v>
      </c>
    </row>
    <row r="5558" spans="1:9" x14ac:dyDescent="0.3">
      <c r="A5558" t="s">
        <v>21</v>
      </c>
      <c r="G5558">
        <v>44386</v>
      </c>
      <c r="H5558">
        <v>2021</v>
      </c>
      <c r="I5558" t="s">
        <v>48</v>
      </c>
    </row>
    <row r="5559" spans="1:9" x14ac:dyDescent="0.3">
      <c r="A5559" t="s">
        <v>18</v>
      </c>
      <c r="G5559">
        <v>44386</v>
      </c>
      <c r="H5559">
        <v>2021</v>
      </c>
      <c r="I5559" t="s">
        <v>48</v>
      </c>
    </row>
    <row r="5560" spans="1:9" x14ac:dyDescent="0.3">
      <c r="A5560" t="s">
        <v>16</v>
      </c>
      <c r="E5560">
        <v>108000</v>
      </c>
      <c r="G5560">
        <v>44386</v>
      </c>
      <c r="H5560">
        <v>2021</v>
      </c>
      <c r="I5560" t="s">
        <v>48</v>
      </c>
    </row>
    <row r="5561" spans="1:9" x14ac:dyDescent="0.3">
      <c r="A5561" t="s">
        <v>20</v>
      </c>
      <c r="G5561">
        <v>44389</v>
      </c>
      <c r="H5561">
        <v>2021</v>
      </c>
      <c r="I5561" t="s">
        <v>48</v>
      </c>
    </row>
    <row r="5562" spans="1:9" x14ac:dyDescent="0.3">
      <c r="A5562" t="s">
        <v>37</v>
      </c>
      <c r="D5562">
        <v>401000</v>
      </c>
      <c r="G5562">
        <v>44389</v>
      </c>
      <c r="H5562">
        <v>2021</v>
      </c>
      <c r="I5562" t="s">
        <v>48</v>
      </c>
    </row>
    <row r="5563" spans="1:9" x14ac:dyDescent="0.3">
      <c r="A5563" t="s">
        <v>17</v>
      </c>
      <c r="C5563">
        <v>996000</v>
      </c>
      <c r="E5563">
        <v>216000</v>
      </c>
      <c r="G5563">
        <v>44389</v>
      </c>
      <c r="H5563">
        <v>2021</v>
      </c>
      <c r="I5563" t="s">
        <v>48</v>
      </c>
    </row>
    <row r="5564" spans="1:9" x14ac:dyDescent="0.3">
      <c r="A5564" t="s">
        <v>0</v>
      </c>
      <c r="G5564">
        <v>44389</v>
      </c>
      <c r="H5564">
        <v>2021</v>
      </c>
      <c r="I5564" t="s">
        <v>48</v>
      </c>
    </row>
    <row r="5565" spans="1:9" x14ac:dyDescent="0.3">
      <c r="A5565" t="s">
        <v>25</v>
      </c>
      <c r="G5565">
        <v>44389</v>
      </c>
      <c r="H5565">
        <v>2021</v>
      </c>
      <c r="I5565" t="s">
        <v>48</v>
      </c>
    </row>
    <row r="5566" spans="1:9" x14ac:dyDescent="0.3">
      <c r="A5566" t="s">
        <v>15</v>
      </c>
      <c r="E5566">
        <v>202500</v>
      </c>
      <c r="G5566">
        <v>44389</v>
      </c>
      <c r="H5566">
        <v>2021</v>
      </c>
      <c r="I5566" t="s">
        <v>48</v>
      </c>
    </row>
    <row r="5567" spans="1:9" x14ac:dyDescent="0.3">
      <c r="A5567" t="s">
        <v>54</v>
      </c>
      <c r="G5567">
        <v>44389</v>
      </c>
      <c r="H5567">
        <v>2021</v>
      </c>
      <c r="I5567" t="s">
        <v>48</v>
      </c>
    </row>
    <row r="5568" spans="1:9" x14ac:dyDescent="0.3">
      <c r="A5568" t="s">
        <v>26</v>
      </c>
      <c r="G5568">
        <v>44389</v>
      </c>
      <c r="H5568">
        <v>2021</v>
      </c>
      <c r="I5568" t="s">
        <v>48</v>
      </c>
    </row>
    <row r="5569" spans="1:9" x14ac:dyDescent="0.3">
      <c r="A5569" t="s">
        <v>22</v>
      </c>
      <c r="G5569">
        <v>44389</v>
      </c>
      <c r="H5569">
        <v>2021</v>
      </c>
      <c r="I5569" t="s">
        <v>48</v>
      </c>
    </row>
    <row r="5570" spans="1:9" x14ac:dyDescent="0.3">
      <c r="A5570" t="s">
        <v>61</v>
      </c>
      <c r="G5570">
        <v>44389</v>
      </c>
      <c r="H5570">
        <v>2021</v>
      </c>
      <c r="I5570" t="s">
        <v>48</v>
      </c>
    </row>
    <row r="5571" spans="1:9" x14ac:dyDescent="0.3">
      <c r="A5571" t="s">
        <v>19</v>
      </c>
      <c r="C5571">
        <v>45000</v>
      </c>
      <c r="D5571">
        <v>189500</v>
      </c>
      <c r="G5571">
        <v>44389</v>
      </c>
      <c r="H5571">
        <v>2021</v>
      </c>
      <c r="I5571" t="s">
        <v>48</v>
      </c>
    </row>
    <row r="5572" spans="1:9" x14ac:dyDescent="0.3">
      <c r="A5572" t="s">
        <v>14</v>
      </c>
      <c r="C5572">
        <v>45000</v>
      </c>
      <c r="G5572">
        <v>44389</v>
      </c>
      <c r="H5572">
        <v>2021</v>
      </c>
      <c r="I5572" t="s">
        <v>48</v>
      </c>
    </row>
    <row r="5573" spans="1:9" x14ac:dyDescent="0.3">
      <c r="A5573" t="s">
        <v>24</v>
      </c>
      <c r="G5573">
        <v>44389</v>
      </c>
      <c r="H5573">
        <v>2021</v>
      </c>
      <c r="I5573" t="s">
        <v>48</v>
      </c>
    </row>
    <row r="5574" spans="1:9" x14ac:dyDescent="0.3">
      <c r="A5574" t="s">
        <v>21</v>
      </c>
      <c r="G5574">
        <v>44389</v>
      </c>
      <c r="H5574">
        <v>2021</v>
      </c>
      <c r="I5574" t="s">
        <v>48</v>
      </c>
    </row>
    <row r="5575" spans="1:9" x14ac:dyDescent="0.3">
      <c r="A5575" t="s">
        <v>18</v>
      </c>
      <c r="G5575">
        <v>44389</v>
      </c>
      <c r="H5575">
        <v>2021</v>
      </c>
      <c r="I5575" t="s">
        <v>48</v>
      </c>
    </row>
    <row r="5576" spans="1:9" x14ac:dyDescent="0.3">
      <c r="A5576" t="s">
        <v>16</v>
      </c>
      <c r="E5576">
        <v>108000</v>
      </c>
      <c r="G5576">
        <v>44389</v>
      </c>
      <c r="H5576">
        <v>2021</v>
      </c>
      <c r="I5576" t="s">
        <v>48</v>
      </c>
    </row>
    <row r="5577" spans="1:9" x14ac:dyDescent="0.3">
      <c r="A5577" t="s">
        <v>20</v>
      </c>
      <c r="G5577">
        <v>44390</v>
      </c>
      <c r="H5577">
        <v>2021</v>
      </c>
      <c r="I5577" t="s">
        <v>48</v>
      </c>
    </row>
    <row r="5578" spans="1:9" x14ac:dyDescent="0.3">
      <c r="A5578" t="s">
        <v>37</v>
      </c>
      <c r="C5578">
        <v>270000</v>
      </c>
      <c r="D5578">
        <v>54000</v>
      </c>
      <c r="G5578">
        <v>44390</v>
      </c>
      <c r="H5578">
        <v>2021</v>
      </c>
      <c r="I5578" t="s">
        <v>48</v>
      </c>
    </row>
    <row r="5579" spans="1:9" x14ac:dyDescent="0.3">
      <c r="A5579" t="s">
        <v>17</v>
      </c>
      <c r="C5579">
        <v>1026000</v>
      </c>
      <c r="G5579">
        <v>44390</v>
      </c>
      <c r="H5579">
        <v>2021</v>
      </c>
      <c r="I5579" t="s">
        <v>48</v>
      </c>
    </row>
    <row r="5580" spans="1:9" x14ac:dyDescent="0.3">
      <c r="A5580" t="s">
        <v>0</v>
      </c>
      <c r="G5580">
        <v>44390</v>
      </c>
      <c r="H5580">
        <v>2021</v>
      </c>
      <c r="I5580" t="s">
        <v>48</v>
      </c>
    </row>
    <row r="5581" spans="1:9" x14ac:dyDescent="0.3">
      <c r="A5581" t="s">
        <v>25</v>
      </c>
      <c r="G5581">
        <v>44390</v>
      </c>
      <c r="H5581">
        <v>2021</v>
      </c>
      <c r="I5581" t="s">
        <v>48</v>
      </c>
    </row>
    <row r="5582" spans="1:9" x14ac:dyDescent="0.3">
      <c r="A5582" t="s">
        <v>15</v>
      </c>
      <c r="G5582">
        <v>44390</v>
      </c>
      <c r="H5582">
        <v>2021</v>
      </c>
      <c r="I5582" t="s">
        <v>48</v>
      </c>
    </row>
    <row r="5583" spans="1:9" x14ac:dyDescent="0.3">
      <c r="A5583" t="s">
        <v>54</v>
      </c>
      <c r="G5583">
        <v>44390</v>
      </c>
      <c r="H5583">
        <v>2021</v>
      </c>
      <c r="I5583" t="s">
        <v>48</v>
      </c>
    </row>
    <row r="5584" spans="1:9" x14ac:dyDescent="0.3">
      <c r="A5584" t="s">
        <v>26</v>
      </c>
      <c r="G5584">
        <v>44390</v>
      </c>
      <c r="H5584">
        <v>2021</v>
      </c>
      <c r="I5584" t="s">
        <v>48</v>
      </c>
    </row>
    <row r="5585" spans="1:9" x14ac:dyDescent="0.3">
      <c r="A5585" t="s">
        <v>22</v>
      </c>
      <c r="G5585">
        <v>44390</v>
      </c>
      <c r="H5585">
        <v>2021</v>
      </c>
      <c r="I5585" t="s">
        <v>48</v>
      </c>
    </row>
    <row r="5586" spans="1:9" x14ac:dyDescent="0.3">
      <c r="A5586" t="s">
        <v>61</v>
      </c>
      <c r="G5586">
        <v>44390</v>
      </c>
      <c r="H5586">
        <v>2021</v>
      </c>
      <c r="I5586" t="s">
        <v>48</v>
      </c>
    </row>
    <row r="5587" spans="1:9" x14ac:dyDescent="0.3">
      <c r="A5587" t="s">
        <v>19</v>
      </c>
      <c r="G5587">
        <v>44390</v>
      </c>
      <c r="H5587">
        <v>2021</v>
      </c>
      <c r="I5587" t="s">
        <v>48</v>
      </c>
    </row>
    <row r="5588" spans="1:9" x14ac:dyDescent="0.3">
      <c r="A5588" t="s">
        <v>14</v>
      </c>
      <c r="G5588">
        <v>44390</v>
      </c>
      <c r="H5588">
        <v>2021</v>
      </c>
      <c r="I5588" t="s">
        <v>48</v>
      </c>
    </row>
    <row r="5589" spans="1:9" x14ac:dyDescent="0.3">
      <c r="A5589" t="s">
        <v>24</v>
      </c>
      <c r="G5589">
        <v>44390</v>
      </c>
      <c r="H5589">
        <v>2021</v>
      </c>
      <c r="I5589" t="s">
        <v>48</v>
      </c>
    </row>
    <row r="5590" spans="1:9" x14ac:dyDescent="0.3">
      <c r="A5590" t="s">
        <v>21</v>
      </c>
      <c r="G5590">
        <v>44390</v>
      </c>
      <c r="H5590">
        <v>2021</v>
      </c>
      <c r="I5590" t="s">
        <v>48</v>
      </c>
    </row>
    <row r="5591" spans="1:9" x14ac:dyDescent="0.3">
      <c r="A5591" t="s">
        <v>18</v>
      </c>
      <c r="G5591">
        <v>44390</v>
      </c>
      <c r="H5591">
        <v>2021</v>
      </c>
      <c r="I5591" t="s">
        <v>48</v>
      </c>
    </row>
    <row r="5592" spans="1:9" x14ac:dyDescent="0.3">
      <c r="A5592" t="s">
        <v>16</v>
      </c>
      <c r="B5592">
        <v>1069000</v>
      </c>
      <c r="D5592">
        <v>378000</v>
      </c>
      <c r="G5592">
        <v>44390</v>
      </c>
      <c r="H5592">
        <v>2021</v>
      </c>
      <c r="I5592" t="s">
        <v>48</v>
      </c>
    </row>
    <row r="5593" spans="1:9" x14ac:dyDescent="0.3">
      <c r="A5593" t="s">
        <v>20</v>
      </c>
      <c r="G5593">
        <v>44391</v>
      </c>
      <c r="H5593">
        <v>2021</v>
      </c>
      <c r="I5593" t="s">
        <v>48</v>
      </c>
    </row>
    <row r="5594" spans="1:9" x14ac:dyDescent="0.3">
      <c r="A5594" t="s">
        <v>37</v>
      </c>
      <c r="G5594">
        <v>44391</v>
      </c>
      <c r="H5594">
        <v>2021</v>
      </c>
      <c r="I5594" t="s">
        <v>48</v>
      </c>
    </row>
    <row r="5595" spans="1:9" x14ac:dyDescent="0.3">
      <c r="A5595" t="s">
        <v>17</v>
      </c>
      <c r="C5595">
        <v>198000</v>
      </c>
      <c r="G5595">
        <v>44391</v>
      </c>
      <c r="H5595">
        <v>2021</v>
      </c>
      <c r="I5595" t="s">
        <v>48</v>
      </c>
    </row>
    <row r="5596" spans="1:9" x14ac:dyDescent="0.3">
      <c r="A5596" t="s">
        <v>0</v>
      </c>
      <c r="C5596">
        <v>1132000</v>
      </c>
      <c r="G5596">
        <v>44391</v>
      </c>
      <c r="H5596">
        <v>2021</v>
      </c>
      <c r="I5596" t="s">
        <v>48</v>
      </c>
    </row>
    <row r="5597" spans="1:9" x14ac:dyDescent="0.3">
      <c r="A5597" t="s">
        <v>25</v>
      </c>
      <c r="G5597">
        <v>44391</v>
      </c>
      <c r="H5597">
        <v>2021</v>
      </c>
      <c r="I5597" t="s">
        <v>48</v>
      </c>
    </row>
    <row r="5598" spans="1:9" x14ac:dyDescent="0.3">
      <c r="A5598" t="s">
        <v>15</v>
      </c>
      <c r="G5598">
        <v>44391</v>
      </c>
      <c r="H5598">
        <v>2021</v>
      </c>
      <c r="I5598" t="s">
        <v>48</v>
      </c>
    </row>
    <row r="5599" spans="1:9" x14ac:dyDescent="0.3">
      <c r="A5599" t="s">
        <v>54</v>
      </c>
      <c r="G5599">
        <v>44391</v>
      </c>
      <c r="H5599">
        <v>2021</v>
      </c>
      <c r="I5599" t="s">
        <v>48</v>
      </c>
    </row>
    <row r="5600" spans="1:9" x14ac:dyDescent="0.3">
      <c r="A5600" t="s">
        <v>26</v>
      </c>
      <c r="G5600">
        <v>44391</v>
      </c>
      <c r="H5600">
        <v>2021</v>
      </c>
      <c r="I5600" t="s">
        <v>48</v>
      </c>
    </row>
    <row r="5601" spans="1:9" x14ac:dyDescent="0.3">
      <c r="A5601" t="s">
        <v>22</v>
      </c>
      <c r="G5601">
        <v>44391</v>
      </c>
      <c r="H5601">
        <v>2021</v>
      </c>
      <c r="I5601" t="s">
        <v>48</v>
      </c>
    </row>
    <row r="5602" spans="1:9" x14ac:dyDescent="0.3">
      <c r="A5602" t="s">
        <v>61</v>
      </c>
      <c r="G5602">
        <v>44391</v>
      </c>
      <c r="H5602">
        <v>2021</v>
      </c>
      <c r="I5602" t="s">
        <v>48</v>
      </c>
    </row>
    <row r="5603" spans="1:9" x14ac:dyDescent="0.3">
      <c r="A5603" t="s">
        <v>19</v>
      </c>
      <c r="G5603">
        <v>44391</v>
      </c>
      <c r="H5603">
        <v>2021</v>
      </c>
      <c r="I5603" t="s">
        <v>48</v>
      </c>
    </row>
    <row r="5604" spans="1:9" x14ac:dyDescent="0.3">
      <c r="A5604" t="s">
        <v>14</v>
      </c>
      <c r="G5604">
        <v>44391</v>
      </c>
      <c r="H5604">
        <v>2021</v>
      </c>
      <c r="I5604" t="s">
        <v>48</v>
      </c>
    </row>
    <row r="5605" spans="1:9" x14ac:dyDescent="0.3">
      <c r="A5605" t="s">
        <v>24</v>
      </c>
      <c r="G5605">
        <v>44391</v>
      </c>
      <c r="H5605">
        <v>2021</v>
      </c>
      <c r="I5605" t="s">
        <v>48</v>
      </c>
    </row>
    <row r="5606" spans="1:9" x14ac:dyDescent="0.3">
      <c r="A5606" t="s">
        <v>21</v>
      </c>
      <c r="G5606">
        <v>44391</v>
      </c>
      <c r="H5606">
        <v>2021</v>
      </c>
      <c r="I5606" t="s">
        <v>48</v>
      </c>
    </row>
    <row r="5607" spans="1:9" x14ac:dyDescent="0.3">
      <c r="A5607" t="s">
        <v>18</v>
      </c>
      <c r="G5607">
        <v>44391</v>
      </c>
      <c r="H5607">
        <v>2021</v>
      </c>
      <c r="I5607" t="s">
        <v>48</v>
      </c>
    </row>
    <row r="5608" spans="1:9" x14ac:dyDescent="0.3">
      <c r="A5608" t="s">
        <v>16</v>
      </c>
      <c r="D5608">
        <v>216000</v>
      </c>
      <c r="G5608">
        <v>44391</v>
      </c>
      <c r="H5608">
        <v>2021</v>
      </c>
      <c r="I5608" t="s">
        <v>48</v>
      </c>
    </row>
    <row r="5609" spans="1:9" x14ac:dyDescent="0.3">
      <c r="A5609" t="s">
        <v>20</v>
      </c>
      <c r="G5609">
        <v>44392</v>
      </c>
      <c r="H5609">
        <v>2021</v>
      </c>
      <c r="I5609" t="s">
        <v>48</v>
      </c>
    </row>
    <row r="5610" spans="1:9" x14ac:dyDescent="0.3">
      <c r="A5610" t="s">
        <v>37</v>
      </c>
      <c r="G5610">
        <v>44392</v>
      </c>
      <c r="H5610">
        <v>2021</v>
      </c>
      <c r="I5610" t="s">
        <v>48</v>
      </c>
    </row>
    <row r="5611" spans="1:9" x14ac:dyDescent="0.3">
      <c r="A5611" t="s">
        <v>17</v>
      </c>
      <c r="C5611">
        <v>100000</v>
      </c>
      <c r="G5611">
        <v>44392</v>
      </c>
      <c r="H5611">
        <v>2021</v>
      </c>
      <c r="I5611" t="s">
        <v>48</v>
      </c>
    </row>
    <row r="5612" spans="1:9" x14ac:dyDescent="0.3">
      <c r="A5612" t="s">
        <v>0</v>
      </c>
      <c r="C5612">
        <v>1242000</v>
      </c>
      <c r="G5612">
        <v>44392</v>
      </c>
      <c r="H5612">
        <v>2021</v>
      </c>
      <c r="I5612" t="s">
        <v>48</v>
      </c>
    </row>
    <row r="5613" spans="1:9" x14ac:dyDescent="0.3">
      <c r="A5613" t="s">
        <v>25</v>
      </c>
      <c r="G5613">
        <v>44392</v>
      </c>
      <c r="H5613">
        <v>2021</v>
      </c>
      <c r="I5613" t="s">
        <v>48</v>
      </c>
    </row>
    <row r="5614" spans="1:9" x14ac:dyDescent="0.3">
      <c r="A5614" t="s">
        <v>15</v>
      </c>
      <c r="G5614">
        <v>44392</v>
      </c>
      <c r="H5614">
        <v>2021</v>
      </c>
      <c r="I5614" t="s">
        <v>48</v>
      </c>
    </row>
    <row r="5615" spans="1:9" x14ac:dyDescent="0.3">
      <c r="A5615" t="s">
        <v>54</v>
      </c>
      <c r="G5615">
        <v>44392</v>
      </c>
      <c r="H5615">
        <v>2021</v>
      </c>
      <c r="I5615" t="s">
        <v>48</v>
      </c>
    </row>
    <row r="5616" spans="1:9" x14ac:dyDescent="0.3">
      <c r="A5616" t="s">
        <v>26</v>
      </c>
      <c r="G5616">
        <v>44392</v>
      </c>
      <c r="H5616">
        <v>2021</v>
      </c>
      <c r="I5616" t="s">
        <v>48</v>
      </c>
    </row>
    <row r="5617" spans="1:9" x14ac:dyDescent="0.3">
      <c r="A5617" t="s">
        <v>22</v>
      </c>
      <c r="G5617">
        <v>44392</v>
      </c>
      <c r="H5617">
        <v>2021</v>
      </c>
      <c r="I5617" t="s">
        <v>48</v>
      </c>
    </row>
    <row r="5618" spans="1:9" x14ac:dyDescent="0.3">
      <c r="A5618" t="s">
        <v>61</v>
      </c>
      <c r="G5618">
        <v>44392</v>
      </c>
      <c r="H5618">
        <v>2021</v>
      </c>
      <c r="I5618" t="s">
        <v>48</v>
      </c>
    </row>
    <row r="5619" spans="1:9" x14ac:dyDescent="0.3">
      <c r="A5619" t="s">
        <v>19</v>
      </c>
      <c r="G5619">
        <v>44392</v>
      </c>
      <c r="H5619">
        <v>2021</v>
      </c>
      <c r="I5619" t="s">
        <v>48</v>
      </c>
    </row>
    <row r="5620" spans="1:9" x14ac:dyDescent="0.3">
      <c r="A5620" t="s">
        <v>14</v>
      </c>
      <c r="G5620">
        <v>44392</v>
      </c>
      <c r="H5620">
        <v>2021</v>
      </c>
      <c r="I5620" t="s">
        <v>48</v>
      </c>
    </row>
    <row r="5621" spans="1:9" x14ac:dyDescent="0.3">
      <c r="A5621" t="s">
        <v>24</v>
      </c>
      <c r="G5621">
        <v>44392</v>
      </c>
      <c r="H5621">
        <v>2021</v>
      </c>
      <c r="I5621" t="s">
        <v>48</v>
      </c>
    </row>
    <row r="5622" spans="1:9" x14ac:dyDescent="0.3">
      <c r="A5622" t="s">
        <v>21</v>
      </c>
      <c r="G5622">
        <v>44392</v>
      </c>
      <c r="H5622">
        <v>2021</v>
      </c>
      <c r="I5622" t="s">
        <v>48</v>
      </c>
    </row>
    <row r="5623" spans="1:9" x14ac:dyDescent="0.3">
      <c r="A5623" t="s">
        <v>18</v>
      </c>
      <c r="G5623">
        <v>44392</v>
      </c>
      <c r="H5623">
        <v>2021</v>
      </c>
      <c r="I5623" t="s">
        <v>48</v>
      </c>
    </row>
    <row r="5624" spans="1:9" x14ac:dyDescent="0.3">
      <c r="A5624" t="s">
        <v>16</v>
      </c>
      <c r="B5624">
        <v>90000</v>
      </c>
      <c r="G5624">
        <v>44392</v>
      </c>
      <c r="H5624">
        <v>2021</v>
      </c>
      <c r="I5624" t="s">
        <v>48</v>
      </c>
    </row>
    <row r="5625" spans="1:9" x14ac:dyDescent="0.3">
      <c r="A5625" t="s">
        <v>20</v>
      </c>
      <c r="G5625">
        <v>44393</v>
      </c>
      <c r="H5625">
        <v>2021</v>
      </c>
      <c r="I5625" t="s">
        <v>48</v>
      </c>
    </row>
    <row r="5626" spans="1:9" x14ac:dyDescent="0.3">
      <c r="A5626" t="s">
        <v>37</v>
      </c>
      <c r="C5626">
        <v>90000</v>
      </c>
      <c r="D5626">
        <v>45000</v>
      </c>
      <c r="G5626">
        <v>44393</v>
      </c>
      <c r="H5626">
        <v>2021</v>
      </c>
      <c r="I5626" t="s">
        <v>48</v>
      </c>
    </row>
    <row r="5627" spans="1:9" x14ac:dyDescent="0.3">
      <c r="A5627" t="s">
        <v>17</v>
      </c>
      <c r="C5627">
        <v>108000</v>
      </c>
      <c r="E5627">
        <v>54000</v>
      </c>
      <c r="G5627">
        <v>44393</v>
      </c>
      <c r="H5627">
        <v>2021</v>
      </c>
      <c r="I5627" t="s">
        <v>48</v>
      </c>
    </row>
    <row r="5628" spans="1:9" x14ac:dyDescent="0.3">
      <c r="A5628" t="s">
        <v>0</v>
      </c>
      <c r="C5628">
        <v>535000</v>
      </c>
      <c r="E5628">
        <v>270000</v>
      </c>
      <c r="G5628">
        <v>44393</v>
      </c>
      <c r="H5628">
        <v>2021</v>
      </c>
      <c r="I5628" t="s">
        <v>48</v>
      </c>
    </row>
    <row r="5629" spans="1:9" x14ac:dyDescent="0.3">
      <c r="A5629" t="s">
        <v>25</v>
      </c>
      <c r="G5629">
        <v>44393</v>
      </c>
      <c r="H5629">
        <v>2021</v>
      </c>
      <c r="I5629" t="s">
        <v>48</v>
      </c>
    </row>
    <row r="5630" spans="1:9" x14ac:dyDescent="0.3">
      <c r="A5630" t="s">
        <v>15</v>
      </c>
      <c r="C5630">
        <v>162000</v>
      </c>
      <c r="E5630">
        <v>54000</v>
      </c>
      <c r="G5630">
        <v>44393</v>
      </c>
      <c r="H5630">
        <v>2021</v>
      </c>
      <c r="I5630" t="s">
        <v>48</v>
      </c>
    </row>
    <row r="5631" spans="1:9" x14ac:dyDescent="0.3">
      <c r="A5631" t="s">
        <v>54</v>
      </c>
      <c r="G5631">
        <v>44393</v>
      </c>
      <c r="H5631">
        <v>2021</v>
      </c>
      <c r="I5631" t="s">
        <v>48</v>
      </c>
    </row>
    <row r="5632" spans="1:9" x14ac:dyDescent="0.3">
      <c r="A5632" t="s">
        <v>26</v>
      </c>
      <c r="B5632">
        <v>428000</v>
      </c>
      <c r="C5632">
        <v>108000</v>
      </c>
      <c r="G5632">
        <v>44393</v>
      </c>
      <c r="H5632">
        <v>2021</v>
      </c>
      <c r="I5632" t="s">
        <v>48</v>
      </c>
    </row>
    <row r="5633" spans="1:9" x14ac:dyDescent="0.3">
      <c r="A5633" t="s">
        <v>22</v>
      </c>
      <c r="G5633">
        <v>44393</v>
      </c>
      <c r="H5633">
        <v>2021</v>
      </c>
      <c r="I5633" t="s">
        <v>48</v>
      </c>
    </row>
    <row r="5634" spans="1:9" x14ac:dyDescent="0.3">
      <c r="A5634" t="s">
        <v>61</v>
      </c>
      <c r="G5634">
        <v>44393</v>
      </c>
      <c r="H5634">
        <v>2021</v>
      </c>
      <c r="I5634" t="s">
        <v>48</v>
      </c>
    </row>
    <row r="5635" spans="1:9" x14ac:dyDescent="0.3">
      <c r="A5635" t="s">
        <v>19</v>
      </c>
      <c r="G5635">
        <v>44393</v>
      </c>
      <c r="H5635">
        <v>2021</v>
      </c>
      <c r="I5635" t="s">
        <v>48</v>
      </c>
    </row>
    <row r="5636" spans="1:9" x14ac:dyDescent="0.3">
      <c r="A5636" t="s">
        <v>14</v>
      </c>
      <c r="B5636">
        <v>1234000</v>
      </c>
      <c r="C5636">
        <v>324000</v>
      </c>
      <c r="D5636">
        <v>415000</v>
      </c>
      <c r="E5636">
        <v>162000</v>
      </c>
      <c r="G5636">
        <v>44393</v>
      </c>
      <c r="H5636">
        <v>2021</v>
      </c>
      <c r="I5636" t="s">
        <v>48</v>
      </c>
    </row>
    <row r="5637" spans="1:9" x14ac:dyDescent="0.3">
      <c r="A5637" t="s">
        <v>24</v>
      </c>
      <c r="G5637">
        <v>44393</v>
      </c>
      <c r="H5637">
        <v>2021</v>
      </c>
      <c r="I5637" t="s">
        <v>48</v>
      </c>
    </row>
    <row r="5638" spans="1:9" x14ac:dyDescent="0.3">
      <c r="A5638" t="s">
        <v>21</v>
      </c>
      <c r="G5638">
        <v>44393</v>
      </c>
      <c r="H5638">
        <v>2021</v>
      </c>
      <c r="I5638" t="s">
        <v>48</v>
      </c>
    </row>
    <row r="5639" spans="1:9" x14ac:dyDescent="0.3">
      <c r="A5639" t="s">
        <v>18</v>
      </c>
      <c r="G5639">
        <v>44393</v>
      </c>
      <c r="H5639">
        <v>2021</v>
      </c>
      <c r="I5639" t="s">
        <v>48</v>
      </c>
    </row>
    <row r="5640" spans="1:9" x14ac:dyDescent="0.3">
      <c r="A5640" t="s">
        <v>16</v>
      </c>
      <c r="D5640">
        <v>104000</v>
      </c>
      <c r="G5640">
        <v>44393</v>
      </c>
      <c r="H5640">
        <v>2021</v>
      </c>
      <c r="I5640" t="s">
        <v>48</v>
      </c>
    </row>
    <row r="5641" spans="1:9" x14ac:dyDescent="0.3">
      <c r="A5641" t="s">
        <v>20</v>
      </c>
      <c r="G5641">
        <v>44396</v>
      </c>
      <c r="H5641">
        <v>2021</v>
      </c>
      <c r="I5641" t="s">
        <v>48</v>
      </c>
    </row>
    <row r="5642" spans="1:9" x14ac:dyDescent="0.3">
      <c r="A5642" t="s">
        <v>37</v>
      </c>
      <c r="G5642">
        <v>44396</v>
      </c>
      <c r="H5642">
        <v>2021</v>
      </c>
      <c r="I5642" t="s">
        <v>48</v>
      </c>
    </row>
    <row r="5643" spans="1:9" x14ac:dyDescent="0.3">
      <c r="A5643" t="s">
        <v>17</v>
      </c>
      <c r="B5643">
        <v>540000</v>
      </c>
      <c r="F5643">
        <v>540000</v>
      </c>
      <c r="G5643">
        <v>44396</v>
      </c>
      <c r="H5643">
        <v>2021</v>
      </c>
      <c r="I5643" t="s">
        <v>48</v>
      </c>
    </row>
    <row r="5644" spans="1:9" x14ac:dyDescent="0.3">
      <c r="A5644" t="s">
        <v>0</v>
      </c>
      <c r="C5644">
        <v>324000</v>
      </c>
      <c r="E5644">
        <v>270000</v>
      </c>
      <c r="G5644">
        <v>44396</v>
      </c>
      <c r="H5644">
        <v>2021</v>
      </c>
      <c r="I5644" t="s">
        <v>48</v>
      </c>
    </row>
    <row r="5645" spans="1:9" x14ac:dyDescent="0.3">
      <c r="A5645" t="s">
        <v>25</v>
      </c>
      <c r="G5645">
        <v>44396</v>
      </c>
      <c r="H5645">
        <v>2021</v>
      </c>
      <c r="I5645" t="s">
        <v>48</v>
      </c>
    </row>
    <row r="5646" spans="1:9" x14ac:dyDescent="0.3">
      <c r="A5646" t="s">
        <v>15</v>
      </c>
      <c r="C5646">
        <v>108000</v>
      </c>
      <c r="E5646">
        <v>108000</v>
      </c>
      <c r="G5646">
        <v>44396</v>
      </c>
      <c r="H5646">
        <v>2021</v>
      </c>
      <c r="I5646" t="s">
        <v>48</v>
      </c>
    </row>
    <row r="5647" spans="1:9" x14ac:dyDescent="0.3">
      <c r="A5647" t="s">
        <v>54</v>
      </c>
      <c r="G5647">
        <v>44396</v>
      </c>
      <c r="H5647">
        <v>2021</v>
      </c>
      <c r="I5647" t="s">
        <v>48</v>
      </c>
    </row>
    <row r="5648" spans="1:9" x14ac:dyDescent="0.3">
      <c r="A5648" t="s">
        <v>26</v>
      </c>
      <c r="B5648">
        <v>431500</v>
      </c>
      <c r="C5648">
        <v>162000</v>
      </c>
      <c r="D5648">
        <v>270000</v>
      </c>
      <c r="E5648">
        <v>90000</v>
      </c>
      <c r="G5648">
        <v>44396</v>
      </c>
      <c r="H5648">
        <v>2021</v>
      </c>
      <c r="I5648" t="s">
        <v>48</v>
      </c>
    </row>
    <row r="5649" spans="1:9" x14ac:dyDescent="0.3">
      <c r="A5649" t="s">
        <v>22</v>
      </c>
      <c r="G5649">
        <v>44396</v>
      </c>
      <c r="H5649">
        <v>2021</v>
      </c>
      <c r="I5649" t="s">
        <v>48</v>
      </c>
    </row>
    <row r="5650" spans="1:9" x14ac:dyDescent="0.3">
      <c r="A5650" t="s">
        <v>61</v>
      </c>
      <c r="G5650">
        <v>44396</v>
      </c>
      <c r="H5650">
        <v>2021</v>
      </c>
      <c r="I5650" t="s">
        <v>48</v>
      </c>
    </row>
    <row r="5651" spans="1:9" x14ac:dyDescent="0.3">
      <c r="A5651" t="s">
        <v>19</v>
      </c>
      <c r="G5651">
        <v>44396</v>
      </c>
      <c r="H5651">
        <v>2021</v>
      </c>
      <c r="I5651" t="s">
        <v>48</v>
      </c>
    </row>
    <row r="5652" spans="1:9" x14ac:dyDescent="0.3">
      <c r="A5652" t="s">
        <v>14</v>
      </c>
      <c r="B5652">
        <v>648000</v>
      </c>
      <c r="C5652">
        <v>157500</v>
      </c>
      <c r="D5652">
        <v>270000</v>
      </c>
      <c r="E5652">
        <v>54000</v>
      </c>
      <c r="G5652">
        <v>44396</v>
      </c>
      <c r="H5652">
        <v>2021</v>
      </c>
      <c r="I5652" t="s">
        <v>48</v>
      </c>
    </row>
    <row r="5653" spans="1:9" x14ac:dyDescent="0.3">
      <c r="A5653" t="s">
        <v>24</v>
      </c>
      <c r="G5653">
        <v>44396</v>
      </c>
      <c r="H5653">
        <v>2021</v>
      </c>
      <c r="I5653" t="s">
        <v>48</v>
      </c>
    </row>
    <row r="5654" spans="1:9" x14ac:dyDescent="0.3">
      <c r="A5654" t="s">
        <v>21</v>
      </c>
      <c r="G5654">
        <v>44396</v>
      </c>
      <c r="H5654">
        <v>2021</v>
      </c>
      <c r="I5654" t="s">
        <v>48</v>
      </c>
    </row>
    <row r="5655" spans="1:9" x14ac:dyDescent="0.3">
      <c r="A5655" t="s">
        <v>18</v>
      </c>
      <c r="G5655">
        <v>44396</v>
      </c>
      <c r="H5655">
        <v>2021</v>
      </c>
      <c r="I5655" t="s">
        <v>48</v>
      </c>
    </row>
    <row r="5656" spans="1:9" x14ac:dyDescent="0.3">
      <c r="A5656" t="s">
        <v>16</v>
      </c>
      <c r="G5656">
        <v>44396</v>
      </c>
      <c r="H5656">
        <v>2021</v>
      </c>
      <c r="I5656" t="s">
        <v>48</v>
      </c>
    </row>
    <row r="5657" spans="1:9" x14ac:dyDescent="0.3">
      <c r="A5657" t="s">
        <v>20</v>
      </c>
      <c r="G5657">
        <v>44398</v>
      </c>
      <c r="H5657">
        <v>2021</v>
      </c>
      <c r="I5657" t="s">
        <v>48</v>
      </c>
    </row>
    <row r="5658" spans="1:9" x14ac:dyDescent="0.3">
      <c r="A5658" t="s">
        <v>37</v>
      </c>
      <c r="C5658">
        <v>45000</v>
      </c>
      <c r="G5658">
        <v>44398</v>
      </c>
      <c r="H5658">
        <v>2021</v>
      </c>
      <c r="I5658" t="s">
        <v>48</v>
      </c>
    </row>
    <row r="5659" spans="1:9" x14ac:dyDescent="0.3">
      <c r="A5659" t="s">
        <v>17</v>
      </c>
      <c r="B5659">
        <v>702000</v>
      </c>
      <c r="F5659">
        <v>482000</v>
      </c>
      <c r="G5659">
        <v>44398</v>
      </c>
      <c r="H5659">
        <v>2021</v>
      </c>
      <c r="I5659" t="s">
        <v>48</v>
      </c>
    </row>
    <row r="5660" spans="1:9" x14ac:dyDescent="0.3">
      <c r="A5660" t="s">
        <v>0</v>
      </c>
      <c r="C5660">
        <v>270000</v>
      </c>
      <c r="G5660">
        <v>44398</v>
      </c>
      <c r="H5660">
        <v>2021</v>
      </c>
      <c r="I5660" t="s">
        <v>48</v>
      </c>
    </row>
    <row r="5661" spans="1:9" x14ac:dyDescent="0.3">
      <c r="A5661" t="s">
        <v>25</v>
      </c>
      <c r="G5661">
        <v>44398</v>
      </c>
      <c r="H5661">
        <v>2021</v>
      </c>
      <c r="I5661" t="s">
        <v>48</v>
      </c>
    </row>
    <row r="5662" spans="1:9" x14ac:dyDescent="0.3">
      <c r="A5662" t="s">
        <v>15</v>
      </c>
      <c r="C5662">
        <v>99000</v>
      </c>
      <c r="G5662">
        <v>44398</v>
      </c>
      <c r="H5662">
        <v>2021</v>
      </c>
      <c r="I5662" t="s">
        <v>48</v>
      </c>
    </row>
    <row r="5663" spans="1:9" x14ac:dyDescent="0.3">
      <c r="A5663" t="s">
        <v>54</v>
      </c>
      <c r="G5663">
        <v>44398</v>
      </c>
      <c r="H5663">
        <v>2021</v>
      </c>
      <c r="I5663" t="s">
        <v>48</v>
      </c>
    </row>
    <row r="5664" spans="1:9" x14ac:dyDescent="0.3">
      <c r="A5664" t="s">
        <v>26</v>
      </c>
      <c r="B5664">
        <v>378000</v>
      </c>
      <c r="C5664">
        <v>108000</v>
      </c>
      <c r="G5664">
        <v>44398</v>
      </c>
      <c r="H5664">
        <v>2021</v>
      </c>
      <c r="I5664" t="s">
        <v>48</v>
      </c>
    </row>
    <row r="5665" spans="1:9" x14ac:dyDescent="0.3">
      <c r="A5665" t="s">
        <v>22</v>
      </c>
      <c r="G5665">
        <v>44398</v>
      </c>
      <c r="H5665">
        <v>2021</v>
      </c>
      <c r="I5665" t="s">
        <v>48</v>
      </c>
    </row>
    <row r="5666" spans="1:9" x14ac:dyDescent="0.3">
      <c r="A5666" t="s">
        <v>61</v>
      </c>
      <c r="G5666">
        <v>44398</v>
      </c>
      <c r="H5666">
        <v>2021</v>
      </c>
      <c r="I5666" t="s">
        <v>48</v>
      </c>
    </row>
    <row r="5667" spans="1:9" x14ac:dyDescent="0.3">
      <c r="A5667" t="s">
        <v>19</v>
      </c>
      <c r="G5667">
        <v>44398</v>
      </c>
      <c r="H5667">
        <v>2021</v>
      </c>
      <c r="I5667" t="s">
        <v>48</v>
      </c>
    </row>
    <row r="5668" spans="1:9" x14ac:dyDescent="0.3">
      <c r="A5668" t="s">
        <v>14</v>
      </c>
      <c r="B5668">
        <v>580500</v>
      </c>
      <c r="C5668">
        <v>216000</v>
      </c>
      <c r="G5668">
        <v>44398</v>
      </c>
      <c r="H5668">
        <v>2021</v>
      </c>
      <c r="I5668" t="s">
        <v>48</v>
      </c>
    </row>
    <row r="5669" spans="1:9" x14ac:dyDescent="0.3">
      <c r="A5669" t="s">
        <v>24</v>
      </c>
      <c r="G5669">
        <v>44398</v>
      </c>
      <c r="H5669">
        <v>2021</v>
      </c>
      <c r="I5669" t="s">
        <v>48</v>
      </c>
    </row>
    <row r="5670" spans="1:9" x14ac:dyDescent="0.3">
      <c r="A5670" t="s">
        <v>21</v>
      </c>
      <c r="G5670">
        <v>44398</v>
      </c>
      <c r="H5670">
        <v>2021</v>
      </c>
      <c r="I5670" t="s">
        <v>48</v>
      </c>
    </row>
    <row r="5671" spans="1:9" x14ac:dyDescent="0.3">
      <c r="A5671" t="s">
        <v>18</v>
      </c>
      <c r="G5671">
        <v>44398</v>
      </c>
      <c r="H5671">
        <v>2021</v>
      </c>
      <c r="I5671" t="s">
        <v>48</v>
      </c>
    </row>
    <row r="5672" spans="1:9" x14ac:dyDescent="0.3">
      <c r="A5672" t="s">
        <v>16</v>
      </c>
      <c r="G5672">
        <v>44398</v>
      </c>
      <c r="H5672">
        <v>2021</v>
      </c>
      <c r="I5672" t="s">
        <v>48</v>
      </c>
    </row>
    <row r="5673" spans="1:9" x14ac:dyDescent="0.3">
      <c r="A5673" t="s">
        <v>20</v>
      </c>
      <c r="G5673">
        <v>44399</v>
      </c>
      <c r="H5673">
        <v>2021</v>
      </c>
      <c r="I5673" t="s">
        <v>48</v>
      </c>
    </row>
    <row r="5674" spans="1:9" x14ac:dyDescent="0.3">
      <c r="A5674" t="s">
        <v>37</v>
      </c>
      <c r="C5674">
        <v>45000</v>
      </c>
      <c r="G5674">
        <v>44399</v>
      </c>
      <c r="H5674">
        <v>2021</v>
      </c>
      <c r="I5674" t="s">
        <v>48</v>
      </c>
    </row>
    <row r="5675" spans="1:9" x14ac:dyDescent="0.3">
      <c r="A5675" t="s">
        <v>17</v>
      </c>
      <c r="B5675">
        <v>742000</v>
      </c>
      <c r="E5675">
        <v>54000</v>
      </c>
      <c r="F5675">
        <v>216000</v>
      </c>
      <c r="G5675">
        <v>44399</v>
      </c>
      <c r="H5675">
        <v>2021</v>
      </c>
      <c r="I5675" t="s">
        <v>48</v>
      </c>
    </row>
    <row r="5676" spans="1:9" x14ac:dyDescent="0.3">
      <c r="A5676" t="s">
        <v>0</v>
      </c>
      <c r="C5676">
        <v>270000</v>
      </c>
      <c r="E5676">
        <v>216000</v>
      </c>
      <c r="G5676">
        <v>44399</v>
      </c>
      <c r="H5676">
        <v>2021</v>
      </c>
      <c r="I5676" t="s">
        <v>48</v>
      </c>
    </row>
    <row r="5677" spans="1:9" x14ac:dyDescent="0.3">
      <c r="A5677" t="s">
        <v>25</v>
      </c>
      <c r="D5677">
        <v>216000</v>
      </c>
      <c r="E5677">
        <v>54000</v>
      </c>
      <c r="G5677">
        <v>44399</v>
      </c>
      <c r="H5677">
        <v>2021</v>
      </c>
      <c r="I5677" t="s">
        <v>48</v>
      </c>
    </row>
    <row r="5678" spans="1:9" x14ac:dyDescent="0.3">
      <c r="A5678" t="s">
        <v>15</v>
      </c>
      <c r="C5678">
        <v>54000</v>
      </c>
      <c r="D5678">
        <v>54000</v>
      </c>
      <c r="E5678">
        <v>108000</v>
      </c>
      <c r="G5678">
        <v>44399</v>
      </c>
      <c r="H5678">
        <v>2021</v>
      </c>
      <c r="I5678" t="s">
        <v>48</v>
      </c>
    </row>
    <row r="5679" spans="1:9" x14ac:dyDescent="0.3">
      <c r="A5679" t="s">
        <v>54</v>
      </c>
      <c r="G5679">
        <v>44399</v>
      </c>
      <c r="H5679">
        <v>2021</v>
      </c>
      <c r="I5679" t="s">
        <v>48</v>
      </c>
    </row>
    <row r="5680" spans="1:9" x14ac:dyDescent="0.3">
      <c r="A5680" t="s">
        <v>26</v>
      </c>
      <c r="B5680">
        <v>162000</v>
      </c>
      <c r="C5680">
        <v>216000</v>
      </c>
      <c r="D5680">
        <v>324000</v>
      </c>
      <c r="G5680">
        <v>44399</v>
      </c>
      <c r="H5680">
        <v>2021</v>
      </c>
      <c r="I5680" t="s">
        <v>48</v>
      </c>
    </row>
    <row r="5681" spans="1:9" x14ac:dyDescent="0.3">
      <c r="A5681" t="s">
        <v>22</v>
      </c>
      <c r="G5681">
        <v>44399</v>
      </c>
      <c r="H5681">
        <v>2021</v>
      </c>
      <c r="I5681" t="s">
        <v>48</v>
      </c>
    </row>
    <row r="5682" spans="1:9" x14ac:dyDescent="0.3">
      <c r="A5682" t="s">
        <v>61</v>
      </c>
      <c r="G5682">
        <v>44399</v>
      </c>
      <c r="H5682">
        <v>2021</v>
      </c>
      <c r="I5682" t="s">
        <v>48</v>
      </c>
    </row>
    <row r="5683" spans="1:9" x14ac:dyDescent="0.3">
      <c r="A5683" t="s">
        <v>19</v>
      </c>
      <c r="C5683">
        <v>1008000</v>
      </c>
      <c r="G5683">
        <v>44399</v>
      </c>
      <c r="H5683">
        <v>2021</v>
      </c>
      <c r="I5683" t="s">
        <v>48</v>
      </c>
    </row>
    <row r="5684" spans="1:9" x14ac:dyDescent="0.3">
      <c r="A5684" t="s">
        <v>14</v>
      </c>
      <c r="B5684">
        <v>531000</v>
      </c>
      <c r="C5684">
        <v>162000</v>
      </c>
      <c r="D5684">
        <v>216000</v>
      </c>
      <c r="E5684">
        <v>54000</v>
      </c>
      <c r="G5684">
        <v>44399</v>
      </c>
      <c r="H5684">
        <v>2021</v>
      </c>
      <c r="I5684" t="s">
        <v>48</v>
      </c>
    </row>
    <row r="5685" spans="1:9" x14ac:dyDescent="0.3">
      <c r="A5685" t="s">
        <v>24</v>
      </c>
      <c r="G5685">
        <v>44399</v>
      </c>
      <c r="H5685">
        <v>2021</v>
      </c>
      <c r="I5685" t="s">
        <v>48</v>
      </c>
    </row>
    <row r="5686" spans="1:9" x14ac:dyDescent="0.3">
      <c r="A5686" t="s">
        <v>21</v>
      </c>
      <c r="G5686">
        <v>44399</v>
      </c>
      <c r="H5686">
        <v>2021</v>
      </c>
      <c r="I5686" t="s">
        <v>48</v>
      </c>
    </row>
    <row r="5687" spans="1:9" x14ac:dyDescent="0.3">
      <c r="A5687" t="s">
        <v>18</v>
      </c>
      <c r="G5687">
        <v>44399</v>
      </c>
      <c r="H5687">
        <v>2021</v>
      </c>
      <c r="I5687" t="s">
        <v>48</v>
      </c>
    </row>
    <row r="5688" spans="1:9" x14ac:dyDescent="0.3">
      <c r="A5688" t="s">
        <v>16</v>
      </c>
      <c r="B5688">
        <v>216000</v>
      </c>
      <c r="F5688">
        <v>378000</v>
      </c>
      <c r="G5688">
        <v>44399</v>
      </c>
      <c r="H5688">
        <v>2021</v>
      </c>
      <c r="I5688" t="s">
        <v>48</v>
      </c>
    </row>
    <row r="5689" spans="1:9" x14ac:dyDescent="0.3">
      <c r="A5689" t="s">
        <v>20</v>
      </c>
      <c r="G5689">
        <v>44400</v>
      </c>
      <c r="H5689">
        <v>2021</v>
      </c>
      <c r="I5689" t="s">
        <v>48</v>
      </c>
    </row>
    <row r="5690" spans="1:9" x14ac:dyDescent="0.3">
      <c r="A5690" t="s">
        <v>37</v>
      </c>
      <c r="G5690">
        <v>44400</v>
      </c>
      <c r="H5690">
        <v>2021</v>
      </c>
      <c r="I5690" t="s">
        <v>48</v>
      </c>
    </row>
    <row r="5691" spans="1:9" x14ac:dyDescent="0.3">
      <c r="A5691" t="s">
        <v>17</v>
      </c>
      <c r="B5691">
        <v>801000</v>
      </c>
      <c r="F5691">
        <v>162000</v>
      </c>
      <c r="G5691">
        <v>44400</v>
      </c>
      <c r="H5691">
        <v>2021</v>
      </c>
      <c r="I5691" t="s">
        <v>48</v>
      </c>
    </row>
    <row r="5692" spans="1:9" x14ac:dyDescent="0.3">
      <c r="A5692" t="s">
        <v>0</v>
      </c>
      <c r="C5692">
        <v>486000</v>
      </c>
      <c r="G5692">
        <v>44400</v>
      </c>
      <c r="H5692">
        <v>2021</v>
      </c>
      <c r="I5692" t="s">
        <v>48</v>
      </c>
    </row>
    <row r="5693" spans="1:9" x14ac:dyDescent="0.3">
      <c r="A5693" t="s">
        <v>25</v>
      </c>
      <c r="D5693">
        <v>194000</v>
      </c>
      <c r="G5693">
        <v>44400</v>
      </c>
      <c r="H5693">
        <v>2021</v>
      </c>
      <c r="I5693" t="s">
        <v>48</v>
      </c>
    </row>
    <row r="5694" spans="1:9" x14ac:dyDescent="0.3">
      <c r="A5694" t="s">
        <v>15</v>
      </c>
      <c r="C5694">
        <v>265500</v>
      </c>
      <c r="D5694">
        <v>104000</v>
      </c>
      <c r="E5694">
        <v>54000</v>
      </c>
      <c r="G5694">
        <v>44400</v>
      </c>
      <c r="H5694">
        <v>2021</v>
      </c>
      <c r="I5694" t="s">
        <v>48</v>
      </c>
    </row>
    <row r="5695" spans="1:9" x14ac:dyDescent="0.3">
      <c r="A5695" t="s">
        <v>54</v>
      </c>
      <c r="G5695">
        <v>44400</v>
      </c>
      <c r="H5695">
        <v>2021</v>
      </c>
      <c r="I5695" t="s">
        <v>48</v>
      </c>
    </row>
    <row r="5696" spans="1:9" x14ac:dyDescent="0.3">
      <c r="A5696" t="s">
        <v>26</v>
      </c>
      <c r="C5696">
        <v>162000</v>
      </c>
      <c r="G5696">
        <v>44400</v>
      </c>
      <c r="H5696">
        <v>2021</v>
      </c>
      <c r="I5696" t="s">
        <v>48</v>
      </c>
    </row>
    <row r="5697" spans="1:9" x14ac:dyDescent="0.3">
      <c r="A5697" t="s">
        <v>22</v>
      </c>
      <c r="G5697">
        <v>44400</v>
      </c>
      <c r="H5697">
        <v>2021</v>
      </c>
      <c r="I5697" t="s">
        <v>48</v>
      </c>
    </row>
    <row r="5698" spans="1:9" x14ac:dyDescent="0.3">
      <c r="A5698" t="s">
        <v>61</v>
      </c>
      <c r="G5698">
        <v>44400</v>
      </c>
      <c r="H5698">
        <v>2021</v>
      </c>
      <c r="I5698" t="s">
        <v>48</v>
      </c>
    </row>
    <row r="5699" spans="1:9" x14ac:dyDescent="0.3">
      <c r="A5699" t="s">
        <v>19</v>
      </c>
      <c r="G5699">
        <v>44400</v>
      </c>
      <c r="H5699">
        <v>2021</v>
      </c>
      <c r="I5699" t="s">
        <v>48</v>
      </c>
    </row>
    <row r="5700" spans="1:9" x14ac:dyDescent="0.3">
      <c r="A5700" t="s">
        <v>14</v>
      </c>
      <c r="B5700">
        <v>806000</v>
      </c>
      <c r="C5700">
        <v>265500</v>
      </c>
      <c r="D5700">
        <v>54000</v>
      </c>
      <c r="G5700">
        <v>44400</v>
      </c>
      <c r="H5700">
        <v>2021</v>
      </c>
      <c r="I5700" t="s">
        <v>48</v>
      </c>
    </row>
    <row r="5701" spans="1:9" x14ac:dyDescent="0.3">
      <c r="A5701" t="s">
        <v>24</v>
      </c>
      <c r="G5701">
        <v>44400</v>
      </c>
      <c r="H5701">
        <v>2021</v>
      </c>
      <c r="I5701" t="s">
        <v>48</v>
      </c>
    </row>
    <row r="5702" spans="1:9" x14ac:dyDescent="0.3">
      <c r="A5702" t="s">
        <v>21</v>
      </c>
      <c r="G5702">
        <v>44400</v>
      </c>
      <c r="H5702">
        <v>2021</v>
      </c>
      <c r="I5702" t="s">
        <v>48</v>
      </c>
    </row>
    <row r="5703" spans="1:9" x14ac:dyDescent="0.3">
      <c r="A5703" t="s">
        <v>18</v>
      </c>
      <c r="G5703">
        <v>44400</v>
      </c>
      <c r="H5703">
        <v>2021</v>
      </c>
      <c r="I5703" t="s">
        <v>48</v>
      </c>
    </row>
    <row r="5704" spans="1:9" x14ac:dyDescent="0.3">
      <c r="A5704" t="s">
        <v>16</v>
      </c>
      <c r="B5704">
        <v>45000</v>
      </c>
      <c r="F5704">
        <v>162000</v>
      </c>
      <c r="G5704">
        <v>44400</v>
      </c>
      <c r="H5704">
        <v>2021</v>
      </c>
      <c r="I5704" t="s">
        <v>48</v>
      </c>
    </row>
    <row r="5705" spans="1:9" x14ac:dyDescent="0.3">
      <c r="A5705" t="s">
        <v>20</v>
      </c>
      <c r="G5705">
        <v>44403</v>
      </c>
      <c r="H5705">
        <v>2021</v>
      </c>
      <c r="I5705" t="s">
        <v>48</v>
      </c>
    </row>
    <row r="5706" spans="1:9" x14ac:dyDescent="0.3">
      <c r="A5706" t="s">
        <v>37</v>
      </c>
      <c r="G5706">
        <v>44403</v>
      </c>
      <c r="H5706">
        <v>2021</v>
      </c>
      <c r="I5706" t="s">
        <v>48</v>
      </c>
    </row>
    <row r="5707" spans="1:9" x14ac:dyDescent="0.3">
      <c r="A5707" t="s">
        <v>17</v>
      </c>
      <c r="B5707">
        <v>702000</v>
      </c>
      <c r="F5707">
        <v>50000</v>
      </c>
      <c r="G5707">
        <v>44403</v>
      </c>
      <c r="H5707">
        <v>2021</v>
      </c>
      <c r="I5707" t="s">
        <v>48</v>
      </c>
    </row>
    <row r="5708" spans="1:9" x14ac:dyDescent="0.3">
      <c r="A5708" t="s">
        <v>0</v>
      </c>
      <c r="C5708">
        <v>594000</v>
      </c>
      <c r="G5708">
        <v>44403</v>
      </c>
      <c r="H5708">
        <v>2021</v>
      </c>
      <c r="I5708" t="s">
        <v>48</v>
      </c>
    </row>
    <row r="5709" spans="1:9" x14ac:dyDescent="0.3">
      <c r="A5709" t="s">
        <v>25</v>
      </c>
      <c r="G5709">
        <v>44403</v>
      </c>
      <c r="H5709">
        <v>2021</v>
      </c>
      <c r="I5709" t="s">
        <v>48</v>
      </c>
    </row>
    <row r="5710" spans="1:9" x14ac:dyDescent="0.3">
      <c r="A5710" t="s">
        <v>15</v>
      </c>
      <c r="C5710">
        <v>54000</v>
      </c>
      <c r="D5710">
        <v>50000</v>
      </c>
      <c r="G5710">
        <v>44403</v>
      </c>
      <c r="H5710">
        <v>2021</v>
      </c>
      <c r="I5710" t="s">
        <v>48</v>
      </c>
    </row>
    <row r="5711" spans="1:9" x14ac:dyDescent="0.3">
      <c r="A5711" t="s">
        <v>54</v>
      </c>
      <c r="G5711">
        <v>44403</v>
      </c>
      <c r="H5711">
        <v>2021</v>
      </c>
      <c r="I5711" t="s">
        <v>48</v>
      </c>
    </row>
    <row r="5712" spans="1:9" x14ac:dyDescent="0.3">
      <c r="A5712" t="s">
        <v>26</v>
      </c>
      <c r="C5712">
        <v>261000</v>
      </c>
      <c r="G5712">
        <v>44403</v>
      </c>
      <c r="H5712">
        <v>2021</v>
      </c>
      <c r="I5712" t="s">
        <v>48</v>
      </c>
    </row>
    <row r="5713" spans="1:9" x14ac:dyDescent="0.3">
      <c r="A5713" t="s">
        <v>22</v>
      </c>
      <c r="G5713">
        <v>44403</v>
      </c>
      <c r="H5713">
        <v>2021</v>
      </c>
      <c r="I5713" t="s">
        <v>48</v>
      </c>
    </row>
    <row r="5714" spans="1:9" x14ac:dyDescent="0.3">
      <c r="A5714" t="s">
        <v>61</v>
      </c>
      <c r="G5714">
        <v>44403</v>
      </c>
      <c r="H5714">
        <v>2021</v>
      </c>
      <c r="I5714" t="s">
        <v>48</v>
      </c>
    </row>
    <row r="5715" spans="1:9" x14ac:dyDescent="0.3">
      <c r="A5715" t="s">
        <v>19</v>
      </c>
      <c r="G5715">
        <v>44403</v>
      </c>
      <c r="H5715">
        <v>2021</v>
      </c>
      <c r="I5715" t="s">
        <v>48</v>
      </c>
    </row>
    <row r="5716" spans="1:9" x14ac:dyDescent="0.3">
      <c r="A5716" t="s">
        <v>14</v>
      </c>
      <c r="B5716">
        <v>755500</v>
      </c>
      <c r="C5716">
        <v>270000</v>
      </c>
      <c r="G5716">
        <v>44403</v>
      </c>
      <c r="H5716">
        <v>2021</v>
      </c>
      <c r="I5716" t="s">
        <v>48</v>
      </c>
    </row>
    <row r="5717" spans="1:9" x14ac:dyDescent="0.3">
      <c r="A5717" t="s">
        <v>24</v>
      </c>
      <c r="G5717">
        <v>44403</v>
      </c>
      <c r="H5717">
        <v>2021</v>
      </c>
      <c r="I5717" t="s">
        <v>48</v>
      </c>
    </row>
    <row r="5718" spans="1:9" x14ac:dyDescent="0.3">
      <c r="A5718" t="s">
        <v>21</v>
      </c>
      <c r="G5718">
        <v>44403</v>
      </c>
      <c r="H5718">
        <v>2021</v>
      </c>
      <c r="I5718" t="s">
        <v>48</v>
      </c>
    </row>
    <row r="5719" spans="1:9" x14ac:dyDescent="0.3">
      <c r="A5719" t="s">
        <v>18</v>
      </c>
      <c r="G5719">
        <v>44403</v>
      </c>
      <c r="H5719">
        <v>2021</v>
      </c>
      <c r="I5719" t="s">
        <v>48</v>
      </c>
    </row>
    <row r="5720" spans="1:9" x14ac:dyDescent="0.3">
      <c r="A5720" t="s">
        <v>16</v>
      </c>
      <c r="F5720">
        <v>108000</v>
      </c>
      <c r="G5720">
        <v>44403</v>
      </c>
      <c r="H5720">
        <v>2021</v>
      </c>
      <c r="I5720" t="s">
        <v>48</v>
      </c>
    </row>
    <row r="5721" spans="1:9" x14ac:dyDescent="0.3">
      <c r="A5721" t="s">
        <v>20</v>
      </c>
      <c r="G5721">
        <v>44404</v>
      </c>
      <c r="H5721">
        <v>2021</v>
      </c>
      <c r="I5721" t="s">
        <v>48</v>
      </c>
    </row>
    <row r="5722" spans="1:9" x14ac:dyDescent="0.3">
      <c r="A5722" t="s">
        <v>37</v>
      </c>
      <c r="G5722">
        <v>44404</v>
      </c>
      <c r="H5722">
        <v>2021</v>
      </c>
      <c r="I5722" t="s">
        <v>48</v>
      </c>
    </row>
    <row r="5723" spans="1:9" x14ac:dyDescent="0.3">
      <c r="A5723" t="s">
        <v>17</v>
      </c>
      <c r="B5723">
        <v>486000</v>
      </c>
      <c r="G5723">
        <v>44404</v>
      </c>
      <c r="H5723">
        <v>2021</v>
      </c>
      <c r="I5723" t="s">
        <v>48</v>
      </c>
    </row>
    <row r="5724" spans="1:9" x14ac:dyDescent="0.3">
      <c r="A5724" t="s">
        <v>0</v>
      </c>
      <c r="C5724">
        <v>796500</v>
      </c>
      <c r="G5724">
        <v>44404</v>
      </c>
      <c r="H5724">
        <v>2021</v>
      </c>
      <c r="I5724" t="s">
        <v>48</v>
      </c>
    </row>
    <row r="5725" spans="1:9" x14ac:dyDescent="0.3">
      <c r="A5725" t="s">
        <v>25</v>
      </c>
      <c r="D5725">
        <v>90000</v>
      </c>
      <c r="G5725">
        <v>44404</v>
      </c>
      <c r="H5725">
        <v>2021</v>
      </c>
      <c r="I5725" t="s">
        <v>48</v>
      </c>
    </row>
    <row r="5726" spans="1:9" x14ac:dyDescent="0.3">
      <c r="A5726" t="s">
        <v>15</v>
      </c>
      <c r="D5726">
        <v>49500</v>
      </c>
      <c r="G5726">
        <v>44404</v>
      </c>
      <c r="H5726">
        <v>2021</v>
      </c>
      <c r="I5726" t="s">
        <v>48</v>
      </c>
    </row>
    <row r="5727" spans="1:9" x14ac:dyDescent="0.3">
      <c r="A5727" t="s">
        <v>54</v>
      </c>
      <c r="G5727">
        <v>44404</v>
      </c>
      <c r="H5727">
        <v>2021</v>
      </c>
      <c r="I5727" t="s">
        <v>48</v>
      </c>
    </row>
    <row r="5728" spans="1:9" x14ac:dyDescent="0.3">
      <c r="A5728" t="s">
        <v>26</v>
      </c>
      <c r="C5728">
        <v>319500</v>
      </c>
      <c r="G5728">
        <v>44404</v>
      </c>
      <c r="H5728">
        <v>2021</v>
      </c>
      <c r="I5728" t="s">
        <v>48</v>
      </c>
    </row>
    <row r="5729" spans="1:9" x14ac:dyDescent="0.3">
      <c r="A5729" t="s">
        <v>22</v>
      </c>
      <c r="G5729">
        <v>44404</v>
      </c>
      <c r="H5729">
        <v>2021</v>
      </c>
      <c r="I5729" t="s">
        <v>48</v>
      </c>
    </row>
    <row r="5730" spans="1:9" x14ac:dyDescent="0.3">
      <c r="A5730" t="s">
        <v>61</v>
      </c>
      <c r="G5730">
        <v>44404</v>
      </c>
      <c r="H5730">
        <v>2021</v>
      </c>
      <c r="I5730" t="s">
        <v>48</v>
      </c>
    </row>
    <row r="5731" spans="1:9" x14ac:dyDescent="0.3">
      <c r="A5731" t="s">
        <v>19</v>
      </c>
      <c r="B5731">
        <v>648000</v>
      </c>
      <c r="G5731">
        <v>44404</v>
      </c>
      <c r="H5731">
        <v>2021</v>
      </c>
      <c r="I5731" t="s">
        <v>48</v>
      </c>
    </row>
    <row r="5732" spans="1:9" x14ac:dyDescent="0.3">
      <c r="A5732" t="s">
        <v>14</v>
      </c>
      <c r="B5732">
        <v>539000</v>
      </c>
      <c r="C5732">
        <v>486000</v>
      </c>
      <c r="D5732">
        <v>45000</v>
      </c>
      <c r="G5732">
        <v>44404</v>
      </c>
      <c r="H5732">
        <v>2021</v>
      </c>
      <c r="I5732" t="s">
        <v>48</v>
      </c>
    </row>
    <row r="5733" spans="1:9" x14ac:dyDescent="0.3">
      <c r="A5733" t="s">
        <v>24</v>
      </c>
      <c r="G5733">
        <v>44404</v>
      </c>
      <c r="H5733">
        <v>2021</v>
      </c>
      <c r="I5733" t="s">
        <v>48</v>
      </c>
    </row>
    <row r="5734" spans="1:9" x14ac:dyDescent="0.3">
      <c r="A5734" t="s">
        <v>21</v>
      </c>
      <c r="G5734">
        <v>44404</v>
      </c>
      <c r="H5734">
        <v>2021</v>
      </c>
      <c r="I5734" t="s">
        <v>48</v>
      </c>
    </row>
    <row r="5735" spans="1:9" x14ac:dyDescent="0.3">
      <c r="A5735" t="s">
        <v>18</v>
      </c>
      <c r="G5735">
        <v>44404</v>
      </c>
      <c r="H5735">
        <v>2021</v>
      </c>
      <c r="I5735" t="s">
        <v>48</v>
      </c>
    </row>
    <row r="5736" spans="1:9" x14ac:dyDescent="0.3">
      <c r="A5736" t="s">
        <v>16</v>
      </c>
      <c r="G5736">
        <v>44404</v>
      </c>
      <c r="H5736">
        <v>2021</v>
      </c>
      <c r="I5736" t="s">
        <v>48</v>
      </c>
    </row>
    <row r="5737" spans="1:9" x14ac:dyDescent="0.3">
      <c r="A5737" t="s">
        <v>20</v>
      </c>
      <c r="G5737">
        <v>44405</v>
      </c>
      <c r="H5737">
        <v>2021</v>
      </c>
      <c r="I5737" t="s">
        <v>48</v>
      </c>
    </row>
    <row r="5738" spans="1:9" x14ac:dyDescent="0.3">
      <c r="A5738" t="s">
        <v>37</v>
      </c>
      <c r="G5738">
        <v>44405</v>
      </c>
      <c r="H5738">
        <v>2021</v>
      </c>
      <c r="I5738" t="s">
        <v>48</v>
      </c>
    </row>
    <row r="5739" spans="1:9" x14ac:dyDescent="0.3">
      <c r="A5739" t="s">
        <v>17</v>
      </c>
      <c r="B5739">
        <v>473000</v>
      </c>
      <c r="E5739">
        <v>108000</v>
      </c>
      <c r="F5739">
        <v>50000</v>
      </c>
      <c r="G5739">
        <v>44405</v>
      </c>
      <c r="H5739">
        <v>2021</v>
      </c>
      <c r="I5739" t="s">
        <v>48</v>
      </c>
    </row>
    <row r="5740" spans="1:9" x14ac:dyDescent="0.3">
      <c r="A5740" t="s">
        <v>0</v>
      </c>
      <c r="C5740">
        <v>686500</v>
      </c>
      <c r="E5740">
        <v>324000</v>
      </c>
      <c r="G5740">
        <v>44405</v>
      </c>
      <c r="H5740">
        <v>2021</v>
      </c>
      <c r="I5740" t="s">
        <v>48</v>
      </c>
    </row>
    <row r="5741" spans="1:9" x14ac:dyDescent="0.3">
      <c r="A5741" t="s">
        <v>25</v>
      </c>
      <c r="E5741">
        <v>108000</v>
      </c>
      <c r="G5741">
        <v>44405</v>
      </c>
      <c r="H5741">
        <v>2021</v>
      </c>
      <c r="I5741" t="s">
        <v>48</v>
      </c>
    </row>
    <row r="5742" spans="1:9" x14ac:dyDescent="0.3">
      <c r="A5742" t="s">
        <v>15</v>
      </c>
      <c r="G5742">
        <v>44405</v>
      </c>
      <c r="H5742">
        <v>2021</v>
      </c>
      <c r="I5742" t="s">
        <v>48</v>
      </c>
    </row>
    <row r="5743" spans="1:9" x14ac:dyDescent="0.3">
      <c r="A5743" t="s">
        <v>54</v>
      </c>
      <c r="G5743">
        <v>44405</v>
      </c>
      <c r="H5743">
        <v>2021</v>
      </c>
      <c r="I5743" t="s">
        <v>48</v>
      </c>
    </row>
    <row r="5744" spans="1:9" x14ac:dyDescent="0.3">
      <c r="A5744" t="s">
        <v>26</v>
      </c>
      <c r="C5744">
        <v>270000</v>
      </c>
      <c r="G5744">
        <v>44405</v>
      </c>
      <c r="H5744">
        <v>2021</v>
      </c>
      <c r="I5744" t="s">
        <v>48</v>
      </c>
    </row>
    <row r="5745" spans="1:9" x14ac:dyDescent="0.3">
      <c r="A5745" t="s">
        <v>22</v>
      </c>
      <c r="G5745">
        <v>44405</v>
      </c>
      <c r="H5745">
        <v>2021</v>
      </c>
      <c r="I5745" t="s">
        <v>48</v>
      </c>
    </row>
    <row r="5746" spans="1:9" x14ac:dyDescent="0.3">
      <c r="A5746" t="s">
        <v>61</v>
      </c>
      <c r="G5746">
        <v>44405</v>
      </c>
      <c r="H5746">
        <v>2021</v>
      </c>
      <c r="I5746" t="s">
        <v>48</v>
      </c>
    </row>
    <row r="5747" spans="1:9" x14ac:dyDescent="0.3">
      <c r="A5747" t="s">
        <v>19</v>
      </c>
      <c r="B5747">
        <v>427500</v>
      </c>
      <c r="G5747">
        <v>44405</v>
      </c>
      <c r="H5747">
        <v>2021</v>
      </c>
      <c r="I5747" t="s">
        <v>48</v>
      </c>
    </row>
    <row r="5748" spans="1:9" x14ac:dyDescent="0.3">
      <c r="A5748" t="s">
        <v>14</v>
      </c>
      <c r="B5748">
        <v>530500</v>
      </c>
      <c r="C5748">
        <v>319500</v>
      </c>
      <c r="E5748">
        <v>54000</v>
      </c>
      <c r="G5748">
        <v>44405</v>
      </c>
      <c r="H5748">
        <v>2021</v>
      </c>
      <c r="I5748" t="s">
        <v>48</v>
      </c>
    </row>
    <row r="5749" spans="1:9" x14ac:dyDescent="0.3">
      <c r="A5749" t="s">
        <v>24</v>
      </c>
      <c r="G5749">
        <v>44405</v>
      </c>
      <c r="H5749">
        <v>2021</v>
      </c>
      <c r="I5749" t="s">
        <v>48</v>
      </c>
    </row>
    <row r="5750" spans="1:9" x14ac:dyDescent="0.3">
      <c r="A5750" t="s">
        <v>21</v>
      </c>
      <c r="G5750">
        <v>44405</v>
      </c>
      <c r="H5750">
        <v>2021</v>
      </c>
      <c r="I5750" t="s">
        <v>48</v>
      </c>
    </row>
    <row r="5751" spans="1:9" x14ac:dyDescent="0.3">
      <c r="A5751" t="s">
        <v>18</v>
      </c>
      <c r="C5751">
        <v>324000</v>
      </c>
      <c r="G5751">
        <v>44405</v>
      </c>
      <c r="H5751">
        <v>2021</v>
      </c>
      <c r="I5751" t="s">
        <v>48</v>
      </c>
    </row>
    <row r="5752" spans="1:9" x14ac:dyDescent="0.3">
      <c r="A5752" t="s">
        <v>16</v>
      </c>
      <c r="F5752">
        <v>50000</v>
      </c>
      <c r="G5752">
        <v>44405</v>
      </c>
      <c r="H5752">
        <v>2021</v>
      </c>
      <c r="I5752" t="s">
        <v>48</v>
      </c>
    </row>
    <row r="5753" spans="1:9" x14ac:dyDescent="0.3">
      <c r="A5753" t="s">
        <v>20</v>
      </c>
      <c r="G5753">
        <v>44406</v>
      </c>
      <c r="H5753">
        <v>2021</v>
      </c>
      <c r="I5753" t="s">
        <v>48</v>
      </c>
    </row>
    <row r="5754" spans="1:9" x14ac:dyDescent="0.3">
      <c r="A5754" t="s">
        <v>37</v>
      </c>
      <c r="G5754">
        <v>44406</v>
      </c>
      <c r="H5754">
        <v>2021</v>
      </c>
      <c r="I5754" t="s">
        <v>48</v>
      </c>
    </row>
    <row r="5755" spans="1:9" x14ac:dyDescent="0.3">
      <c r="A5755" t="s">
        <v>17</v>
      </c>
      <c r="B5755">
        <v>486000</v>
      </c>
      <c r="C5755">
        <v>49500</v>
      </c>
      <c r="E5755">
        <v>108000</v>
      </c>
      <c r="F5755">
        <v>540000</v>
      </c>
      <c r="G5755">
        <v>44406</v>
      </c>
      <c r="H5755">
        <v>2021</v>
      </c>
      <c r="I5755" t="s">
        <v>48</v>
      </c>
    </row>
    <row r="5756" spans="1:9" x14ac:dyDescent="0.3">
      <c r="A5756" t="s">
        <v>0</v>
      </c>
      <c r="C5756">
        <v>319500</v>
      </c>
      <c r="E5756">
        <v>216000</v>
      </c>
      <c r="G5756">
        <v>44406</v>
      </c>
      <c r="H5756">
        <v>2021</v>
      </c>
      <c r="I5756" t="s">
        <v>48</v>
      </c>
    </row>
    <row r="5757" spans="1:9" x14ac:dyDescent="0.3">
      <c r="A5757" t="s">
        <v>25</v>
      </c>
      <c r="E5757">
        <v>108000</v>
      </c>
      <c r="G5757">
        <v>44406</v>
      </c>
      <c r="H5757">
        <v>2021</v>
      </c>
      <c r="I5757" t="s">
        <v>48</v>
      </c>
    </row>
    <row r="5758" spans="1:9" x14ac:dyDescent="0.3">
      <c r="A5758" t="s">
        <v>15</v>
      </c>
      <c r="E5758">
        <v>104000</v>
      </c>
      <c r="G5758">
        <v>44406</v>
      </c>
      <c r="H5758">
        <v>2021</v>
      </c>
      <c r="I5758" t="s">
        <v>48</v>
      </c>
    </row>
    <row r="5759" spans="1:9" x14ac:dyDescent="0.3">
      <c r="A5759" t="s">
        <v>54</v>
      </c>
      <c r="G5759">
        <v>44406</v>
      </c>
      <c r="H5759">
        <v>2021</v>
      </c>
      <c r="I5759" t="s">
        <v>48</v>
      </c>
    </row>
    <row r="5760" spans="1:9" x14ac:dyDescent="0.3">
      <c r="A5760" t="s">
        <v>26</v>
      </c>
      <c r="C5760">
        <v>203000</v>
      </c>
      <c r="G5760">
        <v>44406</v>
      </c>
      <c r="H5760">
        <v>2021</v>
      </c>
      <c r="I5760" t="s">
        <v>48</v>
      </c>
    </row>
    <row r="5761" spans="1:9" x14ac:dyDescent="0.3">
      <c r="A5761" t="s">
        <v>22</v>
      </c>
      <c r="G5761">
        <v>44406</v>
      </c>
      <c r="H5761">
        <v>2021</v>
      </c>
      <c r="I5761" t="s">
        <v>48</v>
      </c>
    </row>
    <row r="5762" spans="1:9" x14ac:dyDescent="0.3">
      <c r="A5762" t="s">
        <v>61</v>
      </c>
      <c r="G5762">
        <v>44406</v>
      </c>
      <c r="H5762">
        <v>2021</v>
      </c>
      <c r="I5762" t="s">
        <v>48</v>
      </c>
    </row>
    <row r="5763" spans="1:9" x14ac:dyDescent="0.3">
      <c r="A5763" t="s">
        <v>19</v>
      </c>
      <c r="B5763">
        <v>477500</v>
      </c>
      <c r="C5763">
        <v>846000</v>
      </c>
      <c r="G5763">
        <v>44406</v>
      </c>
      <c r="H5763">
        <v>2021</v>
      </c>
      <c r="I5763" t="s">
        <v>48</v>
      </c>
    </row>
    <row r="5764" spans="1:9" x14ac:dyDescent="0.3">
      <c r="A5764" t="s">
        <v>14</v>
      </c>
      <c r="B5764">
        <v>369500</v>
      </c>
      <c r="C5764">
        <v>216000</v>
      </c>
      <c r="G5764">
        <v>44406</v>
      </c>
      <c r="H5764">
        <v>2021</v>
      </c>
      <c r="I5764" t="s">
        <v>48</v>
      </c>
    </row>
    <row r="5765" spans="1:9" x14ac:dyDescent="0.3">
      <c r="A5765" t="s">
        <v>24</v>
      </c>
      <c r="G5765">
        <v>44406</v>
      </c>
      <c r="H5765">
        <v>2021</v>
      </c>
      <c r="I5765" t="s">
        <v>48</v>
      </c>
    </row>
    <row r="5766" spans="1:9" x14ac:dyDescent="0.3">
      <c r="A5766" t="s">
        <v>21</v>
      </c>
      <c r="G5766">
        <v>44406</v>
      </c>
      <c r="H5766">
        <v>2021</v>
      </c>
      <c r="I5766" t="s">
        <v>48</v>
      </c>
    </row>
    <row r="5767" spans="1:9" x14ac:dyDescent="0.3">
      <c r="A5767" t="s">
        <v>18</v>
      </c>
      <c r="C5767">
        <v>212000</v>
      </c>
      <c r="G5767">
        <v>44406</v>
      </c>
      <c r="H5767">
        <v>2021</v>
      </c>
      <c r="I5767" t="s">
        <v>48</v>
      </c>
    </row>
    <row r="5768" spans="1:9" x14ac:dyDescent="0.3">
      <c r="A5768" t="s">
        <v>16</v>
      </c>
      <c r="G5768">
        <v>44406</v>
      </c>
      <c r="H5768">
        <v>2021</v>
      </c>
      <c r="I5768" t="s">
        <v>48</v>
      </c>
    </row>
    <row r="5769" spans="1:9" x14ac:dyDescent="0.3">
      <c r="A5769" t="s">
        <v>20</v>
      </c>
      <c r="G5769">
        <v>44407</v>
      </c>
      <c r="H5769">
        <v>2021</v>
      </c>
      <c r="I5769" t="s">
        <v>48</v>
      </c>
    </row>
    <row r="5770" spans="1:9" x14ac:dyDescent="0.3">
      <c r="A5770" t="s">
        <v>37</v>
      </c>
      <c r="G5770">
        <v>44407</v>
      </c>
      <c r="H5770">
        <v>2021</v>
      </c>
      <c r="I5770" t="s">
        <v>48</v>
      </c>
    </row>
    <row r="5771" spans="1:9" x14ac:dyDescent="0.3">
      <c r="A5771" t="s">
        <v>17</v>
      </c>
      <c r="B5771">
        <v>1764000</v>
      </c>
      <c r="C5771">
        <v>108000</v>
      </c>
      <c r="F5771">
        <v>959000</v>
      </c>
      <c r="G5771">
        <v>44407</v>
      </c>
      <c r="H5771">
        <v>2021</v>
      </c>
      <c r="I5771" t="s">
        <v>48</v>
      </c>
    </row>
    <row r="5772" spans="1:9" x14ac:dyDescent="0.3">
      <c r="A5772" t="s">
        <v>0</v>
      </c>
      <c r="C5772">
        <v>324000</v>
      </c>
      <c r="G5772">
        <v>44407</v>
      </c>
      <c r="H5772">
        <v>2021</v>
      </c>
      <c r="I5772" t="s">
        <v>48</v>
      </c>
    </row>
    <row r="5773" spans="1:9" x14ac:dyDescent="0.3">
      <c r="A5773" t="s">
        <v>25</v>
      </c>
      <c r="G5773">
        <v>44407</v>
      </c>
      <c r="H5773">
        <v>2021</v>
      </c>
      <c r="I5773" t="s">
        <v>48</v>
      </c>
    </row>
    <row r="5774" spans="1:9" x14ac:dyDescent="0.3">
      <c r="A5774" t="s">
        <v>15</v>
      </c>
      <c r="G5774">
        <v>44407</v>
      </c>
      <c r="H5774">
        <v>2021</v>
      </c>
      <c r="I5774" t="s">
        <v>48</v>
      </c>
    </row>
    <row r="5775" spans="1:9" x14ac:dyDescent="0.3">
      <c r="A5775" t="s">
        <v>54</v>
      </c>
      <c r="G5775">
        <v>44407</v>
      </c>
      <c r="H5775">
        <v>2021</v>
      </c>
      <c r="I5775" t="s">
        <v>48</v>
      </c>
    </row>
    <row r="5776" spans="1:9" x14ac:dyDescent="0.3">
      <c r="A5776" t="s">
        <v>26</v>
      </c>
      <c r="G5776">
        <v>44407</v>
      </c>
      <c r="H5776">
        <v>2021</v>
      </c>
      <c r="I5776" t="s">
        <v>48</v>
      </c>
    </row>
    <row r="5777" spans="1:9" x14ac:dyDescent="0.3">
      <c r="A5777" t="s">
        <v>22</v>
      </c>
      <c r="G5777">
        <v>44407</v>
      </c>
      <c r="H5777">
        <v>2021</v>
      </c>
      <c r="I5777" t="s">
        <v>48</v>
      </c>
    </row>
    <row r="5778" spans="1:9" x14ac:dyDescent="0.3">
      <c r="A5778" t="s">
        <v>61</v>
      </c>
      <c r="G5778">
        <v>44407</v>
      </c>
      <c r="H5778">
        <v>2021</v>
      </c>
      <c r="I5778" t="s">
        <v>48</v>
      </c>
    </row>
    <row r="5779" spans="1:9" x14ac:dyDescent="0.3">
      <c r="A5779" t="s">
        <v>19</v>
      </c>
      <c r="B5779">
        <v>211500</v>
      </c>
      <c r="G5779">
        <v>44407</v>
      </c>
      <c r="H5779">
        <v>2021</v>
      </c>
      <c r="I5779" t="s">
        <v>48</v>
      </c>
    </row>
    <row r="5780" spans="1:9" x14ac:dyDescent="0.3">
      <c r="A5780" t="s">
        <v>14</v>
      </c>
      <c r="C5780">
        <v>1381500</v>
      </c>
      <c r="G5780">
        <v>44407</v>
      </c>
      <c r="H5780">
        <v>2021</v>
      </c>
      <c r="I5780" t="s">
        <v>48</v>
      </c>
    </row>
    <row r="5781" spans="1:9" x14ac:dyDescent="0.3">
      <c r="A5781" t="s">
        <v>24</v>
      </c>
      <c r="G5781">
        <v>44407</v>
      </c>
      <c r="H5781">
        <v>2021</v>
      </c>
      <c r="I5781" t="s">
        <v>48</v>
      </c>
    </row>
    <row r="5782" spans="1:9" x14ac:dyDescent="0.3">
      <c r="A5782" t="s">
        <v>21</v>
      </c>
      <c r="G5782">
        <v>44407</v>
      </c>
      <c r="H5782">
        <v>2021</v>
      </c>
      <c r="I5782" t="s">
        <v>48</v>
      </c>
    </row>
    <row r="5783" spans="1:9" x14ac:dyDescent="0.3">
      <c r="A5783" t="s">
        <v>18</v>
      </c>
      <c r="C5783">
        <v>108000</v>
      </c>
      <c r="G5783">
        <v>44407</v>
      </c>
      <c r="H5783">
        <v>2021</v>
      </c>
      <c r="I5783" t="s">
        <v>48</v>
      </c>
    </row>
    <row r="5784" spans="1:9" x14ac:dyDescent="0.3">
      <c r="A5784" t="s">
        <v>16</v>
      </c>
      <c r="G5784">
        <v>44407</v>
      </c>
      <c r="H5784">
        <v>2021</v>
      </c>
      <c r="I5784" t="s">
        <v>48</v>
      </c>
    </row>
    <row r="5785" spans="1:9" x14ac:dyDescent="0.3">
      <c r="A5785" t="s">
        <v>20</v>
      </c>
      <c r="G5785">
        <v>44410</v>
      </c>
      <c r="H5785">
        <v>2021</v>
      </c>
      <c r="I5785" t="s">
        <v>49</v>
      </c>
    </row>
    <row r="5786" spans="1:9" x14ac:dyDescent="0.3">
      <c r="A5786" t="s">
        <v>37</v>
      </c>
      <c r="G5786">
        <v>44410</v>
      </c>
      <c r="H5786">
        <v>2021</v>
      </c>
      <c r="I5786" t="s">
        <v>49</v>
      </c>
    </row>
    <row r="5787" spans="1:9" x14ac:dyDescent="0.3">
      <c r="A5787" t="s">
        <v>17</v>
      </c>
      <c r="B5787">
        <v>162000</v>
      </c>
      <c r="G5787">
        <v>44410</v>
      </c>
      <c r="H5787">
        <v>2021</v>
      </c>
      <c r="I5787" t="s">
        <v>49</v>
      </c>
    </row>
    <row r="5788" spans="1:9" x14ac:dyDescent="0.3">
      <c r="A5788" t="s">
        <v>0</v>
      </c>
      <c r="G5788">
        <v>44410</v>
      </c>
      <c r="H5788">
        <v>2021</v>
      </c>
      <c r="I5788" t="s">
        <v>49</v>
      </c>
    </row>
    <row r="5789" spans="1:9" x14ac:dyDescent="0.3">
      <c r="A5789" t="s">
        <v>25</v>
      </c>
      <c r="G5789">
        <v>44410</v>
      </c>
      <c r="H5789">
        <v>2021</v>
      </c>
      <c r="I5789" t="s">
        <v>49</v>
      </c>
    </row>
    <row r="5790" spans="1:9" x14ac:dyDescent="0.3">
      <c r="A5790" t="s">
        <v>15</v>
      </c>
      <c r="G5790">
        <v>44410</v>
      </c>
      <c r="H5790">
        <v>2021</v>
      </c>
      <c r="I5790" t="s">
        <v>49</v>
      </c>
    </row>
    <row r="5791" spans="1:9" x14ac:dyDescent="0.3">
      <c r="A5791" t="s">
        <v>54</v>
      </c>
      <c r="G5791">
        <v>44410</v>
      </c>
      <c r="H5791">
        <v>2021</v>
      </c>
      <c r="I5791" t="s">
        <v>49</v>
      </c>
    </row>
    <row r="5792" spans="1:9" x14ac:dyDescent="0.3">
      <c r="A5792" t="s">
        <v>26</v>
      </c>
      <c r="G5792">
        <v>44410</v>
      </c>
      <c r="H5792">
        <v>2021</v>
      </c>
      <c r="I5792" t="s">
        <v>49</v>
      </c>
    </row>
    <row r="5793" spans="1:9" x14ac:dyDescent="0.3">
      <c r="A5793" t="s">
        <v>22</v>
      </c>
      <c r="G5793">
        <v>44410</v>
      </c>
      <c r="H5793">
        <v>2021</v>
      </c>
      <c r="I5793" t="s">
        <v>49</v>
      </c>
    </row>
    <row r="5794" spans="1:9" x14ac:dyDescent="0.3">
      <c r="A5794" t="s">
        <v>61</v>
      </c>
      <c r="G5794">
        <v>44410</v>
      </c>
      <c r="H5794">
        <v>2021</v>
      </c>
      <c r="I5794" t="s">
        <v>49</v>
      </c>
    </row>
    <row r="5795" spans="1:9" x14ac:dyDescent="0.3">
      <c r="A5795" t="s">
        <v>19</v>
      </c>
      <c r="G5795">
        <v>44410</v>
      </c>
      <c r="H5795">
        <v>2021</v>
      </c>
      <c r="I5795" t="s">
        <v>49</v>
      </c>
    </row>
    <row r="5796" spans="1:9" x14ac:dyDescent="0.3">
      <c r="A5796" t="s">
        <v>14</v>
      </c>
      <c r="C5796">
        <v>324000</v>
      </c>
      <c r="G5796">
        <v>44410</v>
      </c>
      <c r="H5796">
        <v>2021</v>
      </c>
      <c r="I5796" t="s">
        <v>49</v>
      </c>
    </row>
    <row r="5797" spans="1:9" x14ac:dyDescent="0.3">
      <c r="A5797" t="s">
        <v>24</v>
      </c>
      <c r="G5797">
        <v>44410</v>
      </c>
      <c r="H5797">
        <v>2021</v>
      </c>
      <c r="I5797" t="s">
        <v>49</v>
      </c>
    </row>
    <row r="5798" spans="1:9" x14ac:dyDescent="0.3">
      <c r="A5798" t="s">
        <v>21</v>
      </c>
      <c r="G5798">
        <v>44410</v>
      </c>
      <c r="H5798">
        <v>2021</v>
      </c>
      <c r="I5798" t="s">
        <v>49</v>
      </c>
    </row>
    <row r="5799" spans="1:9" x14ac:dyDescent="0.3">
      <c r="A5799" t="s">
        <v>18</v>
      </c>
      <c r="G5799">
        <v>44410</v>
      </c>
      <c r="H5799">
        <v>2021</v>
      </c>
      <c r="I5799" t="s">
        <v>49</v>
      </c>
    </row>
    <row r="5800" spans="1:9" x14ac:dyDescent="0.3">
      <c r="A5800" t="s">
        <v>16</v>
      </c>
      <c r="G5800">
        <v>44410</v>
      </c>
      <c r="H5800">
        <v>2021</v>
      </c>
      <c r="I5800" t="s">
        <v>49</v>
      </c>
    </row>
    <row r="5801" spans="1:9" x14ac:dyDescent="0.3">
      <c r="A5801" t="s">
        <v>20</v>
      </c>
      <c r="G5801">
        <v>44411</v>
      </c>
      <c r="H5801">
        <v>2021</v>
      </c>
      <c r="I5801" t="s">
        <v>49</v>
      </c>
    </row>
    <row r="5802" spans="1:9" x14ac:dyDescent="0.3">
      <c r="A5802" t="s">
        <v>37</v>
      </c>
      <c r="G5802">
        <v>44411</v>
      </c>
      <c r="H5802">
        <v>2021</v>
      </c>
      <c r="I5802" t="s">
        <v>49</v>
      </c>
    </row>
    <row r="5803" spans="1:9" x14ac:dyDescent="0.3">
      <c r="A5803" t="s">
        <v>17</v>
      </c>
      <c r="B5803">
        <v>1674000</v>
      </c>
      <c r="E5803">
        <v>54000</v>
      </c>
      <c r="G5803">
        <v>44411</v>
      </c>
      <c r="H5803">
        <v>2021</v>
      </c>
      <c r="I5803" t="s">
        <v>49</v>
      </c>
    </row>
    <row r="5804" spans="1:9" x14ac:dyDescent="0.3">
      <c r="A5804" t="s">
        <v>0</v>
      </c>
      <c r="E5804">
        <v>540000</v>
      </c>
      <c r="G5804">
        <v>44411</v>
      </c>
      <c r="H5804">
        <v>2021</v>
      </c>
      <c r="I5804" t="s">
        <v>49</v>
      </c>
    </row>
    <row r="5805" spans="1:9" x14ac:dyDescent="0.3">
      <c r="A5805" t="s">
        <v>25</v>
      </c>
      <c r="E5805">
        <v>50000</v>
      </c>
      <c r="G5805">
        <v>44411</v>
      </c>
      <c r="H5805">
        <v>2021</v>
      </c>
      <c r="I5805" t="s">
        <v>49</v>
      </c>
    </row>
    <row r="5806" spans="1:9" x14ac:dyDescent="0.3">
      <c r="A5806" t="s">
        <v>15</v>
      </c>
      <c r="E5806">
        <v>54000</v>
      </c>
      <c r="G5806">
        <v>44411</v>
      </c>
      <c r="H5806">
        <v>2021</v>
      </c>
      <c r="I5806" t="s">
        <v>49</v>
      </c>
    </row>
    <row r="5807" spans="1:9" x14ac:dyDescent="0.3">
      <c r="A5807" t="s">
        <v>54</v>
      </c>
      <c r="G5807">
        <v>44411</v>
      </c>
      <c r="H5807">
        <v>2021</v>
      </c>
      <c r="I5807" t="s">
        <v>49</v>
      </c>
    </row>
    <row r="5808" spans="1:9" x14ac:dyDescent="0.3">
      <c r="A5808" t="s">
        <v>26</v>
      </c>
      <c r="C5808">
        <v>363000</v>
      </c>
      <c r="E5808">
        <v>45000</v>
      </c>
      <c r="G5808">
        <v>44411</v>
      </c>
      <c r="H5808">
        <v>2021</v>
      </c>
      <c r="I5808" t="s">
        <v>49</v>
      </c>
    </row>
    <row r="5809" spans="1:9" x14ac:dyDescent="0.3">
      <c r="A5809" t="s">
        <v>22</v>
      </c>
      <c r="G5809">
        <v>44411</v>
      </c>
      <c r="H5809">
        <v>2021</v>
      </c>
      <c r="I5809" t="s">
        <v>49</v>
      </c>
    </row>
    <row r="5810" spans="1:9" x14ac:dyDescent="0.3">
      <c r="A5810" t="s">
        <v>61</v>
      </c>
      <c r="G5810">
        <v>44411</v>
      </c>
      <c r="H5810">
        <v>2021</v>
      </c>
      <c r="I5810" t="s">
        <v>49</v>
      </c>
    </row>
    <row r="5811" spans="1:9" x14ac:dyDescent="0.3">
      <c r="A5811" t="s">
        <v>19</v>
      </c>
      <c r="B5811">
        <v>54000</v>
      </c>
      <c r="C5811">
        <v>270000</v>
      </c>
      <c r="E5811">
        <v>108000</v>
      </c>
      <c r="G5811">
        <v>44411</v>
      </c>
      <c r="H5811">
        <v>2021</v>
      </c>
      <c r="I5811" t="s">
        <v>49</v>
      </c>
    </row>
    <row r="5812" spans="1:9" x14ac:dyDescent="0.3">
      <c r="A5812" t="s">
        <v>14</v>
      </c>
      <c r="C5812">
        <v>482000</v>
      </c>
      <c r="G5812">
        <v>44411</v>
      </c>
      <c r="H5812">
        <v>2021</v>
      </c>
      <c r="I5812" t="s">
        <v>49</v>
      </c>
    </row>
    <row r="5813" spans="1:9" x14ac:dyDescent="0.3">
      <c r="A5813" t="s">
        <v>24</v>
      </c>
      <c r="G5813">
        <v>44411</v>
      </c>
      <c r="H5813">
        <v>2021</v>
      </c>
      <c r="I5813" t="s">
        <v>49</v>
      </c>
    </row>
    <row r="5814" spans="1:9" x14ac:dyDescent="0.3">
      <c r="A5814" t="s">
        <v>21</v>
      </c>
      <c r="G5814">
        <v>44411</v>
      </c>
      <c r="H5814">
        <v>2021</v>
      </c>
      <c r="I5814" t="s">
        <v>49</v>
      </c>
    </row>
    <row r="5815" spans="1:9" x14ac:dyDescent="0.3">
      <c r="A5815" t="s">
        <v>18</v>
      </c>
      <c r="C5815">
        <v>216000</v>
      </c>
      <c r="G5815">
        <v>44411</v>
      </c>
      <c r="H5815">
        <v>2021</v>
      </c>
      <c r="I5815" t="s">
        <v>49</v>
      </c>
    </row>
    <row r="5816" spans="1:9" x14ac:dyDescent="0.3">
      <c r="A5816" t="s">
        <v>16</v>
      </c>
      <c r="B5816">
        <v>47000</v>
      </c>
      <c r="G5816">
        <v>44411</v>
      </c>
      <c r="H5816">
        <v>2021</v>
      </c>
      <c r="I5816" t="s">
        <v>49</v>
      </c>
    </row>
    <row r="5817" spans="1:9" x14ac:dyDescent="0.3">
      <c r="A5817" t="s">
        <v>20</v>
      </c>
      <c r="G5817">
        <v>44413</v>
      </c>
      <c r="H5817">
        <v>2021</v>
      </c>
      <c r="I5817" t="s">
        <v>49</v>
      </c>
    </row>
    <row r="5818" spans="1:9" x14ac:dyDescent="0.3">
      <c r="A5818" t="s">
        <v>37</v>
      </c>
      <c r="G5818">
        <v>44413</v>
      </c>
      <c r="H5818">
        <v>2021</v>
      </c>
      <c r="I5818" t="s">
        <v>49</v>
      </c>
    </row>
    <row r="5819" spans="1:9" x14ac:dyDescent="0.3">
      <c r="A5819" t="s">
        <v>17</v>
      </c>
      <c r="B5819">
        <v>643500</v>
      </c>
      <c r="G5819">
        <v>44413</v>
      </c>
      <c r="H5819">
        <v>2021</v>
      </c>
      <c r="I5819" t="s">
        <v>49</v>
      </c>
    </row>
    <row r="5820" spans="1:9" x14ac:dyDescent="0.3">
      <c r="A5820" t="s">
        <v>0</v>
      </c>
      <c r="B5820">
        <v>914000</v>
      </c>
      <c r="G5820">
        <v>44413</v>
      </c>
      <c r="H5820">
        <v>2021</v>
      </c>
      <c r="I5820" t="s">
        <v>49</v>
      </c>
    </row>
    <row r="5821" spans="1:9" x14ac:dyDescent="0.3">
      <c r="A5821" t="s">
        <v>25</v>
      </c>
      <c r="G5821">
        <v>44413</v>
      </c>
      <c r="H5821">
        <v>2021</v>
      </c>
      <c r="I5821" t="s">
        <v>49</v>
      </c>
    </row>
    <row r="5822" spans="1:9" x14ac:dyDescent="0.3">
      <c r="A5822" t="s">
        <v>15</v>
      </c>
      <c r="G5822">
        <v>44413</v>
      </c>
      <c r="H5822">
        <v>2021</v>
      </c>
      <c r="I5822" t="s">
        <v>49</v>
      </c>
    </row>
    <row r="5823" spans="1:9" x14ac:dyDescent="0.3">
      <c r="A5823" t="s">
        <v>54</v>
      </c>
      <c r="G5823">
        <v>44413</v>
      </c>
      <c r="H5823">
        <v>2021</v>
      </c>
      <c r="I5823" t="s">
        <v>49</v>
      </c>
    </row>
    <row r="5824" spans="1:9" x14ac:dyDescent="0.3">
      <c r="A5824" t="s">
        <v>26</v>
      </c>
      <c r="C5824">
        <v>481500</v>
      </c>
      <c r="G5824">
        <v>44413</v>
      </c>
      <c r="H5824">
        <v>2021</v>
      </c>
      <c r="I5824" t="s">
        <v>49</v>
      </c>
    </row>
    <row r="5825" spans="1:9" x14ac:dyDescent="0.3">
      <c r="A5825" t="s">
        <v>22</v>
      </c>
      <c r="G5825">
        <v>44413</v>
      </c>
      <c r="H5825">
        <v>2021</v>
      </c>
      <c r="I5825" t="s">
        <v>49</v>
      </c>
    </row>
    <row r="5826" spans="1:9" x14ac:dyDescent="0.3">
      <c r="A5826" t="s">
        <v>61</v>
      </c>
      <c r="G5826">
        <v>44413</v>
      </c>
      <c r="H5826">
        <v>2021</v>
      </c>
      <c r="I5826" t="s">
        <v>49</v>
      </c>
    </row>
    <row r="5827" spans="1:9" x14ac:dyDescent="0.3">
      <c r="A5827" t="s">
        <v>19</v>
      </c>
      <c r="C5827">
        <v>481500</v>
      </c>
      <c r="E5827">
        <v>324000</v>
      </c>
      <c r="G5827">
        <v>44413</v>
      </c>
      <c r="H5827">
        <v>2021</v>
      </c>
      <c r="I5827" t="s">
        <v>49</v>
      </c>
    </row>
    <row r="5828" spans="1:9" x14ac:dyDescent="0.3">
      <c r="A5828" t="s">
        <v>14</v>
      </c>
      <c r="C5828">
        <v>207000</v>
      </c>
      <c r="F5828">
        <v>801000</v>
      </c>
      <c r="G5828">
        <v>44413</v>
      </c>
      <c r="H5828">
        <v>2021</v>
      </c>
      <c r="I5828" t="s">
        <v>49</v>
      </c>
    </row>
    <row r="5829" spans="1:9" x14ac:dyDescent="0.3">
      <c r="A5829" t="s">
        <v>24</v>
      </c>
      <c r="G5829">
        <v>44413</v>
      </c>
      <c r="H5829">
        <v>2021</v>
      </c>
      <c r="I5829" t="s">
        <v>49</v>
      </c>
    </row>
    <row r="5830" spans="1:9" x14ac:dyDescent="0.3">
      <c r="A5830" t="s">
        <v>21</v>
      </c>
      <c r="G5830">
        <v>44413</v>
      </c>
      <c r="H5830">
        <v>2021</v>
      </c>
      <c r="I5830" t="s">
        <v>49</v>
      </c>
    </row>
    <row r="5831" spans="1:9" x14ac:dyDescent="0.3">
      <c r="A5831" t="s">
        <v>18</v>
      </c>
      <c r="C5831">
        <v>162000</v>
      </c>
      <c r="G5831">
        <v>44413</v>
      </c>
      <c r="H5831">
        <v>2021</v>
      </c>
      <c r="I5831" t="s">
        <v>49</v>
      </c>
    </row>
    <row r="5832" spans="1:9" x14ac:dyDescent="0.3">
      <c r="A5832" t="s">
        <v>16</v>
      </c>
      <c r="G5832">
        <v>44413</v>
      </c>
      <c r="H5832">
        <v>2021</v>
      </c>
      <c r="I5832" t="s">
        <v>49</v>
      </c>
    </row>
    <row r="5833" spans="1:9" x14ac:dyDescent="0.3">
      <c r="A5833" t="s">
        <v>20</v>
      </c>
      <c r="G5833">
        <v>44414</v>
      </c>
      <c r="H5833">
        <v>2021</v>
      </c>
      <c r="I5833" t="s">
        <v>49</v>
      </c>
    </row>
    <row r="5834" spans="1:9" x14ac:dyDescent="0.3">
      <c r="A5834" t="s">
        <v>37</v>
      </c>
      <c r="G5834">
        <v>44414</v>
      </c>
      <c r="H5834">
        <v>2021</v>
      </c>
      <c r="I5834" t="s">
        <v>49</v>
      </c>
    </row>
    <row r="5835" spans="1:9" x14ac:dyDescent="0.3">
      <c r="A5835" t="s">
        <v>17</v>
      </c>
      <c r="G5835">
        <v>44414</v>
      </c>
      <c r="H5835">
        <v>2021</v>
      </c>
      <c r="I5835" t="s">
        <v>49</v>
      </c>
    </row>
    <row r="5836" spans="1:9" x14ac:dyDescent="0.3">
      <c r="A5836" t="s">
        <v>0</v>
      </c>
      <c r="B5836">
        <v>1656000</v>
      </c>
      <c r="F5836">
        <v>540000</v>
      </c>
      <c r="G5836">
        <v>44414</v>
      </c>
      <c r="H5836">
        <v>2021</v>
      </c>
      <c r="I5836" t="s">
        <v>49</v>
      </c>
    </row>
    <row r="5837" spans="1:9" x14ac:dyDescent="0.3">
      <c r="A5837" t="s">
        <v>25</v>
      </c>
      <c r="G5837">
        <v>44414</v>
      </c>
      <c r="H5837">
        <v>2021</v>
      </c>
      <c r="I5837" t="s">
        <v>49</v>
      </c>
    </row>
    <row r="5838" spans="1:9" x14ac:dyDescent="0.3">
      <c r="A5838" t="s">
        <v>15</v>
      </c>
      <c r="G5838">
        <v>44414</v>
      </c>
      <c r="H5838">
        <v>2021</v>
      </c>
      <c r="I5838" t="s">
        <v>49</v>
      </c>
    </row>
    <row r="5839" spans="1:9" x14ac:dyDescent="0.3">
      <c r="A5839" t="s">
        <v>54</v>
      </c>
      <c r="G5839">
        <v>44414</v>
      </c>
      <c r="H5839">
        <v>2021</v>
      </c>
      <c r="I5839" t="s">
        <v>49</v>
      </c>
    </row>
    <row r="5840" spans="1:9" x14ac:dyDescent="0.3">
      <c r="A5840" t="s">
        <v>26</v>
      </c>
      <c r="C5840">
        <v>162000</v>
      </c>
      <c r="G5840">
        <v>44414</v>
      </c>
      <c r="H5840">
        <v>2021</v>
      </c>
      <c r="I5840" t="s">
        <v>49</v>
      </c>
    </row>
    <row r="5841" spans="1:9" x14ac:dyDescent="0.3">
      <c r="A5841" t="s">
        <v>22</v>
      </c>
      <c r="G5841">
        <v>44414</v>
      </c>
      <c r="H5841">
        <v>2021</v>
      </c>
      <c r="I5841" t="s">
        <v>49</v>
      </c>
    </row>
    <row r="5842" spans="1:9" x14ac:dyDescent="0.3">
      <c r="A5842" t="s">
        <v>61</v>
      </c>
      <c r="G5842">
        <v>44414</v>
      </c>
      <c r="H5842">
        <v>2021</v>
      </c>
      <c r="I5842" t="s">
        <v>49</v>
      </c>
    </row>
    <row r="5843" spans="1:9" x14ac:dyDescent="0.3">
      <c r="A5843" t="s">
        <v>19</v>
      </c>
      <c r="C5843">
        <v>108000</v>
      </c>
      <c r="G5843">
        <v>44414</v>
      </c>
      <c r="H5843">
        <v>2021</v>
      </c>
      <c r="I5843" t="s">
        <v>49</v>
      </c>
    </row>
    <row r="5844" spans="1:9" x14ac:dyDescent="0.3">
      <c r="A5844" t="s">
        <v>14</v>
      </c>
      <c r="C5844">
        <v>53000</v>
      </c>
      <c r="G5844">
        <v>44414</v>
      </c>
      <c r="H5844">
        <v>2021</v>
      </c>
      <c r="I5844" t="s">
        <v>49</v>
      </c>
    </row>
    <row r="5845" spans="1:9" x14ac:dyDescent="0.3">
      <c r="A5845" t="s">
        <v>24</v>
      </c>
      <c r="G5845">
        <v>44414</v>
      </c>
      <c r="H5845">
        <v>2021</v>
      </c>
      <c r="I5845" t="s">
        <v>49</v>
      </c>
    </row>
    <row r="5846" spans="1:9" x14ac:dyDescent="0.3">
      <c r="A5846" t="s">
        <v>21</v>
      </c>
      <c r="G5846">
        <v>44414</v>
      </c>
      <c r="H5846">
        <v>2021</v>
      </c>
      <c r="I5846" t="s">
        <v>49</v>
      </c>
    </row>
    <row r="5847" spans="1:9" x14ac:dyDescent="0.3">
      <c r="A5847" t="s">
        <v>18</v>
      </c>
      <c r="C5847">
        <v>54000</v>
      </c>
      <c r="G5847">
        <v>44414</v>
      </c>
      <c r="H5847">
        <v>2021</v>
      </c>
      <c r="I5847" t="s">
        <v>49</v>
      </c>
    </row>
    <row r="5848" spans="1:9" x14ac:dyDescent="0.3">
      <c r="A5848" t="s">
        <v>16</v>
      </c>
      <c r="G5848">
        <v>44414</v>
      </c>
      <c r="H5848">
        <v>2021</v>
      </c>
      <c r="I5848" t="s">
        <v>49</v>
      </c>
    </row>
    <row r="5849" spans="1:9" x14ac:dyDescent="0.3">
      <c r="A5849" t="s">
        <v>20</v>
      </c>
      <c r="G5849">
        <v>44417</v>
      </c>
      <c r="H5849">
        <v>2021</v>
      </c>
      <c r="I5849" t="s">
        <v>49</v>
      </c>
    </row>
    <row r="5850" spans="1:9" x14ac:dyDescent="0.3">
      <c r="A5850" t="s">
        <v>37</v>
      </c>
      <c r="G5850">
        <v>44417</v>
      </c>
      <c r="H5850">
        <v>2021</v>
      </c>
      <c r="I5850" t="s">
        <v>49</v>
      </c>
    </row>
    <row r="5851" spans="1:9" x14ac:dyDescent="0.3">
      <c r="A5851" t="s">
        <v>17</v>
      </c>
      <c r="B5851">
        <v>378000</v>
      </c>
      <c r="E5851">
        <v>54000</v>
      </c>
      <c r="G5851">
        <v>44417</v>
      </c>
      <c r="H5851">
        <v>2021</v>
      </c>
      <c r="I5851" t="s">
        <v>49</v>
      </c>
    </row>
    <row r="5852" spans="1:9" x14ac:dyDescent="0.3">
      <c r="A5852" t="s">
        <v>0</v>
      </c>
      <c r="B5852">
        <v>909000</v>
      </c>
      <c r="E5852">
        <v>108000</v>
      </c>
      <c r="F5852">
        <v>486000</v>
      </c>
      <c r="G5852">
        <v>44417</v>
      </c>
      <c r="H5852">
        <v>2021</v>
      </c>
      <c r="I5852" t="s">
        <v>49</v>
      </c>
    </row>
    <row r="5853" spans="1:9" x14ac:dyDescent="0.3">
      <c r="A5853" t="s">
        <v>25</v>
      </c>
      <c r="G5853">
        <v>44417</v>
      </c>
      <c r="H5853">
        <v>2021</v>
      </c>
      <c r="I5853" t="s">
        <v>49</v>
      </c>
    </row>
    <row r="5854" spans="1:9" x14ac:dyDescent="0.3">
      <c r="A5854" t="s">
        <v>15</v>
      </c>
      <c r="E5854">
        <v>54000</v>
      </c>
      <c r="G5854">
        <v>44417</v>
      </c>
      <c r="H5854">
        <v>2021</v>
      </c>
      <c r="I5854" t="s">
        <v>49</v>
      </c>
    </row>
    <row r="5855" spans="1:9" x14ac:dyDescent="0.3">
      <c r="A5855" t="s">
        <v>54</v>
      </c>
      <c r="B5855">
        <v>432000</v>
      </c>
      <c r="G5855">
        <v>44417</v>
      </c>
      <c r="H5855">
        <v>2021</v>
      </c>
      <c r="I5855" t="s">
        <v>49</v>
      </c>
    </row>
    <row r="5856" spans="1:9" x14ac:dyDescent="0.3">
      <c r="A5856" t="s">
        <v>26</v>
      </c>
      <c r="G5856">
        <v>44417</v>
      </c>
      <c r="H5856">
        <v>2021</v>
      </c>
      <c r="I5856" t="s">
        <v>49</v>
      </c>
    </row>
    <row r="5857" spans="1:9" x14ac:dyDescent="0.3">
      <c r="A5857" t="s">
        <v>22</v>
      </c>
      <c r="G5857">
        <v>44417</v>
      </c>
      <c r="H5857">
        <v>2021</v>
      </c>
      <c r="I5857" t="s">
        <v>49</v>
      </c>
    </row>
    <row r="5858" spans="1:9" x14ac:dyDescent="0.3">
      <c r="A5858" t="s">
        <v>61</v>
      </c>
      <c r="G5858">
        <v>44417</v>
      </c>
      <c r="H5858">
        <v>2021</v>
      </c>
      <c r="I5858" t="s">
        <v>49</v>
      </c>
    </row>
    <row r="5859" spans="1:9" x14ac:dyDescent="0.3">
      <c r="A5859" t="s">
        <v>19</v>
      </c>
      <c r="C5859">
        <v>94500</v>
      </c>
      <c r="E5859">
        <v>162000</v>
      </c>
      <c r="G5859">
        <v>44417</v>
      </c>
      <c r="H5859">
        <v>2021</v>
      </c>
      <c r="I5859" t="s">
        <v>49</v>
      </c>
    </row>
    <row r="5860" spans="1:9" x14ac:dyDescent="0.3">
      <c r="A5860" t="s">
        <v>14</v>
      </c>
      <c r="E5860">
        <v>54000</v>
      </c>
      <c r="F5860">
        <v>54000</v>
      </c>
      <c r="G5860">
        <v>44417</v>
      </c>
      <c r="H5860">
        <v>2021</v>
      </c>
      <c r="I5860" t="s">
        <v>49</v>
      </c>
    </row>
    <row r="5861" spans="1:9" x14ac:dyDescent="0.3">
      <c r="A5861" t="s">
        <v>24</v>
      </c>
      <c r="G5861">
        <v>44417</v>
      </c>
      <c r="H5861">
        <v>2021</v>
      </c>
      <c r="I5861" t="s">
        <v>49</v>
      </c>
    </row>
    <row r="5862" spans="1:9" x14ac:dyDescent="0.3">
      <c r="A5862" t="s">
        <v>21</v>
      </c>
      <c r="G5862">
        <v>44417</v>
      </c>
      <c r="H5862">
        <v>2021</v>
      </c>
      <c r="I5862" t="s">
        <v>49</v>
      </c>
    </row>
    <row r="5863" spans="1:9" x14ac:dyDescent="0.3">
      <c r="A5863" t="s">
        <v>18</v>
      </c>
      <c r="G5863">
        <v>44417</v>
      </c>
      <c r="H5863">
        <v>2021</v>
      </c>
      <c r="I5863" t="s">
        <v>49</v>
      </c>
    </row>
    <row r="5864" spans="1:9" x14ac:dyDescent="0.3">
      <c r="A5864" t="s">
        <v>16</v>
      </c>
      <c r="B5864">
        <v>47000</v>
      </c>
      <c r="G5864">
        <v>44417</v>
      </c>
      <c r="H5864">
        <v>2021</v>
      </c>
      <c r="I5864" t="s">
        <v>49</v>
      </c>
    </row>
    <row r="5865" spans="1:9" x14ac:dyDescent="0.3">
      <c r="A5865" t="s">
        <v>20</v>
      </c>
      <c r="G5865">
        <v>44418</v>
      </c>
      <c r="H5865">
        <v>2021</v>
      </c>
      <c r="I5865" t="s">
        <v>49</v>
      </c>
    </row>
    <row r="5866" spans="1:9" x14ac:dyDescent="0.3">
      <c r="A5866" t="s">
        <v>37</v>
      </c>
      <c r="G5866">
        <v>44418</v>
      </c>
      <c r="H5866">
        <v>2021</v>
      </c>
      <c r="I5866" t="s">
        <v>49</v>
      </c>
    </row>
    <row r="5867" spans="1:9" x14ac:dyDescent="0.3">
      <c r="A5867" t="s">
        <v>17</v>
      </c>
      <c r="B5867">
        <v>268000</v>
      </c>
      <c r="G5867">
        <v>44418</v>
      </c>
      <c r="H5867">
        <v>2021</v>
      </c>
      <c r="I5867" t="s">
        <v>49</v>
      </c>
    </row>
    <row r="5868" spans="1:9" x14ac:dyDescent="0.3">
      <c r="A5868" t="s">
        <v>0</v>
      </c>
      <c r="B5868">
        <v>972000</v>
      </c>
      <c r="F5868">
        <v>585000</v>
      </c>
      <c r="G5868">
        <v>44418</v>
      </c>
      <c r="H5868">
        <v>2021</v>
      </c>
      <c r="I5868" t="s">
        <v>49</v>
      </c>
    </row>
    <row r="5869" spans="1:9" x14ac:dyDescent="0.3">
      <c r="A5869" t="s">
        <v>25</v>
      </c>
      <c r="G5869">
        <v>44418</v>
      </c>
      <c r="H5869">
        <v>2021</v>
      </c>
      <c r="I5869" t="s">
        <v>49</v>
      </c>
    </row>
    <row r="5870" spans="1:9" x14ac:dyDescent="0.3">
      <c r="A5870" t="s">
        <v>15</v>
      </c>
      <c r="E5870">
        <v>54000</v>
      </c>
      <c r="G5870">
        <v>44418</v>
      </c>
      <c r="H5870">
        <v>2021</v>
      </c>
      <c r="I5870" t="s">
        <v>49</v>
      </c>
    </row>
    <row r="5871" spans="1:9" x14ac:dyDescent="0.3">
      <c r="A5871" t="s">
        <v>54</v>
      </c>
      <c r="B5871">
        <v>216000</v>
      </c>
      <c r="G5871">
        <v>44418</v>
      </c>
      <c r="H5871">
        <v>2021</v>
      </c>
      <c r="I5871" t="s">
        <v>49</v>
      </c>
    </row>
    <row r="5872" spans="1:9" x14ac:dyDescent="0.3">
      <c r="A5872" t="s">
        <v>26</v>
      </c>
      <c r="G5872">
        <v>44418</v>
      </c>
      <c r="H5872">
        <v>2021</v>
      </c>
      <c r="I5872" t="s">
        <v>49</v>
      </c>
    </row>
    <row r="5873" spans="1:9" x14ac:dyDescent="0.3">
      <c r="A5873" t="s">
        <v>22</v>
      </c>
      <c r="G5873">
        <v>44418</v>
      </c>
      <c r="H5873">
        <v>2021</v>
      </c>
      <c r="I5873" t="s">
        <v>49</v>
      </c>
    </row>
    <row r="5874" spans="1:9" x14ac:dyDescent="0.3">
      <c r="A5874" t="s">
        <v>61</v>
      </c>
      <c r="G5874">
        <v>44418</v>
      </c>
      <c r="H5874">
        <v>2021</v>
      </c>
      <c r="I5874" t="s">
        <v>49</v>
      </c>
    </row>
    <row r="5875" spans="1:9" x14ac:dyDescent="0.3">
      <c r="A5875" t="s">
        <v>19</v>
      </c>
      <c r="C5875">
        <v>918000</v>
      </c>
      <c r="G5875">
        <v>44418</v>
      </c>
      <c r="H5875">
        <v>2021</v>
      </c>
      <c r="I5875" t="s">
        <v>49</v>
      </c>
    </row>
    <row r="5876" spans="1:9" x14ac:dyDescent="0.3">
      <c r="A5876" t="s">
        <v>14</v>
      </c>
      <c r="E5876">
        <v>54000</v>
      </c>
      <c r="G5876">
        <v>44418</v>
      </c>
      <c r="H5876">
        <v>2021</v>
      </c>
      <c r="I5876" t="s">
        <v>49</v>
      </c>
    </row>
    <row r="5877" spans="1:9" x14ac:dyDescent="0.3">
      <c r="A5877" t="s">
        <v>24</v>
      </c>
      <c r="G5877">
        <v>44418</v>
      </c>
      <c r="H5877">
        <v>2021</v>
      </c>
      <c r="I5877" t="s">
        <v>49</v>
      </c>
    </row>
    <row r="5878" spans="1:9" x14ac:dyDescent="0.3">
      <c r="A5878" t="s">
        <v>21</v>
      </c>
      <c r="G5878">
        <v>44418</v>
      </c>
      <c r="H5878">
        <v>2021</v>
      </c>
      <c r="I5878" t="s">
        <v>49</v>
      </c>
    </row>
    <row r="5879" spans="1:9" x14ac:dyDescent="0.3">
      <c r="A5879" t="s">
        <v>18</v>
      </c>
      <c r="G5879">
        <v>44418</v>
      </c>
      <c r="H5879">
        <v>2021</v>
      </c>
      <c r="I5879" t="s">
        <v>49</v>
      </c>
    </row>
    <row r="5880" spans="1:9" x14ac:dyDescent="0.3">
      <c r="A5880" t="s">
        <v>16</v>
      </c>
      <c r="G5880">
        <v>44418</v>
      </c>
      <c r="H5880">
        <v>2021</v>
      </c>
      <c r="I5880" t="s">
        <v>49</v>
      </c>
    </row>
    <row r="5881" spans="1:9" x14ac:dyDescent="0.3">
      <c r="A5881" t="s">
        <v>20</v>
      </c>
      <c r="G5881">
        <v>44419</v>
      </c>
      <c r="H5881">
        <v>2021</v>
      </c>
      <c r="I5881" t="s">
        <v>49</v>
      </c>
    </row>
    <row r="5882" spans="1:9" x14ac:dyDescent="0.3">
      <c r="A5882" t="s">
        <v>37</v>
      </c>
      <c r="G5882">
        <v>44419</v>
      </c>
      <c r="H5882">
        <v>2021</v>
      </c>
      <c r="I5882" t="s">
        <v>49</v>
      </c>
    </row>
    <row r="5883" spans="1:9" x14ac:dyDescent="0.3">
      <c r="A5883" t="s">
        <v>17</v>
      </c>
      <c r="B5883">
        <v>162000</v>
      </c>
      <c r="G5883">
        <v>44419</v>
      </c>
      <c r="H5883">
        <v>2021</v>
      </c>
      <c r="I5883" t="s">
        <v>49</v>
      </c>
    </row>
    <row r="5884" spans="1:9" x14ac:dyDescent="0.3">
      <c r="A5884" t="s">
        <v>0</v>
      </c>
      <c r="B5884">
        <v>648000</v>
      </c>
      <c r="F5884">
        <v>378000</v>
      </c>
      <c r="G5884">
        <v>44419</v>
      </c>
      <c r="H5884">
        <v>2021</v>
      </c>
      <c r="I5884" t="s">
        <v>49</v>
      </c>
    </row>
    <row r="5885" spans="1:9" x14ac:dyDescent="0.3">
      <c r="A5885" t="s">
        <v>25</v>
      </c>
      <c r="G5885">
        <v>44419</v>
      </c>
      <c r="H5885">
        <v>2021</v>
      </c>
      <c r="I5885" t="s">
        <v>49</v>
      </c>
    </row>
    <row r="5886" spans="1:9" x14ac:dyDescent="0.3">
      <c r="A5886" t="s">
        <v>15</v>
      </c>
      <c r="C5886">
        <v>162000</v>
      </c>
      <c r="G5886">
        <v>44419</v>
      </c>
      <c r="H5886">
        <v>2021</v>
      </c>
      <c r="I5886" t="s">
        <v>49</v>
      </c>
    </row>
    <row r="5887" spans="1:9" x14ac:dyDescent="0.3">
      <c r="A5887" t="s">
        <v>54</v>
      </c>
      <c r="B5887">
        <v>324000</v>
      </c>
      <c r="G5887">
        <v>44419</v>
      </c>
      <c r="H5887">
        <v>2021</v>
      </c>
      <c r="I5887" t="s">
        <v>49</v>
      </c>
    </row>
    <row r="5888" spans="1:9" x14ac:dyDescent="0.3">
      <c r="A5888" t="s">
        <v>26</v>
      </c>
      <c r="G5888">
        <v>44419</v>
      </c>
      <c r="H5888">
        <v>2021</v>
      </c>
      <c r="I5888" t="s">
        <v>49</v>
      </c>
    </row>
    <row r="5889" spans="1:9" x14ac:dyDescent="0.3">
      <c r="A5889" t="s">
        <v>22</v>
      </c>
      <c r="G5889">
        <v>44419</v>
      </c>
      <c r="H5889">
        <v>2021</v>
      </c>
      <c r="I5889" t="s">
        <v>49</v>
      </c>
    </row>
    <row r="5890" spans="1:9" x14ac:dyDescent="0.3">
      <c r="A5890" t="s">
        <v>61</v>
      </c>
      <c r="G5890">
        <v>44419</v>
      </c>
      <c r="H5890">
        <v>2021</v>
      </c>
      <c r="I5890" t="s">
        <v>49</v>
      </c>
    </row>
    <row r="5891" spans="1:9" x14ac:dyDescent="0.3">
      <c r="A5891" t="s">
        <v>19</v>
      </c>
      <c r="G5891">
        <v>44419</v>
      </c>
      <c r="H5891">
        <v>2021</v>
      </c>
      <c r="I5891" t="s">
        <v>49</v>
      </c>
    </row>
    <row r="5892" spans="1:9" x14ac:dyDescent="0.3">
      <c r="A5892" t="s">
        <v>14</v>
      </c>
      <c r="G5892">
        <v>44419</v>
      </c>
      <c r="H5892">
        <v>2021</v>
      </c>
      <c r="I5892" t="s">
        <v>49</v>
      </c>
    </row>
    <row r="5893" spans="1:9" x14ac:dyDescent="0.3">
      <c r="A5893" t="s">
        <v>24</v>
      </c>
      <c r="G5893">
        <v>44419</v>
      </c>
      <c r="H5893">
        <v>2021</v>
      </c>
      <c r="I5893" t="s">
        <v>49</v>
      </c>
    </row>
    <row r="5894" spans="1:9" x14ac:dyDescent="0.3">
      <c r="A5894" t="s">
        <v>21</v>
      </c>
      <c r="G5894">
        <v>44419</v>
      </c>
      <c r="H5894">
        <v>2021</v>
      </c>
      <c r="I5894" t="s">
        <v>49</v>
      </c>
    </row>
    <row r="5895" spans="1:9" x14ac:dyDescent="0.3">
      <c r="A5895" t="s">
        <v>18</v>
      </c>
      <c r="B5895">
        <v>310500</v>
      </c>
      <c r="D5895">
        <v>324000</v>
      </c>
      <c r="G5895">
        <v>44419</v>
      </c>
      <c r="H5895">
        <v>2021</v>
      </c>
      <c r="I5895" t="s">
        <v>49</v>
      </c>
    </row>
    <row r="5896" spans="1:9" x14ac:dyDescent="0.3">
      <c r="A5896" t="s">
        <v>16</v>
      </c>
      <c r="B5896">
        <v>216000</v>
      </c>
      <c r="F5896">
        <v>270000</v>
      </c>
      <c r="G5896">
        <v>44419</v>
      </c>
      <c r="H5896">
        <v>2021</v>
      </c>
      <c r="I5896" t="s">
        <v>49</v>
      </c>
    </row>
    <row r="5897" spans="1:9" x14ac:dyDescent="0.3">
      <c r="A5897" t="s">
        <v>20</v>
      </c>
      <c r="G5897">
        <v>44420</v>
      </c>
      <c r="H5897">
        <v>2021</v>
      </c>
      <c r="I5897" t="s">
        <v>49</v>
      </c>
    </row>
    <row r="5898" spans="1:9" x14ac:dyDescent="0.3">
      <c r="A5898" t="s">
        <v>37</v>
      </c>
      <c r="G5898">
        <v>44420</v>
      </c>
      <c r="H5898">
        <v>2021</v>
      </c>
      <c r="I5898" t="s">
        <v>49</v>
      </c>
    </row>
    <row r="5899" spans="1:9" x14ac:dyDescent="0.3">
      <c r="A5899" t="s">
        <v>17</v>
      </c>
      <c r="G5899">
        <v>44420</v>
      </c>
      <c r="H5899">
        <v>2021</v>
      </c>
      <c r="I5899" t="s">
        <v>49</v>
      </c>
    </row>
    <row r="5900" spans="1:9" x14ac:dyDescent="0.3">
      <c r="A5900" t="s">
        <v>0</v>
      </c>
      <c r="B5900">
        <v>203000</v>
      </c>
      <c r="F5900">
        <v>270000</v>
      </c>
      <c r="G5900">
        <v>44420</v>
      </c>
      <c r="H5900">
        <v>2021</v>
      </c>
      <c r="I5900" t="s">
        <v>49</v>
      </c>
    </row>
    <row r="5901" spans="1:9" x14ac:dyDescent="0.3">
      <c r="A5901" t="s">
        <v>25</v>
      </c>
      <c r="G5901">
        <v>44420</v>
      </c>
      <c r="H5901">
        <v>2021</v>
      </c>
      <c r="I5901" t="s">
        <v>49</v>
      </c>
    </row>
    <row r="5902" spans="1:9" x14ac:dyDescent="0.3">
      <c r="A5902" t="s">
        <v>15</v>
      </c>
      <c r="C5902">
        <v>1453500</v>
      </c>
      <c r="G5902">
        <v>44420</v>
      </c>
      <c r="H5902">
        <v>2021</v>
      </c>
      <c r="I5902" t="s">
        <v>49</v>
      </c>
    </row>
    <row r="5903" spans="1:9" x14ac:dyDescent="0.3">
      <c r="A5903" t="s">
        <v>54</v>
      </c>
      <c r="B5903">
        <v>594000</v>
      </c>
      <c r="G5903">
        <v>44420</v>
      </c>
      <c r="H5903">
        <v>2021</v>
      </c>
      <c r="I5903" t="s">
        <v>49</v>
      </c>
    </row>
    <row r="5904" spans="1:9" x14ac:dyDescent="0.3">
      <c r="A5904" t="s">
        <v>26</v>
      </c>
      <c r="C5904">
        <v>45000</v>
      </c>
      <c r="G5904">
        <v>44420</v>
      </c>
      <c r="H5904">
        <v>2021</v>
      </c>
      <c r="I5904" t="s">
        <v>49</v>
      </c>
    </row>
    <row r="5905" spans="1:9" x14ac:dyDescent="0.3">
      <c r="A5905" t="s">
        <v>22</v>
      </c>
      <c r="G5905">
        <v>44420</v>
      </c>
      <c r="H5905">
        <v>2021</v>
      </c>
      <c r="I5905" t="s">
        <v>49</v>
      </c>
    </row>
    <row r="5906" spans="1:9" x14ac:dyDescent="0.3">
      <c r="A5906" t="s">
        <v>61</v>
      </c>
      <c r="G5906">
        <v>44420</v>
      </c>
      <c r="H5906">
        <v>2021</v>
      </c>
      <c r="I5906" t="s">
        <v>49</v>
      </c>
    </row>
    <row r="5907" spans="1:9" x14ac:dyDescent="0.3">
      <c r="A5907" t="s">
        <v>19</v>
      </c>
      <c r="C5907">
        <v>45000</v>
      </c>
      <c r="G5907">
        <v>44420</v>
      </c>
      <c r="H5907">
        <v>2021</v>
      </c>
      <c r="I5907" t="s">
        <v>49</v>
      </c>
    </row>
    <row r="5908" spans="1:9" x14ac:dyDescent="0.3">
      <c r="A5908" t="s">
        <v>14</v>
      </c>
      <c r="C5908">
        <v>45000</v>
      </c>
      <c r="G5908">
        <v>44420</v>
      </c>
      <c r="H5908">
        <v>2021</v>
      </c>
      <c r="I5908" t="s">
        <v>49</v>
      </c>
    </row>
    <row r="5909" spans="1:9" x14ac:dyDescent="0.3">
      <c r="A5909" t="s">
        <v>24</v>
      </c>
      <c r="G5909">
        <v>44420</v>
      </c>
      <c r="H5909">
        <v>2021</v>
      </c>
      <c r="I5909" t="s">
        <v>49</v>
      </c>
    </row>
    <row r="5910" spans="1:9" x14ac:dyDescent="0.3">
      <c r="A5910" t="s">
        <v>21</v>
      </c>
      <c r="G5910">
        <v>44420</v>
      </c>
      <c r="H5910">
        <v>2021</v>
      </c>
      <c r="I5910" t="s">
        <v>49</v>
      </c>
    </row>
    <row r="5911" spans="1:9" x14ac:dyDescent="0.3">
      <c r="A5911" t="s">
        <v>18</v>
      </c>
      <c r="B5911">
        <v>486000</v>
      </c>
      <c r="G5911">
        <v>44420</v>
      </c>
      <c r="H5911">
        <v>2021</v>
      </c>
      <c r="I5911" t="s">
        <v>49</v>
      </c>
    </row>
    <row r="5912" spans="1:9" x14ac:dyDescent="0.3">
      <c r="A5912" t="s">
        <v>16</v>
      </c>
      <c r="B5912">
        <v>378000</v>
      </c>
      <c r="F5912">
        <v>270000</v>
      </c>
      <c r="G5912">
        <v>44420</v>
      </c>
      <c r="H5912">
        <v>2021</v>
      </c>
      <c r="I5912" t="s">
        <v>49</v>
      </c>
    </row>
    <row r="5913" spans="1:9" x14ac:dyDescent="0.3">
      <c r="A5913" t="s">
        <v>20</v>
      </c>
      <c r="G5913">
        <v>44421</v>
      </c>
      <c r="H5913">
        <v>2021</v>
      </c>
      <c r="I5913" t="s">
        <v>49</v>
      </c>
    </row>
    <row r="5914" spans="1:9" x14ac:dyDescent="0.3">
      <c r="A5914" t="s">
        <v>37</v>
      </c>
      <c r="G5914">
        <v>44421</v>
      </c>
      <c r="H5914">
        <v>2021</v>
      </c>
      <c r="I5914" t="s">
        <v>49</v>
      </c>
    </row>
    <row r="5915" spans="1:9" x14ac:dyDescent="0.3">
      <c r="A5915" t="s">
        <v>17</v>
      </c>
      <c r="F5915">
        <v>270000</v>
      </c>
      <c r="G5915">
        <v>44421</v>
      </c>
      <c r="H5915">
        <v>2021</v>
      </c>
      <c r="I5915" t="s">
        <v>49</v>
      </c>
    </row>
    <row r="5916" spans="1:9" x14ac:dyDescent="0.3">
      <c r="A5916" t="s">
        <v>0</v>
      </c>
      <c r="B5916">
        <v>108000</v>
      </c>
      <c r="G5916">
        <v>44421</v>
      </c>
      <c r="H5916">
        <v>2021</v>
      </c>
      <c r="I5916" t="s">
        <v>49</v>
      </c>
    </row>
    <row r="5917" spans="1:9" x14ac:dyDescent="0.3">
      <c r="A5917" t="s">
        <v>25</v>
      </c>
      <c r="B5917">
        <v>864000</v>
      </c>
      <c r="C5917">
        <v>801000</v>
      </c>
      <c r="F5917">
        <v>270000</v>
      </c>
      <c r="G5917">
        <v>44421</v>
      </c>
      <c r="H5917">
        <v>2021</v>
      </c>
      <c r="I5917" t="s">
        <v>49</v>
      </c>
    </row>
    <row r="5918" spans="1:9" x14ac:dyDescent="0.3">
      <c r="A5918" t="s">
        <v>15</v>
      </c>
      <c r="C5918">
        <v>324000</v>
      </c>
      <c r="G5918">
        <v>44421</v>
      </c>
      <c r="H5918">
        <v>2021</v>
      </c>
      <c r="I5918" t="s">
        <v>49</v>
      </c>
    </row>
    <row r="5919" spans="1:9" x14ac:dyDescent="0.3">
      <c r="A5919" t="s">
        <v>54</v>
      </c>
      <c r="B5919">
        <v>108000</v>
      </c>
      <c r="G5919">
        <v>44421</v>
      </c>
      <c r="H5919">
        <v>2021</v>
      </c>
      <c r="I5919" t="s">
        <v>49</v>
      </c>
    </row>
    <row r="5920" spans="1:9" x14ac:dyDescent="0.3">
      <c r="A5920" t="s">
        <v>26</v>
      </c>
      <c r="G5920">
        <v>44421</v>
      </c>
      <c r="H5920">
        <v>2021</v>
      </c>
      <c r="I5920" t="s">
        <v>49</v>
      </c>
    </row>
    <row r="5921" spans="1:9" x14ac:dyDescent="0.3">
      <c r="A5921" t="s">
        <v>22</v>
      </c>
      <c r="G5921">
        <v>44421</v>
      </c>
      <c r="H5921">
        <v>2021</v>
      </c>
      <c r="I5921" t="s">
        <v>49</v>
      </c>
    </row>
    <row r="5922" spans="1:9" x14ac:dyDescent="0.3">
      <c r="A5922" t="s">
        <v>61</v>
      </c>
      <c r="G5922">
        <v>44421</v>
      </c>
      <c r="H5922">
        <v>2021</v>
      </c>
      <c r="I5922" t="s">
        <v>49</v>
      </c>
    </row>
    <row r="5923" spans="1:9" x14ac:dyDescent="0.3">
      <c r="A5923" t="s">
        <v>19</v>
      </c>
      <c r="G5923">
        <v>44421</v>
      </c>
      <c r="H5923">
        <v>2021</v>
      </c>
      <c r="I5923" t="s">
        <v>49</v>
      </c>
    </row>
    <row r="5924" spans="1:9" x14ac:dyDescent="0.3">
      <c r="A5924" t="s">
        <v>14</v>
      </c>
      <c r="G5924">
        <v>44421</v>
      </c>
      <c r="H5924">
        <v>2021</v>
      </c>
      <c r="I5924" t="s">
        <v>49</v>
      </c>
    </row>
    <row r="5925" spans="1:9" x14ac:dyDescent="0.3">
      <c r="A5925" t="s">
        <v>24</v>
      </c>
      <c r="G5925">
        <v>44421</v>
      </c>
      <c r="H5925">
        <v>2021</v>
      </c>
      <c r="I5925" t="s">
        <v>49</v>
      </c>
    </row>
    <row r="5926" spans="1:9" x14ac:dyDescent="0.3">
      <c r="A5926" t="s">
        <v>21</v>
      </c>
      <c r="G5926">
        <v>44421</v>
      </c>
      <c r="H5926">
        <v>2021</v>
      </c>
      <c r="I5926" t="s">
        <v>49</v>
      </c>
    </row>
    <row r="5927" spans="1:9" x14ac:dyDescent="0.3">
      <c r="A5927" t="s">
        <v>18</v>
      </c>
      <c r="B5927">
        <v>378000</v>
      </c>
      <c r="G5927">
        <v>44421</v>
      </c>
      <c r="H5927">
        <v>2021</v>
      </c>
      <c r="I5927" t="s">
        <v>49</v>
      </c>
    </row>
    <row r="5928" spans="1:9" x14ac:dyDescent="0.3">
      <c r="A5928" t="s">
        <v>16</v>
      </c>
      <c r="G5928">
        <v>44421</v>
      </c>
      <c r="H5928">
        <v>2021</v>
      </c>
      <c r="I5928" t="s">
        <v>49</v>
      </c>
    </row>
    <row r="5929" spans="1:9" x14ac:dyDescent="0.3">
      <c r="A5929" t="s">
        <v>20</v>
      </c>
      <c r="G5929">
        <v>44424</v>
      </c>
      <c r="H5929">
        <v>2021</v>
      </c>
      <c r="I5929" t="s">
        <v>49</v>
      </c>
    </row>
    <row r="5930" spans="1:9" x14ac:dyDescent="0.3">
      <c r="A5930" t="s">
        <v>37</v>
      </c>
      <c r="G5930">
        <v>44424</v>
      </c>
      <c r="H5930">
        <v>2021</v>
      </c>
      <c r="I5930" t="s">
        <v>49</v>
      </c>
    </row>
    <row r="5931" spans="1:9" x14ac:dyDescent="0.3">
      <c r="A5931" t="s">
        <v>17</v>
      </c>
      <c r="F5931">
        <v>324000</v>
      </c>
      <c r="G5931">
        <v>44424</v>
      </c>
      <c r="H5931">
        <v>2021</v>
      </c>
      <c r="I5931" t="s">
        <v>49</v>
      </c>
    </row>
    <row r="5932" spans="1:9" x14ac:dyDescent="0.3">
      <c r="A5932" t="s">
        <v>0</v>
      </c>
      <c r="F5932">
        <v>45000</v>
      </c>
      <c r="G5932">
        <v>44424</v>
      </c>
      <c r="H5932">
        <v>2021</v>
      </c>
      <c r="I5932" t="s">
        <v>49</v>
      </c>
    </row>
    <row r="5933" spans="1:9" x14ac:dyDescent="0.3">
      <c r="A5933" t="s">
        <v>25</v>
      </c>
      <c r="C5933">
        <v>1184000</v>
      </c>
      <c r="G5933">
        <v>44424</v>
      </c>
      <c r="H5933">
        <v>2021</v>
      </c>
      <c r="I5933" t="s">
        <v>49</v>
      </c>
    </row>
    <row r="5934" spans="1:9" x14ac:dyDescent="0.3">
      <c r="A5934" t="s">
        <v>15</v>
      </c>
      <c r="C5934">
        <v>210000</v>
      </c>
      <c r="G5934">
        <v>44424</v>
      </c>
      <c r="H5934">
        <v>2021</v>
      </c>
      <c r="I5934" t="s">
        <v>49</v>
      </c>
    </row>
    <row r="5935" spans="1:9" x14ac:dyDescent="0.3">
      <c r="A5935" t="s">
        <v>54</v>
      </c>
      <c r="G5935">
        <v>44424</v>
      </c>
      <c r="H5935">
        <v>2021</v>
      </c>
      <c r="I5935" t="s">
        <v>49</v>
      </c>
    </row>
    <row r="5936" spans="1:9" x14ac:dyDescent="0.3">
      <c r="A5936" t="s">
        <v>26</v>
      </c>
      <c r="G5936">
        <v>44424</v>
      </c>
      <c r="H5936">
        <v>2021</v>
      </c>
      <c r="I5936" t="s">
        <v>49</v>
      </c>
    </row>
    <row r="5937" spans="1:9" x14ac:dyDescent="0.3">
      <c r="A5937" t="s">
        <v>22</v>
      </c>
      <c r="G5937">
        <v>44424</v>
      </c>
      <c r="H5937">
        <v>2021</v>
      </c>
      <c r="I5937" t="s">
        <v>49</v>
      </c>
    </row>
    <row r="5938" spans="1:9" x14ac:dyDescent="0.3">
      <c r="A5938" t="s">
        <v>61</v>
      </c>
      <c r="G5938">
        <v>44424</v>
      </c>
      <c r="H5938">
        <v>2021</v>
      </c>
      <c r="I5938" t="s">
        <v>49</v>
      </c>
    </row>
    <row r="5939" spans="1:9" x14ac:dyDescent="0.3">
      <c r="A5939" t="s">
        <v>19</v>
      </c>
      <c r="B5939">
        <v>180000</v>
      </c>
      <c r="G5939">
        <v>44424</v>
      </c>
      <c r="H5939">
        <v>2021</v>
      </c>
      <c r="I5939" t="s">
        <v>49</v>
      </c>
    </row>
    <row r="5940" spans="1:9" x14ac:dyDescent="0.3">
      <c r="A5940" t="s">
        <v>14</v>
      </c>
      <c r="G5940">
        <v>44424</v>
      </c>
      <c r="H5940">
        <v>2021</v>
      </c>
      <c r="I5940" t="s">
        <v>49</v>
      </c>
    </row>
    <row r="5941" spans="1:9" x14ac:dyDescent="0.3">
      <c r="A5941" t="s">
        <v>24</v>
      </c>
      <c r="G5941">
        <v>44424</v>
      </c>
      <c r="H5941">
        <v>2021</v>
      </c>
      <c r="I5941" t="s">
        <v>49</v>
      </c>
    </row>
    <row r="5942" spans="1:9" x14ac:dyDescent="0.3">
      <c r="A5942" t="s">
        <v>21</v>
      </c>
      <c r="G5942">
        <v>44424</v>
      </c>
      <c r="H5942">
        <v>2021</v>
      </c>
      <c r="I5942" t="s">
        <v>49</v>
      </c>
    </row>
    <row r="5943" spans="1:9" x14ac:dyDescent="0.3">
      <c r="A5943" t="s">
        <v>18</v>
      </c>
      <c r="B5943">
        <v>162000</v>
      </c>
      <c r="G5943">
        <v>44424</v>
      </c>
      <c r="H5943">
        <v>2021</v>
      </c>
      <c r="I5943" t="s">
        <v>49</v>
      </c>
    </row>
    <row r="5944" spans="1:9" x14ac:dyDescent="0.3">
      <c r="A5944" t="s">
        <v>16</v>
      </c>
      <c r="B5944">
        <v>45000</v>
      </c>
      <c r="F5944">
        <v>162000</v>
      </c>
      <c r="G5944">
        <v>44424</v>
      </c>
      <c r="H5944">
        <v>2021</v>
      </c>
      <c r="I5944" t="s">
        <v>49</v>
      </c>
    </row>
    <row r="5945" spans="1:9" x14ac:dyDescent="0.3">
      <c r="A5945" t="s">
        <v>20</v>
      </c>
      <c r="G5945">
        <v>44425</v>
      </c>
      <c r="H5945">
        <v>2021</v>
      </c>
      <c r="I5945" t="s">
        <v>49</v>
      </c>
    </row>
    <row r="5946" spans="1:9" x14ac:dyDescent="0.3">
      <c r="A5946" t="s">
        <v>37</v>
      </c>
      <c r="G5946">
        <v>44425</v>
      </c>
      <c r="H5946">
        <v>2021</v>
      </c>
      <c r="I5946" t="s">
        <v>49</v>
      </c>
    </row>
    <row r="5947" spans="1:9" x14ac:dyDescent="0.3">
      <c r="A5947" t="s">
        <v>17</v>
      </c>
      <c r="E5947">
        <v>54000</v>
      </c>
      <c r="F5947">
        <v>108000</v>
      </c>
      <c r="G5947">
        <v>44425</v>
      </c>
      <c r="H5947">
        <v>2021</v>
      </c>
      <c r="I5947" t="s">
        <v>49</v>
      </c>
    </row>
    <row r="5948" spans="1:9" x14ac:dyDescent="0.3">
      <c r="A5948" t="s">
        <v>0</v>
      </c>
      <c r="E5948">
        <v>162000</v>
      </c>
      <c r="F5948">
        <v>95000</v>
      </c>
      <c r="G5948">
        <v>44425</v>
      </c>
      <c r="H5948">
        <v>2021</v>
      </c>
      <c r="I5948" t="s">
        <v>49</v>
      </c>
    </row>
    <row r="5949" spans="1:9" x14ac:dyDescent="0.3">
      <c r="A5949" t="s">
        <v>25</v>
      </c>
      <c r="B5949">
        <v>45000</v>
      </c>
      <c r="C5949">
        <v>1013000</v>
      </c>
      <c r="F5949">
        <v>95000</v>
      </c>
      <c r="G5949">
        <v>44425</v>
      </c>
      <c r="H5949">
        <v>2021</v>
      </c>
      <c r="I5949" t="s">
        <v>49</v>
      </c>
    </row>
    <row r="5950" spans="1:9" x14ac:dyDescent="0.3">
      <c r="A5950" t="s">
        <v>15</v>
      </c>
      <c r="G5950">
        <v>44425</v>
      </c>
      <c r="H5950">
        <v>2021</v>
      </c>
      <c r="I5950" t="s">
        <v>49</v>
      </c>
    </row>
    <row r="5951" spans="1:9" x14ac:dyDescent="0.3">
      <c r="A5951" t="s">
        <v>54</v>
      </c>
      <c r="C5951">
        <v>370000</v>
      </c>
      <c r="G5951">
        <v>44425</v>
      </c>
      <c r="H5951">
        <v>2021</v>
      </c>
      <c r="I5951" t="s">
        <v>49</v>
      </c>
    </row>
    <row r="5952" spans="1:9" x14ac:dyDescent="0.3">
      <c r="A5952" t="s">
        <v>26</v>
      </c>
      <c r="G5952">
        <v>44425</v>
      </c>
      <c r="H5952">
        <v>2021</v>
      </c>
      <c r="I5952" t="s">
        <v>49</v>
      </c>
    </row>
    <row r="5953" spans="1:9" x14ac:dyDescent="0.3">
      <c r="A5953" t="s">
        <v>22</v>
      </c>
      <c r="G5953">
        <v>44425</v>
      </c>
      <c r="H5953">
        <v>2021</v>
      </c>
      <c r="I5953" t="s">
        <v>49</v>
      </c>
    </row>
    <row r="5954" spans="1:9" x14ac:dyDescent="0.3">
      <c r="A5954" t="s">
        <v>61</v>
      </c>
      <c r="G5954">
        <v>44425</v>
      </c>
      <c r="H5954">
        <v>2021</v>
      </c>
      <c r="I5954" t="s">
        <v>49</v>
      </c>
    </row>
    <row r="5955" spans="1:9" x14ac:dyDescent="0.3">
      <c r="A5955" t="s">
        <v>19</v>
      </c>
      <c r="B5955">
        <v>643500</v>
      </c>
      <c r="D5955">
        <v>481500</v>
      </c>
      <c r="F5955">
        <v>54000</v>
      </c>
      <c r="G5955">
        <v>44425</v>
      </c>
      <c r="H5955">
        <v>2021</v>
      </c>
      <c r="I5955" t="s">
        <v>49</v>
      </c>
    </row>
    <row r="5956" spans="1:9" x14ac:dyDescent="0.3">
      <c r="A5956" t="s">
        <v>14</v>
      </c>
      <c r="E5956">
        <v>54000</v>
      </c>
      <c r="F5956">
        <v>50000</v>
      </c>
      <c r="G5956">
        <v>44425</v>
      </c>
      <c r="H5956">
        <v>2021</v>
      </c>
      <c r="I5956" t="s">
        <v>49</v>
      </c>
    </row>
    <row r="5957" spans="1:9" x14ac:dyDescent="0.3">
      <c r="A5957" t="s">
        <v>24</v>
      </c>
      <c r="G5957">
        <v>44425</v>
      </c>
      <c r="H5957">
        <v>2021</v>
      </c>
      <c r="I5957" t="s">
        <v>49</v>
      </c>
    </row>
    <row r="5958" spans="1:9" x14ac:dyDescent="0.3">
      <c r="A5958" t="s">
        <v>21</v>
      </c>
      <c r="G5958">
        <v>44425</v>
      </c>
      <c r="H5958">
        <v>2021</v>
      </c>
      <c r="I5958" t="s">
        <v>49</v>
      </c>
    </row>
    <row r="5959" spans="1:9" x14ac:dyDescent="0.3">
      <c r="A5959" t="s">
        <v>18</v>
      </c>
      <c r="G5959">
        <v>44425</v>
      </c>
      <c r="H5959">
        <v>2021</v>
      </c>
      <c r="I5959" t="s">
        <v>49</v>
      </c>
    </row>
    <row r="5960" spans="1:9" x14ac:dyDescent="0.3">
      <c r="A5960" t="s">
        <v>16</v>
      </c>
      <c r="F5960">
        <v>108000</v>
      </c>
      <c r="G5960">
        <v>44425</v>
      </c>
      <c r="H5960">
        <v>2021</v>
      </c>
      <c r="I5960" t="s">
        <v>49</v>
      </c>
    </row>
    <row r="5961" spans="1:9" x14ac:dyDescent="0.3">
      <c r="A5961" t="s">
        <v>20</v>
      </c>
      <c r="G5961">
        <v>44426</v>
      </c>
      <c r="H5961">
        <v>2021</v>
      </c>
      <c r="I5961" t="s">
        <v>49</v>
      </c>
    </row>
    <row r="5962" spans="1:9" x14ac:dyDescent="0.3">
      <c r="A5962" t="s">
        <v>37</v>
      </c>
      <c r="G5962">
        <v>44426</v>
      </c>
      <c r="H5962">
        <v>2021</v>
      </c>
      <c r="I5962" t="s">
        <v>49</v>
      </c>
    </row>
    <row r="5963" spans="1:9" x14ac:dyDescent="0.3">
      <c r="A5963" t="s">
        <v>17</v>
      </c>
      <c r="E5963">
        <v>108000</v>
      </c>
      <c r="F5963">
        <v>45000</v>
      </c>
      <c r="G5963">
        <v>44426</v>
      </c>
      <c r="H5963">
        <v>2021</v>
      </c>
      <c r="I5963" t="s">
        <v>49</v>
      </c>
    </row>
    <row r="5964" spans="1:9" x14ac:dyDescent="0.3">
      <c r="A5964" t="s">
        <v>0</v>
      </c>
      <c r="E5964">
        <v>162000</v>
      </c>
      <c r="G5964">
        <v>44426</v>
      </c>
      <c r="H5964">
        <v>2021</v>
      </c>
      <c r="I5964" t="s">
        <v>49</v>
      </c>
    </row>
    <row r="5965" spans="1:9" x14ac:dyDescent="0.3">
      <c r="A5965" t="s">
        <v>25</v>
      </c>
      <c r="B5965">
        <v>45000</v>
      </c>
      <c r="F5965">
        <v>135000</v>
      </c>
      <c r="G5965">
        <v>44426</v>
      </c>
      <c r="H5965">
        <v>2021</v>
      </c>
      <c r="I5965" t="s">
        <v>49</v>
      </c>
    </row>
    <row r="5966" spans="1:9" x14ac:dyDescent="0.3">
      <c r="A5966" t="s">
        <v>15</v>
      </c>
      <c r="C5966">
        <v>100000</v>
      </c>
      <c r="E5966">
        <v>108000</v>
      </c>
      <c r="G5966">
        <v>44426</v>
      </c>
      <c r="H5966">
        <v>2021</v>
      </c>
      <c r="I5966" t="s">
        <v>49</v>
      </c>
    </row>
    <row r="5967" spans="1:9" x14ac:dyDescent="0.3">
      <c r="A5967" t="s">
        <v>54</v>
      </c>
      <c r="C5967">
        <v>1022000</v>
      </c>
      <c r="G5967">
        <v>44426</v>
      </c>
      <c r="H5967">
        <v>2021</v>
      </c>
      <c r="I5967" t="s">
        <v>49</v>
      </c>
    </row>
    <row r="5968" spans="1:9" x14ac:dyDescent="0.3">
      <c r="A5968" t="s">
        <v>26</v>
      </c>
      <c r="C5968">
        <v>47000</v>
      </c>
      <c r="G5968">
        <v>44426</v>
      </c>
      <c r="H5968">
        <v>2021</v>
      </c>
      <c r="I5968" t="s">
        <v>49</v>
      </c>
    </row>
    <row r="5969" spans="1:9" x14ac:dyDescent="0.3">
      <c r="A5969" t="s">
        <v>22</v>
      </c>
      <c r="G5969">
        <v>44426</v>
      </c>
      <c r="H5969">
        <v>2021</v>
      </c>
      <c r="I5969" t="s">
        <v>49</v>
      </c>
    </row>
    <row r="5970" spans="1:9" x14ac:dyDescent="0.3">
      <c r="A5970" t="s">
        <v>61</v>
      </c>
      <c r="G5970">
        <v>44426</v>
      </c>
      <c r="H5970">
        <v>2021</v>
      </c>
      <c r="I5970" t="s">
        <v>49</v>
      </c>
    </row>
    <row r="5971" spans="1:9" x14ac:dyDescent="0.3">
      <c r="A5971" t="s">
        <v>19</v>
      </c>
      <c r="B5971">
        <v>324000</v>
      </c>
      <c r="D5971">
        <v>266000</v>
      </c>
      <c r="F5971">
        <v>162000</v>
      </c>
      <c r="G5971">
        <v>44426</v>
      </c>
      <c r="H5971">
        <v>2021</v>
      </c>
      <c r="I5971" t="s">
        <v>49</v>
      </c>
    </row>
    <row r="5972" spans="1:9" x14ac:dyDescent="0.3">
      <c r="A5972" t="s">
        <v>14</v>
      </c>
      <c r="B5972">
        <v>1271000</v>
      </c>
      <c r="D5972">
        <v>216000</v>
      </c>
      <c r="E5972">
        <v>216000</v>
      </c>
      <c r="G5972">
        <v>44426</v>
      </c>
      <c r="H5972">
        <v>2021</v>
      </c>
      <c r="I5972" t="s">
        <v>49</v>
      </c>
    </row>
    <row r="5973" spans="1:9" x14ac:dyDescent="0.3">
      <c r="A5973" t="s">
        <v>24</v>
      </c>
      <c r="G5973">
        <v>44426</v>
      </c>
      <c r="H5973">
        <v>2021</v>
      </c>
      <c r="I5973" t="s">
        <v>49</v>
      </c>
    </row>
    <row r="5974" spans="1:9" x14ac:dyDescent="0.3">
      <c r="A5974" t="s">
        <v>21</v>
      </c>
      <c r="G5974">
        <v>44426</v>
      </c>
      <c r="H5974">
        <v>2021</v>
      </c>
      <c r="I5974" t="s">
        <v>49</v>
      </c>
    </row>
    <row r="5975" spans="1:9" x14ac:dyDescent="0.3">
      <c r="A5975" t="s">
        <v>18</v>
      </c>
      <c r="G5975">
        <v>44426</v>
      </c>
      <c r="H5975">
        <v>2021</v>
      </c>
      <c r="I5975" t="s">
        <v>49</v>
      </c>
    </row>
    <row r="5976" spans="1:9" x14ac:dyDescent="0.3">
      <c r="A5976" t="s">
        <v>16</v>
      </c>
      <c r="G5976">
        <v>44426</v>
      </c>
      <c r="H5976">
        <v>2021</v>
      </c>
      <c r="I5976" t="s">
        <v>49</v>
      </c>
    </row>
    <row r="5977" spans="1:9" x14ac:dyDescent="0.3">
      <c r="A5977" t="s">
        <v>20</v>
      </c>
      <c r="G5977">
        <v>44427</v>
      </c>
      <c r="H5977">
        <v>2021</v>
      </c>
      <c r="I5977" t="s">
        <v>49</v>
      </c>
    </row>
    <row r="5978" spans="1:9" x14ac:dyDescent="0.3">
      <c r="A5978" t="s">
        <v>37</v>
      </c>
      <c r="C5978">
        <v>594000</v>
      </c>
      <c r="G5978">
        <v>44427</v>
      </c>
      <c r="H5978">
        <v>2021</v>
      </c>
      <c r="I5978" t="s">
        <v>49</v>
      </c>
    </row>
    <row r="5979" spans="1:9" x14ac:dyDescent="0.3">
      <c r="A5979" t="s">
        <v>17</v>
      </c>
      <c r="G5979">
        <v>44427</v>
      </c>
      <c r="H5979">
        <v>2021</v>
      </c>
      <c r="I5979" t="s">
        <v>49</v>
      </c>
    </row>
    <row r="5980" spans="1:9" x14ac:dyDescent="0.3">
      <c r="A5980" t="s">
        <v>0</v>
      </c>
      <c r="G5980">
        <v>44427</v>
      </c>
      <c r="H5980">
        <v>2021</v>
      </c>
      <c r="I5980" t="s">
        <v>49</v>
      </c>
    </row>
    <row r="5981" spans="1:9" x14ac:dyDescent="0.3">
      <c r="A5981" t="s">
        <v>25</v>
      </c>
      <c r="G5981">
        <v>44427</v>
      </c>
      <c r="H5981">
        <v>2021</v>
      </c>
      <c r="I5981" t="s">
        <v>49</v>
      </c>
    </row>
    <row r="5982" spans="1:9" x14ac:dyDescent="0.3">
      <c r="A5982" t="s">
        <v>15</v>
      </c>
      <c r="G5982">
        <v>44427</v>
      </c>
      <c r="H5982">
        <v>2021</v>
      </c>
      <c r="I5982" t="s">
        <v>49</v>
      </c>
    </row>
    <row r="5983" spans="1:9" x14ac:dyDescent="0.3">
      <c r="A5983" t="s">
        <v>54</v>
      </c>
      <c r="G5983">
        <v>44427</v>
      </c>
      <c r="H5983">
        <v>2021</v>
      </c>
      <c r="I5983" t="s">
        <v>49</v>
      </c>
    </row>
    <row r="5984" spans="1:9" x14ac:dyDescent="0.3">
      <c r="A5984" t="s">
        <v>26</v>
      </c>
      <c r="G5984">
        <v>44427</v>
      </c>
      <c r="H5984">
        <v>2021</v>
      </c>
      <c r="I5984" t="s">
        <v>49</v>
      </c>
    </row>
    <row r="5985" spans="1:9" x14ac:dyDescent="0.3">
      <c r="A5985" t="s">
        <v>22</v>
      </c>
      <c r="G5985">
        <v>44427</v>
      </c>
      <c r="H5985">
        <v>2021</v>
      </c>
      <c r="I5985" t="s">
        <v>49</v>
      </c>
    </row>
    <row r="5986" spans="1:9" x14ac:dyDescent="0.3">
      <c r="A5986" t="s">
        <v>61</v>
      </c>
      <c r="G5986">
        <v>44427</v>
      </c>
      <c r="H5986">
        <v>2021</v>
      </c>
      <c r="I5986" t="s">
        <v>49</v>
      </c>
    </row>
    <row r="5987" spans="1:9" x14ac:dyDescent="0.3">
      <c r="A5987" t="s">
        <v>19</v>
      </c>
      <c r="B5987">
        <v>850500</v>
      </c>
      <c r="C5987">
        <v>900000</v>
      </c>
      <c r="D5987">
        <v>270000</v>
      </c>
      <c r="F5987">
        <v>54000</v>
      </c>
      <c r="G5987">
        <v>44427</v>
      </c>
      <c r="H5987">
        <v>2021</v>
      </c>
      <c r="I5987" t="s">
        <v>49</v>
      </c>
    </row>
    <row r="5988" spans="1:9" x14ac:dyDescent="0.3">
      <c r="A5988" t="s">
        <v>14</v>
      </c>
      <c r="B5988">
        <v>586000</v>
      </c>
      <c r="C5988">
        <v>90000</v>
      </c>
      <c r="D5988">
        <v>216000</v>
      </c>
      <c r="G5988">
        <v>44427</v>
      </c>
      <c r="H5988">
        <v>2021</v>
      </c>
      <c r="I5988" t="s">
        <v>49</v>
      </c>
    </row>
    <row r="5989" spans="1:9" x14ac:dyDescent="0.3">
      <c r="A5989" t="s">
        <v>24</v>
      </c>
      <c r="G5989">
        <v>44427</v>
      </c>
      <c r="H5989">
        <v>2021</v>
      </c>
      <c r="I5989" t="s">
        <v>49</v>
      </c>
    </row>
    <row r="5990" spans="1:9" x14ac:dyDescent="0.3">
      <c r="A5990" t="s">
        <v>21</v>
      </c>
      <c r="G5990">
        <v>44427</v>
      </c>
      <c r="H5990">
        <v>2021</v>
      </c>
      <c r="I5990" t="s">
        <v>49</v>
      </c>
    </row>
    <row r="5991" spans="1:9" x14ac:dyDescent="0.3">
      <c r="A5991" t="s">
        <v>18</v>
      </c>
      <c r="G5991">
        <v>44427</v>
      </c>
      <c r="H5991">
        <v>2021</v>
      </c>
      <c r="I5991" t="s">
        <v>49</v>
      </c>
    </row>
    <row r="5992" spans="1:9" x14ac:dyDescent="0.3">
      <c r="A5992" t="s">
        <v>16</v>
      </c>
      <c r="F5992">
        <v>90000</v>
      </c>
      <c r="G5992">
        <v>44427</v>
      </c>
      <c r="H5992">
        <v>2021</v>
      </c>
      <c r="I5992" t="s">
        <v>49</v>
      </c>
    </row>
    <row r="5993" spans="1:9" x14ac:dyDescent="0.3">
      <c r="A5993" t="s">
        <v>20</v>
      </c>
      <c r="G5993">
        <v>44428</v>
      </c>
      <c r="H5993">
        <v>2021</v>
      </c>
      <c r="I5993" t="s">
        <v>49</v>
      </c>
    </row>
    <row r="5994" spans="1:9" x14ac:dyDescent="0.3">
      <c r="A5994" t="s">
        <v>37</v>
      </c>
      <c r="C5994">
        <v>644000</v>
      </c>
      <c r="G5994">
        <v>44428</v>
      </c>
      <c r="H5994">
        <v>2021</v>
      </c>
      <c r="I5994" t="s">
        <v>49</v>
      </c>
    </row>
    <row r="5995" spans="1:9" x14ac:dyDescent="0.3">
      <c r="A5995" t="s">
        <v>17</v>
      </c>
      <c r="F5995">
        <v>53000</v>
      </c>
      <c r="G5995">
        <v>44428</v>
      </c>
      <c r="H5995">
        <v>2021</v>
      </c>
      <c r="I5995" t="s">
        <v>49</v>
      </c>
    </row>
    <row r="5996" spans="1:9" x14ac:dyDescent="0.3">
      <c r="A5996" t="s">
        <v>0</v>
      </c>
      <c r="G5996">
        <v>44428</v>
      </c>
      <c r="H5996">
        <v>2021</v>
      </c>
      <c r="I5996" t="s">
        <v>49</v>
      </c>
    </row>
    <row r="5997" spans="1:9" x14ac:dyDescent="0.3">
      <c r="A5997" t="s">
        <v>25</v>
      </c>
      <c r="G5997">
        <v>44428</v>
      </c>
      <c r="H5997">
        <v>2021</v>
      </c>
      <c r="I5997" t="s">
        <v>49</v>
      </c>
    </row>
    <row r="5998" spans="1:9" x14ac:dyDescent="0.3">
      <c r="A5998" t="s">
        <v>15</v>
      </c>
      <c r="G5998">
        <v>44428</v>
      </c>
      <c r="H5998">
        <v>2021</v>
      </c>
      <c r="I5998" t="s">
        <v>49</v>
      </c>
    </row>
    <row r="5999" spans="1:9" x14ac:dyDescent="0.3">
      <c r="A5999" t="s">
        <v>54</v>
      </c>
      <c r="G5999">
        <v>44428</v>
      </c>
      <c r="H5999">
        <v>2021</v>
      </c>
      <c r="I5999" t="s">
        <v>49</v>
      </c>
    </row>
    <row r="6000" spans="1:9" x14ac:dyDescent="0.3">
      <c r="A6000" t="s">
        <v>26</v>
      </c>
      <c r="G6000">
        <v>44428</v>
      </c>
      <c r="H6000">
        <v>2021</v>
      </c>
      <c r="I6000" t="s">
        <v>49</v>
      </c>
    </row>
    <row r="6001" spans="1:9" x14ac:dyDescent="0.3">
      <c r="A6001" t="s">
        <v>22</v>
      </c>
      <c r="G6001">
        <v>44428</v>
      </c>
      <c r="H6001">
        <v>2021</v>
      </c>
      <c r="I6001" t="s">
        <v>49</v>
      </c>
    </row>
    <row r="6002" spans="1:9" x14ac:dyDescent="0.3">
      <c r="A6002" t="s">
        <v>61</v>
      </c>
      <c r="G6002">
        <v>44428</v>
      </c>
      <c r="H6002">
        <v>2021</v>
      </c>
      <c r="I6002" t="s">
        <v>49</v>
      </c>
    </row>
    <row r="6003" spans="1:9" x14ac:dyDescent="0.3">
      <c r="A6003" t="s">
        <v>19</v>
      </c>
      <c r="B6003">
        <v>90000</v>
      </c>
      <c r="C6003">
        <v>108000</v>
      </c>
      <c r="D6003">
        <v>478000</v>
      </c>
      <c r="F6003">
        <v>185000</v>
      </c>
      <c r="G6003">
        <v>44428</v>
      </c>
      <c r="H6003">
        <v>2021</v>
      </c>
      <c r="I6003" t="s">
        <v>49</v>
      </c>
    </row>
    <row r="6004" spans="1:9" x14ac:dyDescent="0.3">
      <c r="A6004" t="s">
        <v>14</v>
      </c>
      <c r="B6004">
        <v>50000</v>
      </c>
      <c r="D6004">
        <v>216000</v>
      </c>
      <c r="F6004">
        <v>45000</v>
      </c>
      <c r="G6004">
        <v>44428</v>
      </c>
      <c r="H6004">
        <v>2021</v>
      </c>
      <c r="I6004" t="s">
        <v>49</v>
      </c>
    </row>
    <row r="6005" spans="1:9" x14ac:dyDescent="0.3">
      <c r="A6005" t="s">
        <v>24</v>
      </c>
      <c r="G6005">
        <v>44428</v>
      </c>
      <c r="H6005">
        <v>2021</v>
      </c>
      <c r="I6005" t="s">
        <v>49</v>
      </c>
    </row>
    <row r="6006" spans="1:9" x14ac:dyDescent="0.3">
      <c r="A6006" t="s">
        <v>21</v>
      </c>
      <c r="G6006">
        <v>44428</v>
      </c>
      <c r="H6006">
        <v>2021</v>
      </c>
      <c r="I6006" t="s">
        <v>49</v>
      </c>
    </row>
    <row r="6007" spans="1:9" x14ac:dyDescent="0.3">
      <c r="A6007" t="s">
        <v>18</v>
      </c>
      <c r="G6007">
        <v>44428</v>
      </c>
      <c r="H6007">
        <v>2021</v>
      </c>
      <c r="I6007" t="s">
        <v>49</v>
      </c>
    </row>
    <row r="6008" spans="1:9" x14ac:dyDescent="0.3">
      <c r="A6008" t="s">
        <v>16</v>
      </c>
      <c r="G6008">
        <v>44428</v>
      </c>
      <c r="H6008">
        <v>2021</v>
      </c>
      <c r="I6008" t="s">
        <v>49</v>
      </c>
    </row>
    <row r="6009" spans="1:9" x14ac:dyDescent="0.3">
      <c r="A6009" t="s">
        <v>20</v>
      </c>
      <c r="G6009">
        <v>44431</v>
      </c>
      <c r="H6009">
        <v>2021</v>
      </c>
      <c r="I6009" t="s">
        <v>49</v>
      </c>
    </row>
    <row r="6010" spans="1:9" x14ac:dyDescent="0.3">
      <c r="A6010" t="s">
        <v>37</v>
      </c>
      <c r="G6010">
        <v>44431</v>
      </c>
      <c r="H6010">
        <v>2021</v>
      </c>
      <c r="I6010" t="s">
        <v>49</v>
      </c>
    </row>
    <row r="6011" spans="1:9" x14ac:dyDescent="0.3">
      <c r="A6011" t="s">
        <v>17</v>
      </c>
      <c r="G6011">
        <v>44431</v>
      </c>
      <c r="H6011">
        <v>2021</v>
      </c>
      <c r="I6011" t="s">
        <v>49</v>
      </c>
    </row>
    <row r="6012" spans="1:9" x14ac:dyDescent="0.3">
      <c r="A6012" t="s">
        <v>0</v>
      </c>
      <c r="G6012">
        <v>44431</v>
      </c>
      <c r="H6012">
        <v>2021</v>
      </c>
      <c r="I6012" t="s">
        <v>49</v>
      </c>
    </row>
    <row r="6013" spans="1:9" x14ac:dyDescent="0.3">
      <c r="A6013" t="s">
        <v>25</v>
      </c>
      <c r="G6013">
        <v>44431</v>
      </c>
      <c r="H6013">
        <v>2021</v>
      </c>
      <c r="I6013" t="s">
        <v>49</v>
      </c>
    </row>
    <row r="6014" spans="1:9" x14ac:dyDescent="0.3">
      <c r="A6014" t="s">
        <v>15</v>
      </c>
      <c r="B6014">
        <v>1670000</v>
      </c>
      <c r="D6014">
        <v>207000</v>
      </c>
      <c r="G6014">
        <v>44431</v>
      </c>
      <c r="H6014">
        <v>2021</v>
      </c>
      <c r="I6014" t="s">
        <v>49</v>
      </c>
    </row>
    <row r="6015" spans="1:9" x14ac:dyDescent="0.3">
      <c r="A6015" t="s">
        <v>54</v>
      </c>
      <c r="G6015">
        <v>44431</v>
      </c>
      <c r="H6015">
        <v>2021</v>
      </c>
      <c r="I6015" t="s">
        <v>49</v>
      </c>
    </row>
    <row r="6016" spans="1:9" x14ac:dyDescent="0.3">
      <c r="A6016" t="s">
        <v>26</v>
      </c>
      <c r="G6016">
        <v>44431</v>
      </c>
      <c r="H6016">
        <v>2021</v>
      </c>
      <c r="I6016" t="s">
        <v>49</v>
      </c>
    </row>
    <row r="6017" spans="1:9" x14ac:dyDescent="0.3">
      <c r="A6017" t="s">
        <v>22</v>
      </c>
      <c r="G6017">
        <v>44431</v>
      </c>
      <c r="H6017">
        <v>2021</v>
      </c>
      <c r="I6017" t="s">
        <v>49</v>
      </c>
    </row>
    <row r="6018" spans="1:9" x14ac:dyDescent="0.3">
      <c r="A6018" t="s">
        <v>61</v>
      </c>
      <c r="G6018">
        <v>44431</v>
      </c>
      <c r="H6018">
        <v>2021</v>
      </c>
      <c r="I6018" t="s">
        <v>49</v>
      </c>
    </row>
    <row r="6019" spans="1:9" x14ac:dyDescent="0.3">
      <c r="A6019" t="s">
        <v>19</v>
      </c>
      <c r="C6019">
        <v>54000</v>
      </c>
      <c r="F6019">
        <v>45000</v>
      </c>
      <c r="G6019">
        <v>44431</v>
      </c>
      <c r="H6019">
        <v>2021</v>
      </c>
      <c r="I6019" t="s">
        <v>49</v>
      </c>
    </row>
    <row r="6020" spans="1:9" x14ac:dyDescent="0.3">
      <c r="A6020" t="s">
        <v>14</v>
      </c>
      <c r="C6020">
        <v>1350000</v>
      </c>
      <c r="F6020">
        <v>45000</v>
      </c>
      <c r="G6020">
        <v>44431</v>
      </c>
      <c r="H6020">
        <v>2021</v>
      </c>
      <c r="I6020" t="s">
        <v>49</v>
      </c>
    </row>
    <row r="6021" spans="1:9" x14ac:dyDescent="0.3">
      <c r="A6021" t="s">
        <v>24</v>
      </c>
      <c r="G6021">
        <v>44431</v>
      </c>
      <c r="H6021">
        <v>2021</v>
      </c>
      <c r="I6021" t="s">
        <v>49</v>
      </c>
    </row>
    <row r="6022" spans="1:9" x14ac:dyDescent="0.3">
      <c r="A6022" t="s">
        <v>21</v>
      </c>
      <c r="G6022">
        <v>44431</v>
      </c>
      <c r="H6022">
        <v>2021</v>
      </c>
      <c r="I6022" t="s">
        <v>49</v>
      </c>
    </row>
    <row r="6023" spans="1:9" x14ac:dyDescent="0.3">
      <c r="A6023" t="s">
        <v>18</v>
      </c>
      <c r="G6023">
        <v>44431</v>
      </c>
      <c r="H6023">
        <v>2021</v>
      </c>
      <c r="I6023" t="s">
        <v>49</v>
      </c>
    </row>
    <row r="6024" spans="1:9" x14ac:dyDescent="0.3">
      <c r="A6024" t="s">
        <v>16</v>
      </c>
      <c r="G6024">
        <v>44431</v>
      </c>
      <c r="H6024">
        <v>2021</v>
      </c>
      <c r="I6024" t="s">
        <v>49</v>
      </c>
    </row>
    <row r="6025" spans="1:9" x14ac:dyDescent="0.3">
      <c r="A6025" t="s">
        <v>20</v>
      </c>
      <c r="G6025">
        <v>44432</v>
      </c>
      <c r="H6025">
        <v>2021</v>
      </c>
      <c r="I6025" t="s">
        <v>49</v>
      </c>
    </row>
    <row r="6026" spans="1:9" x14ac:dyDescent="0.3">
      <c r="A6026" t="s">
        <v>37</v>
      </c>
      <c r="C6026">
        <v>153000</v>
      </c>
      <c r="G6026">
        <v>44432</v>
      </c>
      <c r="H6026">
        <v>2021</v>
      </c>
      <c r="I6026" t="s">
        <v>49</v>
      </c>
    </row>
    <row r="6027" spans="1:9" x14ac:dyDescent="0.3">
      <c r="A6027" t="s">
        <v>17</v>
      </c>
      <c r="G6027">
        <v>44432</v>
      </c>
      <c r="H6027">
        <v>2021</v>
      </c>
      <c r="I6027" t="s">
        <v>49</v>
      </c>
    </row>
    <row r="6028" spans="1:9" x14ac:dyDescent="0.3">
      <c r="A6028" t="s">
        <v>0</v>
      </c>
      <c r="G6028">
        <v>44432</v>
      </c>
      <c r="H6028">
        <v>2021</v>
      </c>
      <c r="I6028" t="s">
        <v>49</v>
      </c>
    </row>
    <row r="6029" spans="1:9" x14ac:dyDescent="0.3">
      <c r="A6029" t="s">
        <v>25</v>
      </c>
      <c r="G6029">
        <v>44432</v>
      </c>
      <c r="H6029">
        <v>2021</v>
      </c>
      <c r="I6029" t="s">
        <v>49</v>
      </c>
    </row>
    <row r="6030" spans="1:9" x14ac:dyDescent="0.3">
      <c r="A6030" t="s">
        <v>15</v>
      </c>
      <c r="B6030">
        <v>374000</v>
      </c>
      <c r="D6030">
        <v>90000</v>
      </c>
      <c r="G6030">
        <v>44432</v>
      </c>
      <c r="H6030">
        <v>2021</v>
      </c>
      <c r="I6030" t="s">
        <v>49</v>
      </c>
    </row>
    <row r="6031" spans="1:9" x14ac:dyDescent="0.3">
      <c r="A6031" t="s">
        <v>54</v>
      </c>
      <c r="G6031">
        <v>44432</v>
      </c>
      <c r="H6031">
        <v>2021</v>
      </c>
      <c r="I6031" t="s">
        <v>49</v>
      </c>
    </row>
    <row r="6032" spans="1:9" x14ac:dyDescent="0.3">
      <c r="A6032" t="s">
        <v>26</v>
      </c>
      <c r="G6032">
        <v>44432</v>
      </c>
      <c r="H6032">
        <v>2021</v>
      </c>
      <c r="I6032" t="s">
        <v>49</v>
      </c>
    </row>
    <row r="6033" spans="1:9" x14ac:dyDescent="0.3">
      <c r="A6033" t="s">
        <v>22</v>
      </c>
      <c r="G6033">
        <v>44432</v>
      </c>
      <c r="H6033">
        <v>2021</v>
      </c>
      <c r="I6033" t="s">
        <v>49</v>
      </c>
    </row>
    <row r="6034" spans="1:9" x14ac:dyDescent="0.3">
      <c r="A6034" t="s">
        <v>61</v>
      </c>
      <c r="G6034">
        <v>44432</v>
      </c>
      <c r="H6034">
        <v>2021</v>
      </c>
      <c r="I6034" t="s">
        <v>49</v>
      </c>
    </row>
    <row r="6035" spans="1:9" x14ac:dyDescent="0.3">
      <c r="A6035" t="s">
        <v>19</v>
      </c>
      <c r="G6035">
        <v>44432</v>
      </c>
      <c r="H6035">
        <v>2021</v>
      </c>
      <c r="I6035" t="s">
        <v>49</v>
      </c>
    </row>
    <row r="6036" spans="1:9" x14ac:dyDescent="0.3">
      <c r="A6036" t="s">
        <v>14</v>
      </c>
      <c r="C6036">
        <v>594000</v>
      </c>
      <c r="D6036">
        <v>50000</v>
      </c>
      <c r="G6036">
        <v>44432</v>
      </c>
      <c r="H6036">
        <v>2021</v>
      </c>
      <c r="I6036" t="s">
        <v>49</v>
      </c>
    </row>
    <row r="6037" spans="1:9" x14ac:dyDescent="0.3">
      <c r="A6037" t="s">
        <v>24</v>
      </c>
      <c r="G6037">
        <v>44432</v>
      </c>
      <c r="H6037">
        <v>2021</v>
      </c>
      <c r="I6037" t="s">
        <v>49</v>
      </c>
    </row>
    <row r="6038" spans="1:9" x14ac:dyDescent="0.3">
      <c r="A6038" t="s">
        <v>21</v>
      </c>
      <c r="G6038">
        <v>44432</v>
      </c>
      <c r="H6038">
        <v>2021</v>
      </c>
      <c r="I6038" t="s">
        <v>49</v>
      </c>
    </row>
    <row r="6039" spans="1:9" x14ac:dyDescent="0.3">
      <c r="A6039" t="s">
        <v>18</v>
      </c>
      <c r="G6039">
        <v>44432</v>
      </c>
      <c r="H6039">
        <v>2021</v>
      </c>
      <c r="I6039" t="s">
        <v>49</v>
      </c>
    </row>
    <row r="6040" spans="1:9" x14ac:dyDescent="0.3">
      <c r="A6040" t="s">
        <v>16</v>
      </c>
      <c r="C6040">
        <v>580500</v>
      </c>
      <c r="G6040">
        <v>44432</v>
      </c>
      <c r="H6040">
        <v>2021</v>
      </c>
      <c r="I6040" t="s">
        <v>49</v>
      </c>
    </row>
    <row r="6041" spans="1:9" x14ac:dyDescent="0.3">
      <c r="A6041" t="s">
        <v>20</v>
      </c>
      <c r="G6041">
        <v>44433</v>
      </c>
      <c r="H6041">
        <v>2021</v>
      </c>
      <c r="I6041" t="s">
        <v>49</v>
      </c>
    </row>
    <row r="6042" spans="1:9" x14ac:dyDescent="0.3">
      <c r="A6042" t="s">
        <v>37</v>
      </c>
      <c r="C6042">
        <v>45000</v>
      </c>
      <c r="G6042">
        <v>44433</v>
      </c>
      <c r="H6042">
        <v>2021</v>
      </c>
      <c r="I6042" t="s">
        <v>49</v>
      </c>
    </row>
    <row r="6043" spans="1:9" x14ac:dyDescent="0.3">
      <c r="A6043" t="s">
        <v>17</v>
      </c>
      <c r="G6043">
        <v>44433</v>
      </c>
      <c r="H6043">
        <v>2021</v>
      </c>
      <c r="I6043" t="s">
        <v>49</v>
      </c>
    </row>
    <row r="6044" spans="1:9" x14ac:dyDescent="0.3">
      <c r="A6044" t="s">
        <v>0</v>
      </c>
      <c r="G6044">
        <v>44433</v>
      </c>
      <c r="H6044">
        <v>2021</v>
      </c>
      <c r="I6044" t="s">
        <v>49</v>
      </c>
    </row>
    <row r="6045" spans="1:9" x14ac:dyDescent="0.3">
      <c r="A6045" t="s">
        <v>25</v>
      </c>
      <c r="G6045">
        <v>44433</v>
      </c>
      <c r="H6045">
        <v>2021</v>
      </c>
      <c r="I6045" t="s">
        <v>49</v>
      </c>
    </row>
    <row r="6046" spans="1:9" x14ac:dyDescent="0.3">
      <c r="A6046" t="s">
        <v>15</v>
      </c>
      <c r="G6046">
        <v>44433</v>
      </c>
      <c r="H6046">
        <v>2021</v>
      </c>
      <c r="I6046" t="s">
        <v>49</v>
      </c>
    </row>
    <row r="6047" spans="1:9" x14ac:dyDescent="0.3">
      <c r="A6047" t="s">
        <v>54</v>
      </c>
      <c r="G6047">
        <v>44433</v>
      </c>
      <c r="H6047">
        <v>2021</v>
      </c>
      <c r="I6047" t="s">
        <v>49</v>
      </c>
    </row>
    <row r="6048" spans="1:9" x14ac:dyDescent="0.3">
      <c r="A6048" t="s">
        <v>26</v>
      </c>
      <c r="G6048">
        <v>44433</v>
      </c>
      <c r="H6048">
        <v>2021</v>
      </c>
      <c r="I6048" t="s">
        <v>49</v>
      </c>
    </row>
    <row r="6049" spans="1:9" x14ac:dyDescent="0.3">
      <c r="A6049" t="s">
        <v>22</v>
      </c>
      <c r="G6049">
        <v>44433</v>
      </c>
      <c r="H6049">
        <v>2021</v>
      </c>
      <c r="I6049" t="s">
        <v>49</v>
      </c>
    </row>
    <row r="6050" spans="1:9" x14ac:dyDescent="0.3">
      <c r="A6050" t="s">
        <v>61</v>
      </c>
      <c r="G6050">
        <v>44433</v>
      </c>
      <c r="H6050">
        <v>2021</v>
      </c>
      <c r="I6050" t="s">
        <v>49</v>
      </c>
    </row>
    <row r="6051" spans="1:9" x14ac:dyDescent="0.3">
      <c r="A6051" t="s">
        <v>19</v>
      </c>
      <c r="G6051">
        <v>44433</v>
      </c>
      <c r="H6051">
        <v>2021</v>
      </c>
      <c r="I6051" t="s">
        <v>49</v>
      </c>
    </row>
    <row r="6052" spans="1:9" x14ac:dyDescent="0.3">
      <c r="A6052" t="s">
        <v>14</v>
      </c>
      <c r="G6052">
        <v>44433</v>
      </c>
      <c r="H6052">
        <v>2021</v>
      </c>
      <c r="I6052" t="s">
        <v>49</v>
      </c>
    </row>
    <row r="6053" spans="1:9" x14ac:dyDescent="0.3">
      <c r="A6053" t="s">
        <v>24</v>
      </c>
      <c r="G6053">
        <v>44433</v>
      </c>
      <c r="H6053">
        <v>2021</v>
      </c>
      <c r="I6053" t="s">
        <v>49</v>
      </c>
    </row>
    <row r="6054" spans="1:9" x14ac:dyDescent="0.3">
      <c r="A6054" t="s">
        <v>21</v>
      </c>
      <c r="G6054">
        <v>44433</v>
      </c>
      <c r="H6054">
        <v>2021</v>
      </c>
      <c r="I6054" t="s">
        <v>49</v>
      </c>
    </row>
    <row r="6055" spans="1:9" x14ac:dyDescent="0.3">
      <c r="A6055" t="s">
        <v>18</v>
      </c>
      <c r="G6055">
        <v>44433</v>
      </c>
      <c r="H6055">
        <v>2021</v>
      </c>
      <c r="I6055" t="s">
        <v>49</v>
      </c>
    </row>
    <row r="6056" spans="1:9" x14ac:dyDescent="0.3">
      <c r="A6056" t="s">
        <v>16</v>
      </c>
      <c r="C6056">
        <v>216000</v>
      </c>
      <c r="G6056">
        <v>44433</v>
      </c>
      <c r="H6056">
        <v>2021</v>
      </c>
      <c r="I6056" t="s">
        <v>49</v>
      </c>
    </row>
    <row r="6057" spans="1:9" x14ac:dyDescent="0.3">
      <c r="A6057" t="s">
        <v>20</v>
      </c>
      <c r="G6057">
        <v>44434</v>
      </c>
      <c r="H6057">
        <v>2021</v>
      </c>
      <c r="I6057" t="s">
        <v>49</v>
      </c>
    </row>
    <row r="6058" spans="1:9" x14ac:dyDescent="0.3">
      <c r="A6058" t="s">
        <v>37</v>
      </c>
      <c r="G6058">
        <v>44434</v>
      </c>
      <c r="H6058">
        <v>2021</v>
      </c>
      <c r="I6058" t="s">
        <v>49</v>
      </c>
    </row>
    <row r="6059" spans="1:9" x14ac:dyDescent="0.3">
      <c r="A6059" t="s">
        <v>17</v>
      </c>
      <c r="E6059">
        <v>108000</v>
      </c>
      <c r="G6059">
        <v>44434</v>
      </c>
      <c r="H6059">
        <v>2021</v>
      </c>
      <c r="I6059" t="s">
        <v>49</v>
      </c>
    </row>
    <row r="6060" spans="1:9" x14ac:dyDescent="0.3">
      <c r="A6060" t="s">
        <v>0</v>
      </c>
      <c r="E6060">
        <v>324000</v>
      </c>
      <c r="G6060">
        <v>44434</v>
      </c>
      <c r="H6060">
        <v>2021</v>
      </c>
      <c r="I6060" t="s">
        <v>49</v>
      </c>
    </row>
    <row r="6061" spans="1:9" x14ac:dyDescent="0.3">
      <c r="A6061" t="s">
        <v>25</v>
      </c>
      <c r="B6061">
        <v>45000</v>
      </c>
      <c r="G6061">
        <v>44434</v>
      </c>
      <c r="H6061">
        <v>2021</v>
      </c>
      <c r="I6061" t="s">
        <v>49</v>
      </c>
    </row>
    <row r="6062" spans="1:9" x14ac:dyDescent="0.3">
      <c r="A6062" t="s">
        <v>15</v>
      </c>
      <c r="C6062">
        <v>486000</v>
      </c>
      <c r="E6062">
        <v>54000</v>
      </c>
      <c r="G6062">
        <v>44434</v>
      </c>
      <c r="H6062">
        <v>2021</v>
      </c>
      <c r="I6062" t="s">
        <v>49</v>
      </c>
    </row>
    <row r="6063" spans="1:9" x14ac:dyDescent="0.3">
      <c r="A6063" t="s">
        <v>54</v>
      </c>
      <c r="G6063">
        <v>44434</v>
      </c>
      <c r="H6063">
        <v>2021</v>
      </c>
      <c r="I6063" t="s">
        <v>49</v>
      </c>
    </row>
    <row r="6064" spans="1:9" x14ac:dyDescent="0.3">
      <c r="A6064" t="s">
        <v>26</v>
      </c>
      <c r="B6064">
        <v>216000</v>
      </c>
      <c r="C6064">
        <v>864000</v>
      </c>
      <c r="G6064">
        <v>44434</v>
      </c>
      <c r="H6064">
        <v>2021</v>
      </c>
      <c r="I6064" t="s">
        <v>49</v>
      </c>
    </row>
    <row r="6065" spans="1:9" x14ac:dyDescent="0.3">
      <c r="A6065" t="s">
        <v>22</v>
      </c>
      <c r="G6065">
        <v>44434</v>
      </c>
      <c r="H6065">
        <v>2021</v>
      </c>
      <c r="I6065" t="s">
        <v>49</v>
      </c>
    </row>
    <row r="6066" spans="1:9" x14ac:dyDescent="0.3">
      <c r="A6066" t="s">
        <v>61</v>
      </c>
      <c r="G6066">
        <v>44434</v>
      </c>
      <c r="H6066">
        <v>2021</v>
      </c>
      <c r="I6066" t="s">
        <v>49</v>
      </c>
    </row>
    <row r="6067" spans="1:9" x14ac:dyDescent="0.3">
      <c r="A6067" t="s">
        <v>19</v>
      </c>
      <c r="G6067">
        <v>44434</v>
      </c>
      <c r="H6067">
        <v>2021</v>
      </c>
      <c r="I6067" t="s">
        <v>49</v>
      </c>
    </row>
    <row r="6068" spans="1:9" x14ac:dyDescent="0.3">
      <c r="A6068" t="s">
        <v>14</v>
      </c>
      <c r="C6068">
        <v>54000</v>
      </c>
      <c r="E6068">
        <v>108000</v>
      </c>
      <c r="G6068">
        <v>44434</v>
      </c>
      <c r="H6068">
        <v>2021</v>
      </c>
      <c r="I6068" t="s">
        <v>49</v>
      </c>
    </row>
    <row r="6069" spans="1:9" x14ac:dyDescent="0.3">
      <c r="A6069" t="s">
        <v>24</v>
      </c>
      <c r="G6069">
        <v>44434</v>
      </c>
      <c r="H6069">
        <v>2021</v>
      </c>
      <c r="I6069" t="s">
        <v>49</v>
      </c>
    </row>
    <row r="6070" spans="1:9" x14ac:dyDescent="0.3">
      <c r="A6070" t="s">
        <v>21</v>
      </c>
      <c r="G6070">
        <v>44434</v>
      </c>
      <c r="H6070">
        <v>2021</v>
      </c>
      <c r="I6070" t="s">
        <v>49</v>
      </c>
    </row>
    <row r="6071" spans="1:9" x14ac:dyDescent="0.3">
      <c r="A6071" t="s">
        <v>18</v>
      </c>
      <c r="G6071">
        <v>44434</v>
      </c>
      <c r="H6071">
        <v>2021</v>
      </c>
      <c r="I6071" t="s">
        <v>49</v>
      </c>
    </row>
    <row r="6072" spans="1:9" x14ac:dyDescent="0.3">
      <c r="A6072" t="s">
        <v>16</v>
      </c>
      <c r="G6072">
        <v>44434</v>
      </c>
      <c r="H6072">
        <v>2021</v>
      </c>
      <c r="I6072" t="s">
        <v>49</v>
      </c>
    </row>
    <row r="6073" spans="1:9" x14ac:dyDescent="0.3">
      <c r="A6073" t="s">
        <v>20</v>
      </c>
      <c r="G6073">
        <v>44435</v>
      </c>
      <c r="H6073">
        <v>2021</v>
      </c>
      <c r="I6073" t="s">
        <v>49</v>
      </c>
    </row>
    <row r="6074" spans="1:9" x14ac:dyDescent="0.3">
      <c r="A6074" t="s">
        <v>37</v>
      </c>
      <c r="G6074">
        <v>44435</v>
      </c>
      <c r="H6074">
        <v>2021</v>
      </c>
      <c r="I6074" t="s">
        <v>49</v>
      </c>
    </row>
    <row r="6075" spans="1:9" x14ac:dyDescent="0.3">
      <c r="A6075" t="s">
        <v>17</v>
      </c>
      <c r="G6075">
        <v>44435</v>
      </c>
      <c r="H6075">
        <v>2021</v>
      </c>
      <c r="I6075" t="s">
        <v>49</v>
      </c>
    </row>
    <row r="6076" spans="1:9" x14ac:dyDescent="0.3">
      <c r="A6076" t="s">
        <v>0</v>
      </c>
      <c r="E6076">
        <v>162000</v>
      </c>
      <c r="G6076">
        <v>44435</v>
      </c>
      <c r="H6076">
        <v>2021</v>
      </c>
      <c r="I6076" t="s">
        <v>49</v>
      </c>
    </row>
    <row r="6077" spans="1:9" x14ac:dyDescent="0.3">
      <c r="A6077" t="s">
        <v>25</v>
      </c>
      <c r="G6077">
        <v>44435</v>
      </c>
      <c r="H6077">
        <v>2021</v>
      </c>
      <c r="I6077" t="s">
        <v>49</v>
      </c>
    </row>
    <row r="6078" spans="1:9" x14ac:dyDescent="0.3">
      <c r="A6078" t="s">
        <v>15</v>
      </c>
      <c r="C6078">
        <v>1341000</v>
      </c>
      <c r="E6078">
        <v>108000</v>
      </c>
      <c r="G6078">
        <v>44435</v>
      </c>
      <c r="H6078">
        <v>2021</v>
      </c>
      <c r="I6078" t="s">
        <v>49</v>
      </c>
    </row>
    <row r="6079" spans="1:9" x14ac:dyDescent="0.3">
      <c r="A6079" t="s">
        <v>54</v>
      </c>
      <c r="G6079">
        <v>44435</v>
      </c>
      <c r="H6079">
        <v>2021</v>
      </c>
      <c r="I6079" t="s">
        <v>49</v>
      </c>
    </row>
    <row r="6080" spans="1:9" x14ac:dyDescent="0.3">
      <c r="A6080" t="s">
        <v>26</v>
      </c>
      <c r="G6080">
        <v>44435</v>
      </c>
      <c r="H6080">
        <v>2021</v>
      </c>
      <c r="I6080" t="s">
        <v>49</v>
      </c>
    </row>
    <row r="6081" spans="1:9" x14ac:dyDescent="0.3">
      <c r="A6081" t="s">
        <v>22</v>
      </c>
      <c r="G6081">
        <v>44435</v>
      </c>
      <c r="H6081">
        <v>2021</v>
      </c>
      <c r="I6081" t="s">
        <v>49</v>
      </c>
    </row>
    <row r="6082" spans="1:9" x14ac:dyDescent="0.3">
      <c r="A6082" t="s">
        <v>61</v>
      </c>
      <c r="G6082">
        <v>44435</v>
      </c>
      <c r="H6082">
        <v>2021</v>
      </c>
      <c r="I6082" t="s">
        <v>49</v>
      </c>
    </row>
    <row r="6083" spans="1:9" x14ac:dyDescent="0.3">
      <c r="A6083" t="s">
        <v>19</v>
      </c>
      <c r="C6083">
        <v>855000</v>
      </c>
      <c r="G6083">
        <v>44435</v>
      </c>
      <c r="H6083">
        <v>2021</v>
      </c>
      <c r="I6083" t="s">
        <v>49</v>
      </c>
    </row>
    <row r="6084" spans="1:9" x14ac:dyDescent="0.3">
      <c r="A6084" t="s">
        <v>14</v>
      </c>
      <c r="G6084">
        <v>44435</v>
      </c>
      <c r="H6084">
        <v>2021</v>
      </c>
      <c r="I6084" t="s">
        <v>49</v>
      </c>
    </row>
    <row r="6085" spans="1:9" x14ac:dyDescent="0.3">
      <c r="A6085" t="s">
        <v>24</v>
      </c>
      <c r="G6085">
        <v>44435</v>
      </c>
      <c r="H6085">
        <v>2021</v>
      </c>
      <c r="I6085" t="s">
        <v>49</v>
      </c>
    </row>
    <row r="6086" spans="1:9" x14ac:dyDescent="0.3">
      <c r="A6086" t="s">
        <v>21</v>
      </c>
      <c r="G6086">
        <v>44435</v>
      </c>
      <c r="H6086">
        <v>2021</v>
      </c>
      <c r="I6086" t="s">
        <v>49</v>
      </c>
    </row>
    <row r="6087" spans="1:9" x14ac:dyDescent="0.3">
      <c r="A6087" t="s">
        <v>18</v>
      </c>
      <c r="G6087">
        <v>44435</v>
      </c>
      <c r="H6087">
        <v>2021</v>
      </c>
      <c r="I6087" t="s">
        <v>49</v>
      </c>
    </row>
    <row r="6088" spans="1:9" x14ac:dyDescent="0.3">
      <c r="A6088" t="s">
        <v>16</v>
      </c>
      <c r="G6088">
        <v>44435</v>
      </c>
      <c r="H6088">
        <v>2021</v>
      </c>
      <c r="I6088" t="s">
        <v>49</v>
      </c>
    </row>
    <row r="6089" spans="1:9" x14ac:dyDescent="0.3">
      <c r="A6089" t="s">
        <v>20</v>
      </c>
      <c r="G6089">
        <v>44438</v>
      </c>
      <c r="H6089">
        <v>2021</v>
      </c>
      <c r="I6089" t="s">
        <v>49</v>
      </c>
    </row>
    <row r="6090" spans="1:9" x14ac:dyDescent="0.3">
      <c r="A6090" t="s">
        <v>37</v>
      </c>
      <c r="G6090">
        <v>44438</v>
      </c>
      <c r="H6090">
        <v>2021</v>
      </c>
      <c r="I6090" t="s">
        <v>49</v>
      </c>
    </row>
    <row r="6091" spans="1:9" x14ac:dyDescent="0.3">
      <c r="A6091" t="s">
        <v>17</v>
      </c>
      <c r="G6091">
        <v>44438</v>
      </c>
      <c r="H6091">
        <v>2021</v>
      </c>
      <c r="I6091" t="s">
        <v>49</v>
      </c>
    </row>
    <row r="6092" spans="1:9" x14ac:dyDescent="0.3">
      <c r="A6092" t="s">
        <v>0</v>
      </c>
      <c r="E6092">
        <v>162000</v>
      </c>
      <c r="G6092">
        <v>44438</v>
      </c>
      <c r="H6092">
        <v>2021</v>
      </c>
      <c r="I6092" t="s">
        <v>49</v>
      </c>
    </row>
    <row r="6093" spans="1:9" x14ac:dyDescent="0.3">
      <c r="A6093" t="s">
        <v>25</v>
      </c>
      <c r="E6093">
        <v>45000</v>
      </c>
      <c r="G6093">
        <v>44438</v>
      </c>
      <c r="H6093">
        <v>2021</v>
      </c>
      <c r="I6093" t="s">
        <v>49</v>
      </c>
    </row>
    <row r="6094" spans="1:9" x14ac:dyDescent="0.3">
      <c r="A6094" t="s">
        <v>15</v>
      </c>
      <c r="C6094">
        <v>648000</v>
      </c>
      <c r="E6094">
        <v>108000</v>
      </c>
      <c r="G6094">
        <v>44438</v>
      </c>
      <c r="H6094">
        <v>2021</v>
      </c>
      <c r="I6094" t="s">
        <v>49</v>
      </c>
    </row>
    <row r="6095" spans="1:9" x14ac:dyDescent="0.3">
      <c r="A6095" t="s">
        <v>54</v>
      </c>
      <c r="G6095">
        <v>44438</v>
      </c>
      <c r="H6095">
        <v>2021</v>
      </c>
      <c r="I6095" t="s">
        <v>49</v>
      </c>
    </row>
    <row r="6096" spans="1:9" x14ac:dyDescent="0.3">
      <c r="A6096" t="s">
        <v>26</v>
      </c>
      <c r="G6096">
        <v>44438</v>
      </c>
      <c r="H6096">
        <v>2021</v>
      </c>
      <c r="I6096" t="s">
        <v>49</v>
      </c>
    </row>
    <row r="6097" spans="1:9" x14ac:dyDescent="0.3">
      <c r="A6097" t="s">
        <v>22</v>
      </c>
      <c r="G6097">
        <v>44438</v>
      </c>
      <c r="H6097">
        <v>2021</v>
      </c>
      <c r="I6097" t="s">
        <v>49</v>
      </c>
    </row>
    <row r="6098" spans="1:9" x14ac:dyDescent="0.3">
      <c r="A6098" t="s">
        <v>61</v>
      </c>
      <c r="G6098">
        <v>44438</v>
      </c>
      <c r="H6098">
        <v>2021</v>
      </c>
      <c r="I6098" t="s">
        <v>49</v>
      </c>
    </row>
    <row r="6099" spans="1:9" x14ac:dyDescent="0.3">
      <c r="A6099" t="s">
        <v>19</v>
      </c>
      <c r="B6099">
        <v>45000</v>
      </c>
      <c r="C6099">
        <v>522000</v>
      </c>
      <c r="G6099">
        <v>44438</v>
      </c>
      <c r="H6099">
        <v>2021</v>
      </c>
      <c r="I6099" t="s">
        <v>49</v>
      </c>
    </row>
    <row r="6100" spans="1:9" x14ac:dyDescent="0.3">
      <c r="A6100" t="s">
        <v>14</v>
      </c>
      <c r="C6100">
        <v>432000</v>
      </c>
      <c r="G6100">
        <v>44438</v>
      </c>
      <c r="H6100">
        <v>2021</v>
      </c>
      <c r="I6100" t="s">
        <v>49</v>
      </c>
    </row>
    <row r="6101" spans="1:9" x14ac:dyDescent="0.3">
      <c r="A6101" t="s">
        <v>24</v>
      </c>
      <c r="G6101">
        <v>44438</v>
      </c>
      <c r="H6101">
        <v>2021</v>
      </c>
      <c r="I6101" t="s">
        <v>49</v>
      </c>
    </row>
    <row r="6102" spans="1:9" x14ac:dyDescent="0.3">
      <c r="A6102" t="s">
        <v>21</v>
      </c>
      <c r="G6102">
        <v>44438</v>
      </c>
      <c r="H6102">
        <v>2021</v>
      </c>
      <c r="I6102" t="s">
        <v>49</v>
      </c>
    </row>
    <row r="6103" spans="1:9" x14ac:dyDescent="0.3">
      <c r="A6103" t="s">
        <v>18</v>
      </c>
      <c r="B6103">
        <v>162000</v>
      </c>
      <c r="D6103">
        <v>108000</v>
      </c>
      <c r="G6103">
        <v>44438</v>
      </c>
      <c r="H6103">
        <v>2021</v>
      </c>
      <c r="I6103" t="s">
        <v>49</v>
      </c>
    </row>
    <row r="6104" spans="1:9" x14ac:dyDescent="0.3">
      <c r="A6104" t="s">
        <v>16</v>
      </c>
      <c r="G6104">
        <v>44438</v>
      </c>
      <c r="H6104">
        <v>2021</v>
      </c>
      <c r="I6104" t="s">
        <v>49</v>
      </c>
    </row>
    <row r="6105" spans="1:9" x14ac:dyDescent="0.3">
      <c r="A6105" t="s">
        <v>20</v>
      </c>
      <c r="G6105">
        <v>44439</v>
      </c>
      <c r="H6105">
        <v>2021</v>
      </c>
      <c r="I6105" t="s">
        <v>49</v>
      </c>
    </row>
    <row r="6106" spans="1:9" x14ac:dyDescent="0.3">
      <c r="A6106" t="s">
        <v>37</v>
      </c>
      <c r="G6106">
        <v>44439</v>
      </c>
      <c r="H6106">
        <v>2021</v>
      </c>
      <c r="I6106" t="s">
        <v>49</v>
      </c>
    </row>
    <row r="6107" spans="1:9" x14ac:dyDescent="0.3">
      <c r="A6107" t="s">
        <v>17</v>
      </c>
      <c r="G6107">
        <v>44439</v>
      </c>
      <c r="H6107">
        <v>2021</v>
      </c>
      <c r="I6107" t="s">
        <v>49</v>
      </c>
    </row>
    <row r="6108" spans="1:9" x14ac:dyDescent="0.3">
      <c r="A6108" t="s">
        <v>0</v>
      </c>
      <c r="E6108">
        <v>216000</v>
      </c>
      <c r="G6108">
        <v>44439</v>
      </c>
      <c r="H6108">
        <v>2021</v>
      </c>
      <c r="I6108" t="s">
        <v>49</v>
      </c>
    </row>
    <row r="6109" spans="1:9" x14ac:dyDescent="0.3">
      <c r="A6109" t="s">
        <v>25</v>
      </c>
      <c r="F6109">
        <v>540000</v>
      </c>
      <c r="G6109">
        <v>44439</v>
      </c>
      <c r="H6109">
        <v>2021</v>
      </c>
      <c r="I6109" t="s">
        <v>49</v>
      </c>
    </row>
    <row r="6110" spans="1:9" x14ac:dyDescent="0.3">
      <c r="A6110" t="s">
        <v>15</v>
      </c>
      <c r="G6110">
        <v>44439</v>
      </c>
      <c r="H6110">
        <v>2021</v>
      </c>
      <c r="I6110" t="s">
        <v>49</v>
      </c>
    </row>
    <row r="6111" spans="1:9" x14ac:dyDescent="0.3">
      <c r="A6111" t="s">
        <v>54</v>
      </c>
      <c r="C6111">
        <v>419000</v>
      </c>
      <c r="G6111">
        <v>44439</v>
      </c>
      <c r="H6111">
        <v>2021</v>
      </c>
      <c r="I6111" t="s">
        <v>49</v>
      </c>
    </row>
    <row r="6112" spans="1:9" x14ac:dyDescent="0.3">
      <c r="A6112" t="s">
        <v>26</v>
      </c>
      <c r="G6112">
        <v>44439</v>
      </c>
      <c r="H6112">
        <v>2021</v>
      </c>
      <c r="I6112" t="s">
        <v>49</v>
      </c>
    </row>
    <row r="6113" spans="1:9" x14ac:dyDescent="0.3">
      <c r="A6113" t="s">
        <v>22</v>
      </c>
      <c r="G6113">
        <v>44439</v>
      </c>
      <c r="H6113">
        <v>2021</v>
      </c>
      <c r="I6113" t="s">
        <v>49</v>
      </c>
    </row>
    <row r="6114" spans="1:9" x14ac:dyDescent="0.3">
      <c r="A6114" t="s">
        <v>61</v>
      </c>
      <c r="G6114">
        <v>44439</v>
      </c>
      <c r="H6114">
        <v>2021</v>
      </c>
      <c r="I6114" t="s">
        <v>49</v>
      </c>
    </row>
    <row r="6115" spans="1:9" x14ac:dyDescent="0.3">
      <c r="A6115" t="s">
        <v>19</v>
      </c>
      <c r="G6115">
        <v>44439</v>
      </c>
      <c r="H6115">
        <v>2021</v>
      </c>
      <c r="I6115" t="s">
        <v>49</v>
      </c>
    </row>
    <row r="6116" spans="1:9" x14ac:dyDescent="0.3">
      <c r="A6116" t="s">
        <v>14</v>
      </c>
      <c r="C6116">
        <v>958500</v>
      </c>
      <c r="E6116">
        <v>540000</v>
      </c>
      <c r="G6116">
        <v>44439</v>
      </c>
      <c r="H6116">
        <v>2021</v>
      </c>
      <c r="I6116" t="s">
        <v>49</v>
      </c>
    </row>
    <row r="6117" spans="1:9" x14ac:dyDescent="0.3">
      <c r="A6117" t="s">
        <v>24</v>
      </c>
      <c r="G6117">
        <v>44439</v>
      </c>
      <c r="H6117">
        <v>2021</v>
      </c>
      <c r="I6117" t="s">
        <v>49</v>
      </c>
    </row>
    <row r="6118" spans="1:9" x14ac:dyDescent="0.3">
      <c r="A6118" t="s">
        <v>21</v>
      </c>
      <c r="G6118">
        <v>44439</v>
      </c>
      <c r="H6118">
        <v>2021</v>
      </c>
      <c r="I6118" t="s">
        <v>49</v>
      </c>
    </row>
    <row r="6119" spans="1:9" x14ac:dyDescent="0.3">
      <c r="A6119" t="s">
        <v>18</v>
      </c>
      <c r="G6119">
        <v>44439</v>
      </c>
      <c r="H6119">
        <v>2021</v>
      </c>
      <c r="I6119" t="s">
        <v>49</v>
      </c>
    </row>
    <row r="6120" spans="1:9" x14ac:dyDescent="0.3">
      <c r="A6120" t="s">
        <v>16</v>
      </c>
      <c r="G6120">
        <v>44439</v>
      </c>
      <c r="H6120">
        <v>2021</v>
      </c>
      <c r="I6120" t="s">
        <v>49</v>
      </c>
    </row>
    <row r="6121" spans="1:9" x14ac:dyDescent="0.3">
      <c r="A6121" t="s">
        <v>20</v>
      </c>
      <c r="G6121">
        <v>44441</v>
      </c>
      <c r="H6121">
        <v>2021</v>
      </c>
      <c r="I6121" t="s">
        <v>50</v>
      </c>
    </row>
    <row r="6122" spans="1:9" x14ac:dyDescent="0.3">
      <c r="A6122" t="s">
        <v>37</v>
      </c>
      <c r="G6122">
        <v>44441</v>
      </c>
      <c r="H6122">
        <v>2021</v>
      </c>
      <c r="I6122" t="s">
        <v>50</v>
      </c>
    </row>
    <row r="6123" spans="1:9" x14ac:dyDescent="0.3">
      <c r="A6123" t="s">
        <v>17</v>
      </c>
      <c r="G6123">
        <v>44441</v>
      </c>
      <c r="H6123">
        <v>2021</v>
      </c>
      <c r="I6123" t="s">
        <v>50</v>
      </c>
    </row>
    <row r="6124" spans="1:9" x14ac:dyDescent="0.3">
      <c r="A6124" t="s">
        <v>0</v>
      </c>
      <c r="G6124">
        <v>44441</v>
      </c>
      <c r="H6124">
        <v>2021</v>
      </c>
      <c r="I6124" t="s">
        <v>50</v>
      </c>
    </row>
    <row r="6125" spans="1:9" x14ac:dyDescent="0.3">
      <c r="A6125" t="s">
        <v>25</v>
      </c>
      <c r="F6125">
        <v>459000</v>
      </c>
      <c r="G6125">
        <v>44441</v>
      </c>
      <c r="H6125">
        <v>2021</v>
      </c>
      <c r="I6125" t="s">
        <v>50</v>
      </c>
    </row>
    <row r="6126" spans="1:9" x14ac:dyDescent="0.3">
      <c r="A6126" t="s">
        <v>15</v>
      </c>
      <c r="G6126">
        <v>44441</v>
      </c>
      <c r="H6126">
        <v>2021</v>
      </c>
      <c r="I6126" t="s">
        <v>50</v>
      </c>
    </row>
    <row r="6127" spans="1:9" x14ac:dyDescent="0.3">
      <c r="A6127" t="s">
        <v>54</v>
      </c>
      <c r="C6127">
        <v>365000</v>
      </c>
      <c r="G6127">
        <v>44441</v>
      </c>
      <c r="H6127">
        <v>2021</v>
      </c>
      <c r="I6127" t="s">
        <v>50</v>
      </c>
    </row>
    <row r="6128" spans="1:9" x14ac:dyDescent="0.3">
      <c r="A6128" t="s">
        <v>26</v>
      </c>
      <c r="C6128">
        <v>90000</v>
      </c>
      <c r="G6128">
        <v>44441</v>
      </c>
      <c r="H6128">
        <v>2021</v>
      </c>
      <c r="I6128" t="s">
        <v>50</v>
      </c>
    </row>
    <row r="6129" spans="1:9" x14ac:dyDescent="0.3">
      <c r="A6129" t="s">
        <v>22</v>
      </c>
      <c r="G6129">
        <v>44441</v>
      </c>
      <c r="H6129">
        <v>2021</v>
      </c>
      <c r="I6129" t="s">
        <v>50</v>
      </c>
    </row>
    <row r="6130" spans="1:9" x14ac:dyDescent="0.3">
      <c r="A6130" t="s">
        <v>61</v>
      </c>
      <c r="G6130">
        <v>44441</v>
      </c>
      <c r="H6130">
        <v>2021</v>
      </c>
      <c r="I6130" t="s">
        <v>50</v>
      </c>
    </row>
    <row r="6131" spans="1:9" x14ac:dyDescent="0.3">
      <c r="A6131" t="s">
        <v>19</v>
      </c>
      <c r="B6131">
        <v>972000</v>
      </c>
      <c r="F6131">
        <v>54000</v>
      </c>
      <c r="G6131">
        <v>44441</v>
      </c>
      <c r="H6131">
        <v>2021</v>
      </c>
      <c r="I6131" t="s">
        <v>50</v>
      </c>
    </row>
    <row r="6132" spans="1:9" x14ac:dyDescent="0.3">
      <c r="A6132" t="s">
        <v>14</v>
      </c>
      <c r="B6132">
        <v>324000</v>
      </c>
      <c r="C6132">
        <v>860000</v>
      </c>
      <c r="G6132">
        <v>44441</v>
      </c>
      <c r="H6132">
        <v>2021</v>
      </c>
      <c r="I6132" t="s">
        <v>50</v>
      </c>
    </row>
    <row r="6133" spans="1:9" x14ac:dyDescent="0.3">
      <c r="A6133" t="s">
        <v>24</v>
      </c>
      <c r="G6133">
        <v>44441</v>
      </c>
      <c r="H6133">
        <v>2021</v>
      </c>
      <c r="I6133" t="s">
        <v>50</v>
      </c>
    </row>
    <row r="6134" spans="1:9" x14ac:dyDescent="0.3">
      <c r="A6134" t="s">
        <v>21</v>
      </c>
      <c r="G6134">
        <v>44441</v>
      </c>
      <c r="H6134">
        <v>2021</v>
      </c>
      <c r="I6134" t="s">
        <v>50</v>
      </c>
    </row>
    <row r="6135" spans="1:9" x14ac:dyDescent="0.3">
      <c r="A6135" t="s">
        <v>18</v>
      </c>
      <c r="G6135">
        <v>44441</v>
      </c>
      <c r="H6135">
        <v>2021</v>
      </c>
      <c r="I6135" t="s">
        <v>50</v>
      </c>
    </row>
    <row r="6136" spans="1:9" x14ac:dyDescent="0.3">
      <c r="A6136" t="s">
        <v>16</v>
      </c>
      <c r="B6136">
        <v>535500</v>
      </c>
      <c r="G6136">
        <v>44441</v>
      </c>
      <c r="H6136">
        <v>2021</v>
      </c>
      <c r="I6136" t="s">
        <v>50</v>
      </c>
    </row>
    <row r="6137" spans="1:9" x14ac:dyDescent="0.3">
      <c r="A6137" t="s">
        <v>20</v>
      </c>
      <c r="G6137">
        <v>44441</v>
      </c>
      <c r="H6137">
        <v>2021</v>
      </c>
      <c r="I6137" t="s">
        <v>50</v>
      </c>
    </row>
    <row r="6138" spans="1:9" x14ac:dyDescent="0.3">
      <c r="A6138" t="s">
        <v>37</v>
      </c>
      <c r="G6138">
        <v>44441</v>
      </c>
      <c r="H6138">
        <v>2021</v>
      </c>
      <c r="I6138" t="s">
        <v>50</v>
      </c>
    </row>
    <row r="6139" spans="1:9" x14ac:dyDescent="0.3">
      <c r="A6139" t="s">
        <v>17</v>
      </c>
      <c r="B6139">
        <v>266000</v>
      </c>
      <c r="G6139">
        <v>44441</v>
      </c>
      <c r="H6139">
        <v>2021</v>
      </c>
      <c r="I6139" t="s">
        <v>50</v>
      </c>
    </row>
    <row r="6140" spans="1:9" x14ac:dyDescent="0.3">
      <c r="A6140" t="s">
        <v>0</v>
      </c>
      <c r="G6140">
        <v>44441</v>
      </c>
      <c r="H6140">
        <v>2021</v>
      </c>
      <c r="I6140" t="s">
        <v>50</v>
      </c>
    </row>
    <row r="6141" spans="1:9" x14ac:dyDescent="0.3">
      <c r="A6141" t="s">
        <v>25</v>
      </c>
      <c r="G6141">
        <v>44441</v>
      </c>
      <c r="H6141">
        <v>2021</v>
      </c>
      <c r="I6141" t="s">
        <v>50</v>
      </c>
    </row>
    <row r="6142" spans="1:9" x14ac:dyDescent="0.3">
      <c r="A6142" t="s">
        <v>15</v>
      </c>
      <c r="G6142">
        <v>44441</v>
      </c>
      <c r="H6142">
        <v>2021</v>
      </c>
      <c r="I6142" t="s">
        <v>50</v>
      </c>
    </row>
    <row r="6143" spans="1:9" x14ac:dyDescent="0.3">
      <c r="A6143" t="s">
        <v>54</v>
      </c>
      <c r="C6143">
        <v>425500</v>
      </c>
      <c r="G6143">
        <v>44441</v>
      </c>
      <c r="H6143">
        <v>2021</v>
      </c>
      <c r="I6143" t="s">
        <v>50</v>
      </c>
    </row>
    <row r="6144" spans="1:9" x14ac:dyDescent="0.3">
      <c r="A6144" t="s">
        <v>26</v>
      </c>
      <c r="G6144">
        <v>44441</v>
      </c>
      <c r="H6144">
        <v>2021</v>
      </c>
      <c r="I6144" t="s">
        <v>50</v>
      </c>
    </row>
    <row r="6145" spans="1:9" x14ac:dyDescent="0.3">
      <c r="A6145" t="s">
        <v>22</v>
      </c>
      <c r="G6145">
        <v>44441</v>
      </c>
      <c r="H6145">
        <v>2021</v>
      </c>
      <c r="I6145" t="s">
        <v>50</v>
      </c>
    </row>
    <row r="6146" spans="1:9" x14ac:dyDescent="0.3">
      <c r="A6146" t="s">
        <v>61</v>
      </c>
      <c r="G6146">
        <v>44441</v>
      </c>
      <c r="H6146">
        <v>2021</v>
      </c>
      <c r="I6146" t="s">
        <v>50</v>
      </c>
    </row>
    <row r="6147" spans="1:9" x14ac:dyDescent="0.3">
      <c r="A6147" t="s">
        <v>19</v>
      </c>
      <c r="B6147">
        <v>486000</v>
      </c>
      <c r="F6147">
        <v>594000</v>
      </c>
      <c r="G6147">
        <v>44441</v>
      </c>
      <c r="H6147">
        <v>2021</v>
      </c>
      <c r="I6147" t="s">
        <v>50</v>
      </c>
    </row>
    <row r="6148" spans="1:9" x14ac:dyDescent="0.3">
      <c r="A6148" t="s">
        <v>14</v>
      </c>
      <c r="B6148">
        <v>702000</v>
      </c>
      <c r="C6148">
        <v>648000</v>
      </c>
      <c r="G6148">
        <v>44441</v>
      </c>
      <c r="H6148">
        <v>2021</v>
      </c>
      <c r="I6148" t="s">
        <v>50</v>
      </c>
    </row>
    <row r="6149" spans="1:9" x14ac:dyDescent="0.3">
      <c r="A6149" t="s">
        <v>24</v>
      </c>
      <c r="G6149">
        <v>44441</v>
      </c>
      <c r="H6149">
        <v>2021</v>
      </c>
      <c r="I6149" t="s">
        <v>50</v>
      </c>
    </row>
    <row r="6150" spans="1:9" x14ac:dyDescent="0.3">
      <c r="A6150" t="s">
        <v>21</v>
      </c>
      <c r="G6150">
        <v>44441</v>
      </c>
      <c r="H6150">
        <v>2021</v>
      </c>
      <c r="I6150" t="s">
        <v>50</v>
      </c>
    </row>
    <row r="6151" spans="1:9" x14ac:dyDescent="0.3">
      <c r="A6151" t="s">
        <v>18</v>
      </c>
      <c r="G6151">
        <v>44441</v>
      </c>
      <c r="H6151">
        <v>2021</v>
      </c>
      <c r="I6151" t="s">
        <v>50</v>
      </c>
    </row>
    <row r="6152" spans="1:9" x14ac:dyDescent="0.3">
      <c r="A6152" t="s">
        <v>16</v>
      </c>
      <c r="B6152">
        <v>432000</v>
      </c>
      <c r="G6152">
        <v>44441</v>
      </c>
      <c r="H6152">
        <v>2021</v>
      </c>
      <c r="I6152" t="s">
        <v>50</v>
      </c>
    </row>
    <row r="6153" spans="1:9" x14ac:dyDescent="0.3">
      <c r="A6153" t="s">
        <v>20</v>
      </c>
      <c r="G6153">
        <v>44445</v>
      </c>
      <c r="H6153">
        <v>2021</v>
      </c>
      <c r="I6153" t="s">
        <v>50</v>
      </c>
    </row>
    <row r="6154" spans="1:9" x14ac:dyDescent="0.3">
      <c r="A6154" t="s">
        <v>37</v>
      </c>
      <c r="G6154">
        <v>44445</v>
      </c>
      <c r="H6154">
        <v>2021</v>
      </c>
      <c r="I6154" t="s">
        <v>50</v>
      </c>
    </row>
    <row r="6155" spans="1:9" x14ac:dyDescent="0.3">
      <c r="A6155" t="s">
        <v>17</v>
      </c>
      <c r="B6155">
        <v>860000</v>
      </c>
      <c r="G6155">
        <v>44445</v>
      </c>
      <c r="H6155">
        <v>2021</v>
      </c>
      <c r="I6155" t="s">
        <v>50</v>
      </c>
    </row>
    <row r="6156" spans="1:9" x14ac:dyDescent="0.3">
      <c r="A6156" t="s">
        <v>0</v>
      </c>
      <c r="E6156">
        <v>162000</v>
      </c>
      <c r="G6156">
        <v>44445</v>
      </c>
      <c r="H6156">
        <v>2021</v>
      </c>
      <c r="I6156" t="s">
        <v>50</v>
      </c>
    </row>
    <row r="6157" spans="1:9" x14ac:dyDescent="0.3">
      <c r="A6157" t="s">
        <v>25</v>
      </c>
      <c r="E6157">
        <v>54000</v>
      </c>
      <c r="G6157">
        <v>44445</v>
      </c>
      <c r="H6157">
        <v>2021</v>
      </c>
      <c r="I6157" t="s">
        <v>50</v>
      </c>
    </row>
    <row r="6158" spans="1:9" x14ac:dyDescent="0.3">
      <c r="A6158" t="s">
        <v>15</v>
      </c>
      <c r="G6158">
        <v>44445</v>
      </c>
      <c r="H6158">
        <v>2021</v>
      </c>
      <c r="I6158" t="s">
        <v>50</v>
      </c>
    </row>
    <row r="6159" spans="1:9" x14ac:dyDescent="0.3">
      <c r="A6159" t="s">
        <v>54</v>
      </c>
      <c r="B6159">
        <v>108000</v>
      </c>
      <c r="C6159">
        <v>378000</v>
      </c>
      <c r="G6159">
        <v>44445</v>
      </c>
      <c r="H6159">
        <v>2021</v>
      </c>
      <c r="I6159" t="s">
        <v>50</v>
      </c>
    </row>
    <row r="6160" spans="1:9" x14ac:dyDescent="0.3">
      <c r="A6160" t="s">
        <v>26</v>
      </c>
      <c r="G6160">
        <v>44445</v>
      </c>
      <c r="H6160">
        <v>2021</v>
      </c>
      <c r="I6160" t="s">
        <v>50</v>
      </c>
    </row>
    <row r="6161" spans="1:9" x14ac:dyDescent="0.3">
      <c r="A6161" t="s">
        <v>22</v>
      </c>
      <c r="G6161">
        <v>44445</v>
      </c>
      <c r="H6161">
        <v>2021</v>
      </c>
      <c r="I6161" t="s">
        <v>50</v>
      </c>
    </row>
    <row r="6162" spans="1:9" x14ac:dyDescent="0.3">
      <c r="A6162" t="s">
        <v>61</v>
      </c>
      <c r="G6162">
        <v>44445</v>
      </c>
      <c r="H6162">
        <v>2021</v>
      </c>
      <c r="I6162" t="s">
        <v>50</v>
      </c>
    </row>
    <row r="6163" spans="1:9" x14ac:dyDescent="0.3">
      <c r="A6163" t="s">
        <v>19</v>
      </c>
      <c r="B6163">
        <v>378000</v>
      </c>
      <c r="F6163">
        <v>352000</v>
      </c>
      <c r="G6163">
        <v>44445</v>
      </c>
      <c r="H6163">
        <v>2021</v>
      </c>
      <c r="I6163" t="s">
        <v>50</v>
      </c>
    </row>
    <row r="6164" spans="1:9" x14ac:dyDescent="0.3">
      <c r="A6164" t="s">
        <v>14</v>
      </c>
      <c r="B6164">
        <v>374000</v>
      </c>
      <c r="C6164">
        <v>428000</v>
      </c>
      <c r="E6164">
        <v>54000</v>
      </c>
      <c r="G6164">
        <v>44445</v>
      </c>
      <c r="H6164">
        <v>2021</v>
      </c>
      <c r="I6164" t="s">
        <v>50</v>
      </c>
    </row>
    <row r="6165" spans="1:9" x14ac:dyDescent="0.3">
      <c r="A6165" t="s">
        <v>24</v>
      </c>
      <c r="G6165">
        <v>44445</v>
      </c>
      <c r="H6165">
        <v>2021</v>
      </c>
      <c r="I6165" t="s">
        <v>50</v>
      </c>
    </row>
    <row r="6166" spans="1:9" x14ac:dyDescent="0.3">
      <c r="A6166" t="s">
        <v>21</v>
      </c>
      <c r="G6166">
        <v>44445</v>
      </c>
      <c r="H6166">
        <v>2021</v>
      </c>
      <c r="I6166" t="s">
        <v>50</v>
      </c>
    </row>
    <row r="6167" spans="1:9" x14ac:dyDescent="0.3">
      <c r="A6167" t="s">
        <v>18</v>
      </c>
      <c r="G6167">
        <v>44445</v>
      </c>
      <c r="H6167">
        <v>2021</v>
      </c>
      <c r="I6167" t="s">
        <v>50</v>
      </c>
    </row>
    <row r="6168" spans="1:9" x14ac:dyDescent="0.3">
      <c r="A6168" t="s">
        <v>16</v>
      </c>
      <c r="B6168">
        <v>108000</v>
      </c>
      <c r="G6168">
        <v>44445</v>
      </c>
      <c r="H6168">
        <v>2021</v>
      </c>
      <c r="I6168" t="s">
        <v>50</v>
      </c>
    </row>
    <row r="6169" spans="1:9" x14ac:dyDescent="0.3">
      <c r="A6169" t="s">
        <v>20</v>
      </c>
      <c r="G6169">
        <v>44446</v>
      </c>
      <c r="H6169">
        <v>2021</v>
      </c>
      <c r="I6169" t="s">
        <v>50</v>
      </c>
    </row>
    <row r="6170" spans="1:9" x14ac:dyDescent="0.3">
      <c r="A6170" t="s">
        <v>37</v>
      </c>
      <c r="C6170">
        <v>45000</v>
      </c>
      <c r="G6170">
        <v>44446</v>
      </c>
      <c r="H6170">
        <v>2021</v>
      </c>
      <c r="I6170" t="s">
        <v>50</v>
      </c>
    </row>
    <row r="6171" spans="1:9" x14ac:dyDescent="0.3">
      <c r="A6171" t="s">
        <v>17</v>
      </c>
      <c r="B6171">
        <v>540000</v>
      </c>
      <c r="G6171">
        <v>44446</v>
      </c>
      <c r="H6171">
        <v>2021</v>
      </c>
      <c r="I6171" t="s">
        <v>50</v>
      </c>
    </row>
    <row r="6172" spans="1:9" x14ac:dyDescent="0.3">
      <c r="A6172" t="s">
        <v>0</v>
      </c>
      <c r="G6172">
        <v>44446</v>
      </c>
      <c r="H6172">
        <v>2021</v>
      </c>
      <c r="I6172" t="s">
        <v>50</v>
      </c>
    </row>
    <row r="6173" spans="1:9" x14ac:dyDescent="0.3">
      <c r="A6173" t="s">
        <v>25</v>
      </c>
      <c r="G6173">
        <v>44446</v>
      </c>
      <c r="H6173">
        <v>2021</v>
      </c>
      <c r="I6173" t="s">
        <v>50</v>
      </c>
    </row>
    <row r="6174" spans="1:9" x14ac:dyDescent="0.3">
      <c r="A6174" t="s">
        <v>15</v>
      </c>
      <c r="C6174">
        <v>90000</v>
      </c>
      <c r="G6174">
        <v>44446</v>
      </c>
      <c r="H6174">
        <v>2021</v>
      </c>
      <c r="I6174" t="s">
        <v>50</v>
      </c>
    </row>
    <row r="6175" spans="1:9" x14ac:dyDescent="0.3">
      <c r="A6175" t="s">
        <v>54</v>
      </c>
      <c r="B6175">
        <v>643500</v>
      </c>
      <c r="C6175">
        <v>324000</v>
      </c>
      <c r="G6175">
        <v>44446</v>
      </c>
      <c r="H6175">
        <v>2021</v>
      </c>
      <c r="I6175" t="s">
        <v>50</v>
      </c>
    </row>
    <row r="6176" spans="1:9" x14ac:dyDescent="0.3">
      <c r="A6176" t="s">
        <v>26</v>
      </c>
      <c r="G6176">
        <v>44446</v>
      </c>
      <c r="H6176">
        <v>2021</v>
      </c>
      <c r="I6176" t="s">
        <v>50</v>
      </c>
    </row>
    <row r="6177" spans="1:9" x14ac:dyDescent="0.3">
      <c r="A6177" t="s">
        <v>22</v>
      </c>
      <c r="G6177">
        <v>44446</v>
      </c>
      <c r="H6177">
        <v>2021</v>
      </c>
      <c r="I6177" t="s">
        <v>50</v>
      </c>
    </row>
    <row r="6178" spans="1:9" x14ac:dyDescent="0.3">
      <c r="A6178" t="s">
        <v>61</v>
      </c>
      <c r="G6178">
        <v>44446</v>
      </c>
      <c r="H6178">
        <v>2021</v>
      </c>
      <c r="I6178" t="s">
        <v>50</v>
      </c>
    </row>
    <row r="6179" spans="1:9" x14ac:dyDescent="0.3">
      <c r="A6179" t="s">
        <v>19</v>
      </c>
      <c r="B6179">
        <v>207000</v>
      </c>
      <c r="F6179">
        <v>540000</v>
      </c>
      <c r="G6179">
        <v>44446</v>
      </c>
      <c r="H6179">
        <v>2021</v>
      </c>
      <c r="I6179" t="s">
        <v>50</v>
      </c>
    </row>
    <row r="6180" spans="1:9" x14ac:dyDescent="0.3">
      <c r="A6180" t="s">
        <v>14</v>
      </c>
      <c r="B6180">
        <v>486000</v>
      </c>
      <c r="C6180">
        <v>324000</v>
      </c>
      <c r="G6180">
        <v>44446</v>
      </c>
      <c r="H6180">
        <v>2021</v>
      </c>
      <c r="I6180" t="s">
        <v>50</v>
      </c>
    </row>
    <row r="6181" spans="1:9" x14ac:dyDescent="0.3">
      <c r="A6181" t="s">
        <v>24</v>
      </c>
      <c r="G6181">
        <v>44446</v>
      </c>
      <c r="H6181">
        <v>2021</v>
      </c>
      <c r="I6181" t="s">
        <v>50</v>
      </c>
    </row>
    <row r="6182" spans="1:9" x14ac:dyDescent="0.3">
      <c r="A6182" t="s">
        <v>21</v>
      </c>
      <c r="G6182">
        <v>44446</v>
      </c>
      <c r="H6182">
        <v>2021</v>
      </c>
      <c r="I6182" t="s">
        <v>50</v>
      </c>
    </row>
    <row r="6183" spans="1:9" x14ac:dyDescent="0.3">
      <c r="A6183" t="s">
        <v>18</v>
      </c>
      <c r="G6183">
        <v>44446</v>
      </c>
      <c r="H6183">
        <v>2021</v>
      </c>
      <c r="I6183" t="s">
        <v>50</v>
      </c>
    </row>
    <row r="6184" spans="1:9" x14ac:dyDescent="0.3">
      <c r="A6184" t="s">
        <v>16</v>
      </c>
      <c r="G6184">
        <v>44446</v>
      </c>
      <c r="H6184">
        <v>2021</v>
      </c>
      <c r="I6184" t="s">
        <v>50</v>
      </c>
    </row>
    <row r="6185" spans="1:9" x14ac:dyDescent="0.3">
      <c r="A6185" t="s">
        <v>20</v>
      </c>
      <c r="G6185">
        <v>44447</v>
      </c>
      <c r="H6185">
        <v>2021</v>
      </c>
      <c r="I6185" t="s">
        <v>50</v>
      </c>
    </row>
    <row r="6186" spans="1:9" x14ac:dyDescent="0.3">
      <c r="A6186" t="s">
        <v>37</v>
      </c>
      <c r="G6186">
        <v>44447</v>
      </c>
      <c r="H6186">
        <v>2021</v>
      </c>
      <c r="I6186" t="s">
        <v>50</v>
      </c>
    </row>
    <row r="6187" spans="1:9" x14ac:dyDescent="0.3">
      <c r="A6187" t="s">
        <v>17</v>
      </c>
      <c r="B6187">
        <v>1134000</v>
      </c>
      <c r="E6187">
        <v>54000</v>
      </c>
      <c r="G6187">
        <v>44447</v>
      </c>
      <c r="H6187">
        <v>2021</v>
      </c>
      <c r="I6187" t="s">
        <v>50</v>
      </c>
    </row>
    <row r="6188" spans="1:9" x14ac:dyDescent="0.3">
      <c r="A6188" t="s">
        <v>0</v>
      </c>
      <c r="C6188">
        <v>212000</v>
      </c>
      <c r="E6188">
        <v>216000</v>
      </c>
      <c r="G6188">
        <v>44447</v>
      </c>
      <c r="H6188">
        <v>2021</v>
      </c>
      <c r="I6188" t="s">
        <v>50</v>
      </c>
    </row>
    <row r="6189" spans="1:9" x14ac:dyDescent="0.3">
      <c r="A6189" t="s">
        <v>25</v>
      </c>
      <c r="E6189">
        <v>108000</v>
      </c>
      <c r="G6189">
        <v>44447</v>
      </c>
      <c r="H6189">
        <v>2021</v>
      </c>
      <c r="I6189" t="s">
        <v>50</v>
      </c>
    </row>
    <row r="6190" spans="1:9" x14ac:dyDescent="0.3">
      <c r="A6190" t="s">
        <v>15</v>
      </c>
      <c r="E6190">
        <v>54000</v>
      </c>
      <c r="G6190">
        <v>44447</v>
      </c>
      <c r="H6190">
        <v>2021</v>
      </c>
      <c r="I6190" t="s">
        <v>50</v>
      </c>
    </row>
    <row r="6191" spans="1:9" x14ac:dyDescent="0.3">
      <c r="A6191" t="s">
        <v>54</v>
      </c>
      <c r="B6191">
        <v>594000</v>
      </c>
      <c r="C6191">
        <v>424000</v>
      </c>
      <c r="G6191">
        <v>44447</v>
      </c>
      <c r="H6191">
        <v>2021</v>
      </c>
      <c r="I6191" t="s">
        <v>50</v>
      </c>
    </row>
    <row r="6192" spans="1:9" x14ac:dyDescent="0.3">
      <c r="A6192" t="s">
        <v>26</v>
      </c>
      <c r="C6192">
        <v>45000</v>
      </c>
      <c r="G6192">
        <v>44447</v>
      </c>
      <c r="H6192">
        <v>2021</v>
      </c>
      <c r="I6192" t="s">
        <v>50</v>
      </c>
    </row>
    <row r="6193" spans="1:9" x14ac:dyDescent="0.3">
      <c r="A6193" t="s">
        <v>22</v>
      </c>
      <c r="G6193">
        <v>44447</v>
      </c>
      <c r="H6193">
        <v>2021</v>
      </c>
      <c r="I6193" t="s">
        <v>50</v>
      </c>
    </row>
    <row r="6194" spans="1:9" x14ac:dyDescent="0.3">
      <c r="A6194" t="s">
        <v>61</v>
      </c>
      <c r="G6194">
        <v>44447</v>
      </c>
      <c r="H6194">
        <v>2021</v>
      </c>
      <c r="I6194" t="s">
        <v>50</v>
      </c>
    </row>
    <row r="6195" spans="1:9" x14ac:dyDescent="0.3">
      <c r="A6195" t="s">
        <v>19</v>
      </c>
      <c r="F6195">
        <v>415000</v>
      </c>
      <c r="G6195">
        <v>44447</v>
      </c>
      <c r="H6195">
        <v>2021</v>
      </c>
      <c r="I6195" t="s">
        <v>50</v>
      </c>
    </row>
    <row r="6196" spans="1:9" x14ac:dyDescent="0.3">
      <c r="A6196" t="s">
        <v>14</v>
      </c>
      <c r="B6196">
        <v>153000</v>
      </c>
      <c r="C6196">
        <v>432000</v>
      </c>
      <c r="E6196">
        <v>54000</v>
      </c>
      <c r="G6196">
        <v>44447</v>
      </c>
      <c r="H6196">
        <v>2021</v>
      </c>
      <c r="I6196" t="s">
        <v>50</v>
      </c>
    </row>
    <row r="6197" spans="1:9" x14ac:dyDescent="0.3">
      <c r="A6197" t="s">
        <v>24</v>
      </c>
      <c r="G6197">
        <v>44447</v>
      </c>
      <c r="H6197">
        <v>2021</v>
      </c>
      <c r="I6197" t="s">
        <v>50</v>
      </c>
    </row>
    <row r="6198" spans="1:9" x14ac:dyDescent="0.3">
      <c r="A6198" t="s">
        <v>21</v>
      </c>
      <c r="G6198">
        <v>44447</v>
      </c>
      <c r="H6198">
        <v>2021</v>
      </c>
      <c r="I6198" t="s">
        <v>50</v>
      </c>
    </row>
    <row r="6199" spans="1:9" x14ac:dyDescent="0.3">
      <c r="A6199" t="s">
        <v>18</v>
      </c>
      <c r="G6199">
        <v>44447</v>
      </c>
      <c r="H6199">
        <v>2021</v>
      </c>
      <c r="I6199" t="s">
        <v>50</v>
      </c>
    </row>
    <row r="6200" spans="1:9" x14ac:dyDescent="0.3">
      <c r="A6200" t="s">
        <v>16</v>
      </c>
      <c r="G6200">
        <v>44447</v>
      </c>
      <c r="H6200">
        <v>2021</v>
      </c>
      <c r="I6200" t="s">
        <v>50</v>
      </c>
    </row>
    <row r="6201" spans="1:9" x14ac:dyDescent="0.3">
      <c r="A6201" t="s">
        <v>20</v>
      </c>
      <c r="G6201">
        <v>44448</v>
      </c>
      <c r="H6201">
        <v>2021</v>
      </c>
      <c r="I6201" t="s">
        <v>50</v>
      </c>
    </row>
    <row r="6202" spans="1:9" x14ac:dyDescent="0.3">
      <c r="A6202" t="s">
        <v>37</v>
      </c>
      <c r="G6202">
        <v>44448</v>
      </c>
      <c r="H6202">
        <v>2021</v>
      </c>
      <c r="I6202" t="s">
        <v>50</v>
      </c>
    </row>
    <row r="6203" spans="1:9" x14ac:dyDescent="0.3">
      <c r="A6203" t="s">
        <v>17</v>
      </c>
      <c r="B6203">
        <v>108000</v>
      </c>
      <c r="G6203">
        <v>44448</v>
      </c>
      <c r="H6203">
        <v>2021</v>
      </c>
      <c r="I6203" t="s">
        <v>50</v>
      </c>
    </row>
    <row r="6204" spans="1:9" x14ac:dyDescent="0.3">
      <c r="A6204" t="s">
        <v>0</v>
      </c>
      <c r="C6204">
        <v>644000</v>
      </c>
      <c r="G6204">
        <v>44448</v>
      </c>
      <c r="H6204">
        <v>2021</v>
      </c>
      <c r="I6204" t="s">
        <v>50</v>
      </c>
    </row>
    <row r="6205" spans="1:9" x14ac:dyDescent="0.3">
      <c r="A6205" t="s">
        <v>25</v>
      </c>
      <c r="G6205">
        <v>44448</v>
      </c>
      <c r="H6205">
        <v>2021</v>
      </c>
      <c r="I6205" t="s">
        <v>50</v>
      </c>
    </row>
    <row r="6206" spans="1:9" x14ac:dyDescent="0.3">
      <c r="A6206" t="s">
        <v>15</v>
      </c>
      <c r="G6206">
        <v>44448</v>
      </c>
      <c r="H6206">
        <v>2021</v>
      </c>
      <c r="I6206" t="s">
        <v>50</v>
      </c>
    </row>
    <row r="6207" spans="1:9" x14ac:dyDescent="0.3">
      <c r="A6207" t="s">
        <v>54</v>
      </c>
      <c r="B6207">
        <v>162000</v>
      </c>
      <c r="G6207">
        <v>44448</v>
      </c>
      <c r="H6207">
        <v>2021</v>
      </c>
      <c r="I6207" t="s">
        <v>50</v>
      </c>
    </row>
    <row r="6208" spans="1:9" x14ac:dyDescent="0.3">
      <c r="A6208" t="s">
        <v>26</v>
      </c>
      <c r="B6208">
        <v>135000</v>
      </c>
      <c r="G6208">
        <v>44448</v>
      </c>
      <c r="H6208">
        <v>2021</v>
      </c>
      <c r="I6208" t="s">
        <v>50</v>
      </c>
    </row>
    <row r="6209" spans="1:9" x14ac:dyDescent="0.3">
      <c r="A6209" t="s">
        <v>22</v>
      </c>
      <c r="G6209">
        <v>44448</v>
      </c>
      <c r="H6209">
        <v>2021</v>
      </c>
      <c r="I6209" t="s">
        <v>50</v>
      </c>
    </row>
    <row r="6210" spans="1:9" x14ac:dyDescent="0.3">
      <c r="A6210" t="s">
        <v>61</v>
      </c>
      <c r="G6210">
        <v>44448</v>
      </c>
      <c r="H6210">
        <v>2021</v>
      </c>
      <c r="I6210" t="s">
        <v>50</v>
      </c>
    </row>
    <row r="6211" spans="1:9" x14ac:dyDescent="0.3">
      <c r="A6211" t="s">
        <v>19</v>
      </c>
      <c r="C6211">
        <v>324000</v>
      </c>
      <c r="E6211">
        <v>54000</v>
      </c>
      <c r="F6211">
        <v>45000</v>
      </c>
      <c r="G6211">
        <v>44448</v>
      </c>
      <c r="H6211">
        <v>2021</v>
      </c>
      <c r="I6211" t="s">
        <v>50</v>
      </c>
    </row>
    <row r="6212" spans="1:9" x14ac:dyDescent="0.3">
      <c r="A6212" t="s">
        <v>14</v>
      </c>
      <c r="B6212">
        <v>45000</v>
      </c>
      <c r="C6212">
        <v>216000</v>
      </c>
      <c r="G6212">
        <v>44448</v>
      </c>
      <c r="H6212">
        <v>2021</v>
      </c>
      <c r="I6212" t="s">
        <v>50</v>
      </c>
    </row>
    <row r="6213" spans="1:9" x14ac:dyDescent="0.3">
      <c r="A6213" t="s">
        <v>24</v>
      </c>
      <c r="G6213">
        <v>44448</v>
      </c>
      <c r="H6213">
        <v>2021</v>
      </c>
      <c r="I6213" t="s">
        <v>50</v>
      </c>
    </row>
    <row r="6214" spans="1:9" x14ac:dyDescent="0.3">
      <c r="A6214" t="s">
        <v>21</v>
      </c>
      <c r="G6214">
        <v>44448</v>
      </c>
      <c r="H6214">
        <v>2021</v>
      </c>
      <c r="I6214" t="s">
        <v>50</v>
      </c>
    </row>
    <row r="6215" spans="1:9" x14ac:dyDescent="0.3">
      <c r="A6215" t="s">
        <v>18</v>
      </c>
      <c r="G6215">
        <v>44448</v>
      </c>
      <c r="H6215">
        <v>2021</v>
      </c>
      <c r="I6215" t="s">
        <v>50</v>
      </c>
    </row>
    <row r="6216" spans="1:9" x14ac:dyDescent="0.3">
      <c r="A6216" t="s">
        <v>16</v>
      </c>
      <c r="C6216">
        <v>270000</v>
      </c>
      <c r="G6216">
        <v>44448</v>
      </c>
      <c r="H6216">
        <v>2021</v>
      </c>
      <c r="I6216" t="s">
        <v>50</v>
      </c>
    </row>
    <row r="6217" spans="1:9" x14ac:dyDescent="0.3">
      <c r="A6217" t="s">
        <v>20</v>
      </c>
      <c r="G6217">
        <v>44449</v>
      </c>
      <c r="H6217">
        <v>2021</v>
      </c>
      <c r="I6217" t="s">
        <v>50</v>
      </c>
    </row>
    <row r="6218" spans="1:9" x14ac:dyDescent="0.3">
      <c r="A6218" t="s">
        <v>37</v>
      </c>
      <c r="G6218">
        <v>44449</v>
      </c>
      <c r="H6218">
        <v>2021</v>
      </c>
      <c r="I6218" t="s">
        <v>50</v>
      </c>
    </row>
    <row r="6219" spans="1:9" x14ac:dyDescent="0.3">
      <c r="A6219" t="s">
        <v>17</v>
      </c>
      <c r="E6219">
        <v>162000</v>
      </c>
      <c r="G6219">
        <v>44449</v>
      </c>
      <c r="H6219">
        <v>2021</v>
      </c>
      <c r="I6219" t="s">
        <v>50</v>
      </c>
    </row>
    <row r="6220" spans="1:9" x14ac:dyDescent="0.3">
      <c r="A6220" t="s">
        <v>0</v>
      </c>
      <c r="C6220">
        <v>639000</v>
      </c>
      <c r="G6220">
        <v>44449</v>
      </c>
      <c r="H6220">
        <v>2021</v>
      </c>
      <c r="I6220" t="s">
        <v>50</v>
      </c>
    </row>
    <row r="6221" spans="1:9" x14ac:dyDescent="0.3">
      <c r="A6221" t="s">
        <v>25</v>
      </c>
      <c r="G6221">
        <v>44449</v>
      </c>
      <c r="H6221">
        <v>2021</v>
      </c>
      <c r="I6221" t="s">
        <v>50</v>
      </c>
    </row>
    <row r="6222" spans="1:9" x14ac:dyDescent="0.3">
      <c r="A6222" t="s">
        <v>15</v>
      </c>
      <c r="G6222">
        <v>44449</v>
      </c>
      <c r="H6222">
        <v>2021</v>
      </c>
      <c r="I6222" t="s">
        <v>50</v>
      </c>
    </row>
    <row r="6223" spans="1:9" x14ac:dyDescent="0.3">
      <c r="A6223" t="s">
        <v>54</v>
      </c>
      <c r="C6223">
        <v>162000</v>
      </c>
      <c r="G6223">
        <v>44449</v>
      </c>
      <c r="H6223">
        <v>2021</v>
      </c>
      <c r="I6223" t="s">
        <v>50</v>
      </c>
    </row>
    <row r="6224" spans="1:9" x14ac:dyDescent="0.3">
      <c r="A6224" t="s">
        <v>26</v>
      </c>
      <c r="G6224">
        <v>44449</v>
      </c>
      <c r="H6224">
        <v>2021</v>
      </c>
      <c r="I6224" t="s">
        <v>50</v>
      </c>
    </row>
    <row r="6225" spans="1:9" x14ac:dyDescent="0.3">
      <c r="A6225" t="s">
        <v>22</v>
      </c>
      <c r="G6225">
        <v>44449</v>
      </c>
      <c r="H6225">
        <v>2021</v>
      </c>
      <c r="I6225" t="s">
        <v>50</v>
      </c>
    </row>
    <row r="6226" spans="1:9" x14ac:dyDescent="0.3">
      <c r="A6226" t="s">
        <v>61</v>
      </c>
      <c r="G6226">
        <v>44449</v>
      </c>
      <c r="H6226">
        <v>2021</v>
      </c>
      <c r="I6226" t="s">
        <v>50</v>
      </c>
    </row>
    <row r="6227" spans="1:9" x14ac:dyDescent="0.3">
      <c r="A6227" t="s">
        <v>19</v>
      </c>
      <c r="C6227">
        <v>270000</v>
      </c>
      <c r="G6227">
        <v>44449</v>
      </c>
      <c r="H6227">
        <v>2021</v>
      </c>
      <c r="I6227" t="s">
        <v>50</v>
      </c>
    </row>
    <row r="6228" spans="1:9" x14ac:dyDescent="0.3">
      <c r="A6228" t="s">
        <v>14</v>
      </c>
      <c r="C6228">
        <v>162000</v>
      </c>
      <c r="G6228">
        <v>44449</v>
      </c>
      <c r="H6228">
        <v>2021</v>
      </c>
      <c r="I6228" t="s">
        <v>50</v>
      </c>
    </row>
    <row r="6229" spans="1:9" x14ac:dyDescent="0.3">
      <c r="A6229" t="s">
        <v>24</v>
      </c>
      <c r="G6229">
        <v>44449</v>
      </c>
      <c r="H6229">
        <v>2021</v>
      </c>
      <c r="I6229" t="s">
        <v>50</v>
      </c>
    </row>
    <row r="6230" spans="1:9" x14ac:dyDescent="0.3">
      <c r="A6230" t="s">
        <v>21</v>
      </c>
      <c r="G6230">
        <v>44449</v>
      </c>
      <c r="H6230">
        <v>2021</v>
      </c>
      <c r="I6230" t="s">
        <v>50</v>
      </c>
    </row>
    <row r="6231" spans="1:9" x14ac:dyDescent="0.3">
      <c r="A6231" t="s">
        <v>18</v>
      </c>
      <c r="G6231">
        <v>44449</v>
      </c>
      <c r="H6231">
        <v>2021</v>
      </c>
      <c r="I6231" t="s">
        <v>50</v>
      </c>
    </row>
    <row r="6232" spans="1:9" x14ac:dyDescent="0.3">
      <c r="A6232" t="s">
        <v>16</v>
      </c>
      <c r="C6232">
        <v>216000</v>
      </c>
      <c r="G6232">
        <v>44449</v>
      </c>
      <c r="H6232">
        <v>2021</v>
      </c>
      <c r="I6232" t="s">
        <v>50</v>
      </c>
    </row>
    <row r="6233" spans="1:9" x14ac:dyDescent="0.3">
      <c r="A6233" t="s">
        <v>20</v>
      </c>
      <c r="G6233">
        <v>44452</v>
      </c>
      <c r="H6233">
        <v>2021</v>
      </c>
      <c r="I6233" t="s">
        <v>50</v>
      </c>
    </row>
    <row r="6234" spans="1:9" x14ac:dyDescent="0.3">
      <c r="A6234" t="s">
        <v>37</v>
      </c>
      <c r="G6234">
        <v>44452</v>
      </c>
      <c r="H6234">
        <v>2021</v>
      </c>
      <c r="I6234" t="s">
        <v>50</v>
      </c>
    </row>
    <row r="6235" spans="1:9" x14ac:dyDescent="0.3">
      <c r="A6235" t="s">
        <v>17</v>
      </c>
      <c r="B6235">
        <v>1985000</v>
      </c>
      <c r="G6235">
        <v>44452</v>
      </c>
      <c r="H6235">
        <v>2021</v>
      </c>
      <c r="I6235" t="s">
        <v>50</v>
      </c>
    </row>
    <row r="6236" spans="1:9" x14ac:dyDescent="0.3">
      <c r="A6236" t="s">
        <v>0</v>
      </c>
      <c r="C6236">
        <v>424000</v>
      </c>
      <c r="E6236">
        <v>270000</v>
      </c>
      <c r="G6236">
        <v>44452</v>
      </c>
      <c r="H6236">
        <v>2021</v>
      </c>
      <c r="I6236" t="s">
        <v>50</v>
      </c>
    </row>
    <row r="6237" spans="1:9" x14ac:dyDescent="0.3">
      <c r="A6237" t="s">
        <v>25</v>
      </c>
      <c r="E6237">
        <v>108000</v>
      </c>
      <c r="G6237">
        <v>44452</v>
      </c>
      <c r="H6237">
        <v>2021</v>
      </c>
      <c r="I6237" t="s">
        <v>50</v>
      </c>
    </row>
    <row r="6238" spans="1:9" x14ac:dyDescent="0.3">
      <c r="A6238" t="s">
        <v>15</v>
      </c>
      <c r="B6238">
        <v>45000</v>
      </c>
      <c r="E6238">
        <v>54000</v>
      </c>
      <c r="G6238">
        <v>44452</v>
      </c>
      <c r="H6238">
        <v>2021</v>
      </c>
      <c r="I6238" t="s">
        <v>50</v>
      </c>
    </row>
    <row r="6239" spans="1:9" x14ac:dyDescent="0.3">
      <c r="A6239" t="s">
        <v>54</v>
      </c>
      <c r="C6239">
        <v>254000</v>
      </c>
      <c r="G6239">
        <v>44452</v>
      </c>
      <c r="H6239">
        <v>2021</v>
      </c>
      <c r="I6239" t="s">
        <v>50</v>
      </c>
    </row>
    <row r="6240" spans="1:9" x14ac:dyDescent="0.3">
      <c r="A6240" t="s">
        <v>26</v>
      </c>
      <c r="B6240">
        <v>45000</v>
      </c>
      <c r="G6240">
        <v>44452</v>
      </c>
      <c r="H6240">
        <v>2021</v>
      </c>
      <c r="I6240" t="s">
        <v>50</v>
      </c>
    </row>
    <row r="6241" spans="1:9" x14ac:dyDescent="0.3">
      <c r="A6241" t="s">
        <v>22</v>
      </c>
      <c r="G6241">
        <v>44452</v>
      </c>
      <c r="H6241">
        <v>2021</v>
      </c>
      <c r="I6241" t="s">
        <v>50</v>
      </c>
    </row>
    <row r="6242" spans="1:9" x14ac:dyDescent="0.3">
      <c r="A6242" t="s">
        <v>61</v>
      </c>
      <c r="G6242">
        <v>44452</v>
      </c>
      <c r="H6242">
        <v>2021</v>
      </c>
      <c r="I6242" t="s">
        <v>50</v>
      </c>
    </row>
    <row r="6243" spans="1:9" x14ac:dyDescent="0.3">
      <c r="A6243" t="s">
        <v>19</v>
      </c>
      <c r="C6243">
        <v>99000</v>
      </c>
      <c r="E6243">
        <v>108000</v>
      </c>
      <c r="G6243">
        <v>44452</v>
      </c>
      <c r="H6243">
        <v>2021</v>
      </c>
      <c r="I6243" t="s">
        <v>50</v>
      </c>
    </row>
    <row r="6244" spans="1:9" x14ac:dyDescent="0.3">
      <c r="A6244" t="s">
        <v>14</v>
      </c>
      <c r="C6244">
        <v>211500</v>
      </c>
      <c r="G6244">
        <v>44452</v>
      </c>
      <c r="H6244">
        <v>2021</v>
      </c>
      <c r="I6244" t="s">
        <v>50</v>
      </c>
    </row>
    <row r="6245" spans="1:9" x14ac:dyDescent="0.3">
      <c r="A6245" t="s">
        <v>24</v>
      </c>
      <c r="G6245">
        <v>44452</v>
      </c>
      <c r="H6245">
        <v>2021</v>
      </c>
      <c r="I6245" t="s">
        <v>50</v>
      </c>
    </row>
    <row r="6246" spans="1:9" x14ac:dyDescent="0.3">
      <c r="A6246" t="s">
        <v>21</v>
      </c>
      <c r="G6246">
        <v>44452</v>
      </c>
      <c r="H6246">
        <v>2021</v>
      </c>
      <c r="I6246" t="s">
        <v>50</v>
      </c>
    </row>
    <row r="6247" spans="1:9" x14ac:dyDescent="0.3">
      <c r="A6247" t="s">
        <v>18</v>
      </c>
      <c r="G6247">
        <v>44452</v>
      </c>
      <c r="H6247">
        <v>2021</v>
      </c>
      <c r="I6247" t="s">
        <v>50</v>
      </c>
    </row>
    <row r="6248" spans="1:9" x14ac:dyDescent="0.3">
      <c r="A6248" t="s">
        <v>16</v>
      </c>
      <c r="B6248">
        <v>45000</v>
      </c>
      <c r="C6248">
        <v>270000</v>
      </c>
      <c r="G6248">
        <v>44452</v>
      </c>
      <c r="H6248">
        <v>2021</v>
      </c>
      <c r="I6248" t="s">
        <v>50</v>
      </c>
    </row>
    <row r="6249" spans="1:9" x14ac:dyDescent="0.3">
      <c r="A6249" t="s">
        <v>20</v>
      </c>
      <c r="G6249">
        <v>44453</v>
      </c>
      <c r="H6249">
        <v>2021</v>
      </c>
      <c r="I6249" t="s">
        <v>50</v>
      </c>
    </row>
    <row r="6250" spans="1:9" x14ac:dyDescent="0.3">
      <c r="A6250" t="s">
        <v>37</v>
      </c>
      <c r="G6250">
        <v>44453</v>
      </c>
      <c r="H6250">
        <v>2021</v>
      </c>
      <c r="I6250" t="s">
        <v>50</v>
      </c>
    </row>
    <row r="6251" spans="1:9" x14ac:dyDescent="0.3">
      <c r="A6251" t="s">
        <v>17</v>
      </c>
      <c r="B6251">
        <v>374000</v>
      </c>
      <c r="G6251">
        <v>44453</v>
      </c>
      <c r="H6251">
        <v>2021</v>
      </c>
      <c r="I6251" t="s">
        <v>50</v>
      </c>
    </row>
    <row r="6252" spans="1:9" x14ac:dyDescent="0.3">
      <c r="A6252" t="s">
        <v>0</v>
      </c>
      <c r="G6252">
        <v>44453</v>
      </c>
      <c r="H6252">
        <v>2021</v>
      </c>
      <c r="I6252" t="s">
        <v>50</v>
      </c>
    </row>
    <row r="6253" spans="1:9" x14ac:dyDescent="0.3">
      <c r="A6253" t="s">
        <v>25</v>
      </c>
      <c r="B6253">
        <v>1564000</v>
      </c>
      <c r="C6253">
        <v>216000</v>
      </c>
      <c r="G6253">
        <v>44453</v>
      </c>
      <c r="H6253">
        <v>2021</v>
      </c>
      <c r="I6253" t="s">
        <v>50</v>
      </c>
    </row>
    <row r="6254" spans="1:9" x14ac:dyDescent="0.3">
      <c r="A6254" t="s">
        <v>15</v>
      </c>
      <c r="G6254">
        <v>44453</v>
      </c>
      <c r="H6254">
        <v>2021</v>
      </c>
      <c r="I6254" t="s">
        <v>50</v>
      </c>
    </row>
    <row r="6255" spans="1:9" x14ac:dyDescent="0.3">
      <c r="A6255" t="s">
        <v>54</v>
      </c>
      <c r="G6255">
        <v>44453</v>
      </c>
      <c r="H6255">
        <v>2021</v>
      </c>
      <c r="I6255" t="s">
        <v>50</v>
      </c>
    </row>
    <row r="6256" spans="1:9" x14ac:dyDescent="0.3">
      <c r="A6256" t="s">
        <v>26</v>
      </c>
      <c r="C6256">
        <v>211500</v>
      </c>
      <c r="G6256">
        <v>44453</v>
      </c>
      <c r="H6256">
        <v>2021</v>
      </c>
      <c r="I6256" t="s">
        <v>50</v>
      </c>
    </row>
    <row r="6257" spans="1:9" x14ac:dyDescent="0.3">
      <c r="A6257" t="s">
        <v>22</v>
      </c>
      <c r="G6257">
        <v>44453</v>
      </c>
      <c r="H6257">
        <v>2021</v>
      </c>
      <c r="I6257" t="s">
        <v>50</v>
      </c>
    </row>
    <row r="6258" spans="1:9" x14ac:dyDescent="0.3">
      <c r="A6258" t="s">
        <v>61</v>
      </c>
      <c r="G6258">
        <v>44453</v>
      </c>
      <c r="H6258">
        <v>2021</v>
      </c>
      <c r="I6258" t="s">
        <v>50</v>
      </c>
    </row>
    <row r="6259" spans="1:9" x14ac:dyDescent="0.3">
      <c r="A6259" t="s">
        <v>19</v>
      </c>
      <c r="C6259">
        <v>108000</v>
      </c>
      <c r="G6259">
        <v>44453</v>
      </c>
      <c r="H6259">
        <v>2021</v>
      </c>
      <c r="I6259" t="s">
        <v>50</v>
      </c>
    </row>
    <row r="6260" spans="1:9" x14ac:dyDescent="0.3">
      <c r="A6260" t="s">
        <v>14</v>
      </c>
      <c r="C6260">
        <v>270000</v>
      </c>
      <c r="G6260">
        <v>44453</v>
      </c>
      <c r="H6260">
        <v>2021</v>
      </c>
      <c r="I6260" t="s">
        <v>50</v>
      </c>
    </row>
    <row r="6261" spans="1:9" x14ac:dyDescent="0.3">
      <c r="A6261" t="s">
        <v>24</v>
      </c>
      <c r="G6261">
        <v>44453</v>
      </c>
      <c r="H6261">
        <v>2021</v>
      </c>
      <c r="I6261" t="s">
        <v>50</v>
      </c>
    </row>
    <row r="6262" spans="1:9" x14ac:dyDescent="0.3">
      <c r="A6262" t="s">
        <v>21</v>
      </c>
      <c r="G6262">
        <v>44453</v>
      </c>
      <c r="H6262">
        <v>2021</v>
      </c>
      <c r="I6262" t="s">
        <v>50</v>
      </c>
    </row>
    <row r="6263" spans="1:9" x14ac:dyDescent="0.3">
      <c r="A6263" t="s">
        <v>18</v>
      </c>
      <c r="G6263">
        <v>44453</v>
      </c>
      <c r="H6263">
        <v>2021</v>
      </c>
      <c r="I6263" t="s">
        <v>50</v>
      </c>
    </row>
    <row r="6264" spans="1:9" x14ac:dyDescent="0.3">
      <c r="A6264" t="s">
        <v>16</v>
      </c>
      <c r="C6264">
        <v>206500</v>
      </c>
      <c r="G6264">
        <v>44453</v>
      </c>
      <c r="H6264">
        <v>2021</v>
      </c>
      <c r="I6264" t="s">
        <v>50</v>
      </c>
    </row>
    <row r="6265" spans="1:9" x14ac:dyDescent="0.3">
      <c r="A6265" t="s">
        <v>20</v>
      </c>
      <c r="G6265">
        <v>44454</v>
      </c>
      <c r="H6265">
        <v>2021</v>
      </c>
      <c r="I6265" t="s">
        <v>50</v>
      </c>
    </row>
    <row r="6266" spans="1:9" x14ac:dyDescent="0.3">
      <c r="A6266" t="s">
        <v>37</v>
      </c>
      <c r="G6266">
        <v>44454</v>
      </c>
      <c r="H6266">
        <v>2021</v>
      </c>
      <c r="I6266" t="s">
        <v>50</v>
      </c>
    </row>
    <row r="6267" spans="1:9" x14ac:dyDescent="0.3">
      <c r="A6267" t="s">
        <v>17</v>
      </c>
      <c r="G6267">
        <v>44454</v>
      </c>
      <c r="H6267">
        <v>2021</v>
      </c>
      <c r="I6267" t="s">
        <v>50</v>
      </c>
    </row>
    <row r="6268" spans="1:9" x14ac:dyDescent="0.3">
      <c r="A6268" t="s">
        <v>0</v>
      </c>
      <c r="C6268">
        <v>810000</v>
      </c>
      <c r="G6268">
        <v>44454</v>
      </c>
      <c r="H6268">
        <v>2021</v>
      </c>
      <c r="I6268" t="s">
        <v>50</v>
      </c>
    </row>
    <row r="6269" spans="1:9" x14ac:dyDescent="0.3">
      <c r="A6269" t="s">
        <v>25</v>
      </c>
      <c r="B6269">
        <v>378000</v>
      </c>
      <c r="C6269">
        <v>162000</v>
      </c>
      <c r="F6269">
        <v>150000</v>
      </c>
      <c r="G6269">
        <v>44454</v>
      </c>
      <c r="H6269">
        <v>2021</v>
      </c>
      <c r="I6269" t="s">
        <v>50</v>
      </c>
    </row>
    <row r="6270" spans="1:9" x14ac:dyDescent="0.3">
      <c r="A6270" t="s">
        <v>15</v>
      </c>
      <c r="G6270">
        <v>44454</v>
      </c>
      <c r="H6270">
        <v>2021</v>
      </c>
      <c r="I6270" t="s">
        <v>50</v>
      </c>
    </row>
    <row r="6271" spans="1:9" x14ac:dyDescent="0.3">
      <c r="A6271" t="s">
        <v>54</v>
      </c>
      <c r="G6271">
        <v>44454</v>
      </c>
      <c r="H6271">
        <v>2021</v>
      </c>
      <c r="I6271" t="s">
        <v>50</v>
      </c>
    </row>
    <row r="6272" spans="1:9" x14ac:dyDescent="0.3">
      <c r="A6272" t="s">
        <v>26</v>
      </c>
      <c r="C6272">
        <v>216000</v>
      </c>
      <c r="G6272">
        <v>44454</v>
      </c>
      <c r="H6272">
        <v>2021</v>
      </c>
      <c r="I6272" t="s">
        <v>50</v>
      </c>
    </row>
    <row r="6273" spans="1:9" x14ac:dyDescent="0.3">
      <c r="A6273" t="s">
        <v>22</v>
      </c>
      <c r="G6273">
        <v>44454</v>
      </c>
      <c r="H6273">
        <v>2021</v>
      </c>
      <c r="I6273" t="s">
        <v>50</v>
      </c>
    </row>
    <row r="6274" spans="1:9" x14ac:dyDescent="0.3">
      <c r="A6274" t="s">
        <v>61</v>
      </c>
      <c r="G6274">
        <v>44454</v>
      </c>
      <c r="H6274">
        <v>2021</v>
      </c>
      <c r="I6274" t="s">
        <v>50</v>
      </c>
    </row>
    <row r="6275" spans="1:9" x14ac:dyDescent="0.3">
      <c r="A6275" t="s">
        <v>19</v>
      </c>
      <c r="C6275">
        <v>1107000</v>
      </c>
      <c r="G6275">
        <v>44454</v>
      </c>
      <c r="H6275">
        <v>2021</v>
      </c>
      <c r="I6275" t="s">
        <v>50</v>
      </c>
    </row>
    <row r="6276" spans="1:9" x14ac:dyDescent="0.3">
      <c r="A6276" t="s">
        <v>14</v>
      </c>
      <c r="C6276">
        <v>54000</v>
      </c>
      <c r="G6276">
        <v>44454</v>
      </c>
      <c r="H6276">
        <v>2021</v>
      </c>
      <c r="I6276" t="s">
        <v>50</v>
      </c>
    </row>
    <row r="6277" spans="1:9" x14ac:dyDescent="0.3">
      <c r="A6277" t="s">
        <v>24</v>
      </c>
      <c r="G6277">
        <v>44454</v>
      </c>
      <c r="H6277">
        <v>2021</v>
      </c>
      <c r="I6277" t="s">
        <v>50</v>
      </c>
    </row>
    <row r="6278" spans="1:9" x14ac:dyDescent="0.3">
      <c r="A6278" t="s">
        <v>21</v>
      </c>
      <c r="G6278">
        <v>44454</v>
      </c>
      <c r="H6278">
        <v>2021</v>
      </c>
      <c r="I6278" t="s">
        <v>50</v>
      </c>
    </row>
    <row r="6279" spans="1:9" x14ac:dyDescent="0.3">
      <c r="A6279" t="s">
        <v>18</v>
      </c>
      <c r="G6279">
        <v>44454</v>
      </c>
      <c r="H6279">
        <v>2021</v>
      </c>
      <c r="I6279" t="s">
        <v>50</v>
      </c>
    </row>
    <row r="6280" spans="1:9" x14ac:dyDescent="0.3">
      <c r="A6280" t="s">
        <v>16</v>
      </c>
      <c r="B6280">
        <v>90000</v>
      </c>
      <c r="G6280">
        <v>44454</v>
      </c>
      <c r="H6280">
        <v>2021</v>
      </c>
      <c r="I6280" t="s">
        <v>50</v>
      </c>
    </row>
    <row r="6281" spans="1:9" x14ac:dyDescent="0.3">
      <c r="A6281" t="s">
        <v>20</v>
      </c>
      <c r="G6281">
        <v>44455</v>
      </c>
      <c r="H6281">
        <v>2021</v>
      </c>
      <c r="I6281" t="s">
        <v>50</v>
      </c>
    </row>
    <row r="6282" spans="1:9" x14ac:dyDescent="0.3">
      <c r="A6282" t="s">
        <v>37</v>
      </c>
      <c r="G6282">
        <v>44455</v>
      </c>
      <c r="H6282">
        <v>2021</v>
      </c>
      <c r="I6282" t="s">
        <v>50</v>
      </c>
    </row>
    <row r="6283" spans="1:9" x14ac:dyDescent="0.3">
      <c r="A6283" t="s">
        <v>17</v>
      </c>
      <c r="B6283">
        <v>142000</v>
      </c>
      <c r="E6283">
        <v>54000</v>
      </c>
      <c r="G6283">
        <v>44455</v>
      </c>
      <c r="H6283">
        <v>2021</v>
      </c>
      <c r="I6283" t="s">
        <v>50</v>
      </c>
    </row>
    <row r="6284" spans="1:9" x14ac:dyDescent="0.3">
      <c r="A6284" t="s">
        <v>0</v>
      </c>
      <c r="B6284">
        <v>756000</v>
      </c>
      <c r="C6284">
        <v>756000</v>
      </c>
      <c r="E6284">
        <v>54000</v>
      </c>
      <c r="G6284">
        <v>44455</v>
      </c>
      <c r="H6284">
        <v>2021</v>
      </c>
      <c r="I6284" t="s">
        <v>50</v>
      </c>
    </row>
    <row r="6285" spans="1:9" x14ac:dyDescent="0.3">
      <c r="A6285" t="s">
        <v>25</v>
      </c>
      <c r="C6285">
        <v>324000</v>
      </c>
      <c r="E6285">
        <v>54000</v>
      </c>
      <c r="G6285">
        <v>44455</v>
      </c>
      <c r="H6285">
        <v>2021</v>
      </c>
      <c r="I6285" t="s">
        <v>50</v>
      </c>
    </row>
    <row r="6286" spans="1:9" x14ac:dyDescent="0.3">
      <c r="A6286" t="s">
        <v>15</v>
      </c>
      <c r="C6286">
        <v>108000</v>
      </c>
      <c r="G6286">
        <v>44455</v>
      </c>
      <c r="H6286">
        <v>2021</v>
      </c>
      <c r="I6286" t="s">
        <v>50</v>
      </c>
    </row>
    <row r="6287" spans="1:9" x14ac:dyDescent="0.3">
      <c r="A6287" t="s">
        <v>54</v>
      </c>
      <c r="G6287">
        <v>44455</v>
      </c>
      <c r="H6287">
        <v>2021</v>
      </c>
      <c r="I6287" t="s">
        <v>50</v>
      </c>
    </row>
    <row r="6288" spans="1:9" x14ac:dyDescent="0.3">
      <c r="A6288" t="s">
        <v>26</v>
      </c>
      <c r="C6288">
        <v>54000</v>
      </c>
      <c r="E6288">
        <v>54000</v>
      </c>
      <c r="G6288">
        <v>44455</v>
      </c>
      <c r="H6288">
        <v>2021</v>
      </c>
      <c r="I6288" t="s">
        <v>50</v>
      </c>
    </row>
    <row r="6289" spans="1:9" x14ac:dyDescent="0.3">
      <c r="A6289" t="s">
        <v>22</v>
      </c>
      <c r="G6289">
        <v>44455</v>
      </c>
      <c r="H6289">
        <v>2021</v>
      </c>
      <c r="I6289" t="s">
        <v>50</v>
      </c>
    </row>
    <row r="6290" spans="1:9" x14ac:dyDescent="0.3">
      <c r="A6290" t="s">
        <v>61</v>
      </c>
      <c r="G6290">
        <v>44455</v>
      </c>
      <c r="H6290">
        <v>2021</v>
      </c>
      <c r="I6290" t="s">
        <v>50</v>
      </c>
    </row>
    <row r="6291" spans="1:9" x14ac:dyDescent="0.3">
      <c r="A6291" t="s">
        <v>19</v>
      </c>
      <c r="G6291">
        <v>44455</v>
      </c>
      <c r="H6291">
        <v>2021</v>
      </c>
      <c r="I6291" t="s">
        <v>50</v>
      </c>
    </row>
    <row r="6292" spans="1:9" x14ac:dyDescent="0.3">
      <c r="A6292" t="s">
        <v>14</v>
      </c>
      <c r="E6292">
        <v>54000</v>
      </c>
      <c r="G6292">
        <v>44455</v>
      </c>
      <c r="H6292">
        <v>2021</v>
      </c>
      <c r="I6292" t="s">
        <v>50</v>
      </c>
    </row>
    <row r="6293" spans="1:9" x14ac:dyDescent="0.3">
      <c r="A6293" t="s">
        <v>24</v>
      </c>
      <c r="G6293">
        <v>44455</v>
      </c>
      <c r="H6293">
        <v>2021</v>
      </c>
      <c r="I6293" t="s">
        <v>50</v>
      </c>
    </row>
    <row r="6294" spans="1:9" x14ac:dyDescent="0.3">
      <c r="A6294" t="s">
        <v>21</v>
      </c>
      <c r="G6294">
        <v>44455</v>
      </c>
      <c r="H6294">
        <v>2021</v>
      </c>
      <c r="I6294" t="s">
        <v>50</v>
      </c>
    </row>
    <row r="6295" spans="1:9" x14ac:dyDescent="0.3">
      <c r="A6295" t="s">
        <v>18</v>
      </c>
      <c r="G6295">
        <v>44455</v>
      </c>
      <c r="H6295">
        <v>2021</v>
      </c>
      <c r="I6295" t="s">
        <v>50</v>
      </c>
    </row>
    <row r="6296" spans="1:9" x14ac:dyDescent="0.3">
      <c r="A6296" t="s">
        <v>16</v>
      </c>
      <c r="C6296">
        <v>162000</v>
      </c>
      <c r="G6296">
        <v>44455</v>
      </c>
      <c r="H6296">
        <v>2021</v>
      </c>
      <c r="I6296" t="s">
        <v>50</v>
      </c>
    </row>
    <row r="6297" spans="1:9" x14ac:dyDescent="0.3">
      <c r="A6297" t="s">
        <v>20</v>
      </c>
      <c r="G6297">
        <v>44456</v>
      </c>
      <c r="H6297">
        <v>2021</v>
      </c>
      <c r="I6297" t="s">
        <v>50</v>
      </c>
    </row>
    <row r="6298" spans="1:9" x14ac:dyDescent="0.3">
      <c r="A6298" t="s">
        <v>37</v>
      </c>
      <c r="G6298">
        <v>44456</v>
      </c>
      <c r="H6298">
        <v>2021</v>
      </c>
      <c r="I6298" t="s">
        <v>50</v>
      </c>
    </row>
    <row r="6299" spans="1:9" x14ac:dyDescent="0.3">
      <c r="A6299" t="s">
        <v>17</v>
      </c>
      <c r="B6299">
        <v>90000</v>
      </c>
      <c r="E6299">
        <v>108000</v>
      </c>
      <c r="G6299">
        <v>44456</v>
      </c>
      <c r="H6299">
        <v>2021</v>
      </c>
      <c r="I6299" t="s">
        <v>50</v>
      </c>
    </row>
    <row r="6300" spans="1:9" x14ac:dyDescent="0.3">
      <c r="A6300" t="s">
        <v>0</v>
      </c>
      <c r="B6300">
        <v>108000</v>
      </c>
      <c r="C6300">
        <v>698000</v>
      </c>
      <c r="E6300">
        <v>108000</v>
      </c>
      <c r="G6300">
        <v>44456</v>
      </c>
      <c r="H6300">
        <v>2021</v>
      </c>
      <c r="I6300" t="s">
        <v>50</v>
      </c>
    </row>
    <row r="6301" spans="1:9" x14ac:dyDescent="0.3">
      <c r="A6301" t="s">
        <v>25</v>
      </c>
      <c r="B6301">
        <v>54000</v>
      </c>
      <c r="C6301">
        <v>162000</v>
      </c>
      <c r="F6301">
        <v>50000</v>
      </c>
      <c r="G6301">
        <v>44456</v>
      </c>
      <c r="H6301">
        <v>2021</v>
      </c>
      <c r="I6301" t="s">
        <v>50</v>
      </c>
    </row>
    <row r="6302" spans="1:9" x14ac:dyDescent="0.3">
      <c r="A6302" t="s">
        <v>15</v>
      </c>
      <c r="C6302">
        <v>324000</v>
      </c>
      <c r="G6302">
        <v>44456</v>
      </c>
      <c r="H6302">
        <v>2021</v>
      </c>
      <c r="I6302" t="s">
        <v>50</v>
      </c>
    </row>
    <row r="6303" spans="1:9" x14ac:dyDescent="0.3">
      <c r="A6303" t="s">
        <v>54</v>
      </c>
      <c r="G6303">
        <v>44456</v>
      </c>
      <c r="H6303">
        <v>2021</v>
      </c>
      <c r="I6303" t="s">
        <v>50</v>
      </c>
    </row>
    <row r="6304" spans="1:9" x14ac:dyDescent="0.3">
      <c r="A6304" t="s">
        <v>26</v>
      </c>
      <c r="C6304">
        <v>432000</v>
      </c>
      <c r="E6304">
        <v>54000</v>
      </c>
      <c r="G6304">
        <v>44456</v>
      </c>
      <c r="H6304">
        <v>2021</v>
      </c>
      <c r="I6304" t="s">
        <v>50</v>
      </c>
    </row>
    <row r="6305" spans="1:9" x14ac:dyDescent="0.3">
      <c r="A6305" t="s">
        <v>22</v>
      </c>
      <c r="G6305">
        <v>44456</v>
      </c>
      <c r="H6305">
        <v>2021</v>
      </c>
      <c r="I6305" t="s">
        <v>50</v>
      </c>
    </row>
    <row r="6306" spans="1:9" x14ac:dyDescent="0.3">
      <c r="A6306" t="s">
        <v>61</v>
      </c>
      <c r="G6306">
        <v>44456</v>
      </c>
      <c r="H6306">
        <v>2021</v>
      </c>
      <c r="I6306" t="s">
        <v>50</v>
      </c>
    </row>
    <row r="6307" spans="1:9" x14ac:dyDescent="0.3">
      <c r="A6307" t="s">
        <v>19</v>
      </c>
      <c r="G6307">
        <v>44456</v>
      </c>
      <c r="H6307">
        <v>2021</v>
      </c>
      <c r="I6307" t="s">
        <v>50</v>
      </c>
    </row>
    <row r="6308" spans="1:9" x14ac:dyDescent="0.3">
      <c r="A6308" t="s">
        <v>14</v>
      </c>
      <c r="G6308">
        <v>44456</v>
      </c>
      <c r="H6308">
        <v>2021</v>
      </c>
      <c r="I6308" t="s">
        <v>50</v>
      </c>
    </row>
    <row r="6309" spans="1:9" x14ac:dyDescent="0.3">
      <c r="A6309" t="s">
        <v>24</v>
      </c>
      <c r="G6309">
        <v>44456</v>
      </c>
      <c r="H6309">
        <v>2021</v>
      </c>
      <c r="I6309" t="s">
        <v>50</v>
      </c>
    </row>
    <row r="6310" spans="1:9" x14ac:dyDescent="0.3">
      <c r="A6310" t="s">
        <v>21</v>
      </c>
      <c r="G6310">
        <v>44456</v>
      </c>
      <c r="H6310">
        <v>2021</v>
      </c>
      <c r="I6310" t="s">
        <v>50</v>
      </c>
    </row>
    <row r="6311" spans="1:9" x14ac:dyDescent="0.3">
      <c r="A6311" t="s">
        <v>18</v>
      </c>
      <c r="G6311">
        <v>44456</v>
      </c>
      <c r="H6311">
        <v>2021</v>
      </c>
      <c r="I6311" t="s">
        <v>50</v>
      </c>
    </row>
    <row r="6312" spans="1:9" x14ac:dyDescent="0.3">
      <c r="A6312" t="s">
        <v>16</v>
      </c>
      <c r="C6312">
        <v>324000</v>
      </c>
      <c r="G6312">
        <v>44456</v>
      </c>
      <c r="H6312">
        <v>2021</v>
      </c>
      <c r="I6312" t="s">
        <v>50</v>
      </c>
    </row>
    <row r="6313" spans="1:9" x14ac:dyDescent="0.3">
      <c r="A6313" t="s">
        <v>20</v>
      </c>
      <c r="G6313">
        <v>44459</v>
      </c>
      <c r="H6313">
        <v>2021</v>
      </c>
      <c r="I6313" t="s">
        <v>50</v>
      </c>
    </row>
    <row r="6314" spans="1:9" x14ac:dyDescent="0.3">
      <c r="A6314" t="s">
        <v>37</v>
      </c>
      <c r="G6314">
        <v>44459</v>
      </c>
      <c r="H6314">
        <v>2021</v>
      </c>
      <c r="I6314" t="s">
        <v>50</v>
      </c>
    </row>
    <row r="6315" spans="1:9" x14ac:dyDescent="0.3">
      <c r="A6315" t="s">
        <v>17</v>
      </c>
      <c r="G6315">
        <v>44459</v>
      </c>
      <c r="H6315">
        <v>2021</v>
      </c>
      <c r="I6315" t="s">
        <v>50</v>
      </c>
    </row>
    <row r="6316" spans="1:9" x14ac:dyDescent="0.3">
      <c r="A6316" t="s">
        <v>0</v>
      </c>
      <c r="C6316">
        <v>751500</v>
      </c>
      <c r="G6316">
        <v>44459</v>
      </c>
      <c r="H6316">
        <v>2021</v>
      </c>
      <c r="I6316" t="s">
        <v>50</v>
      </c>
    </row>
    <row r="6317" spans="1:9" x14ac:dyDescent="0.3">
      <c r="A6317" t="s">
        <v>25</v>
      </c>
      <c r="G6317">
        <v>44459</v>
      </c>
      <c r="H6317">
        <v>2021</v>
      </c>
      <c r="I6317" t="s">
        <v>50</v>
      </c>
    </row>
    <row r="6318" spans="1:9" x14ac:dyDescent="0.3">
      <c r="A6318" t="s">
        <v>15</v>
      </c>
      <c r="B6318">
        <v>45000</v>
      </c>
      <c r="C6318">
        <v>265500</v>
      </c>
      <c r="G6318">
        <v>44459</v>
      </c>
      <c r="H6318">
        <v>2021</v>
      </c>
      <c r="I6318" t="s">
        <v>50</v>
      </c>
    </row>
    <row r="6319" spans="1:9" x14ac:dyDescent="0.3">
      <c r="A6319" t="s">
        <v>54</v>
      </c>
      <c r="G6319">
        <v>44459</v>
      </c>
      <c r="H6319">
        <v>2021</v>
      </c>
      <c r="I6319" t="s">
        <v>50</v>
      </c>
    </row>
    <row r="6320" spans="1:9" x14ac:dyDescent="0.3">
      <c r="A6320" t="s">
        <v>26</v>
      </c>
      <c r="C6320">
        <v>378000</v>
      </c>
      <c r="G6320">
        <v>44459</v>
      </c>
      <c r="H6320">
        <v>2021</v>
      </c>
      <c r="I6320" t="s">
        <v>50</v>
      </c>
    </row>
    <row r="6321" spans="1:9" x14ac:dyDescent="0.3">
      <c r="A6321" t="s">
        <v>22</v>
      </c>
      <c r="G6321">
        <v>44459</v>
      </c>
      <c r="H6321">
        <v>2021</v>
      </c>
      <c r="I6321" t="s">
        <v>50</v>
      </c>
    </row>
    <row r="6322" spans="1:9" x14ac:dyDescent="0.3">
      <c r="A6322" t="s">
        <v>61</v>
      </c>
      <c r="G6322">
        <v>44459</v>
      </c>
      <c r="H6322">
        <v>2021</v>
      </c>
      <c r="I6322" t="s">
        <v>50</v>
      </c>
    </row>
    <row r="6323" spans="1:9" x14ac:dyDescent="0.3">
      <c r="A6323" t="s">
        <v>19</v>
      </c>
      <c r="B6323">
        <v>162000</v>
      </c>
      <c r="G6323">
        <v>44459</v>
      </c>
      <c r="H6323">
        <v>2021</v>
      </c>
      <c r="I6323" t="s">
        <v>50</v>
      </c>
    </row>
    <row r="6324" spans="1:9" x14ac:dyDescent="0.3">
      <c r="A6324" t="s">
        <v>14</v>
      </c>
      <c r="G6324">
        <v>44459</v>
      </c>
      <c r="H6324">
        <v>2021</v>
      </c>
      <c r="I6324" t="s">
        <v>50</v>
      </c>
    </row>
    <row r="6325" spans="1:9" x14ac:dyDescent="0.3">
      <c r="A6325" t="s">
        <v>24</v>
      </c>
      <c r="G6325">
        <v>44459</v>
      </c>
      <c r="H6325">
        <v>2021</v>
      </c>
      <c r="I6325" t="s">
        <v>50</v>
      </c>
    </row>
    <row r="6326" spans="1:9" x14ac:dyDescent="0.3">
      <c r="A6326" t="s">
        <v>21</v>
      </c>
      <c r="G6326">
        <v>44459</v>
      </c>
      <c r="H6326">
        <v>2021</v>
      </c>
      <c r="I6326" t="s">
        <v>50</v>
      </c>
    </row>
    <row r="6327" spans="1:9" x14ac:dyDescent="0.3">
      <c r="A6327" t="s">
        <v>18</v>
      </c>
      <c r="G6327">
        <v>44459</v>
      </c>
      <c r="H6327">
        <v>2021</v>
      </c>
      <c r="I6327" t="s">
        <v>50</v>
      </c>
    </row>
    <row r="6328" spans="1:9" x14ac:dyDescent="0.3">
      <c r="A6328" t="s">
        <v>16</v>
      </c>
      <c r="C6328">
        <v>103500</v>
      </c>
      <c r="G6328">
        <v>44459</v>
      </c>
      <c r="H6328">
        <v>2021</v>
      </c>
      <c r="I6328" t="s">
        <v>50</v>
      </c>
    </row>
    <row r="6329" spans="1:9" x14ac:dyDescent="0.3">
      <c r="A6329" t="s">
        <v>20</v>
      </c>
      <c r="G6329">
        <v>44461</v>
      </c>
      <c r="H6329">
        <v>2021</v>
      </c>
      <c r="I6329" t="s">
        <v>50</v>
      </c>
    </row>
    <row r="6330" spans="1:9" x14ac:dyDescent="0.3">
      <c r="A6330" t="s">
        <v>37</v>
      </c>
      <c r="G6330">
        <v>44461</v>
      </c>
      <c r="H6330">
        <v>2021</v>
      </c>
      <c r="I6330" t="s">
        <v>50</v>
      </c>
    </row>
    <row r="6331" spans="1:9" x14ac:dyDescent="0.3">
      <c r="A6331" t="s">
        <v>17</v>
      </c>
      <c r="B6331">
        <v>2052000</v>
      </c>
      <c r="G6331">
        <v>44461</v>
      </c>
      <c r="H6331">
        <v>2021</v>
      </c>
      <c r="I6331" t="s">
        <v>50</v>
      </c>
    </row>
    <row r="6332" spans="1:9" x14ac:dyDescent="0.3">
      <c r="A6332" t="s">
        <v>0</v>
      </c>
      <c r="B6332">
        <v>45000</v>
      </c>
      <c r="C6332">
        <v>693000</v>
      </c>
      <c r="G6332">
        <v>44461</v>
      </c>
      <c r="H6332">
        <v>2021</v>
      </c>
      <c r="I6332" t="s">
        <v>50</v>
      </c>
    </row>
    <row r="6333" spans="1:9" x14ac:dyDescent="0.3">
      <c r="A6333" t="s">
        <v>25</v>
      </c>
      <c r="G6333">
        <v>44461</v>
      </c>
      <c r="H6333">
        <v>2021</v>
      </c>
      <c r="I6333" t="s">
        <v>50</v>
      </c>
    </row>
    <row r="6334" spans="1:9" x14ac:dyDescent="0.3">
      <c r="A6334" t="s">
        <v>15</v>
      </c>
      <c r="C6334">
        <v>108000</v>
      </c>
      <c r="G6334">
        <v>44461</v>
      </c>
      <c r="H6334">
        <v>2021</v>
      </c>
      <c r="I6334" t="s">
        <v>50</v>
      </c>
    </row>
    <row r="6335" spans="1:9" x14ac:dyDescent="0.3">
      <c r="A6335" t="s">
        <v>54</v>
      </c>
      <c r="G6335">
        <v>44461</v>
      </c>
      <c r="H6335">
        <v>2021</v>
      </c>
      <c r="I6335" t="s">
        <v>50</v>
      </c>
    </row>
    <row r="6336" spans="1:9" x14ac:dyDescent="0.3">
      <c r="A6336" t="s">
        <v>26</v>
      </c>
      <c r="C6336">
        <v>204000</v>
      </c>
      <c r="G6336">
        <v>44461</v>
      </c>
      <c r="H6336">
        <v>2021</v>
      </c>
      <c r="I6336" t="s">
        <v>50</v>
      </c>
    </row>
    <row r="6337" spans="1:9" x14ac:dyDescent="0.3">
      <c r="A6337" t="s">
        <v>22</v>
      </c>
      <c r="G6337">
        <v>44461</v>
      </c>
      <c r="H6337">
        <v>2021</v>
      </c>
      <c r="I6337" t="s">
        <v>50</v>
      </c>
    </row>
    <row r="6338" spans="1:9" x14ac:dyDescent="0.3">
      <c r="A6338" t="s">
        <v>61</v>
      </c>
      <c r="G6338">
        <v>44461</v>
      </c>
      <c r="H6338">
        <v>2021</v>
      </c>
      <c r="I6338" t="s">
        <v>50</v>
      </c>
    </row>
    <row r="6339" spans="1:9" x14ac:dyDescent="0.3">
      <c r="A6339" t="s">
        <v>19</v>
      </c>
      <c r="B6339">
        <v>270000</v>
      </c>
      <c r="G6339">
        <v>44461</v>
      </c>
      <c r="H6339">
        <v>2021</v>
      </c>
      <c r="I6339" t="s">
        <v>50</v>
      </c>
    </row>
    <row r="6340" spans="1:9" x14ac:dyDescent="0.3">
      <c r="A6340" t="s">
        <v>14</v>
      </c>
      <c r="G6340">
        <v>44461</v>
      </c>
      <c r="H6340">
        <v>2021</v>
      </c>
      <c r="I6340" t="s">
        <v>50</v>
      </c>
    </row>
    <row r="6341" spans="1:9" x14ac:dyDescent="0.3">
      <c r="A6341" t="s">
        <v>24</v>
      </c>
      <c r="G6341">
        <v>44461</v>
      </c>
      <c r="H6341">
        <v>2021</v>
      </c>
      <c r="I6341" t="s">
        <v>50</v>
      </c>
    </row>
    <row r="6342" spans="1:9" x14ac:dyDescent="0.3">
      <c r="A6342" t="s">
        <v>21</v>
      </c>
      <c r="G6342">
        <v>44461</v>
      </c>
      <c r="H6342">
        <v>2021</v>
      </c>
      <c r="I6342" t="s">
        <v>50</v>
      </c>
    </row>
    <row r="6343" spans="1:9" x14ac:dyDescent="0.3">
      <c r="A6343" t="s">
        <v>18</v>
      </c>
      <c r="G6343">
        <v>44461</v>
      </c>
      <c r="H6343">
        <v>2021</v>
      </c>
      <c r="I6343" t="s">
        <v>50</v>
      </c>
    </row>
    <row r="6344" spans="1:9" x14ac:dyDescent="0.3">
      <c r="A6344" t="s">
        <v>16</v>
      </c>
      <c r="C6344">
        <v>54000</v>
      </c>
      <c r="G6344">
        <v>44461</v>
      </c>
      <c r="H6344">
        <v>2021</v>
      </c>
      <c r="I6344" t="s">
        <v>50</v>
      </c>
    </row>
    <row r="6345" spans="1:9" x14ac:dyDescent="0.3">
      <c r="A6345" t="s">
        <v>20</v>
      </c>
      <c r="G6345">
        <v>44462</v>
      </c>
      <c r="H6345">
        <v>2021</v>
      </c>
      <c r="I6345" t="s">
        <v>50</v>
      </c>
    </row>
    <row r="6346" spans="1:9" x14ac:dyDescent="0.3">
      <c r="A6346" t="s">
        <v>37</v>
      </c>
      <c r="G6346">
        <v>44462</v>
      </c>
      <c r="H6346">
        <v>2021</v>
      </c>
      <c r="I6346" t="s">
        <v>50</v>
      </c>
    </row>
    <row r="6347" spans="1:9" x14ac:dyDescent="0.3">
      <c r="A6347" t="s">
        <v>17</v>
      </c>
      <c r="B6347">
        <v>1458000</v>
      </c>
      <c r="G6347">
        <v>44462</v>
      </c>
      <c r="H6347">
        <v>2021</v>
      </c>
      <c r="I6347" t="s">
        <v>50</v>
      </c>
    </row>
    <row r="6348" spans="1:9" x14ac:dyDescent="0.3">
      <c r="A6348" t="s">
        <v>0</v>
      </c>
      <c r="B6348">
        <v>90000</v>
      </c>
      <c r="C6348">
        <v>752000</v>
      </c>
      <c r="E6348">
        <v>108000</v>
      </c>
      <c r="G6348">
        <v>44462</v>
      </c>
      <c r="H6348">
        <v>2021</v>
      </c>
      <c r="I6348" t="s">
        <v>50</v>
      </c>
    </row>
    <row r="6349" spans="1:9" x14ac:dyDescent="0.3">
      <c r="A6349" t="s">
        <v>25</v>
      </c>
      <c r="G6349">
        <v>44462</v>
      </c>
      <c r="H6349">
        <v>2021</v>
      </c>
      <c r="I6349" t="s">
        <v>50</v>
      </c>
    </row>
    <row r="6350" spans="1:9" x14ac:dyDescent="0.3">
      <c r="A6350" t="s">
        <v>15</v>
      </c>
      <c r="C6350">
        <v>216000</v>
      </c>
      <c r="E6350">
        <v>54000</v>
      </c>
      <c r="G6350">
        <v>44462</v>
      </c>
      <c r="H6350">
        <v>2021</v>
      </c>
      <c r="I6350" t="s">
        <v>50</v>
      </c>
    </row>
    <row r="6351" spans="1:9" x14ac:dyDescent="0.3">
      <c r="A6351" t="s">
        <v>54</v>
      </c>
      <c r="G6351">
        <v>44462</v>
      </c>
      <c r="H6351">
        <v>2021</v>
      </c>
      <c r="I6351" t="s">
        <v>50</v>
      </c>
    </row>
    <row r="6352" spans="1:9" x14ac:dyDescent="0.3">
      <c r="A6352" t="s">
        <v>26</v>
      </c>
      <c r="C6352">
        <v>216000</v>
      </c>
      <c r="G6352">
        <v>44462</v>
      </c>
      <c r="H6352">
        <v>2021</v>
      </c>
      <c r="I6352" t="s">
        <v>50</v>
      </c>
    </row>
    <row r="6353" spans="1:9" x14ac:dyDescent="0.3">
      <c r="A6353" t="s">
        <v>22</v>
      </c>
      <c r="G6353">
        <v>44462</v>
      </c>
      <c r="H6353">
        <v>2021</v>
      </c>
      <c r="I6353" t="s">
        <v>50</v>
      </c>
    </row>
    <row r="6354" spans="1:9" x14ac:dyDescent="0.3">
      <c r="A6354" t="s">
        <v>61</v>
      </c>
      <c r="G6354">
        <v>44462</v>
      </c>
      <c r="H6354">
        <v>2021</v>
      </c>
      <c r="I6354" t="s">
        <v>50</v>
      </c>
    </row>
    <row r="6355" spans="1:9" x14ac:dyDescent="0.3">
      <c r="A6355" t="s">
        <v>19</v>
      </c>
      <c r="B6355">
        <v>108000</v>
      </c>
      <c r="E6355">
        <v>54000</v>
      </c>
      <c r="F6355">
        <v>270000</v>
      </c>
      <c r="G6355">
        <v>44462</v>
      </c>
      <c r="H6355">
        <v>2021</v>
      </c>
      <c r="I6355" t="s">
        <v>50</v>
      </c>
    </row>
    <row r="6356" spans="1:9" x14ac:dyDescent="0.3">
      <c r="A6356" t="s">
        <v>14</v>
      </c>
      <c r="B6356">
        <v>756000</v>
      </c>
      <c r="C6356">
        <v>320000</v>
      </c>
      <c r="E6356">
        <v>54000</v>
      </c>
      <c r="F6356">
        <v>540000</v>
      </c>
      <c r="G6356">
        <v>44462</v>
      </c>
      <c r="H6356">
        <v>2021</v>
      </c>
      <c r="I6356" t="s">
        <v>50</v>
      </c>
    </row>
    <row r="6357" spans="1:9" x14ac:dyDescent="0.3">
      <c r="A6357" t="s">
        <v>24</v>
      </c>
      <c r="G6357">
        <v>44462</v>
      </c>
      <c r="H6357">
        <v>2021</v>
      </c>
      <c r="I6357" t="s">
        <v>50</v>
      </c>
    </row>
    <row r="6358" spans="1:9" x14ac:dyDescent="0.3">
      <c r="A6358" t="s">
        <v>21</v>
      </c>
      <c r="G6358">
        <v>44462</v>
      </c>
      <c r="H6358">
        <v>2021</v>
      </c>
      <c r="I6358" t="s">
        <v>50</v>
      </c>
    </row>
    <row r="6359" spans="1:9" x14ac:dyDescent="0.3">
      <c r="A6359" t="s">
        <v>18</v>
      </c>
      <c r="G6359">
        <v>44462</v>
      </c>
      <c r="H6359">
        <v>2021</v>
      </c>
      <c r="I6359" t="s">
        <v>50</v>
      </c>
    </row>
    <row r="6360" spans="1:9" x14ac:dyDescent="0.3">
      <c r="A6360" t="s">
        <v>16</v>
      </c>
      <c r="B6360">
        <v>369000</v>
      </c>
      <c r="C6360">
        <v>216000</v>
      </c>
      <c r="D6360">
        <v>162000</v>
      </c>
      <c r="G6360">
        <v>44462</v>
      </c>
      <c r="H6360">
        <v>2021</v>
      </c>
      <c r="I6360" t="s">
        <v>50</v>
      </c>
    </row>
    <row r="6361" spans="1:9" x14ac:dyDescent="0.3">
      <c r="A6361" t="s">
        <v>20</v>
      </c>
      <c r="G6361">
        <v>44463</v>
      </c>
      <c r="H6361">
        <v>2021</v>
      </c>
      <c r="I6361" t="s">
        <v>50</v>
      </c>
    </row>
    <row r="6362" spans="1:9" x14ac:dyDescent="0.3">
      <c r="A6362" t="s">
        <v>37</v>
      </c>
      <c r="G6362">
        <v>44463</v>
      </c>
      <c r="H6362">
        <v>2021</v>
      </c>
      <c r="I6362" t="s">
        <v>50</v>
      </c>
    </row>
    <row r="6363" spans="1:9" x14ac:dyDescent="0.3">
      <c r="A6363" t="s">
        <v>17</v>
      </c>
      <c r="B6363">
        <v>45000</v>
      </c>
      <c r="C6363">
        <v>864000</v>
      </c>
      <c r="G6363">
        <v>44463</v>
      </c>
      <c r="H6363">
        <v>2021</v>
      </c>
      <c r="I6363" t="s">
        <v>50</v>
      </c>
    </row>
    <row r="6364" spans="1:9" x14ac:dyDescent="0.3">
      <c r="A6364" t="s">
        <v>0</v>
      </c>
      <c r="E6364">
        <v>324000</v>
      </c>
      <c r="G6364">
        <v>44463</v>
      </c>
      <c r="H6364">
        <v>2021</v>
      </c>
      <c r="I6364" t="s">
        <v>50</v>
      </c>
    </row>
    <row r="6365" spans="1:9" x14ac:dyDescent="0.3">
      <c r="A6365" t="s">
        <v>25</v>
      </c>
      <c r="C6365">
        <v>369000</v>
      </c>
      <c r="E6365">
        <v>54000</v>
      </c>
      <c r="G6365">
        <v>44463</v>
      </c>
      <c r="H6365">
        <v>2021</v>
      </c>
      <c r="I6365" t="s">
        <v>50</v>
      </c>
    </row>
    <row r="6366" spans="1:9" x14ac:dyDescent="0.3">
      <c r="A6366" t="s">
        <v>15</v>
      </c>
      <c r="E6366">
        <v>54000</v>
      </c>
      <c r="G6366">
        <v>44463</v>
      </c>
      <c r="H6366">
        <v>2021</v>
      </c>
      <c r="I6366" t="s">
        <v>50</v>
      </c>
    </row>
    <row r="6367" spans="1:9" x14ac:dyDescent="0.3">
      <c r="A6367" t="s">
        <v>54</v>
      </c>
      <c r="G6367">
        <v>44463</v>
      </c>
      <c r="H6367">
        <v>2021</v>
      </c>
      <c r="I6367" t="s">
        <v>50</v>
      </c>
    </row>
    <row r="6368" spans="1:9" x14ac:dyDescent="0.3">
      <c r="A6368" t="s">
        <v>26</v>
      </c>
      <c r="B6368">
        <v>324000</v>
      </c>
      <c r="D6368">
        <v>216000</v>
      </c>
      <c r="E6368">
        <v>54000</v>
      </c>
      <c r="G6368">
        <v>44463</v>
      </c>
      <c r="H6368">
        <v>2021</v>
      </c>
      <c r="I6368" t="s">
        <v>50</v>
      </c>
    </row>
    <row r="6369" spans="1:9" x14ac:dyDescent="0.3">
      <c r="A6369" t="s">
        <v>22</v>
      </c>
      <c r="G6369">
        <v>44463</v>
      </c>
      <c r="H6369">
        <v>2021</v>
      </c>
      <c r="I6369" t="s">
        <v>50</v>
      </c>
    </row>
    <row r="6370" spans="1:9" x14ac:dyDescent="0.3">
      <c r="A6370" t="s">
        <v>61</v>
      </c>
      <c r="G6370">
        <v>44463</v>
      </c>
      <c r="H6370">
        <v>2021</v>
      </c>
      <c r="I6370" t="s">
        <v>50</v>
      </c>
    </row>
    <row r="6371" spans="1:9" x14ac:dyDescent="0.3">
      <c r="A6371" t="s">
        <v>19</v>
      </c>
      <c r="B6371">
        <v>797000</v>
      </c>
      <c r="C6371">
        <v>410500</v>
      </c>
      <c r="F6371">
        <v>482000</v>
      </c>
      <c r="G6371">
        <v>44463</v>
      </c>
      <c r="H6371">
        <v>2021</v>
      </c>
      <c r="I6371" t="s">
        <v>50</v>
      </c>
    </row>
    <row r="6372" spans="1:9" x14ac:dyDescent="0.3">
      <c r="A6372" t="s">
        <v>14</v>
      </c>
      <c r="B6372">
        <v>797000</v>
      </c>
      <c r="D6372">
        <v>100000</v>
      </c>
      <c r="E6372">
        <v>54000</v>
      </c>
      <c r="F6372">
        <v>315000</v>
      </c>
      <c r="G6372">
        <v>44463</v>
      </c>
      <c r="H6372">
        <v>2021</v>
      </c>
      <c r="I6372" t="s">
        <v>50</v>
      </c>
    </row>
    <row r="6373" spans="1:9" x14ac:dyDescent="0.3">
      <c r="A6373" t="s">
        <v>24</v>
      </c>
      <c r="G6373">
        <v>44463</v>
      </c>
      <c r="H6373">
        <v>2021</v>
      </c>
      <c r="I6373" t="s">
        <v>50</v>
      </c>
    </row>
    <row r="6374" spans="1:9" x14ac:dyDescent="0.3">
      <c r="A6374" t="s">
        <v>21</v>
      </c>
      <c r="G6374">
        <v>44463</v>
      </c>
      <c r="H6374">
        <v>2021</v>
      </c>
      <c r="I6374" t="s">
        <v>50</v>
      </c>
    </row>
    <row r="6375" spans="1:9" x14ac:dyDescent="0.3">
      <c r="A6375" t="s">
        <v>18</v>
      </c>
      <c r="C6375">
        <v>54000</v>
      </c>
      <c r="E6375">
        <v>54000</v>
      </c>
      <c r="G6375">
        <v>44463</v>
      </c>
      <c r="H6375">
        <v>2021</v>
      </c>
      <c r="I6375" t="s">
        <v>50</v>
      </c>
    </row>
    <row r="6376" spans="1:9" x14ac:dyDescent="0.3">
      <c r="A6376" t="s">
        <v>16</v>
      </c>
      <c r="B6376">
        <v>630000</v>
      </c>
      <c r="D6376">
        <v>52000</v>
      </c>
      <c r="G6376">
        <v>44463</v>
      </c>
      <c r="H6376">
        <v>2021</v>
      </c>
      <c r="I6376" t="s">
        <v>50</v>
      </c>
    </row>
    <row r="6377" spans="1:9" x14ac:dyDescent="0.3">
      <c r="A6377" t="s">
        <v>20</v>
      </c>
      <c r="G6377">
        <v>44466</v>
      </c>
      <c r="H6377">
        <v>2021</v>
      </c>
      <c r="I6377" t="s">
        <v>50</v>
      </c>
    </row>
    <row r="6378" spans="1:9" x14ac:dyDescent="0.3">
      <c r="A6378" t="s">
        <v>37</v>
      </c>
      <c r="G6378">
        <v>44466</v>
      </c>
      <c r="H6378">
        <v>2021</v>
      </c>
      <c r="I6378" t="s">
        <v>50</v>
      </c>
    </row>
    <row r="6379" spans="1:9" x14ac:dyDescent="0.3">
      <c r="A6379" t="s">
        <v>17</v>
      </c>
      <c r="C6379">
        <v>162000</v>
      </c>
      <c r="G6379">
        <v>44466</v>
      </c>
      <c r="H6379">
        <v>2021</v>
      </c>
      <c r="I6379" t="s">
        <v>50</v>
      </c>
    </row>
    <row r="6380" spans="1:9" x14ac:dyDescent="0.3">
      <c r="A6380" t="s">
        <v>0</v>
      </c>
      <c r="B6380">
        <v>540000</v>
      </c>
      <c r="C6380">
        <v>378000</v>
      </c>
      <c r="E6380">
        <v>216000</v>
      </c>
      <c r="G6380">
        <v>44466</v>
      </c>
      <c r="H6380">
        <v>2021</v>
      </c>
      <c r="I6380" t="s">
        <v>50</v>
      </c>
    </row>
    <row r="6381" spans="1:9" x14ac:dyDescent="0.3">
      <c r="A6381" t="s">
        <v>25</v>
      </c>
      <c r="E6381">
        <v>54000</v>
      </c>
      <c r="G6381">
        <v>44466</v>
      </c>
      <c r="H6381">
        <v>2021</v>
      </c>
      <c r="I6381" t="s">
        <v>50</v>
      </c>
    </row>
    <row r="6382" spans="1:9" x14ac:dyDescent="0.3">
      <c r="A6382" t="s">
        <v>15</v>
      </c>
      <c r="C6382">
        <v>108000</v>
      </c>
      <c r="G6382">
        <v>44466</v>
      </c>
      <c r="H6382">
        <v>2021</v>
      </c>
      <c r="I6382" t="s">
        <v>50</v>
      </c>
    </row>
    <row r="6383" spans="1:9" x14ac:dyDescent="0.3">
      <c r="A6383" t="s">
        <v>54</v>
      </c>
      <c r="G6383">
        <v>44466</v>
      </c>
      <c r="H6383">
        <v>2021</v>
      </c>
      <c r="I6383" t="s">
        <v>50</v>
      </c>
    </row>
    <row r="6384" spans="1:9" x14ac:dyDescent="0.3">
      <c r="A6384" t="s">
        <v>26</v>
      </c>
      <c r="B6384">
        <v>216000</v>
      </c>
      <c r="C6384">
        <v>108000</v>
      </c>
      <c r="D6384">
        <v>100000</v>
      </c>
      <c r="E6384">
        <v>54000</v>
      </c>
      <c r="G6384">
        <v>44466</v>
      </c>
      <c r="H6384">
        <v>2021</v>
      </c>
      <c r="I6384" t="s">
        <v>50</v>
      </c>
    </row>
    <row r="6385" spans="1:9" x14ac:dyDescent="0.3">
      <c r="A6385" t="s">
        <v>22</v>
      </c>
      <c r="G6385">
        <v>44466</v>
      </c>
      <c r="H6385">
        <v>2021</v>
      </c>
      <c r="I6385" t="s">
        <v>50</v>
      </c>
    </row>
    <row r="6386" spans="1:9" x14ac:dyDescent="0.3">
      <c r="A6386" t="s">
        <v>61</v>
      </c>
      <c r="G6386">
        <v>44466</v>
      </c>
      <c r="H6386">
        <v>2021</v>
      </c>
      <c r="I6386" t="s">
        <v>50</v>
      </c>
    </row>
    <row r="6387" spans="1:9" x14ac:dyDescent="0.3">
      <c r="A6387" t="s">
        <v>19</v>
      </c>
      <c r="B6387">
        <v>270000</v>
      </c>
      <c r="E6387">
        <v>54000</v>
      </c>
      <c r="F6387">
        <v>248000</v>
      </c>
      <c r="G6387">
        <v>44466</v>
      </c>
      <c r="H6387">
        <v>2021</v>
      </c>
      <c r="I6387" t="s">
        <v>50</v>
      </c>
    </row>
    <row r="6388" spans="1:9" x14ac:dyDescent="0.3">
      <c r="A6388" t="s">
        <v>14</v>
      </c>
      <c r="B6388">
        <v>864000</v>
      </c>
      <c r="C6388">
        <v>162000</v>
      </c>
      <c r="D6388">
        <v>45000</v>
      </c>
      <c r="E6388">
        <v>100000</v>
      </c>
      <c r="F6388">
        <v>145000</v>
      </c>
      <c r="G6388">
        <v>44466</v>
      </c>
      <c r="H6388">
        <v>2021</v>
      </c>
      <c r="I6388" t="s">
        <v>50</v>
      </c>
    </row>
    <row r="6389" spans="1:9" x14ac:dyDescent="0.3">
      <c r="A6389" t="s">
        <v>24</v>
      </c>
      <c r="G6389">
        <v>44466</v>
      </c>
      <c r="H6389">
        <v>2021</v>
      </c>
      <c r="I6389" t="s">
        <v>50</v>
      </c>
    </row>
    <row r="6390" spans="1:9" x14ac:dyDescent="0.3">
      <c r="A6390" t="s">
        <v>21</v>
      </c>
      <c r="G6390">
        <v>44466</v>
      </c>
      <c r="H6390">
        <v>2021</v>
      </c>
      <c r="I6390" t="s">
        <v>50</v>
      </c>
    </row>
    <row r="6391" spans="1:9" x14ac:dyDescent="0.3">
      <c r="A6391" t="s">
        <v>18</v>
      </c>
      <c r="E6391">
        <v>54000</v>
      </c>
      <c r="G6391">
        <v>44466</v>
      </c>
      <c r="H6391">
        <v>2021</v>
      </c>
      <c r="I6391" t="s">
        <v>50</v>
      </c>
    </row>
    <row r="6392" spans="1:9" x14ac:dyDescent="0.3">
      <c r="A6392" t="s">
        <v>16</v>
      </c>
      <c r="B6392">
        <v>153000</v>
      </c>
      <c r="C6392">
        <v>108000</v>
      </c>
      <c r="D6392">
        <v>50000</v>
      </c>
      <c r="G6392">
        <v>44466</v>
      </c>
      <c r="H6392">
        <v>2021</v>
      </c>
      <c r="I6392" t="s">
        <v>50</v>
      </c>
    </row>
    <row r="6393" spans="1:9" x14ac:dyDescent="0.3">
      <c r="A6393" t="s">
        <v>20</v>
      </c>
      <c r="G6393">
        <v>44467</v>
      </c>
      <c r="H6393">
        <v>2021</v>
      </c>
      <c r="I6393" t="s">
        <v>50</v>
      </c>
    </row>
    <row r="6394" spans="1:9" x14ac:dyDescent="0.3">
      <c r="A6394" t="s">
        <v>37</v>
      </c>
      <c r="G6394">
        <v>44467</v>
      </c>
      <c r="H6394">
        <v>2021</v>
      </c>
      <c r="I6394" t="s">
        <v>50</v>
      </c>
    </row>
    <row r="6395" spans="1:9" x14ac:dyDescent="0.3">
      <c r="A6395" t="s">
        <v>17</v>
      </c>
      <c r="B6395">
        <v>108000</v>
      </c>
      <c r="C6395">
        <v>378000</v>
      </c>
      <c r="G6395">
        <v>44467</v>
      </c>
      <c r="H6395">
        <v>2021</v>
      </c>
      <c r="I6395" t="s">
        <v>50</v>
      </c>
    </row>
    <row r="6396" spans="1:9" x14ac:dyDescent="0.3">
      <c r="A6396" t="s">
        <v>0</v>
      </c>
      <c r="B6396">
        <v>1400000</v>
      </c>
      <c r="C6396">
        <v>864000</v>
      </c>
      <c r="G6396">
        <v>44467</v>
      </c>
      <c r="H6396">
        <v>2021</v>
      </c>
      <c r="I6396" t="s">
        <v>50</v>
      </c>
    </row>
    <row r="6397" spans="1:9" x14ac:dyDescent="0.3">
      <c r="A6397" t="s">
        <v>25</v>
      </c>
      <c r="G6397">
        <v>44467</v>
      </c>
      <c r="H6397">
        <v>2021</v>
      </c>
      <c r="I6397" t="s">
        <v>50</v>
      </c>
    </row>
    <row r="6398" spans="1:9" x14ac:dyDescent="0.3">
      <c r="A6398" t="s">
        <v>15</v>
      </c>
      <c r="C6398">
        <v>211500</v>
      </c>
      <c r="G6398">
        <v>44467</v>
      </c>
      <c r="H6398">
        <v>2021</v>
      </c>
      <c r="I6398" t="s">
        <v>50</v>
      </c>
    </row>
    <row r="6399" spans="1:9" x14ac:dyDescent="0.3">
      <c r="A6399" t="s">
        <v>54</v>
      </c>
      <c r="G6399">
        <v>44467</v>
      </c>
      <c r="H6399">
        <v>2021</v>
      </c>
      <c r="I6399" t="s">
        <v>50</v>
      </c>
    </row>
    <row r="6400" spans="1:9" x14ac:dyDescent="0.3">
      <c r="A6400" t="s">
        <v>26</v>
      </c>
      <c r="B6400">
        <v>261000</v>
      </c>
      <c r="C6400">
        <v>90000</v>
      </c>
      <c r="G6400">
        <v>44467</v>
      </c>
      <c r="H6400">
        <v>2021</v>
      </c>
      <c r="I6400" t="s">
        <v>50</v>
      </c>
    </row>
    <row r="6401" spans="1:9" x14ac:dyDescent="0.3">
      <c r="A6401" t="s">
        <v>22</v>
      </c>
      <c r="G6401">
        <v>44467</v>
      </c>
      <c r="H6401">
        <v>2021</v>
      </c>
      <c r="I6401" t="s">
        <v>50</v>
      </c>
    </row>
    <row r="6402" spans="1:9" x14ac:dyDescent="0.3">
      <c r="A6402" t="s">
        <v>61</v>
      </c>
      <c r="G6402">
        <v>44467</v>
      </c>
      <c r="H6402">
        <v>2021</v>
      </c>
      <c r="I6402" t="s">
        <v>50</v>
      </c>
    </row>
    <row r="6403" spans="1:9" x14ac:dyDescent="0.3">
      <c r="A6403" t="s">
        <v>19</v>
      </c>
      <c r="B6403">
        <v>594000</v>
      </c>
      <c r="C6403">
        <v>45000</v>
      </c>
      <c r="G6403">
        <v>44467</v>
      </c>
      <c r="H6403">
        <v>2021</v>
      </c>
      <c r="I6403" t="s">
        <v>50</v>
      </c>
    </row>
    <row r="6404" spans="1:9" x14ac:dyDescent="0.3">
      <c r="A6404" t="s">
        <v>14</v>
      </c>
      <c r="B6404">
        <v>851500</v>
      </c>
      <c r="C6404">
        <v>54000</v>
      </c>
      <c r="D6404">
        <v>54000</v>
      </c>
      <c r="G6404">
        <v>44467</v>
      </c>
      <c r="H6404">
        <v>2021</v>
      </c>
      <c r="I6404" t="s">
        <v>50</v>
      </c>
    </row>
    <row r="6405" spans="1:9" x14ac:dyDescent="0.3">
      <c r="A6405" t="s">
        <v>24</v>
      </c>
      <c r="G6405">
        <v>44467</v>
      </c>
      <c r="H6405">
        <v>2021</v>
      </c>
      <c r="I6405" t="s">
        <v>50</v>
      </c>
    </row>
    <row r="6406" spans="1:9" x14ac:dyDescent="0.3">
      <c r="A6406" t="s">
        <v>21</v>
      </c>
      <c r="G6406">
        <v>44467</v>
      </c>
      <c r="H6406">
        <v>2021</v>
      </c>
      <c r="I6406" t="s">
        <v>50</v>
      </c>
    </row>
    <row r="6407" spans="1:9" x14ac:dyDescent="0.3">
      <c r="A6407" t="s">
        <v>18</v>
      </c>
      <c r="G6407">
        <v>44467</v>
      </c>
      <c r="H6407">
        <v>2021</v>
      </c>
      <c r="I6407" t="s">
        <v>50</v>
      </c>
    </row>
    <row r="6408" spans="1:9" x14ac:dyDescent="0.3">
      <c r="A6408" t="s">
        <v>16</v>
      </c>
      <c r="B6408">
        <v>45000</v>
      </c>
      <c r="C6408">
        <v>106000</v>
      </c>
      <c r="G6408">
        <v>44467</v>
      </c>
      <c r="H6408">
        <v>2021</v>
      </c>
      <c r="I6408" t="s">
        <v>50</v>
      </c>
    </row>
    <row r="6409" spans="1:9" x14ac:dyDescent="0.3">
      <c r="A6409" t="s">
        <v>20</v>
      </c>
      <c r="G6409">
        <v>44468</v>
      </c>
      <c r="H6409">
        <v>2021</v>
      </c>
      <c r="I6409" t="s">
        <v>50</v>
      </c>
    </row>
    <row r="6410" spans="1:9" x14ac:dyDescent="0.3">
      <c r="A6410" t="s">
        <v>37</v>
      </c>
      <c r="G6410">
        <v>44468</v>
      </c>
      <c r="H6410">
        <v>2021</v>
      </c>
      <c r="I6410" t="s">
        <v>50</v>
      </c>
    </row>
    <row r="6411" spans="1:9" x14ac:dyDescent="0.3">
      <c r="A6411" t="s">
        <v>17</v>
      </c>
      <c r="B6411">
        <v>1458000</v>
      </c>
      <c r="C6411">
        <v>216000</v>
      </c>
      <c r="G6411">
        <v>44468</v>
      </c>
      <c r="H6411">
        <v>2021</v>
      </c>
      <c r="I6411" t="s">
        <v>50</v>
      </c>
    </row>
    <row r="6412" spans="1:9" x14ac:dyDescent="0.3">
      <c r="A6412" t="s">
        <v>0</v>
      </c>
      <c r="B6412">
        <v>857000</v>
      </c>
      <c r="C6412">
        <v>594000</v>
      </c>
      <c r="D6412">
        <v>212000</v>
      </c>
      <c r="G6412">
        <v>44468</v>
      </c>
      <c r="H6412">
        <v>2021</v>
      </c>
      <c r="I6412" t="s">
        <v>50</v>
      </c>
    </row>
    <row r="6413" spans="1:9" x14ac:dyDescent="0.3">
      <c r="A6413" t="s">
        <v>25</v>
      </c>
      <c r="G6413">
        <v>44468</v>
      </c>
      <c r="H6413">
        <v>2021</v>
      </c>
      <c r="I6413" t="s">
        <v>50</v>
      </c>
    </row>
    <row r="6414" spans="1:9" x14ac:dyDescent="0.3">
      <c r="A6414" t="s">
        <v>15</v>
      </c>
      <c r="C6414">
        <v>108000</v>
      </c>
      <c r="G6414">
        <v>44468</v>
      </c>
      <c r="H6414">
        <v>2021</v>
      </c>
      <c r="I6414" t="s">
        <v>50</v>
      </c>
    </row>
    <row r="6415" spans="1:9" x14ac:dyDescent="0.3">
      <c r="A6415" t="s">
        <v>54</v>
      </c>
      <c r="B6415">
        <v>54000</v>
      </c>
      <c r="G6415">
        <v>44468</v>
      </c>
      <c r="H6415">
        <v>2021</v>
      </c>
      <c r="I6415" t="s">
        <v>50</v>
      </c>
    </row>
    <row r="6416" spans="1:9" x14ac:dyDescent="0.3">
      <c r="A6416" t="s">
        <v>26</v>
      </c>
      <c r="B6416">
        <v>153000</v>
      </c>
      <c r="D6416">
        <v>90000</v>
      </c>
      <c r="G6416">
        <v>44468</v>
      </c>
      <c r="H6416">
        <v>2021</v>
      </c>
      <c r="I6416" t="s">
        <v>50</v>
      </c>
    </row>
    <row r="6417" spans="1:9" x14ac:dyDescent="0.3">
      <c r="A6417" t="s">
        <v>22</v>
      </c>
      <c r="G6417">
        <v>44468</v>
      </c>
      <c r="H6417">
        <v>2021</v>
      </c>
      <c r="I6417" t="s">
        <v>50</v>
      </c>
    </row>
    <row r="6418" spans="1:9" x14ac:dyDescent="0.3">
      <c r="A6418" t="s">
        <v>61</v>
      </c>
      <c r="G6418">
        <v>44468</v>
      </c>
      <c r="H6418">
        <v>2021</v>
      </c>
      <c r="I6418" t="s">
        <v>50</v>
      </c>
    </row>
    <row r="6419" spans="1:9" x14ac:dyDescent="0.3">
      <c r="A6419" t="s">
        <v>19</v>
      </c>
      <c r="B6419">
        <v>50000</v>
      </c>
      <c r="G6419">
        <v>44468</v>
      </c>
      <c r="H6419">
        <v>2021</v>
      </c>
      <c r="I6419" t="s">
        <v>50</v>
      </c>
    </row>
    <row r="6420" spans="1:9" x14ac:dyDescent="0.3">
      <c r="A6420" t="s">
        <v>14</v>
      </c>
      <c r="B6420">
        <v>45000</v>
      </c>
      <c r="C6420">
        <v>47500</v>
      </c>
      <c r="G6420">
        <v>44468</v>
      </c>
      <c r="H6420">
        <v>2021</v>
      </c>
      <c r="I6420" t="s">
        <v>50</v>
      </c>
    </row>
    <row r="6421" spans="1:9" x14ac:dyDescent="0.3">
      <c r="A6421" t="s">
        <v>24</v>
      </c>
      <c r="G6421">
        <v>44468</v>
      </c>
      <c r="H6421">
        <v>2021</v>
      </c>
      <c r="I6421" t="s">
        <v>50</v>
      </c>
    </row>
    <row r="6422" spans="1:9" x14ac:dyDescent="0.3">
      <c r="A6422" t="s">
        <v>21</v>
      </c>
      <c r="G6422">
        <v>44468</v>
      </c>
      <c r="H6422">
        <v>2021</v>
      </c>
      <c r="I6422" t="s">
        <v>50</v>
      </c>
    </row>
    <row r="6423" spans="1:9" x14ac:dyDescent="0.3">
      <c r="A6423" t="s">
        <v>18</v>
      </c>
      <c r="G6423">
        <v>44468</v>
      </c>
      <c r="H6423">
        <v>2021</v>
      </c>
      <c r="I6423" t="s">
        <v>50</v>
      </c>
    </row>
    <row r="6424" spans="1:9" x14ac:dyDescent="0.3">
      <c r="A6424" t="s">
        <v>16</v>
      </c>
      <c r="B6424">
        <v>54000</v>
      </c>
      <c r="C6424">
        <v>216000</v>
      </c>
      <c r="G6424">
        <v>44468</v>
      </c>
      <c r="H6424">
        <v>2021</v>
      </c>
      <c r="I6424" t="s">
        <v>50</v>
      </c>
    </row>
    <row r="6425" spans="1:9" x14ac:dyDescent="0.3">
      <c r="A6425" t="s">
        <v>20</v>
      </c>
      <c r="G6425">
        <v>44469</v>
      </c>
      <c r="H6425">
        <v>2021</v>
      </c>
      <c r="I6425" t="s">
        <v>50</v>
      </c>
    </row>
    <row r="6426" spans="1:9" x14ac:dyDescent="0.3">
      <c r="A6426" t="s">
        <v>37</v>
      </c>
      <c r="B6426">
        <v>270000</v>
      </c>
      <c r="D6426">
        <v>216000</v>
      </c>
      <c r="G6426">
        <v>44469</v>
      </c>
      <c r="H6426">
        <v>2021</v>
      </c>
      <c r="I6426" t="s">
        <v>50</v>
      </c>
    </row>
    <row r="6427" spans="1:9" x14ac:dyDescent="0.3">
      <c r="A6427" t="s">
        <v>17</v>
      </c>
      <c r="B6427">
        <v>203500</v>
      </c>
      <c r="C6427">
        <v>270000</v>
      </c>
      <c r="G6427">
        <v>44469</v>
      </c>
      <c r="H6427">
        <v>2021</v>
      </c>
      <c r="I6427" t="s">
        <v>50</v>
      </c>
    </row>
    <row r="6428" spans="1:9" x14ac:dyDescent="0.3">
      <c r="A6428" t="s">
        <v>0</v>
      </c>
      <c r="B6428">
        <v>149000</v>
      </c>
      <c r="C6428">
        <v>972000</v>
      </c>
      <c r="D6428">
        <v>108000</v>
      </c>
      <c r="G6428">
        <v>44469</v>
      </c>
      <c r="H6428">
        <v>2021</v>
      </c>
      <c r="I6428" t="s">
        <v>50</v>
      </c>
    </row>
    <row r="6429" spans="1:9" x14ac:dyDescent="0.3">
      <c r="A6429" t="s">
        <v>25</v>
      </c>
      <c r="G6429">
        <v>44469</v>
      </c>
      <c r="H6429">
        <v>2021</v>
      </c>
      <c r="I6429" t="s">
        <v>50</v>
      </c>
    </row>
    <row r="6430" spans="1:9" x14ac:dyDescent="0.3">
      <c r="A6430" t="s">
        <v>15</v>
      </c>
      <c r="B6430">
        <v>54000</v>
      </c>
      <c r="C6430">
        <v>108000</v>
      </c>
      <c r="G6430">
        <v>44469</v>
      </c>
      <c r="H6430">
        <v>2021</v>
      </c>
      <c r="I6430" t="s">
        <v>50</v>
      </c>
    </row>
    <row r="6431" spans="1:9" x14ac:dyDescent="0.3">
      <c r="A6431" t="s">
        <v>54</v>
      </c>
      <c r="B6431">
        <v>590000</v>
      </c>
      <c r="G6431">
        <v>44469</v>
      </c>
      <c r="H6431">
        <v>2021</v>
      </c>
      <c r="I6431" t="s">
        <v>50</v>
      </c>
    </row>
    <row r="6432" spans="1:9" x14ac:dyDescent="0.3">
      <c r="A6432" t="s">
        <v>26</v>
      </c>
      <c r="B6432">
        <v>45000</v>
      </c>
      <c r="G6432">
        <v>44469</v>
      </c>
      <c r="H6432">
        <v>2021</v>
      </c>
      <c r="I6432" t="s">
        <v>50</v>
      </c>
    </row>
    <row r="6433" spans="1:9" x14ac:dyDescent="0.3">
      <c r="A6433" t="s">
        <v>22</v>
      </c>
      <c r="G6433">
        <v>44469</v>
      </c>
      <c r="H6433">
        <v>2021</v>
      </c>
      <c r="I6433" t="s">
        <v>50</v>
      </c>
    </row>
    <row r="6434" spans="1:9" x14ac:dyDescent="0.3">
      <c r="A6434" t="s">
        <v>61</v>
      </c>
      <c r="G6434">
        <v>44469</v>
      </c>
      <c r="H6434">
        <v>2021</v>
      </c>
      <c r="I6434" t="s">
        <v>50</v>
      </c>
    </row>
    <row r="6435" spans="1:9" x14ac:dyDescent="0.3">
      <c r="A6435" t="s">
        <v>19</v>
      </c>
      <c r="B6435">
        <v>104000</v>
      </c>
      <c r="G6435">
        <v>44469</v>
      </c>
      <c r="H6435">
        <v>2021</v>
      </c>
      <c r="I6435" t="s">
        <v>50</v>
      </c>
    </row>
    <row r="6436" spans="1:9" x14ac:dyDescent="0.3">
      <c r="A6436" t="s">
        <v>14</v>
      </c>
      <c r="C6436">
        <v>104000</v>
      </c>
      <c r="G6436">
        <v>44469</v>
      </c>
      <c r="H6436">
        <v>2021</v>
      </c>
      <c r="I6436" t="s">
        <v>50</v>
      </c>
    </row>
    <row r="6437" spans="1:9" x14ac:dyDescent="0.3">
      <c r="A6437" t="s">
        <v>24</v>
      </c>
      <c r="G6437">
        <v>44469</v>
      </c>
      <c r="H6437">
        <v>2021</v>
      </c>
      <c r="I6437" t="s">
        <v>50</v>
      </c>
    </row>
    <row r="6438" spans="1:9" x14ac:dyDescent="0.3">
      <c r="A6438" t="s">
        <v>21</v>
      </c>
      <c r="G6438">
        <v>44469</v>
      </c>
      <c r="H6438">
        <v>2021</v>
      </c>
      <c r="I6438" t="s">
        <v>50</v>
      </c>
    </row>
    <row r="6439" spans="1:9" x14ac:dyDescent="0.3">
      <c r="A6439" t="s">
        <v>18</v>
      </c>
      <c r="B6439">
        <v>686000</v>
      </c>
      <c r="G6439">
        <v>44469</v>
      </c>
      <c r="H6439">
        <v>2021</v>
      </c>
      <c r="I6439" t="s">
        <v>50</v>
      </c>
    </row>
    <row r="6440" spans="1:9" x14ac:dyDescent="0.3">
      <c r="A6440" t="s">
        <v>16</v>
      </c>
      <c r="B6440">
        <v>698000</v>
      </c>
      <c r="C6440">
        <v>108000</v>
      </c>
      <c r="D6440">
        <v>536000</v>
      </c>
      <c r="G6440">
        <v>44469</v>
      </c>
      <c r="H6440">
        <v>2021</v>
      </c>
      <c r="I6440" t="s">
        <v>50</v>
      </c>
    </row>
    <row r="6441" spans="1:9" x14ac:dyDescent="0.3">
      <c r="A6441" t="s">
        <v>20</v>
      </c>
      <c r="G6441">
        <v>44473</v>
      </c>
      <c r="H6441">
        <v>2021</v>
      </c>
      <c r="I6441" t="s">
        <v>51</v>
      </c>
    </row>
    <row r="6442" spans="1:9" x14ac:dyDescent="0.3">
      <c r="A6442" t="s">
        <v>37</v>
      </c>
      <c r="B6442">
        <v>320000</v>
      </c>
      <c r="D6442">
        <v>54000</v>
      </c>
      <c r="G6442">
        <v>44473</v>
      </c>
      <c r="H6442">
        <v>2021</v>
      </c>
      <c r="I6442" t="s">
        <v>51</v>
      </c>
    </row>
    <row r="6443" spans="1:9" x14ac:dyDescent="0.3">
      <c r="A6443" t="s">
        <v>17</v>
      </c>
      <c r="B6443">
        <v>270000</v>
      </c>
      <c r="C6443">
        <v>536000</v>
      </c>
      <c r="G6443">
        <v>44473</v>
      </c>
      <c r="H6443">
        <v>2021</v>
      </c>
      <c r="I6443" t="s">
        <v>51</v>
      </c>
    </row>
    <row r="6444" spans="1:9" x14ac:dyDescent="0.3">
      <c r="A6444" t="s">
        <v>0</v>
      </c>
      <c r="C6444">
        <v>216000</v>
      </c>
      <c r="E6444">
        <v>432000</v>
      </c>
      <c r="G6444">
        <v>44473</v>
      </c>
      <c r="H6444">
        <v>2021</v>
      </c>
      <c r="I6444" t="s">
        <v>51</v>
      </c>
    </row>
    <row r="6445" spans="1:9" x14ac:dyDescent="0.3">
      <c r="A6445" t="s">
        <v>25</v>
      </c>
      <c r="E6445">
        <v>45000</v>
      </c>
      <c r="G6445">
        <v>44473</v>
      </c>
      <c r="H6445">
        <v>2021</v>
      </c>
      <c r="I6445" t="s">
        <v>51</v>
      </c>
    </row>
    <row r="6446" spans="1:9" x14ac:dyDescent="0.3">
      <c r="A6446" t="s">
        <v>15</v>
      </c>
      <c r="B6446">
        <v>486000</v>
      </c>
      <c r="C6446">
        <v>54000</v>
      </c>
      <c r="G6446">
        <v>44473</v>
      </c>
      <c r="H6446">
        <v>2021</v>
      </c>
      <c r="I6446" t="s">
        <v>51</v>
      </c>
    </row>
    <row r="6447" spans="1:9" x14ac:dyDescent="0.3">
      <c r="A6447" t="s">
        <v>54</v>
      </c>
      <c r="B6447">
        <v>594000</v>
      </c>
      <c r="G6447">
        <v>44473</v>
      </c>
      <c r="H6447">
        <v>2021</v>
      </c>
      <c r="I6447" t="s">
        <v>51</v>
      </c>
    </row>
    <row r="6448" spans="1:9" x14ac:dyDescent="0.3">
      <c r="A6448" t="s">
        <v>26</v>
      </c>
      <c r="G6448">
        <v>44473</v>
      </c>
      <c r="H6448">
        <v>2021</v>
      </c>
      <c r="I6448" t="s">
        <v>51</v>
      </c>
    </row>
    <row r="6449" spans="1:9" x14ac:dyDescent="0.3">
      <c r="A6449" t="s">
        <v>22</v>
      </c>
      <c r="G6449">
        <v>44473</v>
      </c>
      <c r="H6449">
        <v>2021</v>
      </c>
      <c r="I6449" t="s">
        <v>51</v>
      </c>
    </row>
    <row r="6450" spans="1:9" x14ac:dyDescent="0.3">
      <c r="A6450" t="s">
        <v>61</v>
      </c>
      <c r="G6450">
        <v>44473</v>
      </c>
      <c r="H6450">
        <v>2021</v>
      </c>
      <c r="I6450" t="s">
        <v>51</v>
      </c>
    </row>
    <row r="6451" spans="1:9" x14ac:dyDescent="0.3">
      <c r="A6451" t="s">
        <v>19</v>
      </c>
      <c r="B6451">
        <v>185000</v>
      </c>
      <c r="C6451">
        <v>162000</v>
      </c>
      <c r="G6451">
        <v>44473</v>
      </c>
      <c r="H6451">
        <v>2021</v>
      </c>
      <c r="I6451" t="s">
        <v>51</v>
      </c>
    </row>
    <row r="6452" spans="1:9" x14ac:dyDescent="0.3">
      <c r="A6452" t="s">
        <v>14</v>
      </c>
      <c r="B6452">
        <v>140000</v>
      </c>
      <c r="C6452">
        <v>54000</v>
      </c>
      <c r="E6452">
        <v>108000</v>
      </c>
      <c r="G6452">
        <v>44473</v>
      </c>
      <c r="H6452">
        <v>2021</v>
      </c>
      <c r="I6452" t="s">
        <v>51</v>
      </c>
    </row>
    <row r="6453" spans="1:9" x14ac:dyDescent="0.3">
      <c r="A6453" t="s">
        <v>24</v>
      </c>
      <c r="G6453">
        <v>44473</v>
      </c>
      <c r="H6453">
        <v>2021</v>
      </c>
      <c r="I6453" t="s">
        <v>51</v>
      </c>
    </row>
    <row r="6454" spans="1:9" x14ac:dyDescent="0.3">
      <c r="A6454" t="s">
        <v>21</v>
      </c>
      <c r="G6454">
        <v>44473</v>
      </c>
      <c r="H6454">
        <v>2021</v>
      </c>
      <c r="I6454" t="s">
        <v>51</v>
      </c>
    </row>
    <row r="6455" spans="1:9" x14ac:dyDescent="0.3">
      <c r="A6455" t="s">
        <v>18</v>
      </c>
      <c r="B6455">
        <v>162000</v>
      </c>
      <c r="E6455">
        <v>54000</v>
      </c>
      <c r="G6455">
        <v>44473</v>
      </c>
      <c r="H6455">
        <v>2021</v>
      </c>
      <c r="I6455" t="s">
        <v>51</v>
      </c>
    </row>
    <row r="6456" spans="1:9" x14ac:dyDescent="0.3">
      <c r="A6456" t="s">
        <v>16</v>
      </c>
      <c r="B6456">
        <v>207000</v>
      </c>
      <c r="C6456">
        <v>54000</v>
      </c>
      <c r="G6456">
        <v>44473</v>
      </c>
      <c r="H6456">
        <v>2021</v>
      </c>
      <c r="I6456" t="s">
        <v>51</v>
      </c>
    </row>
    <row r="6457" spans="1:9" x14ac:dyDescent="0.3">
      <c r="A6457" t="s">
        <v>20</v>
      </c>
      <c r="G6457">
        <v>44474</v>
      </c>
      <c r="H6457">
        <v>2021</v>
      </c>
      <c r="I6457" t="s">
        <v>51</v>
      </c>
    </row>
    <row r="6458" spans="1:9" x14ac:dyDescent="0.3">
      <c r="A6458" t="s">
        <v>37</v>
      </c>
      <c r="D6458">
        <v>270000</v>
      </c>
      <c r="G6458">
        <v>44474</v>
      </c>
      <c r="H6458">
        <v>2021</v>
      </c>
      <c r="I6458" t="s">
        <v>51</v>
      </c>
    </row>
    <row r="6459" spans="1:9" x14ac:dyDescent="0.3">
      <c r="A6459" t="s">
        <v>17</v>
      </c>
      <c r="B6459">
        <v>108000</v>
      </c>
      <c r="C6459">
        <v>324000</v>
      </c>
      <c r="G6459">
        <v>44474</v>
      </c>
      <c r="H6459">
        <v>2021</v>
      </c>
      <c r="I6459" t="s">
        <v>51</v>
      </c>
    </row>
    <row r="6460" spans="1:9" x14ac:dyDescent="0.3">
      <c r="A6460" t="s">
        <v>0</v>
      </c>
      <c r="C6460">
        <v>378000</v>
      </c>
      <c r="D6460">
        <v>45000</v>
      </c>
      <c r="G6460">
        <v>44474</v>
      </c>
      <c r="H6460">
        <v>2021</v>
      </c>
      <c r="I6460" t="s">
        <v>51</v>
      </c>
    </row>
    <row r="6461" spans="1:9" x14ac:dyDescent="0.3">
      <c r="A6461" t="s">
        <v>25</v>
      </c>
      <c r="G6461">
        <v>44474</v>
      </c>
      <c r="H6461">
        <v>2021</v>
      </c>
      <c r="I6461" t="s">
        <v>51</v>
      </c>
    </row>
    <row r="6462" spans="1:9" x14ac:dyDescent="0.3">
      <c r="A6462" t="s">
        <v>15</v>
      </c>
      <c r="B6462">
        <v>378000</v>
      </c>
      <c r="C6462">
        <v>256500</v>
      </c>
      <c r="G6462">
        <v>44474</v>
      </c>
      <c r="H6462">
        <v>2021</v>
      </c>
      <c r="I6462" t="s">
        <v>51</v>
      </c>
    </row>
    <row r="6463" spans="1:9" x14ac:dyDescent="0.3">
      <c r="A6463" t="s">
        <v>54</v>
      </c>
      <c r="B6463">
        <v>594000</v>
      </c>
      <c r="G6463">
        <v>44474</v>
      </c>
      <c r="H6463">
        <v>2021</v>
      </c>
      <c r="I6463" t="s">
        <v>51</v>
      </c>
    </row>
    <row r="6464" spans="1:9" x14ac:dyDescent="0.3">
      <c r="A6464" t="s">
        <v>26</v>
      </c>
      <c r="G6464">
        <v>44474</v>
      </c>
      <c r="H6464">
        <v>2021</v>
      </c>
      <c r="I6464" t="s">
        <v>51</v>
      </c>
    </row>
    <row r="6465" spans="1:9" x14ac:dyDescent="0.3">
      <c r="A6465" t="s">
        <v>22</v>
      </c>
      <c r="G6465">
        <v>44474</v>
      </c>
      <c r="H6465">
        <v>2021</v>
      </c>
      <c r="I6465" t="s">
        <v>51</v>
      </c>
    </row>
    <row r="6466" spans="1:9" x14ac:dyDescent="0.3">
      <c r="A6466" t="s">
        <v>61</v>
      </c>
      <c r="G6466">
        <v>44474</v>
      </c>
      <c r="H6466">
        <v>2021</v>
      </c>
      <c r="I6466" t="s">
        <v>51</v>
      </c>
    </row>
    <row r="6467" spans="1:9" x14ac:dyDescent="0.3">
      <c r="A6467" t="s">
        <v>19</v>
      </c>
      <c r="C6467">
        <v>243000</v>
      </c>
      <c r="G6467">
        <v>44474</v>
      </c>
      <c r="H6467">
        <v>2021</v>
      </c>
      <c r="I6467" t="s">
        <v>51</v>
      </c>
    </row>
    <row r="6468" spans="1:9" x14ac:dyDescent="0.3">
      <c r="A6468" t="s">
        <v>14</v>
      </c>
      <c r="B6468">
        <v>909000</v>
      </c>
      <c r="F6468">
        <v>540000</v>
      </c>
      <c r="G6468">
        <v>44474</v>
      </c>
      <c r="H6468">
        <v>2021</v>
      </c>
      <c r="I6468" t="s">
        <v>51</v>
      </c>
    </row>
    <row r="6469" spans="1:9" x14ac:dyDescent="0.3">
      <c r="A6469" t="s">
        <v>24</v>
      </c>
      <c r="G6469">
        <v>44474</v>
      </c>
      <c r="H6469">
        <v>2021</v>
      </c>
      <c r="I6469" t="s">
        <v>51</v>
      </c>
    </row>
    <row r="6470" spans="1:9" x14ac:dyDescent="0.3">
      <c r="A6470" t="s">
        <v>21</v>
      </c>
      <c r="G6470">
        <v>44474</v>
      </c>
      <c r="H6470">
        <v>2021</v>
      </c>
      <c r="I6470" t="s">
        <v>51</v>
      </c>
    </row>
    <row r="6471" spans="1:9" x14ac:dyDescent="0.3">
      <c r="A6471" t="s">
        <v>18</v>
      </c>
      <c r="D6471">
        <v>99500</v>
      </c>
      <c r="G6471">
        <v>44474</v>
      </c>
      <c r="H6471">
        <v>2021</v>
      </c>
      <c r="I6471" t="s">
        <v>51</v>
      </c>
    </row>
    <row r="6472" spans="1:9" x14ac:dyDescent="0.3">
      <c r="A6472" t="s">
        <v>16</v>
      </c>
      <c r="B6472">
        <v>369000</v>
      </c>
      <c r="C6472">
        <v>99000</v>
      </c>
      <c r="D6472">
        <v>162000</v>
      </c>
      <c r="G6472">
        <v>44474</v>
      </c>
      <c r="H6472">
        <v>2021</v>
      </c>
      <c r="I6472" t="s">
        <v>51</v>
      </c>
    </row>
    <row r="6473" spans="1:9" x14ac:dyDescent="0.3">
      <c r="A6473" t="s">
        <v>20</v>
      </c>
      <c r="G6473">
        <v>44475</v>
      </c>
      <c r="H6473">
        <v>2021</v>
      </c>
      <c r="I6473" t="s">
        <v>51</v>
      </c>
    </row>
    <row r="6474" spans="1:9" x14ac:dyDescent="0.3">
      <c r="A6474" t="s">
        <v>37</v>
      </c>
      <c r="D6474">
        <v>54000</v>
      </c>
      <c r="G6474">
        <v>44475</v>
      </c>
      <c r="H6474">
        <v>2021</v>
      </c>
      <c r="I6474" t="s">
        <v>51</v>
      </c>
    </row>
    <row r="6475" spans="1:9" x14ac:dyDescent="0.3">
      <c r="A6475" t="s">
        <v>17</v>
      </c>
      <c r="B6475">
        <v>54000</v>
      </c>
      <c r="C6475">
        <v>629000</v>
      </c>
      <c r="G6475">
        <v>44475</v>
      </c>
      <c r="H6475">
        <v>2021</v>
      </c>
      <c r="I6475" t="s">
        <v>51</v>
      </c>
    </row>
    <row r="6476" spans="1:9" x14ac:dyDescent="0.3">
      <c r="A6476" t="s">
        <v>0</v>
      </c>
      <c r="B6476">
        <v>482000</v>
      </c>
      <c r="C6476">
        <v>216000</v>
      </c>
      <c r="F6476">
        <v>50000</v>
      </c>
      <c r="G6476">
        <v>44475</v>
      </c>
      <c r="H6476">
        <v>2021</v>
      </c>
      <c r="I6476" t="s">
        <v>51</v>
      </c>
    </row>
    <row r="6477" spans="1:9" x14ac:dyDescent="0.3">
      <c r="A6477" t="s">
        <v>25</v>
      </c>
      <c r="G6477">
        <v>44475</v>
      </c>
      <c r="H6477">
        <v>2021</v>
      </c>
      <c r="I6477" t="s">
        <v>51</v>
      </c>
    </row>
    <row r="6478" spans="1:9" x14ac:dyDescent="0.3">
      <c r="A6478" t="s">
        <v>15</v>
      </c>
      <c r="B6478">
        <v>158000</v>
      </c>
      <c r="C6478">
        <v>216000</v>
      </c>
      <c r="G6478">
        <v>44475</v>
      </c>
      <c r="H6478">
        <v>2021</v>
      </c>
      <c r="I6478" t="s">
        <v>51</v>
      </c>
    </row>
    <row r="6479" spans="1:9" x14ac:dyDescent="0.3">
      <c r="A6479" t="s">
        <v>54</v>
      </c>
      <c r="B6479">
        <v>540000</v>
      </c>
      <c r="G6479">
        <v>44475</v>
      </c>
      <c r="H6479">
        <v>2021</v>
      </c>
      <c r="I6479" t="s">
        <v>51</v>
      </c>
    </row>
    <row r="6480" spans="1:9" x14ac:dyDescent="0.3">
      <c r="A6480" t="s">
        <v>26</v>
      </c>
      <c r="G6480">
        <v>44475</v>
      </c>
      <c r="H6480">
        <v>2021</v>
      </c>
      <c r="I6480" t="s">
        <v>51</v>
      </c>
    </row>
    <row r="6481" spans="1:9" x14ac:dyDescent="0.3">
      <c r="A6481" t="s">
        <v>22</v>
      </c>
      <c r="G6481">
        <v>44475</v>
      </c>
      <c r="H6481">
        <v>2021</v>
      </c>
      <c r="I6481" t="s">
        <v>51</v>
      </c>
    </row>
    <row r="6482" spans="1:9" x14ac:dyDescent="0.3">
      <c r="A6482" t="s">
        <v>61</v>
      </c>
      <c r="G6482">
        <v>44475</v>
      </c>
      <c r="H6482">
        <v>2021</v>
      </c>
      <c r="I6482" t="s">
        <v>51</v>
      </c>
    </row>
    <row r="6483" spans="1:9" x14ac:dyDescent="0.3">
      <c r="A6483" t="s">
        <v>19</v>
      </c>
      <c r="C6483">
        <v>90000</v>
      </c>
      <c r="G6483">
        <v>44475</v>
      </c>
      <c r="H6483">
        <v>2021</v>
      </c>
      <c r="I6483" t="s">
        <v>51</v>
      </c>
    </row>
    <row r="6484" spans="1:9" x14ac:dyDescent="0.3">
      <c r="A6484" t="s">
        <v>14</v>
      </c>
      <c r="B6484">
        <v>702000</v>
      </c>
      <c r="C6484">
        <v>162000</v>
      </c>
      <c r="F6484">
        <v>482000</v>
      </c>
      <c r="G6484">
        <v>44475</v>
      </c>
      <c r="H6484">
        <v>2021</v>
      </c>
      <c r="I6484" t="s">
        <v>51</v>
      </c>
    </row>
    <row r="6485" spans="1:9" x14ac:dyDescent="0.3">
      <c r="A6485" t="s">
        <v>24</v>
      </c>
      <c r="G6485">
        <v>44475</v>
      </c>
      <c r="H6485">
        <v>2021</v>
      </c>
      <c r="I6485" t="s">
        <v>51</v>
      </c>
    </row>
    <row r="6486" spans="1:9" x14ac:dyDescent="0.3">
      <c r="A6486" t="s">
        <v>21</v>
      </c>
      <c r="G6486">
        <v>44475</v>
      </c>
      <c r="H6486">
        <v>2021</v>
      </c>
      <c r="I6486" t="s">
        <v>51</v>
      </c>
    </row>
    <row r="6487" spans="1:9" x14ac:dyDescent="0.3">
      <c r="A6487" t="s">
        <v>18</v>
      </c>
      <c r="G6487">
        <v>44475</v>
      </c>
      <c r="H6487">
        <v>2021</v>
      </c>
      <c r="I6487" t="s">
        <v>51</v>
      </c>
    </row>
    <row r="6488" spans="1:9" x14ac:dyDescent="0.3">
      <c r="A6488" t="s">
        <v>16</v>
      </c>
      <c r="B6488">
        <v>324000</v>
      </c>
      <c r="C6488">
        <v>50000</v>
      </c>
      <c r="G6488">
        <v>44475</v>
      </c>
      <c r="H6488">
        <v>2021</v>
      </c>
      <c r="I6488" t="s">
        <v>51</v>
      </c>
    </row>
    <row r="6489" spans="1:9" x14ac:dyDescent="0.3">
      <c r="A6489" t="s">
        <v>20</v>
      </c>
      <c r="G6489">
        <v>44476</v>
      </c>
      <c r="H6489">
        <v>2021</v>
      </c>
      <c r="I6489" t="s">
        <v>51</v>
      </c>
    </row>
    <row r="6490" spans="1:9" x14ac:dyDescent="0.3">
      <c r="A6490" t="s">
        <v>37</v>
      </c>
      <c r="G6490">
        <v>44476</v>
      </c>
      <c r="H6490">
        <v>2021</v>
      </c>
      <c r="I6490" t="s">
        <v>51</v>
      </c>
    </row>
    <row r="6491" spans="1:9" x14ac:dyDescent="0.3">
      <c r="A6491" t="s">
        <v>17</v>
      </c>
      <c r="B6491">
        <v>108000</v>
      </c>
      <c r="C6491">
        <v>594000</v>
      </c>
      <c r="G6491">
        <v>44476</v>
      </c>
      <c r="H6491">
        <v>2021</v>
      </c>
      <c r="I6491" t="s">
        <v>51</v>
      </c>
    </row>
    <row r="6492" spans="1:9" x14ac:dyDescent="0.3">
      <c r="A6492" t="s">
        <v>0</v>
      </c>
      <c r="B6492">
        <v>270000</v>
      </c>
      <c r="F6492">
        <v>324000</v>
      </c>
      <c r="G6492">
        <v>44476</v>
      </c>
      <c r="H6492">
        <v>2021</v>
      </c>
      <c r="I6492" t="s">
        <v>51</v>
      </c>
    </row>
    <row r="6493" spans="1:9" x14ac:dyDescent="0.3">
      <c r="A6493" t="s">
        <v>25</v>
      </c>
      <c r="G6493">
        <v>44476</v>
      </c>
      <c r="H6493">
        <v>2021</v>
      </c>
      <c r="I6493" t="s">
        <v>51</v>
      </c>
    </row>
    <row r="6494" spans="1:9" x14ac:dyDescent="0.3">
      <c r="A6494" t="s">
        <v>15</v>
      </c>
      <c r="C6494">
        <v>162000</v>
      </c>
      <c r="G6494">
        <v>44476</v>
      </c>
      <c r="H6494">
        <v>2021</v>
      </c>
      <c r="I6494" t="s">
        <v>51</v>
      </c>
    </row>
    <row r="6495" spans="1:9" x14ac:dyDescent="0.3">
      <c r="A6495" t="s">
        <v>54</v>
      </c>
      <c r="B6495">
        <v>432000</v>
      </c>
      <c r="G6495">
        <v>44476</v>
      </c>
      <c r="H6495">
        <v>2021</v>
      </c>
      <c r="I6495" t="s">
        <v>51</v>
      </c>
    </row>
    <row r="6496" spans="1:9" x14ac:dyDescent="0.3">
      <c r="A6496" t="s">
        <v>26</v>
      </c>
      <c r="G6496">
        <v>44476</v>
      </c>
      <c r="H6496">
        <v>2021</v>
      </c>
      <c r="I6496" t="s">
        <v>51</v>
      </c>
    </row>
    <row r="6497" spans="1:9" x14ac:dyDescent="0.3">
      <c r="A6497" t="s">
        <v>22</v>
      </c>
      <c r="G6497">
        <v>44476</v>
      </c>
      <c r="H6497">
        <v>2021</v>
      </c>
      <c r="I6497" t="s">
        <v>51</v>
      </c>
    </row>
    <row r="6498" spans="1:9" x14ac:dyDescent="0.3">
      <c r="A6498" t="s">
        <v>61</v>
      </c>
      <c r="G6498">
        <v>44476</v>
      </c>
      <c r="H6498">
        <v>2021</v>
      </c>
      <c r="I6498" t="s">
        <v>51</v>
      </c>
    </row>
    <row r="6499" spans="1:9" x14ac:dyDescent="0.3">
      <c r="A6499" t="s">
        <v>19</v>
      </c>
      <c r="G6499">
        <v>44476</v>
      </c>
      <c r="H6499">
        <v>2021</v>
      </c>
      <c r="I6499" t="s">
        <v>51</v>
      </c>
    </row>
    <row r="6500" spans="1:9" x14ac:dyDescent="0.3">
      <c r="A6500" t="s">
        <v>14</v>
      </c>
      <c r="B6500">
        <v>810000</v>
      </c>
      <c r="C6500">
        <v>270000</v>
      </c>
      <c r="F6500">
        <v>216000</v>
      </c>
      <c r="G6500">
        <v>44476</v>
      </c>
      <c r="H6500">
        <v>2021</v>
      </c>
      <c r="I6500" t="s">
        <v>51</v>
      </c>
    </row>
    <row r="6501" spans="1:9" x14ac:dyDescent="0.3">
      <c r="A6501" t="s">
        <v>24</v>
      </c>
      <c r="G6501">
        <v>44476</v>
      </c>
      <c r="H6501">
        <v>2021</v>
      </c>
      <c r="I6501" t="s">
        <v>51</v>
      </c>
    </row>
    <row r="6502" spans="1:9" x14ac:dyDescent="0.3">
      <c r="A6502" t="s">
        <v>21</v>
      </c>
      <c r="G6502">
        <v>44476</v>
      </c>
      <c r="H6502">
        <v>2021</v>
      </c>
      <c r="I6502" t="s">
        <v>51</v>
      </c>
    </row>
    <row r="6503" spans="1:9" x14ac:dyDescent="0.3">
      <c r="A6503" t="s">
        <v>18</v>
      </c>
      <c r="B6503">
        <v>150000</v>
      </c>
      <c r="G6503">
        <v>44476</v>
      </c>
      <c r="H6503">
        <v>2021</v>
      </c>
      <c r="I6503" t="s">
        <v>51</v>
      </c>
    </row>
    <row r="6504" spans="1:9" x14ac:dyDescent="0.3">
      <c r="A6504" t="s">
        <v>16</v>
      </c>
      <c r="C6504">
        <v>108000</v>
      </c>
      <c r="G6504">
        <v>44476</v>
      </c>
      <c r="H6504">
        <v>2021</v>
      </c>
      <c r="I6504" t="s">
        <v>51</v>
      </c>
    </row>
    <row r="6505" spans="1:9" x14ac:dyDescent="0.3">
      <c r="A6505" t="s">
        <v>20</v>
      </c>
      <c r="G6505">
        <v>44477</v>
      </c>
      <c r="H6505">
        <v>2021</v>
      </c>
      <c r="I6505" t="s">
        <v>51</v>
      </c>
    </row>
    <row r="6506" spans="1:9" x14ac:dyDescent="0.3">
      <c r="A6506" t="s">
        <v>37</v>
      </c>
      <c r="G6506">
        <v>44477</v>
      </c>
      <c r="H6506">
        <v>2021</v>
      </c>
      <c r="I6506" t="s">
        <v>51</v>
      </c>
    </row>
    <row r="6507" spans="1:9" x14ac:dyDescent="0.3">
      <c r="A6507" t="s">
        <v>17</v>
      </c>
      <c r="C6507">
        <v>688500</v>
      </c>
      <c r="G6507">
        <v>44477</v>
      </c>
      <c r="H6507">
        <v>2021</v>
      </c>
      <c r="I6507" t="s">
        <v>51</v>
      </c>
    </row>
    <row r="6508" spans="1:9" x14ac:dyDescent="0.3">
      <c r="A6508" t="s">
        <v>0</v>
      </c>
      <c r="B6508">
        <v>149000</v>
      </c>
      <c r="E6508">
        <v>162000</v>
      </c>
      <c r="F6508">
        <v>424000</v>
      </c>
      <c r="G6508">
        <v>44477</v>
      </c>
      <c r="H6508">
        <v>2021</v>
      </c>
      <c r="I6508" t="s">
        <v>51</v>
      </c>
    </row>
    <row r="6509" spans="1:9" x14ac:dyDescent="0.3">
      <c r="A6509" t="s">
        <v>25</v>
      </c>
      <c r="E6509">
        <v>54000</v>
      </c>
      <c r="G6509">
        <v>44477</v>
      </c>
      <c r="H6509">
        <v>2021</v>
      </c>
      <c r="I6509" t="s">
        <v>51</v>
      </c>
    </row>
    <row r="6510" spans="1:9" x14ac:dyDescent="0.3">
      <c r="A6510" t="s">
        <v>15</v>
      </c>
      <c r="G6510">
        <v>44477</v>
      </c>
      <c r="H6510">
        <v>2021</v>
      </c>
      <c r="I6510" t="s">
        <v>51</v>
      </c>
    </row>
    <row r="6511" spans="1:9" x14ac:dyDescent="0.3">
      <c r="A6511" t="s">
        <v>54</v>
      </c>
      <c r="B6511">
        <v>540000</v>
      </c>
      <c r="G6511">
        <v>44477</v>
      </c>
      <c r="H6511">
        <v>2021</v>
      </c>
      <c r="I6511" t="s">
        <v>51</v>
      </c>
    </row>
    <row r="6512" spans="1:9" x14ac:dyDescent="0.3">
      <c r="A6512" t="s">
        <v>26</v>
      </c>
      <c r="C6512">
        <v>45000</v>
      </c>
      <c r="D6512">
        <v>45000</v>
      </c>
      <c r="G6512">
        <v>44477</v>
      </c>
      <c r="H6512">
        <v>2021</v>
      </c>
      <c r="I6512" t="s">
        <v>51</v>
      </c>
    </row>
    <row r="6513" spans="1:9" x14ac:dyDescent="0.3">
      <c r="A6513" t="s">
        <v>22</v>
      </c>
      <c r="G6513">
        <v>44477</v>
      </c>
      <c r="H6513">
        <v>2021</v>
      </c>
      <c r="I6513" t="s">
        <v>51</v>
      </c>
    </row>
    <row r="6514" spans="1:9" x14ac:dyDescent="0.3">
      <c r="A6514" t="s">
        <v>61</v>
      </c>
      <c r="G6514">
        <v>44477</v>
      </c>
      <c r="H6514">
        <v>2021</v>
      </c>
      <c r="I6514" t="s">
        <v>51</v>
      </c>
    </row>
    <row r="6515" spans="1:9" x14ac:dyDescent="0.3">
      <c r="A6515" t="s">
        <v>19</v>
      </c>
      <c r="E6515">
        <v>54000</v>
      </c>
      <c r="G6515">
        <v>44477</v>
      </c>
      <c r="H6515">
        <v>2021</v>
      </c>
      <c r="I6515" t="s">
        <v>51</v>
      </c>
    </row>
    <row r="6516" spans="1:9" x14ac:dyDescent="0.3">
      <c r="A6516" t="s">
        <v>14</v>
      </c>
      <c r="B6516">
        <v>1565500</v>
      </c>
      <c r="C6516">
        <v>486000</v>
      </c>
      <c r="E6516">
        <v>54000</v>
      </c>
      <c r="F6516">
        <v>108000</v>
      </c>
      <c r="G6516">
        <v>44477</v>
      </c>
      <c r="H6516">
        <v>2021</v>
      </c>
      <c r="I6516" t="s">
        <v>51</v>
      </c>
    </row>
    <row r="6517" spans="1:9" x14ac:dyDescent="0.3">
      <c r="A6517" t="s">
        <v>24</v>
      </c>
      <c r="G6517">
        <v>44477</v>
      </c>
      <c r="H6517">
        <v>2021</v>
      </c>
      <c r="I6517" t="s">
        <v>51</v>
      </c>
    </row>
    <row r="6518" spans="1:9" x14ac:dyDescent="0.3">
      <c r="A6518" t="s">
        <v>21</v>
      </c>
      <c r="G6518">
        <v>44477</v>
      </c>
      <c r="H6518">
        <v>2021</v>
      </c>
      <c r="I6518" t="s">
        <v>51</v>
      </c>
    </row>
    <row r="6519" spans="1:9" x14ac:dyDescent="0.3">
      <c r="A6519" t="s">
        <v>18</v>
      </c>
      <c r="D6519">
        <v>50000</v>
      </c>
      <c r="E6519">
        <v>108000</v>
      </c>
      <c r="G6519">
        <v>44477</v>
      </c>
      <c r="H6519">
        <v>2021</v>
      </c>
      <c r="I6519" t="s">
        <v>51</v>
      </c>
    </row>
    <row r="6520" spans="1:9" x14ac:dyDescent="0.3">
      <c r="A6520" t="s">
        <v>16</v>
      </c>
      <c r="G6520">
        <v>44477</v>
      </c>
      <c r="H6520">
        <v>2021</v>
      </c>
      <c r="I6520" t="s">
        <v>51</v>
      </c>
    </row>
    <row r="6521" spans="1:9" x14ac:dyDescent="0.3">
      <c r="A6521" t="s">
        <v>20</v>
      </c>
      <c r="G6521">
        <v>44480</v>
      </c>
      <c r="H6521">
        <v>2021</v>
      </c>
      <c r="I6521" t="s">
        <v>51</v>
      </c>
    </row>
    <row r="6522" spans="1:9" x14ac:dyDescent="0.3">
      <c r="A6522" t="s">
        <v>37</v>
      </c>
      <c r="G6522">
        <v>44480</v>
      </c>
      <c r="H6522">
        <v>2021</v>
      </c>
      <c r="I6522" t="s">
        <v>51</v>
      </c>
    </row>
    <row r="6523" spans="1:9" x14ac:dyDescent="0.3">
      <c r="A6523" t="s">
        <v>17</v>
      </c>
      <c r="B6523">
        <v>783000</v>
      </c>
      <c r="C6523">
        <v>747500</v>
      </c>
      <c r="G6523">
        <v>44480</v>
      </c>
      <c r="H6523">
        <v>2021</v>
      </c>
      <c r="I6523" t="s">
        <v>51</v>
      </c>
    </row>
    <row r="6524" spans="1:9" x14ac:dyDescent="0.3">
      <c r="A6524" t="s">
        <v>0</v>
      </c>
      <c r="D6524">
        <v>135000</v>
      </c>
      <c r="E6524">
        <v>320000</v>
      </c>
      <c r="F6524">
        <v>50000</v>
      </c>
      <c r="G6524">
        <v>44480</v>
      </c>
      <c r="H6524">
        <v>2021</v>
      </c>
      <c r="I6524" t="s">
        <v>51</v>
      </c>
    </row>
    <row r="6525" spans="1:9" x14ac:dyDescent="0.3">
      <c r="A6525" t="s">
        <v>25</v>
      </c>
      <c r="G6525">
        <v>44480</v>
      </c>
      <c r="H6525">
        <v>2021</v>
      </c>
      <c r="I6525" t="s">
        <v>51</v>
      </c>
    </row>
    <row r="6526" spans="1:9" x14ac:dyDescent="0.3">
      <c r="A6526" t="s">
        <v>15</v>
      </c>
      <c r="E6526">
        <v>54000</v>
      </c>
      <c r="G6526">
        <v>44480</v>
      </c>
      <c r="H6526">
        <v>2021</v>
      </c>
      <c r="I6526" t="s">
        <v>51</v>
      </c>
    </row>
    <row r="6527" spans="1:9" x14ac:dyDescent="0.3">
      <c r="A6527" t="s">
        <v>54</v>
      </c>
      <c r="B6527">
        <v>162000</v>
      </c>
      <c r="G6527">
        <v>44480</v>
      </c>
      <c r="H6527">
        <v>2021</v>
      </c>
      <c r="I6527" t="s">
        <v>51</v>
      </c>
    </row>
    <row r="6528" spans="1:9" x14ac:dyDescent="0.3">
      <c r="A6528" t="s">
        <v>26</v>
      </c>
      <c r="G6528">
        <v>44480</v>
      </c>
      <c r="H6528">
        <v>2021</v>
      </c>
      <c r="I6528" t="s">
        <v>51</v>
      </c>
    </row>
    <row r="6529" spans="1:9" x14ac:dyDescent="0.3">
      <c r="A6529" t="s">
        <v>22</v>
      </c>
      <c r="G6529">
        <v>44480</v>
      </c>
      <c r="H6529">
        <v>2021</v>
      </c>
      <c r="I6529" t="s">
        <v>51</v>
      </c>
    </row>
    <row r="6530" spans="1:9" x14ac:dyDescent="0.3">
      <c r="A6530" t="s">
        <v>61</v>
      </c>
      <c r="G6530">
        <v>44480</v>
      </c>
      <c r="H6530">
        <v>2021</v>
      </c>
      <c r="I6530" t="s">
        <v>51</v>
      </c>
    </row>
    <row r="6531" spans="1:9" x14ac:dyDescent="0.3">
      <c r="A6531" t="s">
        <v>19</v>
      </c>
      <c r="G6531">
        <v>44480</v>
      </c>
      <c r="H6531">
        <v>2021</v>
      </c>
      <c r="I6531" t="s">
        <v>51</v>
      </c>
    </row>
    <row r="6532" spans="1:9" x14ac:dyDescent="0.3">
      <c r="A6532" t="s">
        <v>14</v>
      </c>
      <c r="B6532">
        <v>419500</v>
      </c>
      <c r="C6532">
        <v>594000</v>
      </c>
      <c r="E6532">
        <v>108000</v>
      </c>
      <c r="F6532">
        <v>324000</v>
      </c>
      <c r="G6532">
        <v>44480</v>
      </c>
      <c r="H6532">
        <v>2021</v>
      </c>
      <c r="I6532" t="s">
        <v>51</v>
      </c>
    </row>
    <row r="6533" spans="1:9" x14ac:dyDescent="0.3">
      <c r="A6533" t="s">
        <v>24</v>
      </c>
      <c r="G6533">
        <v>44480</v>
      </c>
      <c r="H6533">
        <v>2021</v>
      </c>
      <c r="I6533" t="s">
        <v>51</v>
      </c>
    </row>
    <row r="6534" spans="1:9" x14ac:dyDescent="0.3">
      <c r="A6534" t="s">
        <v>21</v>
      </c>
      <c r="G6534">
        <v>44480</v>
      </c>
      <c r="H6534">
        <v>2021</v>
      </c>
      <c r="I6534" t="s">
        <v>51</v>
      </c>
    </row>
    <row r="6535" spans="1:9" x14ac:dyDescent="0.3">
      <c r="A6535" t="s">
        <v>18</v>
      </c>
      <c r="D6535">
        <v>50000</v>
      </c>
      <c r="E6535">
        <v>54000</v>
      </c>
      <c r="G6535">
        <v>44480</v>
      </c>
      <c r="H6535">
        <v>2021</v>
      </c>
      <c r="I6535" t="s">
        <v>51</v>
      </c>
    </row>
    <row r="6536" spans="1:9" x14ac:dyDescent="0.3">
      <c r="A6536" t="s">
        <v>16</v>
      </c>
      <c r="G6536">
        <v>44480</v>
      </c>
      <c r="H6536">
        <v>2021</v>
      </c>
      <c r="I6536" t="s">
        <v>51</v>
      </c>
    </row>
    <row r="6537" spans="1:9" x14ac:dyDescent="0.3">
      <c r="A6537" t="s">
        <v>20</v>
      </c>
      <c r="G6537">
        <v>44481</v>
      </c>
      <c r="H6537">
        <v>2021</v>
      </c>
      <c r="I6537" t="s">
        <v>51</v>
      </c>
    </row>
    <row r="6538" spans="1:9" x14ac:dyDescent="0.3">
      <c r="A6538" t="s">
        <v>37</v>
      </c>
      <c r="G6538">
        <v>44481</v>
      </c>
      <c r="H6538">
        <v>2021</v>
      </c>
      <c r="I6538" t="s">
        <v>51</v>
      </c>
    </row>
    <row r="6539" spans="1:9" x14ac:dyDescent="0.3">
      <c r="A6539" t="s">
        <v>17</v>
      </c>
      <c r="B6539">
        <v>313500</v>
      </c>
      <c r="C6539">
        <v>698000</v>
      </c>
      <c r="G6539">
        <v>44481</v>
      </c>
      <c r="H6539">
        <v>2021</v>
      </c>
      <c r="I6539" t="s">
        <v>51</v>
      </c>
    </row>
    <row r="6540" spans="1:9" x14ac:dyDescent="0.3">
      <c r="A6540" t="s">
        <v>0</v>
      </c>
      <c r="B6540">
        <v>153000</v>
      </c>
      <c r="E6540">
        <v>216000</v>
      </c>
      <c r="F6540">
        <v>50000</v>
      </c>
      <c r="G6540">
        <v>44481</v>
      </c>
      <c r="H6540">
        <v>2021</v>
      </c>
      <c r="I6540" t="s">
        <v>51</v>
      </c>
    </row>
    <row r="6541" spans="1:9" x14ac:dyDescent="0.3">
      <c r="A6541" t="s">
        <v>25</v>
      </c>
      <c r="G6541">
        <v>44481</v>
      </c>
      <c r="H6541">
        <v>2021</v>
      </c>
      <c r="I6541" t="s">
        <v>51</v>
      </c>
    </row>
    <row r="6542" spans="1:9" x14ac:dyDescent="0.3">
      <c r="A6542" t="s">
        <v>15</v>
      </c>
      <c r="E6542">
        <v>107000</v>
      </c>
      <c r="G6542">
        <v>44481</v>
      </c>
      <c r="H6542">
        <v>2021</v>
      </c>
      <c r="I6542" t="s">
        <v>51</v>
      </c>
    </row>
    <row r="6543" spans="1:9" x14ac:dyDescent="0.3">
      <c r="A6543" t="s">
        <v>54</v>
      </c>
      <c r="B6543">
        <v>162000</v>
      </c>
      <c r="G6543">
        <v>44481</v>
      </c>
      <c r="H6543">
        <v>2021</v>
      </c>
      <c r="I6543" t="s">
        <v>51</v>
      </c>
    </row>
    <row r="6544" spans="1:9" x14ac:dyDescent="0.3">
      <c r="A6544" t="s">
        <v>26</v>
      </c>
      <c r="C6544">
        <v>45000</v>
      </c>
      <c r="G6544">
        <v>44481</v>
      </c>
      <c r="H6544">
        <v>2021</v>
      </c>
      <c r="I6544" t="s">
        <v>51</v>
      </c>
    </row>
    <row r="6545" spans="1:9" x14ac:dyDescent="0.3">
      <c r="A6545" t="s">
        <v>22</v>
      </c>
      <c r="G6545">
        <v>44481</v>
      </c>
      <c r="H6545">
        <v>2021</v>
      </c>
      <c r="I6545" t="s">
        <v>51</v>
      </c>
    </row>
    <row r="6546" spans="1:9" x14ac:dyDescent="0.3">
      <c r="A6546" t="s">
        <v>61</v>
      </c>
      <c r="G6546">
        <v>44481</v>
      </c>
      <c r="H6546">
        <v>2021</v>
      </c>
      <c r="I6546" t="s">
        <v>51</v>
      </c>
    </row>
    <row r="6547" spans="1:9" x14ac:dyDescent="0.3">
      <c r="A6547" t="s">
        <v>19</v>
      </c>
      <c r="G6547">
        <v>44481</v>
      </c>
      <c r="H6547">
        <v>2021</v>
      </c>
      <c r="I6547" t="s">
        <v>51</v>
      </c>
    </row>
    <row r="6548" spans="1:9" x14ac:dyDescent="0.3">
      <c r="A6548" t="s">
        <v>14</v>
      </c>
      <c r="B6548">
        <v>320000</v>
      </c>
      <c r="C6548">
        <v>378000</v>
      </c>
      <c r="E6548">
        <v>157500</v>
      </c>
      <c r="F6548">
        <v>45000</v>
      </c>
      <c r="G6548">
        <v>44481</v>
      </c>
      <c r="H6548">
        <v>2021</v>
      </c>
      <c r="I6548" t="s">
        <v>51</v>
      </c>
    </row>
    <row r="6549" spans="1:9" x14ac:dyDescent="0.3">
      <c r="A6549" t="s">
        <v>24</v>
      </c>
      <c r="G6549">
        <v>44481</v>
      </c>
      <c r="H6549">
        <v>2021</v>
      </c>
      <c r="I6549" t="s">
        <v>51</v>
      </c>
    </row>
    <row r="6550" spans="1:9" x14ac:dyDescent="0.3">
      <c r="A6550" t="s">
        <v>21</v>
      </c>
      <c r="G6550">
        <v>44481</v>
      </c>
      <c r="H6550">
        <v>2021</v>
      </c>
      <c r="I6550" t="s">
        <v>51</v>
      </c>
    </row>
    <row r="6551" spans="1:9" x14ac:dyDescent="0.3">
      <c r="A6551" t="s">
        <v>18</v>
      </c>
      <c r="E6551">
        <v>54000</v>
      </c>
      <c r="G6551">
        <v>44481</v>
      </c>
      <c r="H6551">
        <v>2021</v>
      </c>
      <c r="I6551" t="s">
        <v>51</v>
      </c>
    </row>
    <row r="6552" spans="1:9" x14ac:dyDescent="0.3">
      <c r="A6552" t="s">
        <v>16</v>
      </c>
      <c r="B6552">
        <v>45000</v>
      </c>
      <c r="G6552">
        <v>44481</v>
      </c>
      <c r="H6552">
        <v>2021</v>
      </c>
      <c r="I6552" t="s">
        <v>51</v>
      </c>
    </row>
    <row r="6553" spans="1:9" x14ac:dyDescent="0.3">
      <c r="A6553" t="s">
        <v>20</v>
      </c>
      <c r="G6553">
        <v>44482</v>
      </c>
      <c r="H6553">
        <v>2021</v>
      </c>
      <c r="I6553" t="s">
        <v>51</v>
      </c>
    </row>
    <row r="6554" spans="1:9" x14ac:dyDescent="0.3">
      <c r="A6554" t="s">
        <v>37</v>
      </c>
      <c r="G6554">
        <v>44482</v>
      </c>
      <c r="H6554">
        <v>2021</v>
      </c>
      <c r="I6554" t="s">
        <v>51</v>
      </c>
    </row>
    <row r="6555" spans="1:9" x14ac:dyDescent="0.3">
      <c r="A6555" t="s">
        <v>17</v>
      </c>
      <c r="B6555">
        <v>864000</v>
      </c>
      <c r="C6555">
        <v>378000</v>
      </c>
      <c r="G6555">
        <v>44482</v>
      </c>
      <c r="H6555">
        <v>2021</v>
      </c>
      <c r="I6555" t="s">
        <v>51</v>
      </c>
    </row>
    <row r="6556" spans="1:9" x14ac:dyDescent="0.3">
      <c r="A6556" t="s">
        <v>0</v>
      </c>
      <c r="F6556">
        <v>50000</v>
      </c>
      <c r="G6556">
        <v>44482</v>
      </c>
      <c r="H6556">
        <v>2021</v>
      </c>
      <c r="I6556" t="s">
        <v>51</v>
      </c>
    </row>
    <row r="6557" spans="1:9" x14ac:dyDescent="0.3">
      <c r="A6557" t="s">
        <v>25</v>
      </c>
      <c r="C6557">
        <v>693000</v>
      </c>
      <c r="G6557">
        <v>44482</v>
      </c>
      <c r="H6557">
        <v>2021</v>
      </c>
      <c r="I6557" t="s">
        <v>51</v>
      </c>
    </row>
    <row r="6558" spans="1:9" x14ac:dyDescent="0.3">
      <c r="A6558" t="s">
        <v>15</v>
      </c>
      <c r="B6558">
        <v>135000</v>
      </c>
      <c r="G6558">
        <v>44482</v>
      </c>
      <c r="H6558">
        <v>2021</v>
      </c>
      <c r="I6558" t="s">
        <v>51</v>
      </c>
    </row>
    <row r="6559" spans="1:9" x14ac:dyDescent="0.3">
      <c r="A6559" t="s">
        <v>54</v>
      </c>
      <c r="G6559">
        <v>44482</v>
      </c>
      <c r="H6559">
        <v>2021</v>
      </c>
      <c r="I6559" t="s">
        <v>51</v>
      </c>
    </row>
    <row r="6560" spans="1:9" x14ac:dyDescent="0.3">
      <c r="A6560" t="s">
        <v>26</v>
      </c>
      <c r="D6560">
        <v>45000</v>
      </c>
      <c r="G6560">
        <v>44482</v>
      </c>
      <c r="H6560">
        <v>2021</v>
      </c>
      <c r="I6560" t="s">
        <v>51</v>
      </c>
    </row>
    <row r="6561" spans="1:9" x14ac:dyDescent="0.3">
      <c r="A6561" t="s">
        <v>22</v>
      </c>
      <c r="G6561">
        <v>44482</v>
      </c>
      <c r="H6561">
        <v>2021</v>
      </c>
      <c r="I6561" t="s">
        <v>51</v>
      </c>
    </row>
    <row r="6562" spans="1:9" x14ac:dyDescent="0.3">
      <c r="A6562" t="s">
        <v>61</v>
      </c>
      <c r="G6562">
        <v>44482</v>
      </c>
      <c r="H6562">
        <v>2021</v>
      </c>
      <c r="I6562" t="s">
        <v>51</v>
      </c>
    </row>
    <row r="6563" spans="1:9" x14ac:dyDescent="0.3">
      <c r="A6563" t="s">
        <v>19</v>
      </c>
      <c r="B6563">
        <v>104000</v>
      </c>
      <c r="G6563">
        <v>44482</v>
      </c>
      <c r="H6563">
        <v>2021</v>
      </c>
      <c r="I6563" t="s">
        <v>51</v>
      </c>
    </row>
    <row r="6564" spans="1:9" x14ac:dyDescent="0.3">
      <c r="A6564" t="s">
        <v>14</v>
      </c>
      <c r="B6564">
        <v>216000</v>
      </c>
      <c r="F6564">
        <v>45000</v>
      </c>
      <c r="G6564">
        <v>44482</v>
      </c>
      <c r="H6564">
        <v>2021</v>
      </c>
      <c r="I6564" t="s">
        <v>51</v>
      </c>
    </row>
    <row r="6565" spans="1:9" x14ac:dyDescent="0.3">
      <c r="A6565" t="s">
        <v>24</v>
      </c>
      <c r="G6565">
        <v>44482</v>
      </c>
      <c r="H6565">
        <v>2021</v>
      </c>
      <c r="I6565" t="s">
        <v>51</v>
      </c>
    </row>
    <row r="6566" spans="1:9" x14ac:dyDescent="0.3">
      <c r="A6566" t="s">
        <v>21</v>
      </c>
      <c r="G6566">
        <v>44482</v>
      </c>
      <c r="H6566">
        <v>2021</v>
      </c>
      <c r="I6566" t="s">
        <v>51</v>
      </c>
    </row>
    <row r="6567" spans="1:9" x14ac:dyDescent="0.3">
      <c r="A6567" t="s">
        <v>18</v>
      </c>
      <c r="G6567">
        <v>44482</v>
      </c>
      <c r="H6567">
        <v>2021</v>
      </c>
      <c r="I6567" t="s">
        <v>51</v>
      </c>
    </row>
    <row r="6568" spans="1:9" x14ac:dyDescent="0.3">
      <c r="A6568" t="s">
        <v>16</v>
      </c>
      <c r="G6568">
        <v>44482</v>
      </c>
      <c r="H6568">
        <v>2021</v>
      </c>
      <c r="I6568" t="s">
        <v>51</v>
      </c>
    </row>
    <row r="6569" spans="1:9" x14ac:dyDescent="0.3">
      <c r="A6569" t="s">
        <v>20</v>
      </c>
      <c r="G6569">
        <v>44483</v>
      </c>
      <c r="H6569">
        <v>2021</v>
      </c>
      <c r="I6569" t="s">
        <v>51</v>
      </c>
    </row>
    <row r="6570" spans="1:9" x14ac:dyDescent="0.3">
      <c r="A6570" t="s">
        <v>37</v>
      </c>
      <c r="G6570">
        <v>44483</v>
      </c>
      <c r="H6570">
        <v>2021</v>
      </c>
      <c r="I6570" t="s">
        <v>51</v>
      </c>
    </row>
    <row r="6571" spans="1:9" x14ac:dyDescent="0.3">
      <c r="A6571" t="s">
        <v>17</v>
      </c>
      <c r="B6571">
        <v>792500</v>
      </c>
      <c r="C6571">
        <v>49500</v>
      </c>
      <c r="G6571">
        <v>44483</v>
      </c>
      <c r="H6571">
        <v>2021</v>
      </c>
      <c r="I6571" t="s">
        <v>51</v>
      </c>
    </row>
    <row r="6572" spans="1:9" x14ac:dyDescent="0.3">
      <c r="A6572" t="s">
        <v>0</v>
      </c>
      <c r="E6572">
        <v>270000</v>
      </c>
      <c r="F6572">
        <v>50000</v>
      </c>
      <c r="G6572">
        <v>44483</v>
      </c>
      <c r="H6572">
        <v>2021</v>
      </c>
      <c r="I6572" t="s">
        <v>51</v>
      </c>
    </row>
    <row r="6573" spans="1:9" x14ac:dyDescent="0.3">
      <c r="A6573" t="s">
        <v>25</v>
      </c>
      <c r="C6573">
        <v>864000</v>
      </c>
      <c r="G6573">
        <v>44483</v>
      </c>
      <c r="H6573">
        <v>2021</v>
      </c>
      <c r="I6573" t="s">
        <v>51</v>
      </c>
    </row>
    <row r="6574" spans="1:9" x14ac:dyDescent="0.3">
      <c r="A6574" t="s">
        <v>15</v>
      </c>
      <c r="G6574">
        <v>44483</v>
      </c>
      <c r="H6574">
        <v>2021</v>
      </c>
      <c r="I6574" t="s">
        <v>51</v>
      </c>
    </row>
    <row r="6575" spans="1:9" x14ac:dyDescent="0.3">
      <c r="A6575" t="s">
        <v>54</v>
      </c>
      <c r="G6575">
        <v>44483</v>
      </c>
      <c r="H6575">
        <v>2021</v>
      </c>
      <c r="I6575" t="s">
        <v>51</v>
      </c>
    </row>
    <row r="6576" spans="1:9" x14ac:dyDescent="0.3">
      <c r="A6576" t="s">
        <v>26</v>
      </c>
      <c r="C6576">
        <v>45000</v>
      </c>
      <c r="E6576">
        <v>108000</v>
      </c>
      <c r="G6576">
        <v>44483</v>
      </c>
      <c r="H6576">
        <v>2021</v>
      </c>
      <c r="I6576" t="s">
        <v>51</v>
      </c>
    </row>
    <row r="6577" spans="1:9" x14ac:dyDescent="0.3">
      <c r="A6577" t="s">
        <v>22</v>
      </c>
      <c r="G6577">
        <v>44483</v>
      </c>
      <c r="H6577">
        <v>2021</v>
      </c>
      <c r="I6577" t="s">
        <v>51</v>
      </c>
    </row>
    <row r="6578" spans="1:9" x14ac:dyDescent="0.3">
      <c r="A6578" t="s">
        <v>61</v>
      </c>
      <c r="G6578">
        <v>44483</v>
      </c>
      <c r="H6578">
        <v>2021</v>
      </c>
      <c r="I6578" t="s">
        <v>51</v>
      </c>
    </row>
    <row r="6579" spans="1:9" x14ac:dyDescent="0.3">
      <c r="A6579" t="s">
        <v>19</v>
      </c>
      <c r="B6579">
        <v>918000</v>
      </c>
      <c r="C6579">
        <v>864000</v>
      </c>
      <c r="G6579">
        <v>44483</v>
      </c>
      <c r="H6579">
        <v>2021</v>
      </c>
      <c r="I6579" t="s">
        <v>51</v>
      </c>
    </row>
    <row r="6580" spans="1:9" x14ac:dyDescent="0.3">
      <c r="A6580" t="s">
        <v>14</v>
      </c>
      <c r="B6580">
        <v>45000</v>
      </c>
      <c r="C6580">
        <v>108000</v>
      </c>
      <c r="E6580">
        <v>108000</v>
      </c>
      <c r="F6580">
        <v>45000</v>
      </c>
      <c r="G6580">
        <v>44483</v>
      </c>
      <c r="H6580">
        <v>2021</v>
      </c>
      <c r="I6580" t="s">
        <v>51</v>
      </c>
    </row>
    <row r="6581" spans="1:9" x14ac:dyDescent="0.3">
      <c r="A6581" t="s">
        <v>24</v>
      </c>
      <c r="G6581">
        <v>44483</v>
      </c>
      <c r="H6581">
        <v>2021</v>
      </c>
      <c r="I6581" t="s">
        <v>51</v>
      </c>
    </row>
    <row r="6582" spans="1:9" x14ac:dyDescent="0.3">
      <c r="A6582" t="s">
        <v>21</v>
      </c>
      <c r="G6582">
        <v>44483</v>
      </c>
      <c r="H6582">
        <v>2021</v>
      </c>
      <c r="I6582" t="s">
        <v>51</v>
      </c>
    </row>
    <row r="6583" spans="1:9" x14ac:dyDescent="0.3">
      <c r="A6583" t="s">
        <v>18</v>
      </c>
      <c r="G6583">
        <v>44483</v>
      </c>
      <c r="H6583">
        <v>2021</v>
      </c>
      <c r="I6583" t="s">
        <v>51</v>
      </c>
    </row>
    <row r="6584" spans="1:9" x14ac:dyDescent="0.3">
      <c r="A6584" t="s">
        <v>16</v>
      </c>
      <c r="B6584">
        <v>49500</v>
      </c>
      <c r="G6584">
        <v>44483</v>
      </c>
      <c r="H6584">
        <v>2021</v>
      </c>
      <c r="I6584" t="s">
        <v>51</v>
      </c>
    </row>
    <row r="6585" spans="1:9" x14ac:dyDescent="0.3">
      <c r="A6585" t="s">
        <v>20</v>
      </c>
      <c r="G6585">
        <v>44484</v>
      </c>
      <c r="H6585">
        <v>2021</v>
      </c>
      <c r="I6585" t="s">
        <v>51</v>
      </c>
    </row>
    <row r="6586" spans="1:9" x14ac:dyDescent="0.3">
      <c r="A6586" t="s">
        <v>37</v>
      </c>
      <c r="G6586">
        <v>44484</v>
      </c>
      <c r="H6586">
        <v>2021</v>
      </c>
      <c r="I6586" t="s">
        <v>51</v>
      </c>
    </row>
    <row r="6587" spans="1:9" x14ac:dyDescent="0.3">
      <c r="A6587" t="s">
        <v>17</v>
      </c>
      <c r="B6587">
        <v>316000</v>
      </c>
      <c r="C6587">
        <v>54000</v>
      </c>
      <c r="G6587">
        <v>44484</v>
      </c>
      <c r="H6587">
        <v>2021</v>
      </c>
      <c r="I6587" t="s">
        <v>51</v>
      </c>
    </row>
    <row r="6588" spans="1:9" x14ac:dyDescent="0.3">
      <c r="A6588" t="s">
        <v>0</v>
      </c>
      <c r="C6588">
        <v>90000</v>
      </c>
      <c r="E6588">
        <v>104000</v>
      </c>
      <c r="G6588">
        <v>44484</v>
      </c>
      <c r="H6588">
        <v>2021</v>
      </c>
      <c r="I6588" t="s">
        <v>51</v>
      </c>
    </row>
    <row r="6589" spans="1:9" x14ac:dyDescent="0.3">
      <c r="A6589" t="s">
        <v>25</v>
      </c>
      <c r="C6589">
        <v>1021500</v>
      </c>
      <c r="G6589">
        <v>44484</v>
      </c>
      <c r="H6589">
        <v>2021</v>
      </c>
      <c r="I6589" t="s">
        <v>51</v>
      </c>
    </row>
    <row r="6590" spans="1:9" x14ac:dyDescent="0.3">
      <c r="A6590" t="s">
        <v>15</v>
      </c>
      <c r="G6590">
        <v>44484</v>
      </c>
      <c r="H6590">
        <v>2021</v>
      </c>
      <c r="I6590" t="s">
        <v>51</v>
      </c>
    </row>
    <row r="6591" spans="1:9" x14ac:dyDescent="0.3">
      <c r="A6591" t="s">
        <v>54</v>
      </c>
      <c r="G6591">
        <v>44484</v>
      </c>
      <c r="H6591">
        <v>2021</v>
      </c>
      <c r="I6591" t="s">
        <v>51</v>
      </c>
    </row>
    <row r="6592" spans="1:9" x14ac:dyDescent="0.3">
      <c r="A6592" t="s">
        <v>26</v>
      </c>
      <c r="E6592">
        <v>162000</v>
      </c>
      <c r="G6592">
        <v>44484</v>
      </c>
      <c r="H6592">
        <v>2021</v>
      </c>
      <c r="I6592" t="s">
        <v>51</v>
      </c>
    </row>
    <row r="6593" spans="1:9" x14ac:dyDescent="0.3">
      <c r="A6593" t="s">
        <v>22</v>
      </c>
      <c r="G6593">
        <v>44484</v>
      </c>
      <c r="H6593">
        <v>2021</v>
      </c>
      <c r="I6593" t="s">
        <v>51</v>
      </c>
    </row>
    <row r="6594" spans="1:9" x14ac:dyDescent="0.3">
      <c r="A6594" t="s">
        <v>61</v>
      </c>
      <c r="G6594">
        <v>44484</v>
      </c>
      <c r="H6594">
        <v>2021</v>
      </c>
      <c r="I6594" t="s">
        <v>51</v>
      </c>
    </row>
    <row r="6595" spans="1:9" x14ac:dyDescent="0.3">
      <c r="A6595" t="s">
        <v>19</v>
      </c>
      <c r="B6595">
        <v>917500</v>
      </c>
      <c r="C6595">
        <v>306000</v>
      </c>
      <c r="G6595">
        <v>44484</v>
      </c>
      <c r="H6595">
        <v>2021</v>
      </c>
      <c r="I6595" t="s">
        <v>51</v>
      </c>
    </row>
    <row r="6596" spans="1:9" x14ac:dyDescent="0.3">
      <c r="A6596" t="s">
        <v>14</v>
      </c>
      <c r="B6596">
        <v>54000</v>
      </c>
      <c r="G6596">
        <v>44484</v>
      </c>
      <c r="H6596">
        <v>2021</v>
      </c>
      <c r="I6596" t="s">
        <v>51</v>
      </c>
    </row>
    <row r="6597" spans="1:9" x14ac:dyDescent="0.3">
      <c r="A6597" t="s">
        <v>24</v>
      </c>
      <c r="G6597">
        <v>44484</v>
      </c>
      <c r="H6597">
        <v>2021</v>
      </c>
      <c r="I6597" t="s">
        <v>51</v>
      </c>
    </row>
    <row r="6598" spans="1:9" x14ac:dyDescent="0.3">
      <c r="A6598" t="s">
        <v>21</v>
      </c>
      <c r="G6598">
        <v>44484</v>
      </c>
      <c r="H6598">
        <v>2021</v>
      </c>
      <c r="I6598" t="s">
        <v>51</v>
      </c>
    </row>
    <row r="6599" spans="1:9" x14ac:dyDescent="0.3">
      <c r="A6599" t="s">
        <v>18</v>
      </c>
      <c r="G6599">
        <v>44484</v>
      </c>
      <c r="H6599">
        <v>2021</v>
      </c>
      <c r="I6599" t="s">
        <v>51</v>
      </c>
    </row>
    <row r="6600" spans="1:9" x14ac:dyDescent="0.3">
      <c r="A6600" t="s">
        <v>16</v>
      </c>
      <c r="G6600">
        <v>44484</v>
      </c>
      <c r="H6600">
        <v>2021</v>
      </c>
      <c r="I6600" t="s">
        <v>51</v>
      </c>
    </row>
    <row r="6601" spans="1:9" x14ac:dyDescent="0.3">
      <c r="A6601" t="s">
        <v>20</v>
      </c>
      <c r="G6601">
        <v>44489</v>
      </c>
      <c r="H6601">
        <v>2021</v>
      </c>
      <c r="I6601" t="s">
        <v>51</v>
      </c>
    </row>
    <row r="6602" spans="1:9" x14ac:dyDescent="0.3">
      <c r="A6602" t="s">
        <v>37</v>
      </c>
      <c r="B6602">
        <v>108000</v>
      </c>
      <c r="G6602">
        <v>44489</v>
      </c>
      <c r="H6602">
        <v>2021</v>
      </c>
      <c r="I6602" t="s">
        <v>51</v>
      </c>
    </row>
    <row r="6603" spans="1:9" x14ac:dyDescent="0.3">
      <c r="A6603" t="s">
        <v>17</v>
      </c>
      <c r="B6603">
        <v>54000</v>
      </c>
      <c r="G6603">
        <v>44489</v>
      </c>
      <c r="H6603">
        <v>2021</v>
      </c>
      <c r="I6603" t="s">
        <v>51</v>
      </c>
    </row>
    <row r="6604" spans="1:9" x14ac:dyDescent="0.3">
      <c r="A6604" t="s">
        <v>0</v>
      </c>
      <c r="G6604">
        <v>44489</v>
      </c>
      <c r="H6604">
        <v>2021</v>
      </c>
      <c r="I6604" t="s">
        <v>51</v>
      </c>
    </row>
    <row r="6605" spans="1:9" x14ac:dyDescent="0.3">
      <c r="A6605" t="s">
        <v>25</v>
      </c>
      <c r="C6605">
        <v>216000</v>
      </c>
      <c r="G6605">
        <v>44489</v>
      </c>
      <c r="H6605">
        <v>2021</v>
      </c>
      <c r="I6605" t="s">
        <v>51</v>
      </c>
    </row>
    <row r="6606" spans="1:9" x14ac:dyDescent="0.3">
      <c r="A6606" t="s">
        <v>15</v>
      </c>
      <c r="G6606">
        <v>44489</v>
      </c>
      <c r="H6606">
        <v>2021</v>
      </c>
      <c r="I6606" t="s">
        <v>51</v>
      </c>
    </row>
    <row r="6607" spans="1:9" x14ac:dyDescent="0.3">
      <c r="A6607" t="s">
        <v>54</v>
      </c>
      <c r="G6607">
        <v>44489</v>
      </c>
      <c r="H6607">
        <v>2021</v>
      </c>
      <c r="I6607" t="s">
        <v>51</v>
      </c>
    </row>
    <row r="6608" spans="1:9" x14ac:dyDescent="0.3">
      <c r="A6608" t="s">
        <v>26</v>
      </c>
      <c r="G6608">
        <v>44489</v>
      </c>
      <c r="H6608">
        <v>2021</v>
      </c>
      <c r="I6608" t="s">
        <v>51</v>
      </c>
    </row>
    <row r="6609" spans="1:9" x14ac:dyDescent="0.3">
      <c r="A6609" t="s">
        <v>22</v>
      </c>
      <c r="C6609">
        <v>108000</v>
      </c>
      <c r="G6609">
        <v>44489</v>
      </c>
      <c r="H6609">
        <v>2021</v>
      </c>
      <c r="I6609" t="s">
        <v>51</v>
      </c>
    </row>
    <row r="6610" spans="1:9" x14ac:dyDescent="0.3">
      <c r="A6610" t="s">
        <v>61</v>
      </c>
      <c r="G6610">
        <v>44489</v>
      </c>
      <c r="H6610">
        <v>2021</v>
      </c>
      <c r="I6610" t="s">
        <v>51</v>
      </c>
    </row>
    <row r="6611" spans="1:9" x14ac:dyDescent="0.3">
      <c r="A6611" t="s">
        <v>19</v>
      </c>
      <c r="B6611">
        <v>54000</v>
      </c>
      <c r="C6611">
        <v>594000</v>
      </c>
      <c r="G6611">
        <v>44489</v>
      </c>
      <c r="H6611">
        <v>2021</v>
      </c>
      <c r="I6611" t="s">
        <v>51</v>
      </c>
    </row>
    <row r="6612" spans="1:9" x14ac:dyDescent="0.3">
      <c r="A6612" t="s">
        <v>14</v>
      </c>
      <c r="F6612">
        <v>194000</v>
      </c>
      <c r="G6612">
        <v>44489</v>
      </c>
      <c r="H6612">
        <v>2021</v>
      </c>
      <c r="I6612" t="s">
        <v>51</v>
      </c>
    </row>
    <row r="6613" spans="1:9" x14ac:dyDescent="0.3">
      <c r="A6613" t="s">
        <v>24</v>
      </c>
      <c r="G6613">
        <v>44489</v>
      </c>
      <c r="H6613">
        <v>2021</v>
      </c>
      <c r="I6613" t="s">
        <v>51</v>
      </c>
    </row>
    <row r="6614" spans="1:9" x14ac:dyDescent="0.3">
      <c r="A6614" t="s">
        <v>21</v>
      </c>
      <c r="G6614">
        <v>44489</v>
      </c>
      <c r="H6614">
        <v>2021</v>
      </c>
      <c r="I6614" t="s">
        <v>51</v>
      </c>
    </row>
    <row r="6615" spans="1:9" x14ac:dyDescent="0.3">
      <c r="A6615" t="s">
        <v>18</v>
      </c>
      <c r="G6615">
        <v>44489</v>
      </c>
      <c r="H6615">
        <v>2021</v>
      </c>
      <c r="I6615" t="s">
        <v>51</v>
      </c>
    </row>
    <row r="6616" spans="1:9" x14ac:dyDescent="0.3">
      <c r="A6616" t="s">
        <v>16</v>
      </c>
      <c r="G6616">
        <v>44489</v>
      </c>
      <c r="H6616">
        <v>2021</v>
      </c>
      <c r="I6616" t="s">
        <v>51</v>
      </c>
    </row>
    <row r="6617" spans="1:9" x14ac:dyDescent="0.3">
      <c r="A6617" t="s">
        <v>20</v>
      </c>
      <c r="G6617">
        <v>44490</v>
      </c>
      <c r="H6617">
        <v>2021</v>
      </c>
      <c r="I6617" t="s">
        <v>51</v>
      </c>
    </row>
    <row r="6618" spans="1:9" x14ac:dyDescent="0.3">
      <c r="A6618" t="s">
        <v>37</v>
      </c>
      <c r="G6618">
        <v>44490</v>
      </c>
      <c r="H6618">
        <v>2021</v>
      </c>
      <c r="I6618" t="s">
        <v>51</v>
      </c>
    </row>
    <row r="6619" spans="1:9" x14ac:dyDescent="0.3">
      <c r="A6619" t="s">
        <v>17</v>
      </c>
      <c r="G6619">
        <v>44490</v>
      </c>
      <c r="H6619">
        <v>2021</v>
      </c>
      <c r="I6619" t="s">
        <v>51</v>
      </c>
    </row>
    <row r="6620" spans="1:9" x14ac:dyDescent="0.3">
      <c r="A6620" t="s">
        <v>0</v>
      </c>
      <c r="C6620">
        <v>45000</v>
      </c>
      <c r="G6620">
        <v>44490</v>
      </c>
      <c r="H6620">
        <v>2021</v>
      </c>
      <c r="I6620" t="s">
        <v>51</v>
      </c>
    </row>
    <row r="6621" spans="1:9" x14ac:dyDescent="0.3">
      <c r="A6621" t="s">
        <v>25</v>
      </c>
      <c r="C6621">
        <v>54000</v>
      </c>
      <c r="G6621">
        <v>44490</v>
      </c>
      <c r="H6621">
        <v>2021</v>
      </c>
      <c r="I6621" t="s">
        <v>51</v>
      </c>
    </row>
    <row r="6622" spans="1:9" x14ac:dyDescent="0.3">
      <c r="A6622" t="s">
        <v>15</v>
      </c>
      <c r="G6622">
        <v>44490</v>
      </c>
      <c r="H6622">
        <v>2021</v>
      </c>
      <c r="I6622" t="s">
        <v>51</v>
      </c>
    </row>
    <row r="6623" spans="1:9" x14ac:dyDescent="0.3">
      <c r="A6623" t="s">
        <v>54</v>
      </c>
      <c r="G6623">
        <v>44490</v>
      </c>
      <c r="H6623">
        <v>2021</v>
      </c>
      <c r="I6623" t="s">
        <v>51</v>
      </c>
    </row>
    <row r="6624" spans="1:9" x14ac:dyDescent="0.3">
      <c r="A6624" t="s">
        <v>26</v>
      </c>
      <c r="B6624">
        <v>747500</v>
      </c>
      <c r="F6624">
        <v>261000</v>
      </c>
      <c r="G6624">
        <v>44490</v>
      </c>
      <c r="H6624">
        <v>2021</v>
      </c>
      <c r="I6624" t="s">
        <v>51</v>
      </c>
    </row>
    <row r="6625" spans="1:9" x14ac:dyDescent="0.3">
      <c r="A6625" t="s">
        <v>22</v>
      </c>
      <c r="C6625">
        <v>212000</v>
      </c>
      <c r="G6625">
        <v>44490</v>
      </c>
      <c r="H6625">
        <v>2021</v>
      </c>
      <c r="I6625" t="s">
        <v>51</v>
      </c>
    </row>
    <row r="6626" spans="1:9" x14ac:dyDescent="0.3">
      <c r="A6626" t="s">
        <v>61</v>
      </c>
      <c r="G6626">
        <v>44490</v>
      </c>
      <c r="H6626">
        <v>2021</v>
      </c>
      <c r="I6626" t="s">
        <v>51</v>
      </c>
    </row>
    <row r="6627" spans="1:9" x14ac:dyDescent="0.3">
      <c r="A6627" t="s">
        <v>19</v>
      </c>
      <c r="C6627">
        <v>378000</v>
      </c>
      <c r="G6627">
        <v>44490</v>
      </c>
      <c r="H6627">
        <v>2021</v>
      </c>
      <c r="I6627" t="s">
        <v>51</v>
      </c>
    </row>
    <row r="6628" spans="1:9" x14ac:dyDescent="0.3">
      <c r="A6628" t="s">
        <v>14</v>
      </c>
      <c r="C6628">
        <v>792000</v>
      </c>
      <c r="G6628">
        <v>44490</v>
      </c>
      <c r="H6628">
        <v>2021</v>
      </c>
      <c r="I6628" t="s">
        <v>51</v>
      </c>
    </row>
    <row r="6629" spans="1:9" x14ac:dyDescent="0.3">
      <c r="A6629" t="s">
        <v>24</v>
      </c>
      <c r="G6629">
        <v>44490</v>
      </c>
      <c r="H6629">
        <v>2021</v>
      </c>
      <c r="I6629" t="s">
        <v>51</v>
      </c>
    </row>
    <row r="6630" spans="1:9" x14ac:dyDescent="0.3">
      <c r="A6630" t="s">
        <v>21</v>
      </c>
      <c r="G6630">
        <v>44490</v>
      </c>
      <c r="H6630">
        <v>2021</v>
      </c>
      <c r="I6630" t="s">
        <v>51</v>
      </c>
    </row>
    <row r="6631" spans="1:9" x14ac:dyDescent="0.3">
      <c r="A6631" t="s">
        <v>18</v>
      </c>
      <c r="G6631">
        <v>44490</v>
      </c>
      <c r="H6631">
        <v>2021</v>
      </c>
      <c r="I6631" t="s">
        <v>51</v>
      </c>
    </row>
    <row r="6632" spans="1:9" x14ac:dyDescent="0.3">
      <c r="A6632" t="s">
        <v>16</v>
      </c>
      <c r="G6632">
        <v>44490</v>
      </c>
      <c r="H6632">
        <v>2021</v>
      </c>
      <c r="I6632" t="s">
        <v>51</v>
      </c>
    </row>
    <row r="6633" spans="1:9" x14ac:dyDescent="0.3">
      <c r="A6633" t="s">
        <v>20</v>
      </c>
      <c r="G6633">
        <v>44491</v>
      </c>
      <c r="H6633">
        <v>2021</v>
      </c>
      <c r="I6633" t="s">
        <v>51</v>
      </c>
    </row>
    <row r="6634" spans="1:9" x14ac:dyDescent="0.3">
      <c r="A6634" t="s">
        <v>37</v>
      </c>
      <c r="G6634">
        <v>44491</v>
      </c>
      <c r="H6634">
        <v>2021</v>
      </c>
      <c r="I6634" t="s">
        <v>51</v>
      </c>
    </row>
    <row r="6635" spans="1:9" x14ac:dyDescent="0.3">
      <c r="A6635" t="s">
        <v>17</v>
      </c>
      <c r="G6635">
        <v>44491</v>
      </c>
      <c r="H6635">
        <v>2021</v>
      </c>
      <c r="I6635" t="s">
        <v>51</v>
      </c>
    </row>
    <row r="6636" spans="1:9" x14ac:dyDescent="0.3">
      <c r="A6636" t="s">
        <v>0</v>
      </c>
      <c r="E6636">
        <v>324000</v>
      </c>
      <c r="G6636">
        <v>44491</v>
      </c>
      <c r="H6636">
        <v>2021</v>
      </c>
      <c r="I6636" t="s">
        <v>51</v>
      </c>
    </row>
    <row r="6637" spans="1:9" x14ac:dyDescent="0.3">
      <c r="A6637" t="s">
        <v>25</v>
      </c>
      <c r="G6637">
        <v>44491</v>
      </c>
      <c r="H6637">
        <v>2021</v>
      </c>
      <c r="I6637" t="s">
        <v>51</v>
      </c>
    </row>
    <row r="6638" spans="1:9" x14ac:dyDescent="0.3">
      <c r="A6638" t="s">
        <v>15</v>
      </c>
      <c r="G6638">
        <v>44491</v>
      </c>
      <c r="H6638">
        <v>2021</v>
      </c>
      <c r="I6638" t="s">
        <v>51</v>
      </c>
    </row>
    <row r="6639" spans="1:9" x14ac:dyDescent="0.3">
      <c r="A6639" t="s">
        <v>54</v>
      </c>
      <c r="G6639">
        <v>44491</v>
      </c>
      <c r="H6639">
        <v>2021</v>
      </c>
      <c r="I6639" t="s">
        <v>51</v>
      </c>
    </row>
    <row r="6640" spans="1:9" x14ac:dyDescent="0.3">
      <c r="A6640" t="s">
        <v>26</v>
      </c>
      <c r="F6640">
        <v>90000</v>
      </c>
      <c r="G6640">
        <v>44491</v>
      </c>
      <c r="H6640">
        <v>2021</v>
      </c>
      <c r="I6640" t="s">
        <v>51</v>
      </c>
    </row>
    <row r="6641" spans="1:9" x14ac:dyDescent="0.3">
      <c r="A6641" t="s">
        <v>22</v>
      </c>
      <c r="G6641">
        <v>44491</v>
      </c>
      <c r="H6641">
        <v>2021</v>
      </c>
      <c r="I6641" t="s">
        <v>51</v>
      </c>
    </row>
    <row r="6642" spans="1:9" x14ac:dyDescent="0.3">
      <c r="A6642" t="s">
        <v>61</v>
      </c>
      <c r="G6642">
        <v>44491</v>
      </c>
      <c r="H6642">
        <v>2021</v>
      </c>
      <c r="I6642" t="s">
        <v>51</v>
      </c>
    </row>
    <row r="6643" spans="1:9" x14ac:dyDescent="0.3">
      <c r="A6643" t="s">
        <v>19</v>
      </c>
      <c r="C6643">
        <v>216000</v>
      </c>
      <c r="G6643">
        <v>44491</v>
      </c>
      <c r="H6643">
        <v>2021</v>
      </c>
      <c r="I6643" t="s">
        <v>51</v>
      </c>
    </row>
    <row r="6644" spans="1:9" x14ac:dyDescent="0.3">
      <c r="A6644" t="s">
        <v>14</v>
      </c>
      <c r="C6644">
        <v>378000</v>
      </c>
      <c r="E6644">
        <v>54000</v>
      </c>
      <c r="G6644">
        <v>44491</v>
      </c>
      <c r="H6644">
        <v>2021</v>
      </c>
      <c r="I6644" t="s">
        <v>51</v>
      </c>
    </row>
    <row r="6645" spans="1:9" x14ac:dyDescent="0.3">
      <c r="A6645" t="s">
        <v>24</v>
      </c>
      <c r="G6645">
        <v>44491</v>
      </c>
      <c r="H6645">
        <v>2021</v>
      </c>
      <c r="I6645" t="s">
        <v>51</v>
      </c>
    </row>
    <row r="6646" spans="1:9" x14ac:dyDescent="0.3">
      <c r="A6646" t="s">
        <v>21</v>
      </c>
      <c r="G6646">
        <v>44491</v>
      </c>
      <c r="H6646">
        <v>2021</v>
      </c>
      <c r="I6646" t="s">
        <v>51</v>
      </c>
    </row>
    <row r="6647" spans="1:9" x14ac:dyDescent="0.3">
      <c r="A6647" t="s">
        <v>18</v>
      </c>
      <c r="G6647">
        <v>44491</v>
      </c>
      <c r="H6647">
        <v>2021</v>
      </c>
      <c r="I6647" t="s">
        <v>51</v>
      </c>
    </row>
    <row r="6648" spans="1:9" x14ac:dyDescent="0.3">
      <c r="A6648" t="s">
        <v>16</v>
      </c>
      <c r="B6648">
        <v>1609000</v>
      </c>
      <c r="C6648">
        <v>594000</v>
      </c>
      <c r="E6648">
        <v>54000</v>
      </c>
      <c r="F6648">
        <v>365000</v>
      </c>
      <c r="G6648">
        <v>44491</v>
      </c>
      <c r="H6648">
        <v>2021</v>
      </c>
      <c r="I6648" t="s">
        <v>51</v>
      </c>
    </row>
    <row r="6649" spans="1:9" x14ac:dyDescent="0.3">
      <c r="A6649" t="s">
        <v>20</v>
      </c>
      <c r="G6649">
        <v>44494</v>
      </c>
      <c r="H6649">
        <v>2021</v>
      </c>
      <c r="I6649" t="s">
        <v>51</v>
      </c>
    </row>
    <row r="6650" spans="1:9" x14ac:dyDescent="0.3">
      <c r="A6650" t="s">
        <v>37</v>
      </c>
      <c r="G6650">
        <v>44494</v>
      </c>
      <c r="H6650">
        <v>2021</v>
      </c>
      <c r="I6650" t="s">
        <v>51</v>
      </c>
    </row>
    <row r="6651" spans="1:9" x14ac:dyDescent="0.3">
      <c r="A6651" t="s">
        <v>17</v>
      </c>
      <c r="G6651">
        <v>44494</v>
      </c>
      <c r="H6651">
        <v>2021</v>
      </c>
      <c r="I6651" t="s">
        <v>51</v>
      </c>
    </row>
    <row r="6652" spans="1:9" x14ac:dyDescent="0.3">
      <c r="A6652" t="s">
        <v>0</v>
      </c>
      <c r="B6652">
        <v>1611000</v>
      </c>
      <c r="F6652">
        <v>432000</v>
      </c>
      <c r="G6652">
        <v>44494</v>
      </c>
      <c r="H6652">
        <v>2021</v>
      </c>
      <c r="I6652" t="s">
        <v>51</v>
      </c>
    </row>
    <row r="6653" spans="1:9" x14ac:dyDescent="0.3">
      <c r="A6653" t="s">
        <v>25</v>
      </c>
      <c r="G6653">
        <v>44494</v>
      </c>
      <c r="H6653">
        <v>2021</v>
      </c>
      <c r="I6653" t="s">
        <v>51</v>
      </c>
    </row>
    <row r="6654" spans="1:9" x14ac:dyDescent="0.3">
      <c r="A6654" t="s">
        <v>15</v>
      </c>
      <c r="G6654">
        <v>44494</v>
      </c>
      <c r="H6654">
        <v>2021</v>
      </c>
      <c r="I6654" t="s">
        <v>51</v>
      </c>
    </row>
    <row r="6655" spans="1:9" x14ac:dyDescent="0.3">
      <c r="A6655" t="s">
        <v>54</v>
      </c>
      <c r="G6655">
        <v>44494</v>
      </c>
      <c r="H6655">
        <v>2021</v>
      </c>
      <c r="I6655" t="s">
        <v>51</v>
      </c>
    </row>
    <row r="6656" spans="1:9" x14ac:dyDescent="0.3">
      <c r="A6656" t="s">
        <v>26</v>
      </c>
      <c r="B6656">
        <v>50000</v>
      </c>
      <c r="E6656">
        <v>108000</v>
      </c>
      <c r="G6656">
        <v>44494</v>
      </c>
      <c r="H6656">
        <v>2021</v>
      </c>
      <c r="I6656" t="s">
        <v>51</v>
      </c>
    </row>
    <row r="6657" spans="1:9" x14ac:dyDescent="0.3">
      <c r="A6657" t="s">
        <v>22</v>
      </c>
      <c r="G6657">
        <v>44494</v>
      </c>
      <c r="H6657">
        <v>2021</v>
      </c>
      <c r="I6657" t="s">
        <v>51</v>
      </c>
    </row>
    <row r="6658" spans="1:9" x14ac:dyDescent="0.3">
      <c r="A6658" t="s">
        <v>61</v>
      </c>
      <c r="G6658">
        <v>44494</v>
      </c>
      <c r="H6658">
        <v>2021</v>
      </c>
      <c r="I6658" t="s">
        <v>51</v>
      </c>
    </row>
    <row r="6659" spans="1:9" x14ac:dyDescent="0.3">
      <c r="A6659" t="s">
        <v>19</v>
      </c>
      <c r="G6659">
        <v>44494</v>
      </c>
      <c r="H6659">
        <v>2021</v>
      </c>
      <c r="I6659" t="s">
        <v>51</v>
      </c>
    </row>
    <row r="6660" spans="1:9" x14ac:dyDescent="0.3">
      <c r="A6660" t="s">
        <v>14</v>
      </c>
      <c r="C6660">
        <v>486000</v>
      </c>
      <c r="E6660">
        <v>50000</v>
      </c>
      <c r="G6660">
        <v>44494</v>
      </c>
      <c r="H6660">
        <v>2021</v>
      </c>
      <c r="I6660" t="s">
        <v>51</v>
      </c>
    </row>
    <row r="6661" spans="1:9" x14ac:dyDescent="0.3">
      <c r="A6661" t="s">
        <v>24</v>
      </c>
      <c r="G6661">
        <v>44494</v>
      </c>
      <c r="H6661">
        <v>2021</v>
      </c>
      <c r="I6661" t="s">
        <v>51</v>
      </c>
    </row>
    <row r="6662" spans="1:9" x14ac:dyDescent="0.3">
      <c r="A6662" t="s">
        <v>21</v>
      </c>
      <c r="G6662">
        <v>44494</v>
      </c>
      <c r="H6662">
        <v>2021</v>
      </c>
      <c r="I6662" t="s">
        <v>51</v>
      </c>
    </row>
    <row r="6663" spans="1:9" x14ac:dyDescent="0.3">
      <c r="A6663" t="s">
        <v>18</v>
      </c>
      <c r="G6663">
        <v>44494</v>
      </c>
      <c r="H6663">
        <v>2021</v>
      </c>
      <c r="I6663" t="s">
        <v>51</v>
      </c>
    </row>
    <row r="6664" spans="1:9" x14ac:dyDescent="0.3">
      <c r="A6664" t="s">
        <v>16</v>
      </c>
      <c r="B6664">
        <v>162000</v>
      </c>
      <c r="C6664">
        <v>430000</v>
      </c>
      <c r="E6664">
        <v>54000</v>
      </c>
      <c r="F6664">
        <v>90000</v>
      </c>
      <c r="G6664">
        <v>44494</v>
      </c>
      <c r="H6664">
        <v>2021</v>
      </c>
      <c r="I6664" t="s">
        <v>51</v>
      </c>
    </row>
    <row r="6665" spans="1:9" x14ac:dyDescent="0.3">
      <c r="A6665" t="s">
        <v>20</v>
      </c>
      <c r="G6665">
        <v>44495</v>
      </c>
      <c r="H6665">
        <v>2021</v>
      </c>
      <c r="I6665" t="s">
        <v>51</v>
      </c>
    </row>
    <row r="6666" spans="1:9" x14ac:dyDescent="0.3">
      <c r="A6666" t="s">
        <v>37</v>
      </c>
      <c r="G6666">
        <v>44495</v>
      </c>
      <c r="H6666">
        <v>2021</v>
      </c>
      <c r="I6666" t="s">
        <v>51</v>
      </c>
    </row>
    <row r="6667" spans="1:9" x14ac:dyDescent="0.3">
      <c r="A6667" t="s">
        <v>17</v>
      </c>
      <c r="C6667">
        <v>49500</v>
      </c>
      <c r="G6667">
        <v>44495</v>
      </c>
      <c r="H6667">
        <v>2021</v>
      </c>
      <c r="I6667" t="s">
        <v>51</v>
      </c>
    </row>
    <row r="6668" spans="1:9" x14ac:dyDescent="0.3">
      <c r="A6668" t="s">
        <v>0</v>
      </c>
      <c r="B6668">
        <v>2259000</v>
      </c>
      <c r="F6668">
        <v>689000</v>
      </c>
      <c r="G6668">
        <v>44495</v>
      </c>
      <c r="H6668">
        <v>2021</v>
      </c>
      <c r="I6668" t="s">
        <v>51</v>
      </c>
    </row>
    <row r="6669" spans="1:9" x14ac:dyDescent="0.3">
      <c r="A6669" t="s">
        <v>25</v>
      </c>
      <c r="E6669">
        <v>90000</v>
      </c>
      <c r="G6669">
        <v>44495</v>
      </c>
      <c r="H6669">
        <v>2021</v>
      </c>
      <c r="I6669" t="s">
        <v>51</v>
      </c>
    </row>
    <row r="6670" spans="1:9" x14ac:dyDescent="0.3">
      <c r="A6670" t="s">
        <v>15</v>
      </c>
      <c r="G6670">
        <v>44495</v>
      </c>
      <c r="H6670">
        <v>2021</v>
      </c>
      <c r="I6670" t="s">
        <v>51</v>
      </c>
    </row>
    <row r="6671" spans="1:9" x14ac:dyDescent="0.3">
      <c r="A6671" t="s">
        <v>54</v>
      </c>
      <c r="G6671">
        <v>44495</v>
      </c>
      <c r="H6671">
        <v>2021</v>
      </c>
      <c r="I6671" t="s">
        <v>51</v>
      </c>
    </row>
    <row r="6672" spans="1:9" x14ac:dyDescent="0.3">
      <c r="A6672" t="s">
        <v>26</v>
      </c>
      <c r="E6672">
        <v>162000</v>
      </c>
      <c r="F6672">
        <v>47000</v>
      </c>
      <c r="G6672">
        <v>44495</v>
      </c>
      <c r="H6672">
        <v>2021</v>
      </c>
      <c r="I6672" t="s">
        <v>51</v>
      </c>
    </row>
    <row r="6673" spans="1:9" x14ac:dyDescent="0.3">
      <c r="A6673" t="s">
        <v>22</v>
      </c>
      <c r="G6673">
        <v>44495</v>
      </c>
      <c r="H6673">
        <v>2021</v>
      </c>
      <c r="I6673" t="s">
        <v>51</v>
      </c>
    </row>
    <row r="6674" spans="1:9" x14ac:dyDescent="0.3">
      <c r="A6674" t="s">
        <v>61</v>
      </c>
      <c r="G6674">
        <v>44495</v>
      </c>
      <c r="H6674">
        <v>2021</v>
      </c>
      <c r="I6674" t="s">
        <v>51</v>
      </c>
    </row>
    <row r="6675" spans="1:9" x14ac:dyDescent="0.3">
      <c r="A6675" t="s">
        <v>19</v>
      </c>
      <c r="G6675">
        <v>44495</v>
      </c>
      <c r="H6675">
        <v>2021</v>
      </c>
      <c r="I6675" t="s">
        <v>51</v>
      </c>
    </row>
    <row r="6676" spans="1:9" x14ac:dyDescent="0.3">
      <c r="A6676" t="s">
        <v>14</v>
      </c>
      <c r="C6676">
        <v>540000</v>
      </c>
      <c r="G6676">
        <v>44495</v>
      </c>
      <c r="H6676">
        <v>2021</v>
      </c>
      <c r="I6676" t="s">
        <v>51</v>
      </c>
    </row>
    <row r="6677" spans="1:9" x14ac:dyDescent="0.3">
      <c r="A6677" t="s">
        <v>24</v>
      </c>
      <c r="G6677">
        <v>44495</v>
      </c>
      <c r="H6677">
        <v>2021</v>
      </c>
      <c r="I6677" t="s">
        <v>51</v>
      </c>
    </row>
    <row r="6678" spans="1:9" x14ac:dyDescent="0.3">
      <c r="A6678" t="s">
        <v>21</v>
      </c>
      <c r="G6678">
        <v>44495</v>
      </c>
      <c r="H6678">
        <v>2021</v>
      </c>
      <c r="I6678" t="s">
        <v>51</v>
      </c>
    </row>
    <row r="6679" spans="1:9" x14ac:dyDescent="0.3">
      <c r="A6679" t="s">
        <v>18</v>
      </c>
      <c r="G6679">
        <v>44495</v>
      </c>
      <c r="H6679">
        <v>2021</v>
      </c>
      <c r="I6679" t="s">
        <v>51</v>
      </c>
    </row>
    <row r="6680" spans="1:9" x14ac:dyDescent="0.3">
      <c r="A6680" t="s">
        <v>16</v>
      </c>
      <c r="B6680">
        <v>162000</v>
      </c>
      <c r="C6680">
        <v>108000</v>
      </c>
      <c r="E6680">
        <v>45000</v>
      </c>
      <c r="F6680">
        <v>45000</v>
      </c>
      <c r="G6680">
        <v>44495</v>
      </c>
      <c r="H6680">
        <v>2021</v>
      </c>
      <c r="I6680" t="s">
        <v>51</v>
      </c>
    </row>
    <row r="6681" spans="1:9" x14ac:dyDescent="0.3">
      <c r="A6681" t="s">
        <v>20</v>
      </c>
      <c r="G6681">
        <v>44496</v>
      </c>
      <c r="H6681">
        <v>2021</v>
      </c>
      <c r="I6681" t="s">
        <v>51</v>
      </c>
    </row>
    <row r="6682" spans="1:9" x14ac:dyDescent="0.3">
      <c r="A6682" t="s">
        <v>37</v>
      </c>
      <c r="G6682">
        <v>44496</v>
      </c>
      <c r="H6682">
        <v>2021</v>
      </c>
      <c r="I6682" t="s">
        <v>51</v>
      </c>
    </row>
    <row r="6683" spans="1:9" x14ac:dyDescent="0.3">
      <c r="A6683" t="s">
        <v>17</v>
      </c>
      <c r="B6683">
        <v>972000</v>
      </c>
      <c r="C6683">
        <v>216000</v>
      </c>
      <c r="D6683">
        <v>311000</v>
      </c>
      <c r="G6683">
        <v>44496</v>
      </c>
      <c r="H6683">
        <v>2021</v>
      </c>
      <c r="I6683" t="s">
        <v>51</v>
      </c>
    </row>
    <row r="6684" spans="1:9" x14ac:dyDescent="0.3">
      <c r="A6684" t="s">
        <v>0</v>
      </c>
      <c r="B6684">
        <v>536000</v>
      </c>
      <c r="F6684">
        <v>378000</v>
      </c>
      <c r="G6684">
        <v>44496</v>
      </c>
      <c r="H6684">
        <v>2021</v>
      </c>
      <c r="I6684" t="s">
        <v>51</v>
      </c>
    </row>
    <row r="6685" spans="1:9" x14ac:dyDescent="0.3">
      <c r="A6685" t="s">
        <v>25</v>
      </c>
      <c r="C6685">
        <v>108000</v>
      </c>
      <c r="G6685">
        <v>44496</v>
      </c>
      <c r="H6685">
        <v>2021</v>
      </c>
      <c r="I6685" t="s">
        <v>51</v>
      </c>
    </row>
    <row r="6686" spans="1:9" x14ac:dyDescent="0.3">
      <c r="A6686" t="s">
        <v>15</v>
      </c>
      <c r="G6686">
        <v>44496</v>
      </c>
      <c r="H6686">
        <v>2021</v>
      </c>
      <c r="I6686" t="s">
        <v>51</v>
      </c>
    </row>
    <row r="6687" spans="1:9" x14ac:dyDescent="0.3">
      <c r="A6687" t="s">
        <v>54</v>
      </c>
      <c r="G6687">
        <v>44496</v>
      </c>
      <c r="H6687">
        <v>2021</v>
      </c>
      <c r="I6687" t="s">
        <v>51</v>
      </c>
    </row>
    <row r="6688" spans="1:9" x14ac:dyDescent="0.3">
      <c r="A6688" t="s">
        <v>26</v>
      </c>
      <c r="C6688">
        <v>45000</v>
      </c>
      <c r="G6688">
        <v>44496</v>
      </c>
      <c r="H6688">
        <v>2021</v>
      </c>
      <c r="I6688" t="s">
        <v>51</v>
      </c>
    </row>
    <row r="6689" spans="1:9" x14ac:dyDescent="0.3">
      <c r="A6689" t="s">
        <v>22</v>
      </c>
      <c r="G6689">
        <v>44496</v>
      </c>
      <c r="H6689">
        <v>2021</v>
      </c>
      <c r="I6689" t="s">
        <v>51</v>
      </c>
    </row>
    <row r="6690" spans="1:9" x14ac:dyDescent="0.3">
      <c r="A6690" t="s">
        <v>61</v>
      </c>
      <c r="G6690">
        <v>44496</v>
      </c>
      <c r="H6690">
        <v>2021</v>
      </c>
      <c r="I6690" t="s">
        <v>51</v>
      </c>
    </row>
    <row r="6691" spans="1:9" x14ac:dyDescent="0.3">
      <c r="A6691" t="s">
        <v>19</v>
      </c>
      <c r="B6691">
        <v>753500</v>
      </c>
      <c r="C6691">
        <v>45000</v>
      </c>
      <c r="G6691">
        <v>44496</v>
      </c>
      <c r="H6691">
        <v>2021</v>
      </c>
      <c r="I6691" t="s">
        <v>51</v>
      </c>
    </row>
    <row r="6692" spans="1:9" x14ac:dyDescent="0.3">
      <c r="A6692" t="s">
        <v>14</v>
      </c>
      <c r="E6692">
        <v>50000</v>
      </c>
      <c r="G6692">
        <v>44496</v>
      </c>
      <c r="H6692">
        <v>2021</v>
      </c>
      <c r="I6692" t="s">
        <v>51</v>
      </c>
    </row>
    <row r="6693" spans="1:9" x14ac:dyDescent="0.3">
      <c r="A6693" t="s">
        <v>24</v>
      </c>
      <c r="G6693">
        <v>44496</v>
      </c>
      <c r="H6693">
        <v>2021</v>
      </c>
      <c r="I6693" t="s">
        <v>51</v>
      </c>
    </row>
    <row r="6694" spans="1:9" x14ac:dyDescent="0.3">
      <c r="A6694" t="s">
        <v>21</v>
      </c>
      <c r="G6694">
        <v>44496</v>
      </c>
      <c r="H6694">
        <v>2021</v>
      </c>
      <c r="I6694" t="s">
        <v>51</v>
      </c>
    </row>
    <row r="6695" spans="1:9" x14ac:dyDescent="0.3">
      <c r="A6695" t="s">
        <v>18</v>
      </c>
      <c r="G6695">
        <v>44496</v>
      </c>
      <c r="H6695">
        <v>2021</v>
      </c>
      <c r="I6695" t="s">
        <v>51</v>
      </c>
    </row>
    <row r="6696" spans="1:9" x14ac:dyDescent="0.3">
      <c r="A6696" t="s">
        <v>16</v>
      </c>
      <c r="C6696">
        <v>99000</v>
      </c>
      <c r="E6696">
        <v>45000</v>
      </c>
      <c r="G6696">
        <v>44496</v>
      </c>
      <c r="H6696">
        <v>2021</v>
      </c>
      <c r="I6696" t="s">
        <v>51</v>
      </c>
    </row>
    <row r="6697" spans="1:9" x14ac:dyDescent="0.3">
      <c r="A6697" t="s">
        <v>20</v>
      </c>
      <c r="G6697">
        <v>44497</v>
      </c>
      <c r="H6697">
        <v>2021</v>
      </c>
      <c r="I6697" t="s">
        <v>51</v>
      </c>
    </row>
    <row r="6698" spans="1:9" x14ac:dyDescent="0.3">
      <c r="A6698" t="s">
        <v>37</v>
      </c>
      <c r="G6698">
        <v>44497</v>
      </c>
      <c r="H6698">
        <v>2021</v>
      </c>
      <c r="I6698" t="s">
        <v>51</v>
      </c>
    </row>
    <row r="6699" spans="1:9" x14ac:dyDescent="0.3">
      <c r="A6699" t="s">
        <v>17</v>
      </c>
      <c r="B6699">
        <v>1026000</v>
      </c>
      <c r="D6699">
        <v>45000</v>
      </c>
      <c r="G6699">
        <v>44497</v>
      </c>
      <c r="H6699">
        <v>2021</v>
      </c>
      <c r="I6699" t="s">
        <v>51</v>
      </c>
    </row>
    <row r="6700" spans="1:9" x14ac:dyDescent="0.3">
      <c r="A6700" t="s">
        <v>0</v>
      </c>
      <c r="B6700">
        <v>90000</v>
      </c>
      <c r="G6700">
        <v>44497</v>
      </c>
      <c r="H6700">
        <v>2021</v>
      </c>
      <c r="I6700" t="s">
        <v>51</v>
      </c>
    </row>
    <row r="6701" spans="1:9" x14ac:dyDescent="0.3">
      <c r="A6701" t="s">
        <v>25</v>
      </c>
      <c r="C6701">
        <v>807800</v>
      </c>
      <c r="G6701">
        <v>44497</v>
      </c>
      <c r="H6701">
        <v>2021</v>
      </c>
      <c r="I6701" t="s">
        <v>51</v>
      </c>
    </row>
    <row r="6702" spans="1:9" x14ac:dyDescent="0.3">
      <c r="A6702" t="s">
        <v>15</v>
      </c>
      <c r="G6702">
        <v>44497</v>
      </c>
      <c r="H6702">
        <v>2021</v>
      </c>
      <c r="I6702" t="s">
        <v>51</v>
      </c>
    </row>
    <row r="6703" spans="1:9" x14ac:dyDescent="0.3">
      <c r="A6703" t="s">
        <v>54</v>
      </c>
      <c r="G6703">
        <v>44497</v>
      </c>
      <c r="H6703">
        <v>2021</v>
      </c>
      <c r="I6703" t="s">
        <v>51</v>
      </c>
    </row>
    <row r="6704" spans="1:9" x14ac:dyDescent="0.3">
      <c r="A6704" t="s">
        <v>26</v>
      </c>
      <c r="G6704">
        <v>44497</v>
      </c>
      <c r="H6704">
        <v>2021</v>
      </c>
      <c r="I6704" t="s">
        <v>51</v>
      </c>
    </row>
    <row r="6705" spans="1:9" x14ac:dyDescent="0.3">
      <c r="A6705" t="s">
        <v>22</v>
      </c>
      <c r="G6705">
        <v>44497</v>
      </c>
      <c r="H6705">
        <v>2021</v>
      </c>
      <c r="I6705" t="s">
        <v>51</v>
      </c>
    </row>
    <row r="6706" spans="1:9" x14ac:dyDescent="0.3">
      <c r="A6706" t="s">
        <v>61</v>
      </c>
      <c r="G6706">
        <v>44497</v>
      </c>
      <c r="H6706">
        <v>2021</v>
      </c>
      <c r="I6706" t="s">
        <v>51</v>
      </c>
    </row>
    <row r="6707" spans="1:9" x14ac:dyDescent="0.3">
      <c r="A6707" t="s">
        <v>19</v>
      </c>
      <c r="B6707">
        <v>634500</v>
      </c>
      <c r="G6707">
        <v>44497</v>
      </c>
      <c r="H6707">
        <v>2021</v>
      </c>
      <c r="I6707" t="s">
        <v>51</v>
      </c>
    </row>
    <row r="6708" spans="1:9" x14ac:dyDescent="0.3">
      <c r="A6708" t="s">
        <v>14</v>
      </c>
      <c r="G6708">
        <v>44497</v>
      </c>
      <c r="H6708">
        <v>2021</v>
      </c>
      <c r="I6708" t="s">
        <v>51</v>
      </c>
    </row>
    <row r="6709" spans="1:9" x14ac:dyDescent="0.3">
      <c r="A6709" t="s">
        <v>24</v>
      </c>
      <c r="G6709">
        <v>44497</v>
      </c>
      <c r="H6709">
        <v>2021</v>
      </c>
      <c r="I6709" t="s">
        <v>51</v>
      </c>
    </row>
    <row r="6710" spans="1:9" x14ac:dyDescent="0.3">
      <c r="A6710" t="s">
        <v>21</v>
      </c>
      <c r="G6710">
        <v>44497</v>
      </c>
      <c r="H6710">
        <v>2021</v>
      </c>
      <c r="I6710" t="s">
        <v>51</v>
      </c>
    </row>
    <row r="6711" spans="1:9" x14ac:dyDescent="0.3">
      <c r="A6711" t="s">
        <v>18</v>
      </c>
      <c r="B6711">
        <v>369000</v>
      </c>
      <c r="G6711">
        <v>44497</v>
      </c>
      <c r="H6711">
        <v>2021</v>
      </c>
      <c r="I6711" t="s">
        <v>51</v>
      </c>
    </row>
    <row r="6712" spans="1:9" x14ac:dyDescent="0.3">
      <c r="A6712" t="s">
        <v>16</v>
      </c>
      <c r="G6712">
        <v>44497</v>
      </c>
      <c r="H6712">
        <v>2021</v>
      </c>
      <c r="I6712" t="s">
        <v>51</v>
      </c>
    </row>
    <row r="6713" spans="1:9" x14ac:dyDescent="0.3">
      <c r="A6713" t="s">
        <v>20</v>
      </c>
      <c r="G6713">
        <v>44498</v>
      </c>
      <c r="H6713">
        <v>2021</v>
      </c>
      <c r="I6713" t="s">
        <v>51</v>
      </c>
    </row>
    <row r="6714" spans="1:9" x14ac:dyDescent="0.3">
      <c r="A6714" t="s">
        <v>37</v>
      </c>
      <c r="G6714">
        <v>44498</v>
      </c>
      <c r="H6714">
        <v>2021</v>
      </c>
      <c r="I6714" t="s">
        <v>51</v>
      </c>
    </row>
    <row r="6715" spans="1:9" x14ac:dyDescent="0.3">
      <c r="A6715" t="s">
        <v>17</v>
      </c>
      <c r="D6715">
        <v>99000</v>
      </c>
      <c r="G6715">
        <v>44498</v>
      </c>
      <c r="H6715">
        <v>2021</v>
      </c>
      <c r="I6715" t="s">
        <v>51</v>
      </c>
    </row>
    <row r="6716" spans="1:9" x14ac:dyDescent="0.3">
      <c r="A6716" t="s">
        <v>0</v>
      </c>
      <c r="C6716">
        <v>531000</v>
      </c>
      <c r="E6716">
        <v>531500</v>
      </c>
      <c r="G6716">
        <v>44498</v>
      </c>
      <c r="H6716">
        <v>2021</v>
      </c>
      <c r="I6716" t="s">
        <v>51</v>
      </c>
    </row>
    <row r="6717" spans="1:9" x14ac:dyDescent="0.3">
      <c r="A6717" t="s">
        <v>25</v>
      </c>
      <c r="G6717">
        <v>44498</v>
      </c>
      <c r="H6717">
        <v>2021</v>
      </c>
      <c r="I6717" t="s">
        <v>51</v>
      </c>
    </row>
    <row r="6718" spans="1:9" x14ac:dyDescent="0.3">
      <c r="A6718" t="s">
        <v>15</v>
      </c>
      <c r="G6718">
        <v>44498</v>
      </c>
      <c r="H6718">
        <v>2021</v>
      </c>
      <c r="I6718" t="s">
        <v>51</v>
      </c>
    </row>
    <row r="6719" spans="1:9" x14ac:dyDescent="0.3">
      <c r="A6719" t="s">
        <v>54</v>
      </c>
      <c r="G6719">
        <v>44498</v>
      </c>
      <c r="H6719">
        <v>2021</v>
      </c>
      <c r="I6719" t="s">
        <v>51</v>
      </c>
    </row>
    <row r="6720" spans="1:9" x14ac:dyDescent="0.3">
      <c r="A6720" t="s">
        <v>26</v>
      </c>
      <c r="G6720">
        <v>44498</v>
      </c>
      <c r="H6720">
        <v>2021</v>
      </c>
      <c r="I6720" t="s">
        <v>51</v>
      </c>
    </row>
    <row r="6721" spans="1:9" x14ac:dyDescent="0.3">
      <c r="A6721" t="s">
        <v>22</v>
      </c>
      <c r="G6721">
        <v>44498</v>
      </c>
      <c r="H6721">
        <v>2021</v>
      </c>
      <c r="I6721" t="s">
        <v>51</v>
      </c>
    </row>
    <row r="6722" spans="1:9" x14ac:dyDescent="0.3">
      <c r="A6722" t="s">
        <v>61</v>
      </c>
      <c r="G6722">
        <v>44498</v>
      </c>
      <c r="H6722">
        <v>2021</v>
      </c>
      <c r="I6722" t="s">
        <v>51</v>
      </c>
    </row>
    <row r="6723" spans="1:9" x14ac:dyDescent="0.3">
      <c r="A6723" t="s">
        <v>19</v>
      </c>
      <c r="B6723">
        <v>108000</v>
      </c>
      <c r="G6723">
        <v>44498</v>
      </c>
      <c r="H6723">
        <v>2021</v>
      </c>
      <c r="I6723" t="s">
        <v>51</v>
      </c>
    </row>
    <row r="6724" spans="1:9" x14ac:dyDescent="0.3">
      <c r="A6724" t="s">
        <v>14</v>
      </c>
      <c r="G6724">
        <v>44498</v>
      </c>
      <c r="H6724">
        <v>2021</v>
      </c>
      <c r="I6724" t="s">
        <v>51</v>
      </c>
    </row>
    <row r="6725" spans="1:9" x14ac:dyDescent="0.3">
      <c r="A6725" t="s">
        <v>24</v>
      </c>
      <c r="G6725">
        <v>44498</v>
      </c>
      <c r="H6725">
        <v>2021</v>
      </c>
      <c r="I6725" t="s">
        <v>51</v>
      </c>
    </row>
    <row r="6726" spans="1:9" x14ac:dyDescent="0.3">
      <c r="A6726" t="s">
        <v>21</v>
      </c>
      <c r="G6726">
        <v>44498</v>
      </c>
      <c r="H6726">
        <v>2021</v>
      </c>
      <c r="I6726" t="s">
        <v>51</v>
      </c>
    </row>
    <row r="6727" spans="1:9" x14ac:dyDescent="0.3">
      <c r="A6727" t="s">
        <v>18</v>
      </c>
      <c r="B6727">
        <v>580500</v>
      </c>
      <c r="G6727">
        <v>44498</v>
      </c>
      <c r="H6727">
        <v>2021</v>
      </c>
      <c r="I6727" t="s">
        <v>51</v>
      </c>
    </row>
    <row r="6728" spans="1:9" x14ac:dyDescent="0.3">
      <c r="A6728" t="s">
        <v>16</v>
      </c>
      <c r="G6728">
        <v>44498</v>
      </c>
      <c r="H6728">
        <v>2021</v>
      </c>
      <c r="I6728" t="s">
        <v>51</v>
      </c>
    </row>
    <row r="6729" spans="1:9" x14ac:dyDescent="0.3">
      <c r="A6729" t="s">
        <v>20</v>
      </c>
      <c r="G6729">
        <v>44502</v>
      </c>
      <c r="H6729">
        <v>2021</v>
      </c>
      <c r="I6729" t="s">
        <v>52</v>
      </c>
    </row>
    <row r="6730" spans="1:9" x14ac:dyDescent="0.3">
      <c r="A6730" t="s">
        <v>37</v>
      </c>
      <c r="G6730">
        <v>44502</v>
      </c>
      <c r="H6730">
        <v>2021</v>
      </c>
      <c r="I6730" t="s">
        <v>52</v>
      </c>
    </row>
    <row r="6731" spans="1:9" x14ac:dyDescent="0.3">
      <c r="A6731" t="s">
        <v>17</v>
      </c>
      <c r="G6731">
        <v>44502</v>
      </c>
      <c r="H6731">
        <v>2021</v>
      </c>
      <c r="I6731" t="s">
        <v>52</v>
      </c>
    </row>
    <row r="6732" spans="1:9" x14ac:dyDescent="0.3">
      <c r="A6732" t="s">
        <v>0</v>
      </c>
      <c r="C6732">
        <v>1079000</v>
      </c>
      <c r="E6732">
        <v>535000</v>
      </c>
      <c r="G6732">
        <v>44502</v>
      </c>
      <c r="H6732">
        <v>2021</v>
      </c>
      <c r="I6732" t="s">
        <v>52</v>
      </c>
    </row>
    <row r="6733" spans="1:9" x14ac:dyDescent="0.3">
      <c r="A6733" t="s">
        <v>25</v>
      </c>
      <c r="G6733">
        <v>44502</v>
      </c>
      <c r="H6733">
        <v>2021</v>
      </c>
      <c r="I6733" t="s">
        <v>52</v>
      </c>
    </row>
    <row r="6734" spans="1:9" x14ac:dyDescent="0.3">
      <c r="A6734" t="s">
        <v>15</v>
      </c>
      <c r="G6734">
        <v>44502</v>
      </c>
      <c r="H6734">
        <v>2021</v>
      </c>
      <c r="I6734" t="s">
        <v>52</v>
      </c>
    </row>
    <row r="6735" spans="1:9" x14ac:dyDescent="0.3">
      <c r="A6735" t="s">
        <v>54</v>
      </c>
      <c r="G6735">
        <v>44502</v>
      </c>
      <c r="H6735">
        <v>2021</v>
      </c>
      <c r="I6735" t="s">
        <v>52</v>
      </c>
    </row>
    <row r="6736" spans="1:9" x14ac:dyDescent="0.3">
      <c r="A6736" t="s">
        <v>26</v>
      </c>
      <c r="G6736">
        <v>44502</v>
      </c>
      <c r="H6736">
        <v>2021</v>
      </c>
      <c r="I6736" t="s">
        <v>52</v>
      </c>
    </row>
    <row r="6737" spans="1:9" x14ac:dyDescent="0.3">
      <c r="A6737" t="s">
        <v>22</v>
      </c>
      <c r="G6737">
        <v>44502</v>
      </c>
      <c r="H6737">
        <v>2021</v>
      </c>
      <c r="I6737" t="s">
        <v>52</v>
      </c>
    </row>
    <row r="6738" spans="1:9" x14ac:dyDescent="0.3">
      <c r="A6738" t="s">
        <v>61</v>
      </c>
      <c r="G6738">
        <v>44502</v>
      </c>
      <c r="H6738">
        <v>2021</v>
      </c>
      <c r="I6738" t="s">
        <v>52</v>
      </c>
    </row>
    <row r="6739" spans="1:9" x14ac:dyDescent="0.3">
      <c r="A6739" t="s">
        <v>19</v>
      </c>
      <c r="G6739">
        <v>44502</v>
      </c>
      <c r="H6739">
        <v>2021</v>
      </c>
      <c r="I6739" t="s">
        <v>52</v>
      </c>
    </row>
    <row r="6740" spans="1:9" x14ac:dyDescent="0.3">
      <c r="A6740" t="s">
        <v>14</v>
      </c>
      <c r="G6740">
        <v>44502</v>
      </c>
      <c r="H6740">
        <v>2021</v>
      </c>
      <c r="I6740" t="s">
        <v>52</v>
      </c>
    </row>
    <row r="6741" spans="1:9" x14ac:dyDescent="0.3">
      <c r="A6741" t="s">
        <v>24</v>
      </c>
      <c r="G6741">
        <v>44502</v>
      </c>
      <c r="H6741">
        <v>2021</v>
      </c>
      <c r="I6741" t="s">
        <v>52</v>
      </c>
    </row>
    <row r="6742" spans="1:9" x14ac:dyDescent="0.3">
      <c r="A6742" t="s">
        <v>21</v>
      </c>
      <c r="G6742">
        <v>44502</v>
      </c>
      <c r="H6742">
        <v>2021</v>
      </c>
      <c r="I6742" t="s">
        <v>52</v>
      </c>
    </row>
    <row r="6743" spans="1:9" x14ac:dyDescent="0.3">
      <c r="A6743" t="s">
        <v>18</v>
      </c>
      <c r="G6743">
        <v>44502</v>
      </c>
      <c r="H6743">
        <v>2021</v>
      </c>
      <c r="I6743" t="s">
        <v>52</v>
      </c>
    </row>
    <row r="6744" spans="1:9" x14ac:dyDescent="0.3">
      <c r="A6744" t="s">
        <v>16</v>
      </c>
      <c r="G6744">
        <v>44502</v>
      </c>
      <c r="H6744">
        <v>2021</v>
      </c>
      <c r="I6744" t="s">
        <v>52</v>
      </c>
    </row>
    <row r="6745" spans="1:9" x14ac:dyDescent="0.3">
      <c r="A6745" t="s">
        <v>20</v>
      </c>
      <c r="G6745">
        <v>44503</v>
      </c>
      <c r="H6745">
        <v>2021</v>
      </c>
      <c r="I6745" t="s">
        <v>52</v>
      </c>
    </row>
    <row r="6746" spans="1:9" x14ac:dyDescent="0.3">
      <c r="A6746" t="s">
        <v>37</v>
      </c>
      <c r="G6746">
        <v>44503</v>
      </c>
      <c r="H6746">
        <v>2021</v>
      </c>
      <c r="I6746" t="s">
        <v>52</v>
      </c>
    </row>
    <row r="6747" spans="1:9" x14ac:dyDescent="0.3">
      <c r="A6747" t="s">
        <v>17</v>
      </c>
      <c r="B6747">
        <v>211500</v>
      </c>
      <c r="D6747">
        <v>45000</v>
      </c>
      <c r="G6747">
        <v>44503</v>
      </c>
      <c r="H6747">
        <v>2021</v>
      </c>
      <c r="I6747" t="s">
        <v>52</v>
      </c>
    </row>
    <row r="6748" spans="1:9" x14ac:dyDescent="0.3">
      <c r="A6748" t="s">
        <v>0</v>
      </c>
      <c r="C6748">
        <v>1333000</v>
      </c>
      <c r="E6748">
        <v>486000</v>
      </c>
      <c r="G6748">
        <v>44503</v>
      </c>
      <c r="H6748">
        <v>2021</v>
      </c>
      <c r="I6748" t="s">
        <v>52</v>
      </c>
    </row>
    <row r="6749" spans="1:9" x14ac:dyDescent="0.3">
      <c r="A6749" t="s">
        <v>25</v>
      </c>
      <c r="G6749">
        <v>44503</v>
      </c>
      <c r="H6749">
        <v>2021</v>
      </c>
      <c r="I6749" t="s">
        <v>52</v>
      </c>
    </row>
    <row r="6750" spans="1:9" x14ac:dyDescent="0.3">
      <c r="A6750" t="s">
        <v>15</v>
      </c>
      <c r="G6750">
        <v>44503</v>
      </c>
      <c r="H6750">
        <v>2021</v>
      </c>
      <c r="I6750" t="s">
        <v>52</v>
      </c>
    </row>
    <row r="6751" spans="1:9" x14ac:dyDescent="0.3">
      <c r="A6751" t="s">
        <v>54</v>
      </c>
      <c r="G6751">
        <v>44503</v>
      </c>
      <c r="H6751">
        <v>2021</v>
      </c>
      <c r="I6751" t="s">
        <v>52</v>
      </c>
    </row>
    <row r="6752" spans="1:9" x14ac:dyDescent="0.3">
      <c r="A6752" t="s">
        <v>26</v>
      </c>
      <c r="B6752">
        <v>800500</v>
      </c>
      <c r="D6752">
        <v>162000</v>
      </c>
      <c r="G6752">
        <v>44503</v>
      </c>
      <c r="H6752">
        <v>2021</v>
      </c>
      <c r="I6752" t="s">
        <v>52</v>
      </c>
    </row>
    <row r="6753" spans="1:9" x14ac:dyDescent="0.3">
      <c r="A6753" t="s">
        <v>22</v>
      </c>
      <c r="G6753">
        <v>44503</v>
      </c>
      <c r="H6753">
        <v>2021</v>
      </c>
      <c r="I6753" t="s">
        <v>52</v>
      </c>
    </row>
    <row r="6754" spans="1:9" x14ac:dyDescent="0.3">
      <c r="A6754" t="s">
        <v>61</v>
      </c>
      <c r="G6754">
        <v>44503</v>
      </c>
      <c r="H6754">
        <v>2021</v>
      </c>
      <c r="I6754" t="s">
        <v>52</v>
      </c>
    </row>
    <row r="6755" spans="1:9" x14ac:dyDescent="0.3">
      <c r="A6755" t="s">
        <v>19</v>
      </c>
      <c r="G6755">
        <v>44503</v>
      </c>
      <c r="H6755">
        <v>2021</v>
      </c>
      <c r="I6755" t="s">
        <v>52</v>
      </c>
    </row>
    <row r="6756" spans="1:9" x14ac:dyDescent="0.3">
      <c r="A6756" t="s">
        <v>14</v>
      </c>
      <c r="G6756">
        <v>44503</v>
      </c>
      <c r="H6756">
        <v>2021</v>
      </c>
      <c r="I6756" t="s">
        <v>52</v>
      </c>
    </row>
    <row r="6757" spans="1:9" x14ac:dyDescent="0.3">
      <c r="A6757" t="s">
        <v>24</v>
      </c>
      <c r="G6757">
        <v>44503</v>
      </c>
      <c r="H6757">
        <v>2021</v>
      </c>
      <c r="I6757" t="s">
        <v>52</v>
      </c>
    </row>
    <row r="6758" spans="1:9" x14ac:dyDescent="0.3">
      <c r="A6758" t="s">
        <v>21</v>
      </c>
      <c r="G6758">
        <v>44503</v>
      </c>
      <c r="H6758">
        <v>2021</v>
      </c>
      <c r="I6758" t="s">
        <v>52</v>
      </c>
    </row>
    <row r="6759" spans="1:9" x14ac:dyDescent="0.3">
      <c r="A6759" t="s">
        <v>18</v>
      </c>
      <c r="G6759">
        <v>44503</v>
      </c>
      <c r="H6759">
        <v>2021</v>
      </c>
      <c r="I6759" t="s">
        <v>52</v>
      </c>
    </row>
    <row r="6760" spans="1:9" x14ac:dyDescent="0.3">
      <c r="A6760" t="s">
        <v>16</v>
      </c>
      <c r="G6760">
        <v>44503</v>
      </c>
      <c r="H6760">
        <v>2021</v>
      </c>
      <c r="I6760" t="s">
        <v>52</v>
      </c>
    </row>
    <row r="6761" spans="1:9" x14ac:dyDescent="0.3">
      <c r="A6761" t="s">
        <v>20</v>
      </c>
      <c r="G6761">
        <v>44504</v>
      </c>
      <c r="H6761">
        <v>2021</v>
      </c>
      <c r="I6761" t="s">
        <v>52</v>
      </c>
    </row>
    <row r="6762" spans="1:9" x14ac:dyDescent="0.3">
      <c r="A6762" t="s">
        <v>37</v>
      </c>
      <c r="G6762">
        <v>44504</v>
      </c>
      <c r="H6762">
        <v>2021</v>
      </c>
      <c r="I6762" t="s">
        <v>52</v>
      </c>
    </row>
    <row r="6763" spans="1:9" x14ac:dyDescent="0.3">
      <c r="A6763" t="s">
        <v>17</v>
      </c>
      <c r="B6763">
        <v>364500</v>
      </c>
      <c r="C6763">
        <v>855000</v>
      </c>
      <c r="D6763">
        <v>99000</v>
      </c>
      <c r="G6763">
        <v>44504</v>
      </c>
      <c r="H6763">
        <v>2021</v>
      </c>
      <c r="I6763" t="s">
        <v>52</v>
      </c>
    </row>
    <row r="6764" spans="1:9" x14ac:dyDescent="0.3">
      <c r="A6764" t="s">
        <v>0</v>
      </c>
      <c r="C6764">
        <v>54000</v>
      </c>
      <c r="E6764">
        <v>540000</v>
      </c>
      <c r="G6764">
        <v>44504</v>
      </c>
      <c r="H6764">
        <v>2021</v>
      </c>
      <c r="I6764" t="s">
        <v>52</v>
      </c>
    </row>
    <row r="6765" spans="1:9" x14ac:dyDescent="0.3">
      <c r="A6765" t="s">
        <v>25</v>
      </c>
      <c r="G6765">
        <v>44504</v>
      </c>
      <c r="H6765">
        <v>2021</v>
      </c>
      <c r="I6765" t="s">
        <v>52</v>
      </c>
    </row>
    <row r="6766" spans="1:9" x14ac:dyDescent="0.3">
      <c r="A6766" t="s">
        <v>15</v>
      </c>
      <c r="G6766">
        <v>44504</v>
      </c>
      <c r="H6766">
        <v>2021</v>
      </c>
      <c r="I6766" t="s">
        <v>52</v>
      </c>
    </row>
    <row r="6767" spans="1:9" x14ac:dyDescent="0.3">
      <c r="A6767" t="s">
        <v>54</v>
      </c>
      <c r="B6767">
        <v>1174500</v>
      </c>
      <c r="G6767">
        <v>44504</v>
      </c>
      <c r="H6767">
        <v>2021</v>
      </c>
      <c r="I6767" t="s">
        <v>52</v>
      </c>
    </row>
    <row r="6768" spans="1:9" x14ac:dyDescent="0.3">
      <c r="A6768" t="s">
        <v>26</v>
      </c>
      <c r="B6768">
        <v>103500</v>
      </c>
      <c r="G6768">
        <v>44504</v>
      </c>
      <c r="H6768">
        <v>2021</v>
      </c>
      <c r="I6768" t="s">
        <v>52</v>
      </c>
    </row>
    <row r="6769" spans="1:9" x14ac:dyDescent="0.3">
      <c r="A6769" t="s">
        <v>22</v>
      </c>
      <c r="C6769">
        <v>162000</v>
      </c>
      <c r="G6769">
        <v>44504</v>
      </c>
      <c r="H6769">
        <v>2021</v>
      </c>
      <c r="I6769" t="s">
        <v>52</v>
      </c>
    </row>
    <row r="6770" spans="1:9" x14ac:dyDescent="0.3">
      <c r="A6770" t="s">
        <v>61</v>
      </c>
      <c r="G6770">
        <v>44504</v>
      </c>
      <c r="H6770">
        <v>2021</v>
      </c>
      <c r="I6770" t="s">
        <v>52</v>
      </c>
    </row>
    <row r="6771" spans="1:9" x14ac:dyDescent="0.3">
      <c r="A6771" t="s">
        <v>19</v>
      </c>
      <c r="C6771">
        <v>486000</v>
      </c>
      <c r="G6771">
        <v>44504</v>
      </c>
      <c r="H6771">
        <v>2021</v>
      </c>
      <c r="I6771" t="s">
        <v>52</v>
      </c>
    </row>
    <row r="6772" spans="1:9" x14ac:dyDescent="0.3">
      <c r="A6772" t="s">
        <v>14</v>
      </c>
      <c r="B6772">
        <v>648000</v>
      </c>
      <c r="G6772">
        <v>44504</v>
      </c>
      <c r="H6772">
        <v>2021</v>
      </c>
      <c r="I6772" t="s">
        <v>52</v>
      </c>
    </row>
    <row r="6773" spans="1:9" x14ac:dyDescent="0.3">
      <c r="A6773" t="s">
        <v>24</v>
      </c>
      <c r="G6773">
        <v>44504</v>
      </c>
      <c r="H6773">
        <v>2021</v>
      </c>
      <c r="I6773" t="s">
        <v>52</v>
      </c>
    </row>
    <row r="6774" spans="1:9" x14ac:dyDescent="0.3">
      <c r="A6774" t="s">
        <v>21</v>
      </c>
      <c r="G6774">
        <v>44504</v>
      </c>
      <c r="H6774">
        <v>2021</v>
      </c>
      <c r="I6774" t="s">
        <v>52</v>
      </c>
    </row>
    <row r="6775" spans="1:9" x14ac:dyDescent="0.3">
      <c r="A6775" t="s">
        <v>18</v>
      </c>
      <c r="G6775">
        <v>44504</v>
      </c>
      <c r="H6775">
        <v>2021</v>
      </c>
      <c r="I6775" t="s">
        <v>52</v>
      </c>
    </row>
    <row r="6776" spans="1:9" x14ac:dyDescent="0.3">
      <c r="A6776" t="s">
        <v>16</v>
      </c>
      <c r="G6776">
        <v>44504</v>
      </c>
      <c r="H6776">
        <v>2021</v>
      </c>
      <c r="I6776" t="s">
        <v>52</v>
      </c>
    </row>
    <row r="6777" spans="1:9" x14ac:dyDescent="0.3">
      <c r="A6777" t="s">
        <v>20</v>
      </c>
      <c r="G6777">
        <v>44505</v>
      </c>
      <c r="H6777">
        <v>2021</v>
      </c>
      <c r="I6777" t="s">
        <v>52</v>
      </c>
    </row>
    <row r="6778" spans="1:9" x14ac:dyDescent="0.3">
      <c r="A6778" t="s">
        <v>37</v>
      </c>
      <c r="G6778">
        <v>44505</v>
      </c>
      <c r="H6778">
        <v>2021</v>
      </c>
      <c r="I6778" t="s">
        <v>52</v>
      </c>
    </row>
    <row r="6779" spans="1:9" x14ac:dyDescent="0.3">
      <c r="A6779" t="s">
        <v>17</v>
      </c>
      <c r="C6779">
        <v>533500</v>
      </c>
      <c r="G6779">
        <v>44505</v>
      </c>
      <c r="H6779">
        <v>2021</v>
      </c>
      <c r="I6779" t="s">
        <v>52</v>
      </c>
    </row>
    <row r="6780" spans="1:9" x14ac:dyDescent="0.3">
      <c r="A6780" t="s">
        <v>0</v>
      </c>
      <c r="E6780">
        <v>594000</v>
      </c>
      <c r="G6780">
        <v>44505</v>
      </c>
      <c r="H6780">
        <v>2021</v>
      </c>
      <c r="I6780" t="s">
        <v>52</v>
      </c>
    </row>
    <row r="6781" spans="1:9" x14ac:dyDescent="0.3">
      <c r="A6781" t="s">
        <v>25</v>
      </c>
      <c r="G6781">
        <v>44505</v>
      </c>
      <c r="H6781">
        <v>2021</v>
      </c>
      <c r="I6781" t="s">
        <v>52</v>
      </c>
    </row>
    <row r="6782" spans="1:9" x14ac:dyDescent="0.3">
      <c r="A6782" t="s">
        <v>15</v>
      </c>
      <c r="G6782">
        <v>44505</v>
      </c>
      <c r="H6782">
        <v>2021</v>
      </c>
      <c r="I6782" t="s">
        <v>52</v>
      </c>
    </row>
    <row r="6783" spans="1:9" x14ac:dyDescent="0.3">
      <c r="A6783" t="s">
        <v>54</v>
      </c>
      <c r="B6783">
        <v>373500</v>
      </c>
      <c r="G6783">
        <v>44505</v>
      </c>
      <c r="H6783">
        <v>2021</v>
      </c>
      <c r="I6783" t="s">
        <v>52</v>
      </c>
    </row>
    <row r="6784" spans="1:9" x14ac:dyDescent="0.3">
      <c r="A6784" t="s">
        <v>26</v>
      </c>
      <c r="B6784">
        <v>108000</v>
      </c>
      <c r="G6784">
        <v>44505</v>
      </c>
      <c r="H6784">
        <v>2021</v>
      </c>
      <c r="I6784" t="s">
        <v>52</v>
      </c>
    </row>
    <row r="6785" spans="1:9" x14ac:dyDescent="0.3">
      <c r="A6785" t="s">
        <v>22</v>
      </c>
      <c r="G6785">
        <v>44505</v>
      </c>
      <c r="H6785">
        <v>2021</v>
      </c>
      <c r="I6785" t="s">
        <v>52</v>
      </c>
    </row>
    <row r="6786" spans="1:9" x14ac:dyDescent="0.3">
      <c r="A6786" t="s">
        <v>61</v>
      </c>
      <c r="G6786">
        <v>44505</v>
      </c>
      <c r="H6786">
        <v>2021</v>
      </c>
      <c r="I6786" t="s">
        <v>52</v>
      </c>
    </row>
    <row r="6787" spans="1:9" x14ac:dyDescent="0.3">
      <c r="A6787" t="s">
        <v>19</v>
      </c>
      <c r="C6787">
        <v>414000</v>
      </c>
      <c r="G6787">
        <v>44505</v>
      </c>
      <c r="H6787">
        <v>2021</v>
      </c>
      <c r="I6787" t="s">
        <v>52</v>
      </c>
    </row>
    <row r="6788" spans="1:9" x14ac:dyDescent="0.3">
      <c r="A6788" t="s">
        <v>14</v>
      </c>
      <c r="B6788">
        <v>697500</v>
      </c>
      <c r="G6788">
        <v>44505</v>
      </c>
      <c r="H6788">
        <v>2021</v>
      </c>
      <c r="I6788" t="s">
        <v>52</v>
      </c>
    </row>
    <row r="6789" spans="1:9" x14ac:dyDescent="0.3">
      <c r="A6789" t="s">
        <v>24</v>
      </c>
      <c r="G6789">
        <v>44505</v>
      </c>
      <c r="H6789">
        <v>2021</v>
      </c>
      <c r="I6789" t="s">
        <v>52</v>
      </c>
    </row>
    <row r="6790" spans="1:9" x14ac:dyDescent="0.3">
      <c r="A6790" t="s">
        <v>21</v>
      </c>
      <c r="G6790">
        <v>44505</v>
      </c>
      <c r="H6790">
        <v>2021</v>
      </c>
      <c r="I6790" t="s">
        <v>52</v>
      </c>
    </row>
    <row r="6791" spans="1:9" x14ac:dyDescent="0.3">
      <c r="A6791" t="s">
        <v>18</v>
      </c>
      <c r="B6791">
        <v>50000</v>
      </c>
      <c r="G6791">
        <v>44505</v>
      </c>
      <c r="H6791">
        <v>2021</v>
      </c>
      <c r="I6791" t="s">
        <v>52</v>
      </c>
    </row>
    <row r="6792" spans="1:9" x14ac:dyDescent="0.3">
      <c r="A6792" t="s">
        <v>16</v>
      </c>
      <c r="B6792">
        <v>431000</v>
      </c>
      <c r="F6792">
        <v>540000</v>
      </c>
      <c r="G6792">
        <v>44505</v>
      </c>
      <c r="H6792">
        <v>2021</v>
      </c>
      <c r="I6792" t="s">
        <v>52</v>
      </c>
    </row>
    <row r="6793" spans="1:9" x14ac:dyDescent="0.3">
      <c r="A6793" t="s">
        <v>20</v>
      </c>
      <c r="G6793">
        <v>44508</v>
      </c>
      <c r="H6793">
        <v>2021</v>
      </c>
      <c r="I6793" t="s">
        <v>52</v>
      </c>
    </row>
    <row r="6794" spans="1:9" x14ac:dyDescent="0.3">
      <c r="A6794" t="s">
        <v>37</v>
      </c>
      <c r="G6794">
        <v>44508</v>
      </c>
      <c r="H6794">
        <v>2021</v>
      </c>
      <c r="I6794" t="s">
        <v>52</v>
      </c>
    </row>
    <row r="6795" spans="1:9" x14ac:dyDescent="0.3">
      <c r="A6795" t="s">
        <v>17</v>
      </c>
      <c r="B6795">
        <v>216000</v>
      </c>
      <c r="C6795">
        <v>324000</v>
      </c>
      <c r="D6795">
        <v>162000</v>
      </c>
      <c r="G6795">
        <v>44508</v>
      </c>
      <c r="H6795">
        <v>2021</v>
      </c>
      <c r="I6795" t="s">
        <v>52</v>
      </c>
    </row>
    <row r="6796" spans="1:9" x14ac:dyDescent="0.3">
      <c r="A6796" t="s">
        <v>0</v>
      </c>
      <c r="E6796">
        <v>374000</v>
      </c>
      <c r="G6796">
        <v>44508</v>
      </c>
      <c r="H6796">
        <v>2021</v>
      </c>
      <c r="I6796" t="s">
        <v>52</v>
      </c>
    </row>
    <row r="6797" spans="1:9" x14ac:dyDescent="0.3">
      <c r="A6797" t="s">
        <v>25</v>
      </c>
      <c r="C6797">
        <v>216000</v>
      </c>
      <c r="G6797">
        <v>44508</v>
      </c>
      <c r="H6797">
        <v>2021</v>
      </c>
      <c r="I6797" t="s">
        <v>52</v>
      </c>
    </row>
    <row r="6798" spans="1:9" x14ac:dyDescent="0.3">
      <c r="A6798" t="s">
        <v>15</v>
      </c>
      <c r="B6798">
        <v>324000</v>
      </c>
      <c r="G6798">
        <v>44508</v>
      </c>
      <c r="H6798">
        <v>2021</v>
      </c>
      <c r="I6798" t="s">
        <v>52</v>
      </c>
    </row>
    <row r="6799" spans="1:9" x14ac:dyDescent="0.3">
      <c r="A6799" t="s">
        <v>54</v>
      </c>
      <c r="B6799">
        <v>324000</v>
      </c>
      <c r="G6799">
        <v>44508</v>
      </c>
      <c r="H6799">
        <v>2021</v>
      </c>
      <c r="I6799" t="s">
        <v>52</v>
      </c>
    </row>
    <row r="6800" spans="1:9" x14ac:dyDescent="0.3">
      <c r="A6800" t="s">
        <v>26</v>
      </c>
      <c r="G6800">
        <v>44508</v>
      </c>
      <c r="H6800">
        <v>2021</v>
      </c>
      <c r="I6800" t="s">
        <v>52</v>
      </c>
    </row>
    <row r="6801" spans="1:9" x14ac:dyDescent="0.3">
      <c r="A6801" t="s">
        <v>22</v>
      </c>
      <c r="C6801">
        <v>54000</v>
      </c>
      <c r="G6801">
        <v>44508</v>
      </c>
      <c r="H6801">
        <v>2021</v>
      </c>
      <c r="I6801" t="s">
        <v>52</v>
      </c>
    </row>
    <row r="6802" spans="1:9" x14ac:dyDescent="0.3">
      <c r="A6802" t="s">
        <v>61</v>
      </c>
      <c r="C6802">
        <v>378000</v>
      </c>
      <c r="G6802">
        <v>44508</v>
      </c>
      <c r="H6802">
        <v>2021</v>
      </c>
      <c r="I6802" t="s">
        <v>52</v>
      </c>
    </row>
    <row r="6803" spans="1:9" x14ac:dyDescent="0.3">
      <c r="A6803" t="s">
        <v>19</v>
      </c>
      <c r="C6803">
        <v>108000</v>
      </c>
      <c r="F6803">
        <v>540000</v>
      </c>
      <c r="G6803">
        <v>44508</v>
      </c>
      <c r="H6803">
        <v>2021</v>
      </c>
      <c r="I6803" t="s">
        <v>52</v>
      </c>
    </row>
    <row r="6804" spans="1:9" x14ac:dyDescent="0.3">
      <c r="A6804" t="s">
        <v>14</v>
      </c>
      <c r="B6804">
        <v>270000</v>
      </c>
      <c r="G6804">
        <v>44508</v>
      </c>
      <c r="H6804">
        <v>2021</v>
      </c>
      <c r="I6804" t="s">
        <v>52</v>
      </c>
    </row>
    <row r="6805" spans="1:9" x14ac:dyDescent="0.3">
      <c r="A6805" t="s">
        <v>24</v>
      </c>
      <c r="G6805">
        <v>44508</v>
      </c>
      <c r="H6805">
        <v>2021</v>
      </c>
      <c r="I6805" t="s">
        <v>52</v>
      </c>
    </row>
    <row r="6806" spans="1:9" x14ac:dyDescent="0.3">
      <c r="A6806" t="s">
        <v>21</v>
      </c>
      <c r="G6806">
        <v>44508</v>
      </c>
      <c r="H6806">
        <v>2021</v>
      </c>
      <c r="I6806" t="s">
        <v>52</v>
      </c>
    </row>
    <row r="6807" spans="1:9" x14ac:dyDescent="0.3">
      <c r="A6807" t="s">
        <v>18</v>
      </c>
      <c r="G6807">
        <v>44508</v>
      </c>
      <c r="H6807">
        <v>2021</v>
      </c>
      <c r="I6807" t="s">
        <v>52</v>
      </c>
    </row>
    <row r="6808" spans="1:9" x14ac:dyDescent="0.3">
      <c r="A6808" t="s">
        <v>16</v>
      </c>
      <c r="B6808">
        <v>378000</v>
      </c>
      <c r="G6808">
        <v>44508</v>
      </c>
      <c r="H6808">
        <v>2021</v>
      </c>
      <c r="I6808" t="s">
        <v>52</v>
      </c>
    </row>
    <row r="6809" spans="1:9" x14ac:dyDescent="0.3">
      <c r="A6809" t="s">
        <v>20</v>
      </c>
      <c r="G6809">
        <v>44509</v>
      </c>
      <c r="H6809">
        <v>2021</v>
      </c>
      <c r="I6809" t="s">
        <v>52</v>
      </c>
    </row>
    <row r="6810" spans="1:9" x14ac:dyDescent="0.3">
      <c r="A6810" t="s">
        <v>37</v>
      </c>
      <c r="G6810">
        <v>44509</v>
      </c>
      <c r="H6810">
        <v>2021</v>
      </c>
      <c r="I6810" t="s">
        <v>52</v>
      </c>
    </row>
    <row r="6811" spans="1:9" x14ac:dyDescent="0.3">
      <c r="A6811" t="s">
        <v>17</v>
      </c>
      <c r="B6811">
        <v>378000</v>
      </c>
      <c r="C6811">
        <v>216000</v>
      </c>
      <c r="D6811">
        <v>54000</v>
      </c>
      <c r="G6811">
        <v>44509</v>
      </c>
      <c r="H6811">
        <v>2021</v>
      </c>
      <c r="I6811" t="s">
        <v>52</v>
      </c>
    </row>
    <row r="6812" spans="1:9" x14ac:dyDescent="0.3">
      <c r="A6812" t="s">
        <v>0</v>
      </c>
      <c r="G6812">
        <v>44509</v>
      </c>
      <c r="H6812">
        <v>2021</v>
      </c>
      <c r="I6812" t="s">
        <v>52</v>
      </c>
    </row>
    <row r="6813" spans="1:9" x14ac:dyDescent="0.3">
      <c r="A6813" t="s">
        <v>25</v>
      </c>
      <c r="G6813">
        <v>44509</v>
      </c>
      <c r="H6813">
        <v>2021</v>
      </c>
      <c r="I6813" t="s">
        <v>52</v>
      </c>
    </row>
    <row r="6814" spans="1:9" x14ac:dyDescent="0.3">
      <c r="A6814" t="s">
        <v>15</v>
      </c>
      <c r="B6814">
        <v>324000</v>
      </c>
      <c r="F6814">
        <v>297000</v>
      </c>
      <c r="G6814">
        <v>44509</v>
      </c>
      <c r="H6814">
        <v>2021</v>
      </c>
      <c r="I6814" t="s">
        <v>52</v>
      </c>
    </row>
    <row r="6815" spans="1:9" x14ac:dyDescent="0.3">
      <c r="A6815" t="s">
        <v>54</v>
      </c>
      <c r="B6815">
        <v>423000</v>
      </c>
      <c r="G6815">
        <v>44509</v>
      </c>
      <c r="H6815">
        <v>2021</v>
      </c>
      <c r="I6815" t="s">
        <v>52</v>
      </c>
    </row>
    <row r="6816" spans="1:9" x14ac:dyDescent="0.3">
      <c r="A6816" t="s">
        <v>26</v>
      </c>
      <c r="B6816">
        <v>50000</v>
      </c>
      <c r="C6816">
        <v>540000</v>
      </c>
      <c r="G6816">
        <v>44509</v>
      </c>
      <c r="H6816">
        <v>2021</v>
      </c>
      <c r="I6816" t="s">
        <v>52</v>
      </c>
    </row>
    <row r="6817" spans="1:9" x14ac:dyDescent="0.3">
      <c r="A6817" t="s">
        <v>22</v>
      </c>
      <c r="G6817">
        <v>44509</v>
      </c>
      <c r="H6817">
        <v>2021</v>
      </c>
      <c r="I6817" t="s">
        <v>52</v>
      </c>
    </row>
    <row r="6818" spans="1:9" x14ac:dyDescent="0.3">
      <c r="A6818" t="s">
        <v>61</v>
      </c>
      <c r="C6818">
        <v>270000</v>
      </c>
      <c r="G6818">
        <v>44509</v>
      </c>
      <c r="H6818">
        <v>2021</v>
      </c>
      <c r="I6818" t="s">
        <v>52</v>
      </c>
    </row>
    <row r="6819" spans="1:9" x14ac:dyDescent="0.3">
      <c r="A6819" t="s">
        <v>19</v>
      </c>
      <c r="G6819">
        <v>44509</v>
      </c>
      <c r="H6819">
        <v>2021</v>
      </c>
      <c r="I6819" t="s">
        <v>52</v>
      </c>
    </row>
    <row r="6820" spans="1:9" x14ac:dyDescent="0.3">
      <c r="A6820" t="s">
        <v>14</v>
      </c>
      <c r="B6820">
        <v>744000</v>
      </c>
      <c r="G6820">
        <v>44509</v>
      </c>
      <c r="H6820">
        <v>2021</v>
      </c>
      <c r="I6820" t="s">
        <v>52</v>
      </c>
    </row>
    <row r="6821" spans="1:9" x14ac:dyDescent="0.3">
      <c r="A6821" t="s">
        <v>24</v>
      </c>
      <c r="G6821">
        <v>44509</v>
      </c>
      <c r="H6821">
        <v>2021</v>
      </c>
      <c r="I6821" t="s">
        <v>52</v>
      </c>
    </row>
    <row r="6822" spans="1:9" x14ac:dyDescent="0.3">
      <c r="A6822" t="s">
        <v>21</v>
      </c>
      <c r="G6822">
        <v>44509</v>
      </c>
      <c r="H6822">
        <v>2021</v>
      </c>
      <c r="I6822" t="s">
        <v>52</v>
      </c>
    </row>
    <row r="6823" spans="1:9" x14ac:dyDescent="0.3">
      <c r="A6823" t="s">
        <v>18</v>
      </c>
      <c r="G6823">
        <v>44509</v>
      </c>
      <c r="H6823">
        <v>2021</v>
      </c>
      <c r="I6823" t="s">
        <v>52</v>
      </c>
    </row>
    <row r="6824" spans="1:9" x14ac:dyDescent="0.3">
      <c r="A6824" t="s">
        <v>16</v>
      </c>
      <c r="B6824">
        <v>108000</v>
      </c>
      <c r="G6824">
        <v>44509</v>
      </c>
      <c r="H6824">
        <v>2021</v>
      </c>
      <c r="I6824" t="s">
        <v>52</v>
      </c>
    </row>
    <row r="6825" spans="1:9" x14ac:dyDescent="0.3">
      <c r="A6825" t="s">
        <v>20</v>
      </c>
      <c r="G6825">
        <v>44510</v>
      </c>
      <c r="H6825">
        <v>2021</v>
      </c>
      <c r="I6825" t="s">
        <v>52</v>
      </c>
    </row>
    <row r="6826" spans="1:9" x14ac:dyDescent="0.3">
      <c r="A6826" t="s">
        <v>37</v>
      </c>
      <c r="G6826">
        <v>44510</v>
      </c>
      <c r="H6826">
        <v>2021</v>
      </c>
      <c r="I6826" t="s">
        <v>52</v>
      </c>
    </row>
    <row r="6827" spans="1:9" x14ac:dyDescent="0.3">
      <c r="A6827" t="s">
        <v>17</v>
      </c>
      <c r="G6827">
        <v>44510</v>
      </c>
      <c r="H6827">
        <v>2021</v>
      </c>
      <c r="I6827" t="s">
        <v>52</v>
      </c>
    </row>
    <row r="6828" spans="1:9" x14ac:dyDescent="0.3">
      <c r="A6828" t="s">
        <v>0</v>
      </c>
      <c r="G6828">
        <v>44510</v>
      </c>
      <c r="H6828">
        <v>2021</v>
      </c>
      <c r="I6828" t="s">
        <v>52</v>
      </c>
    </row>
    <row r="6829" spans="1:9" x14ac:dyDescent="0.3">
      <c r="A6829" t="s">
        <v>25</v>
      </c>
      <c r="G6829">
        <v>44510</v>
      </c>
      <c r="H6829">
        <v>2021</v>
      </c>
      <c r="I6829" t="s">
        <v>52</v>
      </c>
    </row>
    <row r="6830" spans="1:9" x14ac:dyDescent="0.3">
      <c r="A6830" t="s">
        <v>15</v>
      </c>
      <c r="B6830">
        <v>540000</v>
      </c>
      <c r="G6830">
        <v>44510</v>
      </c>
      <c r="H6830">
        <v>2021</v>
      </c>
      <c r="I6830" t="s">
        <v>52</v>
      </c>
    </row>
    <row r="6831" spans="1:9" x14ac:dyDescent="0.3">
      <c r="A6831" t="s">
        <v>54</v>
      </c>
      <c r="B6831">
        <v>967500</v>
      </c>
      <c r="G6831">
        <v>44510</v>
      </c>
      <c r="H6831">
        <v>2021</v>
      </c>
      <c r="I6831" t="s">
        <v>52</v>
      </c>
    </row>
    <row r="6832" spans="1:9" x14ac:dyDescent="0.3">
      <c r="A6832" t="s">
        <v>26</v>
      </c>
      <c r="B6832">
        <v>378000</v>
      </c>
      <c r="C6832">
        <v>810000</v>
      </c>
      <c r="G6832">
        <v>44510</v>
      </c>
      <c r="H6832">
        <v>2021</v>
      </c>
      <c r="I6832" t="s">
        <v>52</v>
      </c>
    </row>
    <row r="6833" spans="1:9" x14ac:dyDescent="0.3">
      <c r="A6833" t="s">
        <v>22</v>
      </c>
      <c r="G6833">
        <v>44510</v>
      </c>
      <c r="H6833">
        <v>2021</v>
      </c>
      <c r="I6833" t="s">
        <v>52</v>
      </c>
    </row>
    <row r="6834" spans="1:9" x14ac:dyDescent="0.3">
      <c r="A6834" t="s">
        <v>61</v>
      </c>
      <c r="G6834">
        <v>44510</v>
      </c>
      <c r="H6834">
        <v>2021</v>
      </c>
      <c r="I6834" t="s">
        <v>52</v>
      </c>
    </row>
    <row r="6835" spans="1:9" x14ac:dyDescent="0.3">
      <c r="A6835" t="s">
        <v>19</v>
      </c>
      <c r="G6835">
        <v>44510</v>
      </c>
      <c r="H6835">
        <v>2021</v>
      </c>
      <c r="I6835" t="s">
        <v>52</v>
      </c>
    </row>
    <row r="6836" spans="1:9" x14ac:dyDescent="0.3">
      <c r="A6836" t="s">
        <v>14</v>
      </c>
      <c r="B6836">
        <v>747000</v>
      </c>
      <c r="G6836">
        <v>44510</v>
      </c>
      <c r="H6836">
        <v>2021</v>
      </c>
      <c r="I6836" t="s">
        <v>52</v>
      </c>
    </row>
    <row r="6837" spans="1:9" x14ac:dyDescent="0.3">
      <c r="A6837" t="s">
        <v>24</v>
      </c>
      <c r="G6837">
        <v>44510</v>
      </c>
      <c r="H6837">
        <v>2021</v>
      </c>
      <c r="I6837" t="s">
        <v>52</v>
      </c>
    </row>
    <row r="6838" spans="1:9" x14ac:dyDescent="0.3">
      <c r="A6838" t="s">
        <v>21</v>
      </c>
      <c r="G6838">
        <v>44510</v>
      </c>
      <c r="H6838">
        <v>2021</v>
      </c>
      <c r="I6838" t="s">
        <v>52</v>
      </c>
    </row>
    <row r="6839" spans="1:9" x14ac:dyDescent="0.3">
      <c r="A6839" t="s">
        <v>18</v>
      </c>
      <c r="B6839">
        <v>486000</v>
      </c>
      <c r="F6839">
        <v>162000</v>
      </c>
      <c r="G6839">
        <v>44510</v>
      </c>
      <c r="H6839">
        <v>2021</v>
      </c>
      <c r="I6839" t="s">
        <v>52</v>
      </c>
    </row>
    <row r="6840" spans="1:9" x14ac:dyDescent="0.3">
      <c r="A6840" t="s">
        <v>16</v>
      </c>
      <c r="B6840">
        <v>270000</v>
      </c>
      <c r="G6840">
        <v>44510</v>
      </c>
      <c r="H6840">
        <v>2021</v>
      </c>
      <c r="I6840" t="s">
        <v>52</v>
      </c>
    </row>
    <row r="6841" spans="1:9" x14ac:dyDescent="0.3">
      <c r="A6841" t="s">
        <v>20</v>
      </c>
      <c r="G6841">
        <v>44511</v>
      </c>
      <c r="H6841">
        <v>2021</v>
      </c>
      <c r="I6841" t="s">
        <v>52</v>
      </c>
    </row>
    <row r="6842" spans="1:9" x14ac:dyDescent="0.3">
      <c r="A6842" t="s">
        <v>37</v>
      </c>
      <c r="G6842">
        <v>44511</v>
      </c>
      <c r="H6842">
        <v>2021</v>
      </c>
      <c r="I6842" t="s">
        <v>52</v>
      </c>
    </row>
    <row r="6843" spans="1:9" x14ac:dyDescent="0.3">
      <c r="A6843" t="s">
        <v>17</v>
      </c>
      <c r="G6843">
        <v>44511</v>
      </c>
      <c r="H6843">
        <v>2021</v>
      </c>
      <c r="I6843" t="s">
        <v>52</v>
      </c>
    </row>
    <row r="6844" spans="1:9" x14ac:dyDescent="0.3">
      <c r="A6844" t="s">
        <v>0</v>
      </c>
      <c r="E6844">
        <v>508500</v>
      </c>
      <c r="G6844">
        <v>44511</v>
      </c>
      <c r="H6844">
        <v>2021</v>
      </c>
      <c r="I6844" t="s">
        <v>52</v>
      </c>
    </row>
    <row r="6845" spans="1:9" x14ac:dyDescent="0.3">
      <c r="A6845" t="s">
        <v>25</v>
      </c>
      <c r="G6845">
        <v>44511</v>
      </c>
      <c r="H6845">
        <v>2021</v>
      </c>
      <c r="I6845" t="s">
        <v>52</v>
      </c>
    </row>
    <row r="6846" spans="1:9" x14ac:dyDescent="0.3">
      <c r="A6846" t="s">
        <v>15</v>
      </c>
      <c r="B6846">
        <v>212000</v>
      </c>
      <c r="G6846">
        <v>44511</v>
      </c>
      <c r="H6846">
        <v>2021</v>
      </c>
      <c r="I6846" t="s">
        <v>52</v>
      </c>
    </row>
    <row r="6847" spans="1:9" x14ac:dyDescent="0.3">
      <c r="A6847" t="s">
        <v>54</v>
      </c>
      <c r="B6847">
        <v>432000</v>
      </c>
      <c r="G6847">
        <v>44511</v>
      </c>
      <c r="H6847">
        <v>2021</v>
      </c>
      <c r="I6847" t="s">
        <v>52</v>
      </c>
    </row>
    <row r="6848" spans="1:9" x14ac:dyDescent="0.3">
      <c r="A6848" t="s">
        <v>26</v>
      </c>
      <c r="B6848">
        <v>810000</v>
      </c>
      <c r="C6848">
        <v>95000</v>
      </c>
      <c r="G6848">
        <v>44511</v>
      </c>
      <c r="H6848">
        <v>2021</v>
      </c>
      <c r="I6848" t="s">
        <v>52</v>
      </c>
    </row>
    <row r="6849" spans="1:9" x14ac:dyDescent="0.3">
      <c r="A6849" t="s">
        <v>22</v>
      </c>
      <c r="G6849">
        <v>44511</v>
      </c>
      <c r="H6849">
        <v>2021</v>
      </c>
      <c r="I6849" t="s">
        <v>52</v>
      </c>
    </row>
    <row r="6850" spans="1:9" x14ac:dyDescent="0.3">
      <c r="A6850" t="s">
        <v>61</v>
      </c>
      <c r="G6850">
        <v>44511</v>
      </c>
      <c r="H6850">
        <v>2021</v>
      </c>
      <c r="I6850" t="s">
        <v>52</v>
      </c>
    </row>
    <row r="6851" spans="1:9" x14ac:dyDescent="0.3">
      <c r="A6851" t="s">
        <v>19</v>
      </c>
      <c r="B6851">
        <v>910000</v>
      </c>
      <c r="G6851">
        <v>44511</v>
      </c>
      <c r="H6851">
        <v>2021</v>
      </c>
      <c r="I6851" t="s">
        <v>52</v>
      </c>
    </row>
    <row r="6852" spans="1:9" x14ac:dyDescent="0.3">
      <c r="A6852" t="s">
        <v>14</v>
      </c>
      <c r="B6852">
        <v>378000</v>
      </c>
      <c r="C6852">
        <v>324000</v>
      </c>
      <c r="G6852">
        <v>44511</v>
      </c>
      <c r="H6852">
        <v>2021</v>
      </c>
      <c r="I6852" t="s">
        <v>52</v>
      </c>
    </row>
    <row r="6853" spans="1:9" x14ac:dyDescent="0.3">
      <c r="A6853" t="s">
        <v>24</v>
      </c>
      <c r="G6853">
        <v>44511</v>
      </c>
      <c r="H6853">
        <v>2021</v>
      </c>
      <c r="I6853" t="s">
        <v>52</v>
      </c>
    </row>
    <row r="6854" spans="1:9" x14ac:dyDescent="0.3">
      <c r="A6854" t="s">
        <v>21</v>
      </c>
      <c r="G6854">
        <v>44511</v>
      </c>
      <c r="H6854">
        <v>2021</v>
      </c>
      <c r="I6854" t="s">
        <v>52</v>
      </c>
    </row>
    <row r="6855" spans="1:9" x14ac:dyDescent="0.3">
      <c r="A6855" t="s">
        <v>18</v>
      </c>
      <c r="B6855">
        <v>312000</v>
      </c>
      <c r="F6855">
        <v>135000</v>
      </c>
      <c r="G6855">
        <v>44511</v>
      </c>
      <c r="H6855">
        <v>2021</v>
      </c>
      <c r="I6855" t="s">
        <v>52</v>
      </c>
    </row>
    <row r="6856" spans="1:9" x14ac:dyDescent="0.3">
      <c r="A6856" t="s">
        <v>16</v>
      </c>
      <c r="B6856">
        <v>101000</v>
      </c>
      <c r="G6856">
        <v>44511</v>
      </c>
      <c r="H6856">
        <v>2021</v>
      </c>
      <c r="I6856" t="s">
        <v>52</v>
      </c>
    </row>
    <row r="6857" spans="1:9" x14ac:dyDescent="0.3">
      <c r="A6857" t="s">
        <v>20</v>
      </c>
      <c r="G6857">
        <v>44512</v>
      </c>
      <c r="H6857">
        <v>2021</v>
      </c>
      <c r="I6857" t="s">
        <v>52</v>
      </c>
    </row>
    <row r="6858" spans="1:9" x14ac:dyDescent="0.3">
      <c r="A6858" t="s">
        <v>37</v>
      </c>
      <c r="B6858">
        <v>477000</v>
      </c>
      <c r="G6858">
        <v>44512</v>
      </c>
      <c r="H6858">
        <v>2021</v>
      </c>
      <c r="I6858" t="s">
        <v>52</v>
      </c>
    </row>
    <row r="6859" spans="1:9" x14ac:dyDescent="0.3">
      <c r="A6859" t="s">
        <v>17</v>
      </c>
      <c r="B6859">
        <v>959000</v>
      </c>
      <c r="D6859">
        <v>185000</v>
      </c>
      <c r="F6859">
        <v>540000</v>
      </c>
      <c r="G6859">
        <v>44512</v>
      </c>
      <c r="H6859">
        <v>2021</v>
      </c>
      <c r="I6859" t="s">
        <v>52</v>
      </c>
    </row>
    <row r="6860" spans="1:9" x14ac:dyDescent="0.3">
      <c r="A6860" t="s">
        <v>0</v>
      </c>
      <c r="E6860">
        <v>508500</v>
      </c>
      <c r="G6860">
        <v>44512</v>
      </c>
      <c r="H6860">
        <v>2021</v>
      </c>
      <c r="I6860" t="s">
        <v>52</v>
      </c>
    </row>
    <row r="6861" spans="1:9" x14ac:dyDescent="0.3">
      <c r="A6861" t="s">
        <v>25</v>
      </c>
      <c r="B6861">
        <v>788000</v>
      </c>
      <c r="G6861">
        <v>44512</v>
      </c>
      <c r="H6861">
        <v>2021</v>
      </c>
      <c r="I6861" t="s">
        <v>52</v>
      </c>
    </row>
    <row r="6862" spans="1:9" x14ac:dyDescent="0.3">
      <c r="A6862" t="s">
        <v>15</v>
      </c>
      <c r="B6862">
        <v>54000</v>
      </c>
      <c r="G6862">
        <v>44512</v>
      </c>
      <c r="H6862">
        <v>2021</v>
      </c>
      <c r="I6862" t="s">
        <v>52</v>
      </c>
    </row>
    <row r="6863" spans="1:9" x14ac:dyDescent="0.3">
      <c r="A6863" t="s">
        <v>54</v>
      </c>
      <c r="G6863">
        <v>44512</v>
      </c>
      <c r="H6863">
        <v>2021</v>
      </c>
      <c r="I6863" t="s">
        <v>52</v>
      </c>
    </row>
    <row r="6864" spans="1:9" x14ac:dyDescent="0.3">
      <c r="A6864" t="s">
        <v>26</v>
      </c>
      <c r="B6864">
        <v>108000</v>
      </c>
      <c r="D6864">
        <v>90000</v>
      </c>
      <c r="G6864">
        <v>44512</v>
      </c>
      <c r="H6864">
        <v>2021</v>
      </c>
      <c r="I6864" t="s">
        <v>52</v>
      </c>
    </row>
    <row r="6865" spans="1:9" x14ac:dyDescent="0.3">
      <c r="A6865" t="s">
        <v>22</v>
      </c>
      <c r="G6865">
        <v>44512</v>
      </c>
      <c r="H6865">
        <v>2021</v>
      </c>
      <c r="I6865" t="s">
        <v>52</v>
      </c>
    </row>
    <row r="6866" spans="1:9" x14ac:dyDescent="0.3">
      <c r="A6866" t="s">
        <v>61</v>
      </c>
      <c r="G6866">
        <v>44512</v>
      </c>
      <c r="H6866">
        <v>2021</v>
      </c>
      <c r="I6866" t="s">
        <v>52</v>
      </c>
    </row>
    <row r="6867" spans="1:9" x14ac:dyDescent="0.3">
      <c r="A6867" t="s">
        <v>19</v>
      </c>
      <c r="B6867">
        <v>90000</v>
      </c>
      <c r="G6867">
        <v>44512</v>
      </c>
      <c r="H6867">
        <v>2021</v>
      </c>
      <c r="I6867" t="s">
        <v>52</v>
      </c>
    </row>
    <row r="6868" spans="1:9" x14ac:dyDescent="0.3">
      <c r="A6868" t="s">
        <v>14</v>
      </c>
      <c r="B6868">
        <v>805500</v>
      </c>
      <c r="C6868">
        <v>216000</v>
      </c>
      <c r="G6868">
        <v>44512</v>
      </c>
      <c r="H6868">
        <v>2021</v>
      </c>
      <c r="I6868" t="s">
        <v>52</v>
      </c>
    </row>
    <row r="6869" spans="1:9" x14ac:dyDescent="0.3">
      <c r="A6869" t="s">
        <v>24</v>
      </c>
      <c r="G6869">
        <v>44512</v>
      </c>
      <c r="H6869">
        <v>2021</v>
      </c>
      <c r="I6869" t="s">
        <v>52</v>
      </c>
    </row>
    <row r="6870" spans="1:9" x14ac:dyDescent="0.3">
      <c r="A6870" t="s">
        <v>21</v>
      </c>
      <c r="G6870">
        <v>44512</v>
      </c>
      <c r="H6870">
        <v>2021</v>
      </c>
      <c r="I6870" t="s">
        <v>52</v>
      </c>
    </row>
    <row r="6871" spans="1:9" x14ac:dyDescent="0.3">
      <c r="A6871" t="s">
        <v>65</v>
      </c>
      <c r="C6871">
        <v>590000</v>
      </c>
      <c r="G6871">
        <v>44512</v>
      </c>
      <c r="H6871">
        <v>2021</v>
      </c>
      <c r="I6871" t="s">
        <v>52</v>
      </c>
    </row>
    <row r="6872" spans="1:9" x14ac:dyDescent="0.3">
      <c r="A6872" t="s">
        <v>18</v>
      </c>
      <c r="G6872">
        <v>44512</v>
      </c>
      <c r="H6872">
        <v>2021</v>
      </c>
      <c r="I6872" t="s">
        <v>52</v>
      </c>
    </row>
    <row r="6873" spans="1:9" x14ac:dyDescent="0.3">
      <c r="A6873" t="s">
        <v>16</v>
      </c>
      <c r="G6873">
        <v>44512</v>
      </c>
      <c r="H6873">
        <v>2021</v>
      </c>
      <c r="I6873" t="s">
        <v>52</v>
      </c>
    </row>
    <row r="6874" spans="1:9" x14ac:dyDescent="0.3">
      <c r="A6874" t="s">
        <v>20</v>
      </c>
      <c r="G6874">
        <v>44515</v>
      </c>
      <c r="H6874">
        <v>2021</v>
      </c>
      <c r="I6874" t="s">
        <v>52</v>
      </c>
    </row>
    <row r="6875" spans="1:9" x14ac:dyDescent="0.3">
      <c r="A6875" t="s">
        <v>37</v>
      </c>
      <c r="G6875">
        <v>44515</v>
      </c>
      <c r="H6875">
        <v>2021</v>
      </c>
      <c r="I6875" t="s">
        <v>52</v>
      </c>
    </row>
    <row r="6876" spans="1:9" x14ac:dyDescent="0.3">
      <c r="A6876" t="s">
        <v>17</v>
      </c>
      <c r="B6876">
        <v>1220500</v>
      </c>
      <c r="F6876">
        <v>540000</v>
      </c>
      <c r="G6876">
        <v>44515</v>
      </c>
      <c r="H6876">
        <v>2021</v>
      </c>
      <c r="I6876" t="s">
        <v>52</v>
      </c>
    </row>
    <row r="6877" spans="1:9" x14ac:dyDescent="0.3">
      <c r="A6877" t="s">
        <v>0</v>
      </c>
      <c r="E6877">
        <v>517500</v>
      </c>
      <c r="G6877">
        <v>44515</v>
      </c>
      <c r="H6877">
        <v>2021</v>
      </c>
      <c r="I6877" t="s">
        <v>52</v>
      </c>
    </row>
    <row r="6878" spans="1:9" x14ac:dyDescent="0.3">
      <c r="A6878" t="s">
        <v>25</v>
      </c>
      <c r="B6878">
        <v>594000</v>
      </c>
      <c r="G6878">
        <v>44515</v>
      </c>
      <c r="H6878">
        <v>2021</v>
      </c>
      <c r="I6878" t="s">
        <v>52</v>
      </c>
    </row>
    <row r="6879" spans="1:9" x14ac:dyDescent="0.3">
      <c r="A6879" t="s">
        <v>15</v>
      </c>
      <c r="G6879">
        <v>44515</v>
      </c>
      <c r="H6879">
        <v>2021</v>
      </c>
      <c r="I6879" t="s">
        <v>52</v>
      </c>
    </row>
    <row r="6880" spans="1:9" x14ac:dyDescent="0.3">
      <c r="A6880" t="s">
        <v>54</v>
      </c>
      <c r="G6880">
        <v>44515</v>
      </c>
      <c r="H6880">
        <v>2021</v>
      </c>
      <c r="I6880" t="s">
        <v>52</v>
      </c>
    </row>
    <row r="6881" spans="1:9" x14ac:dyDescent="0.3">
      <c r="A6881" t="s">
        <v>26</v>
      </c>
      <c r="G6881">
        <v>44515</v>
      </c>
      <c r="H6881">
        <v>2021</v>
      </c>
      <c r="I6881" t="s">
        <v>52</v>
      </c>
    </row>
    <row r="6882" spans="1:9" x14ac:dyDescent="0.3">
      <c r="A6882" t="s">
        <v>22</v>
      </c>
      <c r="G6882">
        <v>44515</v>
      </c>
      <c r="H6882">
        <v>2021</v>
      </c>
      <c r="I6882" t="s">
        <v>52</v>
      </c>
    </row>
    <row r="6883" spans="1:9" x14ac:dyDescent="0.3">
      <c r="A6883" t="s">
        <v>61</v>
      </c>
      <c r="G6883">
        <v>44515</v>
      </c>
      <c r="H6883">
        <v>2021</v>
      </c>
      <c r="I6883" t="s">
        <v>52</v>
      </c>
    </row>
    <row r="6884" spans="1:9" x14ac:dyDescent="0.3">
      <c r="A6884" t="s">
        <v>19</v>
      </c>
      <c r="G6884">
        <v>44515</v>
      </c>
      <c r="H6884">
        <v>2021</v>
      </c>
      <c r="I6884" t="s">
        <v>52</v>
      </c>
    </row>
    <row r="6885" spans="1:9" x14ac:dyDescent="0.3">
      <c r="A6885" t="s">
        <v>14</v>
      </c>
      <c r="B6885">
        <v>702000</v>
      </c>
      <c r="G6885">
        <v>44515</v>
      </c>
      <c r="H6885">
        <v>2021</v>
      </c>
      <c r="I6885" t="s">
        <v>52</v>
      </c>
    </row>
    <row r="6886" spans="1:9" x14ac:dyDescent="0.3">
      <c r="A6886" t="s">
        <v>24</v>
      </c>
      <c r="G6886">
        <v>44515</v>
      </c>
      <c r="H6886">
        <v>2021</v>
      </c>
      <c r="I6886" t="s">
        <v>52</v>
      </c>
    </row>
    <row r="6887" spans="1:9" x14ac:dyDescent="0.3">
      <c r="A6887" t="s">
        <v>21</v>
      </c>
      <c r="G6887">
        <v>44515</v>
      </c>
      <c r="H6887">
        <v>2021</v>
      </c>
      <c r="I6887" t="s">
        <v>52</v>
      </c>
    </row>
    <row r="6888" spans="1:9" x14ac:dyDescent="0.3">
      <c r="A6888" t="s">
        <v>65</v>
      </c>
      <c r="G6888">
        <v>44515</v>
      </c>
      <c r="H6888">
        <v>2021</v>
      </c>
      <c r="I6888" t="s">
        <v>52</v>
      </c>
    </row>
    <row r="6889" spans="1:9" x14ac:dyDescent="0.3">
      <c r="A6889" t="s">
        <v>18</v>
      </c>
      <c r="G6889">
        <v>44515</v>
      </c>
      <c r="H6889">
        <v>2021</v>
      </c>
      <c r="I6889" t="s">
        <v>52</v>
      </c>
    </row>
    <row r="6890" spans="1:9" x14ac:dyDescent="0.3">
      <c r="A6890" t="s">
        <v>16</v>
      </c>
      <c r="G6890">
        <v>44515</v>
      </c>
      <c r="H6890">
        <v>2021</v>
      </c>
      <c r="I6890" t="s">
        <v>52</v>
      </c>
    </row>
    <row r="6891" spans="1:9" x14ac:dyDescent="0.3">
      <c r="A6891" t="s">
        <v>20</v>
      </c>
      <c r="G6891">
        <v>44516</v>
      </c>
      <c r="H6891">
        <v>2021</v>
      </c>
      <c r="I6891" t="s">
        <v>52</v>
      </c>
    </row>
    <row r="6892" spans="1:9" x14ac:dyDescent="0.3">
      <c r="A6892" t="s">
        <v>37</v>
      </c>
      <c r="G6892">
        <v>44516</v>
      </c>
      <c r="H6892">
        <v>2021</v>
      </c>
      <c r="I6892" t="s">
        <v>52</v>
      </c>
    </row>
    <row r="6893" spans="1:9" x14ac:dyDescent="0.3">
      <c r="A6893" t="s">
        <v>17</v>
      </c>
      <c r="B6893">
        <v>1436000</v>
      </c>
      <c r="F6893">
        <v>216000</v>
      </c>
      <c r="G6893">
        <v>44516</v>
      </c>
      <c r="H6893">
        <v>2021</v>
      </c>
      <c r="I6893" t="s">
        <v>52</v>
      </c>
    </row>
    <row r="6894" spans="1:9" x14ac:dyDescent="0.3">
      <c r="A6894" t="s">
        <v>0</v>
      </c>
      <c r="E6894">
        <v>504000</v>
      </c>
      <c r="G6894">
        <v>44516</v>
      </c>
      <c r="H6894">
        <v>2021</v>
      </c>
      <c r="I6894" t="s">
        <v>52</v>
      </c>
    </row>
    <row r="6895" spans="1:9" x14ac:dyDescent="0.3">
      <c r="A6895" t="s">
        <v>25</v>
      </c>
      <c r="B6895">
        <v>324000</v>
      </c>
      <c r="F6895">
        <v>324000</v>
      </c>
      <c r="G6895">
        <v>44516</v>
      </c>
      <c r="H6895">
        <v>2021</v>
      </c>
      <c r="I6895" t="s">
        <v>52</v>
      </c>
    </row>
    <row r="6896" spans="1:9" x14ac:dyDescent="0.3">
      <c r="A6896" t="s">
        <v>15</v>
      </c>
      <c r="C6896">
        <v>914000</v>
      </c>
      <c r="G6896">
        <v>44516</v>
      </c>
      <c r="H6896">
        <v>2021</v>
      </c>
      <c r="I6896" t="s">
        <v>52</v>
      </c>
    </row>
    <row r="6897" spans="1:9" x14ac:dyDescent="0.3">
      <c r="A6897" t="s">
        <v>54</v>
      </c>
      <c r="G6897">
        <v>44516</v>
      </c>
      <c r="H6897">
        <v>2021</v>
      </c>
      <c r="I6897" t="s">
        <v>52</v>
      </c>
    </row>
    <row r="6898" spans="1:9" x14ac:dyDescent="0.3">
      <c r="A6898" t="s">
        <v>26</v>
      </c>
      <c r="G6898">
        <v>44516</v>
      </c>
      <c r="H6898">
        <v>2021</v>
      </c>
      <c r="I6898" t="s">
        <v>52</v>
      </c>
    </row>
    <row r="6899" spans="1:9" x14ac:dyDescent="0.3">
      <c r="A6899" t="s">
        <v>22</v>
      </c>
      <c r="G6899">
        <v>44516</v>
      </c>
      <c r="H6899">
        <v>2021</v>
      </c>
      <c r="I6899" t="s">
        <v>52</v>
      </c>
    </row>
    <row r="6900" spans="1:9" x14ac:dyDescent="0.3">
      <c r="A6900" t="s">
        <v>61</v>
      </c>
      <c r="G6900">
        <v>44516</v>
      </c>
      <c r="H6900">
        <v>2021</v>
      </c>
      <c r="I6900" t="s">
        <v>52</v>
      </c>
    </row>
    <row r="6901" spans="1:9" x14ac:dyDescent="0.3">
      <c r="A6901" t="s">
        <v>19</v>
      </c>
      <c r="G6901">
        <v>44516</v>
      </c>
      <c r="H6901">
        <v>2021</v>
      </c>
      <c r="I6901" t="s">
        <v>52</v>
      </c>
    </row>
    <row r="6902" spans="1:9" x14ac:dyDescent="0.3">
      <c r="A6902" t="s">
        <v>14</v>
      </c>
      <c r="B6902">
        <v>747000</v>
      </c>
      <c r="G6902">
        <v>44516</v>
      </c>
      <c r="H6902">
        <v>2021</v>
      </c>
      <c r="I6902" t="s">
        <v>52</v>
      </c>
    </row>
    <row r="6903" spans="1:9" x14ac:dyDescent="0.3">
      <c r="A6903" t="s">
        <v>24</v>
      </c>
      <c r="G6903">
        <v>44516</v>
      </c>
      <c r="H6903">
        <v>2021</v>
      </c>
      <c r="I6903" t="s">
        <v>52</v>
      </c>
    </row>
    <row r="6904" spans="1:9" x14ac:dyDescent="0.3">
      <c r="A6904" t="s">
        <v>21</v>
      </c>
      <c r="G6904">
        <v>44516</v>
      </c>
      <c r="H6904">
        <v>2021</v>
      </c>
      <c r="I6904" t="s">
        <v>52</v>
      </c>
    </row>
    <row r="6905" spans="1:9" x14ac:dyDescent="0.3">
      <c r="A6905" t="s">
        <v>65</v>
      </c>
      <c r="G6905">
        <v>44516</v>
      </c>
      <c r="H6905">
        <v>2021</v>
      </c>
      <c r="I6905" t="s">
        <v>52</v>
      </c>
    </row>
    <row r="6906" spans="1:9" x14ac:dyDescent="0.3">
      <c r="A6906" t="s">
        <v>18</v>
      </c>
      <c r="G6906">
        <v>44516</v>
      </c>
      <c r="H6906">
        <v>2021</v>
      </c>
      <c r="I6906" t="s">
        <v>52</v>
      </c>
    </row>
    <row r="6907" spans="1:9" x14ac:dyDescent="0.3">
      <c r="A6907" t="s">
        <v>16</v>
      </c>
      <c r="G6907">
        <v>44516</v>
      </c>
      <c r="H6907">
        <v>2021</v>
      </c>
      <c r="I6907" t="s">
        <v>52</v>
      </c>
    </row>
    <row r="6908" spans="1:9" x14ac:dyDescent="0.3">
      <c r="A6908" t="s">
        <v>20</v>
      </c>
      <c r="G6908">
        <v>44517</v>
      </c>
      <c r="H6908">
        <v>2021</v>
      </c>
      <c r="I6908" t="s">
        <v>52</v>
      </c>
    </row>
    <row r="6909" spans="1:9" x14ac:dyDescent="0.3">
      <c r="A6909" t="s">
        <v>37</v>
      </c>
      <c r="B6909">
        <v>108000</v>
      </c>
      <c r="G6909">
        <v>44517</v>
      </c>
      <c r="H6909">
        <v>2021</v>
      </c>
      <c r="I6909" t="s">
        <v>52</v>
      </c>
    </row>
    <row r="6910" spans="1:9" x14ac:dyDescent="0.3">
      <c r="A6910" t="s">
        <v>17</v>
      </c>
      <c r="B6910">
        <v>630000</v>
      </c>
      <c r="G6910">
        <v>44517</v>
      </c>
      <c r="H6910">
        <v>2021</v>
      </c>
      <c r="I6910" t="s">
        <v>52</v>
      </c>
    </row>
    <row r="6911" spans="1:9" x14ac:dyDescent="0.3">
      <c r="A6911" t="s">
        <v>0</v>
      </c>
      <c r="B6911">
        <v>806000</v>
      </c>
      <c r="E6911">
        <v>571500</v>
      </c>
      <c r="G6911">
        <v>44517</v>
      </c>
      <c r="H6911">
        <v>2021</v>
      </c>
      <c r="I6911" t="s">
        <v>52</v>
      </c>
    </row>
    <row r="6912" spans="1:9" x14ac:dyDescent="0.3">
      <c r="A6912" t="s">
        <v>25</v>
      </c>
      <c r="F6912">
        <v>378000</v>
      </c>
      <c r="G6912">
        <v>44517</v>
      </c>
      <c r="H6912">
        <v>2021</v>
      </c>
      <c r="I6912" t="s">
        <v>52</v>
      </c>
    </row>
    <row r="6913" spans="1:9" x14ac:dyDescent="0.3">
      <c r="A6913" t="s">
        <v>15</v>
      </c>
      <c r="B6913">
        <v>45000</v>
      </c>
      <c r="C6913">
        <v>900500</v>
      </c>
      <c r="G6913">
        <v>44517</v>
      </c>
      <c r="H6913">
        <v>2021</v>
      </c>
      <c r="I6913" t="s">
        <v>52</v>
      </c>
    </row>
    <row r="6914" spans="1:9" x14ac:dyDescent="0.3">
      <c r="A6914" t="s">
        <v>54</v>
      </c>
      <c r="G6914">
        <v>44517</v>
      </c>
      <c r="H6914">
        <v>2021</v>
      </c>
      <c r="I6914" t="s">
        <v>52</v>
      </c>
    </row>
    <row r="6915" spans="1:9" x14ac:dyDescent="0.3">
      <c r="A6915" t="s">
        <v>26</v>
      </c>
      <c r="G6915">
        <v>44517</v>
      </c>
      <c r="H6915">
        <v>2021</v>
      </c>
      <c r="I6915" t="s">
        <v>52</v>
      </c>
    </row>
    <row r="6916" spans="1:9" x14ac:dyDescent="0.3">
      <c r="A6916" t="s">
        <v>22</v>
      </c>
      <c r="G6916">
        <v>44517</v>
      </c>
      <c r="H6916">
        <v>2021</v>
      </c>
      <c r="I6916" t="s">
        <v>52</v>
      </c>
    </row>
    <row r="6917" spans="1:9" x14ac:dyDescent="0.3">
      <c r="A6917" t="s">
        <v>61</v>
      </c>
      <c r="G6917">
        <v>44517</v>
      </c>
      <c r="H6917">
        <v>2021</v>
      </c>
      <c r="I6917" t="s">
        <v>52</v>
      </c>
    </row>
    <row r="6918" spans="1:9" x14ac:dyDescent="0.3">
      <c r="A6918" t="s">
        <v>19</v>
      </c>
      <c r="C6918">
        <v>486000</v>
      </c>
      <c r="G6918">
        <v>44517</v>
      </c>
      <c r="H6918">
        <v>2021</v>
      </c>
      <c r="I6918" t="s">
        <v>52</v>
      </c>
    </row>
    <row r="6919" spans="1:9" x14ac:dyDescent="0.3">
      <c r="A6919" t="s">
        <v>14</v>
      </c>
      <c r="B6919">
        <v>162000</v>
      </c>
      <c r="D6919">
        <v>216000</v>
      </c>
      <c r="G6919">
        <v>44517</v>
      </c>
      <c r="H6919">
        <v>2021</v>
      </c>
      <c r="I6919" t="s">
        <v>52</v>
      </c>
    </row>
    <row r="6920" spans="1:9" x14ac:dyDescent="0.3">
      <c r="A6920" t="s">
        <v>24</v>
      </c>
      <c r="G6920">
        <v>44517</v>
      </c>
      <c r="H6920">
        <v>2021</v>
      </c>
      <c r="I6920" t="s">
        <v>52</v>
      </c>
    </row>
    <row r="6921" spans="1:9" x14ac:dyDescent="0.3">
      <c r="A6921" t="s">
        <v>21</v>
      </c>
      <c r="G6921">
        <v>44517</v>
      </c>
      <c r="H6921">
        <v>2021</v>
      </c>
      <c r="I6921" t="s">
        <v>52</v>
      </c>
    </row>
    <row r="6922" spans="1:9" x14ac:dyDescent="0.3">
      <c r="A6922" t="s">
        <v>65</v>
      </c>
      <c r="G6922">
        <v>44517</v>
      </c>
      <c r="H6922">
        <v>2021</v>
      </c>
      <c r="I6922" t="s">
        <v>52</v>
      </c>
    </row>
    <row r="6923" spans="1:9" x14ac:dyDescent="0.3">
      <c r="A6923" t="s">
        <v>18</v>
      </c>
      <c r="G6923">
        <v>44517</v>
      </c>
      <c r="H6923">
        <v>2021</v>
      </c>
      <c r="I6923" t="s">
        <v>52</v>
      </c>
    </row>
    <row r="6924" spans="1:9" x14ac:dyDescent="0.3">
      <c r="A6924" t="s">
        <v>16</v>
      </c>
      <c r="B6924">
        <v>540000</v>
      </c>
      <c r="F6924">
        <v>486000</v>
      </c>
      <c r="G6924">
        <v>44517</v>
      </c>
      <c r="H6924">
        <v>2021</v>
      </c>
      <c r="I6924" t="s">
        <v>52</v>
      </c>
    </row>
    <row r="6925" spans="1:9" x14ac:dyDescent="0.3">
      <c r="A6925" t="s">
        <v>20</v>
      </c>
      <c r="G6925">
        <v>44518</v>
      </c>
      <c r="H6925">
        <v>2021</v>
      </c>
      <c r="I6925" t="s">
        <v>52</v>
      </c>
    </row>
    <row r="6926" spans="1:9" x14ac:dyDescent="0.3">
      <c r="A6926" t="s">
        <v>37</v>
      </c>
      <c r="B6926">
        <v>162000</v>
      </c>
      <c r="G6926">
        <v>44518</v>
      </c>
      <c r="H6926">
        <v>2021</v>
      </c>
      <c r="I6926" t="s">
        <v>52</v>
      </c>
    </row>
    <row r="6927" spans="1:9" x14ac:dyDescent="0.3">
      <c r="A6927" t="s">
        <v>17</v>
      </c>
      <c r="B6927">
        <v>481500</v>
      </c>
      <c r="F6927">
        <v>54000</v>
      </c>
      <c r="G6927">
        <v>44518</v>
      </c>
      <c r="H6927">
        <v>2021</v>
      </c>
      <c r="I6927" t="s">
        <v>52</v>
      </c>
    </row>
    <row r="6928" spans="1:9" x14ac:dyDescent="0.3">
      <c r="A6928" t="s">
        <v>0</v>
      </c>
      <c r="B6928">
        <v>842500</v>
      </c>
      <c r="E6928">
        <v>198000</v>
      </c>
      <c r="G6928">
        <v>44518</v>
      </c>
      <c r="H6928">
        <v>2021</v>
      </c>
      <c r="I6928" t="s">
        <v>52</v>
      </c>
    </row>
    <row r="6929" spans="1:9" x14ac:dyDescent="0.3">
      <c r="A6929" t="s">
        <v>25</v>
      </c>
      <c r="B6929">
        <v>270000</v>
      </c>
      <c r="F6929">
        <v>207000</v>
      </c>
      <c r="G6929">
        <v>44518</v>
      </c>
      <c r="H6929">
        <v>2021</v>
      </c>
      <c r="I6929" t="s">
        <v>52</v>
      </c>
    </row>
    <row r="6930" spans="1:9" x14ac:dyDescent="0.3">
      <c r="A6930" t="s">
        <v>15</v>
      </c>
      <c r="C6930">
        <v>792000</v>
      </c>
      <c r="G6930">
        <v>44518</v>
      </c>
      <c r="H6930">
        <v>2021</v>
      </c>
      <c r="I6930" t="s">
        <v>52</v>
      </c>
    </row>
    <row r="6931" spans="1:9" x14ac:dyDescent="0.3">
      <c r="A6931" t="s">
        <v>54</v>
      </c>
      <c r="G6931">
        <v>44518</v>
      </c>
      <c r="H6931">
        <v>2021</v>
      </c>
      <c r="I6931" t="s">
        <v>52</v>
      </c>
    </row>
    <row r="6932" spans="1:9" x14ac:dyDescent="0.3">
      <c r="A6932" t="s">
        <v>26</v>
      </c>
      <c r="E6932">
        <v>216000</v>
      </c>
      <c r="G6932">
        <v>44518</v>
      </c>
      <c r="H6932">
        <v>2021</v>
      </c>
      <c r="I6932" t="s">
        <v>52</v>
      </c>
    </row>
    <row r="6933" spans="1:9" x14ac:dyDescent="0.3">
      <c r="A6933" t="s">
        <v>22</v>
      </c>
      <c r="G6933">
        <v>44518</v>
      </c>
      <c r="H6933">
        <v>2021</v>
      </c>
      <c r="I6933" t="s">
        <v>52</v>
      </c>
    </row>
    <row r="6934" spans="1:9" x14ac:dyDescent="0.3">
      <c r="A6934" t="s">
        <v>61</v>
      </c>
      <c r="G6934">
        <v>44518</v>
      </c>
      <c r="H6934">
        <v>2021</v>
      </c>
      <c r="I6934" t="s">
        <v>52</v>
      </c>
    </row>
    <row r="6935" spans="1:9" x14ac:dyDescent="0.3">
      <c r="A6935" t="s">
        <v>19</v>
      </c>
      <c r="C6935">
        <v>522000</v>
      </c>
      <c r="G6935">
        <v>44518</v>
      </c>
      <c r="H6935">
        <v>2021</v>
      </c>
      <c r="I6935" t="s">
        <v>52</v>
      </c>
    </row>
    <row r="6936" spans="1:9" x14ac:dyDescent="0.3">
      <c r="A6936" t="s">
        <v>14</v>
      </c>
      <c r="B6936">
        <v>378000</v>
      </c>
      <c r="D6936">
        <v>423000</v>
      </c>
      <c r="F6936">
        <v>540000</v>
      </c>
      <c r="G6936">
        <v>44518</v>
      </c>
      <c r="H6936">
        <v>2021</v>
      </c>
      <c r="I6936" t="s">
        <v>52</v>
      </c>
    </row>
    <row r="6937" spans="1:9" x14ac:dyDescent="0.3">
      <c r="A6937" t="s">
        <v>24</v>
      </c>
      <c r="G6937">
        <v>44518</v>
      </c>
      <c r="H6937">
        <v>2021</v>
      </c>
      <c r="I6937" t="s">
        <v>52</v>
      </c>
    </row>
    <row r="6938" spans="1:9" x14ac:dyDescent="0.3">
      <c r="A6938" t="s">
        <v>21</v>
      </c>
      <c r="G6938">
        <v>44518</v>
      </c>
      <c r="H6938">
        <v>2021</v>
      </c>
      <c r="I6938" t="s">
        <v>52</v>
      </c>
    </row>
    <row r="6939" spans="1:9" x14ac:dyDescent="0.3">
      <c r="A6939" t="s">
        <v>65</v>
      </c>
      <c r="G6939">
        <v>44518</v>
      </c>
      <c r="H6939">
        <v>2021</v>
      </c>
      <c r="I6939" t="s">
        <v>52</v>
      </c>
    </row>
    <row r="6940" spans="1:9" x14ac:dyDescent="0.3">
      <c r="A6940" t="s">
        <v>18</v>
      </c>
      <c r="G6940">
        <v>44518</v>
      </c>
      <c r="H6940">
        <v>2021</v>
      </c>
      <c r="I6940" t="s">
        <v>52</v>
      </c>
    </row>
    <row r="6941" spans="1:9" x14ac:dyDescent="0.3">
      <c r="A6941" t="s">
        <v>16</v>
      </c>
      <c r="B6941">
        <v>270000</v>
      </c>
      <c r="F6941">
        <v>54000</v>
      </c>
      <c r="G6941">
        <v>44518</v>
      </c>
      <c r="H6941">
        <v>2021</v>
      </c>
      <c r="I6941" t="s">
        <v>52</v>
      </c>
    </row>
    <row r="6942" spans="1:9" x14ac:dyDescent="0.3">
      <c r="A6942" t="s">
        <v>20</v>
      </c>
      <c r="G6942">
        <v>44519</v>
      </c>
      <c r="H6942">
        <v>2021</v>
      </c>
      <c r="I6942" t="s">
        <v>52</v>
      </c>
    </row>
    <row r="6943" spans="1:9" x14ac:dyDescent="0.3">
      <c r="A6943" t="s">
        <v>37</v>
      </c>
      <c r="D6943">
        <v>270000</v>
      </c>
      <c r="G6943">
        <v>44519</v>
      </c>
      <c r="H6943">
        <v>2021</v>
      </c>
      <c r="I6943" t="s">
        <v>52</v>
      </c>
    </row>
    <row r="6944" spans="1:9" x14ac:dyDescent="0.3">
      <c r="A6944" t="s">
        <v>17</v>
      </c>
      <c r="B6944">
        <v>108000</v>
      </c>
      <c r="F6944">
        <v>95000</v>
      </c>
      <c r="G6944">
        <v>44519</v>
      </c>
      <c r="H6944">
        <v>2021</v>
      </c>
      <c r="I6944" t="s">
        <v>52</v>
      </c>
    </row>
    <row r="6945" spans="1:9" x14ac:dyDescent="0.3">
      <c r="A6945" t="s">
        <v>0</v>
      </c>
      <c r="B6945">
        <v>108000</v>
      </c>
      <c r="E6945">
        <v>103500</v>
      </c>
      <c r="G6945">
        <v>44519</v>
      </c>
      <c r="H6945">
        <v>2021</v>
      </c>
      <c r="I6945" t="s">
        <v>52</v>
      </c>
    </row>
    <row r="6946" spans="1:9" x14ac:dyDescent="0.3">
      <c r="A6946" t="s">
        <v>25</v>
      </c>
      <c r="F6946">
        <v>90000</v>
      </c>
      <c r="G6946">
        <v>44519</v>
      </c>
      <c r="H6946">
        <v>2021</v>
      </c>
      <c r="I6946" t="s">
        <v>52</v>
      </c>
    </row>
    <row r="6947" spans="1:9" x14ac:dyDescent="0.3">
      <c r="A6947" t="s">
        <v>15</v>
      </c>
      <c r="G6947">
        <v>44519</v>
      </c>
      <c r="H6947">
        <v>2021</v>
      </c>
      <c r="I6947" t="s">
        <v>52</v>
      </c>
    </row>
    <row r="6948" spans="1:9" x14ac:dyDescent="0.3">
      <c r="A6948" t="s">
        <v>54</v>
      </c>
      <c r="G6948">
        <v>44519</v>
      </c>
      <c r="H6948">
        <v>2021</v>
      </c>
      <c r="I6948" t="s">
        <v>52</v>
      </c>
    </row>
    <row r="6949" spans="1:9" x14ac:dyDescent="0.3">
      <c r="A6949" t="s">
        <v>26</v>
      </c>
      <c r="E6949">
        <v>481500</v>
      </c>
      <c r="G6949">
        <v>44519</v>
      </c>
      <c r="H6949">
        <v>2021</v>
      </c>
      <c r="I6949" t="s">
        <v>52</v>
      </c>
    </row>
    <row r="6950" spans="1:9" x14ac:dyDescent="0.3">
      <c r="A6950" t="s">
        <v>22</v>
      </c>
      <c r="G6950">
        <v>44519</v>
      </c>
      <c r="H6950">
        <v>2021</v>
      </c>
      <c r="I6950" t="s">
        <v>52</v>
      </c>
    </row>
    <row r="6951" spans="1:9" x14ac:dyDescent="0.3">
      <c r="A6951" t="s">
        <v>61</v>
      </c>
      <c r="G6951">
        <v>44519</v>
      </c>
      <c r="H6951">
        <v>2021</v>
      </c>
      <c r="I6951" t="s">
        <v>52</v>
      </c>
    </row>
    <row r="6952" spans="1:9" x14ac:dyDescent="0.3">
      <c r="A6952" t="s">
        <v>19</v>
      </c>
      <c r="G6952">
        <v>44519</v>
      </c>
      <c r="H6952">
        <v>2021</v>
      </c>
      <c r="I6952" t="s">
        <v>52</v>
      </c>
    </row>
    <row r="6953" spans="1:9" x14ac:dyDescent="0.3">
      <c r="A6953" t="s">
        <v>14</v>
      </c>
      <c r="B6953">
        <v>108000</v>
      </c>
      <c r="D6953">
        <v>99000</v>
      </c>
      <c r="F6953">
        <v>459000</v>
      </c>
      <c r="G6953">
        <v>44519</v>
      </c>
      <c r="H6953">
        <v>2021</v>
      </c>
      <c r="I6953" t="s">
        <v>52</v>
      </c>
    </row>
    <row r="6954" spans="1:9" x14ac:dyDescent="0.3">
      <c r="A6954" t="s">
        <v>24</v>
      </c>
      <c r="G6954">
        <v>44519</v>
      </c>
      <c r="H6954">
        <v>2021</v>
      </c>
      <c r="I6954" t="s">
        <v>52</v>
      </c>
    </row>
    <row r="6955" spans="1:9" x14ac:dyDescent="0.3">
      <c r="A6955" t="s">
        <v>21</v>
      </c>
      <c r="G6955">
        <v>44519</v>
      </c>
      <c r="H6955">
        <v>2021</v>
      </c>
      <c r="I6955" t="s">
        <v>52</v>
      </c>
    </row>
    <row r="6956" spans="1:9" x14ac:dyDescent="0.3">
      <c r="A6956" t="s">
        <v>65</v>
      </c>
      <c r="G6956">
        <v>44519</v>
      </c>
      <c r="H6956">
        <v>2021</v>
      </c>
      <c r="I6956" t="s">
        <v>52</v>
      </c>
    </row>
    <row r="6957" spans="1:9" x14ac:dyDescent="0.3">
      <c r="A6957" t="s">
        <v>18</v>
      </c>
      <c r="G6957">
        <v>44519</v>
      </c>
      <c r="H6957">
        <v>2021</v>
      </c>
      <c r="I6957" t="s">
        <v>52</v>
      </c>
    </row>
    <row r="6958" spans="1:9" x14ac:dyDescent="0.3">
      <c r="A6958" t="s">
        <v>16</v>
      </c>
      <c r="G6958">
        <v>44519</v>
      </c>
      <c r="H6958">
        <v>2021</v>
      </c>
      <c r="I6958" t="s">
        <v>52</v>
      </c>
    </row>
    <row r="6959" spans="1:9" x14ac:dyDescent="0.3">
      <c r="A6959" t="s">
        <v>20</v>
      </c>
      <c r="G6959">
        <v>44522</v>
      </c>
      <c r="H6959">
        <v>2021</v>
      </c>
      <c r="I6959" t="s">
        <v>52</v>
      </c>
    </row>
    <row r="6960" spans="1:9" x14ac:dyDescent="0.3">
      <c r="A6960" t="s">
        <v>37</v>
      </c>
      <c r="G6960">
        <v>44522</v>
      </c>
      <c r="H6960">
        <v>2021</v>
      </c>
      <c r="I6960" t="s">
        <v>52</v>
      </c>
    </row>
    <row r="6961" spans="1:9" x14ac:dyDescent="0.3">
      <c r="A6961" t="s">
        <v>17</v>
      </c>
      <c r="G6961">
        <v>44522</v>
      </c>
      <c r="H6961">
        <v>2021</v>
      </c>
      <c r="I6961" t="s">
        <v>52</v>
      </c>
    </row>
    <row r="6962" spans="1:9" x14ac:dyDescent="0.3">
      <c r="A6962" t="s">
        <v>0</v>
      </c>
      <c r="B6962">
        <v>1327500</v>
      </c>
      <c r="G6962">
        <v>44522</v>
      </c>
      <c r="H6962">
        <v>2021</v>
      </c>
      <c r="I6962" t="s">
        <v>52</v>
      </c>
    </row>
    <row r="6963" spans="1:9" x14ac:dyDescent="0.3">
      <c r="A6963" t="s">
        <v>25</v>
      </c>
      <c r="G6963">
        <v>44522</v>
      </c>
      <c r="H6963">
        <v>2021</v>
      </c>
      <c r="I6963" t="s">
        <v>52</v>
      </c>
    </row>
    <row r="6964" spans="1:9" x14ac:dyDescent="0.3">
      <c r="A6964" t="s">
        <v>15</v>
      </c>
      <c r="G6964">
        <v>44522</v>
      </c>
      <c r="H6964">
        <v>2021</v>
      </c>
      <c r="I6964" t="s">
        <v>52</v>
      </c>
    </row>
    <row r="6965" spans="1:9" x14ac:dyDescent="0.3">
      <c r="A6965" t="s">
        <v>54</v>
      </c>
      <c r="G6965">
        <v>44522</v>
      </c>
      <c r="H6965">
        <v>2021</v>
      </c>
      <c r="I6965" t="s">
        <v>52</v>
      </c>
    </row>
    <row r="6966" spans="1:9" x14ac:dyDescent="0.3">
      <c r="A6966" t="s">
        <v>26</v>
      </c>
      <c r="G6966">
        <v>44522</v>
      </c>
      <c r="H6966">
        <v>2021</v>
      </c>
      <c r="I6966" t="s">
        <v>52</v>
      </c>
    </row>
    <row r="6967" spans="1:9" x14ac:dyDescent="0.3">
      <c r="A6967" t="s">
        <v>22</v>
      </c>
      <c r="G6967">
        <v>44522</v>
      </c>
      <c r="H6967">
        <v>2021</v>
      </c>
      <c r="I6967" t="s">
        <v>52</v>
      </c>
    </row>
    <row r="6968" spans="1:9" x14ac:dyDescent="0.3">
      <c r="A6968" t="s">
        <v>61</v>
      </c>
      <c r="G6968">
        <v>44522</v>
      </c>
      <c r="H6968">
        <v>2021</v>
      </c>
      <c r="I6968" t="s">
        <v>52</v>
      </c>
    </row>
    <row r="6969" spans="1:9" x14ac:dyDescent="0.3">
      <c r="A6969" t="s">
        <v>19</v>
      </c>
      <c r="G6969">
        <v>44522</v>
      </c>
      <c r="H6969">
        <v>2021</v>
      </c>
      <c r="I6969" t="s">
        <v>52</v>
      </c>
    </row>
    <row r="6970" spans="1:9" x14ac:dyDescent="0.3">
      <c r="A6970" t="s">
        <v>14</v>
      </c>
      <c r="B6970">
        <v>54000</v>
      </c>
      <c r="G6970">
        <v>44522</v>
      </c>
      <c r="H6970">
        <v>2021</v>
      </c>
      <c r="I6970" t="s">
        <v>52</v>
      </c>
    </row>
    <row r="6971" spans="1:9" x14ac:dyDescent="0.3">
      <c r="A6971" t="s">
        <v>24</v>
      </c>
      <c r="G6971">
        <v>44522</v>
      </c>
      <c r="H6971">
        <v>2021</v>
      </c>
      <c r="I6971" t="s">
        <v>52</v>
      </c>
    </row>
    <row r="6972" spans="1:9" x14ac:dyDescent="0.3">
      <c r="A6972" t="s">
        <v>21</v>
      </c>
      <c r="G6972">
        <v>44522</v>
      </c>
      <c r="H6972">
        <v>2021</v>
      </c>
      <c r="I6972" t="s">
        <v>52</v>
      </c>
    </row>
    <row r="6973" spans="1:9" x14ac:dyDescent="0.3">
      <c r="A6973" t="s">
        <v>65</v>
      </c>
      <c r="G6973">
        <v>44522</v>
      </c>
      <c r="H6973">
        <v>2021</v>
      </c>
      <c r="I6973" t="s">
        <v>52</v>
      </c>
    </row>
    <row r="6974" spans="1:9" x14ac:dyDescent="0.3">
      <c r="A6974" t="s">
        <v>18</v>
      </c>
      <c r="G6974">
        <v>44522</v>
      </c>
      <c r="H6974">
        <v>2021</v>
      </c>
      <c r="I6974" t="s">
        <v>52</v>
      </c>
    </row>
    <row r="6975" spans="1:9" x14ac:dyDescent="0.3">
      <c r="A6975" t="s">
        <v>16</v>
      </c>
      <c r="G6975">
        <v>44522</v>
      </c>
      <c r="H6975">
        <v>2021</v>
      </c>
      <c r="I6975" t="s">
        <v>52</v>
      </c>
    </row>
    <row r="6976" spans="1:9" x14ac:dyDescent="0.3">
      <c r="A6976" t="s">
        <v>20</v>
      </c>
      <c r="G6976">
        <v>44523</v>
      </c>
      <c r="H6976">
        <v>2021</v>
      </c>
      <c r="I6976" t="s">
        <v>52</v>
      </c>
    </row>
    <row r="6977" spans="1:9" x14ac:dyDescent="0.3">
      <c r="A6977" t="s">
        <v>37</v>
      </c>
      <c r="D6977">
        <v>45000</v>
      </c>
      <c r="G6977">
        <v>44523</v>
      </c>
      <c r="H6977">
        <v>2021</v>
      </c>
      <c r="I6977" t="s">
        <v>52</v>
      </c>
    </row>
    <row r="6978" spans="1:9" x14ac:dyDescent="0.3">
      <c r="A6978" t="s">
        <v>17</v>
      </c>
      <c r="G6978">
        <v>44523</v>
      </c>
      <c r="H6978">
        <v>2021</v>
      </c>
      <c r="I6978" t="s">
        <v>52</v>
      </c>
    </row>
    <row r="6979" spans="1:9" x14ac:dyDescent="0.3">
      <c r="A6979" t="s">
        <v>0</v>
      </c>
      <c r="B6979">
        <v>158000</v>
      </c>
      <c r="G6979">
        <v>44523</v>
      </c>
      <c r="H6979">
        <v>2021</v>
      </c>
      <c r="I6979" t="s">
        <v>52</v>
      </c>
    </row>
    <row r="6980" spans="1:9" x14ac:dyDescent="0.3">
      <c r="A6980" t="s">
        <v>25</v>
      </c>
      <c r="B6980">
        <v>324000</v>
      </c>
      <c r="C6980">
        <v>216000</v>
      </c>
      <c r="E6980">
        <v>216000</v>
      </c>
      <c r="G6980">
        <v>44523</v>
      </c>
      <c r="H6980">
        <v>2021</v>
      </c>
      <c r="I6980" t="s">
        <v>52</v>
      </c>
    </row>
    <row r="6981" spans="1:9" x14ac:dyDescent="0.3">
      <c r="A6981" t="s">
        <v>15</v>
      </c>
      <c r="G6981">
        <v>44523</v>
      </c>
      <c r="H6981">
        <v>2021</v>
      </c>
      <c r="I6981" t="s">
        <v>52</v>
      </c>
    </row>
    <row r="6982" spans="1:9" x14ac:dyDescent="0.3">
      <c r="A6982" t="s">
        <v>54</v>
      </c>
      <c r="G6982">
        <v>44523</v>
      </c>
      <c r="H6982">
        <v>2021</v>
      </c>
      <c r="I6982" t="s">
        <v>52</v>
      </c>
    </row>
    <row r="6983" spans="1:9" x14ac:dyDescent="0.3">
      <c r="A6983" t="s">
        <v>26</v>
      </c>
      <c r="E6983">
        <v>50000</v>
      </c>
      <c r="G6983">
        <v>44523</v>
      </c>
      <c r="H6983">
        <v>2021</v>
      </c>
      <c r="I6983" t="s">
        <v>52</v>
      </c>
    </row>
    <row r="6984" spans="1:9" x14ac:dyDescent="0.3">
      <c r="A6984" t="s">
        <v>22</v>
      </c>
      <c r="G6984">
        <v>44523</v>
      </c>
      <c r="H6984">
        <v>2021</v>
      </c>
      <c r="I6984" t="s">
        <v>52</v>
      </c>
    </row>
    <row r="6985" spans="1:9" x14ac:dyDescent="0.3">
      <c r="A6985" t="s">
        <v>61</v>
      </c>
      <c r="G6985">
        <v>44523</v>
      </c>
      <c r="H6985">
        <v>2021</v>
      </c>
      <c r="I6985" t="s">
        <v>52</v>
      </c>
    </row>
    <row r="6986" spans="1:9" x14ac:dyDescent="0.3">
      <c r="A6986" t="s">
        <v>19</v>
      </c>
      <c r="B6986">
        <v>324000</v>
      </c>
      <c r="G6986">
        <v>44523</v>
      </c>
      <c r="H6986">
        <v>2021</v>
      </c>
      <c r="I6986" t="s">
        <v>52</v>
      </c>
    </row>
    <row r="6987" spans="1:9" x14ac:dyDescent="0.3">
      <c r="A6987" t="s">
        <v>14</v>
      </c>
      <c r="B6987">
        <v>162000</v>
      </c>
      <c r="D6987">
        <v>270000</v>
      </c>
      <c r="G6987">
        <v>44523</v>
      </c>
      <c r="H6987">
        <v>2021</v>
      </c>
      <c r="I6987" t="s">
        <v>52</v>
      </c>
    </row>
    <row r="6988" spans="1:9" x14ac:dyDescent="0.3">
      <c r="A6988" t="s">
        <v>24</v>
      </c>
      <c r="G6988">
        <v>44523</v>
      </c>
      <c r="H6988">
        <v>2021</v>
      </c>
      <c r="I6988" t="s">
        <v>52</v>
      </c>
    </row>
    <row r="6989" spans="1:9" x14ac:dyDescent="0.3">
      <c r="A6989" t="s">
        <v>21</v>
      </c>
      <c r="G6989">
        <v>44523</v>
      </c>
      <c r="H6989">
        <v>2021</v>
      </c>
      <c r="I6989" t="s">
        <v>52</v>
      </c>
    </row>
    <row r="6990" spans="1:9" x14ac:dyDescent="0.3">
      <c r="A6990" t="s">
        <v>65</v>
      </c>
      <c r="G6990">
        <v>44523</v>
      </c>
      <c r="H6990">
        <v>2021</v>
      </c>
      <c r="I6990" t="s">
        <v>52</v>
      </c>
    </row>
    <row r="6991" spans="1:9" x14ac:dyDescent="0.3">
      <c r="A6991" t="s">
        <v>18</v>
      </c>
      <c r="B6991">
        <v>50000</v>
      </c>
      <c r="G6991">
        <v>44523</v>
      </c>
      <c r="H6991">
        <v>2021</v>
      </c>
      <c r="I6991" t="s">
        <v>52</v>
      </c>
    </row>
    <row r="6992" spans="1:9" x14ac:dyDescent="0.3">
      <c r="A6992" t="s">
        <v>16</v>
      </c>
      <c r="G6992">
        <v>44523</v>
      </c>
      <c r="H6992">
        <v>2021</v>
      </c>
      <c r="I6992" t="s">
        <v>52</v>
      </c>
    </row>
    <row r="6993" spans="1:9" x14ac:dyDescent="0.3">
      <c r="A6993" t="s">
        <v>20</v>
      </c>
      <c r="G6993">
        <v>44524</v>
      </c>
      <c r="H6993">
        <v>2021</v>
      </c>
      <c r="I6993" t="s">
        <v>52</v>
      </c>
    </row>
    <row r="6994" spans="1:9" x14ac:dyDescent="0.3">
      <c r="A6994" t="s">
        <v>37</v>
      </c>
      <c r="G6994">
        <v>44524</v>
      </c>
      <c r="H6994">
        <v>2021</v>
      </c>
      <c r="I6994" t="s">
        <v>52</v>
      </c>
    </row>
    <row r="6995" spans="1:9" x14ac:dyDescent="0.3">
      <c r="A6995" t="s">
        <v>17</v>
      </c>
      <c r="G6995">
        <v>44524</v>
      </c>
      <c r="H6995">
        <v>2021</v>
      </c>
      <c r="I6995" t="s">
        <v>52</v>
      </c>
    </row>
    <row r="6996" spans="1:9" x14ac:dyDescent="0.3">
      <c r="A6996" t="s">
        <v>0</v>
      </c>
      <c r="B6996">
        <v>108000</v>
      </c>
      <c r="G6996">
        <v>44524</v>
      </c>
      <c r="H6996">
        <v>2021</v>
      </c>
      <c r="I6996" t="s">
        <v>52</v>
      </c>
    </row>
    <row r="6997" spans="1:9" x14ac:dyDescent="0.3">
      <c r="A6997" t="s">
        <v>25</v>
      </c>
      <c r="C6997">
        <v>806000</v>
      </c>
      <c r="G6997">
        <v>44524</v>
      </c>
      <c r="H6997">
        <v>2021</v>
      </c>
      <c r="I6997" t="s">
        <v>52</v>
      </c>
    </row>
    <row r="6998" spans="1:9" x14ac:dyDescent="0.3">
      <c r="A6998" t="s">
        <v>15</v>
      </c>
      <c r="G6998">
        <v>44524</v>
      </c>
      <c r="H6998">
        <v>2021</v>
      </c>
      <c r="I6998" t="s">
        <v>52</v>
      </c>
    </row>
    <row r="6999" spans="1:9" x14ac:dyDescent="0.3">
      <c r="A6999" t="s">
        <v>54</v>
      </c>
      <c r="G6999">
        <v>44524</v>
      </c>
      <c r="H6999">
        <v>2021</v>
      </c>
      <c r="I6999" t="s">
        <v>52</v>
      </c>
    </row>
    <row r="7000" spans="1:9" x14ac:dyDescent="0.3">
      <c r="A7000" t="s">
        <v>26</v>
      </c>
      <c r="G7000">
        <v>44524</v>
      </c>
      <c r="H7000">
        <v>2021</v>
      </c>
      <c r="I7000" t="s">
        <v>52</v>
      </c>
    </row>
    <row r="7001" spans="1:9" x14ac:dyDescent="0.3">
      <c r="A7001" t="s">
        <v>22</v>
      </c>
      <c r="G7001">
        <v>44524</v>
      </c>
      <c r="H7001">
        <v>2021</v>
      </c>
      <c r="I7001" t="s">
        <v>52</v>
      </c>
    </row>
    <row r="7002" spans="1:9" x14ac:dyDescent="0.3">
      <c r="A7002" t="s">
        <v>61</v>
      </c>
      <c r="G7002">
        <v>44524</v>
      </c>
      <c r="H7002">
        <v>2021</v>
      </c>
      <c r="I7002" t="s">
        <v>52</v>
      </c>
    </row>
    <row r="7003" spans="1:9" x14ac:dyDescent="0.3">
      <c r="A7003" t="s">
        <v>19</v>
      </c>
      <c r="G7003">
        <v>44524</v>
      </c>
      <c r="H7003">
        <v>2021</v>
      </c>
      <c r="I7003" t="s">
        <v>52</v>
      </c>
    </row>
    <row r="7004" spans="1:9" x14ac:dyDescent="0.3">
      <c r="A7004" t="s">
        <v>14</v>
      </c>
      <c r="G7004">
        <v>44524</v>
      </c>
      <c r="H7004">
        <v>2021</v>
      </c>
      <c r="I7004" t="s">
        <v>52</v>
      </c>
    </row>
    <row r="7005" spans="1:9" x14ac:dyDescent="0.3">
      <c r="A7005" t="s">
        <v>24</v>
      </c>
      <c r="G7005">
        <v>44524</v>
      </c>
      <c r="H7005">
        <v>2021</v>
      </c>
      <c r="I7005" t="s">
        <v>52</v>
      </c>
    </row>
    <row r="7006" spans="1:9" x14ac:dyDescent="0.3">
      <c r="A7006" t="s">
        <v>21</v>
      </c>
      <c r="G7006">
        <v>44524</v>
      </c>
      <c r="H7006">
        <v>2021</v>
      </c>
      <c r="I7006" t="s">
        <v>52</v>
      </c>
    </row>
    <row r="7007" spans="1:9" x14ac:dyDescent="0.3">
      <c r="A7007" t="s">
        <v>65</v>
      </c>
      <c r="G7007">
        <v>44524</v>
      </c>
      <c r="H7007">
        <v>2021</v>
      </c>
      <c r="I7007" t="s">
        <v>52</v>
      </c>
    </row>
    <row r="7008" spans="1:9" x14ac:dyDescent="0.3">
      <c r="A7008" t="s">
        <v>18</v>
      </c>
      <c r="B7008">
        <v>100000</v>
      </c>
      <c r="G7008">
        <v>44524</v>
      </c>
      <c r="H7008">
        <v>2021</v>
      </c>
      <c r="I7008" t="s">
        <v>52</v>
      </c>
    </row>
    <row r="7009" spans="1:9" x14ac:dyDescent="0.3">
      <c r="A7009" t="s">
        <v>16</v>
      </c>
      <c r="B7009">
        <v>216000</v>
      </c>
      <c r="G7009">
        <v>44524</v>
      </c>
      <c r="H7009">
        <v>2021</v>
      </c>
      <c r="I7009" t="s">
        <v>52</v>
      </c>
    </row>
    <row r="7010" spans="1:9" x14ac:dyDescent="0.3">
      <c r="A7010" t="s">
        <v>20</v>
      </c>
      <c r="G7010">
        <v>44525</v>
      </c>
      <c r="H7010">
        <v>2021</v>
      </c>
      <c r="I7010" t="s">
        <v>52</v>
      </c>
    </row>
    <row r="7011" spans="1:9" x14ac:dyDescent="0.3">
      <c r="A7011" t="s">
        <v>37</v>
      </c>
      <c r="D7011">
        <v>90000</v>
      </c>
      <c r="G7011">
        <v>44525</v>
      </c>
      <c r="H7011">
        <v>2021</v>
      </c>
      <c r="I7011" t="s">
        <v>52</v>
      </c>
    </row>
    <row r="7012" spans="1:9" x14ac:dyDescent="0.3">
      <c r="A7012" t="s">
        <v>17</v>
      </c>
      <c r="G7012">
        <v>44525</v>
      </c>
      <c r="H7012">
        <v>2021</v>
      </c>
      <c r="I7012" t="s">
        <v>52</v>
      </c>
    </row>
    <row r="7013" spans="1:9" x14ac:dyDescent="0.3">
      <c r="A7013" t="s">
        <v>0</v>
      </c>
      <c r="B7013">
        <v>1125500</v>
      </c>
      <c r="G7013">
        <v>44525</v>
      </c>
      <c r="H7013">
        <v>2021</v>
      </c>
      <c r="I7013" t="s">
        <v>52</v>
      </c>
    </row>
    <row r="7014" spans="1:9" x14ac:dyDescent="0.3">
      <c r="A7014" t="s">
        <v>25</v>
      </c>
      <c r="B7014">
        <v>378000</v>
      </c>
      <c r="C7014">
        <v>809500</v>
      </c>
      <c r="G7014">
        <v>44525</v>
      </c>
      <c r="H7014">
        <v>2021</v>
      </c>
      <c r="I7014" t="s">
        <v>52</v>
      </c>
    </row>
    <row r="7015" spans="1:9" x14ac:dyDescent="0.3">
      <c r="A7015" t="s">
        <v>15</v>
      </c>
      <c r="G7015">
        <v>44525</v>
      </c>
      <c r="H7015">
        <v>2021</v>
      </c>
      <c r="I7015" t="s">
        <v>52</v>
      </c>
    </row>
    <row r="7016" spans="1:9" x14ac:dyDescent="0.3">
      <c r="A7016" t="s">
        <v>54</v>
      </c>
      <c r="B7016">
        <v>162000</v>
      </c>
      <c r="C7016">
        <v>54000</v>
      </c>
      <c r="G7016">
        <v>44525</v>
      </c>
      <c r="H7016">
        <v>2021</v>
      </c>
      <c r="I7016" t="s">
        <v>52</v>
      </c>
    </row>
    <row r="7017" spans="1:9" x14ac:dyDescent="0.3">
      <c r="A7017" t="s">
        <v>26</v>
      </c>
      <c r="G7017">
        <v>44525</v>
      </c>
      <c r="H7017">
        <v>2021</v>
      </c>
      <c r="I7017" t="s">
        <v>52</v>
      </c>
    </row>
    <row r="7018" spans="1:9" x14ac:dyDescent="0.3">
      <c r="A7018" t="s">
        <v>22</v>
      </c>
      <c r="G7018">
        <v>44525</v>
      </c>
      <c r="H7018">
        <v>2021</v>
      </c>
      <c r="I7018" t="s">
        <v>52</v>
      </c>
    </row>
    <row r="7019" spans="1:9" x14ac:dyDescent="0.3">
      <c r="A7019" t="s">
        <v>61</v>
      </c>
      <c r="G7019">
        <v>44525</v>
      </c>
      <c r="H7019">
        <v>2021</v>
      </c>
      <c r="I7019" t="s">
        <v>52</v>
      </c>
    </row>
    <row r="7020" spans="1:9" x14ac:dyDescent="0.3">
      <c r="A7020" t="s">
        <v>19</v>
      </c>
      <c r="B7020">
        <v>270000</v>
      </c>
      <c r="G7020">
        <v>44525</v>
      </c>
      <c r="H7020">
        <v>2021</v>
      </c>
      <c r="I7020" t="s">
        <v>52</v>
      </c>
    </row>
    <row r="7021" spans="1:9" x14ac:dyDescent="0.3">
      <c r="A7021" t="s">
        <v>14</v>
      </c>
      <c r="B7021">
        <v>216000</v>
      </c>
      <c r="G7021">
        <v>44525</v>
      </c>
      <c r="H7021">
        <v>2021</v>
      </c>
      <c r="I7021" t="s">
        <v>52</v>
      </c>
    </row>
    <row r="7022" spans="1:9" x14ac:dyDescent="0.3">
      <c r="A7022" t="s">
        <v>24</v>
      </c>
      <c r="G7022">
        <v>44525</v>
      </c>
      <c r="H7022">
        <v>2021</v>
      </c>
      <c r="I7022" t="s">
        <v>52</v>
      </c>
    </row>
    <row r="7023" spans="1:9" x14ac:dyDescent="0.3">
      <c r="A7023" t="s">
        <v>21</v>
      </c>
      <c r="G7023">
        <v>44525</v>
      </c>
      <c r="H7023">
        <v>2021</v>
      </c>
      <c r="I7023" t="s">
        <v>52</v>
      </c>
    </row>
    <row r="7024" spans="1:9" x14ac:dyDescent="0.3">
      <c r="A7024" t="s">
        <v>65</v>
      </c>
      <c r="G7024">
        <v>44525</v>
      </c>
      <c r="H7024">
        <v>2021</v>
      </c>
      <c r="I7024" t="s">
        <v>52</v>
      </c>
    </row>
    <row r="7025" spans="1:9" x14ac:dyDescent="0.3">
      <c r="A7025" t="s">
        <v>18</v>
      </c>
      <c r="C7025">
        <v>702000</v>
      </c>
      <c r="G7025">
        <v>44525</v>
      </c>
      <c r="H7025">
        <v>2021</v>
      </c>
      <c r="I7025" t="s">
        <v>52</v>
      </c>
    </row>
    <row r="7026" spans="1:9" x14ac:dyDescent="0.3">
      <c r="A7026" t="s">
        <v>16</v>
      </c>
      <c r="B7026">
        <v>209000</v>
      </c>
      <c r="G7026">
        <v>44525</v>
      </c>
      <c r="H7026">
        <v>2021</v>
      </c>
      <c r="I7026" t="s">
        <v>52</v>
      </c>
    </row>
    <row r="7027" spans="1:9" x14ac:dyDescent="0.3">
      <c r="A7027" t="s">
        <v>20</v>
      </c>
      <c r="G7027">
        <v>44526</v>
      </c>
      <c r="H7027">
        <v>2021</v>
      </c>
      <c r="I7027" t="s">
        <v>52</v>
      </c>
    </row>
    <row r="7028" spans="1:9" x14ac:dyDescent="0.3">
      <c r="A7028" t="s">
        <v>37</v>
      </c>
      <c r="C7028">
        <v>809500</v>
      </c>
      <c r="G7028">
        <v>44526</v>
      </c>
      <c r="H7028">
        <v>2021</v>
      </c>
      <c r="I7028" t="s">
        <v>52</v>
      </c>
    </row>
    <row r="7029" spans="1:9" x14ac:dyDescent="0.3">
      <c r="A7029" t="s">
        <v>17</v>
      </c>
      <c r="B7029">
        <v>316000</v>
      </c>
      <c r="C7029">
        <v>54000</v>
      </c>
      <c r="G7029">
        <v>44526</v>
      </c>
      <c r="H7029">
        <v>2021</v>
      </c>
      <c r="I7029" t="s">
        <v>52</v>
      </c>
    </row>
    <row r="7030" spans="1:9" x14ac:dyDescent="0.3">
      <c r="A7030" t="s">
        <v>0</v>
      </c>
      <c r="B7030">
        <v>1827500</v>
      </c>
      <c r="G7030">
        <v>44526</v>
      </c>
      <c r="H7030">
        <v>2021</v>
      </c>
      <c r="I7030" t="s">
        <v>52</v>
      </c>
    </row>
    <row r="7031" spans="1:9" x14ac:dyDescent="0.3">
      <c r="A7031" t="s">
        <v>25</v>
      </c>
      <c r="B7031">
        <v>266000</v>
      </c>
      <c r="G7031">
        <v>44526</v>
      </c>
      <c r="H7031">
        <v>2021</v>
      </c>
      <c r="I7031" t="s">
        <v>52</v>
      </c>
    </row>
    <row r="7032" spans="1:9" x14ac:dyDescent="0.3">
      <c r="A7032" t="s">
        <v>15</v>
      </c>
      <c r="D7032">
        <v>108000</v>
      </c>
      <c r="G7032">
        <v>44526</v>
      </c>
      <c r="H7032">
        <v>2021</v>
      </c>
      <c r="I7032" t="s">
        <v>52</v>
      </c>
    </row>
    <row r="7033" spans="1:9" x14ac:dyDescent="0.3">
      <c r="A7033" t="s">
        <v>54</v>
      </c>
      <c r="B7033">
        <v>324000</v>
      </c>
      <c r="C7033">
        <v>1080000</v>
      </c>
      <c r="G7033">
        <v>44526</v>
      </c>
      <c r="H7033">
        <v>2021</v>
      </c>
      <c r="I7033" t="s">
        <v>52</v>
      </c>
    </row>
    <row r="7034" spans="1:9" x14ac:dyDescent="0.3">
      <c r="A7034" t="s">
        <v>26</v>
      </c>
      <c r="G7034">
        <v>44526</v>
      </c>
      <c r="H7034">
        <v>2021</v>
      </c>
      <c r="I7034" t="s">
        <v>52</v>
      </c>
    </row>
    <row r="7035" spans="1:9" x14ac:dyDescent="0.3">
      <c r="A7035" t="s">
        <v>22</v>
      </c>
      <c r="G7035">
        <v>44526</v>
      </c>
      <c r="H7035">
        <v>2021</v>
      </c>
      <c r="I7035" t="s">
        <v>52</v>
      </c>
    </row>
    <row r="7036" spans="1:9" x14ac:dyDescent="0.3">
      <c r="A7036" t="s">
        <v>61</v>
      </c>
      <c r="G7036">
        <v>44526</v>
      </c>
      <c r="H7036">
        <v>2021</v>
      </c>
      <c r="I7036" t="s">
        <v>52</v>
      </c>
    </row>
    <row r="7037" spans="1:9" x14ac:dyDescent="0.3">
      <c r="A7037" t="s">
        <v>19</v>
      </c>
      <c r="G7037">
        <v>44526</v>
      </c>
      <c r="H7037">
        <v>2021</v>
      </c>
      <c r="I7037" t="s">
        <v>52</v>
      </c>
    </row>
    <row r="7038" spans="1:9" x14ac:dyDescent="0.3">
      <c r="A7038" t="s">
        <v>14</v>
      </c>
      <c r="B7038">
        <v>270000</v>
      </c>
      <c r="G7038">
        <v>44526</v>
      </c>
      <c r="H7038">
        <v>2021</v>
      </c>
      <c r="I7038" t="s">
        <v>52</v>
      </c>
    </row>
    <row r="7039" spans="1:9" x14ac:dyDescent="0.3">
      <c r="A7039" t="s">
        <v>24</v>
      </c>
      <c r="G7039">
        <v>44526</v>
      </c>
      <c r="H7039">
        <v>2021</v>
      </c>
      <c r="I7039" t="s">
        <v>52</v>
      </c>
    </row>
    <row r="7040" spans="1:9" x14ac:dyDescent="0.3">
      <c r="A7040" t="s">
        <v>21</v>
      </c>
      <c r="G7040">
        <v>44526</v>
      </c>
      <c r="H7040">
        <v>2021</v>
      </c>
      <c r="I7040" t="s">
        <v>52</v>
      </c>
    </row>
    <row r="7041" spans="1:9" x14ac:dyDescent="0.3">
      <c r="A7041" t="s">
        <v>65</v>
      </c>
      <c r="G7041">
        <v>44526</v>
      </c>
      <c r="H7041">
        <v>2021</v>
      </c>
      <c r="I7041" t="s">
        <v>52</v>
      </c>
    </row>
    <row r="7042" spans="1:9" x14ac:dyDescent="0.3">
      <c r="A7042" t="s">
        <v>18</v>
      </c>
      <c r="C7042">
        <v>108000</v>
      </c>
      <c r="G7042">
        <v>44526</v>
      </c>
      <c r="H7042">
        <v>2021</v>
      </c>
      <c r="I7042" t="s">
        <v>52</v>
      </c>
    </row>
    <row r="7043" spans="1:9" x14ac:dyDescent="0.3">
      <c r="A7043" t="s">
        <v>16</v>
      </c>
      <c r="B7043">
        <v>256500</v>
      </c>
      <c r="G7043">
        <v>44526</v>
      </c>
      <c r="H7043">
        <v>2021</v>
      </c>
      <c r="I7043" t="s">
        <v>52</v>
      </c>
    </row>
    <row r="7044" spans="1:9" x14ac:dyDescent="0.3">
      <c r="A7044" t="s">
        <v>20</v>
      </c>
      <c r="G7044">
        <v>44529</v>
      </c>
      <c r="H7044">
        <v>2021</v>
      </c>
      <c r="I7044" t="s">
        <v>52</v>
      </c>
    </row>
    <row r="7045" spans="1:9" x14ac:dyDescent="0.3">
      <c r="A7045" t="s">
        <v>37</v>
      </c>
      <c r="C7045">
        <v>162000</v>
      </c>
      <c r="G7045">
        <v>44529</v>
      </c>
      <c r="H7045">
        <v>2021</v>
      </c>
      <c r="I7045" t="s">
        <v>52</v>
      </c>
    </row>
    <row r="7046" spans="1:9" x14ac:dyDescent="0.3">
      <c r="A7046" t="s">
        <v>17</v>
      </c>
      <c r="B7046">
        <v>216000</v>
      </c>
      <c r="G7046">
        <v>44529</v>
      </c>
      <c r="H7046">
        <v>2021</v>
      </c>
      <c r="I7046" t="s">
        <v>52</v>
      </c>
    </row>
    <row r="7047" spans="1:9" x14ac:dyDescent="0.3">
      <c r="A7047" t="s">
        <v>0</v>
      </c>
      <c r="B7047">
        <v>1026000</v>
      </c>
      <c r="E7047">
        <v>54000</v>
      </c>
      <c r="G7047">
        <v>44529</v>
      </c>
      <c r="H7047">
        <v>2021</v>
      </c>
      <c r="I7047" t="s">
        <v>52</v>
      </c>
    </row>
    <row r="7048" spans="1:9" x14ac:dyDescent="0.3">
      <c r="A7048" t="s">
        <v>25</v>
      </c>
      <c r="B7048">
        <v>270000</v>
      </c>
      <c r="C7048">
        <v>108000</v>
      </c>
      <c r="G7048">
        <v>44529</v>
      </c>
      <c r="H7048">
        <v>2021</v>
      </c>
      <c r="I7048" t="s">
        <v>52</v>
      </c>
    </row>
    <row r="7049" spans="1:9" x14ac:dyDescent="0.3">
      <c r="A7049" t="s">
        <v>15</v>
      </c>
      <c r="B7049">
        <v>270000</v>
      </c>
      <c r="C7049">
        <v>266000</v>
      </c>
      <c r="G7049">
        <v>44529</v>
      </c>
      <c r="H7049">
        <v>2021</v>
      </c>
      <c r="I7049" t="s">
        <v>52</v>
      </c>
    </row>
    <row r="7050" spans="1:9" x14ac:dyDescent="0.3">
      <c r="A7050" t="s">
        <v>54</v>
      </c>
      <c r="C7050">
        <v>162000</v>
      </c>
      <c r="G7050">
        <v>44529</v>
      </c>
      <c r="H7050">
        <v>2021</v>
      </c>
      <c r="I7050" t="s">
        <v>52</v>
      </c>
    </row>
    <row r="7051" spans="1:9" x14ac:dyDescent="0.3">
      <c r="A7051" t="s">
        <v>26</v>
      </c>
      <c r="G7051">
        <v>44529</v>
      </c>
      <c r="H7051">
        <v>2021</v>
      </c>
      <c r="I7051" t="s">
        <v>52</v>
      </c>
    </row>
    <row r="7052" spans="1:9" x14ac:dyDescent="0.3">
      <c r="A7052" t="s">
        <v>22</v>
      </c>
      <c r="G7052">
        <v>44529</v>
      </c>
      <c r="H7052">
        <v>2021</v>
      </c>
      <c r="I7052" t="s">
        <v>52</v>
      </c>
    </row>
    <row r="7053" spans="1:9" x14ac:dyDescent="0.3">
      <c r="A7053" t="s">
        <v>61</v>
      </c>
      <c r="G7053">
        <v>44529</v>
      </c>
      <c r="H7053">
        <v>2021</v>
      </c>
      <c r="I7053" t="s">
        <v>52</v>
      </c>
    </row>
    <row r="7054" spans="1:9" x14ac:dyDescent="0.3">
      <c r="A7054" t="s">
        <v>19</v>
      </c>
      <c r="B7054">
        <v>216000</v>
      </c>
      <c r="G7054">
        <v>44529</v>
      </c>
      <c r="H7054">
        <v>2021</v>
      </c>
      <c r="I7054" t="s">
        <v>52</v>
      </c>
    </row>
    <row r="7055" spans="1:9" x14ac:dyDescent="0.3">
      <c r="A7055" t="s">
        <v>14</v>
      </c>
      <c r="B7055">
        <v>323500</v>
      </c>
      <c r="C7055">
        <v>540000</v>
      </c>
      <c r="G7055">
        <v>44529</v>
      </c>
      <c r="H7055">
        <v>2021</v>
      </c>
      <c r="I7055" t="s">
        <v>52</v>
      </c>
    </row>
    <row r="7056" spans="1:9" x14ac:dyDescent="0.3">
      <c r="A7056" t="s">
        <v>24</v>
      </c>
      <c r="G7056">
        <v>44529</v>
      </c>
      <c r="H7056">
        <v>2021</v>
      </c>
      <c r="I7056" t="s">
        <v>52</v>
      </c>
    </row>
    <row r="7057" spans="1:9" x14ac:dyDescent="0.3">
      <c r="A7057" t="s">
        <v>21</v>
      </c>
      <c r="G7057">
        <v>44529</v>
      </c>
      <c r="H7057">
        <v>2021</v>
      </c>
      <c r="I7057" t="s">
        <v>52</v>
      </c>
    </row>
    <row r="7058" spans="1:9" x14ac:dyDescent="0.3">
      <c r="A7058" t="s">
        <v>65</v>
      </c>
      <c r="G7058">
        <v>44529</v>
      </c>
      <c r="H7058">
        <v>2021</v>
      </c>
      <c r="I7058" t="s">
        <v>52</v>
      </c>
    </row>
    <row r="7059" spans="1:9" x14ac:dyDescent="0.3">
      <c r="A7059" t="s">
        <v>18</v>
      </c>
      <c r="C7059">
        <v>54000</v>
      </c>
      <c r="G7059">
        <v>44529</v>
      </c>
      <c r="H7059">
        <v>2021</v>
      </c>
      <c r="I7059" t="s">
        <v>52</v>
      </c>
    </row>
    <row r="7060" spans="1:9" x14ac:dyDescent="0.3">
      <c r="A7060" t="s">
        <v>16</v>
      </c>
      <c r="B7060">
        <v>252000</v>
      </c>
      <c r="C7060">
        <v>270000</v>
      </c>
      <c r="E7060">
        <v>162000</v>
      </c>
      <c r="G7060">
        <v>44529</v>
      </c>
      <c r="H7060">
        <v>2021</v>
      </c>
      <c r="I7060" t="s">
        <v>52</v>
      </c>
    </row>
    <row r="7061" spans="1:9" x14ac:dyDescent="0.3">
      <c r="A7061" t="s">
        <v>20</v>
      </c>
      <c r="G7061">
        <v>44530</v>
      </c>
      <c r="H7061">
        <v>2021</v>
      </c>
      <c r="I7061" t="s">
        <v>52</v>
      </c>
    </row>
    <row r="7062" spans="1:9" x14ac:dyDescent="0.3">
      <c r="A7062" t="s">
        <v>37</v>
      </c>
      <c r="C7062">
        <v>108000</v>
      </c>
      <c r="D7062">
        <v>45000</v>
      </c>
      <c r="G7062">
        <v>44530</v>
      </c>
      <c r="H7062">
        <v>2021</v>
      </c>
      <c r="I7062" t="s">
        <v>52</v>
      </c>
    </row>
    <row r="7063" spans="1:9" x14ac:dyDescent="0.3">
      <c r="A7063" t="s">
        <v>17</v>
      </c>
      <c r="B7063">
        <v>212000</v>
      </c>
      <c r="G7063">
        <v>44530</v>
      </c>
      <c r="H7063">
        <v>2021</v>
      </c>
      <c r="I7063" t="s">
        <v>52</v>
      </c>
    </row>
    <row r="7064" spans="1:9" x14ac:dyDescent="0.3">
      <c r="A7064" t="s">
        <v>0</v>
      </c>
      <c r="B7064">
        <v>1026000</v>
      </c>
      <c r="G7064">
        <v>44530</v>
      </c>
      <c r="H7064">
        <v>2021</v>
      </c>
      <c r="I7064" t="s">
        <v>52</v>
      </c>
    </row>
    <row r="7065" spans="1:9" x14ac:dyDescent="0.3">
      <c r="A7065" t="s">
        <v>25</v>
      </c>
      <c r="B7065">
        <v>374000</v>
      </c>
      <c r="E7065">
        <v>270000</v>
      </c>
      <c r="G7065">
        <v>44530</v>
      </c>
      <c r="H7065">
        <v>2021</v>
      </c>
      <c r="I7065" t="s">
        <v>52</v>
      </c>
    </row>
    <row r="7066" spans="1:9" x14ac:dyDescent="0.3">
      <c r="A7066" t="s">
        <v>15</v>
      </c>
      <c r="B7066">
        <v>324000</v>
      </c>
      <c r="C7066">
        <v>216000</v>
      </c>
      <c r="D7066">
        <v>50000</v>
      </c>
      <c r="G7066">
        <v>44530</v>
      </c>
      <c r="H7066">
        <v>2021</v>
      </c>
      <c r="I7066" t="s">
        <v>52</v>
      </c>
    </row>
    <row r="7067" spans="1:9" x14ac:dyDescent="0.3">
      <c r="A7067" t="s">
        <v>54</v>
      </c>
      <c r="B7067">
        <v>270000</v>
      </c>
      <c r="C7067">
        <v>108000</v>
      </c>
      <c r="G7067">
        <v>44530</v>
      </c>
      <c r="H7067">
        <v>2021</v>
      </c>
      <c r="I7067" t="s">
        <v>52</v>
      </c>
    </row>
    <row r="7068" spans="1:9" x14ac:dyDescent="0.3">
      <c r="A7068" t="s">
        <v>26</v>
      </c>
      <c r="G7068">
        <v>44530</v>
      </c>
      <c r="H7068">
        <v>2021</v>
      </c>
      <c r="I7068" t="s">
        <v>52</v>
      </c>
    </row>
    <row r="7069" spans="1:9" x14ac:dyDescent="0.3">
      <c r="A7069" t="s">
        <v>22</v>
      </c>
      <c r="G7069">
        <v>44530</v>
      </c>
      <c r="H7069">
        <v>2021</v>
      </c>
      <c r="I7069" t="s">
        <v>52</v>
      </c>
    </row>
    <row r="7070" spans="1:9" x14ac:dyDescent="0.3">
      <c r="A7070" t="s">
        <v>61</v>
      </c>
      <c r="G7070">
        <v>44530</v>
      </c>
      <c r="H7070">
        <v>2021</v>
      </c>
      <c r="I7070" t="s">
        <v>52</v>
      </c>
    </row>
    <row r="7071" spans="1:9" x14ac:dyDescent="0.3">
      <c r="A7071" t="s">
        <v>19</v>
      </c>
      <c r="B7071">
        <v>208000</v>
      </c>
      <c r="C7071">
        <v>1008000</v>
      </c>
      <c r="D7071">
        <v>648000</v>
      </c>
      <c r="G7071">
        <v>44530</v>
      </c>
      <c r="H7071">
        <v>2021</v>
      </c>
      <c r="I7071" t="s">
        <v>52</v>
      </c>
    </row>
    <row r="7072" spans="1:9" x14ac:dyDescent="0.3">
      <c r="A7072" t="s">
        <v>14</v>
      </c>
      <c r="B7072">
        <v>270000</v>
      </c>
      <c r="C7072">
        <v>486000</v>
      </c>
      <c r="G7072">
        <v>44530</v>
      </c>
      <c r="H7072">
        <v>2021</v>
      </c>
      <c r="I7072" t="s">
        <v>52</v>
      </c>
    </row>
    <row r="7073" spans="1:9" x14ac:dyDescent="0.3">
      <c r="A7073" t="s">
        <v>24</v>
      </c>
      <c r="G7073">
        <v>44530</v>
      </c>
      <c r="H7073">
        <v>2021</v>
      </c>
      <c r="I7073" t="s">
        <v>52</v>
      </c>
    </row>
    <row r="7074" spans="1:9" x14ac:dyDescent="0.3">
      <c r="A7074" t="s">
        <v>21</v>
      </c>
      <c r="G7074">
        <v>44530</v>
      </c>
      <c r="H7074">
        <v>2021</v>
      </c>
      <c r="I7074" t="s">
        <v>52</v>
      </c>
    </row>
    <row r="7075" spans="1:9" x14ac:dyDescent="0.3">
      <c r="A7075" t="s">
        <v>65</v>
      </c>
      <c r="G7075">
        <v>44530</v>
      </c>
      <c r="H7075">
        <v>2021</v>
      </c>
      <c r="I7075" t="s">
        <v>52</v>
      </c>
    </row>
    <row r="7076" spans="1:9" x14ac:dyDescent="0.3">
      <c r="A7076" t="s">
        <v>18</v>
      </c>
      <c r="G7076">
        <v>44530</v>
      </c>
      <c r="H7076">
        <v>2021</v>
      </c>
      <c r="I7076" t="s">
        <v>52</v>
      </c>
    </row>
    <row r="7077" spans="1:9" x14ac:dyDescent="0.3">
      <c r="A7077" t="s">
        <v>16</v>
      </c>
      <c r="C7077">
        <v>320000</v>
      </c>
      <c r="E7077">
        <v>162000</v>
      </c>
      <c r="G7077">
        <v>44530</v>
      </c>
      <c r="H7077">
        <v>2021</v>
      </c>
      <c r="I7077" t="s">
        <v>52</v>
      </c>
    </row>
    <row r="7078" spans="1:9" x14ac:dyDescent="0.3">
      <c r="A7078" t="s">
        <v>20</v>
      </c>
      <c r="G7078">
        <v>44532</v>
      </c>
      <c r="H7078">
        <v>2021</v>
      </c>
      <c r="I7078" t="s">
        <v>53</v>
      </c>
    </row>
    <row r="7079" spans="1:9" x14ac:dyDescent="0.3">
      <c r="A7079" t="s">
        <v>37</v>
      </c>
      <c r="C7079">
        <v>108000</v>
      </c>
      <c r="G7079">
        <v>44532</v>
      </c>
      <c r="H7079">
        <v>2021</v>
      </c>
      <c r="I7079" t="s">
        <v>53</v>
      </c>
    </row>
    <row r="7080" spans="1:9" x14ac:dyDescent="0.3">
      <c r="A7080" t="s">
        <v>17</v>
      </c>
      <c r="B7080">
        <v>216000</v>
      </c>
      <c r="G7080">
        <v>44532</v>
      </c>
      <c r="H7080">
        <v>2021</v>
      </c>
      <c r="I7080" t="s">
        <v>53</v>
      </c>
    </row>
    <row r="7081" spans="1:9" x14ac:dyDescent="0.3">
      <c r="A7081" t="s">
        <v>0</v>
      </c>
      <c r="B7081">
        <v>684000</v>
      </c>
      <c r="G7081">
        <v>44532</v>
      </c>
      <c r="H7081">
        <v>2021</v>
      </c>
      <c r="I7081" t="s">
        <v>53</v>
      </c>
    </row>
    <row r="7082" spans="1:9" x14ac:dyDescent="0.3">
      <c r="A7082" t="s">
        <v>25</v>
      </c>
      <c r="B7082">
        <v>270000</v>
      </c>
      <c r="C7082">
        <v>536000</v>
      </c>
      <c r="G7082">
        <v>44532</v>
      </c>
      <c r="H7082">
        <v>2021</v>
      </c>
      <c r="I7082" t="s">
        <v>53</v>
      </c>
    </row>
    <row r="7083" spans="1:9" x14ac:dyDescent="0.3">
      <c r="A7083" t="s">
        <v>15</v>
      </c>
      <c r="B7083">
        <v>756000</v>
      </c>
      <c r="C7083">
        <v>432000</v>
      </c>
      <c r="D7083">
        <v>54000</v>
      </c>
      <c r="G7083">
        <v>44532</v>
      </c>
      <c r="H7083">
        <v>2021</v>
      </c>
      <c r="I7083" t="s">
        <v>53</v>
      </c>
    </row>
    <row r="7084" spans="1:9" x14ac:dyDescent="0.3">
      <c r="A7084" t="s">
        <v>54</v>
      </c>
      <c r="C7084">
        <v>324000</v>
      </c>
      <c r="G7084">
        <v>44532</v>
      </c>
      <c r="H7084">
        <v>2021</v>
      </c>
      <c r="I7084" t="s">
        <v>53</v>
      </c>
    </row>
    <row r="7085" spans="1:9" x14ac:dyDescent="0.3">
      <c r="A7085" t="s">
        <v>26</v>
      </c>
      <c r="C7085">
        <v>45000</v>
      </c>
      <c r="G7085">
        <v>44532</v>
      </c>
      <c r="H7085">
        <v>2021</v>
      </c>
      <c r="I7085" t="s">
        <v>53</v>
      </c>
    </row>
    <row r="7086" spans="1:9" x14ac:dyDescent="0.3">
      <c r="A7086" t="s">
        <v>22</v>
      </c>
      <c r="G7086">
        <v>44532</v>
      </c>
      <c r="H7086">
        <v>2021</v>
      </c>
      <c r="I7086" t="s">
        <v>53</v>
      </c>
    </row>
    <row r="7087" spans="1:9" x14ac:dyDescent="0.3">
      <c r="A7087" t="s">
        <v>61</v>
      </c>
      <c r="G7087">
        <v>44532</v>
      </c>
      <c r="H7087">
        <v>2021</v>
      </c>
      <c r="I7087" t="s">
        <v>53</v>
      </c>
    </row>
    <row r="7088" spans="1:9" x14ac:dyDescent="0.3">
      <c r="A7088" t="s">
        <v>19</v>
      </c>
      <c r="B7088">
        <v>324000</v>
      </c>
      <c r="G7088">
        <v>44532</v>
      </c>
      <c r="H7088">
        <v>2021</v>
      </c>
      <c r="I7088" t="s">
        <v>53</v>
      </c>
    </row>
    <row r="7089" spans="1:9" x14ac:dyDescent="0.3">
      <c r="A7089" t="s">
        <v>14</v>
      </c>
      <c r="B7089">
        <v>756000</v>
      </c>
      <c r="C7089">
        <v>482000</v>
      </c>
      <c r="G7089">
        <v>44532</v>
      </c>
      <c r="H7089">
        <v>2021</v>
      </c>
      <c r="I7089" t="s">
        <v>53</v>
      </c>
    </row>
    <row r="7090" spans="1:9" x14ac:dyDescent="0.3">
      <c r="A7090" t="s">
        <v>24</v>
      </c>
      <c r="G7090">
        <v>44532</v>
      </c>
      <c r="H7090">
        <v>2021</v>
      </c>
      <c r="I7090" t="s">
        <v>53</v>
      </c>
    </row>
    <row r="7091" spans="1:9" x14ac:dyDescent="0.3">
      <c r="A7091" t="s">
        <v>21</v>
      </c>
      <c r="G7091">
        <v>44532</v>
      </c>
      <c r="H7091">
        <v>2021</v>
      </c>
      <c r="I7091" t="s">
        <v>53</v>
      </c>
    </row>
    <row r="7092" spans="1:9" x14ac:dyDescent="0.3">
      <c r="A7092" t="s">
        <v>65</v>
      </c>
      <c r="G7092">
        <v>44532</v>
      </c>
      <c r="H7092">
        <v>2021</v>
      </c>
      <c r="I7092" t="s">
        <v>53</v>
      </c>
    </row>
    <row r="7093" spans="1:9" x14ac:dyDescent="0.3">
      <c r="A7093" t="s">
        <v>18</v>
      </c>
      <c r="C7093">
        <v>45000</v>
      </c>
      <c r="G7093">
        <v>44532</v>
      </c>
      <c r="H7093">
        <v>2021</v>
      </c>
      <c r="I7093" t="s">
        <v>53</v>
      </c>
    </row>
    <row r="7094" spans="1:9" x14ac:dyDescent="0.3">
      <c r="A7094" t="s">
        <v>16</v>
      </c>
      <c r="B7094">
        <v>97000</v>
      </c>
      <c r="C7094">
        <v>162000</v>
      </c>
      <c r="G7094">
        <v>44532</v>
      </c>
      <c r="H7094">
        <v>2021</v>
      </c>
      <c r="I7094" t="s">
        <v>53</v>
      </c>
    </row>
    <row r="7095" spans="1:9" x14ac:dyDescent="0.3">
      <c r="A7095" t="s">
        <v>20</v>
      </c>
      <c r="G7095">
        <v>44536</v>
      </c>
      <c r="H7095">
        <v>2021</v>
      </c>
      <c r="I7095" t="s">
        <v>53</v>
      </c>
    </row>
    <row r="7096" spans="1:9" x14ac:dyDescent="0.3">
      <c r="A7096" t="s">
        <v>37</v>
      </c>
      <c r="G7096">
        <v>44536</v>
      </c>
      <c r="H7096">
        <v>2021</v>
      </c>
      <c r="I7096" t="s">
        <v>53</v>
      </c>
    </row>
    <row r="7097" spans="1:9" x14ac:dyDescent="0.3">
      <c r="A7097" t="s">
        <v>17</v>
      </c>
      <c r="B7097">
        <v>486000</v>
      </c>
      <c r="G7097">
        <v>44536</v>
      </c>
      <c r="H7097">
        <v>2021</v>
      </c>
      <c r="I7097" t="s">
        <v>53</v>
      </c>
    </row>
    <row r="7098" spans="1:9" x14ac:dyDescent="0.3">
      <c r="A7098" t="s">
        <v>0</v>
      </c>
      <c r="B7098">
        <v>585000</v>
      </c>
      <c r="G7098">
        <v>44536</v>
      </c>
      <c r="H7098">
        <v>2021</v>
      </c>
      <c r="I7098" t="s">
        <v>53</v>
      </c>
    </row>
    <row r="7099" spans="1:9" x14ac:dyDescent="0.3">
      <c r="A7099" t="s">
        <v>25</v>
      </c>
      <c r="B7099">
        <v>324000</v>
      </c>
      <c r="C7099">
        <v>269500</v>
      </c>
      <c r="D7099">
        <v>158000</v>
      </c>
      <c r="E7099">
        <v>365000</v>
      </c>
      <c r="G7099">
        <v>44536</v>
      </c>
      <c r="H7099">
        <v>2021</v>
      </c>
      <c r="I7099" t="s">
        <v>53</v>
      </c>
    </row>
    <row r="7100" spans="1:9" x14ac:dyDescent="0.3">
      <c r="A7100" t="s">
        <v>15</v>
      </c>
      <c r="B7100">
        <v>49500</v>
      </c>
      <c r="C7100">
        <v>324000</v>
      </c>
      <c r="D7100">
        <v>90000</v>
      </c>
      <c r="G7100">
        <v>44536</v>
      </c>
      <c r="H7100">
        <v>2021</v>
      </c>
      <c r="I7100" t="s">
        <v>53</v>
      </c>
    </row>
    <row r="7101" spans="1:9" x14ac:dyDescent="0.3">
      <c r="A7101" t="s">
        <v>54</v>
      </c>
      <c r="B7101">
        <v>216000</v>
      </c>
      <c r="C7101">
        <v>216000</v>
      </c>
      <c r="G7101">
        <v>44536</v>
      </c>
      <c r="H7101">
        <v>2021</v>
      </c>
      <c r="I7101" t="s">
        <v>53</v>
      </c>
    </row>
    <row r="7102" spans="1:9" x14ac:dyDescent="0.3">
      <c r="A7102" t="s">
        <v>26</v>
      </c>
      <c r="B7102">
        <v>215500</v>
      </c>
      <c r="C7102">
        <v>322000</v>
      </c>
      <c r="D7102">
        <v>108000</v>
      </c>
      <c r="G7102">
        <v>44536</v>
      </c>
      <c r="H7102">
        <v>2021</v>
      </c>
      <c r="I7102" t="s">
        <v>53</v>
      </c>
    </row>
    <row r="7103" spans="1:9" x14ac:dyDescent="0.3">
      <c r="A7103" t="s">
        <v>22</v>
      </c>
      <c r="G7103">
        <v>44536</v>
      </c>
      <c r="H7103">
        <v>2021</v>
      </c>
      <c r="I7103" t="s">
        <v>53</v>
      </c>
    </row>
    <row r="7104" spans="1:9" x14ac:dyDescent="0.3">
      <c r="A7104" t="s">
        <v>61</v>
      </c>
      <c r="G7104">
        <v>44536</v>
      </c>
      <c r="H7104">
        <v>2021</v>
      </c>
      <c r="I7104" t="s">
        <v>53</v>
      </c>
    </row>
    <row r="7105" spans="1:9" x14ac:dyDescent="0.3">
      <c r="A7105" t="s">
        <v>19</v>
      </c>
      <c r="B7105">
        <v>162000</v>
      </c>
      <c r="D7105">
        <v>216000</v>
      </c>
      <c r="G7105">
        <v>44536</v>
      </c>
      <c r="H7105">
        <v>2021</v>
      </c>
      <c r="I7105" t="s">
        <v>53</v>
      </c>
    </row>
    <row r="7106" spans="1:9" x14ac:dyDescent="0.3">
      <c r="A7106" t="s">
        <v>14</v>
      </c>
      <c r="B7106">
        <v>540000</v>
      </c>
      <c r="C7106">
        <v>324000</v>
      </c>
      <c r="G7106">
        <v>44536</v>
      </c>
      <c r="H7106">
        <v>2021</v>
      </c>
      <c r="I7106" t="s">
        <v>53</v>
      </c>
    </row>
    <row r="7107" spans="1:9" x14ac:dyDescent="0.3">
      <c r="A7107" t="s">
        <v>24</v>
      </c>
      <c r="G7107">
        <v>44536</v>
      </c>
      <c r="H7107">
        <v>2021</v>
      </c>
      <c r="I7107" t="s">
        <v>53</v>
      </c>
    </row>
    <row r="7108" spans="1:9" x14ac:dyDescent="0.3">
      <c r="A7108" t="s">
        <v>21</v>
      </c>
      <c r="C7108">
        <v>486000</v>
      </c>
      <c r="G7108">
        <v>44536</v>
      </c>
      <c r="H7108">
        <v>2021</v>
      </c>
      <c r="I7108" t="s">
        <v>53</v>
      </c>
    </row>
    <row r="7109" spans="1:9" x14ac:dyDescent="0.3">
      <c r="A7109" t="s">
        <v>65</v>
      </c>
      <c r="G7109">
        <v>44536</v>
      </c>
      <c r="H7109">
        <v>2021</v>
      </c>
      <c r="I7109" t="s">
        <v>53</v>
      </c>
    </row>
    <row r="7110" spans="1:9" x14ac:dyDescent="0.3">
      <c r="A7110" t="s">
        <v>18</v>
      </c>
      <c r="G7110">
        <v>44536</v>
      </c>
      <c r="H7110">
        <v>2021</v>
      </c>
      <c r="I7110" t="s">
        <v>53</v>
      </c>
    </row>
    <row r="7111" spans="1:9" x14ac:dyDescent="0.3">
      <c r="A7111" t="s">
        <v>16</v>
      </c>
      <c r="E7111">
        <v>100000</v>
      </c>
      <c r="G7111">
        <v>44536</v>
      </c>
      <c r="H7111">
        <v>2021</v>
      </c>
      <c r="I7111" t="s">
        <v>53</v>
      </c>
    </row>
    <row r="7112" spans="1:9" x14ac:dyDescent="0.3">
      <c r="A7112" t="s">
        <v>20</v>
      </c>
      <c r="G7112">
        <v>44537</v>
      </c>
      <c r="H7112">
        <v>2021</v>
      </c>
      <c r="I7112" t="s">
        <v>53</v>
      </c>
    </row>
    <row r="7113" spans="1:9" x14ac:dyDescent="0.3">
      <c r="A7113" t="s">
        <v>37</v>
      </c>
      <c r="G7113">
        <v>44537</v>
      </c>
      <c r="H7113">
        <v>2021</v>
      </c>
      <c r="I7113" t="s">
        <v>53</v>
      </c>
    </row>
    <row r="7114" spans="1:9" x14ac:dyDescent="0.3">
      <c r="A7114" t="s">
        <v>17</v>
      </c>
      <c r="B7114">
        <v>216000</v>
      </c>
      <c r="G7114">
        <v>44537</v>
      </c>
      <c r="H7114">
        <v>2021</v>
      </c>
      <c r="I7114" t="s">
        <v>53</v>
      </c>
    </row>
    <row r="7115" spans="1:9" x14ac:dyDescent="0.3">
      <c r="A7115" t="s">
        <v>0</v>
      </c>
      <c r="B7115">
        <v>1022000</v>
      </c>
      <c r="C7115">
        <v>378000</v>
      </c>
      <c r="E7115">
        <v>324000</v>
      </c>
      <c r="G7115">
        <v>44537</v>
      </c>
      <c r="H7115">
        <v>2021</v>
      </c>
      <c r="I7115" t="s">
        <v>53</v>
      </c>
    </row>
    <row r="7116" spans="1:9" x14ac:dyDescent="0.3">
      <c r="A7116" t="s">
        <v>25</v>
      </c>
      <c r="B7116">
        <v>270000</v>
      </c>
      <c r="C7116">
        <v>369000</v>
      </c>
      <c r="D7116">
        <v>108000</v>
      </c>
      <c r="E7116">
        <v>45000</v>
      </c>
      <c r="G7116">
        <v>44537</v>
      </c>
      <c r="H7116">
        <v>2021</v>
      </c>
      <c r="I7116" t="s">
        <v>53</v>
      </c>
    </row>
    <row r="7117" spans="1:9" x14ac:dyDescent="0.3">
      <c r="A7117" t="s">
        <v>15</v>
      </c>
      <c r="C7117">
        <v>108000</v>
      </c>
      <c r="G7117">
        <v>44537</v>
      </c>
      <c r="H7117">
        <v>2021</v>
      </c>
      <c r="I7117" t="s">
        <v>53</v>
      </c>
    </row>
    <row r="7118" spans="1:9" x14ac:dyDescent="0.3">
      <c r="A7118" t="s">
        <v>54</v>
      </c>
      <c r="C7118">
        <v>162000</v>
      </c>
      <c r="G7118">
        <v>44537</v>
      </c>
      <c r="H7118">
        <v>2021</v>
      </c>
      <c r="I7118" t="s">
        <v>53</v>
      </c>
    </row>
    <row r="7119" spans="1:9" x14ac:dyDescent="0.3">
      <c r="A7119" t="s">
        <v>26</v>
      </c>
      <c r="B7119">
        <v>590000</v>
      </c>
      <c r="D7119">
        <v>162000</v>
      </c>
      <c r="G7119">
        <v>44537</v>
      </c>
      <c r="H7119">
        <v>2021</v>
      </c>
      <c r="I7119" t="s">
        <v>53</v>
      </c>
    </row>
    <row r="7120" spans="1:9" x14ac:dyDescent="0.3">
      <c r="A7120" t="s">
        <v>22</v>
      </c>
      <c r="G7120">
        <v>44537</v>
      </c>
      <c r="H7120">
        <v>2021</v>
      </c>
      <c r="I7120" t="s">
        <v>53</v>
      </c>
    </row>
    <row r="7121" spans="1:9" x14ac:dyDescent="0.3">
      <c r="A7121" t="s">
        <v>61</v>
      </c>
      <c r="G7121">
        <v>44537</v>
      </c>
      <c r="H7121">
        <v>2021</v>
      </c>
      <c r="I7121" t="s">
        <v>53</v>
      </c>
    </row>
    <row r="7122" spans="1:9" x14ac:dyDescent="0.3">
      <c r="A7122" t="s">
        <v>19</v>
      </c>
      <c r="B7122">
        <v>162000</v>
      </c>
      <c r="D7122">
        <v>90000</v>
      </c>
      <c r="G7122">
        <v>44537</v>
      </c>
      <c r="H7122">
        <v>2021</v>
      </c>
      <c r="I7122" t="s">
        <v>53</v>
      </c>
    </row>
    <row r="7123" spans="1:9" x14ac:dyDescent="0.3">
      <c r="A7123" t="s">
        <v>14</v>
      </c>
      <c r="B7123">
        <v>216000</v>
      </c>
      <c r="C7123">
        <v>270000</v>
      </c>
      <c r="G7123">
        <v>44537</v>
      </c>
      <c r="H7123">
        <v>2021</v>
      </c>
      <c r="I7123" t="s">
        <v>53</v>
      </c>
    </row>
    <row r="7124" spans="1:9" x14ac:dyDescent="0.3">
      <c r="A7124" t="s">
        <v>24</v>
      </c>
      <c r="G7124">
        <v>44537</v>
      </c>
      <c r="H7124">
        <v>2021</v>
      </c>
      <c r="I7124" t="s">
        <v>53</v>
      </c>
    </row>
    <row r="7125" spans="1:9" x14ac:dyDescent="0.3">
      <c r="A7125" t="s">
        <v>21</v>
      </c>
      <c r="C7125">
        <v>378000</v>
      </c>
      <c r="G7125">
        <v>44537</v>
      </c>
      <c r="H7125">
        <v>2021</v>
      </c>
      <c r="I7125" t="s">
        <v>53</v>
      </c>
    </row>
    <row r="7126" spans="1:9" x14ac:dyDescent="0.3">
      <c r="A7126" t="s">
        <v>65</v>
      </c>
      <c r="G7126">
        <v>44537</v>
      </c>
      <c r="H7126">
        <v>2021</v>
      </c>
      <c r="I7126" t="s">
        <v>53</v>
      </c>
    </row>
    <row r="7127" spans="1:9" x14ac:dyDescent="0.3">
      <c r="A7127" t="s">
        <v>18</v>
      </c>
      <c r="G7127">
        <v>44537</v>
      </c>
      <c r="H7127">
        <v>2021</v>
      </c>
      <c r="I7127" t="s">
        <v>53</v>
      </c>
    </row>
    <row r="7128" spans="1:9" x14ac:dyDescent="0.3">
      <c r="A7128" t="s">
        <v>16</v>
      </c>
      <c r="C7128">
        <v>54000</v>
      </c>
      <c r="G7128">
        <v>44537</v>
      </c>
      <c r="H7128">
        <v>2021</v>
      </c>
      <c r="I7128" t="s">
        <v>53</v>
      </c>
    </row>
    <row r="7129" spans="1:9" x14ac:dyDescent="0.3">
      <c r="A7129" t="s">
        <v>20</v>
      </c>
      <c r="G7129">
        <v>44538</v>
      </c>
      <c r="H7129">
        <v>2021</v>
      </c>
      <c r="I7129" t="s">
        <v>53</v>
      </c>
    </row>
    <row r="7130" spans="1:9" x14ac:dyDescent="0.3">
      <c r="A7130" t="s">
        <v>37</v>
      </c>
      <c r="G7130">
        <v>44538</v>
      </c>
      <c r="H7130">
        <v>2021</v>
      </c>
      <c r="I7130" t="s">
        <v>53</v>
      </c>
    </row>
    <row r="7131" spans="1:9" x14ac:dyDescent="0.3">
      <c r="A7131" t="s">
        <v>17</v>
      </c>
      <c r="B7131">
        <v>104000</v>
      </c>
      <c r="G7131">
        <v>44538</v>
      </c>
      <c r="H7131">
        <v>2021</v>
      </c>
      <c r="I7131" t="s">
        <v>53</v>
      </c>
    </row>
    <row r="7132" spans="1:9" x14ac:dyDescent="0.3">
      <c r="A7132" t="s">
        <v>0</v>
      </c>
      <c r="B7132">
        <v>1022000</v>
      </c>
      <c r="C7132">
        <v>428000</v>
      </c>
      <c r="E7132">
        <v>482000</v>
      </c>
      <c r="G7132">
        <v>44538</v>
      </c>
      <c r="H7132">
        <v>2021</v>
      </c>
      <c r="I7132" t="s">
        <v>53</v>
      </c>
    </row>
    <row r="7133" spans="1:9" x14ac:dyDescent="0.3">
      <c r="A7133" t="s">
        <v>25</v>
      </c>
      <c r="B7133">
        <v>157500</v>
      </c>
      <c r="C7133">
        <v>108000</v>
      </c>
      <c r="D7133">
        <v>108000</v>
      </c>
      <c r="G7133">
        <v>44538</v>
      </c>
      <c r="H7133">
        <v>2021</v>
      </c>
      <c r="I7133" t="s">
        <v>53</v>
      </c>
    </row>
    <row r="7134" spans="1:9" x14ac:dyDescent="0.3">
      <c r="A7134" t="s">
        <v>15</v>
      </c>
      <c r="C7134">
        <v>54000</v>
      </c>
      <c r="G7134">
        <v>44538</v>
      </c>
      <c r="H7134">
        <v>2021</v>
      </c>
      <c r="I7134" t="s">
        <v>53</v>
      </c>
    </row>
    <row r="7135" spans="1:9" x14ac:dyDescent="0.3">
      <c r="A7135" t="s">
        <v>54</v>
      </c>
      <c r="B7135">
        <v>216000</v>
      </c>
      <c r="C7135">
        <v>162000</v>
      </c>
      <c r="G7135">
        <v>44538</v>
      </c>
      <c r="H7135">
        <v>2021</v>
      </c>
      <c r="I7135" t="s">
        <v>53</v>
      </c>
    </row>
    <row r="7136" spans="1:9" x14ac:dyDescent="0.3">
      <c r="A7136" t="s">
        <v>26</v>
      </c>
      <c r="B7136">
        <v>103500</v>
      </c>
      <c r="D7136">
        <v>158000</v>
      </c>
      <c r="G7136">
        <v>44538</v>
      </c>
      <c r="H7136">
        <v>2021</v>
      </c>
      <c r="I7136" t="s">
        <v>53</v>
      </c>
    </row>
    <row r="7137" spans="1:9" x14ac:dyDescent="0.3">
      <c r="A7137" t="s">
        <v>22</v>
      </c>
      <c r="G7137">
        <v>44538</v>
      </c>
      <c r="H7137">
        <v>2021</v>
      </c>
      <c r="I7137" t="s">
        <v>53</v>
      </c>
    </row>
    <row r="7138" spans="1:9" x14ac:dyDescent="0.3">
      <c r="A7138" t="s">
        <v>61</v>
      </c>
      <c r="G7138">
        <v>44538</v>
      </c>
      <c r="H7138">
        <v>2021</v>
      </c>
      <c r="I7138" t="s">
        <v>53</v>
      </c>
    </row>
    <row r="7139" spans="1:9" x14ac:dyDescent="0.3">
      <c r="A7139" t="s">
        <v>19</v>
      </c>
      <c r="B7139">
        <v>100000</v>
      </c>
      <c r="D7139">
        <v>45000</v>
      </c>
      <c r="G7139">
        <v>44538</v>
      </c>
      <c r="H7139">
        <v>2021</v>
      </c>
      <c r="I7139" t="s">
        <v>53</v>
      </c>
    </row>
    <row r="7140" spans="1:9" x14ac:dyDescent="0.3">
      <c r="A7140" t="s">
        <v>14</v>
      </c>
      <c r="B7140">
        <v>648000</v>
      </c>
      <c r="C7140">
        <v>270000</v>
      </c>
      <c r="F7140">
        <v>540000</v>
      </c>
      <c r="G7140">
        <v>44538</v>
      </c>
      <c r="H7140">
        <v>2021</v>
      </c>
      <c r="I7140" t="s">
        <v>53</v>
      </c>
    </row>
    <row r="7141" spans="1:9" x14ac:dyDescent="0.3">
      <c r="A7141" t="s">
        <v>24</v>
      </c>
      <c r="G7141">
        <v>44538</v>
      </c>
      <c r="H7141">
        <v>2021</v>
      </c>
      <c r="I7141" t="s">
        <v>53</v>
      </c>
    </row>
    <row r="7142" spans="1:9" x14ac:dyDescent="0.3">
      <c r="A7142" t="s">
        <v>21</v>
      </c>
      <c r="C7142">
        <v>432000</v>
      </c>
      <c r="G7142">
        <v>44538</v>
      </c>
      <c r="H7142">
        <v>2021</v>
      </c>
      <c r="I7142" t="s">
        <v>53</v>
      </c>
    </row>
    <row r="7143" spans="1:9" x14ac:dyDescent="0.3">
      <c r="A7143" t="s">
        <v>65</v>
      </c>
      <c r="G7143">
        <v>44538</v>
      </c>
      <c r="H7143">
        <v>2021</v>
      </c>
      <c r="I7143" t="s">
        <v>53</v>
      </c>
    </row>
    <row r="7144" spans="1:9" x14ac:dyDescent="0.3">
      <c r="A7144" t="s">
        <v>18</v>
      </c>
      <c r="C7144">
        <v>108000</v>
      </c>
      <c r="G7144">
        <v>44538</v>
      </c>
      <c r="H7144">
        <v>2021</v>
      </c>
      <c r="I7144" t="s">
        <v>53</v>
      </c>
    </row>
    <row r="7145" spans="1:9" x14ac:dyDescent="0.3">
      <c r="A7145" t="s">
        <v>16</v>
      </c>
      <c r="C7145">
        <v>54000</v>
      </c>
      <c r="G7145">
        <v>44538</v>
      </c>
      <c r="H7145">
        <v>2021</v>
      </c>
      <c r="I7145" t="s">
        <v>53</v>
      </c>
    </row>
    <row r="7146" spans="1:9" x14ac:dyDescent="0.3">
      <c r="A7146" t="s">
        <v>20</v>
      </c>
      <c r="G7146">
        <v>44539</v>
      </c>
      <c r="H7146">
        <v>2021</v>
      </c>
      <c r="I7146" t="s">
        <v>53</v>
      </c>
    </row>
    <row r="7147" spans="1:9" x14ac:dyDescent="0.3">
      <c r="A7147" t="s">
        <v>37</v>
      </c>
      <c r="G7147">
        <v>44539</v>
      </c>
      <c r="H7147">
        <v>2021</v>
      </c>
      <c r="I7147" t="s">
        <v>53</v>
      </c>
    </row>
    <row r="7148" spans="1:9" x14ac:dyDescent="0.3">
      <c r="A7148" t="s">
        <v>17</v>
      </c>
      <c r="G7148">
        <v>44539</v>
      </c>
      <c r="H7148">
        <v>2021</v>
      </c>
      <c r="I7148" t="s">
        <v>53</v>
      </c>
    </row>
    <row r="7149" spans="1:9" x14ac:dyDescent="0.3">
      <c r="A7149" t="s">
        <v>0</v>
      </c>
      <c r="E7149">
        <v>999000</v>
      </c>
      <c r="G7149">
        <v>44539</v>
      </c>
      <c r="H7149">
        <v>2021</v>
      </c>
      <c r="I7149" t="s">
        <v>53</v>
      </c>
    </row>
    <row r="7150" spans="1:9" x14ac:dyDescent="0.3">
      <c r="A7150" t="s">
        <v>25</v>
      </c>
      <c r="G7150">
        <v>44539</v>
      </c>
      <c r="H7150">
        <v>2021</v>
      </c>
      <c r="I7150" t="s">
        <v>53</v>
      </c>
    </row>
    <row r="7151" spans="1:9" x14ac:dyDescent="0.3">
      <c r="A7151" t="s">
        <v>15</v>
      </c>
      <c r="G7151">
        <v>44539</v>
      </c>
      <c r="H7151">
        <v>2021</v>
      </c>
      <c r="I7151" t="s">
        <v>53</v>
      </c>
    </row>
    <row r="7152" spans="1:9" x14ac:dyDescent="0.3">
      <c r="A7152" t="s">
        <v>54</v>
      </c>
      <c r="G7152">
        <v>44539</v>
      </c>
      <c r="H7152">
        <v>2021</v>
      </c>
      <c r="I7152" t="s">
        <v>53</v>
      </c>
    </row>
    <row r="7153" spans="1:9" x14ac:dyDescent="0.3">
      <c r="A7153" t="s">
        <v>26</v>
      </c>
      <c r="D7153">
        <v>162000</v>
      </c>
      <c r="G7153">
        <v>44539</v>
      </c>
      <c r="H7153">
        <v>2021</v>
      </c>
      <c r="I7153" t="s">
        <v>53</v>
      </c>
    </row>
    <row r="7154" spans="1:9" x14ac:dyDescent="0.3">
      <c r="A7154" t="s">
        <v>22</v>
      </c>
      <c r="G7154">
        <v>44539</v>
      </c>
      <c r="H7154">
        <v>2021</v>
      </c>
      <c r="I7154" t="s">
        <v>53</v>
      </c>
    </row>
    <row r="7155" spans="1:9" x14ac:dyDescent="0.3">
      <c r="A7155" t="s">
        <v>61</v>
      </c>
      <c r="G7155">
        <v>44539</v>
      </c>
      <c r="H7155">
        <v>2021</v>
      </c>
      <c r="I7155" t="s">
        <v>53</v>
      </c>
    </row>
    <row r="7156" spans="1:9" x14ac:dyDescent="0.3">
      <c r="A7156" t="s">
        <v>19</v>
      </c>
      <c r="C7156">
        <v>486000</v>
      </c>
      <c r="G7156">
        <v>44539</v>
      </c>
      <c r="H7156">
        <v>2021</v>
      </c>
      <c r="I7156" t="s">
        <v>53</v>
      </c>
    </row>
    <row r="7157" spans="1:9" x14ac:dyDescent="0.3">
      <c r="A7157" t="s">
        <v>14</v>
      </c>
      <c r="F7157">
        <v>486000</v>
      </c>
      <c r="G7157">
        <v>44539</v>
      </c>
      <c r="H7157">
        <v>2021</v>
      </c>
      <c r="I7157" t="s">
        <v>53</v>
      </c>
    </row>
    <row r="7158" spans="1:9" x14ac:dyDescent="0.3">
      <c r="A7158" t="s">
        <v>24</v>
      </c>
      <c r="G7158">
        <v>44539</v>
      </c>
      <c r="H7158">
        <v>2021</v>
      </c>
      <c r="I7158" t="s">
        <v>53</v>
      </c>
    </row>
    <row r="7159" spans="1:9" x14ac:dyDescent="0.3">
      <c r="A7159" t="s">
        <v>21</v>
      </c>
      <c r="G7159">
        <v>44539</v>
      </c>
      <c r="H7159">
        <v>2021</v>
      </c>
      <c r="I7159" t="s">
        <v>53</v>
      </c>
    </row>
    <row r="7160" spans="1:9" x14ac:dyDescent="0.3">
      <c r="A7160" t="s">
        <v>65</v>
      </c>
      <c r="G7160">
        <v>44539</v>
      </c>
      <c r="H7160">
        <v>2021</v>
      </c>
      <c r="I7160" t="s">
        <v>53</v>
      </c>
    </row>
    <row r="7161" spans="1:9" x14ac:dyDescent="0.3">
      <c r="A7161" t="s">
        <v>18</v>
      </c>
      <c r="G7161">
        <v>44539</v>
      </c>
      <c r="H7161">
        <v>2021</v>
      </c>
      <c r="I7161" t="s">
        <v>53</v>
      </c>
    </row>
    <row r="7162" spans="1:9" x14ac:dyDescent="0.3">
      <c r="A7162" t="s">
        <v>16</v>
      </c>
      <c r="G7162">
        <v>44539</v>
      </c>
      <c r="H7162">
        <v>2021</v>
      </c>
      <c r="I7162" t="s">
        <v>53</v>
      </c>
    </row>
    <row r="7163" spans="1:9" x14ac:dyDescent="0.3">
      <c r="A7163" t="s">
        <v>20</v>
      </c>
      <c r="G7163">
        <v>44540</v>
      </c>
      <c r="H7163">
        <v>2021</v>
      </c>
      <c r="I7163" t="s">
        <v>53</v>
      </c>
    </row>
    <row r="7164" spans="1:9" x14ac:dyDescent="0.3">
      <c r="A7164" t="s">
        <v>37</v>
      </c>
      <c r="G7164">
        <v>44540</v>
      </c>
      <c r="H7164">
        <v>2021</v>
      </c>
      <c r="I7164" t="s">
        <v>53</v>
      </c>
    </row>
    <row r="7165" spans="1:9" x14ac:dyDescent="0.3">
      <c r="A7165" t="s">
        <v>17</v>
      </c>
      <c r="G7165">
        <v>44540</v>
      </c>
      <c r="H7165">
        <v>2021</v>
      </c>
      <c r="I7165" t="s">
        <v>53</v>
      </c>
    </row>
    <row r="7166" spans="1:9" x14ac:dyDescent="0.3">
      <c r="A7166" t="s">
        <v>0</v>
      </c>
      <c r="E7166">
        <v>1102500</v>
      </c>
      <c r="G7166">
        <v>44540</v>
      </c>
      <c r="H7166">
        <v>2021</v>
      </c>
      <c r="I7166" t="s">
        <v>53</v>
      </c>
    </row>
    <row r="7167" spans="1:9" x14ac:dyDescent="0.3">
      <c r="A7167" t="s">
        <v>25</v>
      </c>
      <c r="F7167">
        <v>153000</v>
      </c>
      <c r="G7167">
        <v>44540</v>
      </c>
      <c r="H7167">
        <v>2021</v>
      </c>
      <c r="I7167" t="s">
        <v>53</v>
      </c>
    </row>
    <row r="7168" spans="1:9" x14ac:dyDescent="0.3">
      <c r="A7168" t="s">
        <v>15</v>
      </c>
      <c r="G7168">
        <v>44540</v>
      </c>
      <c r="H7168">
        <v>2021</v>
      </c>
      <c r="I7168" t="s">
        <v>53</v>
      </c>
    </row>
    <row r="7169" spans="1:9" x14ac:dyDescent="0.3">
      <c r="A7169" t="s">
        <v>54</v>
      </c>
      <c r="G7169">
        <v>44540</v>
      </c>
      <c r="H7169">
        <v>2021</v>
      </c>
      <c r="I7169" t="s">
        <v>53</v>
      </c>
    </row>
    <row r="7170" spans="1:9" x14ac:dyDescent="0.3">
      <c r="A7170" t="s">
        <v>26</v>
      </c>
      <c r="G7170">
        <v>44540</v>
      </c>
      <c r="H7170">
        <v>2021</v>
      </c>
      <c r="I7170" t="s">
        <v>53</v>
      </c>
    </row>
    <row r="7171" spans="1:9" x14ac:dyDescent="0.3">
      <c r="A7171" t="s">
        <v>22</v>
      </c>
      <c r="G7171">
        <v>44540</v>
      </c>
      <c r="H7171">
        <v>2021</v>
      </c>
      <c r="I7171" t="s">
        <v>53</v>
      </c>
    </row>
    <row r="7172" spans="1:9" x14ac:dyDescent="0.3">
      <c r="A7172" t="s">
        <v>61</v>
      </c>
      <c r="G7172">
        <v>44540</v>
      </c>
      <c r="H7172">
        <v>2021</v>
      </c>
      <c r="I7172" t="s">
        <v>53</v>
      </c>
    </row>
    <row r="7173" spans="1:9" x14ac:dyDescent="0.3">
      <c r="A7173" t="s">
        <v>19</v>
      </c>
      <c r="C7173">
        <v>792000</v>
      </c>
      <c r="G7173">
        <v>44540</v>
      </c>
      <c r="H7173">
        <v>2021</v>
      </c>
      <c r="I7173" t="s">
        <v>53</v>
      </c>
    </row>
    <row r="7174" spans="1:9" x14ac:dyDescent="0.3">
      <c r="A7174" t="s">
        <v>14</v>
      </c>
      <c r="F7174">
        <v>162000</v>
      </c>
      <c r="G7174">
        <v>44540</v>
      </c>
      <c r="H7174">
        <v>2021</v>
      </c>
      <c r="I7174" t="s">
        <v>53</v>
      </c>
    </row>
    <row r="7175" spans="1:9" x14ac:dyDescent="0.3">
      <c r="A7175" t="s">
        <v>24</v>
      </c>
      <c r="G7175">
        <v>44540</v>
      </c>
      <c r="H7175">
        <v>2021</v>
      </c>
      <c r="I7175" t="s">
        <v>53</v>
      </c>
    </row>
    <row r="7176" spans="1:9" x14ac:dyDescent="0.3">
      <c r="A7176" t="s">
        <v>21</v>
      </c>
      <c r="G7176">
        <v>44540</v>
      </c>
      <c r="H7176">
        <v>2021</v>
      </c>
      <c r="I7176" t="s">
        <v>53</v>
      </c>
    </row>
    <row r="7177" spans="1:9" x14ac:dyDescent="0.3">
      <c r="A7177" t="s">
        <v>65</v>
      </c>
      <c r="G7177">
        <v>44540</v>
      </c>
      <c r="H7177">
        <v>2021</v>
      </c>
      <c r="I7177" t="s">
        <v>53</v>
      </c>
    </row>
    <row r="7178" spans="1:9" x14ac:dyDescent="0.3">
      <c r="A7178" t="s">
        <v>18</v>
      </c>
      <c r="G7178">
        <v>44540</v>
      </c>
      <c r="H7178">
        <v>2021</v>
      </c>
      <c r="I7178" t="s">
        <v>53</v>
      </c>
    </row>
    <row r="7179" spans="1:9" x14ac:dyDescent="0.3">
      <c r="A7179" t="s">
        <v>16</v>
      </c>
      <c r="G7179">
        <v>44540</v>
      </c>
      <c r="H7179">
        <v>2021</v>
      </c>
      <c r="I7179" t="s">
        <v>53</v>
      </c>
    </row>
    <row r="7180" spans="1:9" x14ac:dyDescent="0.3">
      <c r="A7180" t="s">
        <v>20</v>
      </c>
      <c r="G7180">
        <v>44543</v>
      </c>
      <c r="H7180">
        <v>2021</v>
      </c>
      <c r="I7180" t="s">
        <v>53</v>
      </c>
    </row>
    <row r="7181" spans="1:9" x14ac:dyDescent="0.3">
      <c r="A7181" t="s">
        <v>37</v>
      </c>
      <c r="G7181">
        <v>44543</v>
      </c>
      <c r="H7181">
        <v>2021</v>
      </c>
      <c r="I7181" t="s">
        <v>53</v>
      </c>
    </row>
    <row r="7182" spans="1:9" x14ac:dyDescent="0.3">
      <c r="A7182" t="s">
        <v>17</v>
      </c>
      <c r="B7182">
        <v>261000</v>
      </c>
      <c r="C7182">
        <v>139500</v>
      </c>
      <c r="F7182">
        <v>108000</v>
      </c>
      <c r="G7182">
        <v>44543</v>
      </c>
      <c r="H7182">
        <v>2021</v>
      </c>
      <c r="I7182" t="s">
        <v>53</v>
      </c>
    </row>
    <row r="7183" spans="1:9" x14ac:dyDescent="0.3">
      <c r="A7183" t="s">
        <v>0</v>
      </c>
      <c r="B7183">
        <v>270000</v>
      </c>
      <c r="C7183">
        <v>270000</v>
      </c>
      <c r="G7183">
        <v>44543</v>
      </c>
      <c r="H7183">
        <v>2021</v>
      </c>
      <c r="I7183" t="s">
        <v>53</v>
      </c>
    </row>
    <row r="7184" spans="1:9" x14ac:dyDescent="0.3">
      <c r="A7184" t="s">
        <v>25</v>
      </c>
      <c r="B7184">
        <v>103500</v>
      </c>
      <c r="C7184">
        <v>270000</v>
      </c>
      <c r="F7184">
        <v>212000</v>
      </c>
      <c r="G7184">
        <v>44543</v>
      </c>
      <c r="H7184">
        <v>2021</v>
      </c>
      <c r="I7184" t="s">
        <v>53</v>
      </c>
    </row>
    <row r="7185" spans="1:9" x14ac:dyDescent="0.3">
      <c r="A7185" t="s">
        <v>15</v>
      </c>
      <c r="B7185">
        <v>216000</v>
      </c>
      <c r="C7185">
        <v>158000</v>
      </c>
      <c r="G7185">
        <v>44543</v>
      </c>
      <c r="H7185">
        <v>2021</v>
      </c>
      <c r="I7185" t="s">
        <v>53</v>
      </c>
    </row>
    <row r="7186" spans="1:9" x14ac:dyDescent="0.3">
      <c r="A7186" t="s">
        <v>54</v>
      </c>
      <c r="C7186">
        <v>54000</v>
      </c>
      <c r="G7186">
        <v>44543</v>
      </c>
      <c r="H7186">
        <v>2021</v>
      </c>
      <c r="I7186" t="s">
        <v>53</v>
      </c>
    </row>
    <row r="7187" spans="1:9" x14ac:dyDescent="0.3">
      <c r="A7187" t="s">
        <v>26</v>
      </c>
      <c r="B7187">
        <v>90000</v>
      </c>
      <c r="G7187">
        <v>44543</v>
      </c>
      <c r="H7187">
        <v>2021</v>
      </c>
      <c r="I7187" t="s">
        <v>53</v>
      </c>
    </row>
    <row r="7188" spans="1:9" x14ac:dyDescent="0.3">
      <c r="A7188" t="s">
        <v>22</v>
      </c>
      <c r="G7188">
        <v>44543</v>
      </c>
      <c r="H7188">
        <v>2021</v>
      </c>
      <c r="I7188" t="s">
        <v>53</v>
      </c>
    </row>
    <row r="7189" spans="1:9" x14ac:dyDescent="0.3">
      <c r="A7189" t="s">
        <v>61</v>
      </c>
      <c r="G7189">
        <v>44543</v>
      </c>
      <c r="H7189">
        <v>2021</v>
      </c>
      <c r="I7189" t="s">
        <v>53</v>
      </c>
    </row>
    <row r="7190" spans="1:9" x14ac:dyDescent="0.3">
      <c r="A7190" t="s">
        <v>19</v>
      </c>
      <c r="B7190">
        <v>54000</v>
      </c>
      <c r="F7190">
        <v>216000</v>
      </c>
      <c r="G7190">
        <v>44543</v>
      </c>
      <c r="H7190">
        <v>2021</v>
      </c>
      <c r="I7190" t="s">
        <v>53</v>
      </c>
    </row>
    <row r="7191" spans="1:9" x14ac:dyDescent="0.3">
      <c r="A7191" t="s">
        <v>14</v>
      </c>
      <c r="B7191">
        <v>1076000</v>
      </c>
      <c r="C7191">
        <v>157500</v>
      </c>
      <c r="G7191">
        <v>44543</v>
      </c>
      <c r="H7191">
        <v>2021</v>
      </c>
      <c r="I7191" t="s">
        <v>53</v>
      </c>
    </row>
    <row r="7192" spans="1:9" x14ac:dyDescent="0.3">
      <c r="A7192" t="s">
        <v>24</v>
      </c>
      <c r="G7192">
        <v>44543</v>
      </c>
      <c r="H7192">
        <v>2021</v>
      </c>
      <c r="I7192" t="s">
        <v>53</v>
      </c>
    </row>
    <row r="7193" spans="1:9" x14ac:dyDescent="0.3">
      <c r="A7193" t="s">
        <v>21</v>
      </c>
      <c r="B7193">
        <v>162000</v>
      </c>
      <c r="C7193">
        <v>162000</v>
      </c>
      <c r="G7193">
        <v>44543</v>
      </c>
      <c r="H7193">
        <v>2021</v>
      </c>
      <c r="I7193" t="s">
        <v>53</v>
      </c>
    </row>
    <row r="7194" spans="1:9" x14ac:dyDescent="0.3">
      <c r="A7194" t="s">
        <v>65</v>
      </c>
      <c r="G7194">
        <v>44543</v>
      </c>
      <c r="H7194">
        <v>2021</v>
      </c>
      <c r="I7194" t="s">
        <v>53</v>
      </c>
    </row>
    <row r="7195" spans="1:9" x14ac:dyDescent="0.3">
      <c r="A7195" t="s">
        <v>18</v>
      </c>
      <c r="C7195">
        <v>162000</v>
      </c>
      <c r="G7195">
        <v>44543</v>
      </c>
      <c r="H7195">
        <v>2021</v>
      </c>
      <c r="I7195" t="s">
        <v>53</v>
      </c>
    </row>
    <row r="7196" spans="1:9" x14ac:dyDescent="0.3">
      <c r="A7196" t="s">
        <v>16</v>
      </c>
      <c r="B7196">
        <v>103500</v>
      </c>
      <c r="C7196">
        <v>315000</v>
      </c>
      <c r="G7196">
        <v>44543</v>
      </c>
      <c r="H7196">
        <v>2021</v>
      </c>
      <c r="I7196" t="s">
        <v>53</v>
      </c>
    </row>
    <row r="7197" spans="1:9" x14ac:dyDescent="0.3">
      <c r="A7197" t="s">
        <v>20</v>
      </c>
      <c r="G7197">
        <v>44544</v>
      </c>
      <c r="H7197">
        <v>2021</v>
      </c>
      <c r="I7197" t="s">
        <v>53</v>
      </c>
    </row>
    <row r="7198" spans="1:9" x14ac:dyDescent="0.3">
      <c r="A7198" t="s">
        <v>37</v>
      </c>
      <c r="G7198">
        <v>44544</v>
      </c>
      <c r="H7198">
        <v>2021</v>
      </c>
      <c r="I7198" t="s">
        <v>53</v>
      </c>
    </row>
    <row r="7199" spans="1:9" x14ac:dyDescent="0.3">
      <c r="A7199" t="s">
        <v>17</v>
      </c>
      <c r="B7199">
        <v>378000</v>
      </c>
      <c r="F7199">
        <v>45000</v>
      </c>
      <c r="G7199">
        <v>44544</v>
      </c>
      <c r="H7199">
        <v>2021</v>
      </c>
      <c r="I7199" t="s">
        <v>53</v>
      </c>
    </row>
    <row r="7200" spans="1:9" x14ac:dyDescent="0.3">
      <c r="A7200" t="s">
        <v>0</v>
      </c>
      <c r="B7200">
        <v>486000</v>
      </c>
      <c r="C7200">
        <v>324000</v>
      </c>
      <c r="E7200">
        <v>540000</v>
      </c>
      <c r="G7200">
        <v>44544</v>
      </c>
      <c r="H7200">
        <v>2021</v>
      </c>
      <c r="I7200" t="s">
        <v>53</v>
      </c>
    </row>
    <row r="7201" spans="1:9" x14ac:dyDescent="0.3">
      <c r="A7201" t="s">
        <v>25</v>
      </c>
      <c r="B7201">
        <v>270000</v>
      </c>
      <c r="C7201">
        <v>157500</v>
      </c>
      <c r="F7201">
        <v>135000</v>
      </c>
      <c r="G7201">
        <v>44544</v>
      </c>
      <c r="H7201">
        <v>2021</v>
      </c>
      <c r="I7201" t="s">
        <v>53</v>
      </c>
    </row>
    <row r="7202" spans="1:9" x14ac:dyDescent="0.3">
      <c r="A7202" t="s">
        <v>15</v>
      </c>
      <c r="B7202">
        <v>324000</v>
      </c>
      <c r="G7202">
        <v>44544</v>
      </c>
      <c r="H7202">
        <v>2021</v>
      </c>
      <c r="I7202" t="s">
        <v>53</v>
      </c>
    </row>
    <row r="7203" spans="1:9" x14ac:dyDescent="0.3">
      <c r="A7203" t="s">
        <v>54</v>
      </c>
      <c r="C7203">
        <v>54000</v>
      </c>
      <c r="G7203">
        <v>44544</v>
      </c>
      <c r="H7203">
        <v>2021</v>
      </c>
      <c r="I7203" t="s">
        <v>53</v>
      </c>
    </row>
    <row r="7204" spans="1:9" x14ac:dyDescent="0.3">
      <c r="A7204" t="s">
        <v>26</v>
      </c>
      <c r="C7204">
        <v>157500</v>
      </c>
      <c r="G7204">
        <v>44544</v>
      </c>
      <c r="H7204">
        <v>2021</v>
      </c>
      <c r="I7204" t="s">
        <v>53</v>
      </c>
    </row>
    <row r="7205" spans="1:9" x14ac:dyDescent="0.3">
      <c r="A7205" t="s">
        <v>22</v>
      </c>
      <c r="G7205">
        <v>44544</v>
      </c>
      <c r="H7205">
        <v>2021</v>
      </c>
      <c r="I7205" t="s">
        <v>53</v>
      </c>
    </row>
    <row r="7206" spans="1:9" x14ac:dyDescent="0.3">
      <c r="A7206" t="s">
        <v>61</v>
      </c>
      <c r="G7206">
        <v>44544</v>
      </c>
      <c r="H7206">
        <v>2021</v>
      </c>
      <c r="I7206" t="s">
        <v>53</v>
      </c>
    </row>
    <row r="7207" spans="1:9" x14ac:dyDescent="0.3">
      <c r="A7207" t="s">
        <v>19</v>
      </c>
      <c r="B7207">
        <v>162000</v>
      </c>
      <c r="F7207">
        <v>324000</v>
      </c>
      <c r="G7207">
        <v>44544</v>
      </c>
      <c r="H7207">
        <v>2021</v>
      </c>
      <c r="I7207" t="s">
        <v>53</v>
      </c>
    </row>
    <row r="7208" spans="1:9" x14ac:dyDescent="0.3">
      <c r="A7208" t="s">
        <v>14</v>
      </c>
      <c r="B7208">
        <v>216000</v>
      </c>
      <c r="C7208">
        <v>162000</v>
      </c>
      <c r="G7208">
        <v>44544</v>
      </c>
      <c r="H7208">
        <v>2021</v>
      </c>
      <c r="I7208" t="s">
        <v>53</v>
      </c>
    </row>
    <row r="7209" spans="1:9" x14ac:dyDescent="0.3">
      <c r="A7209" t="s">
        <v>24</v>
      </c>
      <c r="G7209">
        <v>44544</v>
      </c>
      <c r="H7209">
        <v>2021</v>
      </c>
      <c r="I7209" t="s">
        <v>53</v>
      </c>
    </row>
    <row r="7210" spans="1:9" x14ac:dyDescent="0.3">
      <c r="A7210" t="s">
        <v>21</v>
      </c>
      <c r="B7210">
        <v>162000</v>
      </c>
      <c r="C7210">
        <v>108000</v>
      </c>
      <c r="G7210">
        <v>44544</v>
      </c>
      <c r="H7210">
        <v>2021</v>
      </c>
      <c r="I7210" t="s">
        <v>53</v>
      </c>
    </row>
    <row r="7211" spans="1:9" x14ac:dyDescent="0.3">
      <c r="A7211" t="s">
        <v>65</v>
      </c>
      <c r="G7211">
        <v>44544</v>
      </c>
      <c r="H7211">
        <v>2021</v>
      </c>
      <c r="I7211" t="s">
        <v>53</v>
      </c>
    </row>
    <row r="7212" spans="1:9" x14ac:dyDescent="0.3">
      <c r="A7212" t="s">
        <v>18</v>
      </c>
      <c r="C7212">
        <v>108000</v>
      </c>
      <c r="G7212">
        <v>44544</v>
      </c>
      <c r="H7212">
        <v>2021</v>
      </c>
      <c r="I7212" t="s">
        <v>53</v>
      </c>
    </row>
    <row r="7213" spans="1:9" x14ac:dyDescent="0.3">
      <c r="A7213" t="s">
        <v>16</v>
      </c>
      <c r="B7213">
        <v>270000</v>
      </c>
      <c r="C7213">
        <v>211500</v>
      </c>
      <c r="G7213">
        <v>44544</v>
      </c>
      <c r="H7213">
        <v>2021</v>
      </c>
      <c r="I7213" t="s">
        <v>53</v>
      </c>
    </row>
    <row r="7214" spans="1:9" x14ac:dyDescent="0.3">
      <c r="A7214" t="s">
        <v>20</v>
      </c>
      <c r="G7214">
        <v>44545</v>
      </c>
      <c r="H7214">
        <v>2021</v>
      </c>
      <c r="I7214" t="s">
        <v>53</v>
      </c>
    </row>
    <row r="7215" spans="1:9" x14ac:dyDescent="0.3">
      <c r="A7215" t="s">
        <v>37</v>
      </c>
      <c r="G7215">
        <v>44545</v>
      </c>
      <c r="H7215">
        <v>2021</v>
      </c>
      <c r="I7215" t="s">
        <v>53</v>
      </c>
    </row>
    <row r="7216" spans="1:9" x14ac:dyDescent="0.3">
      <c r="A7216" t="s">
        <v>17</v>
      </c>
      <c r="C7216">
        <v>157500</v>
      </c>
      <c r="E7216">
        <v>54000</v>
      </c>
      <c r="F7216">
        <v>216000</v>
      </c>
      <c r="G7216">
        <v>44545</v>
      </c>
      <c r="H7216">
        <v>2021</v>
      </c>
      <c r="I7216" t="s">
        <v>53</v>
      </c>
    </row>
    <row r="7217" spans="1:9" x14ac:dyDescent="0.3">
      <c r="A7217" t="s">
        <v>0</v>
      </c>
      <c r="B7217">
        <v>324000</v>
      </c>
      <c r="C7217">
        <v>262000</v>
      </c>
      <c r="E7217">
        <v>540000</v>
      </c>
      <c r="G7217">
        <v>44545</v>
      </c>
      <c r="H7217">
        <v>2021</v>
      </c>
      <c r="I7217" t="s">
        <v>53</v>
      </c>
    </row>
    <row r="7218" spans="1:9" x14ac:dyDescent="0.3">
      <c r="A7218" t="s">
        <v>25</v>
      </c>
      <c r="B7218">
        <v>203000</v>
      </c>
      <c r="C7218">
        <v>54000</v>
      </c>
      <c r="G7218">
        <v>44545</v>
      </c>
      <c r="H7218">
        <v>2021</v>
      </c>
      <c r="I7218" t="s">
        <v>53</v>
      </c>
    </row>
    <row r="7219" spans="1:9" x14ac:dyDescent="0.3">
      <c r="A7219" t="s">
        <v>15</v>
      </c>
      <c r="B7219">
        <v>316000</v>
      </c>
      <c r="C7219">
        <v>216000</v>
      </c>
      <c r="D7219">
        <v>100000</v>
      </c>
      <c r="E7219">
        <v>54000</v>
      </c>
      <c r="G7219">
        <v>44545</v>
      </c>
      <c r="H7219">
        <v>2021</v>
      </c>
      <c r="I7219" t="s">
        <v>53</v>
      </c>
    </row>
    <row r="7220" spans="1:9" x14ac:dyDescent="0.3">
      <c r="A7220" t="s">
        <v>54</v>
      </c>
      <c r="C7220">
        <v>162000</v>
      </c>
      <c r="G7220">
        <v>44545</v>
      </c>
      <c r="H7220">
        <v>2021</v>
      </c>
      <c r="I7220" t="s">
        <v>53</v>
      </c>
    </row>
    <row r="7221" spans="1:9" x14ac:dyDescent="0.3">
      <c r="A7221" t="s">
        <v>26</v>
      </c>
      <c r="C7221">
        <v>54000</v>
      </c>
      <c r="E7221">
        <v>108000</v>
      </c>
      <c r="G7221">
        <v>44545</v>
      </c>
      <c r="H7221">
        <v>2021</v>
      </c>
      <c r="I7221" t="s">
        <v>53</v>
      </c>
    </row>
    <row r="7222" spans="1:9" x14ac:dyDescent="0.3">
      <c r="A7222" t="s">
        <v>22</v>
      </c>
      <c r="G7222">
        <v>44545</v>
      </c>
      <c r="H7222">
        <v>2021</v>
      </c>
      <c r="I7222" t="s">
        <v>53</v>
      </c>
    </row>
    <row r="7223" spans="1:9" x14ac:dyDescent="0.3">
      <c r="A7223" t="s">
        <v>61</v>
      </c>
      <c r="G7223">
        <v>44545</v>
      </c>
      <c r="H7223">
        <v>2021</v>
      </c>
      <c r="I7223" t="s">
        <v>53</v>
      </c>
    </row>
    <row r="7224" spans="1:9" x14ac:dyDescent="0.3">
      <c r="A7224" t="s">
        <v>19</v>
      </c>
      <c r="B7224">
        <v>261000</v>
      </c>
      <c r="F7224">
        <v>324000</v>
      </c>
      <c r="G7224">
        <v>44545</v>
      </c>
      <c r="H7224">
        <v>2021</v>
      </c>
      <c r="I7224" t="s">
        <v>53</v>
      </c>
    </row>
    <row r="7225" spans="1:9" x14ac:dyDescent="0.3">
      <c r="A7225" t="s">
        <v>14</v>
      </c>
      <c r="B7225">
        <v>378000</v>
      </c>
      <c r="C7225">
        <v>49500</v>
      </c>
      <c r="G7225">
        <v>44545</v>
      </c>
      <c r="H7225">
        <v>2021</v>
      </c>
      <c r="I7225" t="s">
        <v>53</v>
      </c>
    </row>
    <row r="7226" spans="1:9" x14ac:dyDescent="0.3">
      <c r="A7226" t="s">
        <v>24</v>
      </c>
      <c r="G7226">
        <v>44545</v>
      </c>
      <c r="H7226">
        <v>2021</v>
      </c>
      <c r="I7226" t="s">
        <v>53</v>
      </c>
    </row>
    <row r="7227" spans="1:9" x14ac:dyDescent="0.3">
      <c r="A7227" t="s">
        <v>21</v>
      </c>
      <c r="B7227">
        <v>216000</v>
      </c>
      <c r="G7227">
        <v>44545</v>
      </c>
      <c r="H7227">
        <v>2021</v>
      </c>
      <c r="I7227" t="s">
        <v>53</v>
      </c>
    </row>
    <row r="7228" spans="1:9" x14ac:dyDescent="0.3">
      <c r="A7228" t="s">
        <v>65</v>
      </c>
      <c r="G7228">
        <v>44545</v>
      </c>
      <c r="H7228">
        <v>2021</v>
      </c>
      <c r="I7228" t="s">
        <v>53</v>
      </c>
    </row>
    <row r="7229" spans="1:9" x14ac:dyDescent="0.3">
      <c r="A7229" t="s">
        <v>18</v>
      </c>
      <c r="B7229">
        <v>50000</v>
      </c>
      <c r="C7229">
        <v>108000</v>
      </c>
      <c r="G7229">
        <v>44545</v>
      </c>
      <c r="H7229">
        <v>2021</v>
      </c>
      <c r="I7229" t="s">
        <v>53</v>
      </c>
    </row>
    <row r="7230" spans="1:9" x14ac:dyDescent="0.3">
      <c r="A7230" t="s">
        <v>16</v>
      </c>
      <c r="B7230">
        <v>207000</v>
      </c>
      <c r="C7230">
        <v>162000</v>
      </c>
      <c r="E7230">
        <v>54000</v>
      </c>
      <c r="G7230">
        <v>44545</v>
      </c>
      <c r="H7230">
        <v>2021</v>
      </c>
      <c r="I7230" t="s">
        <v>53</v>
      </c>
    </row>
    <row r="7231" spans="1:9" x14ac:dyDescent="0.3">
      <c r="A7231" t="s">
        <v>20</v>
      </c>
      <c r="G7231">
        <v>44546</v>
      </c>
      <c r="H7231">
        <v>2021</v>
      </c>
      <c r="I7231" t="s">
        <v>53</v>
      </c>
    </row>
    <row r="7232" spans="1:9" x14ac:dyDescent="0.3">
      <c r="A7232" t="s">
        <v>37</v>
      </c>
      <c r="G7232">
        <v>44546</v>
      </c>
      <c r="H7232">
        <v>2021</v>
      </c>
      <c r="I7232" t="s">
        <v>53</v>
      </c>
    </row>
    <row r="7233" spans="1:9" x14ac:dyDescent="0.3">
      <c r="A7233" t="s">
        <v>17</v>
      </c>
      <c r="B7233">
        <v>216000</v>
      </c>
      <c r="C7233">
        <v>216000</v>
      </c>
      <c r="E7233">
        <v>108000</v>
      </c>
      <c r="F7233">
        <v>320000</v>
      </c>
      <c r="G7233">
        <v>44546</v>
      </c>
      <c r="H7233">
        <v>2021</v>
      </c>
      <c r="I7233" t="s">
        <v>53</v>
      </c>
    </row>
    <row r="7234" spans="1:9" x14ac:dyDescent="0.3">
      <c r="A7234" t="s">
        <v>0</v>
      </c>
      <c r="B7234">
        <v>432000</v>
      </c>
      <c r="C7234">
        <v>108000</v>
      </c>
      <c r="E7234">
        <v>535500</v>
      </c>
      <c r="G7234">
        <v>44546</v>
      </c>
      <c r="H7234">
        <v>2021</v>
      </c>
      <c r="I7234" t="s">
        <v>53</v>
      </c>
    </row>
    <row r="7235" spans="1:9" x14ac:dyDescent="0.3">
      <c r="A7235" t="s">
        <v>25</v>
      </c>
      <c r="B7235">
        <v>247500</v>
      </c>
      <c r="G7235">
        <v>44546</v>
      </c>
      <c r="H7235">
        <v>2021</v>
      </c>
      <c r="I7235" t="s">
        <v>53</v>
      </c>
    </row>
    <row r="7236" spans="1:9" x14ac:dyDescent="0.3">
      <c r="A7236" t="s">
        <v>15</v>
      </c>
      <c r="B7236">
        <v>162000</v>
      </c>
      <c r="C7236">
        <v>216000</v>
      </c>
      <c r="E7236">
        <v>54000</v>
      </c>
      <c r="G7236">
        <v>44546</v>
      </c>
      <c r="H7236">
        <v>2021</v>
      </c>
      <c r="I7236" t="s">
        <v>53</v>
      </c>
    </row>
    <row r="7237" spans="1:9" x14ac:dyDescent="0.3">
      <c r="A7237" t="s">
        <v>54</v>
      </c>
      <c r="G7237">
        <v>44546</v>
      </c>
      <c r="H7237">
        <v>2021</v>
      </c>
      <c r="I7237" t="s">
        <v>53</v>
      </c>
    </row>
    <row r="7238" spans="1:9" x14ac:dyDescent="0.3">
      <c r="A7238" t="s">
        <v>26</v>
      </c>
      <c r="C7238">
        <v>108000</v>
      </c>
      <c r="E7238">
        <v>54000</v>
      </c>
      <c r="G7238">
        <v>44546</v>
      </c>
      <c r="H7238">
        <v>2021</v>
      </c>
      <c r="I7238" t="s">
        <v>53</v>
      </c>
    </row>
    <row r="7239" spans="1:9" x14ac:dyDescent="0.3">
      <c r="A7239" t="s">
        <v>22</v>
      </c>
      <c r="G7239">
        <v>44546</v>
      </c>
      <c r="H7239">
        <v>2021</v>
      </c>
      <c r="I7239" t="s">
        <v>53</v>
      </c>
    </row>
    <row r="7240" spans="1:9" x14ac:dyDescent="0.3">
      <c r="A7240" t="s">
        <v>61</v>
      </c>
      <c r="G7240">
        <v>44546</v>
      </c>
      <c r="H7240">
        <v>2021</v>
      </c>
      <c r="I7240" t="s">
        <v>53</v>
      </c>
    </row>
    <row r="7241" spans="1:9" x14ac:dyDescent="0.3">
      <c r="A7241" t="s">
        <v>19</v>
      </c>
      <c r="B7241">
        <v>269500</v>
      </c>
      <c r="F7241">
        <v>216000</v>
      </c>
      <c r="G7241">
        <v>44546</v>
      </c>
      <c r="H7241">
        <v>2021</v>
      </c>
      <c r="I7241" t="s">
        <v>53</v>
      </c>
    </row>
    <row r="7242" spans="1:9" x14ac:dyDescent="0.3">
      <c r="A7242" t="s">
        <v>14</v>
      </c>
      <c r="B7242">
        <v>378000</v>
      </c>
      <c r="C7242">
        <v>361000</v>
      </c>
      <c r="G7242">
        <v>44546</v>
      </c>
      <c r="H7242">
        <v>2021</v>
      </c>
      <c r="I7242" t="s">
        <v>53</v>
      </c>
    </row>
    <row r="7243" spans="1:9" x14ac:dyDescent="0.3">
      <c r="A7243" t="s">
        <v>24</v>
      </c>
      <c r="G7243">
        <v>44546</v>
      </c>
      <c r="H7243">
        <v>2021</v>
      </c>
      <c r="I7243" t="s">
        <v>53</v>
      </c>
    </row>
    <row r="7244" spans="1:9" x14ac:dyDescent="0.3">
      <c r="A7244" t="s">
        <v>21</v>
      </c>
      <c r="B7244">
        <v>207000</v>
      </c>
      <c r="C7244">
        <v>216000</v>
      </c>
      <c r="G7244">
        <v>44546</v>
      </c>
      <c r="H7244">
        <v>2021</v>
      </c>
      <c r="I7244" t="s">
        <v>53</v>
      </c>
    </row>
    <row r="7245" spans="1:9" x14ac:dyDescent="0.3">
      <c r="A7245" t="s">
        <v>65</v>
      </c>
      <c r="G7245">
        <v>44546</v>
      </c>
      <c r="H7245">
        <v>2021</v>
      </c>
      <c r="I7245" t="s">
        <v>53</v>
      </c>
    </row>
    <row r="7246" spans="1:9" x14ac:dyDescent="0.3">
      <c r="A7246" t="s">
        <v>18</v>
      </c>
      <c r="G7246">
        <v>44546</v>
      </c>
      <c r="H7246">
        <v>2021</v>
      </c>
      <c r="I7246" t="s">
        <v>53</v>
      </c>
    </row>
    <row r="7247" spans="1:9" x14ac:dyDescent="0.3">
      <c r="A7247" t="s">
        <v>16</v>
      </c>
      <c r="B7247">
        <v>54000</v>
      </c>
      <c r="C7247">
        <v>366000</v>
      </c>
      <c r="E7247">
        <v>54000</v>
      </c>
      <c r="G7247">
        <v>44546</v>
      </c>
      <c r="H7247">
        <v>2021</v>
      </c>
      <c r="I7247" t="s">
        <v>53</v>
      </c>
    </row>
    <row r="7248" spans="1:9" x14ac:dyDescent="0.3">
      <c r="A7248" t="s">
        <v>20</v>
      </c>
      <c r="G7248">
        <v>44547</v>
      </c>
      <c r="H7248">
        <v>2021</v>
      </c>
      <c r="I7248" t="s">
        <v>53</v>
      </c>
    </row>
    <row r="7249" spans="1:9" x14ac:dyDescent="0.3">
      <c r="A7249" t="s">
        <v>37</v>
      </c>
      <c r="G7249">
        <v>44547</v>
      </c>
      <c r="H7249">
        <v>2021</v>
      </c>
      <c r="I7249" t="s">
        <v>53</v>
      </c>
    </row>
    <row r="7250" spans="1:9" x14ac:dyDescent="0.3">
      <c r="A7250" t="s">
        <v>17</v>
      </c>
      <c r="B7250">
        <v>315000</v>
      </c>
      <c r="F7250">
        <v>261000</v>
      </c>
      <c r="G7250">
        <v>44547</v>
      </c>
      <c r="H7250">
        <v>2021</v>
      </c>
      <c r="I7250" t="s">
        <v>53</v>
      </c>
    </row>
    <row r="7251" spans="1:9" x14ac:dyDescent="0.3">
      <c r="A7251" t="s">
        <v>0</v>
      </c>
      <c r="B7251">
        <v>206000</v>
      </c>
      <c r="C7251">
        <v>162000</v>
      </c>
      <c r="G7251">
        <v>44547</v>
      </c>
      <c r="H7251">
        <v>2021</v>
      </c>
      <c r="I7251" t="s">
        <v>53</v>
      </c>
    </row>
    <row r="7252" spans="1:9" x14ac:dyDescent="0.3">
      <c r="A7252" t="s">
        <v>25</v>
      </c>
      <c r="B7252">
        <v>540000</v>
      </c>
      <c r="C7252">
        <v>216000</v>
      </c>
      <c r="F7252">
        <v>99500</v>
      </c>
      <c r="G7252">
        <v>44547</v>
      </c>
      <c r="H7252">
        <v>2021</v>
      </c>
      <c r="I7252" t="s">
        <v>53</v>
      </c>
    </row>
    <row r="7253" spans="1:9" x14ac:dyDescent="0.3">
      <c r="A7253" t="s">
        <v>15</v>
      </c>
      <c r="B7253">
        <v>212000</v>
      </c>
      <c r="C7253">
        <v>54000</v>
      </c>
      <c r="G7253">
        <v>44547</v>
      </c>
      <c r="H7253">
        <v>2021</v>
      </c>
      <c r="I7253" t="s">
        <v>53</v>
      </c>
    </row>
    <row r="7254" spans="1:9" x14ac:dyDescent="0.3">
      <c r="A7254" t="s">
        <v>54</v>
      </c>
      <c r="C7254">
        <v>108000</v>
      </c>
      <c r="G7254">
        <v>44547</v>
      </c>
      <c r="H7254">
        <v>2021</v>
      </c>
      <c r="I7254" t="s">
        <v>53</v>
      </c>
    </row>
    <row r="7255" spans="1:9" x14ac:dyDescent="0.3">
      <c r="A7255" t="s">
        <v>26</v>
      </c>
      <c r="C7255">
        <v>108000</v>
      </c>
      <c r="G7255">
        <v>44547</v>
      </c>
      <c r="H7255">
        <v>2021</v>
      </c>
      <c r="I7255" t="s">
        <v>53</v>
      </c>
    </row>
    <row r="7256" spans="1:9" x14ac:dyDescent="0.3">
      <c r="A7256" t="s">
        <v>22</v>
      </c>
      <c r="G7256">
        <v>44547</v>
      </c>
      <c r="H7256">
        <v>2021</v>
      </c>
      <c r="I7256" t="s">
        <v>53</v>
      </c>
    </row>
    <row r="7257" spans="1:9" x14ac:dyDescent="0.3">
      <c r="A7257" t="s">
        <v>61</v>
      </c>
      <c r="G7257">
        <v>44547</v>
      </c>
      <c r="H7257">
        <v>2021</v>
      </c>
      <c r="I7257" t="s">
        <v>53</v>
      </c>
    </row>
    <row r="7258" spans="1:9" x14ac:dyDescent="0.3">
      <c r="A7258" t="s">
        <v>19</v>
      </c>
      <c r="B7258">
        <v>54000</v>
      </c>
      <c r="C7258">
        <v>1080000</v>
      </c>
      <c r="F7258">
        <v>324000</v>
      </c>
      <c r="G7258">
        <v>44547</v>
      </c>
      <c r="H7258">
        <v>2021</v>
      </c>
      <c r="I7258" t="s">
        <v>53</v>
      </c>
    </row>
    <row r="7259" spans="1:9" x14ac:dyDescent="0.3">
      <c r="A7259" t="s">
        <v>14</v>
      </c>
      <c r="B7259">
        <v>378000</v>
      </c>
      <c r="C7259">
        <v>158000</v>
      </c>
      <c r="G7259">
        <v>44547</v>
      </c>
      <c r="H7259">
        <v>2021</v>
      </c>
      <c r="I7259" t="s">
        <v>53</v>
      </c>
    </row>
    <row r="7260" spans="1:9" x14ac:dyDescent="0.3">
      <c r="A7260" t="s">
        <v>24</v>
      </c>
      <c r="G7260">
        <v>44547</v>
      </c>
      <c r="H7260">
        <v>2021</v>
      </c>
      <c r="I7260" t="s">
        <v>53</v>
      </c>
    </row>
    <row r="7261" spans="1:9" x14ac:dyDescent="0.3">
      <c r="A7261" t="s">
        <v>21</v>
      </c>
      <c r="B7261">
        <v>324000</v>
      </c>
      <c r="C7261">
        <v>207000</v>
      </c>
      <c r="G7261">
        <v>44547</v>
      </c>
      <c r="H7261">
        <v>2021</v>
      </c>
      <c r="I7261" t="s">
        <v>53</v>
      </c>
    </row>
    <row r="7262" spans="1:9" x14ac:dyDescent="0.3">
      <c r="A7262" t="s">
        <v>65</v>
      </c>
      <c r="G7262">
        <v>44547</v>
      </c>
      <c r="H7262">
        <v>2021</v>
      </c>
      <c r="I7262" t="s">
        <v>53</v>
      </c>
    </row>
    <row r="7263" spans="1:9" x14ac:dyDescent="0.3">
      <c r="A7263" t="s">
        <v>18</v>
      </c>
      <c r="G7263">
        <v>44547</v>
      </c>
      <c r="H7263">
        <v>2021</v>
      </c>
      <c r="I7263" t="s">
        <v>53</v>
      </c>
    </row>
    <row r="7264" spans="1:9" x14ac:dyDescent="0.3">
      <c r="A7264" t="s">
        <v>16</v>
      </c>
      <c r="B7264">
        <v>54000</v>
      </c>
      <c r="C7264">
        <v>207000</v>
      </c>
      <c r="G7264">
        <v>44547</v>
      </c>
      <c r="H7264">
        <v>2021</v>
      </c>
      <c r="I7264" t="s">
        <v>53</v>
      </c>
    </row>
    <row r="7265" spans="1:9" x14ac:dyDescent="0.3">
      <c r="A7265" t="s">
        <v>20</v>
      </c>
      <c r="G7265">
        <v>44550</v>
      </c>
      <c r="H7265">
        <v>2021</v>
      </c>
      <c r="I7265" t="s">
        <v>53</v>
      </c>
    </row>
    <row r="7266" spans="1:9" x14ac:dyDescent="0.3">
      <c r="A7266" t="s">
        <v>37</v>
      </c>
      <c r="G7266">
        <v>44550</v>
      </c>
      <c r="H7266">
        <v>2021</v>
      </c>
      <c r="I7266" t="s">
        <v>53</v>
      </c>
    </row>
    <row r="7267" spans="1:9" x14ac:dyDescent="0.3">
      <c r="A7267" t="s">
        <v>17</v>
      </c>
      <c r="B7267">
        <v>158000</v>
      </c>
      <c r="C7267">
        <v>157500</v>
      </c>
      <c r="E7267">
        <v>432000</v>
      </c>
      <c r="G7267">
        <v>44550</v>
      </c>
      <c r="H7267">
        <v>2021</v>
      </c>
      <c r="I7267" t="s">
        <v>53</v>
      </c>
    </row>
    <row r="7268" spans="1:9" x14ac:dyDescent="0.3">
      <c r="A7268" t="s">
        <v>0</v>
      </c>
      <c r="B7268">
        <v>45000</v>
      </c>
      <c r="C7268">
        <v>54000</v>
      </c>
      <c r="E7268">
        <v>432000</v>
      </c>
      <c r="G7268">
        <v>44550</v>
      </c>
      <c r="H7268">
        <v>2021</v>
      </c>
      <c r="I7268" t="s">
        <v>53</v>
      </c>
    </row>
    <row r="7269" spans="1:9" x14ac:dyDescent="0.3">
      <c r="A7269" t="s">
        <v>25</v>
      </c>
      <c r="B7269">
        <v>589500</v>
      </c>
      <c r="C7269">
        <v>261000</v>
      </c>
      <c r="E7269">
        <v>45000</v>
      </c>
      <c r="F7269">
        <v>100000</v>
      </c>
      <c r="G7269">
        <v>44550</v>
      </c>
      <c r="H7269">
        <v>2021</v>
      </c>
      <c r="I7269" t="s">
        <v>53</v>
      </c>
    </row>
    <row r="7270" spans="1:9" x14ac:dyDescent="0.3">
      <c r="A7270" t="s">
        <v>15</v>
      </c>
      <c r="B7270">
        <v>378000</v>
      </c>
      <c r="C7270">
        <v>108000</v>
      </c>
      <c r="E7270">
        <v>50000</v>
      </c>
      <c r="F7270">
        <v>378000</v>
      </c>
      <c r="G7270">
        <v>44550</v>
      </c>
      <c r="H7270">
        <v>2021</v>
      </c>
      <c r="I7270" t="s">
        <v>53</v>
      </c>
    </row>
    <row r="7271" spans="1:9" x14ac:dyDescent="0.3">
      <c r="A7271" t="s">
        <v>54</v>
      </c>
      <c r="C7271">
        <v>162000</v>
      </c>
      <c r="G7271">
        <v>44550</v>
      </c>
      <c r="H7271">
        <v>2021</v>
      </c>
      <c r="I7271" t="s">
        <v>53</v>
      </c>
    </row>
    <row r="7272" spans="1:9" x14ac:dyDescent="0.3">
      <c r="A7272" t="s">
        <v>26</v>
      </c>
      <c r="C7272">
        <v>54000</v>
      </c>
      <c r="E7272">
        <v>108000</v>
      </c>
      <c r="G7272">
        <v>44550</v>
      </c>
      <c r="H7272">
        <v>2021</v>
      </c>
      <c r="I7272" t="s">
        <v>53</v>
      </c>
    </row>
    <row r="7273" spans="1:9" x14ac:dyDescent="0.3">
      <c r="A7273" t="s">
        <v>22</v>
      </c>
      <c r="G7273">
        <v>44550</v>
      </c>
      <c r="H7273">
        <v>2021</v>
      </c>
      <c r="I7273" t="s">
        <v>53</v>
      </c>
    </row>
    <row r="7274" spans="1:9" x14ac:dyDescent="0.3">
      <c r="A7274" t="s">
        <v>61</v>
      </c>
      <c r="G7274">
        <v>44550</v>
      </c>
      <c r="H7274">
        <v>2021</v>
      </c>
      <c r="I7274" t="s">
        <v>53</v>
      </c>
    </row>
    <row r="7275" spans="1:9" x14ac:dyDescent="0.3">
      <c r="A7275" t="s">
        <v>19</v>
      </c>
      <c r="G7275">
        <v>44550</v>
      </c>
      <c r="H7275">
        <v>2021</v>
      </c>
      <c r="I7275" t="s">
        <v>53</v>
      </c>
    </row>
    <row r="7276" spans="1:9" x14ac:dyDescent="0.3">
      <c r="A7276" t="s">
        <v>14</v>
      </c>
      <c r="B7276">
        <v>756000</v>
      </c>
      <c r="C7276">
        <v>162000</v>
      </c>
      <c r="G7276">
        <v>44550</v>
      </c>
      <c r="H7276">
        <v>2021</v>
      </c>
      <c r="I7276" t="s">
        <v>53</v>
      </c>
    </row>
    <row r="7277" spans="1:9" x14ac:dyDescent="0.3">
      <c r="A7277" t="s">
        <v>24</v>
      </c>
      <c r="G7277">
        <v>44550</v>
      </c>
      <c r="H7277">
        <v>2021</v>
      </c>
      <c r="I7277" t="s">
        <v>53</v>
      </c>
    </row>
    <row r="7278" spans="1:9" x14ac:dyDescent="0.3">
      <c r="A7278" t="s">
        <v>21</v>
      </c>
      <c r="B7278">
        <v>526500</v>
      </c>
      <c r="C7278">
        <v>108000</v>
      </c>
      <c r="G7278">
        <v>44550</v>
      </c>
      <c r="H7278">
        <v>2021</v>
      </c>
      <c r="I7278" t="s">
        <v>53</v>
      </c>
    </row>
    <row r="7279" spans="1:9" x14ac:dyDescent="0.3">
      <c r="A7279" t="s">
        <v>65</v>
      </c>
      <c r="G7279">
        <v>44550</v>
      </c>
      <c r="H7279">
        <v>2021</v>
      </c>
      <c r="I7279" t="s">
        <v>53</v>
      </c>
    </row>
    <row r="7280" spans="1:9" x14ac:dyDescent="0.3">
      <c r="A7280" t="s">
        <v>18</v>
      </c>
      <c r="C7280">
        <v>45000</v>
      </c>
      <c r="G7280">
        <v>44550</v>
      </c>
      <c r="H7280">
        <v>2021</v>
      </c>
      <c r="I7280" t="s">
        <v>53</v>
      </c>
    </row>
    <row r="7281" spans="1:9" x14ac:dyDescent="0.3">
      <c r="A7281" t="s">
        <v>16</v>
      </c>
      <c r="C7281">
        <v>108000</v>
      </c>
      <c r="E7281">
        <v>108000</v>
      </c>
      <c r="G7281">
        <v>44550</v>
      </c>
      <c r="H7281">
        <v>2021</v>
      </c>
      <c r="I7281" t="s">
        <v>53</v>
      </c>
    </row>
    <row r="7282" spans="1:9" x14ac:dyDescent="0.3">
      <c r="A7282" t="s">
        <v>20</v>
      </c>
      <c r="G7282">
        <v>44551</v>
      </c>
      <c r="H7282">
        <v>2021</v>
      </c>
      <c r="I7282" t="s">
        <v>53</v>
      </c>
    </row>
    <row r="7283" spans="1:9" x14ac:dyDescent="0.3">
      <c r="A7283" t="s">
        <v>37</v>
      </c>
      <c r="B7283">
        <v>99000</v>
      </c>
      <c r="D7283">
        <v>315000</v>
      </c>
      <c r="G7283">
        <v>44551</v>
      </c>
      <c r="H7283">
        <v>2021</v>
      </c>
      <c r="I7283" t="s">
        <v>53</v>
      </c>
    </row>
    <row r="7284" spans="1:9" x14ac:dyDescent="0.3">
      <c r="A7284" t="s">
        <v>17</v>
      </c>
      <c r="B7284">
        <v>270000</v>
      </c>
      <c r="C7284">
        <v>108000</v>
      </c>
      <c r="E7284">
        <v>270000</v>
      </c>
      <c r="G7284">
        <v>44551</v>
      </c>
      <c r="H7284">
        <v>2021</v>
      </c>
      <c r="I7284" t="s">
        <v>53</v>
      </c>
    </row>
    <row r="7285" spans="1:9" x14ac:dyDescent="0.3">
      <c r="A7285" t="s">
        <v>0</v>
      </c>
      <c r="G7285">
        <v>44551</v>
      </c>
      <c r="H7285">
        <v>2021</v>
      </c>
      <c r="I7285" t="s">
        <v>53</v>
      </c>
    </row>
    <row r="7286" spans="1:9" x14ac:dyDescent="0.3">
      <c r="A7286" t="s">
        <v>25</v>
      </c>
      <c r="B7286">
        <v>702000</v>
      </c>
      <c r="C7286">
        <v>370000</v>
      </c>
      <c r="E7286">
        <v>45000</v>
      </c>
      <c r="G7286">
        <v>44551</v>
      </c>
      <c r="H7286">
        <v>2021</v>
      </c>
      <c r="I7286" t="s">
        <v>53</v>
      </c>
    </row>
    <row r="7287" spans="1:9" x14ac:dyDescent="0.3">
      <c r="A7287" t="s">
        <v>15</v>
      </c>
      <c r="B7287">
        <v>108000</v>
      </c>
      <c r="C7287">
        <v>207000</v>
      </c>
      <c r="F7287">
        <v>200000</v>
      </c>
      <c r="G7287">
        <v>44551</v>
      </c>
      <c r="H7287">
        <v>2021</v>
      </c>
      <c r="I7287" t="s">
        <v>53</v>
      </c>
    </row>
    <row r="7288" spans="1:9" x14ac:dyDescent="0.3">
      <c r="A7288" t="s">
        <v>54</v>
      </c>
      <c r="C7288">
        <v>216000</v>
      </c>
      <c r="E7288">
        <v>432000</v>
      </c>
      <c r="F7288">
        <v>270000</v>
      </c>
      <c r="G7288">
        <v>44551</v>
      </c>
      <c r="H7288">
        <v>2021</v>
      </c>
      <c r="I7288" t="s">
        <v>53</v>
      </c>
    </row>
    <row r="7289" spans="1:9" x14ac:dyDescent="0.3">
      <c r="A7289" t="s">
        <v>26</v>
      </c>
      <c r="C7289">
        <v>162000</v>
      </c>
      <c r="G7289">
        <v>44551</v>
      </c>
      <c r="H7289">
        <v>2021</v>
      </c>
      <c r="I7289" t="s">
        <v>53</v>
      </c>
    </row>
    <row r="7290" spans="1:9" x14ac:dyDescent="0.3">
      <c r="A7290" t="s">
        <v>22</v>
      </c>
      <c r="G7290">
        <v>44551</v>
      </c>
      <c r="H7290">
        <v>2021</v>
      </c>
      <c r="I7290" t="s">
        <v>53</v>
      </c>
    </row>
    <row r="7291" spans="1:9" x14ac:dyDescent="0.3">
      <c r="A7291" t="s">
        <v>61</v>
      </c>
      <c r="G7291">
        <v>44551</v>
      </c>
      <c r="H7291">
        <v>2021</v>
      </c>
      <c r="I7291" t="s">
        <v>53</v>
      </c>
    </row>
    <row r="7292" spans="1:9" x14ac:dyDescent="0.3">
      <c r="A7292" t="s">
        <v>19</v>
      </c>
      <c r="G7292">
        <v>44551</v>
      </c>
      <c r="H7292">
        <v>2021</v>
      </c>
      <c r="I7292" t="s">
        <v>53</v>
      </c>
    </row>
    <row r="7293" spans="1:9" x14ac:dyDescent="0.3">
      <c r="A7293" t="s">
        <v>14</v>
      </c>
      <c r="B7293">
        <v>558500</v>
      </c>
      <c r="C7293">
        <v>319500</v>
      </c>
      <c r="D7293">
        <v>266000</v>
      </c>
      <c r="G7293">
        <v>44551</v>
      </c>
      <c r="H7293">
        <v>2021</v>
      </c>
      <c r="I7293" t="s">
        <v>53</v>
      </c>
    </row>
    <row r="7294" spans="1:9" x14ac:dyDescent="0.3">
      <c r="A7294" t="s">
        <v>24</v>
      </c>
      <c r="G7294">
        <v>44551</v>
      </c>
      <c r="H7294">
        <v>2021</v>
      </c>
      <c r="I7294" t="s">
        <v>53</v>
      </c>
    </row>
    <row r="7295" spans="1:9" x14ac:dyDescent="0.3">
      <c r="A7295" t="s">
        <v>21</v>
      </c>
      <c r="B7295">
        <v>324000</v>
      </c>
      <c r="C7295">
        <v>162000</v>
      </c>
      <c r="G7295">
        <v>44551</v>
      </c>
      <c r="H7295">
        <v>2021</v>
      </c>
      <c r="I7295" t="s">
        <v>53</v>
      </c>
    </row>
    <row r="7296" spans="1:9" x14ac:dyDescent="0.3">
      <c r="A7296" t="s">
        <v>65</v>
      </c>
      <c r="G7296">
        <v>44551</v>
      </c>
      <c r="H7296">
        <v>2021</v>
      </c>
      <c r="I7296" t="s">
        <v>53</v>
      </c>
    </row>
    <row r="7297" spans="1:9" x14ac:dyDescent="0.3">
      <c r="A7297" t="s">
        <v>18</v>
      </c>
      <c r="G7297">
        <v>44551</v>
      </c>
      <c r="H7297">
        <v>2021</v>
      </c>
      <c r="I7297" t="s">
        <v>53</v>
      </c>
    </row>
    <row r="7298" spans="1:9" x14ac:dyDescent="0.3">
      <c r="A7298" t="s">
        <v>16</v>
      </c>
      <c r="B7298">
        <v>162000</v>
      </c>
      <c r="C7298">
        <v>216000</v>
      </c>
      <c r="G7298">
        <v>44551</v>
      </c>
      <c r="H7298">
        <v>2021</v>
      </c>
      <c r="I7298" t="s">
        <v>53</v>
      </c>
    </row>
    <row r="7299" spans="1:9" x14ac:dyDescent="0.3">
      <c r="A7299" t="s">
        <v>20</v>
      </c>
      <c r="G7299">
        <v>44552</v>
      </c>
      <c r="H7299">
        <v>2021</v>
      </c>
      <c r="I7299" t="s">
        <v>53</v>
      </c>
    </row>
    <row r="7300" spans="1:9" x14ac:dyDescent="0.3">
      <c r="A7300" t="s">
        <v>37</v>
      </c>
      <c r="B7300">
        <v>162000</v>
      </c>
      <c r="D7300">
        <v>54000</v>
      </c>
      <c r="G7300">
        <v>44552</v>
      </c>
      <c r="H7300">
        <v>2021</v>
      </c>
      <c r="I7300" t="s">
        <v>53</v>
      </c>
    </row>
    <row r="7301" spans="1:9" x14ac:dyDescent="0.3">
      <c r="A7301" t="s">
        <v>17</v>
      </c>
      <c r="B7301">
        <v>153000</v>
      </c>
      <c r="C7301">
        <v>216000</v>
      </c>
      <c r="F7301">
        <v>50000</v>
      </c>
      <c r="G7301">
        <v>44552</v>
      </c>
      <c r="H7301">
        <v>2021</v>
      </c>
      <c r="I7301" t="s">
        <v>53</v>
      </c>
    </row>
    <row r="7302" spans="1:9" x14ac:dyDescent="0.3">
      <c r="A7302" t="s">
        <v>0</v>
      </c>
      <c r="B7302">
        <v>54000</v>
      </c>
      <c r="G7302">
        <v>44552</v>
      </c>
      <c r="H7302">
        <v>2021</v>
      </c>
      <c r="I7302" t="s">
        <v>53</v>
      </c>
    </row>
    <row r="7303" spans="1:9" x14ac:dyDescent="0.3">
      <c r="A7303" t="s">
        <v>25</v>
      </c>
      <c r="B7303">
        <v>324000</v>
      </c>
      <c r="C7303">
        <v>594000</v>
      </c>
      <c r="G7303">
        <v>44552</v>
      </c>
      <c r="H7303">
        <v>2021</v>
      </c>
      <c r="I7303" t="s">
        <v>53</v>
      </c>
    </row>
    <row r="7304" spans="1:9" x14ac:dyDescent="0.3">
      <c r="A7304" t="s">
        <v>15</v>
      </c>
      <c r="B7304">
        <v>216000</v>
      </c>
      <c r="C7304">
        <v>162000</v>
      </c>
      <c r="G7304">
        <v>44552</v>
      </c>
      <c r="H7304">
        <v>2021</v>
      </c>
      <c r="I7304" t="s">
        <v>53</v>
      </c>
    </row>
    <row r="7305" spans="1:9" x14ac:dyDescent="0.3">
      <c r="A7305" t="s">
        <v>54</v>
      </c>
      <c r="B7305">
        <v>324000</v>
      </c>
      <c r="C7305">
        <v>103500</v>
      </c>
      <c r="G7305">
        <v>44552</v>
      </c>
      <c r="H7305">
        <v>2021</v>
      </c>
      <c r="I7305" t="s">
        <v>53</v>
      </c>
    </row>
    <row r="7306" spans="1:9" x14ac:dyDescent="0.3">
      <c r="A7306" t="s">
        <v>26</v>
      </c>
      <c r="C7306">
        <v>162000</v>
      </c>
      <c r="G7306">
        <v>44552</v>
      </c>
      <c r="H7306">
        <v>2021</v>
      </c>
      <c r="I7306" t="s">
        <v>53</v>
      </c>
    </row>
    <row r="7307" spans="1:9" x14ac:dyDescent="0.3">
      <c r="A7307" t="s">
        <v>22</v>
      </c>
      <c r="G7307">
        <v>44552</v>
      </c>
      <c r="H7307">
        <v>2021</v>
      </c>
      <c r="I7307" t="s">
        <v>53</v>
      </c>
    </row>
    <row r="7308" spans="1:9" x14ac:dyDescent="0.3">
      <c r="A7308" t="s">
        <v>61</v>
      </c>
      <c r="G7308">
        <v>44552</v>
      </c>
      <c r="H7308">
        <v>2021</v>
      </c>
      <c r="I7308" t="s">
        <v>53</v>
      </c>
    </row>
    <row r="7309" spans="1:9" x14ac:dyDescent="0.3">
      <c r="A7309" t="s">
        <v>19</v>
      </c>
      <c r="G7309">
        <v>44552</v>
      </c>
      <c r="H7309">
        <v>2021</v>
      </c>
      <c r="I7309" t="s">
        <v>53</v>
      </c>
    </row>
    <row r="7310" spans="1:9" x14ac:dyDescent="0.3">
      <c r="A7310" t="s">
        <v>14</v>
      </c>
      <c r="B7310">
        <v>540000</v>
      </c>
      <c r="C7310">
        <v>144000</v>
      </c>
      <c r="D7310">
        <v>594000</v>
      </c>
      <c r="G7310">
        <v>44552</v>
      </c>
      <c r="H7310">
        <v>2021</v>
      </c>
      <c r="I7310" t="s">
        <v>53</v>
      </c>
    </row>
    <row r="7311" spans="1:9" x14ac:dyDescent="0.3">
      <c r="A7311" t="s">
        <v>24</v>
      </c>
      <c r="G7311">
        <v>44552</v>
      </c>
      <c r="H7311">
        <v>2021</v>
      </c>
      <c r="I7311" t="s">
        <v>53</v>
      </c>
    </row>
    <row r="7312" spans="1:9" x14ac:dyDescent="0.3">
      <c r="A7312" t="s">
        <v>21</v>
      </c>
      <c r="B7312">
        <v>478000</v>
      </c>
      <c r="C7312">
        <v>108000</v>
      </c>
      <c r="G7312">
        <v>44552</v>
      </c>
      <c r="H7312">
        <v>2021</v>
      </c>
      <c r="I7312" t="s">
        <v>53</v>
      </c>
    </row>
    <row r="7313" spans="1:9" x14ac:dyDescent="0.3">
      <c r="A7313" t="s">
        <v>65</v>
      </c>
      <c r="G7313">
        <v>44552</v>
      </c>
      <c r="H7313">
        <v>2021</v>
      </c>
      <c r="I7313" t="s">
        <v>53</v>
      </c>
    </row>
    <row r="7314" spans="1:9" x14ac:dyDescent="0.3">
      <c r="A7314" t="s">
        <v>18</v>
      </c>
      <c r="G7314">
        <v>44552</v>
      </c>
      <c r="H7314">
        <v>2021</v>
      </c>
      <c r="I7314" t="s">
        <v>53</v>
      </c>
    </row>
    <row r="7315" spans="1:9" x14ac:dyDescent="0.3">
      <c r="A7315" t="s">
        <v>16</v>
      </c>
      <c r="B7315">
        <v>108000</v>
      </c>
      <c r="C7315">
        <v>53500</v>
      </c>
      <c r="G7315">
        <v>44552</v>
      </c>
      <c r="H7315">
        <v>2021</v>
      </c>
      <c r="I7315" t="s">
        <v>53</v>
      </c>
    </row>
    <row r="7316" spans="1:9" x14ac:dyDescent="0.3">
      <c r="A7316" t="s">
        <v>20</v>
      </c>
      <c r="G7316">
        <v>44553</v>
      </c>
      <c r="H7316">
        <v>2021</v>
      </c>
      <c r="I7316" t="s">
        <v>53</v>
      </c>
    </row>
    <row r="7317" spans="1:9" x14ac:dyDescent="0.3">
      <c r="A7317" t="s">
        <v>37</v>
      </c>
      <c r="B7317">
        <v>162000</v>
      </c>
      <c r="D7317">
        <v>216000</v>
      </c>
      <c r="G7317">
        <v>44553</v>
      </c>
      <c r="H7317">
        <v>2021</v>
      </c>
      <c r="I7317" t="s">
        <v>53</v>
      </c>
    </row>
    <row r="7318" spans="1:9" x14ac:dyDescent="0.3">
      <c r="A7318" t="s">
        <v>17</v>
      </c>
      <c r="B7318">
        <v>374000</v>
      </c>
      <c r="C7318">
        <v>54000</v>
      </c>
      <c r="G7318">
        <v>44553</v>
      </c>
      <c r="H7318">
        <v>2021</v>
      </c>
      <c r="I7318" t="s">
        <v>53</v>
      </c>
    </row>
    <row r="7319" spans="1:9" x14ac:dyDescent="0.3">
      <c r="A7319" t="s">
        <v>0</v>
      </c>
      <c r="G7319">
        <v>44553</v>
      </c>
      <c r="H7319">
        <v>2021</v>
      </c>
      <c r="I7319" t="s">
        <v>53</v>
      </c>
    </row>
    <row r="7320" spans="1:9" x14ac:dyDescent="0.3">
      <c r="A7320" t="s">
        <v>25</v>
      </c>
      <c r="B7320">
        <v>49500</v>
      </c>
      <c r="C7320">
        <v>216000</v>
      </c>
      <c r="G7320">
        <v>44553</v>
      </c>
      <c r="H7320">
        <v>2021</v>
      </c>
      <c r="I7320" t="s">
        <v>53</v>
      </c>
    </row>
    <row r="7321" spans="1:9" x14ac:dyDescent="0.3">
      <c r="A7321" t="s">
        <v>15</v>
      </c>
      <c r="B7321">
        <v>427500</v>
      </c>
      <c r="C7321">
        <v>378000</v>
      </c>
      <c r="E7321">
        <v>49500</v>
      </c>
      <c r="G7321">
        <v>44553</v>
      </c>
      <c r="H7321">
        <v>2021</v>
      </c>
      <c r="I7321" t="s">
        <v>53</v>
      </c>
    </row>
    <row r="7322" spans="1:9" x14ac:dyDescent="0.3">
      <c r="A7322" t="s">
        <v>54</v>
      </c>
      <c r="B7322">
        <v>270000</v>
      </c>
      <c r="C7322">
        <v>216000</v>
      </c>
      <c r="E7322">
        <v>324000</v>
      </c>
      <c r="G7322">
        <v>44553</v>
      </c>
      <c r="H7322">
        <v>2021</v>
      </c>
      <c r="I7322" t="s">
        <v>53</v>
      </c>
    </row>
    <row r="7323" spans="1:9" x14ac:dyDescent="0.3">
      <c r="A7323" t="s">
        <v>26</v>
      </c>
      <c r="E7323">
        <v>108000</v>
      </c>
      <c r="G7323">
        <v>44553</v>
      </c>
      <c r="H7323">
        <v>2021</v>
      </c>
      <c r="I7323" t="s">
        <v>53</v>
      </c>
    </row>
    <row r="7324" spans="1:9" x14ac:dyDescent="0.3">
      <c r="A7324" t="s">
        <v>22</v>
      </c>
      <c r="G7324">
        <v>44553</v>
      </c>
      <c r="H7324">
        <v>2021</v>
      </c>
      <c r="I7324" t="s">
        <v>53</v>
      </c>
    </row>
    <row r="7325" spans="1:9" x14ac:dyDescent="0.3">
      <c r="A7325" t="s">
        <v>61</v>
      </c>
      <c r="G7325">
        <v>44553</v>
      </c>
      <c r="H7325">
        <v>2021</v>
      </c>
      <c r="I7325" t="s">
        <v>53</v>
      </c>
    </row>
    <row r="7326" spans="1:9" x14ac:dyDescent="0.3">
      <c r="A7326" t="s">
        <v>19</v>
      </c>
      <c r="G7326">
        <v>44553</v>
      </c>
      <c r="H7326">
        <v>2021</v>
      </c>
      <c r="I7326" t="s">
        <v>53</v>
      </c>
    </row>
    <row r="7327" spans="1:9" x14ac:dyDescent="0.3">
      <c r="A7327" t="s">
        <v>14</v>
      </c>
      <c r="B7327">
        <v>702000</v>
      </c>
      <c r="C7327">
        <v>265500</v>
      </c>
      <c r="D7327">
        <v>50000</v>
      </c>
      <c r="G7327">
        <v>44553</v>
      </c>
      <c r="H7327">
        <v>2021</v>
      </c>
      <c r="I7327" t="s">
        <v>53</v>
      </c>
    </row>
    <row r="7328" spans="1:9" x14ac:dyDescent="0.3">
      <c r="A7328" t="s">
        <v>24</v>
      </c>
      <c r="G7328">
        <v>44553</v>
      </c>
      <c r="H7328">
        <v>2021</v>
      </c>
      <c r="I7328" t="s">
        <v>53</v>
      </c>
    </row>
    <row r="7329" spans="1:9" x14ac:dyDescent="0.3">
      <c r="A7329" t="s">
        <v>21</v>
      </c>
      <c r="C7329">
        <v>54000</v>
      </c>
      <c r="G7329">
        <v>44553</v>
      </c>
      <c r="H7329">
        <v>2021</v>
      </c>
      <c r="I7329" t="s">
        <v>53</v>
      </c>
    </row>
    <row r="7330" spans="1:9" x14ac:dyDescent="0.3">
      <c r="A7330" t="s">
        <v>65</v>
      </c>
      <c r="G7330">
        <v>44553</v>
      </c>
      <c r="H7330">
        <v>2021</v>
      </c>
      <c r="I7330" t="s">
        <v>53</v>
      </c>
    </row>
    <row r="7331" spans="1:9" x14ac:dyDescent="0.3">
      <c r="A7331" t="s">
        <v>18</v>
      </c>
      <c r="G7331">
        <v>44553</v>
      </c>
      <c r="H7331">
        <v>2021</v>
      </c>
      <c r="I7331" t="s">
        <v>53</v>
      </c>
    </row>
    <row r="7332" spans="1:9" x14ac:dyDescent="0.3">
      <c r="A7332" t="s">
        <v>16</v>
      </c>
      <c r="B7332">
        <v>158000</v>
      </c>
      <c r="C7332">
        <v>355500</v>
      </c>
      <c r="G7332">
        <v>44553</v>
      </c>
      <c r="H7332">
        <v>2021</v>
      </c>
      <c r="I7332" t="s">
        <v>53</v>
      </c>
    </row>
    <row r="7333" spans="1:9" x14ac:dyDescent="0.3">
      <c r="A7333" t="s">
        <v>20</v>
      </c>
      <c r="G7333">
        <v>44554</v>
      </c>
      <c r="H7333">
        <v>2021</v>
      </c>
      <c r="I7333" t="s">
        <v>53</v>
      </c>
    </row>
    <row r="7334" spans="1:9" x14ac:dyDescent="0.3">
      <c r="A7334" t="s">
        <v>37</v>
      </c>
      <c r="B7334">
        <v>108000</v>
      </c>
      <c r="G7334">
        <v>44554</v>
      </c>
      <c r="H7334">
        <v>2021</v>
      </c>
      <c r="I7334" t="s">
        <v>53</v>
      </c>
    </row>
    <row r="7335" spans="1:9" x14ac:dyDescent="0.3">
      <c r="A7335" t="s">
        <v>17</v>
      </c>
      <c r="B7335">
        <v>324000</v>
      </c>
      <c r="C7335">
        <v>108000</v>
      </c>
      <c r="G7335">
        <v>44554</v>
      </c>
      <c r="H7335">
        <v>2021</v>
      </c>
      <c r="I7335" t="s">
        <v>53</v>
      </c>
    </row>
    <row r="7336" spans="1:9" x14ac:dyDescent="0.3">
      <c r="A7336" t="s">
        <v>0</v>
      </c>
      <c r="G7336">
        <v>44554</v>
      </c>
      <c r="H7336">
        <v>2021</v>
      </c>
      <c r="I7336" t="s">
        <v>53</v>
      </c>
    </row>
    <row r="7337" spans="1:9" x14ac:dyDescent="0.3">
      <c r="A7337" t="s">
        <v>25</v>
      </c>
      <c r="B7337">
        <v>45000</v>
      </c>
      <c r="C7337">
        <v>378000</v>
      </c>
      <c r="G7337">
        <v>44554</v>
      </c>
      <c r="H7337">
        <v>2021</v>
      </c>
      <c r="I7337" t="s">
        <v>53</v>
      </c>
    </row>
    <row r="7338" spans="1:9" x14ac:dyDescent="0.3">
      <c r="A7338" t="s">
        <v>15</v>
      </c>
      <c r="B7338">
        <v>482000</v>
      </c>
      <c r="C7338">
        <v>216000</v>
      </c>
      <c r="G7338">
        <v>44554</v>
      </c>
      <c r="H7338">
        <v>2021</v>
      </c>
      <c r="I7338" t="s">
        <v>53</v>
      </c>
    </row>
    <row r="7339" spans="1:9" x14ac:dyDescent="0.3">
      <c r="A7339" t="s">
        <v>54</v>
      </c>
      <c r="B7339">
        <v>425000</v>
      </c>
      <c r="C7339">
        <v>108000</v>
      </c>
      <c r="E7339">
        <v>108000</v>
      </c>
      <c r="G7339">
        <v>44554</v>
      </c>
      <c r="H7339">
        <v>2021</v>
      </c>
      <c r="I7339" t="s">
        <v>53</v>
      </c>
    </row>
    <row r="7340" spans="1:9" x14ac:dyDescent="0.3">
      <c r="A7340" t="s">
        <v>26</v>
      </c>
      <c r="C7340">
        <v>108000</v>
      </c>
      <c r="E7340">
        <v>108000</v>
      </c>
      <c r="G7340">
        <v>44554</v>
      </c>
      <c r="H7340">
        <v>2021</v>
      </c>
      <c r="I7340" t="s">
        <v>53</v>
      </c>
    </row>
    <row r="7341" spans="1:9" x14ac:dyDescent="0.3">
      <c r="A7341" t="s">
        <v>22</v>
      </c>
      <c r="G7341">
        <v>44554</v>
      </c>
      <c r="H7341">
        <v>2021</v>
      </c>
      <c r="I7341" t="s">
        <v>53</v>
      </c>
    </row>
    <row r="7342" spans="1:9" x14ac:dyDescent="0.3">
      <c r="A7342" t="s">
        <v>61</v>
      </c>
      <c r="G7342">
        <v>44554</v>
      </c>
      <c r="H7342">
        <v>2021</v>
      </c>
      <c r="I7342" t="s">
        <v>53</v>
      </c>
    </row>
    <row r="7343" spans="1:9" x14ac:dyDescent="0.3">
      <c r="A7343" t="s">
        <v>19</v>
      </c>
      <c r="G7343">
        <v>44554</v>
      </c>
      <c r="H7343">
        <v>2021</v>
      </c>
      <c r="I7343" t="s">
        <v>53</v>
      </c>
    </row>
    <row r="7344" spans="1:9" x14ac:dyDescent="0.3">
      <c r="A7344" t="s">
        <v>14</v>
      </c>
      <c r="B7344">
        <v>756000</v>
      </c>
      <c r="C7344">
        <v>153000</v>
      </c>
      <c r="D7344">
        <v>90000</v>
      </c>
      <c r="E7344">
        <v>324000</v>
      </c>
      <c r="G7344">
        <v>44554</v>
      </c>
      <c r="H7344">
        <v>2021</v>
      </c>
      <c r="I7344" t="s">
        <v>53</v>
      </c>
    </row>
    <row r="7345" spans="1:9" x14ac:dyDescent="0.3">
      <c r="A7345" t="s">
        <v>24</v>
      </c>
      <c r="G7345">
        <v>44554</v>
      </c>
      <c r="H7345">
        <v>2021</v>
      </c>
      <c r="I7345" t="s">
        <v>53</v>
      </c>
    </row>
    <row r="7346" spans="1:9" x14ac:dyDescent="0.3">
      <c r="A7346" t="s">
        <v>21</v>
      </c>
      <c r="G7346">
        <v>44554</v>
      </c>
      <c r="H7346">
        <v>2021</v>
      </c>
      <c r="I7346" t="s">
        <v>53</v>
      </c>
    </row>
    <row r="7347" spans="1:9" x14ac:dyDescent="0.3">
      <c r="A7347" t="s">
        <v>65</v>
      </c>
      <c r="G7347">
        <v>44554</v>
      </c>
      <c r="H7347">
        <v>2021</v>
      </c>
      <c r="I7347" t="s">
        <v>53</v>
      </c>
    </row>
    <row r="7348" spans="1:9" x14ac:dyDescent="0.3">
      <c r="A7348" t="s">
        <v>18</v>
      </c>
      <c r="G7348">
        <v>44554</v>
      </c>
      <c r="H7348">
        <v>2021</v>
      </c>
      <c r="I7348" t="s">
        <v>53</v>
      </c>
    </row>
    <row r="7349" spans="1:9" x14ac:dyDescent="0.3">
      <c r="A7349" t="s">
        <v>16</v>
      </c>
      <c r="C7349">
        <v>158000</v>
      </c>
      <c r="G7349">
        <v>44554</v>
      </c>
      <c r="H7349">
        <v>2021</v>
      </c>
      <c r="I7349" t="s">
        <v>53</v>
      </c>
    </row>
    <row r="7350" spans="1:9" x14ac:dyDescent="0.3">
      <c r="A7350" t="s">
        <v>20</v>
      </c>
      <c r="G7350">
        <v>44559</v>
      </c>
      <c r="H7350">
        <v>2021</v>
      </c>
      <c r="I7350" t="s">
        <v>53</v>
      </c>
    </row>
    <row r="7351" spans="1:9" x14ac:dyDescent="0.3">
      <c r="A7351" t="s">
        <v>37</v>
      </c>
      <c r="B7351">
        <v>54000</v>
      </c>
      <c r="G7351">
        <v>44559</v>
      </c>
      <c r="H7351">
        <v>2021</v>
      </c>
      <c r="I7351" t="s">
        <v>53</v>
      </c>
    </row>
    <row r="7352" spans="1:9" x14ac:dyDescent="0.3">
      <c r="A7352" t="s">
        <v>17</v>
      </c>
      <c r="B7352">
        <v>162000</v>
      </c>
      <c r="C7352">
        <v>270000</v>
      </c>
      <c r="E7352">
        <v>45000</v>
      </c>
      <c r="G7352">
        <v>44559</v>
      </c>
      <c r="H7352">
        <v>2021</v>
      </c>
      <c r="I7352" t="s">
        <v>53</v>
      </c>
    </row>
    <row r="7353" spans="1:9" x14ac:dyDescent="0.3">
      <c r="A7353" t="s">
        <v>0</v>
      </c>
      <c r="E7353">
        <v>517500</v>
      </c>
      <c r="G7353">
        <v>44559</v>
      </c>
      <c r="H7353">
        <v>2021</v>
      </c>
      <c r="I7353" t="s">
        <v>53</v>
      </c>
    </row>
    <row r="7354" spans="1:9" x14ac:dyDescent="0.3">
      <c r="A7354" t="s">
        <v>25</v>
      </c>
      <c r="G7354">
        <v>44559</v>
      </c>
      <c r="H7354">
        <v>2021</v>
      </c>
      <c r="I7354" t="s">
        <v>53</v>
      </c>
    </row>
    <row r="7355" spans="1:9" x14ac:dyDescent="0.3">
      <c r="A7355" t="s">
        <v>15</v>
      </c>
      <c r="B7355">
        <v>540000</v>
      </c>
      <c r="C7355">
        <v>270000</v>
      </c>
      <c r="G7355">
        <v>44559</v>
      </c>
      <c r="H7355">
        <v>2021</v>
      </c>
      <c r="I7355" t="s">
        <v>53</v>
      </c>
    </row>
    <row r="7356" spans="1:9" x14ac:dyDescent="0.3">
      <c r="A7356" t="s">
        <v>54</v>
      </c>
      <c r="B7356">
        <v>486000</v>
      </c>
      <c r="C7356">
        <v>324000</v>
      </c>
      <c r="G7356">
        <v>44559</v>
      </c>
      <c r="H7356">
        <v>2021</v>
      </c>
      <c r="I7356" t="s">
        <v>53</v>
      </c>
    </row>
    <row r="7357" spans="1:9" x14ac:dyDescent="0.3">
      <c r="A7357" t="s">
        <v>26</v>
      </c>
      <c r="C7357">
        <v>108000</v>
      </c>
      <c r="E7357">
        <v>49500</v>
      </c>
      <c r="G7357">
        <v>44559</v>
      </c>
      <c r="H7357">
        <v>2021</v>
      </c>
      <c r="I7357" t="s">
        <v>53</v>
      </c>
    </row>
    <row r="7358" spans="1:9" x14ac:dyDescent="0.3">
      <c r="A7358" t="s">
        <v>22</v>
      </c>
      <c r="G7358">
        <v>44559</v>
      </c>
      <c r="H7358">
        <v>2021</v>
      </c>
      <c r="I7358" t="s">
        <v>53</v>
      </c>
    </row>
    <row r="7359" spans="1:9" x14ac:dyDescent="0.3">
      <c r="A7359" t="s">
        <v>61</v>
      </c>
      <c r="G7359">
        <v>44559</v>
      </c>
      <c r="H7359">
        <v>2021</v>
      </c>
      <c r="I7359" t="s">
        <v>53</v>
      </c>
    </row>
    <row r="7360" spans="1:9" x14ac:dyDescent="0.3">
      <c r="A7360" t="s">
        <v>19</v>
      </c>
      <c r="G7360">
        <v>44559</v>
      </c>
      <c r="H7360">
        <v>2021</v>
      </c>
      <c r="I7360" t="s">
        <v>53</v>
      </c>
    </row>
    <row r="7361" spans="1:9" x14ac:dyDescent="0.3">
      <c r="A7361" t="s">
        <v>14</v>
      </c>
      <c r="B7361">
        <v>962000</v>
      </c>
      <c r="C7361">
        <v>378000</v>
      </c>
      <c r="E7361">
        <v>162000</v>
      </c>
      <c r="G7361">
        <v>44559</v>
      </c>
      <c r="H7361">
        <v>2021</v>
      </c>
      <c r="I7361" t="s">
        <v>53</v>
      </c>
    </row>
    <row r="7362" spans="1:9" x14ac:dyDescent="0.3">
      <c r="A7362" t="s">
        <v>24</v>
      </c>
      <c r="G7362">
        <v>44559</v>
      </c>
      <c r="H7362">
        <v>2021</v>
      </c>
      <c r="I7362" t="s">
        <v>53</v>
      </c>
    </row>
    <row r="7363" spans="1:9" x14ac:dyDescent="0.3">
      <c r="A7363" t="s">
        <v>21</v>
      </c>
      <c r="G7363">
        <v>44559</v>
      </c>
      <c r="H7363">
        <v>2021</v>
      </c>
      <c r="I7363" t="s">
        <v>53</v>
      </c>
    </row>
    <row r="7364" spans="1:9" x14ac:dyDescent="0.3">
      <c r="A7364" t="s">
        <v>65</v>
      </c>
      <c r="G7364">
        <v>44559</v>
      </c>
      <c r="H7364">
        <v>2021</v>
      </c>
      <c r="I7364" t="s">
        <v>53</v>
      </c>
    </row>
    <row r="7365" spans="1:9" x14ac:dyDescent="0.3">
      <c r="A7365" t="s">
        <v>18</v>
      </c>
      <c r="C7365">
        <v>45000</v>
      </c>
      <c r="G7365">
        <v>44559</v>
      </c>
      <c r="H7365">
        <v>2021</v>
      </c>
      <c r="I7365" t="s">
        <v>53</v>
      </c>
    </row>
    <row r="7366" spans="1:9" x14ac:dyDescent="0.3">
      <c r="A7366" t="s">
        <v>16</v>
      </c>
      <c r="B7366">
        <v>135000</v>
      </c>
      <c r="C7366">
        <v>216000</v>
      </c>
      <c r="G7366">
        <v>44559</v>
      </c>
      <c r="H7366">
        <v>2021</v>
      </c>
      <c r="I7366" t="s">
        <v>53</v>
      </c>
    </row>
    <row r="7367" spans="1:9" x14ac:dyDescent="0.3">
      <c r="A7367" t="s">
        <v>20</v>
      </c>
      <c r="G7367">
        <v>44560</v>
      </c>
      <c r="H7367">
        <v>2021</v>
      </c>
      <c r="I7367" t="s">
        <v>53</v>
      </c>
    </row>
    <row r="7368" spans="1:9" x14ac:dyDescent="0.3">
      <c r="A7368" t="s">
        <v>37</v>
      </c>
      <c r="G7368">
        <v>44560</v>
      </c>
      <c r="H7368">
        <v>2021</v>
      </c>
      <c r="I7368" t="s">
        <v>53</v>
      </c>
    </row>
    <row r="7369" spans="1:9" x14ac:dyDescent="0.3">
      <c r="A7369" t="s">
        <v>17</v>
      </c>
      <c r="C7369">
        <v>162000</v>
      </c>
      <c r="G7369">
        <v>44560</v>
      </c>
      <c r="H7369">
        <v>2021</v>
      </c>
      <c r="I7369" t="s">
        <v>53</v>
      </c>
    </row>
    <row r="7370" spans="1:9" x14ac:dyDescent="0.3">
      <c r="A7370" t="s">
        <v>0</v>
      </c>
      <c r="E7370">
        <v>585000</v>
      </c>
      <c r="G7370">
        <v>44560</v>
      </c>
      <c r="H7370">
        <v>2021</v>
      </c>
      <c r="I7370" t="s">
        <v>53</v>
      </c>
    </row>
    <row r="7371" spans="1:9" x14ac:dyDescent="0.3">
      <c r="A7371" t="s">
        <v>25</v>
      </c>
      <c r="C7371">
        <v>108000</v>
      </c>
      <c r="G7371">
        <v>44560</v>
      </c>
      <c r="H7371">
        <v>2021</v>
      </c>
      <c r="I7371" t="s">
        <v>53</v>
      </c>
    </row>
    <row r="7372" spans="1:9" x14ac:dyDescent="0.3">
      <c r="A7372" t="s">
        <v>15</v>
      </c>
      <c r="B7372">
        <v>482000</v>
      </c>
      <c r="C7372">
        <v>54000</v>
      </c>
      <c r="G7372">
        <v>44560</v>
      </c>
      <c r="H7372">
        <v>2021</v>
      </c>
      <c r="I7372" t="s">
        <v>53</v>
      </c>
    </row>
    <row r="7373" spans="1:9" x14ac:dyDescent="0.3">
      <c r="A7373" t="s">
        <v>54</v>
      </c>
      <c r="B7373">
        <v>214000</v>
      </c>
      <c r="C7373">
        <v>108000</v>
      </c>
      <c r="G7373">
        <v>44560</v>
      </c>
      <c r="H7373">
        <v>2021</v>
      </c>
      <c r="I7373" t="s">
        <v>53</v>
      </c>
    </row>
    <row r="7374" spans="1:9" x14ac:dyDescent="0.3">
      <c r="A7374" t="s">
        <v>26</v>
      </c>
      <c r="C7374">
        <v>108000</v>
      </c>
      <c r="G7374">
        <v>44560</v>
      </c>
      <c r="H7374">
        <v>2021</v>
      </c>
      <c r="I7374" t="s">
        <v>53</v>
      </c>
    </row>
    <row r="7375" spans="1:9" x14ac:dyDescent="0.3">
      <c r="A7375" t="s">
        <v>22</v>
      </c>
      <c r="G7375">
        <v>44560</v>
      </c>
      <c r="H7375">
        <v>2021</v>
      </c>
      <c r="I7375" t="s">
        <v>53</v>
      </c>
    </row>
    <row r="7376" spans="1:9" x14ac:dyDescent="0.3">
      <c r="A7376" t="s">
        <v>61</v>
      </c>
      <c r="G7376">
        <v>44560</v>
      </c>
      <c r="H7376">
        <v>2021</v>
      </c>
      <c r="I7376" t="s">
        <v>53</v>
      </c>
    </row>
    <row r="7377" spans="1:9" x14ac:dyDescent="0.3">
      <c r="A7377" t="s">
        <v>19</v>
      </c>
      <c r="C7377">
        <v>702000</v>
      </c>
      <c r="G7377">
        <v>44560</v>
      </c>
      <c r="H7377">
        <v>2021</v>
      </c>
      <c r="I7377" t="s">
        <v>53</v>
      </c>
    </row>
    <row r="7378" spans="1:9" x14ac:dyDescent="0.3">
      <c r="A7378" t="s">
        <v>14</v>
      </c>
      <c r="B7378">
        <v>1350000</v>
      </c>
      <c r="C7378">
        <v>162000</v>
      </c>
      <c r="G7378">
        <v>44560</v>
      </c>
      <c r="H7378">
        <v>2021</v>
      </c>
      <c r="I7378" t="s">
        <v>53</v>
      </c>
    </row>
    <row r="7379" spans="1:9" x14ac:dyDescent="0.3">
      <c r="A7379" t="s">
        <v>24</v>
      </c>
      <c r="G7379">
        <v>44560</v>
      </c>
      <c r="H7379">
        <v>2021</v>
      </c>
      <c r="I7379" t="s">
        <v>53</v>
      </c>
    </row>
    <row r="7380" spans="1:9" x14ac:dyDescent="0.3">
      <c r="A7380" t="s">
        <v>21</v>
      </c>
      <c r="C7380">
        <v>54000</v>
      </c>
      <c r="G7380">
        <v>44560</v>
      </c>
      <c r="H7380">
        <v>2021</v>
      </c>
      <c r="I7380" t="s">
        <v>53</v>
      </c>
    </row>
    <row r="7381" spans="1:9" x14ac:dyDescent="0.3">
      <c r="A7381" t="s">
        <v>65</v>
      </c>
      <c r="G7381">
        <v>44560</v>
      </c>
      <c r="H7381">
        <v>2021</v>
      </c>
      <c r="I7381" t="s">
        <v>53</v>
      </c>
    </row>
    <row r="7382" spans="1:9" x14ac:dyDescent="0.3">
      <c r="A7382" t="s">
        <v>18</v>
      </c>
      <c r="G7382">
        <v>44560</v>
      </c>
      <c r="H7382">
        <v>2021</v>
      </c>
      <c r="I7382" t="s">
        <v>53</v>
      </c>
    </row>
    <row r="7383" spans="1:9" x14ac:dyDescent="0.3">
      <c r="A7383" t="s">
        <v>16</v>
      </c>
      <c r="G7383">
        <v>44560</v>
      </c>
      <c r="H7383">
        <v>2021</v>
      </c>
      <c r="I7383" t="s">
        <v>53</v>
      </c>
    </row>
    <row r="7384" spans="1:9" x14ac:dyDescent="0.3">
      <c r="A7384" t="s">
        <v>20</v>
      </c>
      <c r="G7384">
        <v>44561</v>
      </c>
      <c r="H7384">
        <v>2021</v>
      </c>
      <c r="I7384" t="s">
        <v>53</v>
      </c>
    </row>
    <row r="7385" spans="1:9" x14ac:dyDescent="0.3">
      <c r="A7385" t="s">
        <v>37</v>
      </c>
      <c r="G7385">
        <v>44561</v>
      </c>
      <c r="H7385">
        <v>2021</v>
      </c>
      <c r="I7385" t="s">
        <v>53</v>
      </c>
    </row>
    <row r="7386" spans="1:9" x14ac:dyDescent="0.3">
      <c r="A7386" t="s">
        <v>17</v>
      </c>
      <c r="B7386">
        <v>694000</v>
      </c>
      <c r="C7386">
        <v>54000</v>
      </c>
      <c r="G7386">
        <v>44561</v>
      </c>
      <c r="H7386">
        <v>2021</v>
      </c>
      <c r="I7386" t="s">
        <v>53</v>
      </c>
    </row>
    <row r="7387" spans="1:9" x14ac:dyDescent="0.3">
      <c r="A7387" t="s">
        <v>0</v>
      </c>
      <c r="E7387">
        <v>644000</v>
      </c>
      <c r="G7387">
        <v>44561</v>
      </c>
      <c r="H7387">
        <v>2021</v>
      </c>
      <c r="I7387" t="s">
        <v>53</v>
      </c>
    </row>
    <row r="7388" spans="1:9" x14ac:dyDescent="0.3">
      <c r="A7388" t="s">
        <v>25</v>
      </c>
      <c r="C7388">
        <v>315000</v>
      </c>
      <c r="G7388">
        <v>44561</v>
      </c>
      <c r="H7388">
        <v>2021</v>
      </c>
      <c r="I7388" t="s">
        <v>53</v>
      </c>
    </row>
    <row r="7389" spans="1:9" x14ac:dyDescent="0.3">
      <c r="A7389" t="s">
        <v>15</v>
      </c>
      <c r="C7389">
        <v>162000</v>
      </c>
      <c r="G7389">
        <v>44561</v>
      </c>
      <c r="H7389">
        <v>2021</v>
      </c>
      <c r="I7389" t="s">
        <v>53</v>
      </c>
    </row>
    <row r="7390" spans="1:9" x14ac:dyDescent="0.3">
      <c r="A7390" t="s">
        <v>54</v>
      </c>
      <c r="B7390">
        <v>54000</v>
      </c>
      <c r="C7390">
        <v>162000</v>
      </c>
      <c r="G7390">
        <v>44561</v>
      </c>
      <c r="H7390">
        <v>2021</v>
      </c>
      <c r="I7390" t="s">
        <v>53</v>
      </c>
    </row>
    <row r="7391" spans="1:9" x14ac:dyDescent="0.3">
      <c r="A7391" t="s">
        <v>26</v>
      </c>
      <c r="C7391">
        <v>161500</v>
      </c>
      <c r="G7391">
        <v>44561</v>
      </c>
      <c r="H7391">
        <v>2021</v>
      </c>
      <c r="I7391" t="s">
        <v>53</v>
      </c>
    </row>
    <row r="7392" spans="1:9" x14ac:dyDescent="0.3">
      <c r="A7392" t="s">
        <v>22</v>
      </c>
      <c r="G7392">
        <v>44561</v>
      </c>
      <c r="H7392">
        <v>2021</v>
      </c>
      <c r="I7392" t="s">
        <v>53</v>
      </c>
    </row>
    <row r="7393" spans="1:9" x14ac:dyDescent="0.3">
      <c r="A7393" t="s">
        <v>61</v>
      </c>
      <c r="G7393">
        <v>44561</v>
      </c>
      <c r="H7393">
        <v>2021</v>
      </c>
      <c r="I7393" t="s">
        <v>53</v>
      </c>
    </row>
    <row r="7394" spans="1:9" x14ac:dyDescent="0.3">
      <c r="A7394" t="s">
        <v>19</v>
      </c>
      <c r="G7394">
        <v>44561</v>
      </c>
      <c r="H7394">
        <v>2021</v>
      </c>
      <c r="I7394" t="s">
        <v>53</v>
      </c>
    </row>
    <row r="7395" spans="1:9" x14ac:dyDescent="0.3">
      <c r="A7395" t="s">
        <v>14</v>
      </c>
      <c r="B7395">
        <v>1179000</v>
      </c>
      <c r="C7395">
        <v>266000</v>
      </c>
      <c r="G7395">
        <v>44561</v>
      </c>
      <c r="H7395">
        <v>2021</v>
      </c>
      <c r="I7395" t="s">
        <v>53</v>
      </c>
    </row>
    <row r="7396" spans="1:9" x14ac:dyDescent="0.3">
      <c r="A7396" t="s">
        <v>24</v>
      </c>
      <c r="G7396">
        <v>44561</v>
      </c>
      <c r="H7396">
        <v>2021</v>
      </c>
      <c r="I7396" t="s">
        <v>53</v>
      </c>
    </row>
    <row r="7397" spans="1:9" x14ac:dyDescent="0.3">
      <c r="A7397" t="s">
        <v>21</v>
      </c>
      <c r="G7397">
        <v>44561</v>
      </c>
      <c r="H7397">
        <v>2021</v>
      </c>
      <c r="I7397" t="s">
        <v>53</v>
      </c>
    </row>
    <row r="7398" spans="1:9" x14ac:dyDescent="0.3">
      <c r="A7398" t="s">
        <v>65</v>
      </c>
      <c r="G7398">
        <v>44561</v>
      </c>
      <c r="H7398">
        <v>2021</v>
      </c>
      <c r="I7398" t="s">
        <v>53</v>
      </c>
    </row>
    <row r="7399" spans="1:9" x14ac:dyDescent="0.3">
      <c r="A7399" t="s">
        <v>18</v>
      </c>
      <c r="G7399">
        <v>44561</v>
      </c>
      <c r="H7399">
        <v>2021</v>
      </c>
      <c r="I7399" t="s">
        <v>53</v>
      </c>
    </row>
    <row r="7400" spans="1:9" x14ac:dyDescent="0.3">
      <c r="A7400" t="s">
        <v>16</v>
      </c>
      <c r="C7400">
        <v>270000</v>
      </c>
      <c r="G7400">
        <v>44561</v>
      </c>
      <c r="H7400">
        <v>2021</v>
      </c>
      <c r="I7400" t="s">
        <v>53</v>
      </c>
    </row>
    <row r="7401" spans="1:9" x14ac:dyDescent="0.3">
      <c r="A7401" t="s">
        <v>20</v>
      </c>
      <c r="G7401">
        <v>44565</v>
      </c>
      <c r="H7401">
        <v>2022</v>
      </c>
      <c r="I7401" t="s">
        <v>42</v>
      </c>
    </row>
    <row r="7402" spans="1:9" x14ac:dyDescent="0.3">
      <c r="A7402" t="s">
        <v>37</v>
      </c>
      <c r="G7402">
        <v>44565</v>
      </c>
      <c r="H7402">
        <v>2022</v>
      </c>
      <c r="I7402" t="s">
        <v>42</v>
      </c>
    </row>
    <row r="7403" spans="1:9" x14ac:dyDescent="0.3">
      <c r="A7403" t="s">
        <v>17</v>
      </c>
      <c r="G7403">
        <v>44565</v>
      </c>
      <c r="H7403">
        <v>2022</v>
      </c>
      <c r="I7403" t="s">
        <v>42</v>
      </c>
    </row>
    <row r="7404" spans="1:9" x14ac:dyDescent="0.3">
      <c r="A7404" t="s">
        <v>0</v>
      </c>
      <c r="G7404">
        <v>44565</v>
      </c>
      <c r="H7404">
        <v>2022</v>
      </c>
      <c r="I7404" t="s">
        <v>42</v>
      </c>
    </row>
    <row r="7405" spans="1:9" x14ac:dyDescent="0.3">
      <c r="A7405" t="s">
        <v>25</v>
      </c>
      <c r="C7405">
        <v>108000</v>
      </c>
      <c r="G7405">
        <v>44565</v>
      </c>
      <c r="H7405">
        <v>2022</v>
      </c>
      <c r="I7405" t="s">
        <v>42</v>
      </c>
    </row>
    <row r="7406" spans="1:9" x14ac:dyDescent="0.3">
      <c r="A7406" t="s">
        <v>15</v>
      </c>
      <c r="C7406">
        <v>54000</v>
      </c>
      <c r="G7406">
        <v>44565</v>
      </c>
      <c r="H7406">
        <v>2022</v>
      </c>
      <c r="I7406" t="s">
        <v>42</v>
      </c>
    </row>
    <row r="7407" spans="1:9" x14ac:dyDescent="0.3">
      <c r="A7407" t="s">
        <v>54</v>
      </c>
      <c r="G7407">
        <v>44565</v>
      </c>
      <c r="H7407">
        <v>2022</v>
      </c>
      <c r="I7407" t="s">
        <v>42</v>
      </c>
    </row>
    <row r="7408" spans="1:9" x14ac:dyDescent="0.3">
      <c r="A7408" t="s">
        <v>26</v>
      </c>
      <c r="G7408">
        <v>44565</v>
      </c>
      <c r="H7408">
        <v>2022</v>
      </c>
      <c r="I7408" t="s">
        <v>42</v>
      </c>
    </row>
    <row r="7409" spans="1:9" x14ac:dyDescent="0.3">
      <c r="A7409" t="s">
        <v>22</v>
      </c>
      <c r="G7409">
        <v>44565</v>
      </c>
      <c r="H7409">
        <v>2022</v>
      </c>
      <c r="I7409" t="s">
        <v>42</v>
      </c>
    </row>
    <row r="7410" spans="1:9" x14ac:dyDescent="0.3">
      <c r="A7410" t="s">
        <v>61</v>
      </c>
      <c r="G7410">
        <v>44565</v>
      </c>
      <c r="H7410">
        <v>2022</v>
      </c>
      <c r="I7410" t="s">
        <v>42</v>
      </c>
    </row>
    <row r="7411" spans="1:9" x14ac:dyDescent="0.3">
      <c r="A7411" t="s">
        <v>19</v>
      </c>
      <c r="G7411">
        <v>44565</v>
      </c>
      <c r="H7411">
        <v>2022</v>
      </c>
      <c r="I7411" t="s">
        <v>42</v>
      </c>
    </row>
    <row r="7412" spans="1:9" x14ac:dyDescent="0.3">
      <c r="A7412" t="s">
        <v>14</v>
      </c>
      <c r="C7412">
        <v>54000</v>
      </c>
      <c r="G7412">
        <v>44565</v>
      </c>
      <c r="H7412">
        <v>2022</v>
      </c>
      <c r="I7412" t="s">
        <v>42</v>
      </c>
    </row>
    <row r="7413" spans="1:9" x14ac:dyDescent="0.3">
      <c r="A7413" t="s">
        <v>24</v>
      </c>
      <c r="G7413">
        <v>44565</v>
      </c>
      <c r="H7413">
        <v>2022</v>
      </c>
      <c r="I7413" t="s">
        <v>42</v>
      </c>
    </row>
    <row r="7414" spans="1:9" x14ac:dyDescent="0.3">
      <c r="A7414" t="s">
        <v>21</v>
      </c>
      <c r="G7414">
        <v>44565</v>
      </c>
      <c r="H7414">
        <v>2022</v>
      </c>
      <c r="I7414" t="s">
        <v>42</v>
      </c>
    </row>
    <row r="7415" spans="1:9" x14ac:dyDescent="0.3">
      <c r="A7415" t="s">
        <v>65</v>
      </c>
      <c r="G7415">
        <v>44565</v>
      </c>
      <c r="H7415">
        <v>2022</v>
      </c>
      <c r="I7415" t="s">
        <v>42</v>
      </c>
    </row>
    <row r="7416" spans="1:9" x14ac:dyDescent="0.3">
      <c r="A7416" t="s">
        <v>18</v>
      </c>
      <c r="G7416">
        <v>44565</v>
      </c>
      <c r="H7416">
        <v>2022</v>
      </c>
      <c r="I7416" t="s">
        <v>42</v>
      </c>
    </row>
    <row r="7417" spans="1:9" x14ac:dyDescent="0.3">
      <c r="A7417" t="s">
        <v>16</v>
      </c>
      <c r="C7417">
        <v>108000</v>
      </c>
      <c r="G7417">
        <v>44565</v>
      </c>
      <c r="H7417">
        <v>2022</v>
      </c>
      <c r="I7417" t="s">
        <v>42</v>
      </c>
    </row>
    <row r="7418" spans="1:9" x14ac:dyDescent="0.3">
      <c r="A7418" t="s">
        <v>20</v>
      </c>
      <c r="G7418">
        <v>44566</v>
      </c>
      <c r="H7418">
        <v>2022</v>
      </c>
      <c r="I7418" t="s">
        <v>42</v>
      </c>
    </row>
    <row r="7419" spans="1:9" x14ac:dyDescent="0.3">
      <c r="A7419" t="s">
        <v>37</v>
      </c>
      <c r="G7419">
        <v>44566</v>
      </c>
      <c r="H7419">
        <v>2022</v>
      </c>
      <c r="I7419" t="s">
        <v>42</v>
      </c>
    </row>
    <row r="7420" spans="1:9" x14ac:dyDescent="0.3">
      <c r="A7420" t="s">
        <v>17</v>
      </c>
      <c r="C7420">
        <v>157500</v>
      </c>
      <c r="G7420">
        <v>44566</v>
      </c>
      <c r="H7420">
        <v>2022</v>
      </c>
      <c r="I7420" t="s">
        <v>42</v>
      </c>
    </row>
    <row r="7421" spans="1:9" x14ac:dyDescent="0.3">
      <c r="A7421" t="s">
        <v>0</v>
      </c>
      <c r="E7421">
        <v>270000</v>
      </c>
      <c r="G7421">
        <v>44566</v>
      </c>
      <c r="H7421">
        <v>2022</v>
      </c>
      <c r="I7421" t="s">
        <v>42</v>
      </c>
    </row>
    <row r="7422" spans="1:9" x14ac:dyDescent="0.3">
      <c r="A7422" t="s">
        <v>25</v>
      </c>
      <c r="E7422">
        <v>108000</v>
      </c>
      <c r="G7422">
        <v>44566</v>
      </c>
      <c r="H7422">
        <v>2022</v>
      </c>
      <c r="I7422" t="s">
        <v>42</v>
      </c>
    </row>
    <row r="7423" spans="1:9" x14ac:dyDescent="0.3">
      <c r="A7423" t="s">
        <v>15</v>
      </c>
      <c r="C7423">
        <v>162000</v>
      </c>
      <c r="G7423">
        <v>44566</v>
      </c>
      <c r="H7423">
        <v>2022</v>
      </c>
      <c r="I7423" t="s">
        <v>42</v>
      </c>
    </row>
    <row r="7424" spans="1:9" x14ac:dyDescent="0.3">
      <c r="A7424" t="s">
        <v>54</v>
      </c>
      <c r="C7424">
        <v>162000</v>
      </c>
      <c r="G7424">
        <v>44566</v>
      </c>
      <c r="H7424">
        <v>2022</v>
      </c>
      <c r="I7424" t="s">
        <v>42</v>
      </c>
    </row>
    <row r="7425" spans="1:9" x14ac:dyDescent="0.3">
      <c r="A7425" t="s">
        <v>26</v>
      </c>
      <c r="C7425">
        <v>54000</v>
      </c>
      <c r="G7425">
        <v>44566</v>
      </c>
      <c r="H7425">
        <v>2022</v>
      </c>
      <c r="I7425" t="s">
        <v>42</v>
      </c>
    </row>
    <row r="7426" spans="1:9" x14ac:dyDescent="0.3">
      <c r="A7426" t="s">
        <v>22</v>
      </c>
      <c r="G7426">
        <v>44566</v>
      </c>
      <c r="H7426">
        <v>2022</v>
      </c>
      <c r="I7426" t="s">
        <v>42</v>
      </c>
    </row>
    <row r="7427" spans="1:9" x14ac:dyDescent="0.3">
      <c r="A7427" t="s">
        <v>61</v>
      </c>
      <c r="G7427">
        <v>44566</v>
      </c>
      <c r="H7427">
        <v>2022</v>
      </c>
      <c r="I7427" t="s">
        <v>42</v>
      </c>
    </row>
    <row r="7428" spans="1:9" x14ac:dyDescent="0.3">
      <c r="A7428" t="s">
        <v>19</v>
      </c>
      <c r="G7428">
        <v>44566</v>
      </c>
      <c r="H7428">
        <v>2022</v>
      </c>
      <c r="I7428" t="s">
        <v>42</v>
      </c>
    </row>
    <row r="7429" spans="1:9" x14ac:dyDescent="0.3">
      <c r="A7429" t="s">
        <v>14</v>
      </c>
      <c r="B7429">
        <v>355500</v>
      </c>
      <c r="C7429">
        <v>153000</v>
      </c>
      <c r="G7429">
        <v>44566</v>
      </c>
      <c r="H7429">
        <v>2022</v>
      </c>
      <c r="I7429" t="s">
        <v>42</v>
      </c>
    </row>
    <row r="7430" spans="1:9" x14ac:dyDescent="0.3">
      <c r="A7430" t="s">
        <v>24</v>
      </c>
      <c r="G7430">
        <v>44566</v>
      </c>
      <c r="H7430">
        <v>2022</v>
      </c>
      <c r="I7430" t="s">
        <v>42</v>
      </c>
    </row>
    <row r="7431" spans="1:9" x14ac:dyDescent="0.3">
      <c r="A7431" t="s">
        <v>21</v>
      </c>
      <c r="G7431">
        <v>44566</v>
      </c>
      <c r="H7431">
        <v>2022</v>
      </c>
      <c r="I7431" t="s">
        <v>42</v>
      </c>
    </row>
    <row r="7432" spans="1:9" x14ac:dyDescent="0.3">
      <c r="A7432" t="s">
        <v>65</v>
      </c>
      <c r="G7432">
        <v>44566</v>
      </c>
      <c r="H7432">
        <v>2022</v>
      </c>
      <c r="I7432" t="s">
        <v>42</v>
      </c>
    </row>
    <row r="7433" spans="1:9" x14ac:dyDescent="0.3">
      <c r="A7433" t="s">
        <v>18</v>
      </c>
      <c r="G7433">
        <v>44566</v>
      </c>
      <c r="H7433">
        <v>2022</v>
      </c>
      <c r="I7433" t="s">
        <v>42</v>
      </c>
    </row>
    <row r="7434" spans="1:9" x14ac:dyDescent="0.3">
      <c r="A7434" t="s">
        <v>16</v>
      </c>
      <c r="C7434">
        <v>162000</v>
      </c>
      <c r="E7434">
        <v>108000</v>
      </c>
      <c r="G7434">
        <v>44566</v>
      </c>
      <c r="H7434">
        <v>2022</v>
      </c>
      <c r="I7434" t="s">
        <v>42</v>
      </c>
    </row>
    <row r="7435" spans="1:9" x14ac:dyDescent="0.3">
      <c r="A7435" t="s">
        <v>20</v>
      </c>
      <c r="G7435">
        <v>44567</v>
      </c>
      <c r="H7435">
        <v>2022</v>
      </c>
      <c r="I7435" t="s">
        <v>42</v>
      </c>
    </row>
    <row r="7436" spans="1:9" x14ac:dyDescent="0.3">
      <c r="A7436" t="s">
        <v>37</v>
      </c>
      <c r="G7436">
        <v>44567</v>
      </c>
      <c r="H7436">
        <v>2022</v>
      </c>
      <c r="I7436" t="s">
        <v>42</v>
      </c>
    </row>
    <row r="7437" spans="1:9" x14ac:dyDescent="0.3">
      <c r="A7437" t="s">
        <v>17</v>
      </c>
      <c r="C7437">
        <v>162000</v>
      </c>
      <c r="E7437">
        <v>45000</v>
      </c>
      <c r="G7437">
        <v>44567</v>
      </c>
      <c r="H7437">
        <v>2022</v>
      </c>
      <c r="I7437" t="s">
        <v>42</v>
      </c>
    </row>
    <row r="7438" spans="1:9" x14ac:dyDescent="0.3">
      <c r="A7438" t="s">
        <v>0</v>
      </c>
      <c r="E7438">
        <v>486000</v>
      </c>
      <c r="G7438">
        <v>44567</v>
      </c>
      <c r="H7438">
        <v>2022</v>
      </c>
      <c r="I7438" t="s">
        <v>42</v>
      </c>
    </row>
    <row r="7439" spans="1:9" x14ac:dyDescent="0.3">
      <c r="A7439" t="s">
        <v>25</v>
      </c>
      <c r="C7439">
        <v>108000</v>
      </c>
      <c r="E7439">
        <v>104000</v>
      </c>
      <c r="G7439">
        <v>44567</v>
      </c>
      <c r="H7439">
        <v>2022</v>
      </c>
      <c r="I7439" t="s">
        <v>42</v>
      </c>
    </row>
    <row r="7440" spans="1:9" x14ac:dyDescent="0.3">
      <c r="A7440" t="s">
        <v>15</v>
      </c>
      <c r="C7440">
        <v>265500</v>
      </c>
      <c r="E7440">
        <v>45000</v>
      </c>
      <c r="G7440">
        <v>44567</v>
      </c>
      <c r="H7440">
        <v>2022</v>
      </c>
      <c r="I7440" t="s">
        <v>42</v>
      </c>
    </row>
    <row r="7441" spans="1:9" x14ac:dyDescent="0.3">
      <c r="A7441" t="s">
        <v>54</v>
      </c>
      <c r="C7441">
        <v>261000</v>
      </c>
      <c r="G7441">
        <v>44567</v>
      </c>
      <c r="H7441">
        <v>2022</v>
      </c>
      <c r="I7441" t="s">
        <v>42</v>
      </c>
    </row>
    <row r="7442" spans="1:9" x14ac:dyDescent="0.3">
      <c r="A7442" t="s">
        <v>26</v>
      </c>
      <c r="G7442">
        <v>44567</v>
      </c>
      <c r="H7442">
        <v>2022</v>
      </c>
      <c r="I7442" t="s">
        <v>42</v>
      </c>
    </row>
    <row r="7443" spans="1:9" x14ac:dyDescent="0.3">
      <c r="A7443" t="s">
        <v>22</v>
      </c>
      <c r="G7443">
        <v>44567</v>
      </c>
      <c r="H7443">
        <v>2022</v>
      </c>
      <c r="I7443" t="s">
        <v>42</v>
      </c>
    </row>
    <row r="7444" spans="1:9" x14ac:dyDescent="0.3">
      <c r="A7444" t="s">
        <v>61</v>
      </c>
      <c r="G7444">
        <v>44567</v>
      </c>
      <c r="H7444">
        <v>2022</v>
      </c>
      <c r="I7444" t="s">
        <v>42</v>
      </c>
    </row>
    <row r="7445" spans="1:9" x14ac:dyDescent="0.3">
      <c r="A7445" t="s">
        <v>19</v>
      </c>
      <c r="B7445">
        <v>486000</v>
      </c>
      <c r="F7445">
        <v>378000</v>
      </c>
      <c r="G7445">
        <v>44567</v>
      </c>
      <c r="H7445">
        <v>2022</v>
      </c>
      <c r="I7445" t="s">
        <v>42</v>
      </c>
    </row>
    <row r="7446" spans="1:9" x14ac:dyDescent="0.3">
      <c r="A7446" t="s">
        <v>14</v>
      </c>
      <c r="B7446">
        <v>45000</v>
      </c>
      <c r="C7446">
        <v>261000</v>
      </c>
      <c r="G7446">
        <v>44567</v>
      </c>
      <c r="H7446">
        <v>2022</v>
      </c>
      <c r="I7446" t="s">
        <v>42</v>
      </c>
    </row>
    <row r="7447" spans="1:9" x14ac:dyDescent="0.3">
      <c r="A7447" t="s">
        <v>24</v>
      </c>
      <c r="G7447">
        <v>44567</v>
      </c>
      <c r="H7447">
        <v>2022</v>
      </c>
      <c r="I7447" t="s">
        <v>42</v>
      </c>
    </row>
    <row r="7448" spans="1:9" x14ac:dyDescent="0.3">
      <c r="A7448" t="s">
        <v>21</v>
      </c>
      <c r="G7448">
        <v>44567</v>
      </c>
      <c r="H7448">
        <v>2022</v>
      </c>
      <c r="I7448" t="s">
        <v>42</v>
      </c>
    </row>
    <row r="7449" spans="1:9" x14ac:dyDescent="0.3">
      <c r="A7449" t="s">
        <v>65</v>
      </c>
      <c r="G7449">
        <v>44567</v>
      </c>
      <c r="H7449">
        <v>2022</v>
      </c>
      <c r="I7449" t="s">
        <v>42</v>
      </c>
    </row>
    <row r="7450" spans="1:9" x14ac:dyDescent="0.3">
      <c r="A7450" t="s">
        <v>18</v>
      </c>
      <c r="G7450">
        <v>44567</v>
      </c>
      <c r="H7450">
        <v>2022</v>
      </c>
      <c r="I7450" t="s">
        <v>42</v>
      </c>
    </row>
    <row r="7451" spans="1:9" x14ac:dyDescent="0.3">
      <c r="A7451" t="s">
        <v>16</v>
      </c>
      <c r="B7451">
        <v>432000</v>
      </c>
      <c r="C7451">
        <v>162000</v>
      </c>
      <c r="G7451">
        <v>44567</v>
      </c>
      <c r="H7451">
        <v>2022</v>
      </c>
      <c r="I7451" t="s">
        <v>42</v>
      </c>
    </row>
    <row r="7452" spans="1:9" x14ac:dyDescent="0.3">
      <c r="A7452" t="s">
        <v>20</v>
      </c>
      <c r="G7452">
        <v>44571</v>
      </c>
      <c r="H7452">
        <v>2022</v>
      </c>
      <c r="I7452" t="s">
        <v>42</v>
      </c>
    </row>
    <row r="7453" spans="1:9" x14ac:dyDescent="0.3">
      <c r="A7453" t="s">
        <v>37</v>
      </c>
      <c r="G7453">
        <v>44571</v>
      </c>
      <c r="H7453">
        <v>2022</v>
      </c>
      <c r="I7453" t="s">
        <v>42</v>
      </c>
    </row>
    <row r="7454" spans="1:9" x14ac:dyDescent="0.3">
      <c r="A7454" t="s">
        <v>17</v>
      </c>
      <c r="C7454">
        <v>108000</v>
      </c>
      <c r="G7454">
        <v>44571</v>
      </c>
      <c r="H7454">
        <v>2022</v>
      </c>
      <c r="I7454" t="s">
        <v>42</v>
      </c>
    </row>
    <row r="7455" spans="1:9" x14ac:dyDescent="0.3">
      <c r="A7455" t="s">
        <v>0</v>
      </c>
      <c r="E7455">
        <v>378000</v>
      </c>
      <c r="G7455">
        <v>44571</v>
      </c>
      <c r="H7455">
        <v>2022</v>
      </c>
      <c r="I7455" t="s">
        <v>42</v>
      </c>
    </row>
    <row r="7456" spans="1:9" x14ac:dyDescent="0.3">
      <c r="A7456" t="s">
        <v>25</v>
      </c>
      <c r="C7456">
        <v>108000</v>
      </c>
      <c r="E7456">
        <v>54000</v>
      </c>
      <c r="G7456">
        <v>44571</v>
      </c>
      <c r="H7456">
        <v>2022</v>
      </c>
      <c r="I7456" t="s">
        <v>42</v>
      </c>
    </row>
    <row r="7457" spans="1:9" x14ac:dyDescent="0.3">
      <c r="A7457" t="s">
        <v>15</v>
      </c>
      <c r="C7457">
        <v>108000</v>
      </c>
      <c r="G7457">
        <v>44571</v>
      </c>
      <c r="H7457">
        <v>2022</v>
      </c>
      <c r="I7457" t="s">
        <v>42</v>
      </c>
    </row>
    <row r="7458" spans="1:9" x14ac:dyDescent="0.3">
      <c r="A7458" t="s">
        <v>54</v>
      </c>
      <c r="C7458">
        <v>108000</v>
      </c>
      <c r="G7458">
        <v>44571</v>
      </c>
      <c r="H7458">
        <v>2022</v>
      </c>
      <c r="I7458" t="s">
        <v>42</v>
      </c>
    </row>
    <row r="7459" spans="1:9" x14ac:dyDescent="0.3">
      <c r="A7459" t="s">
        <v>26</v>
      </c>
      <c r="C7459">
        <v>162000</v>
      </c>
      <c r="G7459">
        <v>44571</v>
      </c>
      <c r="H7459">
        <v>2022</v>
      </c>
      <c r="I7459" t="s">
        <v>42</v>
      </c>
    </row>
    <row r="7460" spans="1:9" x14ac:dyDescent="0.3">
      <c r="A7460" t="s">
        <v>22</v>
      </c>
      <c r="G7460">
        <v>44571</v>
      </c>
      <c r="H7460">
        <v>2022</v>
      </c>
      <c r="I7460" t="s">
        <v>42</v>
      </c>
    </row>
    <row r="7461" spans="1:9" x14ac:dyDescent="0.3">
      <c r="A7461" t="s">
        <v>61</v>
      </c>
      <c r="G7461">
        <v>44571</v>
      </c>
      <c r="H7461">
        <v>2022</v>
      </c>
      <c r="I7461" t="s">
        <v>42</v>
      </c>
    </row>
    <row r="7462" spans="1:9" x14ac:dyDescent="0.3">
      <c r="A7462" t="s">
        <v>19</v>
      </c>
      <c r="B7462">
        <v>810000</v>
      </c>
      <c r="F7462">
        <v>324000</v>
      </c>
      <c r="G7462">
        <v>44571</v>
      </c>
      <c r="H7462">
        <v>2022</v>
      </c>
      <c r="I7462" t="s">
        <v>42</v>
      </c>
    </row>
    <row r="7463" spans="1:9" x14ac:dyDescent="0.3">
      <c r="A7463" t="s">
        <v>14</v>
      </c>
      <c r="C7463">
        <v>216000</v>
      </c>
      <c r="G7463">
        <v>44571</v>
      </c>
      <c r="H7463">
        <v>2022</v>
      </c>
      <c r="I7463" t="s">
        <v>42</v>
      </c>
    </row>
    <row r="7464" spans="1:9" x14ac:dyDescent="0.3">
      <c r="A7464" t="s">
        <v>24</v>
      </c>
      <c r="G7464">
        <v>44571</v>
      </c>
      <c r="H7464">
        <v>2022</v>
      </c>
      <c r="I7464" t="s">
        <v>42</v>
      </c>
    </row>
    <row r="7465" spans="1:9" x14ac:dyDescent="0.3">
      <c r="A7465" t="s">
        <v>21</v>
      </c>
      <c r="G7465">
        <v>44571</v>
      </c>
      <c r="H7465">
        <v>2022</v>
      </c>
      <c r="I7465" t="s">
        <v>42</v>
      </c>
    </row>
    <row r="7466" spans="1:9" x14ac:dyDescent="0.3">
      <c r="A7466" t="s">
        <v>65</v>
      </c>
      <c r="G7466">
        <v>44571</v>
      </c>
      <c r="H7466">
        <v>2022</v>
      </c>
      <c r="I7466" t="s">
        <v>42</v>
      </c>
    </row>
    <row r="7467" spans="1:9" x14ac:dyDescent="0.3">
      <c r="A7467" t="s">
        <v>18</v>
      </c>
      <c r="G7467">
        <v>44571</v>
      </c>
      <c r="H7467">
        <v>2022</v>
      </c>
      <c r="I7467" t="s">
        <v>42</v>
      </c>
    </row>
    <row r="7468" spans="1:9" x14ac:dyDescent="0.3">
      <c r="A7468" t="s">
        <v>16</v>
      </c>
      <c r="B7468">
        <v>378000</v>
      </c>
      <c r="C7468">
        <v>54000</v>
      </c>
      <c r="E7468">
        <v>54000</v>
      </c>
      <c r="G7468">
        <v>44571</v>
      </c>
      <c r="H7468">
        <v>2022</v>
      </c>
      <c r="I7468" t="s">
        <v>42</v>
      </c>
    </row>
    <row r="7469" spans="1:9" x14ac:dyDescent="0.3">
      <c r="A7469" t="s">
        <v>20</v>
      </c>
      <c r="G7469">
        <v>44572</v>
      </c>
      <c r="H7469">
        <v>2022</v>
      </c>
      <c r="I7469" t="s">
        <v>42</v>
      </c>
    </row>
    <row r="7470" spans="1:9" x14ac:dyDescent="0.3">
      <c r="A7470" t="s">
        <v>37</v>
      </c>
      <c r="C7470">
        <v>54000</v>
      </c>
      <c r="G7470">
        <v>44572</v>
      </c>
      <c r="H7470">
        <v>2022</v>
      </c>
      <c r="I7470" t="s">
        <v>42</v>
      </c>
    </row>
    <row r="7471" spans="1:9" x14ac:dyDescent="0.3">
      <c r="A7471" t="s">
        <v>17</v>
      </c>
      <c r="G7471">
        <v>44572</v>
      </c>
      <c r="H7471">
        <v>2022</v>
      </c>
      <c r="I7471" t="s">
        <v>42</v>
      </c>
    </row>
    <row r="7472" spans="1:9" x14ac:dyDescent="0.3">
      <c r="A7472" t="s">
        <v>0</v>
      </c>
      <c r="C7472">
        <v>108000</v>
      </c>
      <c r="E7472">
        <v>162000</v>
      </c>
      <c r="G7472">
        <v>44572</v>
      </c>
      <c r="H7472">
        <v>2022</v>
      </c>
      <c r="I7472" t="s">
        <v>42</v>
      </c>
    </row>
    <row r="7473" spans="1:9" x14ac:dyDescent="0.3">
      <c r="A7473" t="s">
        <v>25</v>
      </c>
      <c r="C7473">
        <v>108000</v>
      </c>
      <c r="G7473">
        <v>44572</v>
      </c>
      <c r="H7473">
        <v>2022</v>
      </c>
      <c r="I7473" t="s">
        <v>42</v>
      </c>
    </row>
    <row r="7474" spans="1:9" x14ac:dyDescent="0.3">
      <c r="A7474" t="s">
        <v>15</v>
      </c>
      <c r="C7474">
        <v>162000</v>
      </c>
      <c r="G7474">
        <v>44572</v>
      </c>
      <c r="H7474">
        <v>2022</v>
      </c>
      <c r="I7474" t="s">
        <v>42</v>
      </c>
    </row>
    <row r="7475" spans="1:9" x14ac:dyDescent="0.3">
      <c r="A7475" t="s">
        <v>54</v>
      </c>
      <c r="C7475">
        <v>364500</v>
      </c>
      <c r="G7475">
        <v>44572</v>
      </c>
      <c r="H7475">
        <v>2022</v>
      </c>
      <c r="I7475" t="s">
        <v>42</v>
      </c>
    </row>
    <row r="7476" spans="1:9" x14ac:dyDescent="0.3">
      <c r="A7476" t="s">
        <v>26</v>
      </c>
      <c r="G7476">
        <v>44572</v>
      </c>
      <c r="H7476">
        <v>2022</v>
      </c>
      <c r="I7476" t="s">
        <v>42</v>
      </c>
    </row>
    <row r="7477" spans="1:9" x14ac:dyDescent="0.3">
      <c r="A7477" t="s">
        <v>22</v>
      </c>
      <c r="G7477">
        <v>44572</v>
      </c>
      <c r="H7477">
        <v>2022</v>
      </c>
      <c r="I7477" t="s">
        <v>42</v>
      </c>
    </row>
    <row r="7478" spans="1:9" x14ac:dyDescent="0.3">
      <c r="A7478" t="s">
        <v>61</v>
      </c>
      <c r="G7478">
        <v>44572</v>
      </c>
      <c r="H7478">
        <v>2022</v>
      </c>
      <c r="I7478" t="s">
        <v>42</v>
      </c>
    </row>
    <row r="7479" spans="1:9" x14ac:dyDescent="0.3">
      <c r="A7479" t="s">
        <v>19</v>
      </c>
      <c r="B7479">
        <v>359500</v>
      </c>
      <c r="C7479">
        <v>324000</v>
      </c>
      <c r="F7479">
        <v>162000</v>
      </c>
      <c r="G7479">
        <v>44572</v>
      </c>
      <c r="H7479">
        <v>2022</v>
      </c>
      <c r="I7479" t="s">
        <v>42</v>
      </c>
    </row>
    <row r="7480" spans="1:9" x14ac:dyDescent="0.3">
      <c r="A7480" t="s">
        <v>14</v>
      </c>
      <c r="B7480">
        <v>54000</v>
      </c>
      <c r="C7480">
        <v>162000</v>
      </c>
      <c r="G7480">
        <v>44572</v>
      </c>
      <c r="H7480">
        <v>2022</v>
      </c>
      <c r="I7480" t="s">
        <v>42</v>
      </c>
    </row>
    <row r="7481" spans="1:9" x14ac:dyDescent="0.3">
      <c r="A7481" t="s">
        <v>24</v>
      </c>
      <c r="G7481">
        <v>44572</v>
      </c>
      <c r="H7481">
        <v>2022</v>
      </c>
      <c r="I7481" t="s">
        <v>42</v>
      </c>
    </row>
    <row r="7482" spans="1:9" x14ac:dyDescent="0.3">
      <c r="A7482" t="s">
        <v>21</v>
      </c>
      <c r="G7482">
        <v>44572</v>
      </c>
      <c r="H7482">
        <v>2022</v>
      </c>
      <c r="I7482" t="s">
        <v>42</v>
      </c>
    </row>
    <row r="7483" spans="1:9" x14ac:dyDescent="0.3">
      <c r="A7483" t="s">
        <v>65</v>
      </c>
      <c r="G7483">
        <v>44572</v>
      </c>
      <c r="H7483">
        <v>2022</v>
      </c>
      <c r="I7483" t="s">
        <v>42</v>
      </c>
    </row>
    <row r="7484" spans="1:9" x14ac:dyDescent="0.3">
      <c r="A7484" t="s">
        <v>18</v>
      </c>
      <c r="B7484">
        <v>216000</v>
      </c>
      <c r="C7484">
        <v>54000</v>
      </c>
      <c r="G7484">
        <v>44572</v>
      </c>
      <c r="H7484">
        <v>2022</v>
      </c>
      <c r="I7484" t="s">
        <v>42</v>
      </c>
    </row>
    <row r="7485" spans="1:9" x14ac:dyDescent="0.3">
      <c r="A7485" t="s">
        <v>16</v>
      </c>
      <c r="B7485">
        <v>324000</v>
      </c>
      <c r="C7485">
        <v>108000</v>
      </c>
      <c r="F7485">
        <v>216000</v>
      </c>
      <c r="G7485">
        <v>44572</v>
      </c>
      <c r="H7485">
        <v>2022</v>
      </c>
      <c r="I7485" t="s">
        <v>42</v>
      </c>
    </row>
    <row r="7486" spans="1:9" x14ac:dyDescent="0.3">
      <c r="A7486" t="s">
        <v>20</v>
      </c>
      <c r="G7486">
        <v>44573</v>
      </c>
      <c r="H7486">
        <v>2022</v>
      </c>
      <c r="I7486" t="s">
        <v>42</v>
      </c>
    </row>
    <row r="7487" spans="1:9" x14ac:dyDescent="0.3">
      <c r="A7487" t="s">
        <v>37</v>
      </c>
      <c r="C7487">
        <v>45000</v>
      </c>
      <c r="G7487">
        <v>44573</v>
      </c>
      <c r="H7487">
        <v>2022</v>
      </c>
      <c r="I7487" t="s">
        <v>42</v>
      </c>
    </row>
    <row r="7488" spans="1:9" x14ac:dyDescent="0.3">
      <c r="A7488" t="s">
        <v>17</v>
      </c>
      <c r="C7488">
        <v>54000</v>
      </c>
      <c r="G7488">
        <v>44573</v>
      </c>
      <c r="H7488">
        <v>2022</v>
      </c>
      <c r="I7488" t="s">
        <v>42</v>
      </c>
    </row>
    <row r="7489" spans="1:9" x14ac:dyDescent="0.3">
      <c r="A7489" t="s">
        <v>0</v>
      </c>
      <c r="B7489">
        <v>162000</v>
      </c>
      <c r="C7489">
        <v>162000</v>
      </c>
      <c r="F7489">
        <v>324000</v>
      </c>
      <c r="G7489">
        <v>44573</v>
      </c>
      <c r="H7489">
        <v>2022</v>
      </c>
      <c r="I7489" t="s">
        <v>42</v>
      </c>
    </row>
    <row r="7490" spans="1:9" x14ac:dyDescent="0.3">
      <c r="A7490" t="s">
        <v>25</v>
      </c>
      <c r="E7490">
        <v>158000</v>
      </c>
      <c r="G7490">
        <v>44573</v>
      </c>
      <c r="H7490">
        <v>2022</v>
      </c>
      <c r="I7490" t="s">
        <v>42</v>
      </c>
    </row>
    <row r="7491" spans="1:9" x14ac:dyDescent="0.3">
      <c r="A7491" t="s">
        <v>15</v>
      </c>
      <c r="C7491">
        <v>162000</v>
      </c>
      <c r="G7491">
        <v>44573</v>
      </c>
      <c r="H7491">
        <v>2022</v>
      </c>
      <c r="I7491" t="s">
        <v>42</v>
      </c>
    </row>
    <row r="7492" spans="1:9" x14ac:dyDescent="0.3">
      <c r="A7492" t="s">
        <v>54</v>
      </c>
      <c r="C7492">
        <v>324000</v>
      </c>
      <c r="G7492">
        <v>44573</v>
      </c>
      <c r="H7492">
        <v>2022</v>
      </c>
      <c r="I7492" t="s">
        <v>42</v>
      </c>
    </row>
    <row r="7493" spans="1:9" x14ac:dyDescent="0.3">
      <c r="A7493" t="s">
        <v>26</v>
      </c>
      <c r="G7493">
        <v>44573</v>
      </c>
      <c r="H7493">
        <v>2022</v>
      </c>
      <c r="I7493" t="s">
        <v>42</v>
      </c>
    </row>
    <row r="7494" spans="1:9" x14ac:dyDescent="0.3">
      <c r="A7494" t="s">
        <v>22</v>
      </c>
      <c r="G7494">
        <v>44573</v>
      </c>
      <c r="H7494">
        <v>2022</v>
      </c>
      <c r="I7494" t="s">
        <v>42</v>
      </c>
    </row>
    <row r="7495" spans="1:9" x14ac:dyDescent="0.3">
      <c r="A7495" t="s">
        <v>61</v>
      </c>
      <c r="G7495">
        <v>44573</v>
      </c>
      <c r="H7495">
        <v>2022</v>
      </c>
      <c r="I7495" t="s">
        <v>42</v>
      </c>
    </row>
    <row r="7496" spans="1:9" x14ac:dyDescent="0.3">
      <c r="A7496" t="s">
        <v>19</v>
      </c>
      <c r="B7496">
        <v>108000</v>
      </c>
      <c r="C7496">
        <v>252000</v>
      </c>
      <c r="F7496">
        <v>149000</v>
      </c>
      <c r="G7496">
        <v>44573</v>
      </c>
      <c r="H7496">
        <v>2022</v>
      </c>
      <c r="I7496" t="s">
        <v>42</v>
      </c>
    </row>
    <row r="7497" spans="1:9" x14ac:dyDescent="0.3">
      <c r="A7497" t="s">
        <v>14</v>
      </c>
      <c r="B7497">
        <v>432000</v>
      </c>
      <c r="C7497">
        <v>104000</v>
      </c>
      <c r="G7497">
        <v>44573</v>
      </c>
      <c r="H7497">
        <v>2022</v>
      </c>
      <c r="I7497" t="s">
        <v>42</v>
      </c>
    </row>
    <row r="7498" spans="1:9" x14ac:dyDescent="0.3">
      <c r="A7498" t="s">
        <v>24</v>
      </c>
      <c r="G7498">
        <v>44573</v>
      </c>
      <c r="H7498">
        <v>2022</v>
      </c>
      <c r="I7498" t="s">
        <v>42</v>
      </c>
    </row>
    <row r="7499" spans="1:9" x14ac:dyDescent="0.3">
      <c r="A7499" t="s">
        <v>21</v>
      </c>
      <c r="G7499">
        <v>44573</v>
      </c>
      <c r="H7499">
        <v>2022</v>
      </c>
      <c r="I7499" t="s">
        <v>42</v>
      </c>
    </row>
    <row r="7500" spans="1:9" x14ac:dyDescent="0.3">
      <c r="A7500" t="s">
        <v>65</v>
      </c>
      <c r="G7500">
        <v>44573</v>
      </c>
      <c r="H7500">
        <v>2022</v>
      </c>
      <c r="I7500" t="s">
        <v>42</v>
      </c>
    </row>
    <row r="7501" spans="1:9" x14ac:dyDescent="0.3">
      <c r="A7501" t="s">
        <v>18</v>
      </c>
      <c r="B7501">
        <v>54000</v>
      </c>
      <c r="C7501">
        <v>108000</v>
      </c>
      <c r="G7501">
        <v>44573</v>
      </c>
      <c r="H7501">
        <v>2022</v>
      </c>
      <c r="I7501" t="s">
        <v>42</v>
      </c>
    </row>
    <row r="7502" spans="1:9" x14ac:dyDescent="0.3">
      <c r="A7502" t="s">
        <v>16</v>
      </c>
      <c r="C7502">
        <v>194000</v>
      </c>
      <c r="E7502">
        <v>108000</v>
      </c>
      <c r="G7502">
        <v>44573</v>
      </c>
      <c r="H7502">
        <v>2022</v>
      </c>
      <c r="I7502" t="s">
        <v>42</v>
      </c>
    </row>
    <row r="7503" spans="1:9" x14ac:dyDescent="0.3">
      <c r="A7503" t="s">
        <v>20</v>
      </c>
      <c r="G7503">
        <v>44574</v>
      </c>
      <c r="H7503">
        <v>2022</v>
      </c>
      <c r="I7503" t="s">
        <v>42</v>
      </c>
    </row>
    <row r="7504" spans="1:9" x14ac:dyDescent="0.3">
      <c r="A7504" t="s">
        <v>37</v>
      </c>
      <c r="C7504">
        <v>100000</v>
      </c>
      <c r="G7504">
        <v>44574</v>
      </c>
      <c r="H7504">
        <v>2022</v>
      </c>
      <c r="I7504" t="s">
        <v>42</v>
      </c>
    </row>
    <row r="7505" spans="1:9" x14ac:dyDescent="0.3">
      <c r="A7505" t="s">
        <v>17</v>
      </c>
      <c r="C7505">
        <v>108000</v>
      </c>
      <c r="G7505">
        <v>44574</v>
      </c>
      <c r="H7505">
        <v>2022</v>
      </c>
      <c r="I7505" t="s">
        <v>42</v>
      </c>
    </row>
    <row r="7506" spans="1:9" x14ac:dyDescent="0.3">
      <c r="A7506" t="s">
        <v>0</v>
      </c>
      <c r="B7506">
        <v>481500</v>
      </c>
      <c r="C7506">
        <v>320000</v>
      </c>
      <c r="F7506">
        <v>162000</v>
      </c>
      <c r="G7506">
        <v>44574</v>
      </c>
      <c r="H7506">
        <v>2022</v>
      </c>
      <c r="I7506" t="s">
        <v>42</v>
      </c>
    </row>
    <row r="7507" spans="1:9" x14ac:dyDescent="0.3">
      <c r="A7507" t="s">
        <v>25</v>
      </c>
      <c r="C7507">
        <v>162000</v>
      </c>
      <c r="G7507">
        <v>44574</v>
      </c>
      <c r="H7507">
        <v>2022</v>
      </c>
      <c r="I7507" t="s">
        <v>42</v>
      </c>
    </row>
    <row r="7508" spans="1:9" x14ac:dyDescent="0.3">
      <c r="A7508" t="s">
        <v>15</v>
      </c>
      <c r="G7508">
        <v>44574</v>
      </c>
      <c r="H7508">
        <v>2022</v>
      </c>
      <c r="I7508" t="s">
        <v>42</v>
      </c>
    </row>
    <row r="7509" spans="1:9" x14ac:dyDescent="0.3">
      <c r="A7509" t="s">
        <v>54</v>
      </c>
      <c r="C7509">
        <v>54000</v>
      </c>
      <c r="G7509">
        <v>44574</v>
      </c>
      <c r="H7509">
        <v>2022</v>
      </c>
      <c r="I7509" t="s">
        <v>42</v>
      </c>
    </row>
    <row r="7510" spans="1:9" x14ac:dyDescent="0.3">
      <c r="A7510" t="s">
        <v>26</v>
      </c>
      <c r="G7510">
        <v>44574</v>
      </c>
      <c r="H7510">
        <v>2022</v>
      </c>
      <c r="I7510" t="s">
        <v>42</v>
      </c>
    </row>
    <row r="7511" spans="1:9" x14ac:dyDescent="0.3">
      <c r="A7511" t="s">
        <v>22</v>
      </c>
      <c r="G7511">
        <v>44574</v>
      </c>
      <c r="H7511">
        <v>2022</v>
      </c>
      <c r="I7511" t="s">
        <v>42</v>
      </c>
    </row>
    <row r="7512" spans="1:9" x14ac:dyDescent="0.3">
      <c r="A7512" t="s">
        <v>61</v>
      </c>
      <c r="G7512">
        <v>44574</v>
      </c>
      <c r="H7512">
        <v>2022</v>
      </c>
      <c r="I7512" t="s">
        <v>42</v>
      </c>
    </row>
    <row r="7513" spans="1:9" x14ac:dyDescent="0.3">
      <c r="A7513" t="s">
        <v>19</v>
      </c>
      <c r="B7513">
        <v>162000</v>
      </c>
      <c r="C7513">
        <v>324000</v>
      </c>
      <c r="G7513">
        <v>44574</v>
      </c>
      <c r="H7513">
        <v>2022</v>
      </c>
      <c r="I7513" t="s">
        <v>42</v>
      </c>
    </row>
    <row r="7514" spans="1:9" x14ac:dyDescent="0.3">
      <c r="A7514" t="s">
        <v>14</v>
      </c>
      <c r="B7514">
        <v>108000</v>
      </c>
      <c r="C7514">
        <v>216000</v>
      </c>
      <c r="G7514">
        <v>44574</v>
      </c>
      <c r="H7514">
        <v>2022</v>
      </c>
      <c r="I7514" t="s">
        <v>42</v>
      </c>
    </row>
    <row r="7515" spans="1:9" x14ac:dyDescent="0.3">
      <c r="A7515" t="s">
        <v>24</v>
      </c>
      <c r="G7515">
        <v>44574</v>
      </c>
      <c r="H7515">
        <v>2022</v>
      </c>
      <c r="I7515" t="s">
        <v>42</v>
      </c>
    </row>
    <row r="7516" spans="1:9" x14ac:dyDescent="0.3">
      <c r="A7516" t="s">
        <v>21</v>
      </c>
      <c r="G7516">
        <v>44574</v>
      </c>
      <c r="H7516">
        <v>2022</v>
      </c>
      <c r="I7516" t="s">
        <v>42</v>
      </c>
    </row>
    <row r="7517" spans="1:9" x14ac:dyDescent="0.3">
      <c r="A7517" t="s">
        <v>65</v>
      </c>
      <c r="G7517">
        <v>44574</v>
      </c>
      <c r="H7517">
        <v>2022</v>
      </c>
      <c r="I7517" t="s">
        <v>42</v>
      </c>
    </row>
    <row r="7518" spans="1:9" x14ac:dyDescent="0.3">
      <c r="A7518" t="s">
        <v>18</v>
      </c>
      <c r="B7518">
        <v>54000</v>
      </c>
      <c r="G7518">
        <v>44574</v>
      </c>
      <c r="H7518">
        <v>2022</v>
      </c>
      <c r="I7518" t="s">
        <v>42</v>
      </c>
    </row>
    <row r="7519" spans="1:9" x14ac:dyDescent="0.3">
      <c r="A7519" t="s">
        <v>16</v>
      </c>
      <c r="B7519">
        <v>207000</v>
      </c>
      <c r="C7519">
        <v>108000</v>
      </c>
      <c r="G7519">
        <v>44574</v>
      </c>
      <c r="H7519">
        <v>2022</v>
      </c>
      <c r="I7519" t="s">
        <v>42</v>
      </c>
    </row>
    <row r="7520" spans="1:9" x14ac:dyDescent="0.3">
      <c r="A7520" t="s">
        <v>20</v>
      </c>
      <c r="G7520">
        <v>44575</v>
      </c>
      <c r="H7520">
        <v>2022</v>
      </c>
      <c r="I7520" t="s">
        <v>42</v>
      </c>
    </row>
    <row r="7521" spans="1:9" x14ac:dyDescent="0.3">
      <c r="A7521" t="s">
        <v>37</v>
      </c>
      <c r="C7521">
        <v>50000</v>
      </c>
      <c r="G7521">
        <v>44575</v>
      </c>
      <c r="H7521">
        <v>2022</v>
      </c>
      <c r="I7521" t="s">
        <v>42</v>
      </c>
    </row>
    <row r="7522" spans="1:9" x14ac:dyDescent="0.3">
      <c r="A7522" t="s">
        <v>17</v>
      </c>
      <c r="C7522">
        <v>108000</v>
      </c>
      <c r="G7522">
        <v>44575</v>
      </c>
      <c r="H7522">
        <v>2022</v>
      </c>
      <c r="I7522" t="s">
        <v>42</v>
      </c>
    </row>
    <row r="7523" spans="1:9" x14ac:dyDescent="0.3">
      <c r="A7523" t="s">
        <v>0</v>
      </c>
      <c r="B7523">
        <v>261000</v>
      </c>
      <c r="C7523">
        <v>216000</v>
      </c>
      <c r="F7523">
        <v>54000</v>
      </c>
      <c r="G7523">
        <v>44575</v>
      </c>
      <c r="H7523">
        <v>2022</v>
      </c>
      <c r="I7523" t="s">
        <v>42</v>
      </c>
    </row>
    <row r="7524" spans="1:9" x14ac:dyDescent="0.3">
      <c r="A7524" t="s">
        <v>25</v>
      </c>
      <c r="B7524">
        <v>432000</v>
      </c>
      <c r="C7524">
        <v>468000</v>
      </c>
      <c r="F7524">
        <v>486000</v>
      </c>
      <c r="G7524">
        <v>44575</v>
      </c>
      <c r="H7524">
        <v>2022</v>
      </c>
      <c r="I7524" t="s">
        <v>42</v>
      </c>
    </row>
    <row r="7525" spans="1:9" x14ac:dyDescent="0.3">
      <c r="A7525" t="s">
        <v>15</v>
      </c>
      <c r="B7525">
        <v>45000</v>
      </c>
      <c r="C7525">
        <v>270000</v>
      </c>
      <c r="G7525">
        <v>44575</v>
      </c>
      <c r="H7525">
        <v>2022</v>
      </c>
      <c r="I7525" t="s">
        <v>42</v>
      </c>
    </row>
    <row r="7526" spans="1:9" x14ac:dyDescent="0.3">
      <c r="A7526" t="s">
        <v>54</v>
      </c>
      <c r="C7526">
        <v>270000</v>
      </c>
      <c r="G7526">
        <v>44575</v>
      </c>
      <c r="H7526">
        <v>2022</v>
      </c>
      <c r="I7526" t="s">
        <v>42</v>
      </c>
    </row>
    <row r="7527" spans="1:9" x14ac:dyDescent="0.3">
      <c r="A7527" t="s">
        <v>26</v>
      </c>
      <c r="C7527">
        <v>54000</v>
      </c>
      <c r="G7527">
        <v>44575</v>
      </c>
      <c r="H7527">
        <v>2022</v>
      </c>
      <c r="I7527" t="s">
        <v>42</v>
      </c>
    </row>
    <row r="7528" spans="1:9" x14ac:dyDescent="0.3">
      <c r="A7528" t="s">
        <v>22</v>
      </c>
      <c r="G7528">
        <v>44575</v>
      </c>
      <c r="H7528">
        <v>2022</v>
      </c>
      <c r="I7528" t="s">
        <v>42</v>
      </c>
    </row>
    <row r="7529" spans="1:9" x14ac:dyDescent="0.3">
      <c r="A7529" t="s">
        <v>61</v>
      </c>
      <c r="G7529">
        <v>44575</v>
      </c>
      <c r="H7529">
        <v>2022</v>
      </c>
      <c r="I7529" t="s">
        <v>42</v>
      </c>
    </row>
    <row r="7530" spans="1:9" x14ac:dyDescent="0.3">
      <c r="A7530" t="s">
        <v>19</v>
      </c>
      <c r="B7530">
        <v>216000</v>
      </c>
      <c r="C7530">
        <v>324000</v>
      </c>
      <c r="F7530">
        <v>90000</v>
      </c>
      <c r="G7530">
        <v>44575</v>
      </c>
      <c r="H7530">
        <v>2022</v>
      </c>
      <c r="I7530" t="s">
        <v>42</v>
      </c>
    </row>
    <row r="7531" spans="1:9" x14ac:dyDescent="0.3">
      <c r="A7531" t="s">
        <v>14</v>
      </c>
      <c r="B7531">
        <v>430000</v>
      </c>
      <c r="C7531">
        <v>216000</v>
      </c>
      <c r="G7531">
        <v>44575</v>
      </c>
      <c r="H7531">
        <v>2022</v>
      </c>
      <c r="I7531" t="s">
        <v>42</v>
      </c>
    </row>
    <row r="7532" spans="1:9" x14ac:dyDescent="0.3">
      <c r="A7532" t="s">
        <v>24</v>
      </c>
      <c r="G7532">
        <v>44575</v>
      </c>
      <c r="H7532">
        <v>2022</v>
      </c>
      <c r="I7532" t="s">
        <v>42</v>
      </c>
    </row>
    <row r="7533" spans="1:9" x14ac:dyDescent="0.3">
      <c r="A7533" t="s">
        <v>21</v>
      </c>
      <c r="G7533">
        <v>44575</v>
      </c>
      <c r="H7533">
        <v>2022</v>
      </c>
      <c r="I7533" t="s">
        <v>42</v>
      </c>
    </row>
    <row r="7534" spans="1:9" x14ac:dyDescent="0.3">
      <c r="A7534" t="s">
        <v>65</v>
      </c>
      <c r="G7534">
        <v>44575</v>
      </c>
      <c r="H7534">
        <v>2022</v>
      </c>
      <c r="I7534" t="s">
        <v>42</v>
      </c>
    </row>
    <row r="7535" spans="1:9" x14ac:dyDescent="0.3">
      <c r="A7535" t="s">
        <v>18</v>
      </c>
      <c r="B7535">
        <v>158000</v>
      </c>
      <c r="C7535">
        <v>149000</v>
      </c>
      <c r="G7535">
        <v>44575</v>
      </c>
      <c r="H7535">
        <v>2022</v>
      </c>
      <c r="I7535" t="s">
        <v>42</v>
      </c>
    </row>
    <row r="7536" spans="1:9" x14ac:dyDescent="0.3">
      <c r="A7536" t="s">
        <v>16</v>
      </c>
      <c r="B7536">
        <v>323500</v>
      </c>
      <c r="C7536">
        <v>153000</v>
      </c>
      <c r="G7536">
        <v>44575</v>
      </c>
      <c r="H7536">
        <v>2022</v>
      </c>
      <c r="I7536" t="s">
        <v>42</v>
      </c>
    </row>
    <row r="7537" spans="1:9" x14ac:dyDescent="0.3">
      <c r="A7537" t="s">
        <v>20</v>
      </c>
      <c r="G7537">
        <v>44578</v>
      </c>
      <c r="H7537">
        <v>2022</v>
      </c>
      <c r="I7537" t="s">
        <v>42</v>
      </c>
    </row>
    <row r="7538" spans="1:9" x14ac:dyDescent="0.3">
      <c r="A7538" t="s">
        <v>37</v>
      </c>
      <c r="C7538">
        <v>50000</v>
      </c>
      <c r="G7538">
        <v>44578</v>
      </c>
      <c r="H7538">
        <v>2022</v>
      </c>
      <c r="I7538" t="s">
        <v>42</v>
      </c>
    </row>
    <row r="7539" spans="1:9" x14ac:dyDescent="0.3">
      <c r="A7539" t="s">
        <v>17</v>
      </c>
      <c r="C7539">
        <v>158000</v>
      </c>
      <c r="G7539">
        <v>44578</v>
      </c>
      <c r="H7539">
        <v>2022</v>
      </c>
      <c r="I7539" t="s">
        <v>42</v>
      </c>
    </row>
    <row r="7540" spans="1:9" x14ac:dyDescent="0.3">
      <c r="A7540" t="s">
        <v>0</v>
      </c>
      <c r="C7540">
        <v>265500</v>
      </c>
      <c r="G7540">
        <v>44578</v>
      </c>
      <c r="H7540">
        <v>2022</v>
      </c>
      <c r="I7540" t="s">
        <v>42</v>
      </c>
    </row>
    <row r="7541" spans="1:9" x14ac:dyDescent="0.3">
      <c r="A7541" t="s">
        <v>25</v>
      </c>
      <c r="B7541">
        <v>756000</v>
      </c>
      <c r="C7541">
        <v>108000</v>
      </c>
      <c r="E7541">
        <v>486000</v>
      </c>
      <c r="F7541">
        <v>459000</v>
      </c>
      <c r="G7541">
        <v>44578</v>
      </c>
      <c r="H7541">
        <v>2022</v>
      </c>
      <c r="I7541" t="s">
        <v>42</v>
      </c>
    </row>
    <row r="7542" spans="1:9" x14ac:dyDescent="0.3">
      <c r="A7542" t="s">
        <v>15</v>
      </c>
      <c r="B7542">
        <v>50000</v>
      </c>
      <c r="C7542">
        <v>108000</v>
      </c>
      <c r="G7542">
        <v>44578</v>
      </c>
      <c r="H7542">
        <v>2022</v>
      </c>
      <c r="I7542" t="s">
        <v>42</v>
      </c>
    </row>
    <row r="7543" spans="1:9" x14ac:dyDescent="0.3">
      <c r="A7543" t="s">
        <v>54</v>
      </c>
      <c r="B7543">
        <v>108000</v>
      </c>
      <c r="C7543">
        <v>108000</v>
      </c>
      <c r="G7543">
        <v>44578</v>
      </c>
      <c r="H7543">
        <v>2022</v>
      </c>
      <c r="I7543" t="s">
        <v>42</v>
      </c>
    </row>
    <row r="7544" spans="1:9" x14ac:dyDescent="0.3">
      <c r="A7544" t="s">
        <v>26</v>
      </c>
      <c r="G7544">
        <v>44578</v>
      </c>
      <c r="H7544">
        <v>2022</v>
      </c>
      <c r="I7544" t="s">
        <v>42</v>
      </c>
    </row>
    <row r="7545" spans="1:9" x14ac:dyDescent="0.3">
      <c r="A7545" t="s">
        <v>22</v>
      </c>
      <c r="G7545">
        <v>44578</v>
      </c>
      <c r="H7545">
        <v>2022</v>
      </c>
      <c r="I7545" t="s">
        <v>42</v>
      </c>
    </row>
    <row r="7546" spans="1:9" x14ac:dyDescent="0.3">
      <c r="A7546" t="s">
        <v>61</v>
      </c>
      <c r="G7546">
        <v>44578</v>
      </c>
      <c r="H7546">
        <v>2022</v>
      </c>
      <c r="I7546" t="s">
        <v>42</v>
      </c>
    </row>
    <row r="7547" spans="1:9" x14ac:dyDescent="0.3">
      <c r="A7547" t="s">
        <v>19</v>
      </c>
      <c r="B7547">
        <v>265500</v>
      </c>
      <c r="C7547">
        <v>216000</v>
      </c>
      <c r="G7547">
        <v>44578</v>
      </c>
      <c r="H7547">
        <v>2022</v>
      </c>
      <c r="I7547" t="s">
        <v>42</v>
      </c>
    </row>
    <row r="7548" spans="1:9" x14ac:dyDescent="0.3">
      <c r="A7548" t="s">
        <v>14</v>
      </c>
      <c r="B7548">
        <v>540000</v>
      </c>
      <c r="C7548">
        <v>54000</v>
      </c>
      <c r="G7548">
        <v>44578</v>
      </c>
      <c r="H7548">
        <v>2022</v>
      </c>
      <c r="I7548" t="s">
        <v>42</v>
      </c>
    </row>
    <row r="7549" spans="1:9" x14ac:dyDescent="0.3">
      <c r="A7549" t="s">
        <v>24</v>
      </c>
      <c r="G7549">
        <v>44578</v>
      </c>
      <c r="H7549">
        <v>2022</v>
      </c>
      <c r="I7549" t="s">
        <v>42</v>
      </c>
    </row>
    <row r="7550" spans="1:9" x14ac:dyDescent="0.3">
      <c r="A7550" t="s">
        <v>21</v>
      </c>
      <c r="G7550">
        <v>44578</v>
      </c>
      <c r="H7550">
        <v>2022</v>
      </c>
      <c r="I7550" t="s">
        <v>42</v>
      </c>
    </row>
    <row r="7551" spans="1:9" x14ac:dyDescent="0.3">
      <c r="A7551" t="s">
        <v>65</v>
      </c>
      <c r="G7551">
        <v>44578</v>
      </c>
      <c r="H7551">
        <v>2022</v>
      </c>
      <c r="I7551" t="s">
        <v>42</v>
      </c>
    </row>
    <row r="7552" spans="1:9" x14ac:dyDescent="0.3">
      <c r="A7552" t="s">
        <v>18</v>
      </c>
      <c r="B7552">
        <v>54000</v>
      </c>
      <c r="C7552">
        <v>162000</v>
      </c>
      <c r="G7552">
        <v>44578</v>
      </c>
      <c r="H7552">
        <v>2022</v>
      </c>
      <c r="I7552" t="s">
        <v>42</v>
      </c>
    </row>
    <row r="7553" spans="1:9" x14ac:dyDescent="0.3">
      <c r="A7553" t="s">
        <v>16</v>
      </c>
      <c r="B7553">
        <v>324000</v>
      </c>
      <c r="E7553">
        <v>108000</v>
      </c>
      <c r="G7553">
        <v>44578</v>
      </c>
      <c r="H7553">
        <v>2022</v>
      </c>
      <c r="I7553" t="s">
        <v>42</v>
      </c>
    </row>
    <row r="7554" spans="1:9" x14ac:dyDescent="0.3">
      <c r="A7554" t="s">
        <v>20</v>
      </c>
      <c r="G7554">
        <v>44579</v>
      </c>
      <c r="H7554">
        <v>2022</v>
      </c>
      <c r="I7554" t="s">
        <v>42</v>
      </c>
    </row>
    <row r="7555" spans="1:9" x14ac:dyDescent="0.3">
      <c r="A7555" t="s">
        <v>37</v>
      </c>
      <c r="G7555">
        <v>44579</v>
      </c>
      <c r="H7555">
        <v>2022</v>
      </c>
      <c r="I7555" t="s">
        <v>42</v>
      </c>
    </row>
    <row r="7556" spans="1:9" x14ac:dyDescent="0.3">
      <c r="A7556" t="s">
        <v>17</v>
      </c>
      <c r="E7556">
        <v>45000</v>
      </c>
      <c r="G7556">
        <v>44579</v>
      </c>
      <c r="H7556">
        <v>2022</v>
      </c>
      <c r="I7556" t="s">
        <v>42</v>
      </c>
    </row>
    <row r="7557" spans="1:9" x14ac:dyDescent="0.3">
      <c r="A7557" t="s">
        <v>0</v>
      </c>
      <c r="C7557">
        <v>378000</v>
      </c>
      <c r="G7557">
        <v>44579</v>
      </c>
      <c r="H7557">
        <v>2022</v>
      </c>
      <c r="I7557" t="s">
        <v>42</v>
      </c>
    </row>
    <row r="7558" spans="1:9" x14ac:dyDescent="0.3">
      <c r="A7558" t="s">
        <v>25</v>
      </c>
      <c r="B7558">
        <v>315000</v>
      </c>
      <c r="C7558">
        <v>486000</v>
      </c>
      <c r="E7558">
        <v>45000</v>
      </c>
      <c r="G7558">
        <v>44579</v>
      </c>
      <c r="H7558">
        <v>2022</v>
      </c>
      <c r="I7558" t="s">
        <v>42</v>
      </c>
    </row>
    <row r="7559" spans="1:9" x14ac:dyDescent="0.3">
      <c r="A7559" t="s">
        <v>15</v>
      </c>
      <c r="C7559">
        <v>108000</v>
      </c>
      <c r="G7559">
        <v>44579</v>
      </c>
      <c r="H7559">
        <v>2022</v>
      </c>
      <c r="I7559" t="s">
        <v>42</v>
      </c>
    </row>
    <row r="7560" spans="1:9" x14ac:dyDescent="0.3">
      <c r="A7560" t="s">
        <v>54</v>
      </c>
      <c r="B7560">
        <v>481500</v>
      </c>
      <c r="C7560">
        <v>369500</v>
      </c>
      <c r="F7560">
        <v>540000</v>
      </c>
      <c r="G7560">
        <v>44579</v>
      </c>
      <c r="H7560">
        <v>2022</v>
      </c>
      <c r="I7560" t="s">
        <v>42</v>
      </c>
    </row>
    <row r="7561" spans="1:9" x14ac:dyDescent="0.3">
      <c r="A7561" t="s">
        <v>26</v>
      </c>
      <c r="C7561">
        <v>99000</v>
      </c>
      <c r="G7561">
        <v>44579</v>
      </c>
      <c r="H7561">
        <v>2022</v>
      </c>
      <c r="I7561" t="s">
        <v>42</v>
      </c>
    </row>
    <row r="7562" spans="1:9" x14ac:dyDescent="0.3">
      <c r="A7562" t="s">
        <v>22</v>
      </c>
      <c r="G7562">
        <v>44579</v>
      </c>
      <c r="H7562">
        <v>2022</v>
      </c>
      <c r="I7562" t="s">
        <v>42</v>
      </c>
    </row>
    <row r="7563" spans="1:9" x14ac:dyDescent="0.3">
      <c r="A7563" t="s">
        <v>61</v>
      </c>
      <c r="G7563">
        <v>44579</v>
      </c>
      <c r="H7563">
        <v>2022</v>
      </c>
      <c r="I7563" t="s">
        <v>42</v>
      </c>
    </row>
    <row r="7564" spans="1:9" x14ac:dyDescent="0.3">
      <c r="A7564" t="s">
        <v>19</v>
      </c>
      <c r="B7564">
        <v>265500</v>
      </c>
      <c r="D7564">
        <v>540000</v>
      </c>
      <c r="F7564">
        <v>97000</v>
      </c>
      <c r="G7564">
        <v>44579</v>
      </c>
      <c r="H7564">
        <v>2022</v>
      </c>
      <c r="I7564" t="s">
        <v>42</v>
      </c>
    </row>
    <row r="7565" spans="1:9" x14ac:dyDescent="0.3">
      <c r="A7565" t="s">
        <v>14</v>
      </c>
      <c r="B7565">
        <v>373500</v>
      </c>
      <c r="C7565">
        <v>315000</v>
      </c>
      <c r="G7565">
        <v>44579</v>
      </c>
      <c r="H7565">
        <v>2022</v>
      </c>
      <c r="I7565" t="s">
        <v>42</v>
      </c>
    </row>
    <row r="7566" spans="1:9" x14ac:dyDescent="0.3">
      <c r="A7566" t="s">
        <v>24</v>
      </c>
      <c r="G7566">
        <v>44579</v>
      </c>
      <c r="H7566">
        <v>2022</v>
      </c>
      <c r="I7566" t="s">
        <v>42</v>
      </c>
    </row>
    <row r="7567" spans="1:9" x14ac:dyDescent="0.3">
      <c r="A7567" t="s">
        <v>21</v>
      </c>
      <c r="G7567">
        <v>44579</v>
      </c>
      <c r="H7567">
        <v>2022</v>
      </c>
      <c r="I7567" t="s">
        <v>42</v>
      </c>
    </row>
    <row r="7568" spans="1:9" x14ac:dyDescent="0.3">
      <c r="A7568" t="s">
        <v>65</v>
      </c>
      <c r="G7568">
        <v>44579</v>
      </c>
      <c r="H7568">
        <v>2022</v>
      </c>
      <c r="I7568" t="s">
        <v>42</v>
      </c>
    </row>
    <row r="7569" spans="1:9" x14ac:dyDescent="0.3">
      <c r="A7569" t="s">
        <v>18</v>
      </c>
      <c r="C7569">
        <v>211500</v>
      </c>
      <c r="G7569">
        <v>44579</v>
      </c>
      <c r="H7569">
        <v>2022</v>
      </c>
      <c r="I7569" t="s">
        <v>42</v>
      </c>
    </row>
    <row r="7570" spans="1:9" x14ac:dyDescent="0.3">
      <c r="A7570" t="s">
        <v>16</v>
      </c>
      <c r="B7570">
        <v>270000</v>
      </c>
      <c r="G7570">
        <v>44579</v>
      </c>
      <c r="H7570">
        <v>2022</v>
      </c>
      <c r="I7570" t="s">
        <v>42</v>
      </c>
    </row>
    <row r="7571" spans="1:9" x14ac:dyDescent="0.3">
      <c r="A7571" t="s">
        <v>20</v>
      </c>
      <c r="G7571">
        <v>44580</v>
      </c>
      <c r="H7571">
        <v>2022</v>
      </c>
      <c r="I7571" t="s">
        <v>42</v>
      </c>
    </row>
    <row r="7572" spans="1:9" x14ac:dyDescent="0.3">
      <c r="A7572" t="s">
        <v>37</v>
      </c>
      <c r="D7572">
        <v>50000</v>
      </c>
      <c r="G7572">
        <v>44580</v>
      </c>
      <c r="H7572">
        <v>2022</v>
      </c>
      <c r="I7572" t="s">
        <v>42</v>
      </c>
    </row>
    <row r="7573" spans="1:9" x14ac:dyDescent="0.3">
      <c r="A7573" t="s">
        <v>17</v>
      </c>
      <c r="C7573">
        <v>157500</v>
      </c>
      <c r="G7573">
        <v>44580</v>
      </c>
      <c r="H7573">
        <v>2022</v>
      </c>
      <c r="I7573" t="s">
        <v>42</v>
      </c>
    </row>
    <row r="7574" spans="1:9" x14ac:dyDescent="0.3">
      <c r="A7574" t="s">
        <v>0</v>
      </c>
      <c r="C7574">
        <v>369000</v>
      </c>
      <c r="G7574">
        <v>44580</v>
      </c>
      <c r="H7574">
        <v>2022</v>
      </c>
      <c r="I7574" t="s">
        <v>42</v>
      </c>
    </row>
    <row r="7575" spans="1:9" x14ac:dyDescent="0.3">
      <c r="A7575" t="s">
        <v>25</v>
      </c>
      <c r="B7575">
        <v>702000</v>
      </c>
      <c r="C7575">
        <v>323500</v>
      </c>
      <c r="E7575">
        <v>45000</v>
      </c>
      <c r="G7575">
        <v>44580</v>
      </c>
      <c r="H7575">
        <v>2022</v>
      </c>
      <c r="I7575" t="s">
        <v>42</v>
      </c>
    </row>
    <row r="7576" spans="1:9" x14ac:dyDescent="0.3">
      <c r="A7576" t="s">
        <v>15</v>
      </c>
      <c r="C7576">
        <v>324000</v>
      </c>
      <c r="E7576">
        <v>45000</v>
      </c>
      <c r="G7576">
        <v>44580</v>
      </c>
      <c r="H7576">
        <v>2022</v>
      </c>
      <c r="I7576" t="s">
        <v>42</v>
      </c>
    </row>
    <row r="7577" spans="1:9" x14ac:dyDescent="0.3">
      <c r="A7577" t="s">
        <v>54</v>
      </c>
      <c r="B7577">
        <v>540000</v>
      </c>
      <c r="C7577">
        <v>319500</v>
      </c>
      <c r="F7577">
        <v>432000</v>
      </c>
      <c r="G7577">
        <v>44580</v>
      </c>
      <c r="H7577">
        <v>2022</v>
      </c>
      <c r="I7577" t="s">
        <v>42</v>
      </c>
    </row>
    <row r="7578" spans="1:9" x14ac:dyDescent="0.3">
      <c r="A7578" t="s">
        <v>26</v>
      </c>
      <c r="G7578">
        <v>44580</v>
      </c>
      <c r="H7578">
        <v>2022</v>
      </c>
      <c r="I7578" t="s">
        <v>42</v>
      </c>
    </row>
    <row r="7579" spans="1:9" x14ac:dyDescent="0.3">
      <c r="A7579" t="s">
        <v>22</v>
      </c>
      <c r="G7579">
        <v>44580</v>
      </c>
      <c r="H7579">
        <v>2022</v>
      </c>
      <c r="I7579" t="s">
        <v>42</v>
      </c>
    </row>
    <row r="7580" spans="1:9" x14ac:dyDescent="0.3">
      <c r="A7580" t="s">
        <v>61</v>
      </c>
      <c r="G7580">
        <v>44580</v>
      </c>
      <c r="H7580">
        <v>2022</v>
      </c>
      <c r="I7580" t="s">
        <v>42</v>
      </c>
    </row>
    <row r="7581" spans="1:9" x14ac:dyDescent="0.3">
      <c r="A7581" t="s">
        <v>19</v>
      </c>
      <c r="B7581">
        <v>485500</v>
      </c>
      <c r="C7581">
        <v>486000</v>
      </c>
      <c r="F7581">
        <v>108000</v>
      </c>
      <c r="G7581">
        <v>44580</v>
      </c>
      <c r="H7581">
        <v>2022</v>
      </c>
      <c r="I7581" t="s">
        <v>42</v>
      </c>
    </row>
    <row r="7582" spans="1:9" x14ac:dyDescent="0.3">
      <c r="A7582" t="s">
        <v>14</v>
      </c>
      <c r="B7582">
        <v>540000</v>
      </c>
      <c r="C7582">
        <v>270000</v>
      </c>
      <c r="G7582">
        <v>44580</v>
      </c>
      <c r="H7582">
        <v>2022</v>
      </c>
      <c r="I7582" t="s">
        <v>42</v>
      </c>
    </row>
    <row r="7583" spans="1:9" x14ac:dyDescent="0.3">
      <c r="A7583" t="s">
        <v>24</v>
      </c>
      <c r="G7583">
        <v>44580</v>
      </c>
      <c r="H7583">
        <v>2022</v>
      </c>
      <c r="I7583" t="s">
        <v>42</v>
      </c>
    </row>
    <row r="7584" spans="1:9" x14ac:dyDescent="0.3">
      <c r="A7584" t="s">
        <v>21</v>
      </c>
      <c r="G7584">
        <v>44580</v>
      </c>
      <c r="H7584">
        <v>2022</v>
      </c>
      <c r="I7584" t="s">
        <v>42</v>
      </c>
    </row>
    <row r="7585" spans="1:9" x14ac:dyDescent="0.3">
      <c r="A7585" t="s">
        <v>65</v>
      </c>
      <c r="G7585">
        <v>44580</v>
      </c>
      <c r="H7585">
        <v>2022</v>
      </c>
      <c r="I7585" t="s">
        <v>42</v>
      </c>
    </row>
    <row r="7586" spans="1:9" x14ac:dyDescent="0.3">
      <c r="A7586" t="s">
        <v>18</v>
      </c>
      <c r="C7586">
        <v>211500</v>
      </c>
      <c r="G7586">
        <v>44580</v>
      </c>
      <c r="H7586">
        <v>2022</v>
      </c>
      <c r="I7586" t="s">
        <v>42</v>
      </c>
    </row>
    <row r="7587" spans="1:9" x14ac:dyDescent="0.3">
      <c r="A7587" t="s">
        <v>16</v>
      </c>
      <c r="B7587">
        <v>45000</v>
      </c>
      <c r="G7587">
        <v>44580</v>
      </c>
      <c r="H7587">
        <v>2022</v>
      </c>
      <c r="I7587" t="s">
        <v>42</v>
      </c>
    </row>
    <row r="7588" spans="1:9" x14ac:dyDescent="0.3">
      <c r="A7588" t="s">
        <v>20</v>
      </c>
      <c r="G7588">
        <v>44581</v>
      </c>
      <c r="H7588">
        <v>2022</v>
      </c>
      <c r="I7588" t="s">
        <v>42</v>
      </c>
    </row>
    <row r="7589" spans="1:9" x14ac:dyDescent="0.3">
      <c r="A7589" t="s">
        <v>37</v>
      </c>
      <c r="D7589">
        <v>50000</v>
      </c>
      <c r="G7589">
        <v>44581</v>
      </c>
      <c r="H7589">
        <v>2022</v>
      </c>
      <c r="I7589" t="s">
        <v>42</v>
      </c>
    </row>
    <row r="7590" spans="1:9" x14ac:dyDescent="0.3">
      <c r="A7590" t="s">
        <v>17</v>
      </c>
      <c r="C7590">
        <v>162000</v>
      </c>
      <c r="G7590">
        <v>44581</v>
      </c>
      <c r="H7590">
        <v>2022</v>
      </c>
      <c r="I7590" t="s">
        <v>42</v>
      </c>
    </row>
    <row r="7591" spans="1:9" x14ac:dyDescent="0.3">
      <c r="A7591" t="s">
        <v>0</v>
      </c>
      <c r="C7591">
        <v>108000</v>
      </c>
      <c r="G7591">
        <v>44581</v>
      </c>
      <c r="H7591">
        <v>2022</v>
      </c>
      <c r="I7591" t="s">
        <v>42</v>
      </c>
    </row>
    <row r="7592" spans="1:9" x14ac:dyDescent="0.3">
      <c r="A7592" t="s">
        <v>25</v>
      </c>
      <c r="B7592">
        <v>535500</v>
      </c>
      <c r="C7592">
        <v>108000</v>
      </c>
      <c r="G7592">
        <v>44581</v>
      </c>
      <c r="H7592">
        <v>2022</v>
      </c>
      <c r="I7592" t="s">
        <v>42</v>
      </c>
    </row>
    <row r="7593" spans="1:9" x14ac:dyDescent="0.3">
      <c r="A7593" t="s">
        <v>15</v>
      </c>
      <c r="C7593">
        <v>162000</v>
      </c>
      <c r="G7593">
        <v>44581</v>
      </c>
      <c r="H7593">
        <v>2022</v>
      </c>
      <c r="I7593" t="s">
        <v>42</v>
      </c>
    </row>
    <row r="7594" spans="1:9" x14ac:dyDescent="0.3">
      <c r="A7594" t="s">
        <v>54</v>
      </c>
      <c r="B7594">
        <v>648000</v>
      </c>
      <c r="C7594">
        <v>155500</v>
      </c>
      <c r="G7594">
        <v>44581</v>
      </c>
      <c r="H7594">
        <v>2022</v>
      </c>
      <c r="I7594" t="s">
        <v>42</v>
      </c>
    </row>
    <row r="7595" spans="1:9" x14ac:dyDescent="0.3">
      <c r="A7595" t="s">
        <v>26</v>
      </c>
      <c r="G7595">
        <v>44581</v>
      </c>
      <c r="H7595">
        <v>2022</v>
      </c>
      <c r="I7595" t="s">
        <v>42</v>
      </c>
    </row>
    <row r="7596" spans="1:9" x14ac:dyDescent="0.3">
      <c r="A7596" t="s">
        <v>22</v>
      </c>
      <c r="G7596">
        <v>44581</v>
      </c>
      <c r="H7596">
        <v>2022</v>
      </c>
      <c r="I7596" t="s">
        <v>42</v>
      </c>
    </row>
    <row r="7597" spans="1:9" x14ac:dyDescent="0.3">
      <c r="A7597" t="s">
        <v>61</v>
      </c>
      <c r="G7597">
        <v>44581</v>
      </c>
      <c r="H7597">
        <v>2022</v>
      </c>
      <c r="I7597" t="s">
        <v>42</v>
      </c>
    </row>
    <row r="7598" spans="1:9" x14ac:dyDescent="0.3">
      <c r="A7598" t="s">
        <v>19</v>
      </c>
      <c r="B7598">
        <v>581000</v>
      </c>
      <c r="C7598">
        <v>378000</v>
      </c>
      <c r="D7598">
        <v>50000</v>
      </c>
      <c r="F7598">
        <v>540000</v>
      </c>
      <c r="G7598">
        <v>44581</v>
      </c>
      <c r="H7598">
        <v>2022</v>
      </c>
      <c r="I7598" t="s">
        <v>42</v>
      </c>
    </row>
    <row r="7599" spans="1:9" x14ac:dyDescent="0.3">
      <c r="A7599" t="s">
        <v>14</v>
      </c>
      <c r="B7599">
        <v>360000</v>
      </c>
      <c r="C7599">
        <v>107000</v>
      </c>
      <c r="G7599">
        <v>44581</v>
      </c>
      <c r="H7599">
        <v>2022</v>
      </c>
      <c r="I7599" t="s">
        <v>42</v>
      </c>
    </row>
    <row r="7600" spans="1:9" x14ac:dyDescent="0.3">
      <c r="A7600" t="s">
        <v>24</v>
      </c>
      <c r="G7600">
        <v>44581</v>
      </c>
      <c r="H7600">
        <v>2022</v>
      </c>
      <c r="I7600" t="s">
        <v>42</v>
      </c>
    </row>
    <row r="7601" spans="1:9" x14ac:dyDescent="0.3">
      <c r="A7601" t="s">
        <v>21</v>
      </c>
      <c r="G7601">
        <v>44581</v>
      </c>
      <c r="H7601">
        <v>2022</v>
      </c>
      <c r="I7601" t="s">
        <v>42</v>
      </c>
    </row>
    <row r="7602" spans="1:9" x14ac:dyDescent="0.3">
      <c r="A7602" t="s">
        <v>65</v>
      </c>
      <c r="G7602">
        <v>44581</v>
      </c>
      <c r="H7602">
        <v>2022</v>
      </c>
      <c r="I7602" t="s">
        <v>42</v>
      </c>
    </row>
    <row r="7603" spans="1:9" x14ac:dyDescent="0.3">
      <c r="A7603" t="s">
        <v>18</v>
      </c>
      <c r="G7603">
        <v>44581</v>
      </c>
      <c r="H7603">
        <v>2022</v>
      </c>
      <c r="I7603" t="s">
        <v>42</v>
      </c>
    </row>
    <row r="7604" spans="1:9" x14ac:dyDescent="0.3">
      <c r="A7604" t="s">
        <v>16</v>
      </c>
      <c r="G7604">
        <v>44581</v>
      </c>
      <c r="H7604">
        <v>2022</v>
      </c>
      <c r="I7604" t="s">
        <v>42</v>
      </c>
    </row>
    <row r="7605" spans="1:9" x14ac:dyDescent="0.3">
      <c r="A7605" t="s">
        <v>20</v>
      </c>
      <c r="G7605">
        <v>44582</v>
      </c>
      <c r="H7605">
        <v>2022</v>
      </c>
      <c r="I7605" t="s">
        <v>42</v>
      </c>
    </row>
    <row r="7606" spans="1:9" x14ac:dyDescent="0.3">
      <c r="A7606" t="s">
        <v>37</v>
      </c>
      <c r="G7606">
        <v>44582</v>
      </c>
      <c r="H7606">
        <v>2022</v>
      </c>
      <c r="I7606" t="s">
        <v>42</v>
      </c>
    </row>
    <row r="7607" spans="1:9" x14ac:dyDescent="0.3">
      <c r="A7607" t="s">
        <v>17</v>
      </c>
      <c r="C7607">
        <v>211500</v>
      </c>
      <c r="G7607">
        <v>44582</v>
      </c>
      <c r="H7607">
        <v>2022</v>
      </c>
      <c r="I7607" t="s">
        <v>42</v>
      </c>
    </row>
    <row r="7608" spans="1:9" x14ac:dyDescent="0.3">
      <c r="A7608" t="s">
        <v>0</v>
      </c>
      <c r="C7608">
        <v>324000</v>
      </c>
      <c r="G7608">
        <v>44582</v>
      </c>
      <c r="H7608">
        <v>2022</v>
      </c>
      <c r="I7608" t="s">
        <v>42</v>
      </c>
    </row>
    <row r="7609" spans="1:9" x14ac:dyDescent="0.3">
      <c r="A7609" t="s">
        <v>25</v>
      </c>
      <c r="B7609">
        <v>1058000</v>
      </c>
      <c r="C7609">
        <v>162000</v>
      </c>
      <c r="F7609">
        <v>54000</v>
      </c>
      <c r="G7609">
        <v>44582</v>
      </c>
      <c r="H7609">
        <v>2022</v>
      </c>
      <c r="I7609" t="s">
        <v>42</v>
      </c>
    </row>
    <row r="7610" spans="1:9" x14ac:dyDescent="0.3">
      <c r="A7610" t="s">
        <v>15</v>
      </c>
      <c r="C7610">
        <v>319500</v>
      </c>
      <c r="E7610">
        <v>756000</v>
      </c>
      <c r="G7610">
        <v>44582</v>
      </c>
      <c r="H7610">
        <v>2022</v>
      </c>
      <c r="I7610" t="s">
        <v>42</v>
      </c>
    </row>
    <row r="7611" spans="1:9" x14ac:dyDescent="0.3">
      <c r="A7611" t="s">
        <v>54</v>
      </c>
      <c r="B7611">
        <v>216000</v>
      </c>
      <c r="C7611">
        <v>162000</v>
      </c>
      <c r="G7611">
        <v>44582</v>
      </c>
      <c r="H7611">
        <v>2022</v>
      </c>
      <c r="I7611" t="s">
        <v>42</v>
      </c>
    </row>
    <row r="7612" spans="1:9" x14ac:dyDescent="0.3">
      <c r="A7612" t="s">
        <v>26</v>
      </c>
      <c r="G7612">
        <v>44582</v>
      </c>
      <c r="H7612">
        <v>2022</v>
      </c>
      <c r="I7612" t="s">
        <v>42</v>
      </c>
    </row>
    <row r="7613" spans="1:9" x14ac:dyDescent="0.3">
      <c r="A7613" t="s">
        <v>22</v>
      </c>
      <c r="G7613">
        <v>44582</v>
      </c>
      <c r="H7613">
        <v>2022</v>
      </c>
      <c r="I7613" t="s">
        <v>42</v>
      </c>
    </row>
    <row r="7614" spans="1:9" x14ac:dyDescent="0.3">
      <c r="A7614" t="s">
        <v>61</v>
      </c>
      <c r="G7614">
        <v>44582</v>
      </c>
      <c r="H7614">
        <v>2022</v>
      </c>
      <c r="I7614" t="s">
        <v>42</v>
      </c>
    </row>
    <row r="7615" spans="1:9" x14ac:dyDescent="0.3">
      <c r="A7615" t="s">
        <v>19</v>
      </c>
      <c r="B7615">
        <v>864000</v>
      </c>
      <c r="C7615">
        <v>158000</v>
      </c>
      <c r="F7615">
        <v>648000</v>
      </c>
      <c r="G7615">
        <v>44582</v>
      </c>
      <c r="H7615">
        <v>2022</v>
      </c>
      <c r="I7615" t="s">
        <v>42</v>
      </c>
    </row>
    <row r="7616" spans="1:9" x14ac:dyDescent="0.3">
      <c r="A7616" t="s">
        <v>14</v>
      </c>
      <c r="B7616">
        <v>108000</v>
      </c>
      <c r="C7616">
        <v>162000</v>
      </c>
      <c r="G7616">
        <v>44582</v>
      </c>
      <c r="H7616">
        <v>2022</v>
      </c>
      <c r="I7616" t="s">
        <v>42</v>
      </c>
    </row>
    <row r="7617" spans="1:9" x14ac:dyDescent="0.3">
      <c r="A7617" t="s">
        <v>24</v>
      </c>
      <c r="G7617">
        <v>44582</v>
      </c>
      <c r="H7617">
        <v>2022</v>
      </c>
      <c r="I7617" t="s">
        <v>42</v>
      </c>
    </row>
    <row r="7618" spans="1:9" x14ac:dyDescent="0.3">
      <c r="A7618" t="s">
        <v>21</v>
      </c>
      <c r="G7618">
        <v>44582</v>
      </c>
      <c r="H7618">
        <v>2022</v>
      </c>
      <c r="I7618" t="s">
        <v>42</v>
      </c>
    </row>
    <row r="7619" spans="1:9" x14ac:dyDescent="0.3">
      <c r="A7619" t="s">
        <v>65</v>
      </c>
      <c r="G7619">
        <v>44582</v>
      </c>
      <c r="H7619">
        <v>2022</v>
      </c>
      <c r="I7619" t="s">
        <v>42</v>
      </c>
    </row>
    <row r="7620" spans="1:9" x14ac:dyDescent="0.3">
      <c r="A7620" t="s">
        <v>18</v>
      </c>
      <c r="G7620">
        <v>44582</v>
      </c>
      <c r="H7620">
        <v>2022</v>
      </c>
      <c r="I7620" t="s">
        <v>42</v>
      </c>
    </row>
    <row r="7621" spans="1:9" x14ac:dyDescent="0.3">
      <c r="A7621" t="s">
        <v>16</v>
      </c>
      <c r="G7621">
        <v>44582</v>
      </c>
      <c r="H7621">
        <v>2022</v>
      </c>
      <c r="I7621" t="s">
        <v>42</v>
      </c>
    </row>
    <row r="7622" spans="1:9" x14ac:dyDescent="0.3">
      <c r="A7622" t="s">
        <v>20</v>
      </c>
      <c r="G7622">
        <v>44585</v>
      </c>
      <c r="H7622">
        <v>2022</v>
      </c>
      <c r="I7622" t="s">
        <v>42</v>
      </c>
    </row>
    <row r="7623" spans="1:9" x14ac:dyDescent="0.3">
      <c r="A7623" t="s">
        <v>37</v>
      </c>
      <c r="B7623">
        <v>368000</v>
      </c>
      <c r="D7623">
        <v>324000</v>
      </c>
      <c r="G7623">
        <v>44585</v>
      </c>
      <c r="H7623">
        <v>2022</v>
      </c>
      <c r="I7623" t="s">
        <v>42</v>
      </c>
    </row>
    <row r="7624" spans="1:9" x14ac:dyDescent="0.3">
      <c r="A7624" t="s">
        <v>17</v>
      </c>
      <c r="C7624">
        <v>108000</v>
      </c>
      <c r="G7624">
        <v>44585</v>
      </c>
      <c r="H7624">
        <v>2022</v>
      </c>
      <c r="I7624" t="s">
        <v>42</v>
      </c>
    </row>
    <row r="7625" spans="1:9" x14ac:dyDescent="0.3">
      <c r="A7625" t="s">
        <v>0</v>
      </c>
      <c r="C7625">
        <v>370000</v>
      </c>
      <c r="G7625">
        <v>44585</v>
      </c>
      <c r="H7625">
        <v>2022</v>
      </c>
      <c r="I7625" t="s">
        <v>42</v>
      </c>
    </row>
    <row r="7626" spans="1:9" x14ac:dyDescent="0.3">
      <c r="A7626" t="s">
        <v>25</v>
      </c>
      <c r="C7626">
        <v>324000</v>
      </c>
      <c r="G7626">
        <v>44585</v>
      </c>
      <c r="H7626">
        <v>2022</v>
      </c>
      <c r="I7626" t="s">
        <v>42</v>
      </c>
    </row>
    <row r="7627" spans="1:9" x14ac:dyDescent="0.3">
      <c r="A7627" t="s">
        <v>15</v>
      </c>
      <c r="C7627">
        <v>194000</v>
      </c>
      <c r="E7627">
        <v>648000</v>
      </c>
      <c r="G7627">
        <v>44585</v>
      </c>
      <c r="H7627">
        <v>2022</v>
      </c>
      <c r="I7627" t="s">
        <v>42</v>
      </c>
    </row>
    <row r="7628" spans="1:9" x14ac:dyDescent="0.3">
      <c r="A7628" t="s">
        <v>54</v>
      </c>
      <c r="C7628">
        <v>162000</v>
      </c>
      <c r="G7628">
        <v>44585</v>
      </c>
      <c r="H7628">
        <v>2022</v>
      </c>
      <c r="I7628" t="s">
        <v>42</v>
      </c>
    </row>
    <row r="7629" spans="1:9" x14ac:dyDescent="0.3">
      <c r="A7629" t="s">
        <v>26</v>
      </c>
      <c r="G7629">
        <v>44585</v>
      </c>
      <c r="H7629">
        <v>2022</v>
      </c>
      <c r="I7629" t="s">
        <v>42</v>
      </c>
    </row>
    <row r="7630" spans="1:9" x14ac:dyDescent="0.3">
      <c r="A7630" t="s">
        <v>22</v>
      </c>
      <c r="G7630">
        <v>44585</v>
      </c>
      <c r="H7630">
        <v>2022</v>
      </c>
      <c r="I7630" t="s">
        <v>42</v>
      </c>
    </row>
    <row r="7631" spans="1:9" x14ac:dyDescent="0.3">
      <c r="A7631" t="s">
        <v>61</v>
      </c>
      <c r="G7631">
        <v>44585</v>
      </c>
      <c r="H7631">
        <v>2022</v>
      </c>
      <c r="I7631" t="s">
        <v>42</v>
      </c>
    </row>
    <row r="7632" spans="1:9" x14ac:dyDescent="0.3">
      <c r="A7632" t="s">
        <v>19</v>
      </c>
      <c r="B7632">
        <v>805000</v>
      </c>
      <c r="D7632">
        <v>378000</v>
      </c>
      <c r="G7632">
        <v>44585</v>
      </c>
      <c r="H7632">
        <v>2022</v>
      </c>
      <c r="I7632" t="s">
        <v>42</v>
      </c>
    </row>
    <row r="7633" spans="1:9" x14ac:dyDescent="0.3">
      <c r="A7633" t="s">
        <v>14</v>
      </c>
      <c r="C7633">
        <v>378000</v>
      </c>
      <c r="G7633">
        <v>44585</v>
      </c>
      <c r="H7633">
        <v>2022</v>
      </c>
      <c r="I7633" t="s">
        <v>42</v>
      </c>
    </row>
    <row r="7634" spans="1:9" x14ac:dyDescent="0.3">
      <c r="A7634" t="s">
        <v>24</v>
      </c>
      <c r="G7634">
        <v>44585</v>
      </c>
      <c r="H7634">
        <v>2022</v>
      </c>
      <c r="I7634" t="s">
        <v>42</v>
      </c>
    </row>
    <row r="7635" spans="1:9" x14ac:dyDescent="0.3">
      <c r="A7635" t="s">
        <v>21</v>
      </c>
      <c r="G7635">
        <v>44585</v>
      </c>
      <c r="H7635">
        <v>2022</v>
      </c>
      <c r="I7635" t="s">
        <v>42</v>
      </c>
    </row>
    <row r="7636" spans="1:9" x14ac:dyDescent="0.3">
      <c r="A7636" t="s">
        <v>65</v>
      </c>
      <c r="G7636">
        <v>44585</v>
      </c>
      <c r="H7636">
        <v>2022</v>
      </c>
      <c r="I7636" t="s">
        <v>42</v>
      </c>
    </row>
    <row r="7637" spans="1:9" x14ac:dyDescent="0.3">
      <c r="A7637" t="s">
        <v>18</v>
      </c>
      <c r="B7637">
        <v>697500</v>
      </c>
      <c r="G7637">
        <v>44585</v>
      </c>
      <c r="H7637">
        <v>2022</v>
      </c>
      <c r="I7637" t="s">
        <v>42</v>
      </c>
    </row>
    <row r="7638" spans="1:9" x14ac:dyDescent="0.3">
      <c r="A7638" t="s">
        <v>16</v>
      </c>
      <c r="G7638">
        <v>44585</v>
      </c>
      <c r="H7638">
        <v>2022</v>
      </c>
      <c r="I7638" t="s">
        <v>42</v>
      </c>
    </row>
    <row r="7639" spans="1:9" x14ac:dyDescent="0.3">
      <c r="A7639" t="s">
        <v>20</v>
      </c>
      <c r="G7639">
        <v>44586</v>
      </c>
      <c r="H7639">
        <v>2022</v>
      </c>
      <c r="I7639" t="s">
        <v>42</v>
      </c>
    </row>
    <row r="7640" spans="1:9" x14ac:dyDescent="0.3">
      <c r="A7640" t="s">
        <v>37</v>
      </c>
      <c r="B7640">
        <v>108000</v>
      </c>
      <c r="D7640">
        <v>373500</v>
      </c>
      <c r="G7640">
        <v>44586</v>
      </c>
      <c r="H7640">
        <v>2022</v>
      </c>
      <c r="I7640" t="s">
        <v>42</v>
      </c>
    </row>
    <row r="7641" spans="1:9" x14ac:dyDescent="0.3">
      <c r="A7641" t="s">
        <v>17</v>
      </c>
      <c r="C7641">
        <v>265000</v>
      </c>
      <c r="G7641">
        <v>44586</v>
      </c>
      <c r="H7641">
        <v>2022</v>
      </c>
      <c r="I7641" t="s">
        <v>42</v>
      </c>
    </row>
    <row r="7642" spans="1:9" x14ac:dyDescent="0.3">
      <c r="A7642" t="s">
        <v>0</v>
      </c>
      <c r="C7642">
        <v>211500</v>
      </c>
      <c r="G7642">
        <v>44586</v>
      </c>
      <c r="H7642">
        <v>2022</v>
      </c>
      <c r="I7642" t="s">
        <v>42</v>
      </c>
    </row>
    <row r="7643" spans="1:9" x14ac:dyDescent="0.3">
      <c r="A7643" t="s">
        <v>25</v>
      </c>
      <c r="C7643">
        <v>162000</v>
      </c>
      <c r="G7643">
        <v>44586</v>
      </c>
      <c r="H7643">
        <v>2022</v>
      </c>
      <c r="I7643" t="s">
        <v>42</v>
      </c>
    </row>
    <row r="7644" spans="1:9" x14ac:dyDescent="0.3">
      <c r="A7644" t="s">
        <v>15</v>
      </c>
      <c r="B7644">
        <v>585000</v>
      </c>
      <c r="C7644">
        <v>211500</v>
      </c>
      <c r="D7644">
        <v>158000</v>
      </c>
      <c r="E7644">
        <v>216000</v>
      </c>
      <c r="G7644">
        <v>44586</v>
      </c>
      <c r="H7644">
        <v>2022</v>
      </c>
      <c r="I7644" t="s">
        <v>42</v>
      </c>
    </row>
    <row r="7645" spans="1:9" x14ac:dyDescent="0.3">
      <c r="A7645" t="s">
        <v>54</v>
      </c>
      <c r="C7645">
        <v>162000</v>
      </c>
      <c r="E7645">
        <v>486000</v>
      </c>
      <c r="G7645">
        <v>44586</v>
      </c>
      <c r="H7645">
        <v>2022</v>
      </c>
      <c r="I7645" t="s">
        <v>42</v>
      </c>
    </row>
    <row r="7646" spans="1:9" x14ac:dyDescent="0.3">
      <c r="A7646" t="s">
        <v>26</v>
      </c>
      <c r="B7646">
        <v>108000</v>
      </c>
      <c r="G7646">
        <v>44586</v>
      </c>
      <c r="H7646">
        <v>2022</v>
      </c>
      <c r="I7646" t="s">
        <v>42</v>
      </c>
    </row>
    <row r="7647" spans="1:9" x14ac:dyDescent="0.3">
      <c r="A7647" t="s">
        <v>22</v>
      </c>
      <c r="G7647">
        <v>44586</v>
      </c>
      <c r="H7647">
        <v>2022</v>
      </c>
      <c r="I7647" t="s">
        <v>42</v>
      </c>
    </row>
    <row r="7648" spans="1:9" x14ac:dyDescent="0.3">
      <c r="A7648" t="s">
        <v>61</v>
      </c>
      <c r="G7648">
        <v>44586</v>
      </c>
      <c r="H7648">
        <v>2022</v>
      </c>
      <c r="I7648" t="s">
        <v>42</v>
      </c>
    </row>
    <row r="7649" spans="1:9" x14ac:dyDescent="0.3">
      <c r="A7649" t="s">
        <v>19</v>
      </c>
      <c r="B7649">
        <v>526500</v>
      </c>
      <c r="D7649">
        <v>162000</v>
      </c>
      <c r="G7649">
        <v>44586</v>
      </c>
      <c r="H7649">
        <v>2022</v>
      </c>
      <c r="I7649" t="s">
        <v>42</v>
      </c>
    </row>
    <row r="7650" spans="1:9" x14ac:dyDescent="0.3">
      <c r="A7650" t="s">
        <v>14</v>
      </c>
      <c r="C7650">
        <v>140000</v>
      </c>
      <c r="G7650">
        <v>44586</v>
      </c>
      <c r="H7650">
        <v>2022</v>
      </c>
      <c r="I7650" t="s">
        <v>42</v>
      </c>
    </row>
    <row r="7651" spans="1:9" x14ac:dyDescent="0.3">
      <c r="A7651" t="s">
        <v>24</v>
      </c>
      <c r="G7651">
        <v>44586</v>
      </c>
      <c r="H7651">
        <v>2022</v>
      </c>
      <c r="I7651" t="s">
        <v>42</v>
      </c>
    </row>
    <row r="7652" spans="1:9" x14ac:dyDescent="0.3">
      <c r="A7652" t="s">
        <v>21</v>
      </c>
      <c r="G7652">
        <v>44586</v>
      </c>
      <c r="H7652">
        <v>2022</v>
      </c>
      <c r="I7652" t="s">
        <v>42</v>
      </c>
    </row>
    <row r="7653" spans="1:9" x14ac:dyDescent="0.3">
      <c r="A7653" t="s">
        <v>65</v>
      </c>
      <c r="G7653">
        <v>44586</v>
      </c>
      <c r="H7653">
        <v>2022</v>
      </c>
      <c r="I7653" t="s">
        <v>42</v>
      </c>
    </row>
    <row r="7654" spans="1:9" x14ac:dyDescent="0.3">
      <c r="A7654" t="s">
        <v>18</v>
      </c>
      <c r="B7654">
        <v>324000</v>
      </c>
      <c r="G7654">
        <v>44586</v>
      </c>
      <c r="H7654">
        <v>2022</v>
      </c>
      <c r="I7654" t="s">
        <v>42</v>
      </c>
    </row>
    <row r="7655" spans="1:9" x14ac:dyDescent="0.3">
      <c r="A7655" t="s">
        <v>16</v>
      </c>
      <c r="D7655">
        <v>207000</v>
      </c>
      <c r="G7655">
        <v>44586</v>
      </c>
      <c r="H7655">
        <v>2022</v>
      </c>
      <c r="I7655" t="s">
        <v>42</v>
      </c>
    </row>
    <row r="7656" spans="1:9" x14ac:dyDescent="0.3">
      <c r="A7656" t="s">
        <v>20</v>
      </c>
      <c r="G7656">
        <v>44587</v>
      </c>
      <c r="H7656">
        <v>2022</v>
      </c>
      <c r="I7656" t="s">
        <v>42</v>
      </c>
    </row>
    <row r="7657" spans="1:9" x14ac:dyDescent="0.3">
      <c r="A7657" t="s">
        <v>37</v>
      </c>
      <c r="G7657">
        <v>44587</v>
      </c>
      <c r="H7657">
        <v>2022</v>
      </c>
      <c r="I7657" t="s">
        <v>42</v>
      </c>
    </row>
    <row r="7658" spans="1:9" x14ac:dyDescent="0.3">
      <c r="A7658" t="s">
        <v>17</v>
      </c>
      <c r="C7658">
        <v>162000</v>
      </c>
      <c r="G7658">
        <v>44587</v>
      </c>
      <c r="H7658">
        <v>2022</v>
      </c>
      <c r="I7658" t="s">
        <v>42</v>
      </c>
    </row>
    <row r="7659" spans="1:9" x14ac:dyDescent="0.3">
      <c r="A7659" t="s">
        <v>0</v>
      </c>
      <c r="C7659">
        <v>373000</v>
      </c>
      <c r="G7659">
        <v>44587</v>
      </c>
      <c r="H7659">
        <v>2022</v>
      </c>
      <c r="I7659" t="s">
        <v>42</v>
      </c>
    </row>
    <row r="7660" spans="1:9" x14ac:dyDescent="0.3">
      <c r="A7660" t="s">
        <v>25</v>
      </c>
      <c r="C7660">
        <v>211500</v>
      </c>
      <c r="G7660">
        <v>44587</v>
      </c>
      <c r="H7660">
        <v>2022</v>
      </c>
      <c r="I7660" t="s">
        <v>42</v>
      </c>
    </row>
    <row r="7661" spans="1:9" x14ac:dyDescent="0.3">
      <c r="A7661" t="s">
        <v>15</v>
      </c>
      <c r="B7661">
        <v>162000</v>
      </c>
      <c r="C7661">
        <v>252000</v>
      </c>
      <c r="G7661">
        <v>44587</v>
      </c>
      <c r="H7661">
        <v>2022</v>
      </c>
      <c r="I7661" t="s">
        <v>42</v>
      </c>
    </row>
    <row r="7662" spans="1:9" x14ac:dyDescent="0.3">
      <c r="A7662" t="s">
        <v>54</v>
      </c>
      <c r="C7662">
        <v>162000</v>
      </c>
      <c r="E7662">
        <v>54000</v>
      </c>
      <c r="G7662">
        <v>44587</v>
      </c>
      <c r="H7662">
        <v>2022</v>
      </c>
      <c r="I7662" t="s">
        <v>42</v>
      </c>
    </row>
    <row r="7663" spans="1:9" x14ac:dyDescent="0.3">
      <c r="A7663" t="s">
        <v>26</v>
      </c>
      <c r="B7663">
        <v>702000</v>
      </c>
      <c r="C7663">
        <v>162000</v>
      </c>
      <c r="G7663">
        <v>44587</v>
      </c>
      <c r="H7663">
        <v>2022</v>
      </c>
      <c r="I7663" t="s">
        <v>42</v>
      </c>
    </row>
    <row r="7664" spans="1:9" x14ac:dyDescent="0.3">
      <c r="A7664" t="s">
        <v>22</v>
      </c>
      <c r="G7664">
        <v>44587</v>
      </c>
      <c r="H7664">
        <v>2022</v>
      </c>
      <c r="I7664" t="s">
        <v>42</v>
      </c>
    </row>
    <row r="7665" spans="1:9" x14ac:dyDescent="0.3">
      <c r="A7665" t="s">
        <v>61</v>
      </c>
      <c r="G7665">
        <v>44587</v>
      </c>
      <c r="H7665">
        <v>2022</v>
      </c>
      <c r="I7665" t="s">
        <v>42</v>
      </c>
    </row>
    <row r="7666" spans="1:9" x14ac:dyDescent="0.3">
      <c r="A7666" t="s">
        <v>19</v>
      </c>
      <c r="B7666">
        <v>522000</v>
      </c>
      <c r="C7666">
        <v>648000</v>
      </c>
      <c r="G7666">
        <v>44587</v>
      </c>
      <c r="H7666">
        <v>2022</v>
      </c>
      <c r="I7666" t="s">
        <v>42</v>
      </c>
    </row>
    <row r="7667" spans="1:9" x14ac:dyDescent="0.3">
      <c r="A7667" t="s">
        <v>14</v>
      </c>
      <c r="B7667">
        <v>918000</v>
      </c>
      <c r="C7667">
        <v>216000</v>
      </c>
      <c r="F7667">
        <v>270000</v>
      </c>
      <c r="G7667">
        <v>44587</v>
      </c>
      <c r="H7667">
        <v>2022</v>
      </c>
      <c r="I7667" t="s">
        <v>42</v>
      </c>
    </row>
    <row r="7668" spans="1:9" x14ac:dyDescent="0.3">
      <c r="A7668" t="s">
        <v>24</v>
      </c>
      <c r="G7668">
        <v>44587</v>
      </c>
      <c r="H7668">
        <v>2022</v>
      </c>
      <c r="I7668" t="s">
        <v>42</v>
      </c>
    </row>
    <row r="7669" spans="1:9" x14ac:dyDescent="0.3">
      <c r="A7669" t="s">
        <v>21</v>
      </c>
      <c r="C7669">
        <v>108000</v>
      </c>
      <c r="G7669">
        <v>44587</v>
      </c>
      <c r="H7669">
        <v>2022</v>
      </c>
      <c r="I7669" t="s">
        <v>42</v>
      </c>
    </row>
    <row r="7670" spans="1:9" x14ac:dyDescent="0.3">
      <c r="A7670" t="s">
        <v>65</v>
      </c>
      <c r="G7670">
        <v>44587</v>
      </c>
      <c r="H7670">
        <v>2022</v>
      </c>
      <c r="I7670" t="s">
        <v>42</v>
      </c>
    </row>
    <row r="7671" spans="1:9" x14ac:dyDescent="0.3">
      <c r="A7671" t="s">
        <v>18</v>
      </c>
      <c r="B7671">
        <v>54000</v>
      </c>
      <c r="G7671">
        <v>44587</v>
      </c>
      <c r="H7671">
        <v>2022</v>
      </c>
      <c r="I7671" t="s">
        <v>42</v>
      </c>
    </row>
    <row r="7672" spans="1:9" x14ac:dyDescent="0.3">
      <c r="A7672" t="s">
        <v>16</v>
      </c>
      <c r="G7672">
        <v>44587</v>
      </c>
      <c r="H7672">
        <v>2022</v>
      </c>
      <c r="I7672" t="s">
        <v>42</v>
      </c>
    </row>
    <row r="7673" spans="1:9" x14ac:dyDescent="0.3">
      <c r="A7673" t="s">
        <v>20</v>
      </c>
      <c r="G7673">
        <v>44588</v>
      </c>
      <c r="H7673">
        <v>2022</v>
      </c>
      <c r="I7673" t="s">
        <v>42</v>
      </c>
    </row>
    <row r="7674" spans="1:9" x14ac:dyDescent="0.3">
      <c r="A7674" t="s">
        <v>37</v>
      </c>
      <c r="G7674">
        <v>44588</v>
      </c>
      <c r="H7674">
        <v>2022</v>
      </c>
      <c r="I7674" t="s">
        <v>42</v>
      </c>
    </row>
    <row r="7675" spans="1:9" x14ac:dyDescent="0.3">
      <c r="A7675" t="s">
        <v>17</v>
      </c>
      <c r="C7675">
        <v>108000</v>
      </c>
      <c r="G7675">
        <v>44588</v>
      </c>
      <c r="H7675">
        <v>2022</v>
      </c>
      <c r="I7675" t="s">
        <v>42</v>
      </c>
    </row>
    <row r="7676" spans="1:9" x14ac:dyDescent="0.3">
      <c r="A7676" t="s">
        <v>0</v>
      </c>
      <c r="C7676">
        <v>540000</v>
      </c>
      <c r="G7676">
        <v>44588</v>
      </c>
      <c r="H7676">
        <v>2022</v>
      </c>
      <c r="I7676" t="s">
        <v>42</v>
      </c>
    </row>
    <row r="7677" spans="1:9" x14ac:dyDescent="0.3">
      <c r="A7677" t="s">
        <v>25</v>
      </c>
      <c r="B7677">
        <v>54000</v>
      </c>
      <c r="C7677">
        <v>270000</v>
      </c>
      <c r="G7677">
        <v>44588</v>
      </c>
      <c r="H7677">
        <v>2022</v>
      </c>
      <c r="I7677" t="s">
        <v>42</v>
      </c>
    </row>
    <row r="7678" spans="1:9" x14ac:dyDescent="0.3">
      <c r="A7678" t="s">
        <v>15</v>
      </c>
      <c r="C7678">
        <v>157500</v>
      </c>
      <c r="G7678">
        <v>44588</v>
      </c>
      <c r="H7678">
        <v>2022</v>
      </c>
      <c r="I7678" t="s">
        <v>42</v>
      </c>
    </row>
    <row r="7679" spans="1:9" x14ac:dyDescent="0.3">
      <c r="A7679" t="s">
        <v>54</v>
      </c>
      <c r="C7679">
        <v>265500</v>
      </c>
      <c r="G7679">
        <v>44588</v>
      </c>
      <c r="H7679">
        <v>2022</v>
      </c>
      <c r="I7679" t="s">
        <v>42</v>
      </c>
    </row>
    <row r="7680" spans="1:9" x14ac:dyDescent="0.3">
      <c r="A7680" t="s">
        <v>26</v>
      </c>
      <c r="B7680">
        <v>99000</v>
      </c>
      <c r="C7680">
        <v>216000</v>
      </c>
      <c r="D7680">
        <v>270000</v>
      </c>
      <c r="G7680">
        <v>44588</v>
      </c>
      <c r="H7680">
        <v>2022</v>
      </c>
      <c r="I7680" t="s">
        <v>42</v>
      </c>
    </row>
    <row r="7681" spans="1:9" x14ac:dyDescent="0.3">
      <c r="A7681" t="s">
        <v>22</v>
      </c>
      <c r="G7681">
        <v>44588</v>
      </c>
      <c r="H7681">
        <v>2022</v>
      </c>
      <c r="I7681" t="s">
        <v>42</v>
      </c>
    </row>
    <row r="7682" spans="1:9" x14ac:dyDescent="0.3">
      <c r="A7682" t="s">
        <v>61</v>
      </c>
      <c r="G7682">
        <v>44588</v>
      </c>
      <c r="H7682">
        <v>2022</v>
      </c>
      <c r="I7682" t="s">
        <v>42</v>
      </c>
    </row>
    <row r="7683" spans="1:9" x14ac:dyDescent="0.3">
      <c r="A7683" t="s">
        <v>19</v>
      </c>
      <c r="B7683">
        <v>211500</v>
      </c>
      <c r="D7683">
        <v>153000</v>
      </c>
      <c r="G7683">
        <v>44588</v>
      </c>
      <c r="H7683">
        <v>2022</v>
      </c>
      <c r="I7683" t="s">
        <v>42</v>
      </c>
    </row>
    <row r="7684" spans="1:9" x14ac:dyDescent="0.3">
      <c r="A7684" t="s">
        <v>14</v>
      </c>
      <c r="B7684">
        <v>959500</v>
      </c>
      <c r="C7684">
        <v>370000</v>
      </c>
      <c r="F7684">
        <v>324000</v>
      </c>
      <c r="G7684">
        <v>44588</v>
      </c>
      <c r="H7684">
        <v>2022</v>
      </c>
      <c r="I7684" t="s">
        <v>42</v>
      </c>
    </row>
    <row r="7685" spans="1:9" x14ac:dyDescent="0.3">
      <c r="A7685" t="s">
        <v>24</v>
      </c>
      <c r="G7685">
        <v>44588</v>
      </c>
      <c r="H7685">
        <v>2022</v>
      </c>
      <c r="I7685" t="s">
        <v>42</v>
      </c>
    </row>
    <row r="7686" spans="1:9" x14ac:dyDescent="0.3">
      <c r="A7686" t="s">
        <v>21</v>
      </c>
      <c r="G7686">
        <v>44588</v>
      </c>
      <c r="H7686">
        <v>2022</v>
      </c>
      <c r="I7686" t="s">
        <v>42</v>
      </c>
    </row>
    <row r="7687" spans="1:9" x14ac:dyDescent="0.3">
      <c r="A7687" t="s">
        <v>65</v>
      </c>
      <c r="G7687">
        <v>44588</v>
      </c>
      <c r="H7687">
        <v>2022</v>
      </c>
      <c r="I7687" t="s">
        <v>42</v>
      </c>
    </row>
    <row r="7688" spans="1:9" x14ac:dyDescent="0.3">
      <c r="A7688" t="s">
        <v>18</v>
      </c>
      <c r="F7688">
        <v>108000</v>
      </c>
      <c r="G7688">
        <v>44588</v>
      </c>
      <c r="H7688">
        <v>2022</v>
      </c>
      <c r="I7688" t="s">
        <v>42</v>
      </c>
    </row>
    <row r="7689" spans="1:9" x14ac:dyDescent="0.3">
      <c r="A7689" t="s">
        <v>16</v>
      </c>
      <c r="D7689">
        <v>108000</v>
      </c>
      <c r="G7689">
        <v>44588</v>
      </c>
      <c r="H7689">
        <v>2022</v>
      </c>
      <c r="I7689" t="s">
        <v>42</v>
      </c>
    </row>
    <row r="7690" spans="1:9" x14ac:dyDescent="0.3">
      <c r="A7690" t="s">
        <v>20</v>
      </c>
      <c r="G7690">
        <v>44589</v>
      </c>
      <c r="H7690">
        <v>2022</v>
      </c>
      <c r="I7690" t="s">
        <v>42</v>
      </c>
    </row>
    <row r="7691" spans="1:9" x14ac:dyDescent="0.3">
      <c r="A7691" t="s">
        <v>37</v>
      </c>
      <c r="G7691">
        <v>44589</v>
      </c>
      <c r="H7691">
        <v>2022</v>
      </c>
      <c r="I7691" t="s">
        <v>42</v>
      </c>
    </row>
    <row r="7692" spans="1:9" x14ac:dyDescent="0.3">
      <c r="A7692" t="s">
        <v>17</v>
      </c>
      <c r="G7692">
        <v>44589</v>
      </c>
      <c r="H7692">
        <v>2022</v>
      </c>
      <c r="I7692" t="s">
        <v>42</v>
      </c>
    </row>
    <row r="7693" spans="1:9" x14ac:dyDescent="0.3">
      <c r="A7693" t="s">
        <v>0</v>
      </c>
      <c r="C7693">
        <v>536000</v>
      </c>
      <c r="G7693">
        <v>44589</v>
      </c>
      <c r="H7693">
        <v>2022</v>
      </c>
      <c r="I7693" t="s">
        <v>42</v>
      </c>
    </row>
    <row r="7694" spans="1:9" x14ac:dyDescent="0.3">
      <c r="A7694" t="s">
        <v>25</v>
      </c>
      <c r="C7694">
        <v>162000</v>
      </c>
      <c r="G7694">
        <v>44589</v>
      </c>
      <c r="H7694">
        <v>2022</v>
      </c>
      <c r="I7694" t="s">
        <v>42</v>
      </c>
    </row>
    <row r="7695" spans="1:9" x14ac:dyDescent="0.3">
      <c r="A7695" t="s">
        <v>15</v>
      </c>
      <c r="C7695">
        <v>270000</v>
      </c>
      <c r="G7695">
        <v>44589</v>
      </c>
      <c r="H7695">
        <v>2022</v>
      </c>
      <c r="I7695" t="s">
        <v>42</v>
      </c>
    </row>
    <row r="7696" spans="1:9" x14ac:dyDescent="0.3">
      <c r="A7696" t="s">
        <v>54</v>
      </c>
      <c r="G7696">
        <v>44589</v>
      </c>
      <c r="H7696">
        <v>2022</v>
      </c>
      <c r="I7696" t="s">
        <v>42</v>
      </c>
    </row>
    <row r="7697" spans="1:9" x14ac:dyDescent="0.3">
      <c r="A7697" t="s">
        <v>26</v>
      </c>
      <c r="C7697">
        <v>216000</v>
      </c>
      <c r="D7697">
        <v>54000</v>
      </c>
      <c r="G7697">
        <v>44589</v>
      </c>
      <c r="H7697">
        <v>2022</v>
      </c>
      <c r="I7697" t="s">
        <v>42</v>
      </c>
    </row>
    <row r="7698" spans="1:9" x14ac:dyDescent="0.3">
      <c r="A7698" t="s">
        <v>22</v>
      </c>
      <c r="G7698">
        <v>44589</v>
      </c>
      <c r="H7698">
        <v>2022</v>
      </c>
      <c r="I7698" t="s">
        <v>42</v>
      </c>
    </row>
    <row r="7699" spans="1:9" x14ac:dyDescent="0.3">
      <c r="A7699" t="s">
        <v>61</v>
      </c>
      <c r="G7699">
        <v>44589</v>
      </c>
      <c r="H7699">
        <v>2022</v>
      </c>
      <c r="I7699" t="s">
        <v>42</v>
      </c>
    </row>
    <row r="7700" spans="1:9" x14ac:dyDescent="0.3">
      <c r="A7700" t="s">
        <v>19</v>
      </c>
      <c r="B7700">
        <v>207000</v>
      </c>
      <c r="G7700">
        <v>44589</v>
      </c>
      <c r="H7700">
        <v>2022</v>
      </c>
      <c r="I7700" t="s">
        <v>42</v>
      </c>
    </row>
    <row r="7701" spans="1:9" x14ac:dyDescent="0.3">
      <c r="A7701" t="s">
        <v>14</v>
      </c>
      <c r="B7701">
        <v>486000</v>
      </c>
      <c r="C7701">
        <v>266000</v>
      </c>
      <c r="F7701">
        <v>468000</v>
      </c>
      <c r="G7701">
        <v>44589</v>
      </c>
      <c r="H7701">
        <v>2022</v>
      </c>
      <c r="I7701" t="s">
        <v>42</v>
      </c>
    </row>
    <row r="7702" spans="1:9" x14ac:dyDescent="0.3">
      <c r="A7702" t="s">
        <v>24</v>
      </c>
      <c r="G7702">
        <v>44589</v>
      </c>
      <c r="H7702">
        <v>2022</v>
      </c>
      <c r="I7702" t="s">
        <v>42</v>
      </c>
    </row>
    <row r="7703" spans="1:9" x14ac:dyDescent="0.3">
      <c r="A7703" t="s">
        <v>21</v>
      </c>
      <c r="G7703">
        <v>44589</v>
      </c>
      <c r="H7703">
        <v>2022</v>
      </c>
      <c r="I7703" t="s">
        <v>42</v>
      </c>
    </row>
    <row r="7704" spans="1:9" x14ac:dyDescent="0.3">
      <c r="A7704" t="s">
        <v>65</v>
      </c>
      <c r="G7704">
        <v>44589</v>
      </c>
      <c r="H7704">
        <v>2022</v>
      </c>
      <c r="I7704" t="s">
        <v>42</v>
      </c>
    </row>
    <row r="7705" spans="1:9" x14ac:dyDescent="0.3">
      <c r="A7705" t="s">
        <v>18</v>
      </c>
      <c r="G7705">
        <v>44589</v>
      </c>
      <c r="H7705">
        <v>2022</v>
      </c>
      <c r="I7705" t="s">
        <v>42</v>
      </c>
    </row>
    <row r="7706" spans="1:9" x14ac:dyDescent="0.3">
      <c r="A7706" t="s">
        <v>16</v>
      </c>
      <c r="B7706">
        <v>50000</v>
      </c>
      <c r="C7706">
        <v>216000</v>
      </c>
      <c r="E7706">
        <v>108000</v>
      </c>
      <c r="G7706">
        <v>44589</v>
      </c>
      <c r="H7706">
        <v>2022</v>
      </c>
      <c r="I7706" t="s">
        <v>42</v>
      </c>
    </row>
    <row r="7707" spans="1:9" x14ac:dyDescent="0.3">
      <c r="A7707" t="s">
        <v>20</v>
      </c>
      <c r="G7707">
        <v>44592</v>
      </c>
      <c r="H7707">
        <v>2022</v>
      </c>
      <c r="I7707" t="s">
        <v>42</v>
      </c>
    </row>
    <row r="7708" spans="1:9" x14ac:dyDescent="0.3">
      <c r="A7708" t="s">
        <v>37</v>
      </c>
      <c r="G7708">
        <v>44592</v>
      </c>
      <c r="H7708">
        <v>2022</v>
      </c>
      <c r="I7708" t="s">
        <v>42</v>
      </c>
    </row>
    <row r="7709" spans="1:9" x14ac:dyDescent="0.3">
      <c r="A7709" t="s">
        <v>17</v>
      </c>
      <c r="G7709">
        <v>44592</v>
      </c>
      <c r="H7709">
        <v>2022</v>
      </c>
      <c r="I7709" t="s">
        <v>42</v>
      </c>
    </row>
    <row r="7710" spans="1:9" x14ac:dyDescent="0.3">
      <c r="A7710" t="s">
        <v>0</v>
      </c>
      <c r="C7710">
        <v>702000</v>
      </c>
      <c r="G7710">
        <v>44592</v>
      </c>
      <c r="H7710">
        <v>2022</v>
      </c>
      <c r="I7710" t="s">
        <v>42</v>
      </c>
    </row>
    <row r="7711" spans="1:9" x14ac:dyDescent="0.3">
      <c r="A7711" t="s">
        <v>25</v>
      </c>
      <c r="C7711">
        <v>266000</v>
      </c>
      <c r="G7711">
        <v>44592</v>
      </c>
      <c r="H7711">
        <v>2022</v>
      </c>
      <c r="I7711" t="s">
        <v>42</v>
      </c>
    </row>
    <row r="7712" spans="1:9" x14ac:dyDescent="0.3">
      <c r="A7712" t="s">
        <v>15</v>
      </c>
      <c r="C7712">
        <v>54000</v>
      </c>
      <c r="G7712">
        <v>44592</v>
      </c>
      <c r="H7712">
        <v>2022</v>
      </c>
      <c r="I7712" t="s">
        <v>42</v>
      </c>
    </row>
    <row r="7713" spans="1:9" x14ac:dyDescent="0.3">
      <c r="A7713" t="s">
        <v>54</v>
      </c>
      <c r="C7713">
        <v>216000</v>
      </c>
      <c r="G7713">
        <v>44592</v>
      </c>
      <c r="H7713">
        <v>2022</v>
      </c>
      <c r="I7713" t="s">
        <v>42</v>
      </c>
    </row>
    <row r="7714" spans="1:9" x14ac:dyDescent="0.3">
      <c r="A7714" t="s">
        <v>26</v>
      </c>
      <c r="C7714">
        <v>212000</v>
      </c>
      <c r="D7714">
        <v>162000</v>
      </c>
      <c r="G7714">
        <v>44592</v>
      </c>
      <c r="H7714">
        <v>2022</v>
      </c>
      <c r="I7714" t="s">
        <v>42</v>
      </c>
    </row>
    <row r="7715" spans="1:9" x14ac:dyDescent="0.3">
      <c r="A7715" t="s">
        <v>22</v>
      </c>
      <c r="G7715">
        <v>44592</v>
      </c>
      <c r="H7715">
        <v>2022</v>
      </c>
      <c r="I7715" t="s">
        <v>42</v>
      </c>
    </row>
    <row r="7716" spans="1:9" x14ac:dyDescent="0.3">
      <c r="A7716" t="s">
        <v>61</v>
      </c>
      <c r="G7716">
        <v>44592</v>
      </c>
      <c r="H7716">
        <v>2022</v>
      </c>
      <c r="I7716" t="s">
        <v>42</v>
      </c>
    </row>
    <row r="7717" spans="1:9" x14ac:dyDescent="0.3">
      <c r="A7717" t="s">
        <v>19</v>
      </c>
      <c r="D7717">
        <v>216000</v>
      </c>
      <c r="G7717">
        <v>44592</v>
      </c>
      <c r="H7717">
        <v>2022</v>
      </c>
      <c r="I7717" t="s">
        <v>42</v>
      </c>
    </row>
    <row r="7718" spans="1:9" x14ac:dyDescent="0.3">
      <c r="A7718" t="s">
        <v>14</v>
      </c>
      <c r="C7718">
        <v>108000</v>
      </c>
      <c r="F7718">
        <v>45000</v>
      </c>
      <c r="G7718">
        <v>44592</v>
      </c>
      <c r="H7718">
        <v>2022</v>
      </c>
      <c r="I7718" t="s">
        <v>42</v>
      </c>
    </row>
    <row r="7719" spans="1:9" x14ac:dyDescent="0.3">
      <c r="A7719" t="s">
        <v>24</v>
      </c>
      <c r="G7719">
        <v>44592</v>
      </c>
      <c r="H7719">
        <v>2022</v>
      </c>
      <c r="I7719" t="s">
        <v>42</v>
      </c>
    </row>
    <row r="7720" spans="1:9" x14ac:dyDescent="0.3">
      <c r="A7720" t="s">
        <v>21</v>
      </c>
      <c r="G7720">
        <v>44592</v>
      </c>
      <c r="H7720">
        <v>2022</v>
      </c>
      <c r="I7720" t="s">
        <v>42</v>
      </c>
    </row>
    <row r="7721" spans="1:9" x14ac:dyDescent="0.3">
      <c r="A7721" t="s">
        <v>65</v>
      </c>
      <c r="G7721">
        <v>44592</v>
      </c>
      <c r="H7721">
        <v>2022</v>
      </c>
      <c r="I7721" t="s">
        <v>42</v>
      </c>
    </row>
    <row r="7722" spans="1:9" x14ac:dyDescent="0.3">
      <c r="A7722" t="s">
        <v>18</v>
      </c>
      <c r="G7722">
        <v>44592</v>
      </c>
      <c r="H7722">
        <v>2022</v>
      </c>
      <c r="I7722" t="s">
        <v>42</v>
      </c>
    </row>
    <row r="7723" spans="1:9" x14ac:dyDescent="0.3">
      <c r="A7723" t="s">
        <v>16</v>
      </c>
      <c r="C7723">
        <v>270000</v>
      </c>
      <c r="D7723">
        <v>270000</v>
      </c>
      <c r="G7723">
        <v>44592</v>
      </c>
      <c r="H7723">
        <v>2022</v>
      </c>
      <c r="I7723" t="s">
        <v>42</v>
      </c>
    </row>
    <row r="7724" spans="1:9" x14ac:dyDescent="0.3">
      <c r="A7724" t="s">
        <v>20</v>
      </c>
      <c r="G7724">
        <v>44594</v>
      </c>
      <c r="H7724">
        <v>2022</v>
      </c>
      <c r="I7724" t="s">
        <v>43</v>
      </c>
    </row>
    <row r="7725" spans="1:9" x14ac:dyDescent="0.3">
      <c r="A7725" t="s">
        <v>37</v>
      </c>
      <c r="G7725">
        <v>44594</v>
      </c>
      <c r="H7725">
        <v>2022</v>
      </c>
      <c r="I7725" t="s">
        <v>43</v>
      </c>
    </row>
    <row r="7726" spans="1:9" x14ac:dyDescent="0.3">
      <c r="A7726" t="s">
        <v>17</v>
      </c>
      <c r="G7726">
        <v>44594</v>
      </c>
      <c r="H7726">
        <v>2022</v>
      </c>
      <c r="I7726" t="s">
        <v>43</v>
      </c>
    </row>
    <row r="7727" spans="1:9" x14ac:dyDescent="0.3">
      <c r="A7727" t="s">
        <v>0</v>
      </c>
      <c r="C7727">
        <v>378000</v>
      </c>
      <c r="G7727">
        <v>44594</v>
      </c>
      <c r="H7727">
        <v>2022</v>
      </c>
      <c r="I7727" t="s">
        <v>43</v>
      </c>
    </row>
    <row r="7728" spans="1:9" x14ac:dyDescent="0.3">
      <c r="A7728" t="s">
        <v>25</v>
      </c>
      <c r="C7728">
        <v>212000</v>
      </c>
      <c r="G7728">
        <v>44594</v>
      </c>
      <c r="H7728">
        <v>2022</v>
      </c>
      <c r="I7728" t="s">
        <v>43</v>
      </c>
    </row>
    <row r="7729" spans="1:9" x14ac:dyDescent="0.3">
      <c r="A7729" t="s">
        <v>15</v>
      </c>
      <c r="C7729">
        <v>216000</v>
      </c>
      <c r="G7729">
        <v>44594</v>
      </c>
      <c r="H7729">
        <v>2022</v>
      </c>
      <c r="I7729" t="s">
        <v>43</v>
      </c>
    </row>
    <row r="7730" spans="1:9" x14ac:dyDescent="0.3">
      <c r="A7730" t="s">
        <v>54</v>
      </c>
      <c r="C7730">
        <v>216000</v>
      </c>
      <c r="G7730">
        <v>44594</v>
      </c>
      <c r="H7730">
        <v>2022</v>
      </c>
      <c r="I7730" t="s">
        <v>43</v>
      </c>
    </row>
    <row r="7731" spans="1:9" x14ac:dyDescent="0.3">
      <c r="A7731" t="s">
        <v>26</v>
      </c>
      <c r="B7731">
        <v>90000</v>
      </c>
      <c r="C7731">
        <v>162000</v>
      </c>
      <c r="G7731">
        <v>44594</v>
      </c>
      <c r="H7731">
        <v>2022</v>
      </c>
      <c r="I7731" t="s">
        <v>43</v>
      </c>
    </row>
    <row r="7732" spans="1:9" x14ac:dyDescent="0.3">
      <c r="A7732" t="s">
        <v>22</v>
      </c>
      <c r="G7732">
        <v>44594</v>
      </c>
      <c r="H7732">
        <v>2022</v>
      </c>
      <c r="I7732" t="s">
        <v>43</v>
      </c>
    </row>
    <row r="7733" spans="1:9" x14ac:dyDescent="0.3">
      <c r="A7733" t="s">
        <v>61</v>
      </c>
      <c r="G7733">
        <v>44594</v>
      </c>
      <c r="H7733">
        <v>2022</v>
      </c>
      <c r="I7733" t="s">
        <v>43</v>
      </c>
    </row>
    <row r="7734" spans="1:9" x14ac:dyDescent="0.3">
      <c r="A7734" t="s">
        <v>19</v>
      </c>
      <c r="D7734">
        <v>203000</v>
      </c>
      <c r="G7734">
        <v>44594</v>
      </c>
      <c r="H7734">
        <v>2022</v>
      </c>
      <c r="I7734" t="s">
        <v>43</v>
      </c>
    </row>
    <row r="7735" spans="1:9" x14ac:dyDescent="0.3">
      <c r="A7735" t="s">
        <v>14</v>
      </c>
      <c r="C7735">
        <v>108000</v>
      </c>
      <c r="F7735">
        <v>90000</v>
      </c>
      <c r="G7735">
        <v>44594</v>
      </c>
      <c r="H7735">
        <v>2022</v>
      </c>
      <c r="I7735" t="s">
        <v>43</v>
      </c>
    </row>
    <row r="7736" spans="1:9" x14ac:dyDescent="0.3">
      <c r="A7736" t="s">
        <v>24</v>
      </c>
      <c r="G7736">
        <v>44594</v>
      </c>
      <c r="H7736">
        <v>2022</v>
      </c>
      <c r="I7736" t="s">
        <v>43</v>
      </c>
    </row>
    <row r="7737" spans="1:9" x14ac:dyDescent="0.3">
      <c r="A7737" t="s">
        <v>21</v>
      </c>
      <c r="G7737">
        <v>44594</v>
      </c>
      <c r="H7737">
        <v>2022</v>
      </c>
      <c r="I7737" t="s">
        <v>43</v>
      </c>
    </row>
    <row r="7738" spans="1:9" x14ac:dyDescent="0.3">
      <c r="A7738" t="s">
        <v>65</v>
      </c>
      <c r="G7738">
        <v>44594</v>
      </c>
      <c r="H7738">
        <v>2022</v>
      </c>
      <c r="I7738" t="s">
        <v>43</v>
      </c>
    </row>
    <row r="7739" spans="1:9" x14ac:dyDescent="0.3">
      <c r="A7739" t="s">
        <v>18</v>
      </c>
      <c r="G7739">
        <v>44594</v>
      </c>
      <c r="H7739">
        <v>2022</v>
      </c>
      <c r="I7739" t="s">
        <v>43</v>
      </c>
    </row>
    <row r="7740" spans="1:9" x14ac:dyDescent="0.3">
      <c r="A7740" t="s">
        <v>16</v>
      </c>
      <c r="C7740">
        <v>54000</v>
      </c>
      <c r="G7740">
        <v>44594</v>
      </c>
      <c r="H7740">
        <v>2022</v>
      </c>
      <c r="I7740" t="s">
        <v>43</v>
      </c>
    </row>
    <row r="7741" spans="1:9" x14ac:dyDescent="0.3">
      <c r="A7741" t="s">
        <v>20</v>
      </c>
      <c r="G7741">
        <v>44595</v>
      </c>
      <c r="H7741">
        <v>2022</v>
      </c>
      <c r="I7741" t="s">
        <v>43</v>
      </c>
    </row>
    <row r="7742" spans="1:9" x14ac:dyDescent="0.3">
      <c r="A7742" t="s">
        <v>37</v>
      </c>
      <c r="C7742">
        <v>108000</v>
      </c>
      <c r="G7742">
        <v>44595</v>
      </c>
      <c r="H7742">
        <v>2022</v>
      </c>
      <c r="I7742" t="s">
        <v>43</v>
      </c>
    </row>
    <row r="7743" spans="1:9" x14ac:dyDescent="0.3">
      <c r="A7743" t="s">
        <v>17</v>
      </c>
      <c r="G7743">
        <v>44595</v>
      </c>
      <c r="H7743">
        <v>2022</v>
      </c>
      <c r="I7743" t="s">
        <v>43</v>
      </c>
    </row>
    <row r="7744" spans="1:9" x14ac:dyDescent="0.3">
      <c r="A7744" t="s">
        <v>0</v>
      </c>
      <c r="C7744">
        <v>594000</v>
      </c>
      <c r="G7744">
        <v>44595</v>
      </c>
      <c r="H7744">
        <v>2022</v>
      </c>
      <c r="I7744" t="s">
        <v>43</v>
      </c>
    </row>
    <row r="7745" spans="1:9" x14ac:dyDescent="0.3">
      <c r="A7745" t="s">
        <v>25</v>
      </c>
      <c r="C7745">
        <v>162000</v>
      </c>
      <c r="G7745">
        <v>44595</v>
      </c>
      <c r="H7745">
        <v>2022</v>
      </c>
      <c r="I7745" t="s">
        <v>43</v>
      </c>
    </row>
    <row r="7746" spans="1:9" x14ac:dyDescent="0.3">
      <c r="A7746" t="s">
        <v>15</v>
      </c>
      <c r="C7746">
        <v>270000</v>
      </c>
      <c r="G7746">
        <v>44595</v>
      </c>
      <c r="H7746">
        <v>2022</v>
      </c>
      <c r="I7746" t="s">
        <v>43</v>
      </c>
    </row>
    <row r="7747" spans="1:9" x14ac:dyDescent="0.3">
      <c r="A7747" t="s">
        <v>54</v>
      </c>
      <c r="G7747">
        <v>44595</v>
      </c>
      <c r="H7747">
        <v>2022</v>
      </c>
      <c r="I7747" t="s">
        <v>43</v>
      </c>
    </row>
    <row r="7748" spans="1:9" x14ac:dyDescent="0.3">
      <c r="A7748" t="s">
        <v>26</v>
      </c>
      <c r="C7748">
        <v>54000</v>
      </c>
      <c r="G7748">
        <v>44595</v>
      </c>
      <c r="H7748">
        <v>2022</v>
      </c>
      <c r="I7748" t="s">
        <v>43</v>
      </c>
    </row>
    <row r="7749" spans="1:9" x14ac:dyDescent="0.3">
      <c r="A7749" t="s">
        <v>22</v>
      </c>
      <c r="G7749">
        <v>44595</v>
      </c>
      <c r="H7749">
        <v>2022</v>
      </c>
      <c r="I7749" t="s">
        <v>43</v>
      </c>
    </row>
    <row r="7750" spans="1:9" x14ac:dyDescent="0.3">
      <c r="A7750" t="s">
        <v>61</v>
      </c>
      <c r="G7750">
        <v>44595</v>
      </c>
      <c r="H7750">
        <v>2022</v>
      </c>
      <c r="I7750" t="s">
        <v>43</v>
      </c>
    </row>
    <row r="7751" spans="1:9" x14ac:dyDescent="0.3">
      <c r="A7751" t="s">
        <v>19</v>
      </c>
      <c r="C7751">
        <v>324000</v>
      </c>
      <c r="D7751">
        <v>54000</v>
      </c>
      <c r="G7751">
        <v>44595</v>
      </c>
      <c r="H7751">
        <v>2022</v>
      </c>
      <c r="I7751" t="s">
        <v>43</v>
      </c>
    </row>
    <row r="7752" spans="1:9" x14ac:dyDescent="0.3">
      <c r="A7752" t="s">
        <v>14</v>
      </c>
      <c r="B7752">
        <v>90000</v>
      </c>
      <c r="C7752">
        <v>103500</v>
      </c>
      <c r="G7752">
        <v>44595</v>
      </c>
      <c r="H7752">
        <v>2022</v>
      </c>
      <c r="I7752" t="s">
        <v>43</v>
      </c>
    </row>
    <row r="7753" spans="1:9" x14ac:dyDescent="0.3">
      <c r="A7753" t="s">
        <v>24</v>
      </c>
      <c r="G7753">
        <v>44595</v>
      </c>
      <c r="H7753">
        <v>2022</v>
      </c>
      <c r="I7753" t="s">
        <v>43</v>
      </c>
    </row>
    <row r="7754" spans="1:9" x14ac:dyDescent="0.3">
      <c r="A7754" t="s">
        <v>21</v>
      </c>
      <c r="G7754">
        <v>44595</v>
      </c>
      <c r="H7754">
        <v>2022</v>
      </c>
      <c r="I7754" t="s">
        <v>43</v>
      </c>
    </row>
    <row r="7755" spans="1:9" x14ac:dyDescent="0.3">
      <c r="A7755" t="s">
        <v>65</v>
      </c>
      <c r="G7755">
        <v>44595</v>
      </c>
      <c r="H7755">
        <v>2022</v>
      </c>
      <c r="I7755" t="s">
        <v>43</v>
      </c>
    </row>
    <row r="7756" spans="1:9" x14ac:dyDescent="0.3">
      <c r="A7756" t="s">
        <v>18</v>
      </c>
      <c r="G7756">
        <v>44595</v>
      </c>
      <c r="H7756">
        <v>2022</v>
      </c>
      <c r="I7756" t="s">
        <v>43</v>
      </c>
    </row>
    <row r="7757" spans="1:9" x14ac:dyDescent="0.3">
      <c r="A7757" t="s">
        <v>16</v>
      </c>
      <c r="G7757">
        <v>44595</v>
      </c>
      <c r="H7757">
        <v>2022</v>
      </c>
      <c r="I7757" t="s">
        <v>43</v>
      </c>
    </row>
    <row r="7758" spans="1:9" x14ac:dyDescent="0.3">
      <c r="A7758" t="s">
        <v>20</v>
      </c>
      <c r="G7758">
        <v>44596</v>
      </c>
      <c r="H7758">
        <v>2022</v>
      </c>
      <c r="I7758" t="s">
        <v>43</v>
      </c>
    </row>
    <row r="7759" spans="1:9" x14ac:dyDescent="0.3">
      <c r="A7759" t="s">
        <v>37</v>
      </c>
      <c r="C7759">
        <v>108000</v>
      </c>
      <c r="G7759">
        <v>44596</v>
      </c>
      <c r="H7759">
        <v>2022</v>
      </c>
      <c r="I7759" t="s">
        <v>43</v>
      </c>
    </row>
    <row r="7760" spans="1:9" x14ac:dyDescent="0.3">
      <c r="A7760" t="s">
        <v>17</v>
      </c>
      <c r="G7760">
        <v>44596</v>
      </c>
      <c r="H7760">
        <v>2022</v>
      </c>
      <c r="I7760" t="s">
        <v>43</v>
      </c>
    </row>
    <row r="7761" spans="1:9" x14ac:dyDescent="0.3">
      <c r="A7761" t="s">
        <v>0</v>
      </c>
      <c r="C7761">
        <v>324000</v>
      </c>
      <c r="G7761">
        <v>44596</v>
      </c>
      <c r="H7761">
        <v>2022</v>
      </c>
      <c r="I7761" t="s">
        <v>43</v>
      </c>
    </row>
    <row r="7762" spans="1:9" x14ac:dyDescent="0.3">
      <c r="A7762" t="s">
        <v>25</v>
      </c>
      <c r="C7762">
        <v>162000</v>
      </c>
      <c r="G7762">
        <v>44596</v>
      </c>
      <c r="H7762">
        <v>2022</v>
      </c>
      <c r="I7762" t="s">
        <v>43</v>
      </c>
    </row>
    <row r="7763" spans="1:9" x14ac:dyDescent="0.3">
      <c r="A7763" t="s">
        <v>15</v>
      </c>
      <c r="C7763">
        <v>108000</v>
      </c>
      <c r="G7763">
        <v>44596</v>
      </c>
      <c r="H7763">
        <v>2022</v>
      </c>
      <c r="I7763" t="s">
        <v>43</v>
      </c>
    </row>
    <row r="7764" spans="1:9" x14ac:dyDescent="0.3">
      <c r="A7764" t="s">
        <v>54</v>
      </c>
      <c r="C7764">
        <v>207000</v>
      </c>
      <c r="G7764">
        <v>44596</v>
      </c>
      <c r="H7764">
        <v>2022</v>
      </c>
      <c r="I7764" t="s">
        <v>43</v>
      </c>
    </row>
    <row r="7765" spans="1:9" x14ac:dyDescent="0.3">
      <c r="A7765" t="s">
        <v>26</v>
      </c>
      <c r="G7765">
        <v>44596</v>
      </c>
      <c r="H7765">
        <v>2022</v>
      </c>
      <c r="I7765" t="s">
        <v>43</v>
      </c>
    </row>
    <row r="7766" spans="1:9" x14ac:dyDescent="0.3">
      <c r="A7766" t="s">
        <v>22</v>
      </c>
      <c r="G7766">
        <v>44596</v>
      </c>
      <c r="H7766">
        <v>2022</v>
      </c>
      <c r="I7766" t="s">
        <v>43</v>
      </c>
    </row>
    <row r="7767" spans="1:9" x14ac:dyDescent="0.3">
      <c r="A7767" t="s">
        <v>61</v>
      </c>
      <c r="G7767">
        <v>44596</v>
      </c>
      <c r="H7767">
        <v>2022</v>
      </c>
      <c r="I7767" t="s">
        <v>43</v>
      </c>
    </row>
    <row r="7768" spans="1:9" x14ac:dyDescent="0.3">
      <c r="A7768" t="s">
        <v>19</v>
      </c>
      <c r="C7768">
        <v>36000</v>
      </c>
      <c r="G7768">
        <v>44596</v>
      </c>
      <c r="H7768">
        <v>2022</v>
      </c>
      <c r="I7768" t="s">
        <v>43</v>
      </c>
    </row>
    <row r="7769" spans="1:9" x14ac:dyDescent="0.3">
      <c r="A7769" t="s">
        <v>14</v>
      </c>
      <c r="C7769">
        <v>207000</v>
      </c>
      <c r="G7769">
        <v>44596</v>
      </c>
      <c r="H7769">
        <v>2022</v>
      </c>
      <c r="I7769" t="s">
        <v>43</v>
      </c>
    </row>
    <row r="7770" spans="1:9" x14ac:dyDescent="0.3">
      <c r="A7770" t="s">
        <v>24</v>
      </c>
      <c r="G7770">
        <v>44596</v>
      </c>
      <c r="H7770">
        <v>2022</v>
      </c>
      <c r="I7770" t="s">
        <v>43</v>
      </c>
    </row>
    <row r="7771" spans="1:9" x14ac:dyDescent="0.3">
      <c r="A7771" t="s">
        <v>21</v>
      </c>
      <c r="G7771">
        <v>44596</v>
      </c>
      <c r="H7771">
        <v>2022</v>
      </c>
      <c r="I7771" t="s">
        <v>43</v>
      </c>
    </row>
    <row r="7772" spans="1:9" x14ac:dyDescent="0.3">
      <c r="A7772" t="s">
        <v>65</v>
      </c>
      <c r="G7772">
        <v>44596</v>
      </c>
      <c r="H7772">
        <v>2022</v>
      </c>
      <c r="I7772" t="s">
        <v>43</v>
      </c>
    </row>
    <row r="7773" spans="1:9" x14ac:dyDescent="0.3">
      <c r="A7773" t="s">
        <v>18</v>
      </c>
      <c r="G7773">
        <v>44596</v>
      </c>
      <c r="H7773">
        <v>2022</v>
      </c>
      <c r="I7773" t="s">
        <v>43</v>
      </c>
    </row>
    <row r="7774" spans="1:9" x14ac:dyDescent="0.3">
      <c r="A7774" t="s">
        <v>16</v>
      </c>
      <c r="G7774">
        <v>44596</v>
      </c>
      <c r="H7774">
        <v>2022</v>
      </c>
      <c r="I7774" t="s">
        <v>43</v>
      </c>
    </row>
    <row r="7775" spans="1:9" x14ac:dyDescent="0.3">
      <c r="A7775" t="s">
        <v>20</v>
      </c>
      <c r="G7775">
        <v>44599</v>
      </c>
      <c r="H7775">
        <v>2022</v>
      </c>
      <c r="I7775" t="s">
        <v>43</v>
      </c>
    </row>
    <row r="7776" spans="1:9" x14ac:dyDescent="0.3">
      <c r="A7776" t="s">
        <v>37</v>
      </c>
      <c r="C7776">
        <v>108000</v>
      </c>
      <c r="G7776">
        <v>44599</v>
      </c>
      <c r="H7776">
        <v>2022</v>
      </c>
      <c r="I7776" t="s">
        <v>43</v>
      </c>
    </row>
    <row r="7777" spans="1:9" x14ac:dyDescent="0.3">
      <c r="A7777" t="s">
        <v>17</v>
      </c>
      <c r="B7777">
        <v>1869000</v>
      </c>
      <c r="C7777">
        <v>162000</v>
      </c>
      <c r="F7777">
        <v>540000</v>
      </c>
      <c r="G7777">
        <v>44599</v>
      </c>
      <c r="H7777">
        <v>2022</v>
      </c>
      <c r="I7777" t="s">
        <v>43</v>
      </c>
    </row>
    <row r="7778" spans="1:9" x14ac:dyDescent="0.3">
      <c r="A7778" t="s">
        <v>0</v>
      </c>
      <c r="C7778">
        <v>594000</v>
      </c>
      <c r="G7778">
        <v>44599</v>
      </c>
      <c r="H7778">
        <v>2022</v>
      </c>
      <c r="I7778" t="s">
        <v>43</v>
      </c>
    </row>
    <row r="7779" spans="1:9" x14ac:dyDescent="0.3">
      <c r="A7779" t="s">
        <v>25</v>
      </c>
      <c r="C7779">
        <v>162000</v>
      </c>
      <c r="G7779">
        <v>44599</v>
      </c>
      <c r="H7779">
        <v>2022</v>
      </c>
      <c r="I7779" t="s">
        <v>43</v>
      </c>
    </row>
    <row r="7780" spans="1:9" x14ac:dyDescent="0.3">
      <c r="A7780" t="s">
        <v>15</v>
      </c>
      <c r="C7780">
        <v>157500</v>
      </c>
      <c r="G7780">
        <v>44599</v>
      </c>
      <c r="H7780">
        <v>2022</v>
      </c>
      <c r="I7780" t="s">
        <v>43</v>
      </c>
    </row>
    <row r="7781" spans="1:9" x14ac:dyDescent="0.3">
      <c r="A7781" t="s">
        <v>54</v>
      </c>
      <c r="C7781">
        <v>54000</v>
      </c>
      <c r="G7781">
        <v>44599</v>
      </c>
      <c r="H7781">
        <v>2022</v>
      </c>
      <c r="I7781" t="s">
        <v>43</v>
      </c>
    </row>
    <row r="7782" spans="1:9" x14ac:dyDescent="0.3">
      <c r="A7782" t="s">
        <v>26</v>
      </c>
      <c r="C7782">
        <v>108000</v>
      </c>
      <c r="G7782">
        <v>44599</v>
      </c>
      <c r="H7782">
        <v>2022</v>
      </c>
      <c r="I7782" t="s">
        <v>43</v>
      </c>
    </row>
    <row r="7783" spans="1:9" x14ac:dyDescent="0.3">
      <c r="A7783" t="s">
        <v>22</v>
      </c>
      <c r="G7783">
        <v>44599</v>
      </c>
      <c r="H7783">
        <v>2022</v>
      </c>
      <c r="I7783" t="s">
        <v>43</v>
      </c>
    </row>
    <row r="7784" spans="1:9" x14ac:dyDescent="0.3">
      <c r="A7784" t="s">
        <v>61</v>
      </c>
      <c r="G7784">
        <v>44599</v>
      </c>
      <c r="H7784">
        <v>2022</v>
      </c>
      <c r="I7784" t="s">
        <v>43</v>
      </c>
    </row>
    <row r="7785" spans="1:9" x14ac:dyDescent="0.3">
      <c r="A7785" t="s">
        <v>19</v>
      </c>
      <c r="G7785">
        <v>44599</v>
      </c>
      <c r="H7785">
        <v>2022</v>
      </c>
      <c r="I7785" t="s">
        <v>43</v>
      </c>
    </row>
    <row r="7786" spans="1:9" x14ac:dyDescent="0.3">
      <c r="A7786" t="s">
        <v>14</v>
      </c>
      <c r="C7786">
        <v>162000</v>
      </c>
      <c r="G7786">
        <v>44599</v>
      </c>
      <c r="H7786">
        <v>2022</v>
      </c>
      <c r="I7786" t="s">
        <v>43</v>
      </c>
    </row>
    <row r="7787" spans="1:9" x14ac:dyDescent="0.3">
      <c r="A7787" t="s">
        <v>24</v>
      </c>
      <c r="G7787">
        <v>44599</v>
      </c>
      <c r="H7787">
        <v>2022</v>
      </c>
      <c r="I7787" t="s">
        <v>43</v>
      </c>
    </row>
    <row r="7788" spans="1:9" x14ac:dyDescent="0.3">
      <c r="A7788" t="s">
        <v>21</v>
      </c>
      <c r="G7788">
        <v>44599</v>
      </c>
      <c r="H7788">
        <v>2022</v>
      </c>
      <c r="I7788" t="s">
        <v>43</v>
      </c>
    </row>
    <row r="7789" spans="1:9" x14ac:dyDescent="0.3">
      <c r="A7789" t="s">
        <v>65</v>
      </c>
      <c r="G7789">
        <v>44599</v>
      </c>
      <c r="H7789">
        <v>2022</v>
      </c>
      <c r="I7789" t="s">
        <v>43</v>
      </c>
    </row>
    <row r="7790" spans="1:9" x14ac:dyDescent="0.3">
      <c r="A7790" t="s">
        <v>18</v>
      </c>
      <c r="G7790">
        <v>44599</v>
      </c>
      <c r="H7790">
        <v>2022</v>
      </c>
      <c r="I7790" t="s">
        <v>43</v>
      </c>
    </row>
    <row r="7791" spans="1:9" x14ac:dyDescent="0.3">
      <c r="A7791" t="s">
        <v>16</v>
      </c>
      <c r="G7791">
        <v>44599</v>
      </c>
      <c r="H7791">
        <v>2022</v>
      </c>
      <c r="I7791" t="s">
        <v>43</v>
      </c>
    </row>
    <row r="7792" spans="1:9" x14ac:dyDescent="0.3">
      <c r="A7792" t="s">
        <v>20</v>
      </c>
      <c r="G7792">
        <v>44600</v>
      </c>
      <c r="H7792">
        <v>2022</v>
      </c>
      <c r="I7792" t="s">
        <v>43</v>
      </c>
    </row>
    <row r="7793" spans="1:9" x14ac:dyDescent="0.3">
      <c r="A7793" t="s">
        <v>37</v>
      </c>
      <c r="C7793">
        <v>144000</v>
      </c>
      <c r="G7793">
        <v>44600</v>
      </c>
      <c r="H7793">
        <v>2022</v>
      </c>
      <c r="I7793" t="s">
        <v>43</v>
      </c>
    </row>
    <row r="7794" spans="1:9" x14ac:dyDescent="0.3">
      <c r="A7794" t="s">
        <v>17</v>
      </c>
      <c r="B7794">
        <v>1919000</v>
      </c>
      <c r="C7794">
        <v>108000</v>
      </c>
      <c r="F7794">
        <v>590000</v>
      </c>
      <c r="G7794">
        <v>44600</v>
      </c>
      <c r="H7794">
        <v>2022</v>
      </c>
      <c r="I7794" t="s">
        <v>43</v>
      </c>
    </row>
    <row r="7795" spans="1:9" x14ac:dyDescent="0.3">
      <c r="A7795" t="s">
        <v>0</v>
      </c>
      <c r="C7795">
        <v>432000</v>
      </c>
      <c r="G7795">
        <v>44600</v>
      </c>
      <c r="H7795">
        <v>2022</v>
      </c>
      <c r="I7795" t="s">
        <v>43</v>
      </c>
    </row>
    <row r="7796" spans="1:9" x14ac:dyDescent="0.3">
      <c r="A7796" t="s">
        <v>25</v>
      </c>
      <c r="C7796">
        <v>162000</v>
      </c>
      <c r="G7796">
        <v>44600</v>
      </c>
      <c r="H7796">
        <v>2022</v>
      </c>
      <c r="I7796" t="s">
        <v>43</v>
      </c>
    </row>
    <row r="7797" spans="1:9" x14ac:dyDescent="0.3">
      <c r="A7797" t="s">
        <v>15</v>
      </c>
      <c r="C7797">
        <v>432000</v>
      </c>
      <c r="G7797">
        <v>44600</v>
      </c>
      <c r="H7797">
        <v>2022</v>
      </c>
      <c r="I7797" t="s">
        <v>43</v>
      </c>
    </row>
    <row r="7798" spans="1:9" x14ac:dyDescent="0.3">
      <c r="A7798" t="s">
        <v>54</v>
      </c>
      <c r="C7798">
        <v>108000</v>
      </c>
      <c r="G7798">
        <v>44600</v>
      </c>
      <c r="H7798">
        <v>2022</v>
      </c>
      <c r="I7798" t="s">
        <v>43</v>
      </c>
    </row>
    <row r="7799" spans="1:9" x14ac:dyDescent="0.3">
      <c r="A7799" t="s">
        <v>26</v>
      </c>
      <c r="G7799">
        <v>44600</v>
      </c>
      <c r="H7799">
        <v>2022</v>
      </c>
      <c r="I7799" t="s">
        <v>43</v>
      </c>
    </row>
    <row r="7800" spans="1:9" x14ac:dyDescent="0.3">
      <c r="A7800" t="s">
        <v>22</v>
      </c>
      <c r="G7800">
        <v>44600</v>
      </c>
      <c r="H7800">
        <v>2022</v>
      </c>
      <c r="I7800" t="s">
        <v>43</v>
      </c>
    </row>
    <row r="7801" spans="1:9" x14ac:dyDescent="0.3">
      <c r="A7801" t="s">
        <v>61</v>
      </c>
      <c r="G7801">
        <v>44600</v>
      </c>
      <c r="H7801">
        <v>2022</v>
      </c>
      <c r="I7801" t="s">
        <v>43</v>
      </c>
    </row>
    <row r="7802" spans="1:9" x14ac:dyDescent="0.3">
      <c r="A7802" t="s">
        <v>19</v>
      </c>
      <c r="C7802">
        <v>324000</v>
      </c>
      <c r="G7802">
        <v>44600</v>
      </c>
      <c r="H7802">
        <v>2022</v>
      </c>
      <c r="I7802" t="s">
        <v>43</v>
      </c>
    </row>
    <row r="7803" spans="1:9" x14ac:dyDescent="0.3">
      <c r="A7803" t="s">
        <v>14</v>
      </c>
      <c r="C7803">
        <v>216000</v>
      </c>
      <c r="G7803">
        <v>44600</v>
      </c>
      <c r="H7803">
        <v>2022</v>
      </c>
      <c r="I7803" t="s">
        <v>43</v>
      </c>
    </row>
    <row r="7804" spans="1:9" x14ac:dyDescent="0.3">
      <c r="A7804" t="s">
        <v>24</v>
      </c>
      <c r="G7804">
        <v>44600</v>
      </c>
      <c r="H7804">
        <v>2022</v>
      </c>
      <c r="I7804" t="s">
        <v>43</v>
      </c>
    </row>
    <row r="7805" spans="1:9" x14ac:dyDescent="0.3">
      <c r="A7805" t="s">
        <v>21</v>
      </c>
      <c r="G7805">
        <v>44600</v>
      </c>
      <c r="H7805">
        <v>2022</v>
      </c>
      <c r="I7805" t="s">
        <v>43</v>
      </c>
    </row>
    <row r="7806" spans="1:9" x14ac:dyDescent="0.3">
      <c r="A7806" t="s">
        <v>65</v>
      </c>
      <c r="G7806">
        <v>44600</v>
      </c>
      <c r="H7806">
        <v>2022</v>
      </c>
      <c r="I7806" t="s">
        <v>43</v>
      </c>
    </row>
    <row r="7807" spans="1:9" x14ac:dyDescent="0.3">
      <c r="A7807" t="s">
        <v>18</v>
      </c>
      <c r="G7807">
        <v>44600</v>
      </c>
      <c r="H7807">
        <v>2022</v>
      </c>
      <c r="I7807" t="s">
        <v>43</v>
      </c>
    </row>
    <row r="7808" spans="1:9" x14ac:dyDescent="0.3">
      <c r="A7808" t="s">
        <v>16</v>
      </c>
      <c r="G7808">
        <v>44600</v>
      </c>
      <c r="H7808">
        <v>2022</v>
      </c>
      <c r="I7808" t="s">
        <v>43</v>
      </c>
    </row>
    <row r="7809" spans="1:9" x14ac:dyDescent="0.3">
      <c r="A7809" t="s">
        <v>20</v>
      </c>
      <c r="G7809">
        <v>44601</v>
      </c>
      <c r="H7809">
        <v>2022</v>
      </c>
      <c r="I7809" t="s">
        <v>43</v>
      </c>
    </row>
    <row r="7810" spans="1:9" x14ac:dyDescent="0.3">
      <c r="A7810" t="s">
        <v>37</v>
      </c>
      <c r="C7810">
        <v>162000</v>
      </c>
      <c r="G7810">
        <v>44601</v>
      </c>
      <c r="H7810">
        <v>2022</v>
      </c>
      <c r="I7810" t="s">
        <v>43</v>
      </c>
    </row>
    <row r="7811" spans="1:9" x14ac:dyDescent="0.3">
      <c r="A7811" t="s">
        <v>17</v>
      </c>
      <c r="B7811">
        <v>108000</v>
      </c>
      <c r="C7811">
        <v>270000</v>
      </c>
      <c r="F7811">
        <v>270000</v>
      </c>
      <c r="G7811">
        <v>44601</v>
      </c>
      <c r="H7811">
        <v>2022</v>
      </c>
      <c r="I7811" t="s">
        <v>43</v>
      </c>
    </row>
    <row r="7812" spans="1:9" x14ac:dyDescent="0.3">
      <c r="A7812" t="s">
        <v>0</v>
      </c>
      <c r="C7812">
        <v>270000</v>
      </c>
      <c r="G7812">
        <v>44601</v>
      </c>
      <c r="H7812">
        <v>2022</v>
      </c>
      <c r="I7812" t="s">
        <v>43</v>
      </c>
    </row>
    <row r="7813" spans="1:9" x14ac:dyDescent="0.3">
      <c r="A7813" t="s">
        <v>25</v>
      </c>
      <c r="C7813">
        <v>162000</v>
      </c>
      <c r="G7813">
        <v>44601</v>
      </c>
      <c r="H7813">
        <v>2022</v>
      </c>
      <c r="I7813" t="s">
        <v>43</v>
      </c>
    </row>
    <row r="7814" spans="1:9" x14ac:dyDescent="0.3">
      <c r="A7814" t="s">
        <v>15</v>
      </c>
      <c r="C7814">
        <v>301500</v>
      </c>
      <c r="G7814">
        <v>44601</v>
      </c>
      <c r="H7814">
        <v>2022</v>
      </c>
      <c r="I7814" t="s">
        <v>43</v>
      </c>
    </row>
    <row r="7815" spans="1:9" x14ac:dyDescent="0.3">
      <c r="A7815" t="s">
        <v>54</v>
      </c>
      <c r="C7815">
        <v>162000</v>
      </c>
      <c r="G7815">
        <v>44601</v>
      </c>
      <c r="H7815">
        <v>2022</v>
      </c>
      <c r="I7815" t="s">
        <v>43</v>
      </c>
    </row>
    <row r="7816" spans="1:9" x14ac:dyDescent="0.3">
      <c r="A7816" t="s">
        <v>26</v>
      </c>
      <c r="C7816">
        <v>162000</v>
      </c>
      <c r="G7816">
        <v>44601</v>
      </c>
      <c r="H7816">
        <v>2022</v>
      </c>
      <c r="I7816" t="s">
        <v>43</v>
      </c>
    </row>
    <row r="7817" spans="1:9" x14ac:dyDescent="0.3">
      <c r="A7817" t="s">
        <v>22</v>
      </c>
      <c r="G7817">
        <v>44601</v>
      </c>
      <c r="H7817">
        <v>2022</v>
      </c>
      <c r="I7817" t="s">
        <v>43</v>
      </c>
    </row>
    <row r="7818" spans="1:9" x14ac:dyDescent="0.3">
      <c r="A7818" t="s">
        <v>61</v>
      </c>
      <c r="G7818">
        <v>44601</v>
      </c>
      <c r="H7818">
        <v>2022</v>
      </c>
      <c r="I7818" t="s">
        <v>43</v>
      </c>
    </row>
    <row r="7819" spans="1:9" x14ac:dyDescent="0.3">
      <c r="A7819" t="s">
        <v>19</v>
      </c>
      <c r="G7819">
        <v>44601</v>
      </c>
      <c r="H7819">
        <v>2022</v>
      </c>
      <c r="I7819" t="s">
        <v>43</v>
      </c>
    </row>
    <row r="7820" spans="1:9" x14ac:dyDescent="0.3">
      <c r="A7820" t="s">
        <v>14</v>
      </c>
      <c r="C7820">
        <v>216000</v>
      </c>
      <c r="G7820">
        <v>44601</v>
      </c>
      <c r="H7820">
        <v>2022</v>
      </c>
      <c r="I7820" t="s">
        <v>43</v>
      </c>
    </row>
    <row r="7821" spans="1:9" x14ac:dyDescent="0.3">
      <c r="A7821" t="s">
        <v>24</v>
      </c>
      <c r="G7821">
        <v>44601</v>
      </c>
      <c r="H7821">
        <v>2022</v>
      </c>
      <c r="I7821" t="s">
        <v>43</v>
      </c>
    </row>
    <row r="7822" spans="1:9" x14ac:dyDescent="0.3">
      <c r="A7822" t="s">
        <v>21</v>
      </c>
      <c r="G7822">
        <v>44601</v>
      </c>
      <c r="H7822">
        <v>2022</v>
      </c>
      <c r="I7822" t="s">
        <v>43</v>
      </c>
    </row>
    <row r="7823" spans="1:9" x14ac:dyDescent="0.3">
      <c r="A7823" t="s">
        <v>65</v>
      </c>
      <c r="G7823">
        <v>44601</v>
      </c>
      <c r="H7823">
        <v>2022</v>
      </c>
      <c r="I7823" t="s">
        <v>43</v>
      </c>
    </row>
    <row r="7824" spans="1:9" x14ac:dyDescent="0.3">
      <c r="A7824" t="s">
        <v>18</v>
      </c>
      <c r="G7824">
        <v>44601</v>
      </c>
      <c r="H7824">
        <v>2022</v>
      </c>
      <c r="I7824" t="s">
        <v>43</v>
      </c>
    </row>
    <row r="7825" spans="1:9" x14ac:dyDescent="0.3">
      <c r="A7825" t="s">
        <v>16</v>
      </c>
      <c r="G7825">
        <v>44601</v>
      </c>
      <c r="H7825">
        <v>2022</v>
      </c>
      <c r="I7825" t="s">
        <v>43</v>
      </c>
    </row>
    <row r="7826" spans="1:9" x14ac:dyDescent="0.3">
      <c r="A7826" t="s">
        <v>20</v>
      </c>
      <c r="G7826">
        <v>44602</v>
      </c>
      <c r="H7826">
        <v>2022</v>
      </c>
      <c r="I7826" t="s">
        <v>43</v>
      </c>
    </row>
    <row r="7827" spans="1:9" x14ac:dyDescent="0.3">
      <c r="A7827" t="s">
        <v>37</v>
      </c>
      <c r="C7827">
        <v>108000</v>
      </c>
      <c r="G7827">
        <v>44602</v>
      </c>
      <c r="H7827">
        <v>2022</v>
      </c>
      <c r="I7827" t="s">
        <v>43</v>
      </c>
    </row>
    <row r="7828" spans="1:9" x14ac:dyDescent="0.3">
      <c r="A7828" t="s">
        <v>17</v>
      </c>
      <c r="B7828">
        <v>54000</v>
      </c>
      <c r="C7828">
        <v>270000</v>
      </c>
      <c r="G7828">
        <v>44602</v>
      </c>
      <c r="H7828">
        <v>2022</v>
      </c>
      <c r="I7828" t="s">
        <v>43</v>
      </c>
    </row>
    <row r="7829" spans="1:9" x14ac:dyDescent="0.3">
      <c r="A7829" t="s">
        <v>0</v>
      </c>
      <c r="C7829">
        <v>270000</v>
      </c>
      <c r="G7829">
        <v>44602</v>
      </c>
      <c r="H7829">
        <v>2022</v>
      </c>
      <c r="I7829" t="s">
        <v>43</v>
      </c>
    </row>
    <row r="7830" spans="1:9" x14ac:dyDescent="0.3">
      <c r="A7830" t="s">
        <v>25</v>
      </c>
      <c r="C7830">
        <v>54000</v>
      </c>
      <c r="G7830">
        <v>44602</v>
      </c>
      <c r="H7830">
        <v>2022</v>
      </c>
      <c r="I7830" t="s">
        <v>43</v>
      </c>
    </row>
    <row r="7831" spans="1:9" x14ac:dyDescent="0.3">
      <c r="A7831" t="s">
        <v>15</v>
      </c>
      <c r="C7831">
        <v>49500</v>
      </c>
      <c r="G7831">
        <v>44602</v>
      </c>
      <c r="H7831">
        <v>2022</v>
      </c>
      <c r="I7831" t="s">
        <v>43</v>
      </c>
    </row>
    <row r="7832" spans="1:9" x14ac:dyDescent="0.3">
      <c r="A7832" t="s">
        <v>54</v>
      </c>
      <c r="C7832">
        <v>54000</v>
      </c>
      <c r="G7832">
        <v>44602</v>
      </c>
      <c r="H7832">
        <v>2022</v>
      </c>
      <c r="I7832" t="s">
        <v>43</v>
      </c>
    </row>
    <row r="7833" spans="1:9" x14ac:dyDescent="0.3">
      <c r="A7833" t="s">
        <v>26</v>
      </c>
      <c r="C7833">
        <v>153000</v>
      </c>
      <c r="G7833">
        <v>44602</v>
      </c>
      <c r="H7833">
        <v>2022</v>
      </c>
      <c r="I7833" t="s">
        <v>43</v>
      </c>
    </row>
    <row r="7834" spans="1:9" x14ac:dyDescent="0.3">
      <c r="A7834" t="s">
        <v>22</v>
      </c>
      <c r="G7834">
        <v>44602</v>
      </c>
      <c r="H7834">
        <v>2022</v>
      </c>
      <c r="I7834" t="s">
        <v>43</v>
      </c>
    </row>
    <row r="7835" spans="1:9" x14ac:dyDescent="0.3">
      <c r="A7835" t="s">
        <v>61</v>
      </c>
      <c r="G7835">
        <v>44602</v>
      </c>
      <c r="H7835">
        <v>2022</v>
      </c>
      <c r="I7835" t="s">
        <v>43</v>
      </c>
    </row>
    <row r="7836" spans="1:9" x14ac:dyDescent="0.3">
      <c r="A7836" t="s">
        <v>19</v>
      </c>
      <c r="G7836">
        <v>44602</v>
      </c>
      <c r="H7836">
        <v>2022</v>
      </c>
      <c r="I7836" t="s">
        <v>43</v>
      </c>
    </row>
    <row r="7837" spans="1:9" x14ac:dyDescent="0.3">
      <c r="A7837" t="s">
        <v>14</v>
      </c>
      <c r="G7837">
        <v>44602</v>
      </c>
      <c r="H7837">
        <v>2022</v>
      </c>
      <c r="I7837" t="s">
        <v>43</v>
      </c>
    </row>
    <row r="7838" spans="1:9" x14ac:dyDescent="0.3">
      <c r="A7838" t="s">
        <v>24</v>
      </c>
      <c r="G7838">
        <v>44602</v>
      </c>
      <c r="H7838">
        <v>2022</v>
      </c>
      <c r="I7838" t="s">
        <v>43</v>
      </c>
    </row>
    <row r="7839" spans="1:9" x14ac:dyDescent="0.3">
      <c r="A7839" t="s">
        <v>21</v>
      </c>
      <c r="G7839">
        <v>44602</v>
      </c>
      <c r="H7839">
        <v>2022</v>
      </c>
      <c r="I7839" t="s">
        <v>43</v>
      </c>
    </row>
    <row r="7840" spans="1:9" x14ac:dyDescent="0.3">
      <c r="A7840" t="s">
        <v>65</v>
      </c>
      <c r="G7840">
        <v>44602</v>
      </c>
      <c r="H7840">
        <v>2022</v>
      </c>
      <c r="I7840" t="s">
        <v>43</v>
      </c>
    </row>
    <row r="7841" spans="1:9" x14ac:dyDescent="0.3">
      <c r="A7841" t="s">
        <v>18</v>
      </c>
      <c r="G7841">
        <v>44602</v>
      </c>
      <c r="H7841">
        <v>2022</v>
      </c>
      <c r="I7841" t="s">
        <v>43</v>
      </c>
    </row>
    <row r="7842" spans="1:9" x14ac:dyDescent="0.3">
      <c r="A7842" t="s">
        <v>16</v>
      </c>
      <c r="G7842">
        <v>44602</v>
      </c>
      <c r="H7842">
        <v>2022</v>
      </c>
      <c r="I7842" t="s">
        <v>43</v>
      </c>
    </row>
    <row r="7843" spans="1:9" x14ac:dyDescent="0.3">
      <c r="A7843" t="s">
        <v>20</v>
      </c>
      <c r="G7843">
        <v>44603</v>
      </c>
      <c r="H7843">
        <v>2022</v>
      </c>
      <c r="I7843" t="s">
        <v>43</v>
      </c>
    </row>
    <row r="7844" spans="1:9" x14ac:dyDescent="0.3">
      <c r="A7844" t="s">
        <v>37</v>
      </c>
      <c r="C7844">
        <v>162000</v>
      </c>
      <c r="G7844">
        <v>44603</v>
      </c>
      <c r="H7844">
        <v>2022</v>
      </c>
      <c r="I7844" t="s">
        <v>43</v>
      </c>
    </row>
    <row r="7845" spans="1:9" x14ac:dyDescent="0.3">
      <c r="A7845" t="s">
        <v>17</v>
      </c>
      <c r="C7845">
        <v>54000</v>
      </c>
      <c r="G7845">
        <v>44603</v>
      </c>
      <c r="H7845">
        <v>2022</v>
      </c>
      <c r="I7845" t="s">
        <v>43</v>
      </c>
    </row>
    <row r="7846" spans="1:9" x14ac:dyDescent="0.3">
      <c r="A7846" t="s">
        <v>0</v>
      </c>
      <c r="C7846">
        <v>54000</v>
      </c>
      <c r="G7846">
        <v>44603</v>
      </c>
      <c r="H7846">
        <v>2022</v>
      </c>
      <c r="I7846" t="s">
        <v>43</v>
      </c>
    </row>
    <row r="7847" spans="1:9" x14ac:dyDescent="0.3">
      <c r="A7847" t="s">
        <v>25</v>
      </c>
      <c r="C7847">
        <v>324000</v>
      </c>
      <c r="G7847">
        <v>44603</v>
      </c>
      <c r="H7847">
        <v>2022</v>
      </c>
      <c r="I7847" t="s">
        <v>43</v>
      </c>
    </row>
    <row r="7848" spans="1:9" x14ac:dyDescent="0.3">
      <c r="A7848" t="s">
        <v>15</v>
      </c>
      <c r="C7848">
        <v>378000</v>
      </c>
      <c r="G7848">
        <v>44603</v>
      </c>
      <c r="H7848">
        <v>2022</v>
      </c>
      <c r="I7848" t="s">
        <v>43</v>
      </c>
    </row>
    <row r="7849" spans="1:9" x14ac:dyDescent="0.3">
      <c r="A7849" t="s">
        <v>54</v>
      </c>
      <c r="B7849">
        <v>535500</v>
      </c>
      <c r="C7849">
        <v>49500</v>
      </c>
      <c r="G7849">
        <v>44603</v>
      </c>
      <c r="H7849">
        <v>2022</v>
      </c>
      <c r="I7849" t="s">
        <v>43</v>
      </c>
    </row>
    <row r="7850" spans="1:9" x14ac:dyDescent="0.3">
      <c r="A7850" t="s">
        <v>26</v>
      </c>
      <c r="C7850">
        <v>108000</v>
      </c>
      <c r="G7850">
        <v>44603</v>
      </c>
      <c r="H7850">
        <v>2022</v>
      </c>
      <c r="I7850" t="s">
        <v>43</v>
      </c>
    </row>
    <row r="7851" spans="1:9" x14ac:dyDescent="0.3">
      <c r="A7851" t="s">
        <v>22</v>
      </c>
      <c r="G7851">
        <v>44603</v>
      </c>
      <c r="H7851">
        <v>2022</v>
      </c>
      <c r="I7851" t="s">
        <v>43</v>
      </c>
    </row>
    <row r="7852" spans="1:9" x14ac:dyDescent="0.3">
      <c r="A7852" t="s">
        <v>61</v>
      </c>
      <c r="G7852">
        <v>44603</v>
      </c>
      <c r="H7852">
        <v>2022</v>
      </c>
      <c r="I7852" t="s">
        <v>43</v>
      </c>
    </row>
    <row r="7853" spans="1:9" x14ac:dyDescent="0.3">
      <c r="A7853" t="s">
        <v>19</v>
      </c>
      <c r="G7853">
        <v>44603</v>
      </c>
      <c r="H7853">
        <v>2022</v>
      </c>
      <c r="I7853" t="s">
        <v>43</v>
      </c>
    </row>
    <row r="7854" spans="1:9" x14ac:dyDescent="0.3">
      <c r="A7854" t="s">
        <v>14</v>
      </c>
      <c r="C7854">
        <v>648000</v>
      </c>
      <c r="G7854">
        <v>44603</v>
      </c>
      <c r="H7854">
        <v>2022</v>
      </c>
      <c r="I7854" t="s">
        <v>43</v>
      </c>
    </row>
    <row r="7855" spans="1:9" x14ac:dyDescent="0.3">
      <c r="A7855" t="s">
        <v>24</v>
      </c>
      <c r="G7855">
        <v>44603</v>
      </c>
      <c r="H7855">
        <v>2022</v>
      </c>
      <c r="I7855" t="s">
        <v>43</v>
      </c>
    </row>
    <row r="7856" spans="1:9" x14ac:dyDescent="0.3">
      <c r="A7856" t="s">
        <v>21</v>
      </c>
      <c r="G7856">
        <v>44603</v>
      </c>
      <c r="H7856">
        <v>2022</v>
      </c>
      <c r="I7856" t="s">
        <v>43</v>
      </c>
    </row>
    <row r="7857" spans="1:9" x14ac:dyDescent="0.3">
      <c r="A7857" t="s">
        <v>65</v>
      </c>
      <c r="G7857">
        <v>44603</v>
      </c>
      <c r="H7857">
        <v>2022</v>
      </c>
      <c r="I7857" t="s">
        <v>43</v>
      </c>
    </row>
    <row r="7858" spans="1:9" x14ac:dyDescent="0.3">
      <c r="A7858" t="s">
        <v>18</v>
      </c>
      <c r="B7858">
        <v>54000</v>
      </c>
      <c r="G7858">
        <v>44603</v>
      </c>
      <c r="H7858">
        <v>2022</v>
      </c>
      <c r="I7858" t="s">
        <v>43</v>
      </c>
    </row>
    <row r="7859" spans="1:9" x14ac:dyDescent="0.3">
      <c r="A7859" t="s">
        <v>16</v>
      </c>
      <c r="C7859">
        <v>270000</v>
      </c>
      <c r="E7859">
        <v>108000</v>
      </c>
      <c r="G7859">
        <v>44603</v>
      </c>
      <c r="H7859">
        <v>2022</v>
      </c>
      <c r="I7859" t="s">
        <v>43</v>
      </c>
    </row>
    <row r="7860" spans="1:9" x14ac:dyDescent="0.3">
      <c r="A7860" t="s">
        <v>20</v>
      </c>
      <c r="G7860">
        <v>44606</v>
      </c>
      <c r="H7860">
        <v>2022</v>
      </c>
      <c r="I7860" t="s">
        <v>43</v>
      </c>
    </row>
    <row r="7861" spans="1:9" x14ac:dyDescent="0.3">
      <c r="A7861" t="s">
        <v>37</v>
      </c>
      <c r="C7861">
        <v>108000</v>
      </c>
      <c r="G7861">
        <v>44606</v>
      </c>
      <c r="H7861">
        <v>2022</v>
      </c>
      <c r="I7861" t="s">
        <v>43</v>
      </c>
    </row>
    <row r="7862" spans="1:9" x14ac:dyDescent="0.3">
      <c r="A7862" t="s">
        <v>17</v>
      </c>
      <c r="C7862">
        <v>162000</v>
      </c>
      <c r="G7862">
        <v>44606</v>
      </c>
      <c r="H7862">
        <v>2022</v>
      </c>
      <c r="I7862" t="s">
        <v>43</v>
      </c>
    </row>
    <row r="7863" spans="1:9" x14ac:dyDescent="0.3">
      <c r="A7863" t="s">
        <v>0</v>
      </c>
      <c r="C7863">
        <v>45000</v>
      </c>
      <c r="G7863">
        <v>44606</v>
      </c>
      <c r="H7863">
        <v>2022</v>
      </c>
      <c r="I7863" t="s">
        <v>43</v>
      </c>
    </row>
    <row r="7864" spans="1:9" x14ac:dyDescent="0.3">
      <c r="A7864" t="s">
        <v>25</v>
      </c>
      <c r="C7864">
        <v>157500</v>
      </c>
      <c r="G7864">
        <v>44606</v>
      </c>
      <c r="H7864">
        <v>2022</v>
      </c>
      <c r="I7864" t="s">
        <v>43</v>
      </c>
    </row>
    <row r="7865" spans="1:9" x14ac:dyDescent="0.3">
      <c r="A7865" t="s">
        <v>15</v>
      </c>
      <c r="C7865">
        <v>216000</v>
      </c>
      <c r="G7865">
        <v>44606</v>
      </c>
      <c r="H7865">
        <v>2022</v>
      </c>
      <c r="I7865" t="s">
        <v>43</v>
      </c>
    </row>
    <row r="7866" spans="1:9" x14ac:dyDescent="0.3">
      <c r="A7866" t="s">
        <v>54</v>
      </c>
      <c r="B7866">
        <v>693000</v>
      </c>
      <c r="G7866">
        <v>44606</v>
      </c>
      <c r="H7866">
        <v>2022</v>
      </c>
      <c r="I7866" t="s">
        <v>43</v>
      </c>
    </row>
    <row r="7867" spans="1:9" x14ac:dyDescent="0.3">
      <c r="A7867" t="s">
        <v>26</v>
      </c>
      <c r="B7867">
        <v>324000</v>
      </c>
      <c r="C7867">
        <v>162000</v>
      </c>
      <c r="F7867">
        <v>365000</v>
      </c>
      <c r="G7867">
        <v>44606</v>
      </c>
      <c r="H7867">
        <v>2022</v>
      </c>
      <c r="I7867" t="s">
        <v>43</v>
      </c>
    </row>
    <row r="7868" spans="1:9" x14ac:dyDescent="0.3">
      <c r="A7868" t="s">
        <v>22</v>
      </c>
      <c r="G7868">
        <v>44606</v>
      </c>
      <c r="H7868">
        <v>2022</v>
      </c>
      <c r="I7868" t="s">
        <v>43</v>
      </c>
    </row>
    <row r="7869" spans="1:9" x14ac:dyDescent="0.3">
      <c r="A7869" t="s">
        <v>61</v>
      </c>
      <c r="G7869">
        <v>44606</v>
      </c>
      <c r="H7869">
        <v>2022</v>
      </c>
      <c r="I7869" t="s">
        <v>43</v>
      </c>
    </row>
    <row r="7870" spans="1:9" x14ac:dyDescent="0.3">
      <c r="A7870" t="s">
        <v>19</v>
      </c>
      <c r="G7870">
        <v>44606</v>
      </c>
      <c r="H7870">
        <v>2022</v>
      </c>
      <c r="I7870" t="s">
        <v>43</v>
      </c>
    </row>
    <row r="7871" spans="1:9" x14ac:dyDescent="0.3">
      <c r="A7871" t="s">
        <v>14</v>
      </c>
      <c r="B7871">
        <v>958500</v>
      </c>
      <c r="C7871">
        <v>315000</v>
      </c>
      <c r="E7871">
        <v>319500</v>
      </c>
      <c r="G7871">
        <v>44606</v>
      </c>
      <c r="H7871">
        <v>2022</v>
      </c>
      <c r="I7871" t="s">
        <v>43</v>
      </c>
    </row>
    <row r="7872" spans="1:9" x14ac:dyDescent="0.3">
      <c r="A7872" t="s">
        <v>24</v>
      </c>
      <c r="G7872">
        <v>44606</v>
      </c>
      <c r="H7872">
        <v>2022</v>
      </c>
      <c r="I7872" t="s">
        <v>43</v>
      </c>
    </row>
    <row r="7873" spans="1:9" x14ac:dyDescent="0.3">
      <c r="A7873" t="s">
        <v>21</v>
      </c>
      <c r="G7873">
        <v>44606</v>
      </c>
      <c r="H7873">
        <v>2022</v>
      </c>
      <c r="I7873" t="s">
        <v>43</v>
      </c>
    </row>
    <row r="7874" spans="1:9" x14ac:dyDescent="0.3">
      <c r="A7874" t="s">
        <v>65</v>
      </c>
      <c r="G7874">
        <v>44606</v>
      </c>
      <c r="H7874">
        <v>2022</v>
      </c>
      <c r="I7874" t="s">
        <v>43</v>
      </c>
    </row>
    <row r="7875" spans="1:9" x14ac:dyDescent="0.3">
      <c r="A7875" t="s">
        <v>18</v>
      </c>
      <c r="G7875">
        <v>44606</v>
      </c>
      <c r="H7875">
        <v>2022</v>
      </c>
      <c r="I7875" t="s">
        <v>43</v>
      </c>
    </row>
    <row r="7876" spans="1:9" x14ac:dyDescent="0.3">
      <c r="A7876" t="s">
        <v>16</v>
      </c>
      <c r="C7876">
        <v>216000</v>
      </c>
      <c r="E7876">
        <v>216000</v>
      </c>
      <c r="G7876">
        <v>44606</v>
      </c>
      <c r="H7876">
        <v>2022</v>
      </c>
      <c r="I7876" t="s">
        <v>43</v>
      </c>
    </row>
    <row r="7877" spans="1:9" x14ac:dyDescent="0.3">
      <c r="A7877" t="s">
        <v>20</v>
      </c>
      <c r="G7877">
        <v>44607</v>
      </c>
      <c r="H7877">
        <v>2022</v>
      </c>
      <c r="I7877" t="s">
        <v>43</v>
      </c>
    </row>
    <row r="7878" spans="1:9" x14ac:dyDescent="0.3">
      <c r="A7878" t="s">
        <v>37</v>
      </c>
      <c r="C7878">
        <v>50000</v>
      </c>
      <c r="G7878">
        <v>44607</v>
      </c>
      <c r="H7878">
        <v>2022</v>
      </c>
      <c r="I7878" t="s">
        <v>43</v>
      </c>
    </row>
    <row r="7879" spans="1:9" x14ac:dyDescent="0.3">
      <c r="A7879" t="s">
        <v>17</v>
      </c>
      <c r="C7879">
        <v>161500</v>
      </c>
      <c r="G7879">
        <v>44607</v>
      </c>
      <c r="H7879">
        <v>2022</v>
      </c>
      <c r="I7879" t="s">
        <v>43</v>
      </c>
    </row>
    <row r="7880" spans="1:9" x14ac:dyDescent="0.3">
      <c r="A7880" t="s">
        <v>0</v>
      </c>
      <c r="G7880">
        <v>44607</v>
      </c>
      <c r="H7880">
        <v>2022</v>
      </c>
      <c r="I7880" t="s">
        <v>43</v>
      </c>
    </row>
    <row r="7881" spans="1:9" x14ac:dyDescent="0.3">
      <c r="A7881" t="s">
        <v>25</v>
      </c>
      <c r="C7881">
        <v>270000</v>
      </c>
      <c r="G7881">
        <v>44607</v>
      </c>
      <c r="H7881">
        <v>2022</v>
      </c>
      <c r="I7881" t="s">
        <v>43</v>
      </c>
    </row>
    <row r="7882" spans="1:9" x14ac:dyDescent="0.3">
      <c r="A7882" t="s">
        <v>15</v>
      </c>
      <c r="C7882">
        <v>216000</v>
      </c>
      <c r="G7882">
        <v>44607</v>
      </c>
      <c r="H7882">
        <v>2022</v>
      </c>
      <c r="I7882" t="s">
        <v>43</v>
      </c>
    </row>
    <row r="7883" spans="1:9" x14ac:dyDescent="0.3">
      <c r="A7883" t="s">
        <v>54</v>
      </c>
      <c r="B7883">
        <v>589500</v>
      </c>
      <c r="G7883">
        <v>44607</v>
      </c>
      <c r="H7883">
        <v>2022</v>
      </c>
      <c r="I7883" t="s">
        <v>43</v>
      </c>
    </row>
    <row r="7884" spans="1:9" x14ac:dyDescent="0.3">
      <c r="A7884" t="s">
        <v>26</v>
      </c>
      <c r="B7884">
        <v>486000</v>
      </c>
      <c r="C7884">
        <v>108000</v>
      </c>
      <c r="F7884">
        <v>135000</v>
      </c>
      <c r="G7884">
        <v>44607</v>
      </c>
      <c r="H7884">
        <v>2022</v>
      </c>
      <c r="I7884" t="s">
        <v>43</v>
      </c>
    </row>
    <row r="7885" spans="1:9" x14ac:dyDescent="0.3">
      <c r="A7885" t="s">
        <v>22</v>
      </c>
      <c r="G7885">
        <v>44607</v>
      </c>
      <c r="H7885">
        <v>2022</v>
      </c>
      <c r="I7885" t="s">
        <v>43</v>
      </c>
    </row>
    <row r="7886" spans="1:9" x14ac:dyDescent="0.3">
      <c r="A7886" t="s">
        <v>61</v>
      </c>
      <c r="G7886">
        <v>44607</v>
      </c>
      <c r="H7886">
        <v>2022</v>
      </c>
      <c r="I7886" t="s">
        <v>43</v>
      </c>
    </row>
    <row r="7887" spans="1:9" x14ac:dyDescent="0.3">
      <c r="A7887" t="s">
        <v>19</v>
      </c>
      <c r="C7887">
        <v>756000</v>
      </c>
      <c r="G7887">
        <v>44607</v>
      </c>
      <c r="H7887">
        <v>2022</v>
      </c>
      <c r="I7887" t="s">
        <v>43</v>
      </c>
    </row>
    <row r="7888" spans="1:9" x14ac:dyDescent="0.3">
      <c r="A7888" t="s">
        <v>14</v>
      </c>
      <c r="B7888">
        <v>859500</v>
      </c>
      <c r="C7888">
        <v>215500</v>
      </c>
      <c r="G7888">
        <v>44607</v>
      </c>
      <c r="H7888">
        <v>2022</v>
      </c>
      <c r="I7888" t="s">
        <v>43</v>
      </c>
    </row>
    <row r="7889" spans="1:9" x14ac:dyDescent="0.3">
      <c r="A7889" t="s">
        <v>24</v>
      </c>
      <c r="G7889">
        <v>44607</v>
      </c>
      <c r="H7889">
        <v>2022</v>
      </c>
      <c r="I7889" t="s">
        <v>43</v>
      </c>
    </row>
    <row r="7890" spans="1:9" x14ac:dyDescent="0.3">
      <c r="A7890" t="s">
        <v>21</v>
      </c>
      <c r="G7890">
        <v>44607</v>
      </c>
      <c r="H7890">
        <v>2022</v>
      </c>
      <c r="I7890" t="s">
        <v>43</v>
      </c>
    </row>
    <row r="7891" spans="1:9" x14ac:dyDescent="0.3">
      <c r="A7891" t="s">
        <v>65</v>
      </c>
      <c r="G7891">
        <v>44607</v>
      </c>
      <c r="H7891">
        <v>2022</v>
      </c>
      <c r="I7891" t="s">
        <v>43</v>
      </c>
    </row>
    <row r="7892" spans="1:9" x14ac:dyDescent="0.3">
      <c r="A7892" t="s">
        <v>18</v>
      </c>
      <c r="G7892">
        <v>44607</v>
      </c>
      <c r="H7892">
        <v>2022</v>
      </c>
      <c r="I7892" t="s">
        <v>43</v>
      </c>
    </row>
    <row r="7893" spans="1:9" x14ac:dyDescent="0.3">
      <c r="A7893" t="s">
        <v>16</v>
      </c>
      <c r="C7893">
        <v>261000</v>
      </c>
      <c r="E7893">
        <v>108000</v>
      </c>
      <c r="G7893">
        <v>44607</v>
      </c>
      <c r="H7893">
        <v>2022</v>
      </c>
      <c r="I7893" t="s">
        <v>43</v>
      </c>
    </row>
    <row r="7894" spans="1:9" x14ac:dyDescent="0.3">
      <c r="A7894" t="s">
        <v>20</v>
      </c>
      <c r="G7894">
        <v>44608</v>
      </c>
      <c r="H7894">
        <v>2022</v>
      </c>
      <c r="I7894" t="s">
        <v>43</v>
      </c>
    </row>
    <row r="7895" spans="1:9" x14ac:dyDescent="0.3">
      <c r="A7895" t="s">
        <v>37</v>
      </c>
      <c r="G7895">
        <v>44608</v>
      </c>
      <c r="H7895">
        <v>2022</v>
      </c>
      <c r="I7895" t="s">
        <v>43</v>
      </c>
    </row>
    <row r="7896" spans="1:9" x14ac:dyDescent="0.3">
      <c r="A7896" t="s">
        <v>17</v>
      </c>
      <c r="C7896">
        <v>270000</v>
      </c>
      <c r="G7896">
        <v>44608</v>
      </c>
      <c r="H7896">
        <v>2022</v>
      </c>
      <c r="I7896" t="s">
        <v>43</v>
      </c>
    </row>
    <row r="7897" spans="1:9" x14ac:dyDescent="0.3">
      <c r="A7897" t="s">
        <v>0</v>
      </c>
      <c r="G7897">
        <v>44608</v>
      </c>
      <c r="H7897">
        <v>2022</v>
      </c>
      <c r="I7897" t="s">
        <v>43</v>
      </c>
    </row>
    <row r="7898" spans="1:9" x14ac:dyDescent="0.3">
      <c r="A7898" t="s">
        <v>25</v>
      </c>
      <c r="B7898">
        <v>144000</v>
      </c>
      <c r="C7898">
        <v>54000</v>
      </c>
      <c r="E7898">
        <v>324000</v>
      </c>
      <c r="G7898">
        <v>44608</v>
      </c>
      <c r="H7898">
        <v>2022</v>
      </c>
      <c r="I7898" t="s">
        <v>43</v>
      </c>
    </row>
    <row r="7899" spans="1:9" x14ac:dyDescent="0.3">
      <c r="A7899" t="s">
        <v>15</v>
      </c>
      <c r="C7899">
        <v>216000</v>
      </c>
      <c r="G7899">
        <v>44608</v>
      </c>
      <c r="H7899">
        <v>2022</v>
      </c>
      <c r="I7899" t="s">
        <v>43</v>
      </c>
    </row>
    <row r="7900" spans="1:9" x14ac:dyDescent="0.3">
      <c r="A7900" t="s">
        <v>54</v>
      </c>
      <c r="G7900">
        <v>44608</v>
      </c>
      <c r="H7900">
        <v>2022</v>
      </c>
      <c r="I7900" t="s">
        <v>43</v>
      </c>
    </row>
    <row r="7901" spans="1:9" x14ac:dyDescent="0.3">
      <c r="A7901" t="s">
        <v>26</v>
      </c>
      <c r="B7901">
        <v>54000</v>
      </c>
      <c r="C7901">
        <v>162000</v>
      </c>
      <c r="G7901">
        <v>44608</v>
      </c>
      <c r="H7901">
        <v>2022</v>
      </c>
      <c r="I7901" t="s">
        <v>43</v>
      </c>
    </row>
    <row r="7902" spans="1:9" x14ac:dyDescent="0.3">
      <c r="A7902" t="s">
        <v>22</v>
      </c>
      <c r="G7902">
        <v>44608</v>
      </c>
      <c r="H7902">
        <v>2022</v>
      </c>
      <c r="I7902" t="s">
        <v>43</v>
      </c>
    </row>
    <row r="7903" spans="1:9" x14ac:dyDescent="0.3">
      <c r="A7903" t="s">
        <v>61</v>
      </c>
      <c r="G7903">
        <v>44608</v>
      </c>
      <c r="H7903">
        <v>2022</v>
      </c>
      <c r="I7903" t="s">
        <v>43</v>
      </c>
    </row>
    <row r="7904" spans="1:9" x14ac:dyDescent="0.3">
      <c r="A7904" t="s">
        <v>19</v>
      </c>
      <c r="G7904">
        <v>44608</v>
      </c>
      <c r="H7904">
        <v>2022</v>
      </c>
      <c r="I7904" t="s">
        <v>43</v>
      </c>
    </row>
    <row r="7905" spans="1:9" x14ac:dyDescent="0.3">
      <c r="A7905" t="s">
        <v>14</v>
      </c>
      <c r="B7905">
        <v>50000</v>
      </c>
      <c r="C7905">
        <v>216000</v>
      </c>
      <c r="E7905">
        <v>90000</v>
      </c>
      <c r="G7905">
        <v>44608</v>
      </c>
      <c r="H7905">
        <v>2022</v>
      </c>
      <c r="I7905" t="s">
        <v>43</v>
      </c>
    </row>
    <row r="7906" spans="1:9" x14ac:dyDescent="0.3">
      <c r="A7906" t="s">
        <v>24</v>
      </c>
      <c r="G7906">
        <v>44608</v>
      </c>
      <c r="H7906">
        <v>2022</v>
      </c>
      <c r="I7906" t="s">
        <v>43</v>
      </c>
    </row>
    <row r="7907" spans="1:9" x14ac:dyDescent="0.3">
      <c r="A7907" t="s">
        <v>21</v>
      </c>
      <c r="G7907">
        <v>44608</v>
      </c>
      <c r="H7907">
        <v>2022</v>
      </c>
      <c r="I7907" t="s">
        <v>43</v>
      </c>
    </row>
    <row r="7908" spans="1:9" x14ac:dyDescent="0.3">
      <c r="A7908" t="s">
        <v>65</v>
      </c>
      <c r="G7908">
        <v>44608</v>
      </c>
      <c r="H7908">
        <v>2022</v>
      </c>
      <c r="I7908" t="s">
        <v>43</v>
      </c>
    </row>
    <row r="7909" spans="1:9" x14ac:dyDescent="0.3">
      <c r="A7909" t="s">
        <v>18</v>
      </c>
      <c r="C7909">
        <v>216000</v>
      </c>
      <c r="G7909">
        <v>44608</v>
      </c>
      <c r="H7909">
        <v>2022</v>
      </c>
      <c r="I7909" t="s">
        <v>43</v>
      </c>
    </row>
    <row r="7910" spans="1:9" x14ac:dyDescent="0.3">
      <c r="A7910" t="s">
        <v>16</v>
      </c>
      <c r="C7910">
        <v>324000</v>
      </c>
      <c r="G7910">
        <v>44608</v>
      </c>
      <c r="H7910">
        <v>2022</v>
      </c>
      <c r="I7910" t="s">
        <v>43</v>
      </c>
    </row>
    <row r="7911" spans="1:9" x14ac:dyDescent="0.3">
      <c r="A7911" t="s">
        <v>20</v>
      </c>
      <c r="G7911">
        <v>44609</v>
      </c>
      <c r="H7911">
        <v>2022</v>
      </c>
      <c r="I7911" t="s">
        <v>43</v>
      </c>
    </row>
    <row r="7912" spans="1:9" x14ac:dyDescent="0.3">
      <c r="A7912" t="s">
        <v>37</v>
      </c>
      <c r="G7912">
        <v>44609</v>
      </c>
      <c r="H7912">
        <v>2022</v>
      </c>
      <c r="I7912" t="s">
        <v>43</v>
      </c>
    </row>
    <row r="7913" spans="1:9" x14ac:dyDescent="0.3">
      <c r="A7913" t="s">
        <v>17</v>
      </c>
      <c r="C7913">
        <v>162000</v>
      </c>
      <c r="G7913">
        <v>44609</v>
      </c>
      <c r="H7913">
        <v>2022</v>
      </c>
      <c r="I7913" t="s">
        <v>43</v>
      </c>
    </row>
    <row r="7914" spans="1:9" x14ac:dyDescent="0.3">
      <c r="A7914" t="s">
        <v>0</v>
      </c>
      <c r="G7914">
        <v>44609</v>
      </c>
      <c r="H7914">
        <v>2022</v>
      </c>
      <c r="I7914" t="s">
        <v>43</v>
      </c>
    </row>
    <row r="7915" spans="1:9" x14ac:dyDescent="0.3">
      <c r="A7915" t="s">
        <v>25</v>
      </c>
      <c r="C7915">
        <v>216000</v>
      </c>
      <c r="E7915">
        <v>270000</v>
      </c>
      <c r="G7915">
        <v>44609</v>
      </c>
      <c r="H7915">
        <v>2022</v>
      </c>
      <c r="I7915" t="s">
        <v>43</v>
      </c>
    </row>
    <row r="7916" spans="1:9" x14ac:dyDescent="0.3">
      <c r="A7916" t="s">
        <v>15</v>
      </c>
      <c r="C7916">
        <v>323500</v>
      </c>
      <c r="G7916">
        <v>44609</v>
      </c>
      <c r="H7916">
        <v>2022</v>
      </c>
      <c r="I7916" t="s">
        <v>43</v>
      </c>
    </row>
    <row r="7917" spans="1:9" x14ac:dyDescent="0.3">
      <c r="A7917" t="s">
        <v>54</v>
      </c>
      <c r="G7917">
        <v>44609</v>
      </c>
      <c r="H7917">
        <v>2022</v>
      </c>
      <c r="I7917" t="s">
        <v>43</v>
      </c>
    </row>
    <row r="7918" spans="1:9" x14ac:dyDescent="0.3">
      <c r="A7918" t="s">
        <v>26</v>
      </c>
      <c r="B7918">
        <v>45000</v>
      </c>
      <c r="C7918">
        <v>216000</v>
      </c>
      <c r="G7918">
        <v>44609</v>
      </c>
      <c r="H7918">
        <v>2022</v>
      </c>
      <c r="I7918" t="s">
        <v>43</v>
      </c>
    </row>
    <row r="7919" spans="1:9" x14ac:dyDescent="0.3">
      <c r="A7919" t="s">
        <v>22</v>
      </c>
      <c r="G7919">
        <v>44609</v>
      </c>
      <c r="H7919">
        <v>2022</v>
      </c>
      <c r="I7919" t="s">
        <v>43</v>
      </c>
    </row>
    <row r="7920" spans="1:9" x14ac:dyDescent="0.3">
      <c r="A7920" t="s">
        <v>61</v>
      </c>
      <c r="G7920">
        <v>44609</v>
      </c>
      <c r="H7920">
        <v>2022</v>
      </c>
      <c r="I7920" t="s">
        <v>43</v>
      </c>
    </row>
    <row r="7921" spans="1:9" x14ac:dyDescent="0.3">
      <c r="A7921" t="s">
        <v>19</v>
      </c>
      <c r="G7921">
        <v>44609</v>
      </c>
      <c r="H7921">
        <v>2022</v>
      </c>
      <c r="I7921" t="s">
        <v>43</v>
      </c>
    </row>
    <row r="7922" spans="1:9" x14ac:dyDescent="0.3">
      <c r="A7922" t="s">
        <v>14</v>
      </c>
      <c r="B7922">
        <v>108000</v>
      </c>
      <c r="C7922">
        <v>315000</v>
      </c>
      <c r="G7922">
        <v>44609</v>
      </c>
      <c r="H7922">
        <v>2022</v>
      </c>
      <c r="I7922" t="s">
        <v>43</v>
      </c>
    </row>
    <row r="7923" spans="1:9" x14ac:dyDescent="0.3">
      <c r="A7923" t="s">
        <v>24</v>
      </c>
      <c r="G7923">
        <v>44609</v>
      </c>
      <c r="H7923">
        <v>2022</v>
      </c>
      <c r="I7923" t="s">
        <v>43</v>
      </c>
    </row>
    <row r="7924" spans="1:9" x14ac:dyDescent="0.3">
      <c r="A7924" t="s">
        <v>21</v>
      </c>
      <c r="G7924">
        <v>44609</v>
      </c>
      <c r="H7924">
        <v>2022</v>
      </c>
      <c r="I7924" t="s">
        <v>43</v>
      </c>
    </row>
    <row r="7925" spans="1:9" x14ac:dyDescent="0.3">
      <c r="A7925" t="s">
        <v>65</v>
      </c>
      <c r="G7925">
        <v>44609</v>
      </c>
      <c r="H7925">
        <v>2022</v>
      </c>
      <c r="I7925" t="s">
        <v>43</v>
      </c>
    </row>
    <row r="7926" spans="1:9" x14ac:dyDescent="0.3">
      <c r="A7926" t="s">
        <v>18</v>
      </c>
      <c r="C7926">
        <v>216000</v>
      </c>
      <c r="G7926">
        <v>44609</v>
      </c>
      <c r="H7926">
        <v>2022</v>
      </c>
      <c r="I7926" t="s">
        <v>43</v>
      </c>
    </row>
    <row r="7927" spans="1:9" x14ac:dyDescent="0.3">
      <c r="A7927" t="s">
        <v>16</v>
      </c>
      <c r="C7927">
        <v>108000</v>
      </c>
      <c r="G7927">
        <v>44609</v>
      </c>
      <c r="H7927">
        <v>2022</v>
      </c>
      <c r="I7927" t="s">
        <v>43</v>
      </c>
    </row>
    <row r="7928" spans="1:9" x14ac:dyDescent="0.3">
      <c r="A7928" t="s">
        <v>20</v>
      </c>
      <c r="G7928">
        <v>44610</v>
      </c>
      <c r="H7928">
        <v>2022</v>
      </c>
      <c r="I7928" t="s">
        <v>43</v>
      </c>
    </row>
    <row r="7929" spans="1:9" x14ac:dyDescent="0.3">
      <c r="A7929" t="s">
        <v>37</v>
      </c>
      <c r="G7929">
        <v>44610</v>
      </c>
      <c r="H7929">
        <v>2022</v>
      </c>
      <c r="I7929" t="s">
        <v>43</v>
      </c>
    </row>
    <row r="7930" spans="1:9" x14ac:dyDescent="0.3">
      <c r="A7930" t="s">
        <v>17</v>
      </c>
      <c r="B7930">
        <v>50000</v>
      </c>
      <c r="C7930">
        <v>216000</v>
      </c>
      <c r="G7930">
        <v>44610</v>
      </c>
      <c r="H7930">
        <v>2022</v>
      </c>
      <c r="I7930" t="s">
        <v>43</v>
      </c>
    </row>
    <row r="7931" spans="1:9" x14ac:dyDescent="0.3">
      <c r="A7931" t="s">
        <v>0</v>
      </c>
      <c r="G7931">
        <v>44610</v>
      </c>
      <c r="H7931">
        <v>2022</v>
      </c>
      <c r="I7931" t="s">
        <v>43</v>
      </c>
    </row>
    <row r="7932" spans="1:9" x14ac:dyDescent="0.3">
      <c r="A7932" t="s">
        <v>25</v>
      </c>
      <c r="B7932">
        <v>1179000</v>
      </c>
      <c r="C7932">
        <v>162000</v>
      </c>
      <c r="F7932">
        <v>1080000</v>
      </c>
      <c r="G7932">
        <v>44610</v>
      </c>
      <c r="H7932">
        <v>2022</v>
      </c>
      <c r="I7932" t="s">
        <v>43</v>
      </c>
    </row>
    <row r="7933" spans="1:9" x14ac:dyDescent="0.3">
      <c r="A7933" t="s">
        <v>15</v>
      </c>
      <c r="C7933">
        <v>486000</v>
      </c>
      <c r="G7933">
        <v>44610</v>
      </c>
      <c r="H7933">
        <v>2022</v>
      </c>
      <c r="I7933" t="s">
        <v>43</v>
      </c>
    </row>
    <row r="7934" spans="1:9" x14ac:dyDescent="0.3">
      <c r="A7934" t="s">
        <v>54</v>
      </c>
      <c r="B7934">
        <v>90000</v>
      </c>
      <c r="C7934">
        <v>104000</v>
      </c>
      <c r="G7934">
        <v>44610</v>
      </c>
      <c r="H7934">
        <v>2022</v>
      </c>
      <c r="I7934" t="s">
        <v>43</v>
      </c>
    </row>
    <row r="7935" spans="1:9" x14ac:dyDescent="0.3">
      <c r="A7935" t="s">
        <v>26</v>
      </c>
      <c r="B7935">
        <v>45000</v>
      </c>
      <c r="G7935">
        <v>44610</v>
      </c>
      <c r="H7935">
        <v>2022</v>
      </c>
      <c r="I7935" t="s">
        <v>43</v>
      </c>
    </row>
    <row r="7936" spans="1:9" x14ac:dyDescent="0.3">
      <c r="A7936" t="s">
        <v>22</v>
      </c>
      <c r="G7936">
        <v>44610</v>
      </c>
      <c r="H7936">
        <v>2022</v>
      </c>
      <c r="I7936" t="s">
        <v>43</v>
      </c>
    </row>
    <row r="7937" spans="1:9" x14ac:dyDescent="0.3">
      <c r="A7937" t="s">
        <v>61</v>
      </c>
      <c r="G7937">
        <v>44610</v>
      </c>
      <c r="H7937">
        <v>2022</v>
      </c>
      <c r="I7937" t="s">
        <v>43</v>
      </c>
    </row>
    <row r="7938" spans="1:9" x14ac:dyDescent="0.3">
      <c r="A7938" t="s">
        <v>19</v>
      </c>
      <c r="G7938">
        <v>44610</v>
      </c>
      <c r="H7938">
        <v>2022</v>
      </c>
      <c r="I7938" t="s">
        <v>43</v>
      </c>
    </row>
    <row r="7939" spans="1:9" x14ac:dyDescent="0.3">
      <c r="A7939" t="s">
        <v>14</v>
      </c>
      <c r="C7939">
        <v>162000</v>
      </c>
      <c r="G7939">
        <v>44610</v>
      </c>
      <c r="H7939">
        <v>2022</v>
      </c>
      <c r="I7939" t="s">
        <v>43</v>
      </c>
    </row>
    <row r="7940" spans="1:9" x14ac:dyDescent="0.3">
      <c r="A7940" t="s">
        <v>24</v>
      </c>
      <c r="G7940">
        <v>44610</v>
      </c>
      <c r="H7940">
        <v>2022</v>
      </c>
      <c r="I7940" t="s">
        <v>43</v>
      </c>
    </row>
    <row r="7941" spans="1:9" x14ac:dyDescent="0.3">
      <c r="A7941" t="s">
        <v>21</v>
      </c>
      <c r="G7941">
        <v>44610</v>
      </c>
      <c r="H7941">
        <v>2022</v>
      </c>
      <c r="I7941" t="s">
        <v>43</v>
      </c>
    </row>
    <row r="7942" spans="1:9" x14ac:dyDescent="0.3">
      <c r="A7942" t="s">
        <v>65</v>
      </c>
      <c r="G7942">
        <v>44610</v>
      </c>
      <c r="H7942">
        <v>2022</v>
      </c>
      <c r="I7942" t="s">
        <v>43</v>
      </c>
    </row>
    <row r="7943" spans="1:9" x14ac:dyDescent="0.3">
      <c r="A7943" t="s">
        <v>18</v>
      </c>
      <c r="C7943">
        <v>216000</v>
      </c>
      <c r="G7943">
        <v>44610</v>
      </c>
      <c r="H7943">
        <v>2022</v>
      </c>
      <c r="I7943" t="s">
        <v>43</v>
      </c>
    </row>
    <row r="7944" spans="1:9" x14ac:dyDescent="0.3">
      <c r="A7944" t="s">
        <v>16</v>
      </c>
      <c r="C7944">
        <v>49500</v>
      </c>
      <c r="G7944">
        <v>44610</v>
      </c>
      <c r="H7944">
        <v>2022</v>
      </c>
      <c r="I7944" t="s">
        <v>43</v>
      </c>
    </row>
    <row r="7945" spans="1:9" x14ac:dyDescent="0.3">
      <c r="A7945" t="s">
        <v>20</v>
      </c>
      <c r="G7945">
        <v>44610</v>
      </c>
      <c r="H7945">
        <v>2022</v>
      </c>
      <c r="I7945" t="s">
        <v>43</v>
      </c>
    </row>
    <row r="7946" spans="1:9" x14ac:dyDescent="0.3">
      <c r="A7946" t="s">
        <v>37</v>
      </c>
      <c r="C7946">
        <v>52000</v>
      </c>
      <c r="G7946">
        <v>44610</v>
      </c>
      <c r="H7946">
        <v>2022</v>
      </c>
      <c r="I7946" t="s">
        <v>43</v>
      </c>
    </row>
    <row r="7947" spans="1:9" x14ac:dyDescent="0.3">
      <c r="A7947" t="s">
        <v>17</v>
      </c>
      <c r="C7947">
        <v>162000</v>
      </c>
      <c r="G7947">
        <v>44610</v>
      </c>
      <c r="H7947">
        <v>2022</v>
      </c>
      <c r="I7947" t="s">
        <v>43</v>
      </c>
    </row>
    <row r="7948" spans="1:9" x14ac:dyDescent="0.3">
      <c r="A7948" t="s">
        <v>0</v>
      </c>
      <c r="G7948">
        <v>44610</v>
      </c>
      <c r="H7948">
        <v>2022</v>
      </c>
      <c r="I7948" t="s">
        <v>43</v>
      </c>
    </row>
    <row r="7949" spans="1:9" x14ac:dyDescent="0.3">
      <c r="A7949" t="s">
        <v>25</v>
      </c>
      <c r="B7949">
        <v>1496000</v>
      </c>
      <c r="C7949">
        <v>162000</v>
      </c>
      <c r="F7949">
        <v>420000</v>
      </c>
      <c r="G7949">
        <v>44610</v>
      </c>
      <c r="H7949">
        <v>2022</v>
      </c>
      <c r="I7949" t="s">
        <v>43</v>
      </c>
    </row>
    <row r="7950" spans="1:9" x14ac:dyDescent="0.3">
      <c r="A7950" t="s">
        <v>15</v>
      </c>
      <c r="C7950">
        <v>576000</v>
      </c>
      <c r="G7950">
        <v>44610</v>
      </c>
      <c r="H7950">
        <v>2022</v>
      </c>
      <c r="I7950" t="s">
        <v>43</v>
      </c>
    </row>
    <row r="7951" spans="1:9" x14ac:dyDescent="0.3">
      <c r="A7951" t="s">
        <v>54</v>
      </c>
      <c r="B7951">
        <v>90000</v>
      </c>
      <c r="G7951">
        <v>44610</v>
      </c>
      <c r="H7951">
        <v>2022</v>
      </c>
      <c r="I7951" t="s">
        <v>43</v>
      </c>
    </row>
    <row r="7952" spans="1:9" x14ac:dyDescent="0.3">
      <c r="A7952" t="s">
        <v>26</v>
      </c>
      <c r="G7952">
        <v>44610</v>
      </c>
      <c r="H7952">
        <v>2022</v>
      </c>
      <c r="I7952" t="s">
        <v>43</v>
      </c>
    </row>
    <row r="7953" spans="1:9" x14ac:dyDescent="0.3">
      <c r="A7953" t="s">
        <v>22</v>
      </c>
      <c r="G7953">
        <v>44610</v>
      </c>
      <c r="H7953">
        <v>2022</v>
      </c>
      <c r="I7953" t="s">
        <v>43</v>
      </c>
    </row>
    <row r="7954" spans="1:9" x14ac:dyDescent="0.3">
      <c r="A7954" t="s">
        <v>61</v>
      </c>
      <c r="G7954">
        <v>44610</v>
      </c>
      <c r="H7954">
        <v>2022</v>
      </c>
      <c r="I7954" t="s">
        <v>43</v>
      </c>
    </row>
    <row r="7955" spans="1:9" x14ac:dyDescent="0.3">
      <c r="A7955" t="s">
        <v>19</v>
      </c>
      <c r="B7955">
        <v>432000</v>
      </c>
      <c r="G7955">
        <v>44610</v>
      </c>
      <c r="H7955">
        <v>2022</v>
      </c>
      <c r="I7955" t="s">
        <v>43</v>
      </c>
    </row>
    <row r="7956" spans="1:9" x14ac:dyDescent="0.3">
      <c r="A7956" t="s">
        <v>14</v>
      </c>
      <c r="B7956">
        <v>320000</v>
      </c>
      <c r="E7956">
        <v>45000</v>
      </c>
      <c r="G7956">
        <v>44610</v>
      </c>
      <c r="H7956">
        <v>2022</v>
      </c>
      <c r="I7956" t="s">
        <v>43</v>
      </c>
    </row>
    <row r="7957" spans="1:9" x14ac:dyDescent="0.3">
      <c r="A7957" t="s">
        <v>24</v>
      </c>
      <c r="G7957">
        <v>44610</v>
      </c>
      <c r="H7957">
        <v>2022</v>
      </c>
      <c r="I7957" t="s">
        <v>43</v>
      </c>
    </row>
    <row r="7958" spans="1:9" x14ac:dyDescent="0.3">
      <c r="A7958" t="s">
        <v>21</v>
      </c>
      <c r="G7958">
        <v>44610</v>
      </c>
      <c r="H7958">
        <v>2022</v>
      </c>
      <c r="I7958" t="s">
        <v>43</v>
      </c>
    </row>
    <row r="7959" spans="1:9" x14ac:dyDescent="0.3">
      <c r="A7959" t="s">
        <v>65</v>
      </c>
      <c r="G7959">
        <v>44610</v>
      </c>
      <c r="H7959">
        <v>2022</v>
      </c>
      <c r="I7959" t="s">
        <v>43</v>
      </c>
    </row>
    <row r="7960" spans="1:9" x14ac:dyDescent="0.3">
      <c r="A7960" t="s">
        <v>18</v>
      </c>
      <c r="C7960">
        <v>378000</v>
      </c>
      <c r="G7960">
        <v>44610</v>
      </c>
      <c r="H7960">
        <v>2022</v>
      </c>
      <c r="I7960" t="s">
        <v>43</v>
      </c>
    </row>
    <row r="7961" spans="1:9" x14ac:dyDescent="0.3">
      <c r="A7961" t="s">
        <v>16</v>
      </c>
      <c r="C7961">
        <v>149000</v>
      </c>
      <c r="G7961">
        <v>44610</v>
      </c>
      <c r="H7961">
        <v>2022</v>
      </c>
      <c r="I7961" t="s">
        <v>43</v>
      </c>
    </row>
    <row r="7962" spans="1:9" x14ac:dyDescent="0.3">
      <c r="A7962" t="s">
        <v>20</v>
      </c>
      <c r="G7962">
        <v>44614</v>
      </c>
      <c r="H7962">
        <v>2022</v>
      </c>
      <c r="I7962" t="s">
        <v>43</v>
      </c>
    </row>
    <row r="7963" spans="1:9" x14ac:dyDescent="0.3">
      <c r="A7963" t="s">
        <v>37</v>
      </c>
      <c r="C7963">
        <v>90000</v>
      </c>
      <c r="G7963">
        <v>44614</v>
      </c>
      <c r="H7963">
        <v>2022</v>
      </c>
      <c r="I7963" t="s">
        <v>43</v>
      </c>
    </row>
    <row r="7964" spans="1:9" x14ac:dyDescent="0.3">
      <c r="A7964" t="s">
        <v>17</v>
      </c>
      <c r="G7964">
        <v>44614</v>
      </c>
      <c r="H7964">
        <v>2022</v>
      </c>
      <c r="I7964" t="s">
        <v>43</v>
      </c>
    </row>
    <row r="7965" spans="1:9" x14ac:dyDescent="0.3">
      <c r="A7965" t="s">
        <v>0</v>
      </c>
      <c r="G7965">
        <v>44614</v>
      </c>
      <c r="H7965">
        <v>2022</v>
      </c>
      <c r="I7965" t="s">
        <v>43</v>
      </c>
    </row>
    <row r="7966" spans="1:9" x14ac:dyDescent="0.3">
      <c r="A7966" t="s">
        <v>25</v>
      </c>
      <c r="B7966">
        <v>324000</v>
      </c>
      <c r="G7966">
        <v>44614</v>
      </c>
      <c r="H7966">
        <v>2022</v>
      </c>
      <c r="I7966" t="s">
        <v>43</v>
      </c>
    </row>
    <row r="7967" spans="1:9" x14ac:dyDescent="0.3">
      <c r="A7967" t="s">
        <v>15</v>
      </c>
      <c r="C7967">
        <v>1186000</v>
      </c>
      <c r="G7967">
        <v>44614</v>
      </c>
      <c r="H7967">
        <v>2022</v>
      </c>
      <c r="I7967" t="s">
        <v>43</v>
      </c>
    </row>
    <row r="7968" spans="1:9" x14ac:dyDescent="0.3">
      <c r="A7968" t="s">
        <v>54</v>
      </c>
      <c r="D7968">
        <v>108000</v>
      </c>
      <c r="G7968">
        <v>44614</v>
      </c>
      <c r="H7968">
        <v>2022</v>
      </c>
      <c r="I7968" t="s">
        <v>43</v>
      </c>
    </row>
    <row r="7969" spans="1:9" x14ac:dyDescent="0.3">
      <c r="A7969" t="s">
        <v>26</v>
      </c>
      <c r="B7969">
        <v>585000</v>
      </c>
      <c r="D7969">
        <v>216000</v>
      </c>
      <c r="G7969">
        <v>44614</v>
      </c>
      <c r="H7969">
        <v>2022</v>
      </c>
      <c r="I7969" t="s">
        <v>43</v>
      </c>
    </row>
    <row r="7970" spans="1:9" x14ac:dyDescent="0.3">
      <c r="A7970" t="s">
        <v>22</v>
      </c>
      <c r="G7970">
        <v>44614</v>
      </c>
      <c r="H7970">
        <v>2022</v>
      </c>
      <c r="I7970" t="s">
        <v>43</v>
      </c>
    </row>
    <row r="7971" spans="1:9" x14ac:dyDescent="0.3">
      <c r="A7971" t="s">
        <v>61</v>
      </c>
      <c r="G7971">
        <v>44614</v>
      </c>
      <c r="H7971">
        <v>2022</v>
      </c>
      <c r="I7971" t="s">
        <v>43</v>
      </c>
    </row>
    <row r="7972" spans="1:9" x14ac:dyDescent="0.3">
      <c r="A7972" t="s">
        <v>19</v>
      </c>
      <c r="B7972">
        <v>594000</v>
      </c>
      <c r="F7972">
        <v>540000</v>
      </c>
      <c r="G7972">
        <v>44614</v>
      </c>
      <c r="H7972">
        <v>2022</v>
      </c>
      <c r="I7972" t="s">
        <v>43</v>
      </c>
    </row>
    <row r="7973" spans="1:9" x14ac:dyDescent="0.3">
      <c r="A7973" t="s">
        <v>14</v>
      </c>
      <c r="B7973">
        <v>540000</v>
      </c>
      <c r="G7973">
        <v>44614</v>
      </c>
      <c r="H7973">
        <v>2022</v>
      </c>
      <c r="I7973" t="s">
        <v>43</v>
      </c>
    </row>
    <row r="7974" spans="1:9" x14ac:dyDescent="0.3">
      <c r="A7974" t="s">
        <v>24</v>
      </c>
      <c r="G7974">
        <v>44614</v>
      </c>
      <c r="H7974">
        <v>2022</v>
      </c>
      <c r="I7974" t="s">
        <v>43</v>
      </c>
    </row>
    <row r="7975" spans="1:9" x14ac:dyDescent="0.3">
      <c r="A7975" t="s">
        <v>21</v>
      </c>
      <c r="G7975">
        <v>44614</v>
      </c>
      <c r="H7975">
        <v>2022</v>
      </c>
      <c r="I7975" t="s">
        <v>43</v>
      </c>
    </row>
    <row r="7976" spans="1:9" x14ac:dyDescent="0.3">
      <c r="A7976" t="s">
        <v>65</v>
      </c>
      <c r="G7976">
        <v>44614</v>
      </c>
      <c r="H7976">
        <v>2022</v>
      </c>
      <c r="I7976" t="s">
        <v>43</v>
      </c>
    </row>
    <row r="7977" spans="1:9" x14ac:dyDescent="0.3">
      <c r="A7977" t="s">
        <v>18</v>
      </c>
      <c r="B7977">
        <v>432000</v>
      </c>
      <c r="G7977">
        <v>44614</v>
      </c>
      <c r="H7977">
        <v>2022</v>
      </c>
      <c r="I7977" t="s">
        <v>43</v>
      </c>
    </row>
    <row r="7978" spans="1:9" x14ac:dyDescent="0.3">
      <c r="A7978" t="s">
        <v>16</v>
      </c>
      <c r="D7978">
        <v>162000</v>
      </c>
      <c r="G7978">
        <v>44614</v>
      </c>
      <c r="H7978">
        <v>2022</v>
      </c>
      <c r="I7978" t="s">
        <v>43</v>
      </c>
    </row>
    <row r="7979" spans="1:9" x14ac:dyDescent="0.3">
      <c r="A7979" t="s">
        <v>20</v>
      </c>
      <c r="G7979">
        <v>44615</v>
      </c>
      <c r="H7979">
        <v>2022</v>
      </c>
      <c r="I7979" t="s">
        <v>43</v>
      </c>
    </row>
    <row r="7980" spans="1:9" x14ac:dyDescent="0.3">
      <c r="A7980" t="s">
        <v>37</v>
      </c>
      <c r="G7980">
        <v>44615</v>
      </c>
      <c r="H7980">
        <v>2022</v>
      </c>
      <c r="I7980" t="s">
        <v>43</v>
      </c>
    </row>
    <row r="7981" spans="1:9" x14ac:dyDescent="0.3">
      <c r="A7981" t="s">
        <v>17</v>
      </c>
      <c r="G7981">
        <v>44615</v>
      </c>
      <c r="H7981">
        <v>2022</v>
      </c>
      <c r="I7981" t="s">
        <v>43</v>
      </c>
    </row>
    <row r="7982" spans="1:9" x14ac:dyDescent="0.3">
      <c r="A7982" t="s">
        <v>0</v>
      </c>
      <c r="G7982">
        <v>44615</v>
      </c>
      <c r="H7982">
        <v>2022</v>
      </c>
      <c r="I7982" t="s">
        <v>43</v>
      </c>
    </row>
    <row r="7983" spans="1:9" x14ac:dyDescent="0.3">
      <c r="A7983" t="s">
        <v>25</v>
      </c>
      <c r="C7983">
        <v>54000</v>
      </c>
      <c r="G7983">
        <v>44615</v>
      </c>
      <c r="H7983">
        <v>2022</v>
      </c>
      <c r="I7983" t="s">
        <v>43</v>
      </c>
    </row>
    <row r="7984" spans="1:9" x14ac:dyDescent="0.3">
      <c r="A7984" t="s">
        <v>15</v>
      </c>
      <c r="C7984">
        <v>477000</v>
      </c>
      <c r="G7984">
        <v>44615</v>
      </c>
      <c r="H7984">
        <v>2022</v>
      </c>
      <c r="I7984" t="s">
        <v>43</v>
      </c>
    </row>
    <row r="7985" spans="1:9" x14ac:dyDescent="0.3">
      <c r="A7985" t="s">
        <v>54</v>
      </c>
      <c r="B7985">
        <v>320000</v>
      </c>
      <c r="D7985">
        <v>270000</v>
      </c>
      <c r="G7985">
        <v>44615</v>
      </c>
      <c r="H7985">
        <v>2022</v>
      </c>
      <c r="I7985" t="s">
        <v>43</v>
      </c>
    </row>
    <row r="7986" spans="1:9" x14ac:dyDescent="0.3">
      <c r="A7986" t="s">
        <v>26</v>
      </c>
      <c r="B7986">
        <v>108000</v>
      </c>
      <c r="D7986">
        <v>144000</v>
      </c>
      <c r="G7986">
        <v>44615</v>
      </c>
      <c r="H7986">
        <v>2022</v>
      </c>
      <c r="I7986" t="s">
        <v>43</v>
      </c>
    </row>
    <row r="7987" spans="1:9" x14ac:dyDescent="0.3">
      <c r="A7987" t="s">
        <v>22</v>
      </c>
      <c r="G7987">
        <v>44615</v>
      </c>
      <c r="H7987">
        <v>2022</v>
      </c>
      <c r="I7987" t="s">
        <v>43</v>
      </c>
    </row>
    <row r="7988" spans="1:9" x14ac:dyDescent="0.3">
      <c r="A7988" t="s">
        <v>61</v>
      </c>
      <c r="G7988">
        <v>44615</v>
      </c>
      <c r="H7988">
        <v>2022</v>
      </c>
      <c r="I7988" t="s">
        <v>43</v>
      </c>
    </row>
    <row r="7989" spans="1:9" x14ac:dyDescent="0.3">
      <c r="A7989" t="s">
        <v>19</v>
      </c>
      <c r="B7989">
        <v>270000</v>
      </c>
      <c r="C7989">
        <v>432000</v>
      </c>
      <c r="F7989">
        <v>315000</v>
      </c>
      <c r="G7989">
        <v>44615</v>
      </c>
      <c r="H7989">
        <v>2022</v>
      </c>
      <c r="I7989" t="s">
        <v>43</v>
      </c>
    </row>
    <row r="7990" spans="1:9" x14ac:dyDescent="0.3">
      <c r="A7990" t="s">
        <v>14</v>
      </c>
      <c r="B7990">
        <v>486000</v>
      </c>
      <c r="C7990">
        <v>486000</v>
      </c>
      <c r="E7990">
        <v>45000</v>
      </c>
      <c r="G7990">
        <v>44615</v>
      </c>
      <c r="H7990">
        <v>2022</v>
      </c>
      <c r="I7990" t="s">
        <v>43</v>
      </c>
    </row>
    <row r="7991" spans="1:9" x14ac:dyDescent="0.3">
      <c r="A7991" t="s">
        <v>24</v>
      </c>
      <c r="G7991">
        <v>44615</v>
      </c>
      <c r="H7991">
        <v>2022</v>
      </c>
      <c r="I7991" t="s">
        <v>43</v>
      </c>
    </row>
    <row r="7992" spans="1:9" x14ac:dyDescent="0.3">
      <c r="A7992" t="s">
        <v>21</v>
      </c>
      <c r="G7992">
        <v>44615</v>
      </c>
      <c r="H7992">
        <v>2022</v>
      </c>
      <c r="I7992" t="s">
        <v>43</v>
      </c>
    </row>
    <row r="7993" spans="1:9" x14ac:dyDescent="0.3">
      <c r="A7993" t="s">
        <v>65</v>
      </c>
      <c r="G7993">
        <v>44615</v>
      </c>
      <c r="H7993">
        <v>2022</v>
      </c>
      <c r="I7993" t="s">
        <v>43</v>
      </c>
    </row>
    <row r="7994" spans="1:9" x14ac:dyDescent="0.3">
      <c r="A7994" t="s">
        <v>18</v>
      </c>
      <c r="B7994">
        <v>540000</v>
      </c>
      <c r="C7994">
        <v>54000</v>
      </c>
      <c r="G7994">
        <v>44615</v>
      </c>
      <c r="H7994">
        <v>2022</v>
      </c>
      <c r="I7994" t="s">
        <v>43</v>
      </c>
    </row>
    <row r="7995" spans="1:9" x14ac:dyDescent="0.3">
      <c r="A7995" t="s">
        <v>16</v>
      </c>
      <c r="B7995">
        <v>580500</v>
      </c>
      <c r="D7995">
        <v>162000</v>
      </c>
      <c r="G7995">
        <v>44615</v>
      </c>
      <c r="H7995">
        <v>2022</v>
      </c>
      <c r="I7995" t="s">
        <v>43</v>
      </c>
    </row>
    <row r="7996" spans="1:9" x14ac:dyDescent="0.3">
      <c r="A7996" t="s">
        <v>20</v>
      </c>
      <c r="G7996">
        <v>44617</v>
      </c>
      <c r="H7996">
        <v>2022</v>
      </c>
      <c r="I7996" t="s">
        <v>43</v>
      </c>
    </row>
    <row r="7997" spans="1:9" x14ac:dyDescent="0.3">
      <c r="A7997" t="s">
        <v>37</v>
      </c>
      <c r="G7997">
        <v>44617</v>
      </c>
      <c r="H7997">
        <v>2022</v>
      </c>
      <c r="I7997" t="s">
        <v>43</v>
      </c>
    </row>
    <row r="7998" spans="1:9" x14ac:dyDescent="0.3">
      <c r="A7998" t="s">
        <v>17</v>
      </c>
      <c r="B7998">
        <v>266000</v>
      </c>
      <c r="G7998">
        <v>44617</v>
      </c>
      <c r="H7998">
        <v>2022</v>
      </c>
      <c r="I7998" t="s">
        <v>43</v>
      </c>
    </row>
    <row r="7999" spans="1:9" x14ac:dyDescent="0.3">
      <c r="A7999" t="s">
        <v>0</v>
      </c>
      <c r="B7999">
        <v>648000</v>
      </c>
      <c r="D7999">
        <v>162000</v>
      </c>
      <c r="G7999">
        <v>44617</v>
      </c>
      <c r="H7999">
        <v>2022</v>
      </c>
      <c r="I7999" t="s">
        <v>43</v>
      </c>
    </row>
    <row r="8000" spans="1:9" x14ac:dyDescent="0.3">
      <c r="A8000" t="s">
        <v>25</v>
      </c>
      <c r="G8000">
        <v>44617</v>
      </c>
      <c r="H8000">
        <v>2022</v>
      </c>
      <c r="I8000" t="s">
        <v>43</v>
      </c>
    </row>
    <row r="8001" spans="1:9" x14ac:dyDescent="0.3">
      <c r="A8001" t="s">
        <v>15</v>
      </c>
      <c r="C8001">
        <v>378000</v>
      </c>
      <c r="E8001">
        <v>369000</v>
      </c>
      <c r="G8001">
        <v>44617</v>
      </c>
      <c r="H8001">
        <v>2022</v>
      </c>
      <c r="I8001" t="s">
        <v>43</v>
      </c>
    </row>
    <row r="8002" spans="1:9" x14ac:dyDescent="0.3">
      <c r="A8002" t="s">
        <v>54</v>
      </c>
      <c r="B8002">
        <v>162000</v>
      </c>
      <c r="C8002">
        <v>216000</v>
      </c>
      <c r="G8002">
        <v>44617</v>
      </c>
      <c r="H8002">
        <v>2022</v>
      </c>
      <c r="I8002" t="s">
        <v>43</v>
      </c>
    </row>
    <row r="8003" spans="1:9" x14ac:dyDescent="0.3">
      <c r="A8003" t="s">
        <v>26</v>
      </c>
      <c r="B8003">
        <v>50000</v>
      </c>
      <c r="D8003">
        <v>140000</v>
      </c>
      <c r="G8003">
        <v>44617</v>
      </c>
      <c r="H8003">
        <v>2022</v>
      </c>
      <c r="I8003" t="s">
        <v>43</v>
      </c>
    </row>
    <row r="8004" spans="1:9" x14ac:dyDescent="0.3">
      <c r="A8004" t="s">
        <v>22</v>
      </c>
      <c r="G8004">
        <v>44617</v>
      </c>
      <c r="H8004">
        <v>2022</v>
      </c>
      <c r="I8004" t="s">
        <v>43</v>
      </c>
    </row>
    <row r="8005" spans="1:9" x14ac:dyDescent="0.3">
      <c r="A8005" t="s">
        <v>61</v>
      </c>
      <c r="G8005">
        <v>44617</v>
      </c>
      <c r="H8005">
        <v>2022</v>
      </c>
      <c r="I8005" t="s">
        <v>43</v>
      </c>
    </row>
    <row r="8006" spans="1:9" x14ac:dyDescent="0.3">
      <c r="A8006" t="s">
        <v>19</v>
      </c>
      <c r="B8006">
        <v>702000</v>
      </c>
      <c r="C8006">
        <v>378000</v>
      </c>
      <c r="F8006">
        <v>145000</v>
      </c>
      <c r="G8006">
        <v>44617</v>
      </c>
      <c r="H8006">
        <v>2022</v>
      </c>
      <c r="I8006" t="s">
        <v>43</v>
      </c>
    </row>
    <row r="8007" spans="1:9" x14ac:dyDescent="0.3">
      <c r="A8007" t="s">
        <v>14</v>
      </c>
      <c r="B8007">
        <v>154000</v>
      </c>
      <c r="C8007">
        <v>54000</v>
      </c>
      <c r="G8007">
        <v>44617</v>
      </c>
      <c r="H8007">
        <v>2022</v>
      </c>
      <c r="I8007" t="s">
        <v>43</v>
      </c>
    </row>
    <row r="8008" spans="1:9" x14ac:dyDescent="0.3">
      <c r="A8008" t="s">
        <v>24</v>
      </c>
      <c r="G8008">
        <v>44617</v>
      </c>
      <c r="H8008">
        <v>2022</v>
      </c>
      <c r="I8008" t="s">
        <v>43</v>
      </c>
    </row>
    <row r="8009" spans="1:9" x14ac:dyDescent="0.3">
      <c r="A8009" t="s">
        <v>21</v>
      </c>
      <c r="G8009">
        <v>44617</v>
      </c>
      <c r="H8009">
        <v>2022</v>
      </c>
      <c r="I8009" t="s">
        <v>43</v>
      </c>
    </row>
    <row r="8010" spans="1:9" x14ac:dyDescent="0.3">
      <c r="A8010" t="s">
        <v>65</v>
      </c>
      <c r="G8010">
        <v>44617</v>
      </c>
      <c r="H8010">
        <v>2022</v>
      </c>
      <c r="I8010" t="s">
        <v>43</v>
      </c>
    </row>
    <row r="8011" spans="1:9" x14ac:dyDescent="0.3">
      <c r="A8011" t="s">
        <v>18</v>
      </c>
      <c r="B8011">
        <v>54000</v>
      </c>
      <c r="G8011">
        <v>44617</v>
      </c>
      <c r="H8011">
        <v>2022</v>
      </c>
      <c r="I8011" t="s">
        <v>43</v>
      </c>
    </row>
    <row r="8012" spans="1:9" x14ac:dyDescent="0.3">
      <c r="A8012" t="s">
        <v>16</v>
      </c>
      <c r="B8012">
        <v>424000</v>
      </c>
      <c r="G8012">
        <v>44617</v>
      </c>
      <c r="H8012">
        <v>2022</v>
      </c>
      <c r="I8012" t="s">
        <v>43</v>
      </c>
    </row>
    <row r="8013" spans="1:9" x14ac:dyDescent="0.3">
      <c r="A8013" t="s">
        <v>20</v>
      </c>
      <c r="G8013">
        <v>44617</v>
      </c>
      <c r="H8013">
        <v>2022</v>
      </c>
      <c r="I8013" t="s">
        <v>43</v>
      </c>
    </row>
    <row r="8014" spans="1:9" x14ac:dyDescent="0.3">
      <c r="A8014" t="s">
        <v>37</v>
      </c>
      <c r="G8014">
        <v>44617</v>
      </c>
      <c r="H8014">
        <v>2022</v>
      </c>
      <c r="I8014" t="s">
        <v>43</v>
      </c>
    </row>
    <row r="8015" spans="1:9" x14ac:dyDescent="0.3">
      <c r="A8015" t="s">
        <v>17</v>
      </c>
      <c r="G8015">
        <v>44617</v>
      </c>
      <c r="H8015">
        <v>2022</v>
      </c>
      <c r="I8015" t="s">
        <v>43</v>
      </c>
    </row>
    <row r="8016" spans="1:9" x14ac:dyDescent="0.3">
      <c r="A8016" t="s">
        <v>0</v>
      </c>
      <c r="B8016">
        <v>1489500</v>
      </c>
      <c r="C8016">
        <v>45000</v>
      </c>
      <c r="D8016">
        <v>702000</v>
      </c>
      <c r="F8016">
        <v>486000</v>
      </c>
      <c r="G8016">
        <v>44617</v>
      </c>
      <c r="H8016">
        <v>2022</v>
      </c>
      <c r="I8016" t="s">
        <v>43</v>
      </c>
    </row>
    <row r="8017" spans="1:9" x14ac:dyDescent="0.3">
      <c r="A8017" t="s">
        <v>25</v>
      </c>
      <c r="G8017">
        <v>44617</v>
      </c>
      <c r="H8017">
        <v>2022</v>
      </c>
      <c r="I8017" t="s">
        <v>43</v>
      </c>
    </row>
    <row r="8018" spans="1:9" x14ac:dyDescent="0.3">
      <c r="A8018" t="s">
        <v>15</v>
      </c>
      <c r="C8018">
        <v>639000</v>
      </c>
      <c r="E8018">
        <v>90000</v>
      </c>
      <c r="G8018">
        <v>44617</v>
      </c>
      <c r="H8018">
        <v>2022</v>
      </c>
      <c r="I8018" t="s">
        <v>43</v>
      </c>
    </row>
    <row r="8019" spans="1:9" x14ac:dyDescent="0.3">
      <c r="A8019" t="s">
        <v>54</v>
      </c>
      <c r="B8019">
        <v>54000</v>
      </c>
      <c r="C8019">
        <v>540000</v>
      </c>
      <c r="G8019">
        <v>44617</v>
      </c>
      <c r="H8019">
        <v>2022</v>
      </c>
      <c r="I8019" t="s">
        <v>43</v>
      </c>
    </row>
    <row r="8020" spans="1:9" x14ac:dyDescent="0.3">
      <c r="A8020" t="s">
        <v>26</v>
      </c>
      <c r="G8020">
        <v>44617</v>
      </c>
      <c r="H8020">
        <v>2022</v>
      </c>
      <c r="I8020" t="s">
        <v>43</v>
      </c>
    </row>
    <row r="8021" spans="1:9" x14ac:dyDescent="0.3">
      <c r="A8021" t="s">
        <v>22</v>
      </c>
      <c r="G8021">
        <v>44617</v>
      </c>
      <c r="H8021">
        <v>2022</v>
      </c>
      <c r="I8021" t="s">
        <v>43</v>
      </c>
    </row>
    <row r="8022" spans="1:9" x14ac:dyDescent="0.3">
      <c r="A8022" t="s">
        <v>61</v>
      </c>
      <c r="G8022">
        <v>44617</v>
      </c>
      <c r="H8022">
        <v>2022</v>
      </c>
      <c r="I8022" t="s">
        <v>43</v>
      </c>
    </row>
    <row r="8023" spans="1:9" x14ac:dyDescent="0.3">
      <c r="A8023" t="s">
        <v>19</v>
      </c>
      <c r="G8023">
        <v>44617</v>
      </c>
      <c r="H8023">
        <v>2022</v>
      </c>
      <c r="I8023" t="s">
        <v>43</v>
      </c>
    </row>
    <row r="8024" spans="1:9" x14ac:dyDescent="0.3">
      <c r="A8024" t="s">
        <v>14</v>
      </c>
      <c r="C8024">
        <v>270000</v>
      </c>
      <c r="G8024">
        <v>44617</v>
      </c>
      <c r="H8024">
        <v>2022</v>
      </c>
      <c r="I8024" t="s">
        <v>43</v>
      </c>
    </row>
    <row r="8025" spans="1:9" x14ac:dyDescent="0.3">
      <c r="A8025" t="s">
        <v>24</v>
      </c>
      <c r="G8025">
        <v>44617</v>
      </c>
      <c r="H8025">
        <v>2022</v>
      </c>
      <c r="I8025" t="s">
        <v>43</v>
      </c>
    </row>
    <row r="8026" spans="1:9" x14ac:dyDescent="0.3">
      <c r="A8026" t="s">
        <v>21</v>
      </c>
      <c r="G8026">
        <v>44617</v>
      </c>
      <c r="H8026">
        <v>2022</v>
      </c>
      <c r="I8026" t="s">
        <v>43</v>
      </c>
    </row>
    <row r="8027" spans="1:9" x14ac:dyDescent="0.3">
      <c r="A8027" t="s">
        <v>65</v>
      </c>
      <c r="G8027">
        <v>44617</v>
      </c>
      <c r="H8027">
        <v>2022</v>
      </c>
      <c r="I8027" t="s">
        <v>43</v>
      </c>
    </row>
    <row r="8028" spans="1:9" x14ac:dyDescent="0.3">
      <c r="A8028" t="s">
        <v>18</v>
      </c>
      <c r="G8028">
        <v>44617</v>
      </c>
      <c r="H8028">
        <v>2022</v>
      </c>
      <c r="I8028" t="s">
        <v>43</v>
      </c>
    </row>
    <row r="8029" spans="1:9" x14ac:dyDescent="0.3">
      <c r="A8029" t="s">
        <v>16</v>
      </c>
      <c r="G8029">
        <v>44617</v>
      </c>
      <c r="H8029">
        <v>2022</v>
      </c>
      <c r="I8029" t="s">
        <v>43</v>
      </c>
    </row>
    <row r="8030" spans="1:9" x14ac:dyDescent="0.3">
      <c r="A8030" t="s">
        <v>20</v>
      </c>
      <c r="G8030">
        <v>44620</v>
      </c>
      <c r="H8030">
        <v>2022</v>
      </c>
      <c r="I8030" t="s">
        <v>43</v>
      </c>
    </row>
    <row r="8031" spans="1:9" x14ac:dyDescent="0.3">
      <c r="A8031" t="s">
        <v>37</v>
      </c>
      <c r="G8031">
        <v>44620</v>
      </c>
      <c r="H8031">
        <v>2022</v>
      </c>
      <c r="I8031" t="s">
        <v>43</v>
      </c>
    </row>
    <row r="8032" spans="1:9" x14ac:dyDescent="0.3">
      <c r="A8032" t="s">
        <v>17</v>
      </c>
      <c r="G8032">
        <v>44620</v>
      </c>
      <c r="H8032">
        <v>2022</v>
      </c>
      <c r="I8032" t="s">
        <v>43</v>
      </c>
    </row>
    <row r="8033" spans="1:9" x14ac:dyDescent="0.3">
      <c r="A8033" t="s">
        <v>0</v>
      </c>
      <c r="B8033">
        <v>1935500</v>
      </c>
      <c r="D8033">
        <v>45000</v>
      </c>
      <c r="F8033">
        <v>540000</v>
      </c>
      <c r="G8033">
        <v>44620</v>
      </c>
      <c r="H8033">
        <v>2022</v>
      </c>
      <c r="I8033" t="s">
        <v>43</v>
      </c>
    </row>
    <row r="8034" spans="1:9" x14ac:dyDescent="0.3">
      <c r="A8034" t="s">
        <v>25</v>
      </c>
      <c r="G8034">
        <v>44620</v>
      </c>
      <c r="H8034">
        <v>2022</v>
      </c>
      <c r="I8034" t="s">
        <v>43</v>
      </c>
    </row>
    <row r="8035" spans="1:9" x14ac:dyDescent="0.3">
      <c r="A8035" t="s">
        <v>15</v>
      </c>
      <c r="C8035">
        <v>702000</v>
      </c>
      <c r="D8035">
        <v>270000</v>
      </c>
      <c r="G8035">
        <v>44620</v>
      </c>
      <c r="H8035">
        <v>2022</v>
      </c>
      <c r="I8035" t="s">
        <v>43</v>
      </c>
    </row>
    <row r="8036" spans="1:9" x14ac:dyDescent="0.3">
      <c r="A8036" t="s">
        <v>54</v>
      </c>
      <c r="C8036">
        <v>684500</v>
      </c>
      <c r="D8036">
        <v>54000</v>
      </c>
      <c r="G8036">
        <v>44620</v>
      </c>
      <c r="H8036">
        <v>2022</v>
      </c>
      <c r="I8036" t="s">
        <v>43</v>
      </c>
    </row>
    <row r="8037" spans="1:9" x14ac:dyDescent="0.3">
      <c r="A8037" t="s">
        <v>26</v>
      </c>
      <c r="G8037">
        <v>44620</v>
      </c>
      <c r="H8037">
        <v>2022</v>
      </c>
      <c r="I8037" t="s">
        <v>43</v>
      </c>
    </row>
    <row r="8038" spans="1:9" x14ac:dyDescent="0.3">
      <c r="A8038" t="s">
        <v>22</v>
      </c>
      <c r="G8038">
        <v>44620</v>
      </c>
      <c r="H8038">
        <v>2022</v>
      </c>
      <c r="I8038" t="s">
        <v>43</v>
      </c>
    </row>
    <row r="8039" spans="1:9" x14ac:dyDescent="0.3">
      <c r="A8039" t="s">
        <v>61</v>
      </c>
      <c r="G8039">
        <v>44620</v>
      </c>
      <c r="H8039">
        <v>2022</v>
      </c>
      <c r="I8039" t="s">
        <v>43</v>
      </c>
    </row>
    <row r="8040" spans="1:9" x14ac:dyDescent="0.3">
      <c r="A8040" t="s">
        <v>19</v>
      </c>
      <c r="C8040">
        <v>306000</v>
      </c>
      <c r="G8040">
        <v>44620</v>
      </c>
      <c r="H8040">
        <v>2022</v>
      </c>
      <c r="I8040" t="s">
        <v>43</v>
      </c>
    </row>
    <row r="8041" spans="1:9" x14ac:dyDescent="0.3">
      <c r="A8041" t="s">
        <v>14</v>
      </c>
      <c r="C8041">
        <v>378000</v>
      </c>
      <c r="G8041">
        <v>44620</v>
      </c>
      <c r="H8041">
        <v>2022</v>
      </c>
      <c r="I8041" t="s">
        <v>43</v>
      </c>
    </row>
    <row r="8042" spans="1:9" x14ac:dyDescent="0.3">
      <c r="A8042" t="s">
        <v>24</v>
      </c>
      <c r="G8042">
        <v>44620</v>
      </c>
      <c r="H8042">
        <v>2022</v>
      </c>
      <c r="I8042" t="s">
        <v>43</v>
      </c>
    </row>
    <row r="8043" spans="1:9" x14ac:dyDescent="0.3">
      <c r="A8043" t="s">
        <v>21</v>
      </c>
      <c r="G8043">
        <v>44620</v>
      </c>
      <c r="H8043">
        <v>2022</v>
      </c>
      <c r="I8043" t="s">
        <v>43</v>
      </c>
    </row>
    <row r="8044" spans="1:9" x14ac:dyDescent="0.3">
      <c r="A8044" t="s">
        <v>65</v>
      </c>
      <c r="G8044">
        <v>44620</v>
      </c>
      <c r="H8044">
        <v>2022</v>
      </c>
      <c r="I8044" t="s">
        <v>43</v>
      </c>
    </row>
    <row r="8045" spans="1:9" x14ac:dyDescent="0.3">
      <c r="A8045" t="s">
        <v>18</v>
      </c>
      <c r="G8045">
        <v>44620</v>
      </c>
      <c r="H8045">
        <v>2022</v>
      </c>
      <c r="I8045" t="s">
        <v>43</v>
      </c>
    </row>
    <row r="8046" spans="1:9" x14ac:dyDescent="0.3">
      <c r="A8046" t="s">
        <v>16</v>
      </c>
      <c r="D8046">
        <v>54000</v>
      </c>
      <c r="G8046">
        <v>44620</v>
      </c>
      <c r="H8046">
        <v>2022</v>
      </c>
      <c r="I8046" t="s">
        <v>43</v>
      </c>
    </row>
    <row r="8047" spans="1:9" x14ac:dyDescent="0.3">
      <c r="A8047" t="s">
        <v>20</v>
      </c>
      <c r="G8047">
        <v>44621</v>
      </c>
      <c r="H8047">
        <v>2022</v>
      </c>
      <c r="I8047" t="s">
        <v>45</v>
      </c>
    </row>
    <row r="8048" spans="1:9" x14ac:dyDescent="0.3">
      <c r="A8048" t="s">
        <v>37</v>
      </c>
      <c r="G8048">
        <v>44621</v>
      </c>
      <c r="H8048">
        <v>2022</v>
      </c>
      <c r="I8048" t="s">
        <v>45</v>
      </c>
    </row>
    <row r="8049" spans="1:9" x14ac:dyDescent="0.3">
      <c r="A8049" t="s">
        <v>17</v>
      </c>
      <c r="G8049">
        <v>44621</v>
      </c>
      <c r="H8049">
        <v>2022</v>
      </c>
      <c r="I8049" t="s">
        <v>45</v>
      </c>
    </row>
    <row r="8050" spans="1:9" x14ac:dyDescent="0.3">
      <c r="A8050" t="s">
        <v>0</v>
      </c>
      <c r="G8050">
        <v>44621</v>
      </c>
      <c r="H8050">
        <v>2022</v>
      </c>
      <c r="I8050" t="s">
        <v>45</v>
      </c>
    </row>
    <row r="8051" spans="1:9" x14ac:dyDescent="0.3">
      <c r="A8051" t="s">
        <v>25</v>
      </c>
      <c r="G8051">
        <v>44621</v>
      </c>
      <c r="H8051">
        <v>2022</v>
      </c>
      <c r="I8051" t="s">
        <v>45</v>
      </c>
    </row>
    <row r="8052" spans="1:9" x14ac:dyDescent="0.3">
      <c r="A8052" t="s">
        <v>15</v>
      </c>
      <c r="C8052">
        <v>108000</v>
      </c>
      <c r="G8052">
        <v>44621</v>
      </c>
      <c r="H8052">
        <v>2022</v>
      </c>
      <c r="I8052" t="s">
        <v>45</v>
      </c>
    </row>
    <row r="8053" spans="1:9" x14ac:dyDescent="0.3">
      <c r="A8053" t="s">
        <v>54</v>
      </c>
      <c r="C8053">
        <v>54000</v>
      </c>
      <c r="G8053">
        <v>44621</v>
      </c>
      <c r="H8053">
        <v>2022</v>
      </c>
      <c r="I8053" t="s">
        <v>45</v>
      </c>
    </row>
    <row r="8054" spans="1:9" x14ac:dyDescent="0.3">
      <c r="A8054" t="s">
        <v>26</v>
      </c>
      <c r="G8054">
        <v>44621</v>
      </c>
      <c r="H8054">
        <v>2022</v>
      </c>
      <c r="I8054" t="s">
        <v>45</v>
      </c>
    </row>
    <row r="8055" spans="1:9" x14ac:dyDescent="0.3">
      <c r="A8055" t="s">
        <v>22</v>
      </c>
      <c r="G8055">
        <v>44621</v>
      </c>
      <c r="H8055">
        <v>2022</v>
      </c>
      <c r="I8055" t="s">
        <v>45</v>
      </c>
    </row>
    <row r="8056" spans="1:9" x14ac:dyDescent="0.3">
      <c r="A8056" t="s">
        <v>61</v>
      </c>
      <c r="G8056">
        <v>44621</v>
      </c>
      <c r="H8056">
        <v>2022</v>
      </c>
      <c r="I8056" t="s">
        <v>45</v>
      </c>
    </row>
    <row r="8057" spans="1:9" x14ac:dyDescent="0.3">
      <c r="A8057" t="s">
        <v>19</v>
      </c>
      <c r="G8057">
        <v>44621</v>
      </c>
      <c r="H8057">
        <v>2022</v>
      </c>
      <c r="I8057" t="s">
        <v>45</v>
      </c>
    </row>
    <row r="8058" spans="1:9" x14ac:dyDescent="0.3">
      <c r="A8058" t="s">
        <v>14</v>
      </c>
      <c r="G8058">
        <v>44621</v>
      </c>
      <c r="H8058">
        <v>2022</v>
      </c>
      <c r="I8058" t="s">
        <v>45</v>
      </c>
    </row>
    <row r="8059" spans="1:9" x14ac:dyDescent="0.3">
      <c r="A8059" t="s">
        <v>24</v>
      </c>
      <c r="G8059">
        <v>44621</v>
      </c>
      <c r="H8059">
        <v>2022</v>
      </c>
      <c r="I8059" t="s">
        <v>45</v>
      </c>
    </row>
    <row r="8060" spans="1:9" x14ac:dyDescent="0.3">
      <c r="A8060" t="s">
        <v>21</v>
      </c>
      <c r="G8060">
        <v>44621</v>
      </c>
      <c r="H8060">
        <v>2022</v>
      </c>
      <c r="I8060" t="s">
        <v>45</v>
      </c>
    </row>
    <row r="8061" spans="1:9" x14ac:dyDescent="0.3">
      <c r="A8061" t="s">
        <v>65</v>
      </c>
      <c r="G8061">
        <v>44621</v>
      </c>
      <c r="H8061">
        <v>2022</v>
      </c>
      <c r="I8061" t="s">
        <v>45</v>
      </c>
    </row>
    <row r="8062" spans="1:9" x14ac:dyDescent="0.3">
      <c r="A8062" t="s">
        <v>18</v>
      </c>
      <c r="G8062">
        <v>44621</v>
      </c>
      <c r="H8062">
        <v>2022</v>
      </c>
      <c r="I8062" t="s">
        <v>45</v>
      </c>
    </row>
    <row r="8063" spans="1:9" x14ac:dyDescent="0.3">
      <c r="A8063" t="s">
        <v>16</v>
      </c>
      <c r="G8063">
        <v>44621</v>
      </c>
      <c r="H8063">
        <v>2022</v>
      </c>
      <c r="I8063" t="s">
        <v>45</v>
      </c>
    </row>
    <row r="8064" spans="1:9" x14ac:dyDescent="0.3">
      <c r="A8064" t="s">
        <v>20</v>
      </c>
      <c r="G8064">
        <v>44622</v>
      </c>
      <c r="H8064">
        <v>2022</v>
      </c>
      <c r="I8064" t="s">
        <v>45</v>
      </c>
    </row>
    <row r="8065" spans="1:9" x14ac:dyDescent="0.3">
      <c r="A8065" t="s">
        <v>37</v>
      </c>
      <c r="G8065">
        <v>44622</v>
      </c>
      <c r="H8065">
        <v>2022</v>
      </c>
      <c r="I8065" t="s">
        <v>45</v>
      </c>
    </row>
    <row r="8066" spans="1:9" x14ac:dyDescent="0.3">
      <c r="A8066" t="s">
        <v>17</v>
      </c>
      <c r="B8066">
        <v>54000</v>
      </c>
      <c r="G8066">
        <v>44622</v>
      </c>
      <c r="H8066">
        <v>2022</v>
      </c>
      <c r="I8066" t="s">
        <v>45</v>
      </c>
    </row>
    <row r="8067" spans="1:9" x14ac:dyDescent="0.3">
      <c r="A8067" t="s">
        <v>0</v>
      </c>
      <c r="B8067">
        <v>864000</v>
      </c>
      <c r="D8067">
        <v>90000</v>
      </c>
      <c r="F8067">
        <v>423000</v>
      </c>
      <c r="G8067">
        <v>44622</v>
      </c>
      <c r="H8067">
        <v>2022</v>
      </c>
      <c r="I8067" t="s">
        <v>45</v>
      </c>
    </row>
    <row r="8068" spans="1:9" x14ac:dyDescent="0.3">
      <c r="A8068" t="s">
        <v>25</v>
      </c>
      <c r="B8068">
        <v>378000</v>
      </c>
      <c r="D8068">
        <v>324000</v>
      </c>
      <c r="G8068">
        <v>44622</v>
      </c>
      <c r="H8068">
        <v>2022</v>
      </c>
      <c r="I8068" t="s">
        <v>45</v>
      </c>
    </row>
    <row r="8069" spans="1:9" x14ac:dyDescent="0.3">
      <c r="A8069" t="s">
        <v>15</v>
      </c>
      <c r="B8069">
        <v>54000</v>
      </c>
      <c r="C8069">
        <v>486000</v>
      </c>
      <c r="G8069">
        <v>44622</v>
      </c>
      <c r="H8069">
        <v>2022</v>
      </c>
      <c r="I8069" t="s">
        <v>45</v>
      </c>
    </row>
    <row r="8070" spans="1:9" x14ac:dyDescent="0.3">
      <c r="A8070" t="s">
        <v>54</v>
      </c>
      <c r="B8070">
        <v>54000</v>
      </c>
      <c r="C8070">
        <v>1120500</v>
      </c>
      <c r="G8070">
        <v>44622</v>
      </c>
      <c r="H8070">
        <v>2022</v>
      </c>
      <c r="I8070" t="s">
        <v>45</v>
      </c>
    </row>
    <row r="8071" spans="1:9" x14ac:dyDescent="0.3">
      <c r="A8071" t="s">
        <v>26</v>
      </c>
      <c r="G8071">
        <v>44622</v>
      </c>
      <c r="H8071">
        <v>2022</v>
      </c>
      <c r="I8071" t="s">
        <v>45</v>
      </c>
    </row>
    <row r="8072" spans="1:9" x14ac:dyDescent="0.3">
      <c r="A8072" t="s">
        <v>22</v>
      </c>
      <c r="G8072">
        <v>44622</v>
      </c>
      <c r="H8072">
        <v>2022</v>
      </c>
      <c r="I8072" t="s">
        <v>45</v>
      </c>
    </row>
    <row r="8073" spans="1:9" x14ac:dyDescent="0.3">
      <c r="A8073" t="s">
        <v>61</v>
      </c>
      <c r="G8073">
        <v>44622</v>
      </c>
      <c r="H8073">
        <v>2022</v>
      </c>
      <c r="I8073" t="s">
        <v>45</v>
      </c>
    </row>
    <row r="8074" spans="1:9" x14ac:dyDescent="0.3">
      <c r="A8074" t="s">
        <v>19</v>
      </c>
      <c r="C8074">
        <v>378000</v>
      </c>
      <c r="G8074">
        <v>44622</v>
      </c>
      <c r="H8074">
        <v>2022</v>
      </c>
      <c r="I8074" t="s">
        <v>45</v>
      </c>
    </row>
    <row r="8075" spans="1:9" x14ac:dyDescent="0.3">
      <c r="A8075" t="s">
        <v>14</v>
      </c>
      <c r="C8075">
        <v>54000</v>
      </c>
      <c r="G8075">
        <v>44622</v>
      </c>
      <c r="H8075">
        <v>2022</v>
      </c>
      <c r="I8075" t="s">
        <v>45</v>
      </c>
    </row>
    <row r="8076" spans="1:9" x14ac:dyDescent="0.3">
      <c r="A8076" t="s">
        <v>24</v>
      </c>
      <c r="G8076">
        <v>44622</v>
      </c>
      <c r="H8076">
        <v>2022</v>
      </c>
      <c r="I8076" t="s">
        <v>45</v>
      </c>
    </row>
    <row r="8077" spans="1:9" x14ac:dyDescent="0.3">
      <c r="A8077" t="s">
        <v>21</v>
      </c>
      <c r="G8077">
        <v>44622</v>
      </c>
      <c r="H8077">
        <v>2022</v>
      </c>
      <c r="I8077" t="s">
        <v>45</v>
      </c>
    </row>
    <row r="8078" spans="1:9" x14ac:dyDescent="0.3">
      <c r="A8078" t="s">
        <v>65</v>
      </c>
      <c r="G8078">
        <v>44622</v>
      </c>
      <c r="H8078">
        <v>2022</v>
      </c>
      <c r="I8078" t="s">
        <v>45</v>
      </c>
    </row>
    <row r="8079" spans="1:9" x14ac:dyDescent="0.3">
      <c r="A8079" t="s">
        <v>18</v>
      </c>
      <c r="G8079">
        <v>44622</v>
      </c>
      <c r="H8079">
        <v>2022</v>
      </c>
      <c r="I8079" t="s">
        <v>45</v>
      </c>
    </row>
    <row r="8080" spans="1:9" x14ac:dyDescent="0.3">
      <c r="A8080" t="s">
        <v>16</v>
      </c>
      <c r="G8080">
        <v>44622</v>
      </c>
      <c r="H8080">
        <v>2022</v>
      </c>
      <c r="I8080" t="s">
        <v>45</v>
      </c>
    </row>
    <row r="8081" spans="1:9" x14ac:dyDescent="0.3">
      <c r="A8081" t="s">
        <v>20</v>
      </c>
      <c r="G8081">
        <v>44623</v>
      </c>
      <c r="H8081">
        <v>2022</v>
      </c>
      <c r="I8081" t="s">
        <v>45</v>
      </c>
    </row>
    <row r="8082" spans="1:9" x14ac:dyDescent="0.3">
      <c r="A8082" t="s">
        <v>37</v>
      </c>
      <c r="G8082">
        <v>44623</v>
      </c>
      <c r="H8082">
        <v>2022</v>
      </c>
      <c r="I8082" t="s">
        <v>45</v>
      </c>
    </row>
    <row r="8083" spans="1:9" x14ac:dyDescent="0.3">
      <c r="A8083" t="s">
        <v>17</v>
      </c>
      <c r="G8083">
        <v>44623</v>
      </c>
      <c r="H8083">
        <v>2022</v>
      </c>
      <c r="I8083" t="s">
        <v>45</v>
      </c>
    </row>
    <row r="8084" spans="1:9" x14ac:dyDescent="0.3">
      <c r="A8084" t="s">
        <v>0</v>
      </c>
      <c r="B8084">
        <v>157500</v>
      </c>
      <c r="F8084">
        <v>594000</v>
      </c>
      <c r="G8084">
        <v>44623</v>
      </c>
      <c r="H8084">
        <v>2022</v>
      </c>
      <c r="I8084" t="s">
        <v>45</v>
      </c>
    </row>
    <row r="8085" spans="1:9" x14ac:dyDescent="0.3">
      <c r="A8085" t="s">
        <v>25</v>
      </c>
      <c r="B8085">
        <v>270000</v>
      </c>
      <c r="G8085">
        <v>44623</v>
      </c>
      <c r="H8085">
        <v>2022</v>
      </c>
      <c r="I8085" t="s">
        <v>45</v>
      </c>
    </row>
    <row r="8086" spans="1:9" x14ac:dyDescent="0.3">
      <c r="A8086" t="s">
        <v>15</v>
      </c>
      <c r="B8086">
        <v>427500</v>
      </c>
      <c r="C8086">
        <v>589500</v>
      </c>
      <c r="G8086">
        <v>44623</v>
      </c>
      <c r="H8086">
        <v>2022</v>
      </c>
      <c r="I8086" t="s">
        <v>45</v>
      </c>
    </row>
    <row r="8087" spans="1:9" x14ac:dyDescent="0.3">
      <c r="A8087" t="s">
        <v>54</v>
      </c>
      <c r="B8087">
        <v>270000</v>
      </c>
      <c r="C8087">
        <v>796500</v>
      </c>
      <c r="G8087">
        <v>44623</v>
      </c>
      <c r="H8087">
        <v>2022</v>
      </c>
      <c r="I8087" t="s">
        <v>45</v>
      </c>
    </row>
    <row r="8088" spans="1:9" x14ac:dyDescent="0.3">
      <c r="A8088" t="s">
        <v>26</v>
      </c>
      <c r="C8088">
        <v>108000</v>
      </c>
      <c r="G8088">
        <v>44623</v>
      </c>
      <c r="H8088">
        <v>2022</v>
      </c>
      <c r="I8088" t="s">
        <v>45</v>
      </c>
    </row>
    <row r="8089" spans="1:9" x14ac:dyDescent="0.3">
      <c r="A8089" t="s">
        <v>22</v>
      </c>
      <c r="G8089">
        <v>44623</v>
      </c>
      <c r="H8089">
        <v>2022</v>
      </c>
      <c r="I8089" t="s">
        <v>45</v>
      </c>
    </row>
    <row r="8090" spans="1:9" x14ac:dyDescent="0.3">
      <c r="A8090" t="s">
        <v>61</v>
      </c>
      <c r="G8090">
        <v>44623</v>
      </c>
      <c r="H8090">
        <v>2022</v>
      </c>
      <c r="I8090" t="s">
        <v>45</v>
      </c>
    </row>
    <row r="8091" spans="1:9" x14ac:dyDescent="0.3">
      <c r="A8091" t="s">
        <v>19</v>
      </c>
      <c r="C8091">
        <v>162000</v>
      </c>
      <c r="G8091">
        <v>44623</v>
      </c>
      <c r="H8091">
        <v>2022</v>
      </c>
      <c r="I8091" t="s">
        <v>45</v>
      </c>
    </row>
    <row r="8092" spans="1:9" x14ac:dyDescent="0.3">
      <c r="A8092" t="s">
        <v>14</v>
      </c>
      <c r="B8092">
        <v>270000</v>
      </c>
      <c r="G8092">
        <v>44623</v>
      </c>
      <c r="H8092">
        <v>2022</v>
      </c>
      <c r="I8092" t="s">
        <v>45</v>
      </c>
    </row>
    <row r="8093" spans="1:9" x14ac:dyDescent="0.3">
      <c r="A8093" t="s">
        <v>24</v>
      </c>
      <c r="G8093">
        <v>44623</v>
      </c>
      <c r="H8093">
        <v>2022</v>
      </c>
      <c r="I8093" t="s">
        <v>45</v>
      </c>
    </row>
    <row r="8094" spans="1:9" x14ac:dyDescent="0.3">
      <c r="A8094" t="s">
        <v>21</v>
      </c>
      <c r="G8094">
        <v>44623</v>
      </c>
      <c r="H8094">
        <v>2022</v>
      </c>
      <c r="I8094" t="s">
        <v>45</v>
      </c>
    </row>
    <row r="8095" spans="1:9" x14ac:dyDescent="0.3">
      <c r="A8095" t="s">
        <v>65</v>
      </c>
      <c r="G8095">
        <v>44623</v>
      </c>
      <c r="H8095">
        <v>2022</v>
      </c>
      <c r="I8095" t="s">
        <v>45</v>
      </c>
    </row>
    <row r="8096" spans="1:9" x14ac:dyDescent="0.3">
      <c r="A8096" t="s">
        <v>18</v>
      </c>
      <c r="B8096">
        <v>378000</v>
      </c>
      <c r="D8096">
        <v>216000</v>
      </c>
      <c r="G8096">
        <v>44623</v>
      </c>
      <c r="H8096">
        <v>2022</v>
      </c>
      <c r="I8096" t="s">
        <v>45</v>
      </c>
    </row>
    <row r="8097" spans="1:9" x14ac:dyDescent="0.3">
      <c r="A8097" t="s">
        <v>16</v>
      </c>
      <c r="B8097">
        <v>45000</v>
      </c>
      <c r="G8097">
        <v>44623</v>
      </c>
      <c r="H8097">
        <v>2022</v>
      </c>
      <c r="I8097" t="s">
        <v>45</v>
      </c>
    </row>
    <row r="8098" spans="1:9" x14ac:dyDescent="0.3">
      <c r="A8098" t="s">
        <v>20</v>
      </c>
      <c r="G8098">
        <v>44624</v>
      </c>
      <c r="H8098">
        <v>2022</v>
      </c>
      <c r="I8098" t="s">
        <v>45</v>
      </c>
    </row>
    <row r="8099" spans="1:9" x14ac:dyDescent="0.3">
      <c r="A8099" t="s">
        <v>37</v>
      </c>
      <c r="B8099">
        <v>157000</v>
      </c>
      <c r="G8099">
        <v>44624</v>
      </c>
      <c r="H8099">
        <v>2022</v>
      </c>
      <c r="I8099" t="s">
        <v>45</v>
      </c>
    </row>
    <row r="8100" spans="1:9" x14ac:dyDescent="0.3">
      <c r="A8100" t="s">
        <v>17</v>
      </c>
      <c r="B8100">
        <v>90000</v>
      </c>
      <c r="G8100">
        <v>44624</v>
      </c>
      <c r="H8100">
        <v>2022</v>
      </c>
      <c r="I8100" t="s">
        <v>45</v>
      </c>
    </row>
    <row r="8101" spans="1:9" x14ac:dyDescent="0.3">
      <c r="A8101" t="s">
        <v>0</v>
      </c>
      <c r="B8101">
        <v>320000</v>
      </c>
      <c r="F8101">
        <v>311000</v>
      </c>
      <c r="G8101">
        <v>44624</v>
      </c>
      <c r="H8101">
        <v>2022</v>
      </c>
      <c r="I8101" t="s">
        <v>45</v>
      </c>
    </row>
    <row r="8102" spans="1:9" x14ac:dyDescent="0.3">
      <c r="A8102" t="s">
        <v>25</v>
      </c>
      <c r="C8102">
        <v>806000</v>
      </c>
      <c r="G8102">
        <v>44624</v>
      </c>
      <c r="H8102">
        <v>2022</v>
      </c>
      <c r="I8102" t="s">
        <v>45</v>
      </c>
    </row>
    <row r="8103" spans="1:9" x14ac:dyDescent="0.3">
      <c r="A8103" t="s">
        <v>15</v>
      </c>
      <c r="C8103">
        <v>104000</v>
      </c>
      <c r="G8103">
        <v>44624</v>
      </c>
      <c r="H8103">
        <v>2022</v>
      </c>
      <c r="I8103" t="s">
        <v>45</v>
      </c>
    </row>
    <row r="8104" spans="1:9" x14ac:dyDescent="0.3">
      <c r="A8104" t="s">
        <v>54</v>
      </c>
      <c r="B8104">
        <v>211500</v>
      </c>
      <c r="C8104">
        <v>693000</v>
      </c>
      <c r="G8104">
        <v>44624</v>
      </c>
      <c r="H8104">
        <v>2022</v>
      </c>
      <c r="I8104" t="s">
        <v>45</v>
      </c>
    </row>
    <row r="8105" spans="1:9" x14ac:dyDescent="0.3">
      <c r="A8105" t="s">
        <v>26</v>
      </c>
      <c r="G8105">
        <v>44624</v>
      </c>
      <c r="H8105">
        <v>2022</v>
      </c>
      <c r="I8105" t="s">
        <v>45</v>
      </c>
    </row>
    <row r="8106" spans="1:9" x14ac:dyDescent="0.3">
      <c r="A8106" t="s">
        <v>22</v>
      </c>
      <c r="G8106">
        <v>44624</v>
      </c>
      <c r="H8106">
        <v>2022</v>
      </c>
      <c r="I8106" t="s">
        <v>45</v>
      </c>
    </row>
    <row r="8107" spans="1:9" x14ac:dyDescent="0.3">
      <c r="A8107" t="s">
        <v>61</v>
      </c>
      <c r="G8107">
        <v>44624</v>
      </c>
      <c r="H8107">
        <v>2022</v>
      </c>
      <c r="I8107" t="s">
        <v>45</v>
      </c>
    </row>
    <row r="8108" spans="1:9" x14ac:dyDescent="0.3">
      <c r="A8108" t="s">
        <v>19</v>
      </c>
      <c r="G8108">
        <v>44624</v>
      </c>
      <c r="H8108">
        <v>2022</v>
      </c>
      <c r="I8108" t="s">
        <v>45</v>
      </c>
    </row>
    <row r="8109" spans="1:9" x14ac:dyDescent="0.3">
      <c r="A8109" t="s">
        <v>14</v>
      </c>
      <c r="B8109">
        <v>265500</v>
      </c>
      <c r="F8109">
        <v>108000</v>
      </c>
      <c r="G8109">
        <v>44624</v>
      </c>
      <c r="H8109">
        <v>2022</v>
      </c>
      <c r="I8109" t="s">
        <v>45</v>
      </c>
    </row>
    <row r="8110" spans="1:9" x14ac:dyDescent="0.3">
      <c r="A8110" t="s">
        <v>24</v>
      </c>
      <c r="G8110">
        <v>44624</v>
      </c>
      <c r="H8110">
        <v>2022</v>
      </c>
      <c r="I8110" t="s">
        <v>45</v>
      </c>
    </row>
    <row r="8111" spans="1:9" x14ac:dyDescent="0.3">
      <c r="A8111" t="s">
        <v>21</v>
      </c>
      <c r="G8111">
        <v>44624</v>
      </c>
      <c r="H8111">
        <v>2022</v>
      </c>
      <c r="I8111" t="s">
        <v>45</v>
      </c>
    </row>
    <row r="8112" spans="1:9" x14ac:dyDescent="0.3">
      <c r="A8112" t="s">
        <v>65</v>
      </c>
      <c r="G8112">
        <v>44624</v>
      </c>
      <c r="H8112">
        <v>2022</v>
      </c>
      <c r="I8112" t="s">
        <v>45</v>
      </c>
    </row>
    <row r="8113" spans="1:9" x14ac:dyDescent="0.3">
      <c r="A8113" t="s">
        <v>18</v>
      </c>
      <c r="B8113">
        <v>54000</v>
      </c>
      <c r="C8113">
        <v>45000</v>
      </c>
      <c r="G8113">
        <v>44624</v>
      </c>
      <c r="H8113">
        <v>2022</v>
      </c>
      <c r="I8113" t="s">
        <v>45</v>
      </c>
    </row>
    <row r="8114" spans="1:9" x14ac:dyDescent="0.3">
      <c r="A8114" t="s">
        <v>16</v>
      </c>
      <c r="B8114">
        <v>108000</v>
      </c>
      <c r="F8114">
        <v>162000</v>
      </c>
      <c r="G8114">
        <v>44624</v>
      </c>
      <c r="H8114">
        <v>2022</v>
      </c>
      <c r="I8114" t="s">
        <v>45</v>
      </c>
    </row>
    <row r="8115" spans="1:9" x14ac:dyDescent="0.3">
      <c r="A8115" t="s">
        <v>20</v>
      </c>
      <c r="G8115">
        <v>44628</v>
      </c>
      <c r="H8115">
        <v>2022</v>
      </c>
      <c r="I8115" t="s">
        <v>45</v>
      </c>
    </row>
    <row r="8116" spans="1:9" x14ac:dyDescent="0.3">
      <c r="A8116" t="s">
        <v>37</v>
      </c>
      <c r="B8116">
        <v>108000</v>
      </c>
      <c r="G8116">
        <v>44628</v>
      </c>
      <c r="H8116">
        <v>2022</v>
      </c>
      <c r="I8116" t="s">
        <v>45</v>
      </c>
    </row>
    <row r="8117" spans="1:9" x14ac:dyDescent="0.3">
      <c r="A8117" t="s">
        <v>17</v>
      </c>
      <c r="B8117">
        <v>90000</v>
      </c>
      <c r="G8117">
        <v>44628</v>
      </c>
      <c r="H8117">
        <v>2022</v>
      </c>
      <c r="I8117" t="s">
        <v>45</v>
      </c>
    </row>
    <row r="8118" spans="1:9" x14ac:dyDescent="0.3">
      <c r="A8118" t="s">
        <v>0</v>
      </c>
      <c r="B8118">
        <v>378000</v>
      </c>
      <c r="F8118">
        <v>54000</v>
      </c>
      <c r="G8118">
        <v>44628</v>
      </c>
      <c r="H8118">
        <v>2022</v>
      </c>
      <c r="I8118" t="s">
        <v>45</v>
      </c>
    </row>
    <row r="8119" spans="1:9" x14ac:dyDescent="0.3">
      <c r="A8119" t="s">
        <v>25</v>
      </c>
      <c r="C8119">
        <v>464500</v>
      </c>
      <c r="G8119">
        <v>44628</v>
      </c>
      <c r="H8119">
        <v>2022</v>
      </c>
      <c r="I8119" t="s">
        <v>45</v>
      </c>
    </row>
    <row r="8120" spans="1:9" x14ac:dyDescent="0.3">
      <c r="A8120" t="s">
        <v>15</v>
      </c>
      <c r="B8120">
        <v>108000</v>
      </c>
      <c r="C8120">
        <v>49500</v>
      </c>
      <c r="G8120">
        <v>44628</v>
      </c>
      <c r="H8120">
        <v>2022</v>
      </c>
      <c r="I8120" t="s">
        <v>45</v>
      </c>
    </row>
    <row r="8121" spans="1:9" x14ac:dyDescent="0.3">
      <c r="A8121" t="s">
        <v>54</v>
      </c>
      <c r="B8121">
        <v>162000</v>
      </c>
      <c r="C8121">
        <v>54000</v>
      </c>
      <c r="G8121">
        <v>44628</v>
      </c>
      <c r="H8121">
        <v>2022</v>
      </c>
      <c r="I8121" t="s">
        <v>45</v>
      </c>
    </row>
    <row r="8122" spans="1:9" x14ac:dyDescent="0.3">
      <c r="A8122" t="s">
        <v>26</v>
      </c>
      <c r="B8122">
        <v>50000</v>
      </c>
      <c r="G8122">
        <v>44628</v>
      </c>
      <c r="H8122">
        <v>2022</v>
      </c>
      <c r="I8122" t="s">
        <v>45</v>
      </c>
    </row>
    <row r="8123" spans="1:9" x14ac:dyDescent="0.3">
      <c r="A8123" t="s">
        <v>22</v>
      </c>
      <c r="G8123">
        <v>44628</v>
      </c>
      <c r="H8123">
        <v>2022</v>
      </c>
      <c r="I8123" t="s">
        <v>45</v>
      </c>
    </row>
    <row r="8124" spans="1:9" x14ac:dyDescent="0.3">
      <c r="A8124" t="s">
        <v>61</v>
      </c>
      <c r="G8124">
        <v>44628</v>
      </c>
      <c r="H8124">
        <v>2022</v>
      </c>
      <c r="I8124" t="s">
        <v>45</v>
      </c>
    </row>
    <row r="8125" spans="1:9" x14ac:dyDescent="0.3">
      <c r="A8125" t="s">
        <v>19</v>
      </c>
      <c r="C8125">
        <v>810000</v>
      </c>
      <c r="G8125">
        <v>44628</v>
      </c>
      <c r="H8125">
        <v>2022</v>
      </c>
      <c r="I8125" t="s">
        <v>45</v>
      </c>
    </row>
    <row r="8126" spans="1:9" x14ac:dyDescent="0.3">
      <c r="A8126" t="s">
        <v>14</v>
      </c>
      <c r="B8126">
        <v>216000</v>
      </c>
      <c r="F8126">
        <v>162000</v>
      </c>
      <c r="G8126">
        <v>44628</v>
      </c>
      <c r="H8126">
        <v>2022</v>
      </c>
      <c r="I8126" t="s">
        <v>45</v>
      </c>
    </row>
    <row r="8127" spans="1:9" x14ac:dyDescent="0.3">
      <c r="A8127" t="s">
        <v>24</v>
      </c>
      <c r="G8127">
        <v>44628</v>
      </c>
      <c r="H8127">
        <v>2022</v>
      </c>
      <c r="I8127" t="s">
        <v>45</v>
      </c>
    </row>
    <row r="8128" spans="1:9" x14ac:dyDescent="0.3">
      <c r="A8128" t="s">
        <v>21</v>
      </c>
      <c r="G8128">
        <v>44628</v>
      </c>
      <c r="H8128">
        <v>2022</v>
      </c>
      <c r="I8128" t="s">
        <v>45</v>
      </c>
    </row>
    <row r="8129" spans="1:9" x14ac:dyDescent="0.3">
      <c r="A8129" t="s">
        <v>65</v>
      </c>
      <c r="G8129">
        <v>44628</v>
      </c>
      <c r="H8129">
        <v>2022</v>
      </c>
      <c r="I8129" t="s">
        <v>45</v>
      </c>
    </row>
    <row r="8130" spans="1:9" x14ac:dyDescent="0.3">
      <c r="A8130" t="s">
        <v>18</v>
      </c>
      <c r="G8130">
        <v>44628</v>
      </c>
      <c r="H8130">
        <v>2022</v>
      </c>
      <c r="I8130" t="s">
        <v>45</v>
      </c>
    </row>
    <row r="8131" spans="1:9" x14ac:dyDescent="0.3">
      <c r="A8131" t="s">
        <v>16</v>
      </c>
      <c r="B8131">
        <v>324000</v>
      </c>
      <c r="F8131">
        <v>216000</v>
      </c>
      <c r="G8131">
        <v>44628</v>
      </c>
      <c r="H8131">
        <v>2022</v>
      </c>
      <c r="I8131" t="s">
        <v>45</v>
      </c>
    </row>
    <row r="8132" spans="1:9" x14ac:dyDescent="0.3">
      <c r="A8132" t="s">
        <v>20</v>
      </c>
      <c r="G8132">
        <v>44629</v>
      </c>
      <c r="H8132">
        <v>2022</v>
      </c>
      <c r="I8132" t="s">
        <v>45</v>
      </c>
    </row>
    <row r="8133" spans="1:9" x14ac:dyDescent="0.3">
      <c r="A8133" t="s">
        <v>37</v>
      </c>
      <c r="G8133">
        <v>44629</v>
      </c>
      <c r="H8133">
        <v>2022</v>
      </c>
      <c r="I8133" t="s">
        <v>45</v>
      </c>
    </row>
    <row r="8134" spans="1:9" x14ac:dyDescent="0.3">
      <c r="A8134" t="s">
        <v>17</v>
      </c>
      <c r="G8134">
        <v>44629</v>
      </c>
      <c r="H8134">
        <v>2022</v>
      </c>
      <c r="I8134" t="s">
        <v>45</v>
      </c>
    </row>
    <row r="8135" spans="1:9" x14ac:dyDescent="0.3">
      <c r="A8135" t="s">
        <v>0</v>
      </c>
      <c r="B8135">
        <v>540000</v>
      </c>
      <c r="G8135">
        <v>44629</v>
      </c>
      <c r="H8135">
        <v>2022</v>
      </c>
      <c r="I8135" t="s">
        <v>45</v>
      </c>
    </row>
    <row r="8136" spans="1:9" x14ac:dyDescent="0.3">
      <c r="A8136" t="s">
        <v>25</v>
      </c>
      <c r="B8136">
        <v>54000</v>
      </c>
      <c r="G8136">
        <v>44629</v>
      </c>
      <c r="H8136">
        <v>2022</v>
      </c>
      <c r="I8136" t="s">
        <v>45</v>
      </c>
    </row>
    <row r="8137" spans="1:9" x14ac:dyDescent="0.3">
      <c r="A8137" t="s">
        <v>15</v>
      </c>
      <c r="B8137">
        <v>216000</v>
      </c>
      <c r="G8137">
        <v>44629</v>
      </c>
      <c r="H8137">
        <v>2022</v>
      </c>
      <c r="I8137" t="s">
        <v>45</v>
      </c>
    </row>
    <row r="8138" spans="1:9" x14ac:dyDescent="0.3">
      <c r="A8138" t="s">
        <v>54</v>
      </c>
      <c r="B8138">
        <v>522000</v>
      </c>
      <c r="G8138">
        <v>44629</v>
      </c>
      <c r="H8138">
        <v>2022</v>
      </c>
      <c r="I8138" t="s">
        <v>45</v>
      </c>
    </row>
    <row r="8139" spans="1:9" x14ac:dyDescent="0.3">
      <c r="A8139" t="s">
        <v>26</v>
      </c>
      <c r="G8139">
        <v>44629</v>
      </c>
      <c r="H8139">
        <v>2022</v>
      </c>
      <c r="I8139" t="s">
        <v>45</v>
      </c>
    </row>
    <row r="8140" spans="1:9" x14ac:dyDescent="0.3">
      <c r="A8140" t="s">
        <v>22</v>
      </c>
      <c r="G8140">
        <v>44629</v>
      </c>
      <c r="H8140">
        <v>2022</v>
      </c>
      <c r="I8140" t="s">
        <v>45</v>
      </c>
    </row>
    <row r="8141" spans="1:9" x14ac:dyDescent="0.3">
      <c r="A8141" t="s">
        <v>61</v>
      </c>
      <c r="G8141">
        <v>44629</v>
      </c>
      <c r="H8141">
        <v>2022</v>
      </c>
      <c r="I8141" t="s">
        <v>45</v>
      </c>
    </row>
    <row r="8142" spans="1:9" x14ac:dyDescent="0.3">
      <c r="A8142" t="s">
        <v>19</v>
      </c>
      <c r="C8142">
        <v>216000</v>
      </c>
      <c r="G8142">
        <v>44629</v>
      </c>
      <c r="H8142">
        <v>2022</v>
      </c>
      <c r="I8142" t="s">
        <v>45</v>
      </c>
    </row>
    <row r="8143" spans="1:9" x14ac:dyDescent="0.3">
      <c r="A8143" t="s">
        <v>14</v>
      </c>
      <c r="B8143">
        <v>431500</v>
      </c>
      <c r="F8143">
        <v>810000</v>
      </c>
      <c r="G8143">
        <v>44629</v>
      </c>
      <c r="H8143">
        <v>2022</v>
      </c>
      <c r="I8143" t="s">
        <v>45</v>
      </c>
    </row>
    <row r="8144" spans="1:9" x14ac:dyDescent="0.3">
      <c r="A8144" t="s">
        <v>24</v>
      </c>
      <c r="G8144">
        <v>44629</v>
      </c>
      <c r="H8144">
        <v>2022</v>
      </c>
      <c r="I8144" t="s">
        <v>45</v>
      </c>
    </row>
    <row r="8145" spans="1:9" x14ac:dyDescent="0.3">
      <c r="A8145" t="s">
        <v>21</v>
      </c>
      <c r="G8145">
        <v>44629</v>
      </c>
      <c r="H8145">
        <v>2022</v>
      </c>
      <c r="I8145" t="s">
        <v>45</v>
      </c>
    </row>
    <row r="8146" spans="1:9" x14ac:dyDescent="0.3">
      <c r="A8146" t="s">
        <v>65</v>
      </c>
      <c r="G8146">
        <v>44629</v>
      </c>
      <c r="H8146">
        <v>2022</v>
      </c>
      <c r="I8146" t="s">
        <v>45</v>
      </c>
    </row>
    <row r="8147" spans="1:9" x14ac:dyDescent="0.3">
      <c r="A8147" t="s">
        <v>18</v>
      </c>
      <c r="G8147">
        <v>44629</v>
      </c>
      <c r="H8147">
        <v>2022</v>
      </c>
      <c r="I8147" t="s">
        <v>45</v>
      </c>
    </row>
    <row r="8148" spans="1:9" x14ac:dyDescent="0.3">
      <c r="A8148" t="s">
        <v>16</v>
      </c>
      <c r="B8148">
        <v>378000</v>
      </c>
      <c r="G8148">
        <v>44629</v>
      </c>
      <c r="H8148">
        <v>2022</v>
      </c>
      <c r="I8148" t="s">
        <v>45</v>
      </c>
    </row>
    <row r="8149" spans="1:9" x14ac:dyDescent="0.3">
      <c r="A8149" t="s">
        <v>20</v>
      </c>
      <c r="G8149">
        <v>44630</v>
      </c>
      <c r="H8149">
        <v>2022</v>
      </c>
      <c r="I8149" t="s">
        <v>45</v>
      </c>
    </row>
    <row r="8150" spans="1:9" x14ac:dyDescent="0.3">
      <c r="A8150" t="s">
        <v>37</v>
      </c>
      <c r="F8150">
        <v>432000</v>
      </c>
      <c r="G8150">
        <v>44630</v>
      </c>
      <c r="H8150">
        <v>2022</v>
      </c>
      <c r="I8150" t="s">
        <v>45</v>
      </c>
    </row>
    <row r="8151" spans="1:9" x14ac:dyDescent="0.3">
      <c r="A8151" t="s">
        <v>17</v>
      </c>
      <c r="G8151">
        <v>44630</v>
      </c>
      <c r="H8151">
        <v>2022</v>
      </c>
      <c r="I8151" t="s">
        <v>45</v>
      </c>
    </row>
    <row r="8152" spans="1:9" x14ac:dyDescent="0.3">
      <c r="A8152" t="s">
        <v>0</v>
      </c>
      <c r="B8152">
        <v>261000</v>
      </c>
      <c r="G8152">
        <v>44630</v>
      </c>
      <c r="H8152">
        <v>2022</v>
      </c>
      <c r="I8152" t="s">
        <v>45</v>
      </c>
    </row>
    <row r="8153" spans="1:9" x14ac:dyDescent="0.3">
      <c r="A8153" t="s">
        <v>25</v>
      </c>
      <c r="C8153">
        <v>972000</v>
      </c>
      <c r="G8153">
        <v>44630</v>
      </c>
      <c r="H8153">
        <v>2022</v>
      </c>
      <c r="I8153" t="s">
        <v>45</v>
      </c>
    </row>
    <row r="8154" spans="1:9" x14ac:dyDescent="0.3">
      <c r="A8154" t="s">
        <v>15</v>
      </c>
      <c r="B8154">
        <v>162000</v>
      </c>
      <c r="G8154">
        <v>44630</v>
      </c>
      <c r="H8154">
        <v>2022</v>
      </c>
      <c r="I8154" t="s">
        <v>45</v>
      </c>
    </row>
    <row r="8155" spans="1:9" x14ac:dyDescent="0.3">
      <c r="A8155" t="s">
        <v>54</v>
      </c>
      <c r="B8155">
        <v>216000</v>
      </c>
      <c r="G8155">
        <v>44630</v>
      </c>
      <c r="H8155">
        <v>2022</v>
      </c>
      <c r="I8155" t="s">
        <v>45</v>
      </c>
    </row>
    <row r="8156" spans="1:9" x14ac:dyDescent="0.3">
      <c r="A8156" t="s">
        <v>26</v>
      </c>
      <c r="G8156">
        <v>44630</v>
      </c>
      <c r="H8156">
        <v>2022</v>
      </c>
      <c r="I8156" t="s">
        <v>45</v>
      </c>
    </row>
    <row r="8157" spans="1:9" x14ac:dyDescent="0.3">
      <c r="A8157" t="s">
        <v>22</v>
      </c>
      <c r="G8157">
        <v>44630</v>
      </c>
      <c r="H8157">
        <v>2022</v>
      </c>
      <c r="I8157" t="s">
        <v>45</v>
      </c>
    </row>
    <row r="8158" spans="1:9" x14ac:dyDescent="0.3">
      <c r="A8158" t="s">
        <v>61</v>
      </c>
      <c r="G8158">
        <v>44630</v>
      </c>
      <c r="H8158">
        <v>2022</v>
      </c>
      <c r="I8158" t="s">
        <v>45</v>
      </c>
    </row>
    <row r="8159" spans="1:9" x14ac:dyDescent="0.3">
      <c r="A8159" t="s">
        <v>19</v>
      </c>
      <c r="C8159">
        <v>351000</v>
      </c>
      <c r="G8159">
        <v>44630</v>
      </c>
      <c r="H8159">
        <v>2022</v>
      </c>
      <c r="I8159" t="s">
        <v>45</v>
      </c>
    </row>
    <row r="8160" spans="1:9" x14ac:dyDescent="0.3">
      <c r="A8160" t="s">
        <v>14</v>
      </c>
      <c r="B8160">
        <v>216000</v>
      </c>
      <c r="F8160">
        <v>369000</v>
      </c>
      <c r="G8160">
        <v>44630</v>
      </c>
      <c r="H8160">
        <v>2022</v>
      </c>
      <c r="I8160" t="s">
        <v>45</v>
      </c>
    </row>
    <row r="8161" spans="1:9" x14ac:dyDescent="0.3">
      <c r="A8161" t="s">
        <v>24</v>
      </c>
      <c r="G8161">
        <v>44630</v>
      </c>
      <c r="H8161">
        <v>2022</v>
      </c>
      <c r="I8161" t="s">
        <v>45</v>
      </c>
    </row>
    <row r="8162" spans="1:9" x14ac:dyDescent="0.3">
      <c r="A8162" t="s">
        <v>21</v>
      </c>
      <c r="G8162">
        <v>44630</v>
      </c>
      <c r="H8162">
        <v>2022</v>
      </c>
      <c r="I8162" t="s">
        <v>45</v>
      </c>
    </row>
    <row r="8163" spans="1:9" x14ac:dyDescent="0.3">
      <c r="A8163" t="s">
        <v>65</v>
      </c>
      <c r="G8163">
        <v>44630</v>
      </c>
      <c r="H8163">
        <v>2022</v>
      </c>
      <c r="I8163" t="s">
        <v>45</v>
      </c>
    </row>
    <row r="8164" spans="1:9" x14ac:dyDescent="0.3">
      <c r="A8164" t="s">
        <v>18</v>
      </c>
      <c r="G8164">
        <v>44630</v>
      </c>
      <c r="H8164">
        <v>2022</v>
      </c>
      <c r="I8164" t="s">
        <v>45</v>
      </c>
    </row>
    <row r="8165" spans="1:9" x14ac:dyDescent="0.3">
      <c r="A8165" t="s">
        <v>16</v>
      </c>
      <c r="B8165">
        <v>214000</v>
      </c>
      <c r="G8165">
        <v>44630</v>
      </c>
      <c r="H8165">
        <v>2022</v>
      </c>
      <c r="I8165" t="s">
        <v>45</v>
      </c>
    </row>
    <row r="8166" spans="1:9" x14ac:dyDescent="0.3">
      <c r="A8166" t="s">
        <v>20</v>
      </c>
      <c r="G8166">
        <v>44631</v>
      </c>
      <c r="H8166">
        <v>2022</v>
      </c>
      <c r="I8166" t="s">
        <v>45</v>
      </c>
    </row>
    <row r="8167" spans="1:9" x14ac:dyDescent="0.3">
      <c r="A8167" t="s">
        <v>37</v>
      </c>
      <c r="B8167">
        <v>135000</v>
      </c>
      <c r="F8167">
        <v>162000</v>
      </c>
      <c r="G8167">
        <v>44631</v>
      </c>
      <c r="H8167">
        <v>2022</v>
      </c>
      <c r="I8167" t="s">
        <v>45</v>
      </c>
    </row>
    <row r="8168" spans="1:9" x14ac:dyDescent="0.3">
      <c r="A8168" t="s">
        <v>17</v>
      </c>
      <c r="G8168">
        <v>44631</v>
      </c>
      <c r="H8168">
        <v>2022</v>
      </c>
      <c r="I8168" t="s">
        <v>45</v>
      </c>
    </row>
    <row r="8169" spans="1:9" x14ac:dyDescent="0.3">
      <c r="A8169" t="s">
        <v>0</v>
      </c>
      <c r="B8169">
        <v>162000</v>
      </c>
      <c r="C8169">
        <v>972000</v>
      </c>
      <c r="E8169">
        <v>270000</v>
      </c>
      <c r="G8169">
        <v>44631</v>
      </c>
      <c r="H8169">
        <v>2022</v>
      </c>
      <c r="I8169" t="s">
        <v>45</v>
      </c>
    </row>
    <row r="8170" spans="1:9" x14ac:dyDescent="0.3">
      <c r="A8170" t="s">
        <v>25</v>
      </c>
      <c r="B8170">
        <v>594000</v>
      </c>
      <c r="G8170">
        <v>44631</v>
      </c>
      <c r="H8170">
        <v>2022</v>
      </c>
      <c r="I8170" t="s">
        <v>45</v>
      </c>
    </row>
    <row r="8171" spans="1:9" x14ac:dyDescent="0.3">
      <c r="A8171" t="s">
        <v>15</v>
      </c>
      <c r="G8171">
        <v>44631</v>
      </c>
      <c r="H8171">
        <v>2022</v>
      </c>
      <c r="I8171" t="s">
        <v>45</v>
      </c>
    </row>
    <row r="8172" spans="1:9" x14ac:dyDescent="0.3">
      <c r="A8172" t="s">
        <v>54</v>
      </c>
      <c r="B8172">
        <v>153000</v>
      </c>
      <c r="G8172">
        <v>44631</v>
      </c>
      <c r="H8172">
        <v>2022</v>
      </c>
      <c r="I8172" t="s">
        <v>45</v>
      </c>
    </row>
    <row r="8173" spans="1:9" x14ac:dyDescent="0.3">
      <c r="A8173" t="s">
        <v>26</v>
      </c>
      <c r="G8173">
        <v>44631</v>
      </c>
      <c r="H8173">
        <v>2022</v>
      </c>
      <c r="I8173" t="s">
        <v>45</v>
      </c>
    </row>
    <row r="8174" spans="1:9" x14ac:dyDescent="0.3">
      <c r="A8174" t="s">
        <v>22</v>
      </c>
      <c r="G8174">
        <v>44631</v>
      </c>
      <c r="H8174">
        <v>2022</v>
      </c>
      <c r="I8174" t="s">
        <v>45</v>
      </c>
    </row>
    <row r="8175" spans="1:9" x14ac:dyDescent="0.3">
      <c r="A8175" t="s">
        <v>61</v>
      </c>
      <c r="G8175">
        <v>44631</v>
      </c>
      <c r="H8175">
        <v>2022</v>
      </c>
      <c r="I8175" t="s">
        <v>45</v>
      </c>
    </row>
    <row r="8176" spans="1:9" x14ac:dyDescent="0.3">
      <c r="A8176" t="s">
        <v>19</v>
      </c>
      <c r="B8176">
        <v>270000</v>
      </c>
      <c r="C8176">
        <v>693000</v>
      </c>
      <c r="G8176">
        <v>44631</v>
      </c>
      <c r="H8176">
        <v>2022</v>
      </c>
      <c r="I8176" t="s">
        <v>45</v>
      </c>
    </row>
    <row r="8177" spans="1:9" x14ac:dyDescent="0.3">
      <c r="A8177" t="s">
        <v>14</v>
      </c>
      <c r="B8177">
        <v>216000</v>
      </c>
      <c r="F8177">
        <v>50000</v>
      </c>
      <c r="G8177">
        <v>44631</v>
      </c>
      <c r="H8177">
        <v>2022</v>
      </c>
      <c r="I8177" t="s">
        <v>45</v>
      </c>
    </row>
    <row r="8178" spans="1:9" x14ac:dyDescent="0.3">
      <c r="A8178" t="s">
        <v>24</v>
      </c>
      <c r="G8178">
        <v>44631</v>
      </c>
      <c r="H8178">
        <v>2022</v>
      </c>
      <c r="I8178" t="s">
        <v>45</v>
      </c>
    </row>
    <row r="8179" spans="1:9" x14ac:dyDescent="0.3">
      <c r="A8179" t="s">
        <v>21</v>
      </c>
      <c r="G8179">
        <v>44631</v>
      </c>
      <c r="H8179">
        <v>2022</v>
      </c>
      <c r="I8179" t="s">
        <v>45</v>
      </c>
    </row>
    <row r="8180" spans="1:9" x14ac:dyDescent="0.3">
      <c r="A8180" t="s">
        <v>65</v>
      </c>
      <c r="G8180">
        <v>44631</v>
      </c>
      <c r="H8180">
        <v>2022</v>
      </c>
      <c r="I8180" t="s">
        <v>45</v>
      </c>
    </row>
    <row r="8181" spans="1:9" x14ac:dyDescent="0.3">
      <c r="A8181" t="s">
        <v>18</v>
      </c>
      <c r="G8181">
        <v>44631</v>
      </c>
      <c r="H8181">
        <v>2022</v>
      </c>
      <c r="I8181" t="s">
        <v>45</v>
      </c>
    </row>
    <row r="8182" spans="1:9" x14ac:dyDescent="0.3">
      <c r="A8182" t="s">
        <v>16</v>
      </c>
      <c r="B8182">
        <v>54000</v>
      </c>
      <c r="G8182">
        <v>44631</v>
      </c>
      <c r="H8182">
        <v>2022</v>
      </c>
      <c r="I8182" t="s">
        <v>45</v>
      </c>
    </row>
    <row r="8183" spans="1:9" x14ac:dyDescent="0.3">
      <c r="A8183" t="s">
        <v>20</v>
      </c>
      <c r="G8183">
        <v>44634</v>
      </c>
      <c r="H8183">
        <v>2022</v>
      </c>
      <c r="I8183" t="s">
        <v>45</v>
      </c>
    </row>
    <row r="8184" spans="1:9" x14ac:dyDescent="0.3">
      <c r="A8184" t="s">
        <v>37</v>
      </c>
      <c r="B8184">
        <v>99000</v>
      </c>
      <c r="G8184">
        <v>44634</v>
      </c>
      <c r="H8184">
        <v>2022</v>
      </c>
      <c r="I8184" t="s">
        <v>45</v>
      </c>
    </row>
    <row r="8185" spans="1:9" x14ac:dyDescent="0.3">
      <c r="A8185" t="s">
        <v>17</v>
      </c>
      <c r="G8185">
        <v>44634</v>
      </c>
      <c r="H8185">
        <v>2022</v>
      </c>
      <c r="I8185" t="s">
        <v>45</v>
      </c>
    </row>
    <row r="8186" spans="1:9" x14ac:dyDescent="0.3">
      <c r="A8186" t="s">
        <v>0</v>
      </c>
      <c r="C8186">
        <v>1332500</v>
      </c>
      <c r="E8186">
        <v>648000</v>
      </c>
      <c r="G8186">
        <v>44634</v>
      </c>
      <c r="H8186">
        <v>2022</v>
      </c>
      <c r="I8186" t="s">
        <v>45</v>
      </c>
    </row>
    <row r="8187" spans="1:9" x14ac:dyDescent="0.3">
      <c r="A8187" t="s">
        <v>25</v>
      </c>
      <c r="C8187">
        <v>157500</v>
      </c>
      <c r="G8187">
        <v>44634</v>
      </c>
      <c r="H8187">
        <v>2022</v>
      </c>
      <c r="I8187" t="s">
        <v>45</v>
      </c>
    </row>
    <row r="8188" spans="1:9" x14ac:dyDescent="0.3">
      <c r="A8188" t="s">
        <v>15</v>
      </c>
      <c r="B8188">
        <v>693000</v>
      </c>
      <c r="G8188">
        <v>44634</v>
      </c>
      <c r="H8188">
        <v>2022</v>
      </c>
      <c r="I8188" t="s">
        <v>45</v>
      </c>
    </row>
    <row r="8189" spans="1:9" x14ac:dyDescent="0.3">
      <c r="A8189" t="s">
        <v>54</v>
      </c>
      <c r="B8189">
        <v>554000</v>
      </c>
      <c r="G8189">
        <v>44634</v>
      </c>
      <c r="H8189">
        <v>2022</v>
      </c>
      <c r="I8189" t="s">
        <v>45</v>
      </c>
    </row>
    <row r="8190" spans="1:9" x14ac:dyDescent="0.3">
      <c r="A8190" t="s">
        <v>26</v>
      </c>
      <c r="G8190">
        <v>44634</v>
      </c>
      <c r="H8190">
        <v>2022</v>
      </c>
      <c r="I8190" t="s">
        <v>45</v>
      </c>
    </row>
    <row r="8191" spans="1:9" x14ac:dyDescent="0.3">
      <c r="A8191" t="s">
        <v>22</v>
      </c>
      <c r="G8191">
        <v>44634</v>
      </c>
      <c r="H8191">
        <v>2022</v>
      </c>
      <c r="I8191" t="s">
        <v>45</v>
      </c>
    </row>
    <row r="8192" spans="1:9" x14ac:dyDescent="0.3">
      <c r="A8192" t="s">
        <v>61</v>
      </c>
      <c r="G8192">
        <v>44634</v>
      </c>
      <c r="H8192">
        <v>2022</v>
      </c>
      <c r="I8192" t="s">
        <v>45</v>
      </c>
    </row>
    <row r="8193" spans="1:9" x14ac:dyDescent="0.3">
      <c r="A8193" t="s">
        <v>19</v>
      </c>
      <c r="G8193">
        <v>44634</v>
      </c>
      <c r="H8193">
        <v>2022</v>
      </c>
      <c r="I8193" t="s">
        <v>45</v>
      </c>
    </row>
    <row r="8194" spans="1:9" x14ac:dyDescent="0.3">
      <c r="A8194" t="s">
        <v>14</v>
      </c>
      <c r="B8194">
        <v>855500</v>
      </c>
      <c r="G8194">
        <v>44634</v>
      </c>
      <c r="H8194">
        <v>2022</v>
      </c>
      <c r="I8194" t="s">
        <v>45</v>
      </c>
    </row>
    <row r="8195" spans="1:9" x14ac:dyDescent="0.3">
      <c r="A8195" t="s">
        <v>24</v>
      </c>
      <c r="G8195">
        <v>44634</v>
      </c>
      <c r="H8195">
        <v>2022</v>
      </c>
      <c r="I8195" t="s">
        <v>45</v>
      </c>
    </row>
    <row r="8196" spans="1:9" x14ac:dyDescent="0.3">
      <c r="A8196" t="s">
        <v>21</v>
      </c>
      <c r="G8196">
        <v>44634</v>
      </c>
      <c r="H8196">
        <v>2022</v>
      </c>
      <c r="I8196" t="s">
        <v>45</v>
      </c>
    </row>
    <row r="8197" spans="1:9" x14ac:dyDescent="0.3">
      <c r="A8197" t="s">
        <v>65</v>
      </c>
      <c r="G8197">
        <v>44634</v>
      </c>
      <c r="H8197">
        <v>2022</v>
      </c>
      <c r="I8197" t="s">
        <v>45</v>
      </c>
    </row>
    <row r="8198" spans="1:9" x14ac:dyDescent="0.3">
      <c r="A8198" t="s">
        <v>18</v>
      </c>
      <c r="G8198">
        <v>44634</v>
      </c>
      <c r="H8198">
        <v>2022</v>
      </c>
      <c r="I8198" t="s">
        <v>45</v>
      </c>
    </row>
    <row r="8199" spans="1:9" x14ac:dyDescent="0.3">
      <c r="A8199" t="s">
        <v>16</v>
      </c>
      <c r="G8199">
        <v>44634</v>
      </c>
      <c r="H8199">
        <v>2022</v>
      </c>
      <c r="I8199" t="s">
        <v>45</v>
      </c>
    </row>
    <row r="8200" spans="1:9" x14ac:dyDescent="0.3">
      <c r="A8200" t="s">
        <v>20</v>
      </c>
      <c r="G8200">
        <v>44635</v>
      </c>
      <c r="H8200">
        <v>2022</v>
      </c>
      <c r="I8200" t="s">
        <v>45</v>
      </c>
    </row>
    <row r="8201" spans="1:9" x14ac:dyDescent="0.3">
      <c r="A8201" t="s">
        <v>37</v>
      </c>
      <c r="G8201">
        <v>44635</v>
      </c>
      <c r="H8201">
        <v>2022</v>
      </c>
      <c r="I8201" t="s">
        <v>45</v>
      </c>
    </row>
    <row r="8202" spans="1:9" x14ac:dyDescent="0.3">
      <c r="A8202" t="s">
        <v>17</v>
      </c>
      <c r="G8202">
        <v>44635</v>
      </c>
      <c r="H8202">
        <v>2022</v>
      </c>
      <c r="I8202" t="s">
        <v>45</v>
      </c>
    </row>
    <row r="8203" spans="1:9" x14ac:dyDescent="0.3">
      <c r="A8203" t="s">
        <v>0</v>
      </c>
      <c r="B8203">
        <v>54000</v>
      </c>
      <c r="C8203">
        <v>1008000</v>
      </c>
      <c r="E8203">
        <v>972000</v>
      </c>
      <c r="G8203">
        <v>44635</v>
      </c>
      <c r="H8203">
        <v>2022</v>
      </c>
      <c r="I8203" t="s">
        <v>45</v>
      </c>
    </row>
    <row r="8204" spans="1:9" x14ac:dyDescent="0.3">
      <c r="A8204" t="s">
        <v>25</v>
      </c>
      <c r="C8204">
        <v>378000</v>
      </c>
      <c r="G8204">
        <v>44635</v>
      </c>
      <c r="H8204">
        <v>2022</v>
      </c>
      <c r="I8204" t="s">
        <v>45</v>
      </c>
    </row>
    <row r="8205" spans="1:9" x14ac:dyDescent="0.3">
      <c r="A8205" t="s">
        <v>15</v>
      </c>
      <c r="B8205">
        <v>54000</v>
      </c>
      <c r="C8205">
        <v>50000</v>
      </c>
      <c r="G8205">
        <v>44635</v>
      </c>
      <c r="H8205">
        <v>2022</v>
      </c>
      <c r="I8205" t="s">
        <v>45</v>
      </c>
    </row>
    <row r="8206" spans="1:9" x14ac:dyDescent="0.3">
      <c r="A8206" t="s">
        <v>54</v>
      </c>
      <c r="B8206">
        <v>751500</v>
      </c>
      <c r="C8206">
        <v>53500</v>
      </c>
      <c r="G8206">
        <v>44635</v>
      </c>
      <c r="H8206">
        <v>2022</v>
      </c>
      <c r="I8206" t="s">
        <v>45</v>
      </c>
    </row>
    <row r="8207" spans="1:9" x14ac:dyDescent="0.3">
      <c r="A8207" t="s">
        <v>26</v>
      </c>
      <c r="G8207">
        <v>44635</v>
      </c>
      <c r="H8207">
        <v>2022</v>
      </c>
      <c r="I8207" t="s">
        <v>45</v>
      </c>
    </row>
    <row r="8208" spans="1:9" x14ac:dyDescent="0.3">
      <c r="A8208" t="s">
        <v>22</v>
      </c>
      <c r="G8208">
        <v>44635</v>
      </c>
      <c r="H8208">
        <v>2022</v>
      </c>
      <c r="I8208" t="s">
        <v>45</v>
      </c>
    </row>
    <row r="8209" spans="1:9" x14ac:dyDescent="0.3">
      <c r="A8209" t="s">
        <v>61</v>
      </c>
      <c r="G8209">
        <v>44635</v>
      </c>
      <c r="H8209">
        <v>2022</v>
      </c>
      <c r="I8209" t="s">
        <v>45</v>
      </c>
    </row>
    <row r="8210" spans="1:9" x14ac:dyDescent="0.3">
      <c r="A8210" t="s">
        <v>19</v>
      </c>
      <c r="G8210">
        <v>44635</v>
      </c>
      <c r="H8210">
        <v>2022</v>
      </c>
      <c r="I8210" t="s">
        <v>45</v>
      </c>
    </row>
    <row r="8211" spans="1:9" x14ac:dyDescent="0.3">
      <c r="A8211" t="s">
        <v>14</v>
      </c>
      <c r="B8211">
        <v>1134000</v>
      </c>
      <c r="G8211">
        <v>44635</v>
      </c>
      <c r="H8211">
        <v>2022</v>
      </c>
      <c r="I8211" t="s">
        <v>45</v>
      </c>
    </row>
    <row r="8212" spans="1:9" x14ac:dyDescent="0.3">
      <c r="A8212" t="s">
        <v>24</v>
      </c>
      <c r="G8212">
        <v>44635</v>
      </c>
      <c r="H8212">
        <v>2022</v>
      </c>
      <c r="I8212" t="s">
        <v>45</v>
      </c>
    </row>
    <row r="8213" spans="1:9" x14ac:dyDescent="0.3">
      <c r="A8213" t="s">
        <v>21</v>
      </c>
      <c r="G8213">
        <v>44635</v>
      </c>
      <c r="H8213">
        <v>2022</v>
      </c>
      <c r="I8213" t="s">
        <v>45</v>
      </c>
    </row>
    <row r="8214" spans="1:9" x14ac:dyDescent="0.3">
      <c r="A8214" t="s">
        <v>65</v>
      </c>
      <c r="G8214">
        <v>44635</v>
      </c>
      <c r="H8214">
        <v>2022</v>
      </c>
      <c r="I8214" t="s">
        <v>45</v>
      </c>
    </row>
    <row r="8215" spans="1:9" x14ac:dyDescent="0.3">
      <c r="A8215" t="s">
        <v>18</v>
      </c>
      <c r="C8215">
        <v>49000</v>
      </c>
      <c r="G8215">
        <v>44635</v>
      </c>
      <c r="H8215">
        <v>2022</v>
      </c>
      <c r="I8215" t="s">
        <v>45</v>
      </c>
    </row>
    <row r="8216" spans="1:9" x14ac:dyDescent="0.3">
      <c r="A8216" t="s">
        <v>16</v>
      </c>
      <c r="G8216">
        <v>44635</v>
      </c>
      <c r="H8216">
        <v>2022</v>
      </c>
      <c r="I8216" t="s">
        <v>45</v>
      </c>
    </row>
    <row r="8217" spans="1:9" x14ac:dyDescent="0.3">
      <c r="A8217" t="s">
        <v>20</v>
      </c>
      <c r="G8217">
        <v>44636</v>
      </c>
      <c r="H8217">
        <v>2022</v>
      </c>
      <c r="I8217" t="s">
        <v>45</v>
      </c>
    </row>
    <row r="8218" spans="1:9" x14ac:dyDescent="0.3">
      <c r="A8218" t="s">
        <v>37</v>
      </c>
      <c r="G8218">
        <v>44636</v>
      </c>
      <c r="H8218">
        <v>2022</v>
      </c>
      <c r="I8218" t="s">
        <v>45</v>
      </c>
    </row>
    <row r="8219" spans="1:9" x14ac:dyDescent="0.3">
      <c r="A8219" t="s">
        <v>17</v>
      </c>
      <c r="G8219">
        <v>44636</v>
      </c>
      <c r="H8219">
        <v>2022</v>
      </c>
      <c r="I8219" t="s">
        <v>45</v>
      </c>
    </row>
    <row r="8220" spans="1:9" x14ac:dyDescent="0.3">
      <c r="A8220" t="s">
        <v>0</v>
      </c>
      <c r="B8220">
        <v>54000</v>
      </c>
      <c r="C8220">
        <v>540000</v>
      </c>
      <c r="E8220">
        <v>432000</v>
      </c>
      <c r="G8220">
        <v>44636</v>
      </c>
      <c r="H8220">
        <v>2022</v>
      </c>
      <c r="I8220" t="s">
        <v>45</v>
      </c>
    </row>
    <row r="8221" spans="1:9" x14ac:dyDescent="0.3">
      <c r="A8221" t="s">
        <v>25</v>
      </c>
      <c r="B8221">
        <v>50000</v>
      </c>
      <c r="C8221">
        <v>536000</v>
      </c>
      <c r="G8221">
        <v>44636</v>
      </c>
      <c r="H8221">
        <v>2022</v>
      </c>
      <c r="I8221" t="s">
        <v>45</v>
      </c>
    </row>
    <row r="8222" spans="1:9" x14ac:dyDescent="0.3">
      <c r="A8222" t="s">
        <v>15</v>
      </c>
      <c r="C8222">
        <v>99000</v>
      </c>
      <c r="G8222">
        <v>44636</v>
      </c>
      <c r="H8222">
        <v>2022</v>
      </c>
      <c r="I8222" t="s">
        <v>45</v>
      </c>
    </row>
    <row r="8223" spans="1:9" x14ac:dyDescent="0.3">
      <c r="A8223" t="s">
        <v>54</v>
      </c>
      <c r="G8223">
        <v>44636</v>
      </c>
      <c r="H8223">
        <v>2022</v>
      </c>
      <c r="I8223" t="s">
        <v>45</v>
      </c>
    </row>
    <row r="8224" spans="1:9" x14ac:dyDescent="0.3">
      <c r="A8224" t="s">
        <v>26</v>
      </c>
      <c r="B8224">
        <v>49500</v>
      </c>
      <c r="G8224">
        <v>44636</v>
      </c>
      <c r="H8224">
        <v>2022</v>
      </c>
      <c r="I8224" t="s">
        <v>45</v>
      </c>
    </row>
    <row r="8225" spans="1:9" x14ac:dyDescent="0.3">
      <c r="A8225" t="s">
        <v>22</v>
      </c>
      <c r="G8225">
        <v>44636</v>
      </c>
      <c r="H8225">
        <v>2022</v>
      </c>
      <c r="I8225" t="s">
        <v>45</v>
      </c>
    </row>
    <row r="8226" spans="1:9" x14ac:dyDescent="0.3">
      <c r="A8226" t="s">
        <v>61</v>
      </c>
      <c r="G8226">
        <v>44636</v>
      </c>
      <c r="H8226">
        <v>2022</v>
      </c>
      <c r="I8226" t="s">
        <v>45</v>
      </c>
    </row>
    <row r="8227" spans="1:9" x14ac:dyDescent="0.3">
      <c r="A8227" t="s">
        <v>19</v>
      </c>
      <c r="B8227">
        <v>1026000</v>
      </c>
      <c r="F8227">
        <v>270000</v>
      </c>
      <c r="G8227">
        <v>44636</v>
      </c>
      <c r="H8227">
        <v>2022</v>
      </c>
      <c r="I8227" t="s">
        <v>45</v>
      </c>
    </row>
    <row r="8228" spans="1:9" x14ac:dyDescent="0.3">
      <c r="A8228" t="s">
        <v>14</v>
      </c>
      <c r="B8228">
        <v>569500</v>
      </c>
      <c r="G8228">
        <v>44636</v>
      </c>
      <c r="H8228">
        <v>2022</v>
      </c>
      <c r="I8228" t="s">
        <v>45</v>
      </c>
    </row>
    <row r="8229" spans="1:9" x14ac:dyDescent="0.3">
      <c r="A8229" t="s">
        <v>24</v>
      </c>
      <c r="G8229">
        <v>44636</v>
      </c>
      <c r="H8229">
        <v>2022</v>
      </c>
      <c r="I8229" t="s">
        <v>45</v>
      </c>
    </row>
    <row r="8230" spans="1:9" x14ac:dyDescent="0.3">
      <c r="A8230" t="s">
        <v>21</v>
      </c>
      <c r="G8230">
        <v>44636</v>
      </c>
      <c r="H8230">
        <v>2022</v>
      </c>
      <c r="I8230" t="s">
        <v>45</v>
      </c>
    </row>
    <row r="8231" spans="1:9" x14ac:dyDescent="0.3">
      <c r="A8231" t="s">
        <v>65</v>
      </c>
      <c r="G8231">
        <v>44636</v>
      </c>
      <c r="H8231">
        <v>2022</v>
      </c>
      <c r="I8231" t="s">
        <v>45</v>
      </c>
    </row>
    <row r="8232" spans="1:9" x14ac:dyDescent="0.3">
      <c r="A8232" t="s">
        <v>18</v>
      </c>
      <c r="G8232">
        <v>44636</v>
      </c>
      <c r="H8232">
        <v>2022</v>
      </c>
      <c r="I8232" t="s">
        <v>45</v>
      </c>
    </row>
    <row r="8233" spans="1:9" x14ac:dyDescent="0.3">
      <c r="A8233" t="s">
        <v>16</v>
      </c>
      <c r="G8233">
        <v>44636</v>
      </c>
      <c r="H8233">
        <v>2022</v>
      </c>
      <c r="I8233" t="s">
        <v>45</v>
      </c>
    </row>
    <row r="8234" spans="1:9" x14ac:dyDescent="0.3">
      <c r="A8234" t="s">
        <v>20</v>
      </c>
      <c r="G8234">
        <v>44637</v>
      </c>
      <c r="H8234">
        <v>2022</v>
      </c>
      <c r="I8234" t="s">
        <v>45</v>
      </c>
    </row>
    <row r="8235" spans="1:9" x14ac:dyDescent="0.3">
      <c r="A8235" t="s">
        <v>37</v>
      </c>
      <c r="G8235">
        <v>44637</v>
      </c>
      <c r="H8235">
        <v>2022</v>
      </c>
      <c r="I8235" t="s">
        <v>45</v>
      </c>
    </row>
    <row r="8236" spans="1:9" x14ac:dyDescent="0.3">
      <c r="A8236" t="s">
        <v>17</v>
      </c>
      <c r="B8236">
        <v>108000</v>
      </c>
      <c r="G8236">
        <v>44637</v>
      </c>
      <c r="H8236">
        <v>2022</v>
      </c>
      <c r="I8236" t="s">
        <v>45</v>
      </c>
    </row>
    <row r="8237" spans="1:9" x14ac:dyDescent="0.3">
      <c r="A8237" t="s">
        <v>0</v>
      </c>
      <c r="B8237">
        <v>54000</v>
      </c>
      <c r="C8237">
        <v>265500</v>
      </c>
      <c r="G8237">
        <v>44637</v>
      </c>
      <c r="H8237">
        <v>2022</v>
      </c>
      <c r="I8237" t="s">
        <v>45</v>
      </c>
    </row>
    <row r="8238" spans="1:9" x14ac:dyDescent="0.3">
      <c r="A8238" t="s">
        <v>25</v>
      </c>
      <c r="C8238">
        <v>270000</v>
      </c>
      <c r="G8238">
        <v>44637</v>
      </c>
      <c r="H8238">
        <v>2022</v>
      </c>
      <c r="I8238" t="s">
        <v>45</v>
      </c>
    </row>
    <row r="8239" spans="1:9" x14ac:dyDescent="0.3">
      <c r="A8239" t="s">
        <v>15</v>
      </c>
      <c r="G8239">
        <v>44637</v>
      </c>
      <c r="H8239">
        <v>2022</v>
      </c>
      <c r="I8239" t="s">
        <v>45</v>
      </c>
    </row>
    <row r="8240" spans="1:9" x14ac:dyDescent="0.3">
      <c r="A8240" t="s">
        <v>54</v>
      </c>
      <c r="G8240">
        <v>44637</v>
      </c>
      <c r="H8240">
        <v>2022</v>
      </c>
      <c r="I8240" t="s">
        <v>45</v>
      </c>
    </row>
    <row r="8241" spans="1:9" x14ac:dyDescent="0.3">
      <c r="A8241" t="s">
        <v>26</v>
      </c>
      <c r="G8241">
        <v>44637</v>
      </c>
      <c r="H8241">
        <v>2022</v>
      </c>
      <c r="I8241" t="s">
        <v>45</v>
      </c>
    </row>
    <row r="8242" spans="1:9" x14ac:dyDescent="0.3">
      <c r="A8242" t="s">
        <v>22</v>
      </c>
      <c r="G8242">
        <v>44637</v>
      </c>
      <c r="H8242">
        <v>2022</v>
      </c>
      <c r="I8242" t="s">
        <v>45</v>
      </c>
    </row>
    <row r="8243" spans="1:9" x14ac:dyDescent="0.3">
      <c r="A8243" t="s">
        <v>61</v>
      </c>
      <c r="G8243">
        <v>44637</v>
      </c>
      <c r="H8243">
        <v>2022</v>
      </c>
      <c r="I8243" t="s">
        <v>45</v>
      </c>
    </row>
    <row r="8244" spans="1:9" x14ac:dyDescent="0.3">
      <c r="A8244" t="s">
        <v>19</v>
      </c>
      <c r="B8244">
        <v>1134000</v>
      </c>
      <c r="F8244">
        <v>536000</v>
      </c>
      <c r="G8244">
        <v>44637</v>
      </c>
      <c r="H8244">
        <v>2022</v>
      </c>
      <c r="I8244" t="s">
        <v>45</v>
      </c>
    </row>
    <row r="8245" spans="1:9" x14ac:dyDescent="0.3">
      <c r="A8245" t="s">
        <v>14</v>
      </c>
      <c r="G8245">
        <v>44637</v>
      </c>
      <c r="H8245">
        <v>2022</v>
      </c>
      <c r="I8245" t="s">
        <v>45</v>
      </c>
    </row>
    <row r="8246" spans="1:9" x14ac:dyDescent="0.3">
      <c r="A8246" t="s">
        <v>24</v>
      </c>
      <c r="G8246">
        <v>44637</v>
      </c>
      <c r="H8246">
        <v>2022</v>
      </c>
      <c r="I8246" t="s">
        <v>45</v>
      </c>
    </row>
    <row r="8247" spans="1:9" x14ac:dyDescent="0.3">
      <c r="A8247" t="s">
        <v>21</v>
      </c>
      <c r="G8247">
        <v>44637</v>
      </c>
      <c r="H8247">
        <v>2022</v>
      </c>
      <c r="I8247" t="s">
        <v>45</v>
      </c>
    </row>
    <row r="8248" spans="1:9" x14ac:dyDescent="0.3">
      <c r="A8248" t="s">
        <v>65</v>
      </c>
      <c r="G8248">
        <v>44637</v>
      </c>
      <c r="H8248">
        <v>2022</v>
      </c>
      <c r="I8248" t="s">
        <v>45</v>
      </c>
    </row>
    <row r="8249" spans="1:9" x14ac:dyDescent="0.3">
      <c r="A8249" t="s">
        <v>18</v>
      </c>
      <c r="B8249">
        <v>54000</v>
      </c>
      <c r="G8249">
        <v>44637</v>
      </c>
      <c r="H8249">
        <v>2022</v>
      </c>
      <c r="I8249" t="s">
        <v>45</v>
      </c>
    </row>
    <row r="8250" spans="1:9" x14ac:dyDescent="0.3">
      <c r="A8250" t="s">
        <v>16</v>
      </c>
      <c r="G8250">
        <v>44637</v>
      </c>
      <c r="H8250">
        <v>2022</v>
      </c>
      <c r="I8250" t="s">
        <v>45</v>
      </c>
    </row>
    <row r="8251" spans="1:9" x14ac:dyDescent="0.3">
      <c r="A8251" t="s">
        <v>20</v>
      </c>
      <c r="G8251">
        <v>44638</v>
      </c>
      <c r="H8251">
        <v>2022</v>
      </c>
      <c r="I8251" t="s">
        <v>45</v>
      </c>
    </row>
    <row r="8252" spans="1:9" x14ac:dyDescent="0.3">
      <c r="A8252" t="s">
        <v>37</v>
      </c>
      <c r="G8252">
        <v>44638</v>
      </c>
      <c r="H8252">
        <v>2022</v>
      </c>
      <c r="I8252" t="s">
        <v>45</v>
      </c>
    </row>
    <row r="8253" spans="1:9" x14ac:dyDescent="0.3">
      <c r="A8253" t="s">
        <v>17</v>
      </c>
      <c r="B8253">
        <v>644000</v>
      </c>
      <c r="G8253">
        <v>44638</v>
      </c>
      <c r="H8253">
        <v>2022</v>
      </c>
      <c r="I8253" t="s">
        <v>45</v>
      </c>
    </row>
    <row r="8254" spans="1:9" x14ac:dyDescent="0.3">
      <c r="A8254" t="s">
        <v>0</v>
      </c>
      <c r="B8254">
        <v>702000</v>
      </c>
      <c r="G8254">
        <v>44638</v>
      </c>
      <c r="H8254">
        <v>2022</v>
      </c>
      <c r="I8254" t="s">
        <v>45</v>
      </c>
    </row>
    <row r="8255" spans="1:9" x14ac:dyDescent="0.3">
      <c r="A8255" t="s">
        <v>25</v>
      </c>
      <c r="C8255">
        <v>810000</v>
      </c>
      <c r="G8255">
        <v>44638</v>
      </c>
      <c r="H8255">
        <v>2022</v>
      </c>
      <c r="I8255" t="s">
        <v>45</v>
      </c>
    </row>
    <row r="8256" spans="1:9" x14ac:dyDescent="0.3">
      <c r="A8256" t="s">
        <v>15</v>
      </c>
      <c r="G8256">
        <v>44638</v>
      </c>
      <c r="H8256">
        <v>2022</v>
      </c>
      <c r="I8256" t="s">
        <v>45</v>
      </c>
    </row>
    <row r="8257" spans="1:9" x14ac:dyDescent="0.3">
      <c r="A8257" t="s">
        <v>54</v>
      </c>
      <c r="G8257">
        <v>44638</v>
      </c>
      <c r="H8257">
        <v>2022</v>
      </c>
      <c r="I8257" t="s">
        <v>45</v>
      </c>
    </row>
    <row r="8258" spans="1:9" x14ac:dyDescent="0.3">
      <c r="A8258" t="s">
        <v>26</v>
      </c>
      <c r="C8258">
        <v>45000</v>
      </c>
      <c r="G8258">
        <v>44638</v>
      </c>
      <c r="H8258">
        <v>2022</v>
      </c>
      <c r="I8258" t="s">
        <v>45</v>
      </c>
    </row>
    <row r="8259" spans="1:9" x14ac:dyDescent="0.3">
      <c r="A8259" t="s">
        <v>22</v>
      </c>
      <c r="G8259">
        <v>44638</v>
      </c>
      <c r="H8259">
        <v>2022</v>
      </c>
      <c r="I8259" t="s">
        <v>45</v>
      </c>
    </row>
    <row r="8260" spans="1:9" x14ac:dyDescent="0.3">
      <c r="A8260" t="s">
        <v>61</v>
      </c>
      <c r="G8260">
        <v>44638</v>
      </c>
      <c r="H8260">
        <v>2022</v>
      </c>
      <c r="I8260" t="s">
        <v>45</v>
      </c>
    </row>
    <row r="8261" spans="1:9" x14ac:dyDescent="0.3">
      <c r="A8261" t="s">
        <v>19</v>
      </c>
      <c r="B8261">
        <v>54000</v>
      </c>
      <c r="F8261">
        <v>428000</v>
      </c>
      <c r="G8261">
        <v>44638</v>
      </c>
      <c r="H8261">
        <v>2022</v>
      </c>
      <c r="I8261" t="s">
        <v>45</v>
      </c>
    </row>
    <row r="8262" spans="1:9" x14ac:dyDescent="0.3">
      <c r="A8262" t="s">
        <v>14</v>
      </c>
      <c r="G8262">
        <v>44638</v>
      </c>
      <c r="H8262">
        <v>2022</v>
      </c>
      <c r="I8262" t="s">
        <v>45</v>
      </c>
    </row>
    <row r="8263" spans="1:9" x14ac:dyDescent="0.3">
      <c r="A8263" t="s">
        <v>24</v>
      </c>
      <c r="G8263">
        <v>44638</v>
      </c>
      <c r="H8263">
        <v>2022</v>
      </c>
      <c r="I8263" t="s">
        <v>45</v>
      </c>
    </row>
    <row r="8264" spans="1:9" x14ac:dyDescent="0.3">
      <c r="A8264" t="s">
        <v>21</v>
      </c>
      <c r="G8264">
        <v>44638</v>
      </c>
      <c r="H8264">
        <v>2022</v>
      </c>
      <c r="I8264" t="s">
        <v>45</v>
      </c>
    </row>
    <row r="8265" spans="1:9" x14ac:dyDescent="0.3">
      <c r="A8265" t="s">
        <v>65</v>
      </c>
      <c r="G8265">
        <v>44638</v>
      </c>
      <c r="H8265">
        <v>2022</v>
      </c>
      <c r="I8265" t="s">
        <v>45</v>
      </c>
    </row>
    <row r="8266" spans="1:9" x14ac:dyDescent="0.3">
      <c r="A8266" t="s">
        <v>18</v>
      </c>
      <c r="C8266">
        <v>45000</v>
      </c>
      <c r="G8266">
        <v>44638</v>
      </c>
      <c r="H8266">
        <v>2022</v>
      </c>
      <c r="I8266" t="s">
        <v>45</v>
      </c>
    </row>
    <row r="8267" spans="1:9" x14ac:dyDescent="0.3">
      <c r="A8267" t="s">
        <v>16</v>
      </c>
      <c r="B8267">
        <v>162000</v>
      </c>
      <c r="G8267">
        <v>44638</v>
      </c>
      <c r="H8267">
        <v>2022</v>
      </c>
      <c r="I8267" t="s">
        <v>45</v>
      </c>
    </row>
    <row r="8268" spans="1:9" x14ac:dyDescent="0.3">
      <c r="A8268" t="s">
        <v>20</v>
      </c>
      <c r="G8268">
        <v>44641</v>
      </c>
      <c r="H8268">
        <v>2022</v>
      </c>
      <c r="I8268" t="s">
        <v>45</v>
      </c>
    </row>
    <row r="8269" spans="1:9" x14ac:dyDescent="0.3">
      <c r="A8269" t="s">
        <v>37</v>
      </c>
      <c r="G8269">
        <v>44641</v>
      </c>
      <c r="H8269">
        <v>2022</v>
      </c>
      <c r="I8269" t="s">
        <v>45</v>
      </c>
    </row>
    <row r="8270" spans="1:9" x14ac:dyDescent="0.3">
      <c r="A8270" t="s">
        <v>17</v>
      </c>
      <c r="B8270">
        <v>270000</v>
      </c>
      <c r="G8270">
        <v>44641</v>
      </c>
      <c r="H8270">
        <v>2022</v>
      </c>
      <c r="I8270" t="s">
        <v>45</v>
      </c>
    </row>
    <row r="8271" spans="1:9" x14ac:dyDescent="0.3">
      <c r="A8271" t="s">
        <v>0</v>
      </c>
      <c r="B8271">
        <v>540000</v>
      </c>
      <c r="G8271">
        <v>44641</v>
      </c>
      <c r="H8271">
        <v>2022</v>
      </c>
      <c r="I8271" t="s">
        <v>45</v>
      </c>
    </row>
    <row r="8272" spans="1:9" x14ac:dyDescent="0.3">
      <c r="A8272" t="s">
        <v>25</v>
      </c>
      <c r="C8272">
        <v>540000</v>
      </c>
      <c r="G8272">
        <v>44641</v>
      </c>
      <c r="H8272">
        <v>2022</v>
      </c>
      <c r="I8272" t="s">
        <v>45</v>
      </c>
    </row>
    <row r="8273" spans="1:9" x14ac:dyDescent="0.3">
      <c r="A8273" t="s">
        <v>15</v>
      </c>
      <c r="G8273">
        <v>44641</v>
      </c>
      <c r="H8273">
        <v>2022</v>
      </c>
      <c r="I8273" t="s">
        <v>45</v>
      </c>
    </row>
    <row r="8274" spans="1:9" x14ac:dyDescent="0.3">
      <c r="A8274" t="s">
        <v>54</v>
      </c>
      <c r="G8274">
        <v>44641</v>
      </c>
      <c r="H8274">
        <v>2022</v>
      </c>
      <c r="I8274" t="s">
        <v>45</v>
      </c>
    </row>
    <row r="8275" spans="1:9" x14ac:dyDescent="0.3">
      <c r="A8275" t="s">
        <v>26</v>
      </c>
      <c r="C8275">
        <v>99000</v>
      </c>
      <c r="G8275">
        <v>44641</v>
      </c>
      <c r="H8275">
        <v>2022</v>
      </c>
      <c r="I8275" t="s">
        <v>45</v>
      </c>
    </row>
    <row r="8276" spans="1:9" x14ac:dyDescent="0.3">
      <c r="A8276" t="s">
        <v>22</v>
      </c>
      <c r="G8276">
        <v>44641</v>
      </c>
      <c r="H8276">
        <v>2022</v>
      </c>
      <c r="I8276" t="s">
        <v>45</v>
      </c>
    </row>
    <row r="8277" spans="1:9" x14ac:dyDescent="0.3">
      <c r="A8277" t="s">
        <v>61</v>
      </c>
      <c r="G8277">
        <v>44641</v>
      </c>
      <c r="H8277">
        <v>2022</v>
      </c>
      <c r="I8277" t="s">
        <v>45</v>
      </c>
    </row>
    <row r="8278" spans="1:9" x14ac:dyDescent="0.3">
      <c r="A8278" t="s">
        <v>19</v>
      </c>
      <c r="F8278">
        <v>216000</v>
      </c>
      <c r="G8278">
        <v>44641</v>
      </c>
      <c r="H8278">
        <v>2022</v>
      </c>
      <c r="I8278" t="s">
        <v>45</v>
      </c>
    </row>
    <row r="8279" spans="1:9" x14ac:dyDescent="0.3">
      <c r="A8279" t="s">
        <v>14</v>
      </c>
      <c r="B8279">
        <v>269500</v>
      </c>
      <c r="C8279">
        <v>377500</v>
      </c>
      <c r="F8279">
        <v>54000</v>
      </c>
      <c r="G8279">
        <v>44641</v>
      </c>
      <c r="H8279">
        <v>2022</v>
      </c>
      <c r="I8279" t="s">
        <v>45</v>
      </c>
    </row>
    <row r="8280" spans="1:9" x14ac:dyDescent="0.3">
      <c r="A8280" t="s">
        <v>24</v>
      </c>
      <c r="G8280">
        <v>44641</v>
      </c>
      <c r="H8280">
        <v>2022</v>
      </c>
      <c r="I8280" t="s">
        <v>45</v>
      </c>
    </row>
    <row r="8281" spans="1:9" x14ac:dyDescent="0.3">
      <c r="A8281" t="s">
        <v>21</v>
      </c>
      <c r="G8281">
        <v>44641</v>
      </c>
      <c r="H8281">
        <v>2022</v>
      </c>
      <c r="I8281" t="s">
        <v>45</v>
      </c>
    </row>
    <row r="8282" spans="1:9" x14ac:dyDescent="0.3">
      <c r="A8282" t="s">
        <v>65</v>
      </c>
      <c r="G8282">
        <v>44641</v>
      </c>
      <c r="H8282">
        <v>2022</v>
      </c>
      <c r="I8282" t="s">
        <v>45</v>
      </c>
    </row>
    <row r="8283" spans="1:9" x14ac:dyDescent="0.3">
      <c r="A8283" t="s">
        <v>18</v>
      </c>
      <c r="B8283">
        <v>50000</v>
      </c>
      <c r="C8283">
        <v>45000</v>
      </c>
      <c r="G8283">
        <v>44641</v>
      </c>
      <c r="H8283">
        <v>2022</v>
      </c>
      <c r="I8283" t="s">
        <v>45</v>
      </c>
    </row>
    <row r="8284" spans="1:9" x14ac:dyDescent="0.3">
      <c r="A8284" t="s">
        <v>16</v>
      </c>
      <c r="B8284">
        <v>216000</v>
      </c>
      <c r="C8284">
        <v>484000</v>
      </c>
      <c r="F8284">
        <v>324000</v>
      </c>
      <c r="G8284">
        <v>44641</v>
      </c>
      <c r="H8284">
        <v>2022</v>
      </c>
      <c r="I8284" t="s">
        <v>45</v>
      </c>
    </row>
    <row r="8285" spans="1:9" x14ac:dyDescent="0.3">
      <c r="A8285" t="s">
        <v>20</v>
      </c>
      <c r="G8285">
        <v>44642</v>
      </c>
      <c r="H8285">
        <v>2022</v>
      </c>
      <c r="I8285" t="s">
        <v>45</v>
      </c>
    </row>
    <row r="8286" spans="1:9" x14ac:dyDescent="0.3">
      <c r="A8286" t="s">
        <v>37</v>
      </c>
      <c r="G8286">
        <v>44642</v>
      </c>
      <c r="H8286">
        <v>2022</v>
      </c>
      <c r="I8286" t="s">
        <v>45</v>
      </c>
    </row>
    <row r="8287" spans="1:9" x14ac:dyDescent="0.3">
      <c r="A8287" t="s">
        <v>17</v>
      </c>
      <c r="B8287">
        <v>162000</v>
      </c>
      <c r="G8287">
        <v>44642</v>
      </c>
      <c r="H8287">
        <v>2022</v>
      </c>
      <c r="I8287" t="s">
        <v>45</v>
      </c>
    </row>
    <row r="8288" spans="1:9" x14ac:dyDescent="0.3">
      <c r="A8288" t="s">
        <v>0</v>
      </c>
      <c r="B8288">
        <v>918000</v>
      </c>
      <c r="G8288">
        <v>44642</v>
      </c>
      <c r="H8288">
        <v>2022</v>
      </c>
      <c r="I8288" t="s">
        <v>45</v>
      </c>
    </row>
    <row r="8289" spans="1:9" x14ac:dyDescent="0.3">
      <c r="A8289" t="s">
        <v>25</v>
      </c>
      <c r="G8289">
        <v>44642</v>
      </c>
      <c r="H8289">
        <v>2022</v>
      </c>
      <c r="I8289" t="s">
        <v>45</v>
      </c>
    </row>
    <row r="8290" spans="1:9" x14ac:dyDescent="0.3">
      <c r="A8290" t="s">
        <v>15</v>
      </c>
      <c r="G8290">
        <v>44642</v>
      </c>
      <c r="H8290">
        <v>2022</v>
      </c>
      <c r="I8290" t="s">
        <v>45</v>
      </c>
    </row>
    <row r="8291" spans="1:9" x14ac:dyDescent="0.3">
      <c r="A8291" t="s">
        <v>54</v>
      </c>
      <c r="G8291">
        <v>44642</v>
      </c>
      <c r="H8291">
        <v>2022</v>
      </c>
      <c r="I8291" t="s">
        <v>45</v>
      </c>
    </row>
    <row r="8292" spans="1:9" x14ac:dyDescent="0.3">
      <c r="A8292" t="s">
        <v>26</v>
      </c>
      <c r="B8292">
        <v>211500</v>
      </c>
      <c r="C8292">
        <v>540000</v>
      </c>
      <c r="E8292">
        <v>162000</v>
      </c>
      <c r="G8292">
        <v>44642</v>
      </c>
      <c r="H8292">
        <v>2022</v>
      </c>
      <c r="I8292" t="s">
        <v>45</v>
      </c>
    </row>
    <row r="8293" spans="1:9" x14ac:dyDescent="0.3">
      <c r="A8293" t="s">
        <v>22</v>
      </c>
      <c r="G8293">
        <v>44642</v>
      </c>
      <c r="H8293">
        <v>2022</v>
      </c>
      <c r="I8293" t="s">
        <v>45</v>
      </c>
    </row>
    <row r="8294" spans="1:9" x14ac:dyDescent="0.3">
      <c r="A8294" t="s">
        <v>61</v>
      </c>
      <c r="G8294">
        <v>44642</v>
      </c>
      <c r="H8294">
        <v>2022</v>
      </c>
      <c r="I8294" t="s">
        <v>45</v>
      </c>
    </row>
    <row r="8295" spans="1:9" x14ac:dyDescent="0.3">
      <c r="A8295" t="s">
        <v>19</v>
      </c>
      <c r="F8295">
        <v>50000</v>
      </c>
      <c r="G8295">
        <v>44642</v>
      </c>
      <c r="H8295">
        <v>2022</v>
      </c>
      <c r="I8295" t="s">
        <v>45</v>
      </c>
    </row>
    <row r="8296" spans="1:9" x14ac:dyDescent="0.3">
      <c r="A8296" t="s">
        <v>14</v>
      </c>
      <c r="B8296">
        <v>162000</v>
      </c>
      <c r="C8296">
        <v>805500</v>
      </c>
      <c r="G8296">
        <v>44642</v>
      </c>
      <c r="H8296">
        <v>2022</v>
      </c>
      <c r="I8296" t="s">
        <v>45</v>
      </c>
    </row>
    <row r="8297" spans="1:9" x14ac:dyDescent="0.3">
      <c r="A8297" t="s">
        <v>24</v>
      </c>
      <c r="F8297">
        <v>270000</v>
      </c>
      <c r="G8297">
        <v>44642</v>
      </c>
      <c r="H8297">
        <v>2022</v>
      </c>
      <c r="I8297" t="s">
        <v>45</v>
      </c>
    </row>
    <row r="8298" spans="1:9" x14ac:dyDescent="0.3">
      <c r="A8298" t="s">
        <v>21</v>
      </c>
      <c r="G8298">
        <v>44642</v>
      </c>
      <c r="H8298">
        <v>2022</v>
      </c>
      <c r="I8298" t="s">
        <v>45</v>
      </c>
    </row>
    <row r="8299" spans="1:9" x14ac:dyDescent="0.3">
      <c r="A8299" t="s">
        <v>65</v>
      </c>
      <c r="G8299">
        <v>44642</v>
      </c>
      <c r="H8299">
        <v>2022</v>
      </c>
      <c r="I8299" t="s">
        <v>45</v>
      </c>
    </row>
    <row r="8300" spans="1:9" x14ac:dyDescent="0.3">
      <c r="A8300" t="s">
        <v>18</v>
      </c>
      <c r="G8300">
        <v>44642</v>
      </c>
      <c r="H8300">
        <v>2022</v>
      </c>
      <c r="I8300" t="s">
        <v>45</v>
      </c>
    </row>
    <row r="8301" spans="1:9" x14ac:dyDescent="0.3">
      <c r="A8301" t="s">
        <v>16</v>
      </c>
      <c r="B8301">
        <v>211500</v>
      </c>
      <c r="C8301">
        <v>378000</v>
      </c>
      <c r="E8301">
        <v>108000</v>
      </c>
      <c r="F8301">
        <v>54000</v>
      </c>
      <c r="G8301">
        <v>44642</v>
      </c>
      <c r="H8301">
        <v>2022</v>
      </c>
      <c r="I8301" t="s">
        <v>45</v>
      </c>
    </row>
    <row r="8302" spans="1:9" x14ac:dyDescent="0.3">
      <c r="A8302" t="s">
        <v>20</v>
      </c>
      <c r="G8302">
        <v>44643</v>
      </c>
      <c r="H8302">
        <v>2022</v>
      </c>
      <c r="I8302" t="s">
        <v>45</v>
      </c>
    </row>
    <row r="8303" spans="1:9" x14ac:dyDescent="0.3">
      <c r="A8303" t="s">
        <v>37</v>
      </c>
      <c r="G8303">
        <v>44643</v>
      </c>
      <c r="H8303">
        <v>2022</v>
      </c>
      <c r="I8303" t="s">
        <v>45</v>
      </c>
    </row>
    <row r="8304" spans="1:9" x14ac:dyDescent="0.3">
      <c r="A8304" t="s">
        <v>17</v>
      </c>
      <c r="G8304">
        <v>44643</v>
      </c>
      <c r="H8304">
        <v>2022</v>
      </c>
      <c r="I8304" t="s">
        <v>45</v>
      </c>
    </row>
    <row r="8305" spans="1:9" x14ac:dyDescent="0.3">
      <c r="A8305" t="s">
        <v>0</v>
      </c>
      <c r="B8305">
        <v>972000</v>
      </c>
      <c r="G8305">
        <v>44643</v>
      </c>
      <c r="H8305">
        <v>2022</v>
      </c>
      <c r="I8305" t="s">
        <v>45</v>
      </c>
    </row>
    <row r="8306" spans="1:9" x14ac:dyDescent="0.3">
      <c r="A8306" t="s">
        <v>25</v>
      </c>
      <c r="B8306">
        <v>45000</v>
      </c>
      <c r="C8306">
        <v>54000</v>
      </c>
      <c r="G8306">
        <v>44643</v>
      </c>
      <c r="H8306">
        <v>2022</v>
      </c>
      <c r="I8306" t="s">
        <v>45</v>
      </c>
    </row>
    <row r="8307" spans="1:9" x14ac:dyDescent="0.3">
      <c r="A8307" t="s">
        <v>15</v>
      </c>
      <c r="G8307">
        <v>44643</v>
      </c>
      <c r="H8307">
        <v>2022</v>
      </c>
      <c r="I8307" t="s">
        <v>45</v>
      </c>
    </row>
    <row r="8308" spans="1:9" x14ac:dyDescent="0.3">
      <c r="A8308" t="s">
        <v>54</v>
      </c>
      <c r="B8308">
        <v>54000</v>
      </c>
      <c r="G8308">
        <v>44643</v>
      </c>
      <c r="H8308">
        <v>2022</v>
      </c>
      <c r="I8308" t="s">
        <v>45</v>
      </c>
    </row>
    <row r="8309" spans="1:9" x14ac:dyDescent="0.3">
      <c r="A8309" t="s">
        <v>26</v>
      </c>
      <c r="C8309">
        <v>162000</v>
      </c>
      <c r="E8309">
        <v>54000</v>
      </c>
      <c r="F8309">
        <v>99000</v>
      </c>
      <c r="G8309">
        <v>44643</v>
      </c>
      <c r="H8309">
        <v>2022</v>
      </c>
      <c r="I8309" t="s">
        <v>45</v>
      </c>
    </row>
    <row r="8310" spans="1:9" x14ac:dyDescent="0.3">
      <c r="A8310" t="s">
        <v>22</v>
      </c>
      <c r="G8310">
        <v>44643</v>
      </c>
      <c r="H8310">
        <v>2022</v>
      </c>
      <c r="I8310" t="s">
        <v>45</v>
      </c>
    </row>
    <row r="8311" spans="1:9" x14ac:dyDescent="0.3">
      <c r="A8311" t="s">
        <v>61</v>
      </c>
      <c r="G8311">
        <v>44643</v>
      </c>
      <c r="H8311">
        <v>2022</v>
      </c>
      <c r="I8311" t="s">
        <v>45</v>
      </c>
    </row>
    <row r="8312" spans="1:9" x14ac:dyDescent="0.3">
      <c r="A8312" t="s">
        <v>19</v>
      </c>
      <c r="C8312">
        <v>486000</v>
      </c>
      <c r="G8312">
        <v>44643</v>
      </c>
      <c r="H8312">
        <v>2022</v>
      </c>
      <c r="I8312" t="s">
        <v>45</v>
      </c>
    </row>
    <row r="8313" spans="1:9" x14ac:dyDescent="0.3">
      <c r="A8313" t="s">
        <v>14</v>
      </c>
      <c r="B8313">
        <v>216000</v>
      </c>
      <c r="C8313">
        <v>432000</v>
      </c>
      <c r="F8313">
        <v>162000</v>
      </c>
      <c r="G8313">
        <v>44643</v>
      </c>
      <c r="H8313">
        <v>2022</v>
      </c>
      <c r="I8313" t="s">
        <v>45</v>
      </c>
    </row>
    <row r="8314" spans="1:9" x14ac:dyDescent="0.3">
      <c r="A8314" t="s">
        <v>24</v>
      </c>
      <c r="G8314">
        <v>44643</v>
      </c>
      <c r="H8314">
        <v>2022</v>
      </c>
      <c r="I8314" t="s">
        <v>45</v>
      </c>
    </row>
    <row r="8315" spans="1:9" x14ac:dyDescent="0.3">
      <c r="A8315" t="s">
        <v>21</v>
      </c>
      <c r="G8315">
        <v>44643</v>
      </c>
      <c r="H8315">
        <v>2022</v>
      </c>
      <c r="I8315" t="s">
        <v>45</v>
      </c>
    </row>
    <row r="8316" spans="1:9" x14ac:dyDescent="0.3">
      <c r="A8316" t="s">
        <v>65</v>
      </c>
      <c r="G8316">
        <v>44643</v>
      </c>
      <c r="H8316">
        <v>2022</v>
      </c>
      <c r="I8316" t="s">
        <v>45</v>
      </c>
    </row>
    <row r="8317" spans="1:9" x14ac:dyDescent="0.3">
      <c r="A8317" t="s">
        <v>18</v>
      </c>
      <c r="B8317">
        <v>45000</v>
      </c>
      <c r="G8317">
        <v>44643</v>
      </c>
      <c r="H8317">
        <v>2022</v>
      </c>
      <c r="I8317" t="s">
        <v>45</v>
      </c>
    </row>
    <row r="8318" spans="1:9" x14ac:dyDescent="0.3">
      <c r="A8318" t="s">
        <v>16</v>
      </c>
      <c r="B8318">
        <v>54000</v>
      </c>
      <c r="E8318">
        <v>162000</v>
      </c>
      <c r="G8318">
        <v>44643</v>
      </c>
      <c r="H8318">
        <v>2022</v>
      </c>
      <c r="I8318" t="s">
        <v>45</v>
      </c>
    </row>
    <row r="8319" spans="1:9" x14ac:dyDescent="0.3">
      <c r="A8319" t="s">
        <v>20</v>
      </c>
      <c r="G8319">
        <v>44644</v>
      </c>
      <c r="H8319">
        <v>2022</v>
      </c>
      <c r="I8319" t="s">
        <v>45</v>
      </c>
    </row>
    <row r="8320" spans="1:9" x14ac:dyDescent="0.3">
      <c r="A8320" t="s">
        <v>37</v>
      </c>
      <c r="G8320">
        <v>44644</v>
      </c>
      <c r="H8320">
        <v>2022</v>
      </c>
      <c r="I8320" t="s">
        <v>45</v>
      </c>
    </row>
    <row r="8321" spans="1:9" x14ac:dyDescent="0.3">
      <c r="A8321" t="s">
        <v>17</v>
      </c>
      <c r="G8321">
        <v>44644</v>
      </c>
      <c r="H8321">
        <v>2022</v>
      </c>
      <c r="I8321" t="s">
        <v>45</v>
      </c>
    </row>
    <row r="8322" spans="1:9" x14ac:dyDescent="0.3">
      <c r="A8322" t="s">
        <v>0</v>
      </c>
      <c r="B8322">
        <v>373500</v>
      </c>
      <c r="G8322">
        <v>44644</v>
      </c>
      <c r="H8322">
        <v>2022</v>
      </c>
      <c r="I8322" t="s">
        <v>45</v>
      </c>
    </row>
    <row r="8323" spans="1:9" x14ac:dyDescent="0.3">
      <c r="A8323" t="s">
        <v>25</v>
      </c>
      <c r="G8323">
        <v>44644</v>
      </c>
      <c r="H8323">
        <v>2022</v>
      </c>
      <c r="I8323" t="s">
        <v>45</v>
      </c>
    </row>
    <row r="8324" spans="1:9" x14ac:dyDescent="0.3">
      <c r="A8324" t="s">
        <v>15</v>
      </c>
      <c r="B8324">
        <v>162000</v>
      </c>
      <c r="G8324">
        <v>44644</v>
      </c>
      <c r="H8324">
        <v>2022</v>
      </c>
      <c r="I8324" t="s">
        <v>45</v>
      </c>
    </row>
    <row r="8325" spans="1:9" x14ac:dyDescent="0.3">
      <c r="A8325" t="s">
        <v>54</v>
      </c>
      <c r="B8325">
        <v>54000</v>
      </c>
      <c r="C8325">
        <v>54000</v>
      </c>
      <c r="G8325">
        <v>44644</v>
      </c>
      <c r="H8325">
        <v>2022</v>
      </c>
      <c r="I8325" t="s">
        <v>45</v>
      </c>
    </row>
    <row r="8326" spans="1:9" x14ac:dyDescent="0.3">
      <c r="A8326" t="s">
        <v>26</v>
      </c>
      <c r="B8326">
        <v>103500</v>
      </c>
      <c r="C8326">
        <v>54000</v>
      </c>
      <c r="G8326">
        <v>44644</v>
      </c>
      <c r="H8326">
        <v>2022</v>
      </c>
      <c r="I8326" t="s">
        <v>45</v>
      </c>
    </row>
    <row r="8327" spans="1:9" x14ac:dyDescent="0.3">
      <c r="A8327" t="s">
        <v>22</v>
      </c>
      <c r="G8327">
        <v>44644</v>
      </c>
      <c r="H8327">
        <v>2022</v>
      </c>
      <c r="I8327" t="s">
        <v>45</v>
      </c>
    </row>
    <row r="8328" spans="1:9" x14ac:dyDescent="0.3">
      <c r="A8328" t="s">
        <v>61</v>
      </c>
      <c r="G8328">
        <v>44644</v>
      </c>
      <c r="H8328">
        <v>2022</v>
      </c>
      <c r="I8328" t="s">
        <v>45</v>
      </c>
    </row>
    <row r="8329" spans="1:9" x14ac:dyDescent="0.3">
      <c r="A8329" t="s">
        <v>19</v>
      </c>
      <c r="C8329">
        <v>306000</v>
      </c>
      <c r="G8329">
        <v>44644</v>
      </c>
      <c r="H8329">
        <v>2022</v>
      </c>
      <c r="I8329" t="s">
        <v>45</v>
      </c>
    </row>
    <row r="8330" spans="1:9" x14ac:dyDescent="0.3">
      <c r="A8330" t="s">
        <v>14</v>
      </c>
      <c r="B8330">
        <v>211500</v>
      </c>
      <c r="C8330">
        <v>648000</v>
      </c>
      <c r="F8330">
        <v>212000</v>
      </c>
      <c r="G8330">
        <v>44644</v>
      </c>
      <c r="H8330">
        <v>2022</v>
      </c>
      <c r="I8330" t="s">
        <v>45</v>
      </c>
    </row>
    <row r="8331" spans="1:9" x14ac:dyDescent="0.3">
      <c r="A8331" t="s">
        <v>24</v>
      </c>
      <c r="G8331">
        <v>44644</v>
      </c>
      <c r="H8331">
        <v>2022</v>
      </c>
      <c r="I8331" t="s">
        <v>45</v>
      </c>
    </row>
    <row r="8332" spans="1:9" x14ac:dyDescent="0.3">
      <c r="A8332" t="s">
        <v>21</v>
      </c>
      <c r="G8332">
        <v>44644</v>
      </c>
      <c r="H8332">
        <v>2022</v>
      </c>
      <c r="I8332" t="s">
        <v>45</v>
      </c>
    </row>
    <row r="8333" spans="1:9" x14ac:dyDescent="0.3">
      <c r="A8333" t="s">
        <v>65</v>
      </c>
      <c r="G8333">
        <v>44644</v>
      </c>
      <c r="H8333">
        <v>2022</v>
      </c>
      <c r="I8333" t="s">
        <v>45</v>
      </c>
    </row>
    <row r="8334" spans="1:9" x14ac:dyDescent="0.3">
      <c r="A8334" t="s">
        <v>18</v>
      </c>
      <c r="G8334">
        <v>44644</v>
      </c>
      <c r="H8334">
        <v>2022</v>
      </c>
      <c r="I8334" t="s">
        <v>45</v>
      </c>
    </row>
    <row r="8335" spans="1:9" x14ac:dyDescent="0.3">
      <c r="A8335" t="s">
        <v>16</v>
      </c>
      <c r="B8335">
        <v>158000</v>
      </c>
      <c r="C8335">
        <v>45000</v>
      </c>
      <c r="E8335">
        <v>108000</v>
      </c>
      <c r="G8335">
        <v>44644</v>
      </c>
      <c r="H8335">
        <v>2022</v>
      </c>
      <c r="I8335" t="s">
        <v>45</v>
      </c>
    </row>
    <row r="8336" spans="1:9" x14ac:dyDescent="0.3">
      <c r="A8336" t="s">
        <v>20</v>
      </c>
      <c r="G8336">
        <v>44645</v>
      </c>
      <c r="H8336">
        <v>2022</v>
      </c>
      <c r="I8336" t="s">
        <v>45</v>
      </c>
    </row>
    <row r="8337" spans="1:9" x14ac:dyDescent="0.3">
      <c r="A8337" t="s">
        <v>37</v>
      </c>
      <c r="G8337">
        <v>44645</v>
      </c>
      <c r="H8337">
        <v>2022</v>
      </c>
      <c r="I8337" t="s">
        <v>45</v>
      </c>
    </row>
    <row r="8338" spans="1:9" x14ac:dyDescent="0.3">
      <c r="A8338" t="s">
        <v>17</v>
      </c>
      <c r="G8338">
        <v>44645</v>
      </c>
      <c r="H8338">
        <v>2022</v>
      </c>
      <c r="I8338" t="s">
        <v>45</v>
      </c>
    </row>
    <row r="8339" spans="1:9" x14ac:dyDescent="0.3">
      <c r="A8339" t="s">
        <v>0</v>
      </c>
      <c r="B8339">
        <v>648000</v>
      </c>
      <c r="F8339">
        <v>90000</v>
      </c>
      <c r="G8339">
        <v>44645</v>
      </c>
      <c r="H8339">
        <v>2022</v>
      </c>
      <c r="I8339" t="s">
        <v>45</v>
      </c>
    </row>
    <row r="8340" spans="1:9" x14ac:dyDescent="0.3">
      <c r="A8340" t="s">
        <v>25</v>
      </c>
      <c r="G8340">
        <v>44645</v>
      </c>
      <c r="H8340">
        <v>2022</v>
      </c>
      <c r="I8340" t="s">
        <v>45</v>
      </c>
    </row>
    <row r="8341" spans="1:9" x14ac:dyDescent="0.3">
      <c r="A8341" t="s">
        <v>15</v>
      </c>
      <c r="B8341">
        <v>371500</v>
      </c>
      <c r="F8341">
        <v>150000</v>
      </c>
      <c r="G8341">
        <v>44645</v>
      </c>
      <c r="H8341">
        <v>2022</v>
      </c>
      <c r="I8341" t="s">
        <v>45</v>
      </c>
    </row>
    <row r="8342" spans="1:9" x14ac:dyDescent="0.3">
      <c r="A8342" t="s">
        <v>54</v>
      </c>
      <c r="B8342">
        <v>162000</v>
      </c>
      <c r="C8342">
        <v>428000</v>
      </c>
      <c r="G8342">
        <v>44645</v>
      </c>
      <c r="H8342">
        <v>2022</v>
      </c>
      <c r="I8342" t="s">
        <v>45</v>
      </c>
    </row>
    <row r="8343" spans="1:9" x14ac:dyDescent="0.3">
      <c r="A8343" t="s">
        <v>26</v>
      </c>
      <c r="C8343">
        <v>54000</v>
      </c>
      <c r="G8343">
        <v>44645</v>
      </c>
      <c r="H8343">
        <v>2022</v>
      </c>
      <c r="I8343" t="s">
        <v>45</v>
      </c>
    </row>
    <row r="8344" spans="1:9" x14ac:dyDescent="0.3">
      <c r="A8344" t="s">
        <v>22</v>
      </c>
      <c r="G8344">
        <v>44645</v>
      </c>
      <c r="H8344">
        <v>2022</v>
      </c>
      <c r="I8344" t="s">
        <v>45</v>
      </c>
    </row>
    <row r="8345" spans="1:9" x14ac:dyDescent="0.3">
      <c r="A8345" t="s">
        <v>61</v>
      </c>
      <c r="G8345">
        <v>44645</v>
      </c>
      <c r="H8345">
        <v>2022</v>
      </c>
      <c r="I8345" t="s">
        <v>45</v>
      </c>
    </row>
    <row r="8346" spans="1:9" x14ac:dyDescent="0.3">
      <c r="A8346" t="s">
        <v>19</v>
      </c>
      <c r="C8346">
        <v>216000</v>
      </c>
      <c r="G8346">
        <v>44645</v>
      </c>
      <c r="H8346">
        <v>2022</v>
      </c>
      <c r="I8346" t="s">
        <v>45</v>
      </c>
    </row>
    <row r="8347" spans="1:9" x14ac:dyDescent="0.3">
      <c r="A8347" t="s">
        <v>14</v>
      </c>
      <c r="B8347">
        <v>324000</v>
      </c>
      <c r="C8347">
        <v>324000</v>
      </c>
      <c r="G8347">
        <v>44645</v>
      </c>
      <c r="H8347">
        <v>2022</v>
      </c>
      <c r="I8347" t="s">
        <v>45</v>
      </c>
    </row>
    <row r="8348" spans="1:9" x14ac:dyDescent="0.3">
      <c r="A8348" t="s">
        <v>24</v>
      </c>
      <c r="G8348">
        <v>44645</v>
      </c>
      <c r="H8348">
        <v>2022</v>
      </c>
      <c r="I8348" t="s">
        <v>45</v>
      </c>
    </row>
    <row r="8349" spans="1:9" x14ac:dyDescent="0.3">
      <c r="A8349" t="s">
        <v>21</v>
      </c>
      <c r="G8349">
        <v>44645</v>
      </c>
      <c r="H8349">
        <v>2022</v>
      </c>
      <c r="I8349" t="s">
        <v>45</v>
      </c>
    </row>
    <row r="8350" spans="1:9" x14ac:dyDescent="0.3">
      <c r="A8350" t="s">
        <v>65</v>
      </c>
      <c r="G8350">
        <v>44645</v>
      </c>
      <c r="H8350">
        <v>2022</v>
      </c>
      <c r="I8350" t="s">
        <v>45</v>
      </c>
    </row>
    <row r="8351" spans="1:9" x14ac:dyDescent="0.3">
      <c r="A8351" t="s">
        <v>18</v>
      </c>
      <c r="G8351">
        <v>44645</v>
      </c>
      <c r="H8351">
        <v>2022</v>
      </c>
      <c r="I8351" t="s">
        <v>45</v>
      </c>
    </row>
    <row r="8352" spans="1:9" x14ac:dyDescent="0.3">
      <c r="A8352" t="s">
        <v>16</v>
      </c>
      <c r="B8352">
        <v>54000</v>
      </c>
      <c r="G8352">
        <v>44645</v>
      </c>
      <c r="H8352">
        <v>2022</v>
      </c>
      <c r="I8352" t="s">
        <v>45</v>
      </c>
    </row>
    <row r="8353" spans="1:9" x14ac:dyDescent="0.3">
      <c r="A8353" t="s">
        <v>20</v>
      </c>
      <c r="G8353">
        <v>44648</v>
      </c>
      <c r="H8353">
        <v>2022</v>
      </c>
      <c r="I8353" t="s">
        <v>45</v>
      </c>
    </row>
    <row r="8354" spans="1:9" x14ac:dyDescent="0.3">
      <c r="A8354" t="s">
        <v>37</v>
      </c>
      <c r="C8354">
        <v>270000</v>
      </c>
      <c r="G8354">
        <v>44648</v>
      </c>
      <c r="H8354">
        <v>2022</v>
      </c>
      <c r="I8354" t="s">
        <v>45</v>
      </c>
    </row>
    <row r="8355" spans="1:9" x14ac:dyDescent="0.3">
      <c r="A8355" t="s">
        <v>17</v>
      </c>
      <c r="G8355">
        <v>44648</v>
      </c>
      <c r="H8355">
        <v>2022</v>
      </c>
      <c r="I8355" t="s">
        <v>45</v>
      </c>
    </row>
    <row r="8356" spans="1:9" x14ac:dyDescent="0.3">
      <c r="A8356" t="s">
        <v>0</v>
      </c>
      <c r="B8356">
        <v>1134000</v>
      </c>
      <c r="G8356">
        <v>44648</v>
      </c>
      <c r="H8356">
        <v>2022</v>
      </c>
      <c r="I8356" t="s">
        <v>45</v>
      </c>
    </row>
    <row r="8357" spans="1:9" x14ac:dyDescent="0.3">
      <c r="A8357" t="s">
        <v>25</v>
      </c>
      <c r="G8357">
        <v>44648</v>
      </c>
      <c r="H8357">
        <v>2022</v>
      </c>
      <c r="I8357" t="s">
        <v>45</v>
      </c>
    </row>
    <row r="8358" spans="1:9" x14ac:dyDescent="0.3">
      <c r="A8358" t="s">
        <v>15</v>
      </c>
      <c r="B8358">
        <v>958500</v>
      </c>
      <c r="G8358">
        <v>44648</v>
      </c>
      <c r="H8358">
        <v>2022</v>
      </c>
      <c r="I8358" t="s">
        <v>45</v>
      </c>
    </row>
    <row r="8359" spans="1:9" x14ac:dyDescent="0.3">
      <c r="A8359" t="s">
        <v>54</v>
      </c>
      <c r="C8359">
        <v>324000</v>
      </c>
      <c r="G8359">
        <v>44648</v>
      </c>
      <c r="H8359">
        <v>2022</v>
      </c>
      <c r="I8359" t="s">
        <v>45</v>
      </c>
    </row>
    <row r="8360" spans="1:9" x14ac:dyDescent="0.3">
      <c r="A8360" t="s">
        <v>26</v>
      </c>
      <c r="F8360">
        <v>50000</v>
      </c>
      <c r="G8360">
        <v>44648</v>
      </c>
      <c r="H8360">
        <v>2022</v>
      </c>
      <c r="I8360" t="s">
        <v>45</v>
      </c>
    </row>
    <row r="8361" spans="1:9" x14ac:dyDescent="0.3">
      <c r="A8361" t="s">
        <v>22</v>
      </c>
      <c r="G8361">
        <v>44648</v>
      </c>
      <c r="H8361">
        <v>2022</v>
      </c>
      <c r="I8361" t="s">
        <v>45</v>
      </c>
    </row>
    <row r="8362" spans="1:9" x14ac:dyDescent="0.3">
      <c r="A8362" t="s">
        <v>61</v>
      </c>
      <c r="G8362">
        <v>44648</v>
      </c>
      <c r="H8362">
        <v>2022</v>
      </c>
      <c r="I8362" t="s">
        <v>45</v>
      </c>
    </row>
    <row r="8363" spans="1:9" x14ac:dyDescent="0.3">
      <c r="A8363" t="s">
        <v>19</v>
      </c>
      <c r="C8363">
        <v>162000</v>
      </c>
      <c r="G8363">
        <v>44648</v>
      </c>
      <c r="H8363">
        <v>2022</v>
      </c>
      <c r="I8363" t="s">
        <v>45</v>
      </c>
    </row>
    <row r="8364" spans="1:9" x14ac:dyDescent="0.3">
      <c r="A8364" t="s">
        <v>14</v>
      </c>
      <c r="C8364">
        <v>270000</v>
      </c>
      <c r="G8364">
        <v>44648</v>
      </c>
      <c r="H8364">
        <v>2022</v>
      </c>
      <c r="I8364" t="s">
        <v>45</v>
      </c>
    </row>
    <row r="8365" spans="1:9" x14ac:dyDescent="0.3">
      <c r="A8365" t="s">
        <v>24</v>
      </c>
      <c r="G8365">
        <v>44648</v>
      </c>
      <c r="H8365">
        <v>2022</v>
      </c>
      <c r="I8365" t="s">
        <v>45</v>
      </c>
    </row>
    <row r="8366" spans="1:9" x14ac:dyDescent="0.3">
      <c r="A8366" t="s">
        <v>21</v>
      </c>
      <c r="G8366">
        <v>44648</v>
      </c>
      <c r="H8366">
        <v>2022</v>
      </c>
      <c r="I8366" t="s">
        <v>45</v>
      </c>
    </row>
    <row r="8367" spans="1:9" x14ac:dyDescent="0.3">
      <c r="A8367" t="s">
        <v>65</v>
      </c>
      <c r="G8367">
        <v>44648</v>
      </c>
      <c r="H8367">
        <v>2022</v>
      </c>
      <c r="I8367" t="s">
        <v>45</v>
      </c>
    </row>
    <row r="8368" spans="1:9" x14ac:dyDescent="0.3">
      <c r="A8368" t="s">
        <v>18</v>
      </c>
      <c r="G8368">
        <v>44648</v>
      </c>
      <c r="H8368">
        <v>2022</v>
      </c>
      <c r="I8368" t="s">
        <v>45</v>
      </c>
    </row>
    <row r="8369" spans="1:9" x14ac:dyDescent="0.3">
      <c r="A8369" t="s">
        <v>16</v>
      </c>
      <c r="B8369">
        <v>50000</v>
      </c>
      <c r="G8369">
        <v>44648</v>
      </c>
      <c r="H8369">
        <v>2022</v>
      </c>
      <c r="I8369" t="s">
        <v>45</v>
      </c>
    </row>
    <row r="8370" spans="1:9" x14ac:dyDescent="0.3">
      <c r="A8370" t="s">
        <v>20</v>
      </c>
      <c r="G8370">
        <v>44649</v>
      </c>
      <c r="H8370">
        <v>2022</v>
      </c>
      <c r="I8370" t="s">
        <v>45</v>
      </c>
    </row>
    <row r="8371" spans="1:9" x14ac:dyDescent="0.3">
      <c r="A8371" t="s">
        <v>37</v>
      </c>
      <c r="C8371">
        <v>265500</v>
      </c>
      <c r="G8371">
        <v>44649</v>
      </c>
      <c r="H8371">
        <v>2022</v>
      </c>
      <c r="I8371" t="s">
        <v>45</v>
      </c>
    </row>
    <row r="8372" spans="1:9" x14ac:dyDescent="0.3">
      <c r="A8372" t="s">
        <v>17</v>
      </c>
      <c r="G8372">
        <v>44649</v>
      </c>
      <c r="H8372">
        <v>2022</v>
      </c>
      <c r="I8372" t="s">
        <v>45</v>
      </c>
    </row>
    <row r="8373" spans="1:9" x14ac:dyDescent="0.3">
      <c r="A8373" t="s">
        <v>0</v>
      </c>
      <c r="B8373">
        <v>810000</v>
      </c>
      <c r="G8373">
        <v>44649</v>
      </c>
      <c r="H8373">
        <v>2022</v>
      </c>
      <c r="I8373" t="s">
        <v>45</v>
      </c>
    </row>
    <row r="8374" spans="1:9" x14ac:dyDescent="0.3">
      <c r="A8374" t="s">
        <v>25</v>
      </c>
      <c r="G8374">
        <v>44649</v>
      </c>
      <c r="H8374">
        <v>2022</v>
      </c>
      <c r="I8374" t="s">
        <v>45</v>
      </c>
    </row>
    <row r="8375" spans="1:9" x14ac:dyDescent="0.3">
      <c r="A8375" t="s">
        <v>15</v>
      </c>
      <c r="B8375">
        <v>360000</v>
      </c>
      <c r="G8375">
        <v>44649</v>
      </c>
      <c r="H8375">
        <v>2022</v>
      </c>
      <c r="I8375" t="s">
        <v>45</v>
      </c>
    </row>
    <row r="8376" spans="1:9" x14ac:dyDescent="0.3">
      <c r="A8376" t="s">
        <v>54</v>
      </c>
      <c r="C8376">
        <v>432000</v>
      </c>
      <c r="G8376">
        <v>44649</v>
      </c>
      <c r="H8376">
        <v>2022</v>
      </c>
      <c r="I8376" t="s">
        <v>45</v>
      </c>
    </row>
    <row r="8377" spans="1:9" x14ac:dyDescent="0.3">
      <c r="A8377" t="s">
        <v>26</v>
      </c>
      <c r="B8377">
        <v>162000</v>
      </c>
      <c r="E8377">
        <v>54000</v>
      </c>
      <c r="F8377">
        <v>150000</v>
      </c>
      <c r="G8377">
        <v>44649</v>
      </c>
      <c r="H8377">
        <v>2022</v>
      </c>
      <c r="I8377" t="s">
        <v>45</v>
      </c>
    </row>
    <row r="8378" spans="1:9" x14ac:dyDescent="0.3">
      <c r="A8378" t="s">
        <v>22</v>
      </c>
      <c r="G8378">
        <v>44649</v>
      </c>
      <c r="H8378">
        <v>2022</v>
      </c>
      <c r="I8378" t="s">
        <v>45</v>
      </c>
    </row>
    <row r="8379" spans="1:9" x14ac:dyDescent="0.3">
      <c r="A8379" t="s">
        <v>61</v>
      </c>
      <c r="G8379">
        <v>44649</v>
      </c>
      <c r="H8379">
        <v>2022</v>
      </c>
      <c r="I8379" t="s">
        <v>45</v>
      </c>
    </row>
    <row r="8380" spans="1:9" x14ac:dyDescent="0.3">
      <c r="A8380" t="s">
        <v>19</v>
      </c>
      <c r="G8380">
        <v>44649</v>
      </c>
      <c r="H8380">
        <v>2022</v>
      </c>
      <c r="I8380" t="s">
        <v>45</v>
      </c>
    </row>
    <row r="8381" spans="1:9" x14ac:dyDescent="0.3">
      <c r="A8381" t="s">
        <v>14</v>
      </c>
      <c r="C8381">
        <v>45000</v>
      </c>
      <c r="G8381">
        <v>44649</v>
      </c>
      <c r="H8381">
        <v>2022</v>
      </c>
      <c r="I8381" t="s">
        <v>45</v>
      </c>
    </row>
    <row r="8382" spans="1:9" x14ac:dyDescent="0.3">
      <c r="A8382" t="s">
        <v>24</v>
      </c>
      <c r="G8382">
        <v>44649</v>
      </c>
      <c r="H8382">
        <v>2022</v>
      </c>
      <c r="I8382" t="s">
        <v>45</v>
      </c>
    </row>
    <row r="8383" spans="1:9" x14ac:dyDescent="0.3">
      <c r="A8383" t="s">
        <v>21</v>
      </c>
      <c r="G8383">
        <v>44649</v>
      </c>
      <c r="H8383">
        <v>2022</v>
      </c>
      <c r="I8383" t="s">
        <v>45</v>
      </c>
    </row>
    <row r="8384" spans="1:9" x14ac:dyDescent="0.3">
      <c r="A8384" t="s">
        <v>65</v>
      </c>
      <c r="G8384">
        <v>44649</v>
      </c>
      <c r="H8384">
        <v>2022</v>
      </c>
      <c r="I8384" t="s">
        <v>45</v>
      </c>
    </row>
    <row r="8385" spans="1:9" x14ac:dyDescent="0.3">
      <c r="A8385" t="s">
        <v>18</v>
      </c>
      <c r="G8385">
        <v>44649</v>
      </c>
      <c r="H8385">
        <v>2022</v>
      </c>
      <c r="I8385" t="s">
        <v>45</v>
      </c>
    </row>
    <row r="8386" spans="1:9" x14ac:dyDescent="0.3">
      <c r="A8386" t="s">
        <v>16</v>
      </c>
      <c r="B8386">
        <v>54000</v>
      </c>
      <c r="G8386">
        <v>44649</v>
      </c>
      <c r="H8386">
        <v>2022</v>
      </c>
      <c r="I8386" t="s">
        <v>45</v>
      </c>
    </row>
    <row r="8387" spans="1:9" x14ac:dyDescent="0.3">
      <c r="A8387" t="s">
        <v>20</v>
      </c>
      <c r="G8387">
        <v>44650</v>
      </c>
      <c r="H8387">
        <v>2022</v>
      </c>
      <c r="I8387" t="s">
        <v>45</v>
      </c>
    </row>
    <row r="8388" spans="1:9" x14ac:dyDescent="0.3">
      <c r="A8388" t="s">
        <v>37</v>
      </c>
      <c r="C8388">
        <v>270000</v>
      </c>
      <c r="G8388">
        <v>44650</v>
      </c>
      <c r="H8388">
        <v>2022</v>
      </c>
      <c r="I8388" t="s">
        <v>45</v>
      </c>
    </row>
    <row r="8389" spans="1:9" x14ac:dyDescent="0.3">
      <c r="A8389" t="s">
        <v>17</v>
      </c>
      <c r="G8389">
        <v>44650</v>
      </c>
      <c r="H8389">
        <v>2022</v>
      </c>
      <c r="I8389" t="s">
        <v>45</v>
      </c>
    </row>
    <row r="8390" spans="1:9" x14ac:dyDescent="0.3">
      <c r="A8390" t="s">
        <v>0</v>
      </c>
      <c r="B8390">
        <v>594000</v>
      </c>
      <c r="G8390">
        <v>44650</v>
      </c>
      <c r="H8390">
        <v>2022</v>
      </c>
      <c r="I8390" t="s">
        <v>45</v>
      </c>
    </row>
    <row r="8391" spans="1:9" x14ac:dyDescent="0.3">
      <c r="A8391" t="s">
        <v>25</v>
      </c>
      <c r="G8391">
        <v>44650</v>
      </c>
      <c r="H8391">
        <v>2022</v>
      </c>
      <c r="I8391" t="s">
        <v>45</v>
      </c>
    </row>
    <row r="8392" spans="1:9" x14ac:dyDescent="0.3">
      <c r="A8392" t="s">
        <v>15</v>
      </c>
      <c r="B8392">
        <v>45000</v>
      </c>
      <c r="G8392">
        <v>44650</v>
      </c>
      <c r="H8392">
        <v>2022</v>
      </c>
      <c r="I8392" t="s">
        <v>45</v>
      </c>
    </row>
    <row r="8393" spans="1:9" x14ac:dyDescent="0.3">
      <c r="A8393" t="s">
        <v>54</v>
      </c>
      <c r="B8393">
        <v>320000</v>
      </c>
      <c r="C8393">
        <v>540000</v>
      </c>
      <c r="G8393">
        <v>44650</v>
      </c>
      <c r="H8393">
        <v>2022</v>
      </c>
      <c r="I8393" t="s">
        <v>45</v>
      </c>
    </row>
    <row r="8394" spans="1:9" x14ac:dyDescent="0.3">
      <c r="A8394" t="s">
        <v>26</v>
      </c>
      <c r="G8394">
        <v>44650</v>
      </c>
      <c r="H8394">
        <v>2022</v>
      </c>
      <c r="I8394" t="s">
        <v>45</v>
      </c>
    </row>
    <row r="8395" spans="1:9" x14ac:dyDescent="0.3">
      <c r="A8395" t="s">
        <v>22</v>
      </c>
      <c r="G8395">
        <v>44650</v>
      </c>
      <c r="H8395">
        <v>2022</v>
      </c>
      <c r="I8395" t="s">
        <v>45</v>
      </c>
    </row>
    <row r="8396" spans="1:9" x14ac:dyDescent="0.3">
      <c r="A8396" t="s">
        <v>61</v>
      </c>
      <c r="G8396">
        <v>44650</v>
      </c>
      <c r="H8396">
        <v>2022</v>
      </c>
      <c r="I8396" t="s">
        <v>45</v>
      </c>
    </row>
    <row r="8397" spans="1:9" x14ac:dyDescent="0.3">
      <c r="A8397" t="s">
        <v>19</v>
      </c>
      <c r="G8397">
        <v>44650</v>
      </c>
      <c r="H8397">
        <v>2022</v>
      </c>
      <c r="I8397" t="s">
        <v>45</v>
      </c>
    </row>
    <row r="8398" spans="1:9" x14ac:dyDescent="0.3">
      <c r="A8398" t="s">
        <v>14</v>
      </c>
      <c r="G8398">
        <v>44650</v>
      </c>
      <c r="H8398">
        <v>2022</v>
      </c>
      <c r="I8398" t="s">
        <v>45</v>
      </c>
    </row>
    <row r="8399" spans="1:9" x14ac:dyDescent="0.3">
      <c r="A8399" t="s">
        <v>24</v>
      </c>
      <c r="G8399">
        <v>44650</v>
      </c>
      <c r="H8399">
        <v>2022</v>
      </c>
      <c r="I8399" t="s">
        <v>45</v>
      </c>
    </row>
    <row r="8400" spans="1:9" x14ac:dyDescent="0.3">
      <c r="A8400" t="s">
        <v>21</v>
      </c>
      <c r="G8400">
        <v>44650</v>
      </c>
      <c r="H8400">
        <v>2022</v>
      </c>
      <c r="I8400" t="s">
        <v>45</v>
      </c>
    </row>
    <row r="8401" spans="1:9" x14ac:dyDescent="0.3">
      <c r="A8401" t="s">
        <v>65</v>
      </c>
      <c r="G8401">
        <v>44650</v>
      </c>
      <c r="H8401">
        <v>2022</v>
      </c>
      <c r="I8401" t="s">
        <v>45</v>
      </c>
    </row>
    <row r="8402" spans="1:9" x14ac:dyDescent="0.3">
      <c r="A8402" t="s">
        <v>18</v>
      </c>
      <c r="G8402">
        <v>44650</v>
      </c>
      <c r="H8402">
        <v>2022</v>
      </c>
      <c r="I8402" t="s">
        <v>45</v>
      </c>
    </row>
    <row r="8403" spans="1:9" x14ac:dyDescent="0.3">
      <c r="A8403" t="s">
        <v>16</v>
      </c>
      <c r="E8403">
        <v>54000</v>
      </c>
      <c r="G8403">
        <v>44650</v>
      </c>
      <c r="H8403">
        <v>2022</v>
      </c>
      <c r="I8403" t="s">
        <v>45</v>
      </c>
    </row>
    <row r="8404" spans="1:9" x14ac:dyDescent="0.3">
      <c r="A8404" t="s">
        <v>20</v>
      </c>
      <c r="G8404">
        <v>44651</v>
      </c>
      <c r="H8404">
        <v>2022</v>
      </c>
      <c r="I8404" t="s">
        <v>45</v>
      </c>
    </row>
    <row r="8405" spans="1:9" x14ac:dyDescent="0.3">
      <c r="A8405" t="s">
        <v>37</v>
      </c>
      <c r="C8405">
        <v>149000</v>
      </c>
      <c r="G8405">
        <v>44651</v>
      </c>
      <c r="H8405">
        <v>2022</v>
      </c>
      <c r="I8405" t="s">
        <v>45</v>
      </c>
    </row>
    <row r="8406" spans="1:9" x14ac:dyDescent="0.3">
      <c r="A8406" t="s">
        <v>17</v>
      </c>
      <c r="B8406">
        <v>639000</v>
      </c>
      <c r="C8406">
        <v>855000</v>
      </c>
      <c r="F8406">
        <v>432000</v>
      </c>
      <c r="G8406">
        <v>44651</v>
      </c>
      <c r="H8406">
        <v>2022</v>
      </c>
      <c r="I8406" t="s">
        <v>45</v>
      </c>
    </row>
    <row r="8407" spans="1:9" x14ac:dyDescent="0.3">
      <c r="A8407" t="s">
        <v>0</v>
      </c>
      <c r="B8407">
        <v>153000</v>
      </c>
      <c r="G8407">
        <v>44651</v>
      </c>
      <c r="H8407">
        <v>2022</v>
      </c>
      <c r="I8407" t="s">
        <v>45</v>
      </c>
    </row>
    <row r="8408" spans="1:9" x14ac:dyDescent="0.3">
      <c r="A8408" t="s">
        <v>25</v>
      </c>
      <c r="G8408">
        <v>44651</v>
      </c>
      <c r="H8408">
        <v>2022</v>
      </c>
      <c r="I8408" t="s">
        <v>45</v>
      </c>
    </row>
    <row r="8409" spans="1:9" x14ac:dyDescent="0.3">
      <c r="A8409" t="s">
        <v>15</v>
      </c>
      <c r="F8409">
        <v>50000</v>
      </c>
      <c r="G8409">
        <v>44651</v>
      </c>
      <c r="H8409">
        <v>2022</v>
      </c>
      <c r="I8409" t="s">
        <v>45</v>
      </c>
    </row>
    <row r="8410" spans="1:9" x14ac:dyDescent="0.3">
      <c r="A8410" t="s">
        <v>54</v>
      </c>
      <c r="B8410">
        <v>755500</v>
      </c>
      <c r="C8410">
        <v>540000</v>
      </c>
      <c r="G8410">
        <v>44651</v>
      </c>
      <c r="H8410">
        <v>2022</v>
      </c>
      <c r="I8410" t="s">
        <v>45</v>
      </c>
    </row>
    <row r="8411" spans="1:9" x14ac:dyDescent="0.3">
      <c r="A8411" t="s">
        <v>26</v>
      </c>
      <c r="C8411">
        <v>45000</v>
      </c>
      <c r="G8411">
        <v>44651</v>
      </c>
      <c r="H8411">
        <v>2022</v>
      </c>
      <c r="I8411" t="s">
        <v>45</v>
      </c>
    </row>
    <row r="8412" spans="1:9" x14ac:dyDescent="0.3">
      <c r="A8412" t="s">
        <v>22</v>
      </c>
      <c r="G8412">
        <v>44651</v>
      </c>
      <c r="H8412">
        <v>2022</v>
      </c>
      <c r="I8412" t="s">
        <v>45</v>
      </c>
    </row>
    <row r="8413" spans="1:9" x14ac:dyDescent="0.3">
      <c r="A8413" t="s">
        <v>61</v>
      </c>
      <c r="G8413">
        <v>44651</v>
      </c>
      <c r="H8413">
        <v>2022</v>
      </c>
      <c r="I8413" t="s">
        <v>45</v>
      </c>
    </row>
    <row r="8414" spans="1:9" x14ac:dyDescent="0.3">
      <c r="A8414" t="s">
        <v>19</v>
      </c>
      <c r="C8414">
        <v>378000</v>
      </c>
      <c r="G8414">
        <v>44651</v>
      </c>
      <c r="H8414">
        <v>2022</v>
      </c>
      <c r="I8414" t="s">
        <v>45</v>
      </c>
    </row>
    <row r="8415" spans="1:9" x14ac:dyDescent="0.3">
      <c r="A8415" t="s">
        <v>14</v>
      </c>
      <c r="G8415">
        <v>44651</v>
      </c>
      <c r="H8415">
        <v>2022</v>
      </c>
      <c r="I8415" t="s">
        <v>45</v>
      </c>
    </row>
    <row r="8416" spans="1:9" x14ac:dyDescent="0.3">
      <c r="A8416" t="s">
        <v>24</v>
      </c>
      <c r="G8416">
        <v>44651</v>
      </c>
      <c r="H8416">
        <v>2022</v>
      </c>
      <c r="I8416" t="s">
        <v>45</v>
      </c>
    </row>
    <row r="8417" spans="1:9" x14ac:dyDescent="0.3">
      <c r="A8417" t="s">
        <v>21</v>
      </c>
      <c r="G8417">
        <v>44651</v>
      </c>
      <c r="H8417">
        <v>2022</v>
      </c>
      <c r="I8417" t="s">
        <v>45</v>
      </c>
    </row>
    <row r="8418" spans="1:9" x14ac:dyDescent="0.3">
      <c r="A8418" t="s">
        <v>65</v>
      </c>
      <c r="G8418">
        <v>44651</v>
      </c>
      <c r="H8418">
        <v>2022</v>
      </c>
      <c r="I8418" t="s">
        <v>45</v>
      </c>
    </row>
    <row r="8419" spans="1:9" x14ac:dyDescent="0.3">
      <c r="A8419" t="s">
        <v>18</v>
      </c>
      <c r="G8419">
        <v>44651</v>
      </c>
      <c r="H8419">
        <v>2022</v>
      </c>
      <c r="I8419" t="s">
        <v>45</v>
      </c>
    </row>
    <row r="8420" spans="1:9" x14ac:dyDescent="0.3">
      <c r="A8420" t="s">
        <v>16</v>
      </c>
      <c r="G8420">
        <v>44651</v>
      </c>
      <c r="H8420">
        <v>2022</v>
      </c>
      <c r="I8420" t="s">
        <v>45</v>
      </c>
    </row>
    <row r="8421" spans="1:9" x14ac:dyDescent="0.3">
      <c r="A8421" t="s">
        <v>20</v>
      </c>
      <c r="G8421">
        <v>44655</v>
      </c>
      <c r="H8421">
        <v>2022</v>
      </c>
      <c r="I8421" t="s">
        <v>46</v>
      </c>
    </row>
    <row r="8422" spans="1:9" x14ac:dyDescent="0.3">
      <c r="A8422" t="s">
        <v>37</v>
      </c>
      <c r="G8422">
        <v>44655</v>
      </c>
      <c r="H8422">
        <v>2022</v>
      </c>
      <c r="I8422" t="s">
        <v>46</v>
      </c>
    </row>
    <row r="8423" spans="1:9" x14ac:dyDescent="0.3">
      <c r="A8423" t="s">
        <v>17</v>
      </c>
      <c r="B8423">
        <v>270000</v>
      </c>
      <c r="F8423">
        <v>432000</v>
      </c>
      <c r="G8423">
        <v>44655</v>
      </c>
      <c r="H8423">
        <v>2022</v>
      </c>
      <c r="I8423" t="s">
        <v>46</v>
      </c>
    </row>
    <row r="8424" spans="1:9" x14ac:dyDescent="0.3">
      <c r="A8424" t="s">
        <v>0</v>
      </c>
      <c r="B8424">
        <v>50000</v>
      </c>
      <c r="G8424">
        <v>44655</v>
      </c>
      <c r="H8424">
        <v>2022</v>
      </c>
      <c r="I8424" t="s">
        <v>46</v>
      </c>
    </row>
    <row r="8425" spans="1:9" x14ac:dyDescent="0.3">
      <c r="A8425" t="s">
        <v>25</v>
      </c>
      <c r="B8425">
        <v>378000</v>
      </c>
      <c r="G8425">
        <v>44655</v>
      </c>
      <c r="H8425">
        <v>2022</v>
      </c>
      <c r="I8425" t="s">
        <v>46</v>
      </c>
    </row>
    <row r="8426" spans="1:9" x14ac:dyDescent="0.3">
      <c r="A8426" t="s">
        <v>15</v>
      </c>
      <c r="G8426">
        <v>44655</v>
      </c>
      <c r="H8426">
        <v>2022</v>
      </c>
      <c r="I8426" t="s">
        <v>46</v>
      </c>
    </row>
    <row r="8427" spans="1:9" x14ac:dyDescent="0.3">
      <c r="A8427" t="s">
        <v>54</v>
      </c>
      <c r="B8427">
        <v>378000</v>
      </c>
      <c r="C8427">
        <v>540000</v>
      </c>
      <c r="F8427">
        <v>270000</v>
      </c>
      <c r="G8427">
        <v>44655</v>
      </c>
      <c r="H8427">
        <v>2022</v>
      </c>
      <c r="I8427" t="s">
        <v>46</v>
      </c>
    </row>
    <row r="8428" spans="1:9" x14ac:dyDescent="0.3">
      <c r="A8428" t="s">
        <v>26</v>
      </c>
      <c r="G8428">
        <v>44655</v>
      </c>
      <c r="H8428">
        <v>2022</v>
      </c>
      <c r="I8428" t="s">
        <v>46</v>
      </c>
    </row>
    <row r="8429" spans="1:9" x14ac:dyDescent="0.3">
      <c r="A8429" t="s">
        <v>22</v>
      </c>
      <c r="G8429">
        <v>44655</v>
      </c>
      <c r="H8429">
        <v>2022</v>
      </c>
      <c r="I8429" t="s">
        <v>46</v>
      </c>
    </row>
    <row r="8430" spans="1:9" x14ac:dyDescent="0.3">
      <c r="A8430" t="s">
        <v>61</v>
      </c>
      <c r="G8430">
        <v>44655</v>
      </c>
      <c r="H8430">
        <v>2022</v>
      </c>
      <c r="I8430" t="s">
        <v>46</v>
      </c>
    </row>
    <row r="8431" spans="1:9" x14ac:dyDescent="0.3">
      <c r="A8431" t="s">
        <v>19</v>
      </c>
      <c r="B8431">
        <v>539500</v>
      </c>
      <c r="C8431">
        <v>324000</v>
      </c>
      <c r="G8431">
        <v>44655</v>
      </c>
      <c r="H8431">
        <v>2022</v>
      </c>
      <c r="I8431" t="s">
        <v>46</v>
      </c>
    </row>
    <row r="8432" spans="1:9" x14ac:dyDescent="0.3">
      <c r="A8432" t="s">
        <v>14</v>
      </c>
      <c r="G8432">
        <v>44655</v>
      </c>
      <c r="H8432">
        <v>2022</v>
      </c>
      <c r="I8432" t="s">
        <v>46</v>
      </c>
    </row>
    <row r="8433" spans="1:9" x14ac:dyDescent="0.3">
      <c r="A8433" t="s">
        <v>24</v>
      </c>
      <c r="G8433">
        <v>44655</v>
      </c>
      <c r="H8433">
        <v>2022</v>
      </c>
      <c r="I8433" t="s">
        <v>46</v>
      </c>
    </row>
    <row r="8434" spans="1:9" x14ac:dyDescent="0.3">
      <c r="A8434" t="s">
        <v>21</v>
      </c>
      <c r="G8434">
        <v>44655</v>
      </c>
      <c r="H8434">
        <v>2022</v>
      </c>
      <c r="I8434" t="s">
        <v>46</v>
      </c>
    </row>
    <row r="8435" spans="1:9" x14ac:dyDescent="0.3">
      <c r="A8435" t="s">
        <v>65</v>
      </c>
      <c r="G8435">
        <v>44655</v>
      </c>
      <c r="H8435">
        <v>2022</v>
      </c>
      <c r="I8435" t="s">
        <v>46</v>
      </c>
    </row>
    <row r="8436" spans="1:9" x14ac:dyDescent="0.3">
      <c r="A8436" t="s">
        <v>18</v>
      </c>
      <c r="G8436">
        <v>44655</v>
      </c>
      <c r="H8436">
        <v>2022</v>
      </c>
      <c r="I8436" t="s">
        <v>46</v>
      </c>
    </row>
    <row r="8437" spans="1:9" x14ac:dyDescent="0.3">
      <c r="A8437" t="s">
        <v>16</v>
      </c>
      <c r="C8437">
        <v>270000</v>
      </c>
      <c r="G8437">
        <v>44655</v>
      </c>
      <c r="H8437">
        <v>2022</v>
      </c>
      <c r="I8437" t="s">
        <v>46</v>
      </c>
    </row>
    <row r="8438" spans="1:9" x14ac:dyDescent="0.3">
      <c r="A8438" t="s">
        <v>20</v>
      </c>
      <c r="G8438">
        <v>44656</v>
      </c>
      <c r="H8438">
        <v>2022</v>
      </c>
      <c r="I8438" t="s">
        <v>46</v>
      </c>
    </row>
    <row r="8439" spans="1:9" x14ac:dyDescent="0.3">
      <c r="A8439" t="s">
        <v>37</v>
      </c>
      <c r="C8439">
        <v>45000</v>
      </c>
      <c r="G8439">
        <v>44656</v>
      </c>
      <c r="H8439">
        <v>2022</v>
      </c>
      <c r="I8439" t="s">
        <v>46</v>
      </c>
    </row>
    <row r="8440" spans="1:9" x14ac:dyDescent="0.3">
      <c r="A8440" t="s">
        <v>17</v>
      </c>
      <c r="B8440">
        <v>432000</v>
      </c>
      <c r="G8440">
        <v>44656</v>
      </c>
      <c r="H8440">
        <v>2022</v>
      </c>
      <c r="I8440" t="s">
        <v>46</v>
      </c>
    </row>
    <row r="8441" spans="1:9" x14ac:dyDescent="0.3">
      <c r="A8441" t="s">
        <v>0</v>
      </c>
      <c r="B8441">
        <v>49500</v>
      </c>
      <c r="G8441">
        <v>44656</v>
      </c>
      <c r="H8441">
        <v>2022</v>
      </c>
      <c r="I8441" t="s">
        <v>46</v>
      </c>
    </row>
    <row r="8442" spans="1:9" x14ac:dyDescent="0.3">
      <c r="A8442" t="s">
        <v>25</v>
      </c>
      <c r="B8442">
        <v>647500</v>
      </c>
      <c r="F8442">
        <v>378000</v>
      </c>
      <c r="G8442">
        <v>44656</v>
      </c>
      <c r="H8442">
        <v>2022</v>
      </c>
      <c r="I8442" t="s">
        <v>46</v>
      </c>
    </row>
    <row r="8443" spans="1:9" x14ac:dyDescent="0.3">
      <c r="A8443" t="s">
        <v>15</v>
      </c>
      <c r="G8443">
        <v>44656</v>
      </c>
      <c r="H8443">
        <v>2022</v>
      </c>
      <c r="I8443" t="s">
        <v>46</v>
      </c>
    </row>
    <row r="8444" spans="1:9" x14ac:dyDescent="0.3">
      <c r="A8444" t="s">
        <v>54</v>
      </c>
      <c r="B8444">
        <v>270000</v>
      </c>
      <c r="C8444">
        <v>216000</v>
      </c>
      <c r="F8444">
        <v>270000</v>
      </c>
      <c r="G8444">
        <v>44656</v>
      </c>
      <c r="H8444">
        <v>2022</v>
      </c>
      <c r="I8444" t="s">
        <v>46</v>
      </c>
    </row>
    <row r="8445" spans="1:9" x14ac:dyDescent="0.3">
      <c r="A8445" t="s">
        <v>26</v>
      </c>
      <c r="B8445">
        <v>432000</v>
      </c>
      <c r="C8445">
        <v>647500</v>
      </c>
      <c r="G8445">
        <v>44656</v>
      </c>
      <c r="H8445">
        <v>2022</v>
      </c>
      <c r="I8445" t="s">
        <v>46</v>
      </c>
    </row>
    <row r="8446" spans="1:9" x14ac:dyDescent="0.3">
      <c r="A8446" t="s">
        <v>22</v>
      </c>
      <c r="G8446">
        <v>44656</v>
      </c>
      <c r="H8446">
        <v>2022</v>
      </c>
      <c r="I8446" t="s">
        <v>46</v>
      </c>
    </row>
    <row r="8447" spans="1:9" x14ac:dyDescent="0.3">
      <c r="A8447" t="s">
        <v>61</v>
      </c>
      <c r="G8447">
        <v>44656</v>
      </c>
      <c r="H8447">
        <v>2022</v>
      </c>
      <c r="I8447" t="s">
        <v>46</v>
      </c>
    </row>
    <row r="8448" spans="1:9" x14ac:dyDescent="0.3">
      <c r="A8448" t="s">
        <v>19</v>
      </c>
      <c r="C8448">
        <v>270000</v>
      </c>
      <c r="G8448">
        <v>44656</v>
      </c>
      <c r="H8448">
        <v>2022</v>
      </c>
      <c r="I8448" t="s">
        <v>46</v>
      </c>
    </row>
    <row r="8449" spans="1:9" x14ac:dyDescent="0.3">
      <c r="A8449" t="s">
        <v>14</v>
      </c>
      <c r="B8449">
        <v>270000</v>
      </c>
      <c r="G8449">
        <v>44656</v>
      </c>
      <c r="H8449">
        <v>2022</v>
      </c>
      <c r="I8449" t="s">
        <v>46</v>
      </c>
    </row>
    <row r="8450" spans="1:9" x14ac:dyDescent="0.3">
      <c r="A8450" t="s">
        <v>24</v>
      </c>
      <c r="G8450">
        <v>44656</v>
      </c>
      <c r="H8450">
        <v>2022</v>
      </c>
      <c r="I8450" t="s">
        <v>46</v>
      </c>
    </row>
    <row r="8451" spans="1:9" x14ac:dyDescent="0.3">
      <c r="A8451" t="s">
        <v>21</v>
      </c>
      <c r="G8451">
        <v>44656</v>
      </c>
      <c r="H8451">
        <v>2022</v>
      </c>
      <c r="I8451" t="s">
        <v>46</v>
      </c>
    </row>
    <row r="8452" spans="1:9" x14ac:dyDescent="0.3">
      <c r="A8452" t="s">
        <v>65</v>
      </c>
      <c r="G8452">
        <v>44656</v>
      </c>
      <c r="H8452">
        <v>2022</v>
      </c>
      <c r="I8452" t="s">
        <v>46</v>
      </c>
    </row>
    <row r="8453" spans="1:9" x14ac:dyDescent="0.3">
      <c r="A8453" t="s">
        <v>18</v>
      </c>
      <c r="G8453">
        <v>44656</v>
      </c>
      <c r="H8453">
        <v>2022</v>
      </c>
      <c r="I8453" t="s">
        <v>46</v>
      </c>
    </row>
    <row r="8454" spans="1:9" x14ac:dyDescent="0.3">
      <c r="A8454" t="s">
        <v>16</v>
      </c>
      <c r="C8454">
        <v>108000</v>
      </c>
      <c r="G8454">
        <v>44656</v>
      </c>
      <c r="H8454">
        <v>2022</v>
      </c>
      <c r="I8454" t="s">
        <v>46</v>
      </c>
    </row>
    <row r="8455" spans="1:9" x14ac:dyDescent="0.3">
      <c r="A8455" t="s">
        <v>20</v>
      </c>
      <c r="G8455">
        <v>44657</v>
      </c>
      <c r="H8455">
        <v>2022</v>
      </c>
      <c r="I8455" t="s">
        <v>46</v>
      </c>
    </row>
    <row r="8456" spans="1:9" x14ac:dyDescent="0.3">
      <c r="A8456" t="s">
        <v>37</v>
      </c>
      <c r="G8456">
        <v>44657</v>
      </c>
      <c r="H8456">
        <v>2022</v>
      </c>
      <c r="I8456" t="s">
        <v>46</v>
      </c>
    </row>
    <row r="8457" spans="1:9" x14ac:dyDescent="0.3">
      <c r="A8457" t="s">
        <v>17</v>
      </c>
      <c r="B8457">
        <v>369000</v>
      </c>
      <c r="G8457">
        <v>44657</v>
      </c>
      <c r="H8457">
        <v>2022</v>
      </c>
      <c r="I8457" t="s">
        <v>46</v>
      </c>
    </row>
    <row r="8458" spans="1:9" x14ac:dyDescent="0.3">
      <c r="A8458" t="s">
        <v>0</v>
      </c>
      <c r="G8458">
        <v>44657</v>
      </c>
      <c r="H8458">
        <v>2022</v>
      </c>
      <c r="I8458" t="s">
        <v>46</v>
      </c>
    </row>
    <row r="8459" spans="1:9" x14ac:dyDescent="0.3">
      <c r="A8459" t="s">
        <v>25</v>
      </c>
      <c r="B8459">
        <v>319500</v>
      </c>
      <c r="F8459">
        <v>270000</v>
      </c>
      <c r="G8459">
        <v>44657</v>
      </c>
      <c r="H8459">
        <v>2022</v>
      </c>
      <c r="I8459" t="s">
        <v>46</v>
      </c>
    </row>
    <row r="8460" spans="1:9" x14ac:dyDescent="0.3">
      <c r="A8460" t="s">
        <v>15</v>
      </c>
      <c r="G8460">
        <v>44657</v>
      </c>
      <c r="H8460">
        <v>2022</v>
      </c>
      <c r="I8460" t="s">
        <v>46</v>
      </c>
    </row>
    <row r="8461" spans="1:9" x14ac:dyDescent="0.3">
      <c r="A8461" t="s">
        <v>54</v>
      </c>
      <c r="B8461">
        <v>265500</v>
      </c>
      <c r="G8461">
        <v>44657</v>
      </c>
      <c r="H8461">
        <v>2022</v>
      </c>
      <c r="I8461" t="s">
        <v>46</v>
      </c>
    </row>
    <row r="8462" spans="1:9" x14ac:dyDescent="0.3">
      <c r="A8462" t="s">
        <v>26</v>
      </c>
      <c r="B8462">
        <v>319500</v>
      </c>
      <c r="F8462">
        <v>108000</v>
      </c>
      <c r="G8462">
        <v>44657</v>
      </c>
      <c r="H8462">
        <v>2022</v>
      </c>
      <c r="I8462" t="s">
        <v>46</v>
      </c>
    </row>
    <row r="8463" spans="1:9" x14ac:dyDescent="0.3">
      <c r="A8463" t="s">
        <v>22</v>
      </c>
      <c r="G8463">
        <v>44657</v>
      </c>
      <c r="H8463">
        <v>2022</v>
      </c>
      <c r="I8463" t="s">
        <v>46</v>
      </c>
    </row>
    <row r="8464" spans="1:9" x14ac:dyDescent="0.3">
      <c r="A8464" t="s">
        <v>61</v>
      </c>
      <c r="G8464">
        <v>44657</v>
      </c>
      <c r="H8464">
        <v>2022</v>
      </c>
      <c r="I8464" t="s">
        <v>46</v>
      </c>
    </row>
    <row r="8465" spans="1:9" x14ac:dyDescent="0.3">
      <c r="A8465" t="s">
        <v>19</v>
      </c>
      <c r="C8465">
        <v>198000</v>
      </c>
      <c r="G8465">
        <v>44657</v>
      </c>
      <c r="H8465">
        <v>2022</v>
      </c>
      <c r="I8465" t="s">
        <v>46</v>
      </c>
    </row>
    <row r="8466" spans="1:9" x14ac:dyDescent="0.3">
      <c r="A8466" t="s">
        <v>14</v>
      </c>
      <c r="B8466">
        <v>108000</v>
      </c>
      <c r="C8466">
        <v>810000</v>
      </c>
      <c r="G8466">
        <v>44657</v>
      </c>
      <c r="H8466">
        <v>2022</v>
      </c>
      <c r="I8466" t="s">
        <v>46</v>
      </c>
    </row>
    <row r="8467" spans="1:9" x14ac:dyDescent="0.3">
      <c r="A8467" t="s">
        <v>24</v>
      </c>
      <c r="G8467">
        <v>44657</v>
      </c>
      <c r="H8467">
        <v>2022</v>
      </c>
      <c r="I8467" t="s">
        <v>46</v>
      </c>
    </row>
    <row r="8468" spans="1:9" x14ac:dyDescent="0.3">
      <c r="A8468" t="s">
        <v>21</v>
      </c>
      <c r="G8468">
        <v>44657</v>
      </c>
      <c r="H8468">
        <v>2022</v>
      </c>
      <c r="I8468" t="s">
        <v>46</v>
      </c>
    </row>
    <row r="8469" spans="1:9" x14ac:dyDescent="0.3">
      <c r="A8469" t="s">
        <v>65</v>
      </c>
      <c r="G8469">
        <v>44657</v>
      </c>
      <c r="H8469">
        <v>2022</v>
      </c>
      <c r="I8469" t="s">
        <v>46</v>
      </c>
    </row>
    <row r="8470" spans="1:9" x14ac:dyDescent="0.3">
      <c r="A8470" t="s">
        <v>18</v>
      </c>
      <c r="G8470">
        <v>44657</v>
      </c>
      <c r="H8470">
        <v>2022</v>
      </c>
      <c r="I8470" t="s">
        <v>46</v>
      </c>
    </row>
    <row r="8471" spans="1:9" x14ac:dyDescent="0.3">
      <c r="A8471" t="s">
        <v>16</v>
      </c>
      <c r="G8471">
        <v>44657</v>
      </c>
      <c r="H8471">
        <v>2022</v>
      </c>
      <c r="I8471" t="s">
        <v>46</v>
      </c>
    </row>
    <row r="8472" spans="1:9" x14ac:dyDescent="0.3">
      <c r="A8472" t="s">
        <v>20</v>
      </c>
      <c r="G8472">
        <v>44658</v>
      </c>
      <c r="H8472">
        <v>2022</v>
      </c>
      <c r="I8472" t="s">
        <v>46</v>
      </c>
    </row>
    <row r="8473" spans="1:9" x14ac:dyDescent="0.3">
      <c r="A8473" t="s">
        <v>37</v>
      </c>
      <c r="G8473">
        <v>44658</v>
      </c>
      <c r="H8473">
        <v>2022</v>
      </c>
      <c r="I8473" t="s">
        <v>46</v>
      </c>
    </row>
    <row r="8474" spans="1:9" x14ac:dyDescent="0.3">
      <c r="A8474" t="s">
        <v>17</v>
      </c>
      <c r="B8474">
        <v>139500</v>
      </c>
      <c r="G8474">
        <v>44658</v>
      </c>
      <c r="H8474">
        <v>2022</v>
      </c>
      <c r="I8474" t="s">
        <v>46</v>
      </c>
    </row>
    <row r="8475" spans="1:9" x14ac:dyDescent="0.3">
      <c r="A8475" t="s">
        <v>0</v>
      </c>
      <c r="G8475">
        <v>44658</v>
      </c>
      <c r="H8475">
        <v>2022</v>
      </c>
      <c r="I8475" t="s">
        <v>46</v>
      </c>
    </row>
    <row r="8476" spans="1:9" x14ac:dyDescent="0.3">
      <c r="A8476" t="s">
        <v>25</v>
      </c>
      <c r="B8476">
        <v>162000</v>
      </c>
      <c r="G8476">
        <v>44658</v>
      </c>
      <c r="H8476">
        <v>2022</v>
      </c>
      <c r="I8476" t="s">
        <v>46</v>
      </c>
    </row>
    <row r="8477" spans="1:9" x14ac:dyDescent="0.3">
      <c r="A8477" t="s">
        <v>15</v>
      </c>
      <c r="B8477">
        <v>468000</v>
      </c>
      <c r="C8477">
        <v>216000</v>
      </c>
      <c r="G8477">
        <v>44658</v>
      </c>
      <c r="H8477">
        <v>2022</v>
      </c>
      <c r="I8477" t="s">
        <v>46</v>
      </c>
    </row>
    <row r="8478" spans="1:9" x14ac:dyDescent="0.3">
      <c r="A8478" t="s">
        <v>54</v>
      </c>
      <c r="B8478">
        <v>216000</v>
      </c>
      <c r="C8478">
        <v>54000</v>
      </c>
      <c r="E8478">
        <v>54000</v>
      </c>
      <c r="G8478">
        <v>44658</v>
      </c>
      <c r="H8478">
        <v>2022</v>
      </c>
      <c r="I8478" t="s">
        <v>46</v>
      </c>
    </row>
    <row r="8479" spans="1:9" x14ac:dyDescent="0.3">
      <c r="A8479" t="s">
        <v>26</v>
      </c>
      <c r="B8479">
        <v>162000</v>
      </c>
      <c r="C8479">
        <v>99000</v>
      </c>
      <c r="E8479">
        <v>103500</v>
      </c>
      <c r="G8479">
        <v>44658</v>
      </c>
      <c r="H8479">
        <v>2022</v>
      </c>
      <c r="I8479" t="s">
        <v>46</v>
      </c>
    </row>
    <row r="8480" spans="1:9" x14ac:dyDescent="0.3">
      <c r="A8480" t="s">
        <v>22</v>
      </c>
      <c r="G8480">
        <v>44658</v>
      </c>
      <c r="H8480">
        <v>2022</v>
      </c>
      <c r="I8480" t="s">
        <v>46</v>
      </c>
    </row>
    <row r="8481" spans="1:9" x14ac:dyDescent="0.3">
      <c r="A8481" t="s">
        <v>61</v>
      </c>
      <c r="G8481">
        <v>44658</v>
      </c>
      <c r="H8481">
        <v>2022</v>
      </c>
      <c r="I8481" t="s">
        <v>46</v>
      </c>
    </row>
    <row r="8482" spans="1:9" x14ac:dyDescent="0.3">
      <c r="A8482" t="s">
        <v>19</v>
      </c>
      <c r="B8482">
        <v>432000</v>
      </c>
      <c r="G8482">
        <v>44658</v>
      </c>
      <c r="H8482">
        <v>2022</v>
      </c>
      <c r="I8482" t="s">
        <v>46</v>
      </c>
    </row>
    <row r="8483" spans="1:9" x14ac:dyDescent="0.3">
      <c r="A8483" t="s">
        <v>14</v>
      </c>
      <c r="B8483">
        <v>698000</v>
      </c>
      <c r="C8483">
        <v>432000</v>
      </c>
      <c r="G8483">
        <v>44658</v>
      </c>
      <c r="H8483">
        <v>2022</v>
      </c>
      <c r="I8483" t="s">
        <v>46</v>
      </c>
    </row>
    <row r="8484" spans="1:9" x14ac:dyDescent="0.3">
      <c r="A8484" t="s">
        <v>24</v>
      </c>
      <c r="G8484">
        <v>44658</v>
      </c>
      <c r="H8484">
        <v>2022</v>
      </c>
      <c r="I8484" t="s">
        <v>46</v>
      </c>
    </row>
    <row r="8485" spans="1:9" x14ac:dyDescent="0.3">
      <c r="A8485" t="s">
        <v>21</v>
      </c>
      <c r="G8485">
        <v>44658</v>
      </c>
      <c r="H8485">
        <v>2022</v>
      </c>
      <c r="I8485" t="s">
        <v>46</v>
      </c>
    </row>
    <row r="8486" spans="1:9" x14ac:dyDescent="0.3">
      <c r="A8486" t="s">
        <v>65</v>
      </c>
      <c r="G8486">
        <v>44658</v>
      </c>
      <c r="H8486">
        <v>2022</v>
      </c>
      <c r="I8486" t="s">
        <v>46</v>
      </c>
    </row>
    <row r="8487" spans="1:9" x14ac:dyDescent="0.3">
      <c r="A8487" t="s">
        <v>18</v>
      </c>
      <c r="G8487">
        <v>44658</v>
      </c>
      <c r="H8487">
        <v>2022</v>
      </c>
      <c r="I8487" t="s">
        <v>46</v>
      </c>
    </row>
    <row r="8488" spans="1:9" x14ac:dyDescent="0.3">
      <c r="A8488" t="s">
        <v>16</v>
      </c>
      <c r="E8488">
        <v>54000</v>
      </c>
      <c r="G8488">
        <v>44658</v>
      </c>
      <c r="H8488">
        <v>2022</v>
      </c>
      <c r="I8488" t="s">
        <v>46</v>
      </c>
    </row>
    <row r="8489" spans="1:9" x14ac:dyDescent="0.3">
      <c r="A8489" t="s">
        <v>20</v>
      </c>
      <c r="G8489">
        <v>44659</v>
      </c>
      <c r="H8489">
        <v>2022</v>
      </c>
      <c r="I8489" t="s">
        <v>46</v>
      </c>
    </row>
    <row r="8490" spans="1:9" x14ac:dyDescent="0.3">
      <c r="A8490" t="s">
        <v>37</v>
      </c>
      <c r="G8490">
        <v>44659</v>
      </c>
      <c r="H8490">
        <v>2022</v>
      </c>
      <c r="I8490" t="s">
        <v>46</v>
      </c>
    </row>
    <row r="8491" spans="1:9" x14ac:dyDescent="0.3">
      <c r="A8491" t="s">
        <v>17</v>
      </c>
      <c r="B8491">
        <v>45000</v>
      </c>
      <c r="G8491">
        <v>44659</v>
      </c>
      <c r="H8491">
        <v>2022</v>
      </c>
      <c r="I8491" t="s">
        <v>46</v>
      </c>
    </row>
    <row r="8492" spans="1:9" x14ac:dyDescent="0.3">
      <c r="A8492" t="s">
        <v>0</v>
      </c>
      <c r="B8492">
        <v>54000</v>
      </c>
      <c r="G8492">
        <v>44659</v>
      </c>
      <c r="H8492">
        <v>2022</v>
      </c>
      <c r="I8492" t="s">
        <v>46</v>
      </c>
    </row>
    <row r="8493" spans="1:9" x14ac:dyDescent="0.3">
      <c r="A8493" t="s">
        <v>25</v>
      </c>
      <c r="B8493">
        <v>414000</v>
      </c>
      <c r="G8493">
        <v>44659</v>
      </c>
      <c r="H8493">
        <v>2022</v>
      </c>
      <c r="I8493" t="s">
        <v>46</v>
      </c>
    </row>
    <row r="8494" spans="1:9" x14ac:dyDescent="0.3">
      <c r="A8494" t="s">
        <v>15</v>
      </c>
      <c r="B8494">
        <v>477000</v>
      </c>
      <c r="C8494">
        <v>1122000</v>
      </c>
      <c r="G8494">
        <v>44659</v>
      </c>
      <c r="H8494">
        <v>2022</v>
      </c>
      <c r="I8494" t="s">
        <v>46</v>
      </c>
    </row>
    <row r="8495" spans="1:9" x14ac:dyDescent="0.3">
      <c r="A8495" t="s">
        <v>54</v>
      </c>
      <c r="B8495">
        <v>216000</v>
      </c>
      <c r="E8495">
        <v>378000</v>
      </c>
      <c r="G8495">
        <v>44659</v>
      </c>
      <c r="H8495">
        <v>2022</v>
      </c>
      <c r="I8495" t="s">
        <v>46</v>
      </c>
    </row>
    <row r="8496" spans="1:9" x14ac:dyDescent="0.3">
      <c r="A8496" t="s">
        <v>26</v>
      </c>
      <c r="B8496">
        <v>423000</v>
      </c>
      <c r="C8496">
        <v>99000</v>
      </c>
      <c r="G8496">
        <v>44659</v>
      </c>
      <c r="H8496">
        <v>2022</v>
      </c>
      <c r="I8496" t="s">
        <v>46</v>
      </c>
    </row>
    <row r="8497" spans="1:9" x14ac:dyDescent="0.3">
      <c r="A8497" t="s">
        <v>22</v>
      </c>
      <c r="G8497">
        <v>44659</v>
      </c>
      <c r="H8497">
        <v>2022</v>
      </c>
      <c r="I8497" t="s">
        <v>46</v>
      </c>
    </row>
    <row r="8498" spans="1:9" x14ac:dyDescent="0.3">
      <c r="A8498" t="s">
        <v>61</v>
      </c>
      <c r="G8498">
        <v>44659</v>
      </c>
      <c r="H8498">
        <v>2022</v>
      </c>
      <c r="I8498" t="s">
        <v>46</v>
      </c>
    </row>
    <row r="8499" spans="1:9" x14ac:dyDescent="0.3">
      <c r="A8499" t="s">
        <v>19</v>
      </c>
      <c r="B8499">
        <v>374000</v>
      </c>
      <c r="G8499">
        <v>44659</v>
      </c>
      <c r="H8499">
        <v>2022</v>
      </c>
      <c r="I8499" t="s">
        <v>46</v>
      </c>
    </row>
    <row r="8500" spans="1:9" x14ac:dyDescent="0.3">
      <c r="A8500" t="s">
        <v>14</v>
      </c>
      <c r="B8500">
        <v>526500</v>
      </c>
      <c r="C8500">
        <v>852000</v>
      </c>
      <c r="G8500">
        <v>44659</v>
      </c>
      <c r="H8500">
        <v>2022</v>
      </c>
      <c r="I8500" t="s">
        <v>46</v>
      </c>
    </row>
    <row r="8501" spans="1:9" x14ac:dyDescent="0.3">
      <c r="A8501" t="s">
        <v>24</v>
      </c>
      <c r="G8501">
        <v>44659</v>
      </c>
      <c r="H8501">
        <v>2022</v>
      </c>
      <c r="I8501" t="s">
        <v>46</v>
      </c>
    </row>
    <row r="8502" spans="1:9" x14ac:dyDescent="0.3">
      <c r="A8502" t="s">
        <v>21</v>
      </c>
      <c r="B8502">
        <v>108000</v>
      </c>
      <c r="G8502">
        <v>44659</v>
      </c>
      <c r="H8502">
        <v>2022</v>
      </c>
      <c r="I8502" t="s">
        <v>46</v>
      </c>
    </row>
    <row r="8503" spans="1:9" x14ac:dyDescent="0.3">
      <c r="A8503" t="s">
        <v>65</v>
      </c>
      <c r="G8503">
        <v>44659</v>
      </c>
      <c r="H8503">
        <v>2022</v>
      </c>
      <c r="I8503" t="s">
        <v>46</v>
      </c>
    </row>
    <row r="8504" spans="1:9" x14ac:dyDescent="0.3">
      <c r="A8504" t="s">
        <v>18</v>
      </c>
      <c r="G8504">
        <v>44659</v>
      </c>
      <c r="H8504">
        <v>2022</v>
      </c>
      <c r="I8504" t="s">
        <v>46</v>
      </c>
    </row>
    <row r="8505" spans="1:9" x14ac:dyDescent="0.3">
      <c r="A8505" t="s">
        <v>16</v>
      </c>
      <c r="G8505">
        <v>44659</v>
      </c>
      <c r="H8505">
        <v>2022</v>
      </c>
      <c r="I8505" t="s">
        <v>46</v>
      </c>
    </row>
    <row r="8506" spans="1:9" x14ac:dyDescent="0.3">
      <c r="A8506" t="s">
        <v>20</v>
      </c>
      <c r="G8506">
        <v>44662</v>
      </c>
      <c r="H8506">
        <v>2022</v>
      </c>
      <c r="I8506" t="s">
        <v>46</v>
      </c>
    </row>
    <row r="8507" spans="1:9" x14ac:dyDescent="0.3">
      <c r="A8507" t="s">
        <v>37</v>
      </c>
      <c r="G8507">
        <v>44662</v>
      </c>
      <c r="H8507">
        <v>2022</v>
      </c>
      <c r="I8507" t="s">
        <v>46</v>
      </c>
    </row>
    <row r="8508" spans="1:9" x14ac:dyDescent="0.3">
      <c r="A8508" t="s">
        <v>17</v>
      </c>
      <c r="C8508">
        <v>45000</v>
      </c>
      <c r="G8508">
        <v>44662</v>
      </c>
      <c r="H8508">
        <v>2022</v>
      </c>
      <c r="I8508" t="s">
        <v>46</v>
      </c>
    </row>
    <row r="8509" spans="1:9" x14ac:dyDescent="0.3">
      <c r="A8509" t="s">
        <v>0</v>
      </c>
      <c r="G8509">
        <v>44662</v>
      </c>
      <c r="H8509">
        <v>2022</v>
      </c>
      <c r="I8509" t="s">
        <v>46</v>
      </c>
    </row>
    <row r="8510" spans="1:9" x14ac:dyDescent="0.3">
      <c r="A8510" t="s">
        <v>25</v>
      </c>
      <c r="B8510">
        <v>270000</v>
      </c>
      <c r="G8510">
        <v>44662</v>
      </c>
      <c r="H8510">
        <v>2022</v>
      </c>
      <c r="I8510" t="s">
        <v>46</v>
      </c>
    </row>
    <row r="8511" spans="1:9" x14ac:dyDescent="0.3">
      <c r="A8511" t="s">
        <v>15</v>
      </c>
      <c r="B8511">
        <v>216000</v>
      </c>
      <c r="C8511">
        <v>963000</v>
      </c>
      <c r="G8511">
        <v>44662</v>
      </c>
      <c r="H8511">
        <v>2022</v>
      </c>
      <c r="I8511" t="s">
        <v>46</v>
      </c>
    </row>
    <row r="8512" spans="1:9" x14ac:dyDescent="0.3">
      <c r="A8512" t="s">
        <v>54</v>
      </c>
      <c r="E8512">
        <v>108000</v>
      </c>
      <c r="G8512">
        <v>44662</v>
      </c>
      <c r="H8512">
        <v>2022</v>
      </c>
      <c r="I8512" t="s">
        <v>46</v>
      </c>
    </row>
    <row r="8513" spans="1:9" x14ac:dyDescent="0.3">
      <c r="A8513" t="s">
        <v>26</v>
      </c>
      <c r="B8513">
        <v>157500</v>
      </c>
      <c r="G8513">
        <v>44662</v>
      </c>
      <c r="H8513">
        <v>2022</v>
      </c>
      <c r="I8513" t="s">
        <v>46</v>
      </c>
    </row>
    <row r="8514" spans="1:9" x14ac:dyDescent="0.3">
      <c r="A8514" t="s">
        <v>22</v>
      </c>
      <c r="G8514">
        <v>44662</v>
      </c>
      <c r="H8514">
        <v>2022</v>
      </c>
      <c r="I8514" t="s">
        <v>46</v>
      </c>
    </row>
    <row r="8515" spans="1:9" x14ac:dyDescent="0.3">
      <c r="A8515" t="s">
        <v>61</v>
      </c>
      <c r="G8515">
        <v>44662</v>
      </c>
      <c r="H8515">
        <v>2022</v>
      </c>
      <c r="I8515" t="s">
        <v>46</v>
      </c>
    </row>
    <row r="8516" spans="1:9" x14ac:dyDescent="0.3">
      <c r="A8516" t="s">
        <v>19</v>
      </c>
      <c r="B8516">
        <v>270000</v>
      </c>
      <c r="G8516">
        <v>44662</v>
      </c>
      <c r="H8516">
        <v>2022</v>
      </c>
      <c r="I8516" t="s">
        <v>46</v>
      </c>
    </row>
    <row r="8517" spans="1:9" x14ac:dyDescent="0.3">
      <c r="A8517" t="s">
        <v>14</v>
      </c>
      <c r="B8517">
        <v>432000</v>
      </c>
      <c r="C8517">
        <v>535500</v>
      </c>
      <c r="G8517">
        <v>44662</v>
      </c>
      <c r="H8517">
        <v>2022</v>
      </c>
      <c r="I8517" t="s">
        <v>46</v>
      </c>
    </row>
    <row r="8518" spans="1:9" x14ac:dyDescent="0.3">
      <c r="A8518" t="s">
        <v>24</v>
      </c>
      <c r="G8518">
        <v>44662</v>
      </c>
      <c r="H8518">
        <v>2022</v>
      </c>
      <c r="I8518" t="s">
        <v>46</v>
      </c>
    </row>
    <row r="8519" spans="1:9" x14ac:dyDescent="0.3">
      <c r="A8519" t="s">
        <v>21</v>
      </c>
      <c r="B8519">
        <v>216000</v>
      </c>
      <c r="G8519">
        <v>44662</v>
      </c>
      <c r="H8519">
        <v>2022</v>
      </c>
      <c r="I8519" t="s">
        <v>46</v>
      </c>
    </row>
    <row r="8520" spans="1:9" x14ac:dyDescent="0.3">
      <c r="A8520" t="s">
        <v>65</v>
      </c>
      <c r="G8520">
        <v>44662</v>
      </c>
      <c r="H8520">
        <v>2022</v>
      </c>
      <c r="I8520" t="s">
        <v>46</v>
      </c>
    </row>
    <row r="8521" spans="1:9" x14ac:dyDescent="0.3">
      <c r="A8521" t="s">
        <v>18</v>
      </c>
      <c r="G8521">
        <v>44662</v>
      </c>
      <c r="H8521">
        <v>2022</v>
      </c>
      <c r="I8521" t="s">
        <v>46</v>
      </c>
    </row>
    <row r="8522" spans="1:9" x14ac:dyDescent="0.3">
      <c r="A8522" t="s">
        <v>16</v>
      </c>
      <c r="G8522">
        <v>44662</v>
      </c>
      <c r="H8522">
        <v>2022</v>
      </c>
      <c r="I8522" t="s">
        <v>46</v>
      </c>
    </row>
    <row r="8523" spans="1:9" x14ac:dyDescent="0.3">
      <c r="A8523" t="s">
        <v>20</v>
      </c>
      <c r="G8523">
        <v>44663</v>
      </c>
      <c r="H8523">
        <v>2022</v>
      </c>
      <c r="I8523" t="s">
        <v>46</v>
      </c>
    </row>
    <row r="8524" spans="1:9" x14ac:dyDescent="0.3">
      <c r="A8524" t="s">
        <v>37</v>
      </c>
      <c r="G8524">
        <v>44663</v>
      </c>
      <c r="H8524">
        <v>2022</v>
      </c>
      <c r="I8524" t="s">
        <v>46</v>
      </c>
    </row>
    <row r="8525" spans="1:9" x14ac:dyDescent="0.3">
      <c r="A8525" t="s">
        <v>17</v>
      </c>
      <c r="E8525">
        <v>297000</v>
      </c>
      <c r="G8525">
        <v>44663</v>
      </c>
      <c r="H8525">
        <v>2022</v>
      </c>
      <c r="I8525" t="s">
        <v>46</v>
      </c>
    </row>
    <row r="8526" spans="1:9" x14ac:dyDescent="0.3">
      <c r="A8526" t="s">
        <v>0</v>
      </c>
      <c r="C8526">
        <v>319500</v>
      </c>
      <c r="G8526">
        <v>44663</v>
      </c>
      <c r="H8526">
        <v>2022</v>
      </c>
      <c r="I8526" t="s">
        <v>46</v>
      </c>
    </row>
    <row r="8527" spans="1:9" x14ac:dyDescent="0.3">
      <c r="A8527" t="s">
        <v>25</v>
      </c>
      <c r="B8527">
        <v>108000</v>
      </c>
      <c r="F8527">
        <v>50000</v>
      </c>
      <c r="G8527">
        <v>44663</v>
      </c>
      <c r="H8527">
        <v>2022</v>
      </c>
      <c r="I8527" t="s">
        <v>46</v>
      </c>
    </row>
    <row r="8528" spans="1:9" x14ac:dyDescent="0.3">
      <c r="A8528" t="s">
        <v>15</v>
      </c>
      <c r="B8528">
        <v>324000</v>
      </c>
      <c r="C8528">
        <v>54000</v>
      </c>
      <c r="G8528">
        <v>44663</v>
      </c>
      <c r="H8528">
        <v>2022</v>
      </c>
      <c r="I8528" t="s">
        <v>46</v>
      </c>
    </row>
    <row r="8529" spans="1:9" x14ac:dyDescent="0.3">
      <c r="A8529" t="s">
        <v>54</v>
      </c>
      <c r="G8529">
        <v>44663</v>
      </c>
      <c r="H8529">
        <v>2022</v>
      </c>
      <c r="I8529" t="s">
        <v>46</v>
      </c>
    </row>
    <row r="8530" spans="1:9" x14ac:dyDescent="0.3">
      <c r="A8530" t="s">
        <v>26</v>
      </c>
      <c r="B8530">
        <v>99000</v>
      </c>
      <c r="E8530">
        <v>49500</v>
      </c>
      <c r="F8530">
        <v>153000</v>
      </c>
      <c r="G8530">
        <v>44663</v>
      </c>
      <c r="H8530">
        <v>2022</v>
      </c>
      <c r="I8530" t="s">
        <v>46</v>
      </c>
    </row>
    <row r="8531" spans="1:9" x14ac:dyDescent="0.3">
      <c r="A8531" t="s">
        <v>22</v>
      </c>
      <c r="G8531">
        <v>44663</v>
      </c>
      <c r="H8531">
        <v>2022</v>
      </c>
      <c r="I8531" t="s">
        <v>46</v>
      </c>
    </row>
    <row r="8532" spans="1:9" x14ac:dyDescent="0.3">
      <c r="A8532" t="s">
        <v>61</v>
      </c>
      <c r="G8532">
        <v>44663</v>
      </c>
      <c r="H8532">
        <v>2022</v>
      </c>
      <c r="I8532" t="s">
        <v>46</v>
      </c>
    </row>
    <row r="8533" spans="1:9" x14ac:dyDescent="0.3">
      <c r="A8533" t="s">
        <v>19</v>
      </c>
      <c r="B8533">
        <v>162000</v>
      </c>
      <c r="C8533">
        <v>324000</v>
      </c>
      <c r="F8533">
        <v>162000</v>
      </c>
      <c r="G8533">
        <v>44663</v>
      </c>
      <c r="H8533">
        <v>2022</v>
      </c>
      <c r="I8533" t="s">
        <v>46</v>
      </c>
    </row>
    <row r="8534" spans="1:9" x14ac:dyDescent="0.3">
      <c r="A8534" t="s">
        <v>14</v>
      </c>
      <c r="B8534">
        <v>270000</v>
      </c>
      <c r="C8534">
        <v>108000</v>
      </c>
      <c r="F8534">
        <v>162000</v>
      </c>
      <c r="G8534">
        <v>44663</v>
      </c>
      <c r="H8534">
        <v>2022</v>
      </c>
      <c r="I8534" t="s">
        <v>46</v>
      </c>
    </row>
    <row r="8535" spans="1:9" x14ac:dyDescent="0.3">
      <c r="A8535" t="s">
        <v>24</v>
      </c>
      <c r="G8535">
        <v>44663</v>
      </c>
      <c r="H8535">
        <v>2022</v>
      </c>
      <c r="I8535" t="s">
        <v>46</v>
      </c>
    </row>
    <row r="8536" spans="1:9" x14ac:dyDescent="0.3">
      <c r="A8536" t="s">
        <v>21</v>
      </c>
      <c r="B8536">
        <v>158000</v>
      </c>
      <c r="G8536">
        <v>44663</v>
      </c>
      <c r="H8536">
        <v>2022</v>
      </c>
      <c r="I8536" t="s">
        <v>46</v>
      </c>
    </row>
    <row r="8537" spans="1:9" x14ac:dyDescent="0.3">
      <c r="A8537" t="s">
        <v>65</v>
      </c>
      <c r="G8537">
        <v>44663</v>
      </c>
      <c r="H8537">
        <v>2022</v>
      </c>
      <c r="I8537" t="s">
        <v>46</v>
      </c>
    </row>
    <row r="8538" spans="1:9" x14ac:dyDescent="0.3">
      <c r="A8538" t="s">
        <v>18</v>
      </c>
      <c r="G8538">
        <v>44663</v>
      </c>
      <c r="H8538">
        <v>2022</v>
      </c>
      <c r="I8538" t="s">
        <v>46</v>
      </c>
    </row>
    <row r="8539" spans="1:9" x14ac:dyDescent="0.3">
      <c r="A8539" t="s">
        <v>16</v>
      </c>
      <c r="G8539">
        <v>44663</v>
      </c>
      <c r="H8539">
        <v>2022</v>
      </c>
      <c r="I8539" t="s">
        <v>46</v>
      </c>
    </row>
    <row r="8540" spans="1:9" x14ac:dyDescent="0.3">
      <c r="A8540" t="s">
        <v>20</v>
      </c>
      <c r="G8540">
        <v>44664</v>
      </c>
      <c r="H8540">
        <v>2022</v>
      </c>
      <c r="I8540" t="s">
        <v>46</v>
      </c>
    </row>
    <row r="8541" spans="1:9" x14ac:dyDescent="0.3">
      <c r="A8541" t="s">
        <v>37</v>
      </c>
      <c r="G8541">
        <v>44664</v>
      </c>
      <c r="H8541">
        <v>2022</v>
      </c>
      <c r="I8541" t="s">
        <v>46</v>
      </c>
    </row>
    <row r="8542" spans="1:9" x14ac:dyDescent="0.3">
      <c r="A8542" t="s">
        <v>17</v>
      </c>
      <c r="C8542">
        <v>99000</v>
      </c>
      <c r="G8542">
        <v>44664</v>
      </c>
      <c r="H8542">
        <v>2022</v>
      </c>
      <c r="I8542" t="s">
        <v>46</v>
      </c>
    </row>
    <row r="8543" spans="1:9" x14ac:dyDescent="0.3">
      <c r="A8543" t="s">
        <v>0</v>
      </c>
      <c r="C8543">
        <v>216000</v>
      </c>
      <c r="G8543">
        <v>44664</v>
      </c>
      <c r="H8543">
        <v>2022</v>
      </c>
      <c r="I8543" t="s">
        <v>46</v>
      </c>
    </row>
    <row r="8544" spans="1:9" x14ac:dyDescent="0.3">
      <c r="A8544" t="s">
        <v>25</v>
      </c>
      <c r="B8544">
        <v>108000</v>
      </c>
      <c r="G8544">
        <v>44664</v>
      </c>
      <c r="H8544">
        <v>2022</v>
      </c>
      <c r="I8544" t="s">
        <v>46</v>
      </c>
    </row>
    <row r="8545" spans="1:9" x14ac:dyDescent="0.3">
      <c r="A8545" t="s">
        <v>15</v>
      </c>
      <c r="B8545">
        <v>103500</v>
      </c>
      <c r="G8545">
        <v>44664</v>
      </c>
      <c r="H8545">
        <v>2022</v>
      </c>
      <c r="I8545" t="s">
        <v>46</v>
      </c>
    </row>
    <row r="8546" spans="1:9" x14ac:dyDescent="0.3">
      <c r="A8546" t="s">
        <v>54</v>
      </c>
      <c r="G8546">
        <v>44664</v>
      </c>
      <c r="H8546">
        <v>2022</v>
      </c>
      <c r="I8546" t="s">
        <v>46</v>
      </c>
    </row>
    <row r="8547" spans="1:9" x14ac:dyDescent="0.3">
      <c r="A8547" t="s">
        <v>26</v>
      </c>
      <c r="B8547">
        <v>162000</v>
      </c>
      <c r="F8547">
        <v>324000</v>
      </c>
      <c r="G8547">
        <v>44664</v>
      </c>
      <c r="H8547">
        <v>2022</v>
      </c>
      <c r="I8547" t="s">
        <v>46</v>
      </c>
    </row>
    <row r="8548" spans="1:9" x14ac:dyDescent="0.3">
      <c r="A8548" t="s">
        <v>22</v>
      </c>
      <c r="G8548">
        <v>44664</v>
      </c>
      <c r="H8548">
        <v>2022</v>
      </c>
      <c r="I8548" t="s">
        <v>46</v>
      </c>
    </row>
    <row r="8549" spans="1:9" x14ac:dyDescent="0.3">
      <c r="A8549" t="s">
        <v>61</v>
      </c>
      <c r="G8549">
        <v>44664</v>
      </c>
      <c r="H8549">
        <v>2022</v>
      </c>
      <c r="I8549" t="s">
        <v>46</v>
      </c>
    </row>
    <row r="8550" spans="1:9" x14ac:dyDescent="0.3">
      <c r="A8550" t="s">
        <v>19</v>
      </c>
      <c r="C8550">
        <v>540000</v>
      </c>
      <c r="F8550">
        <v>108000</v>
      </c>
      <c r="G8550">
        <v>44664</v>
      </c>
      <c r="H8550">
        <v>2022</v>
      </c>
      <c r="I8550" t="s">
        <v>46</v>
      </c>
    </row>
    <row r="8551" spans="1:9" x14ac:dyDescent="0.3">
      <c r="A8551" t="s">
        <v>14</v>
      </c>
      <c r="B8551">
        <v>108000</v>
      </c>
      <c r="C8551">
        <v>108000</v>
      </c>
      <c r="F8551">
        <v>54000</v>
      </c>
      <c r="G8551">
        <v>44664</v>
      </c>
      <c r="H8551">
        <v>2022</v>
      </c>
      <c r="I8551" t="s">
        <v>46</v>
      </c>
    </row>
    <row r="8552" spans="1:9" x14ac:dyDescent="0.3">
      <c r="A8552" t="s">
        <v>24</v>
      </c>
      <c r="G8552">
        <v>44664</v>
      </c>
      <c r="H8552">
        <v>2022</v>
      </c>
      <c r="I8552" t="s">
        <v>46</v>
      </c>
    </row>
    <row r="8553" spans="1:9" x14ac:dyDescent="0.3">
      <c r="A8553" t="s">
        <v>21</v>
      </c>
      <c r="B8553">
        <v>54000</v>
      </c>
      <c r="G8553">
        <v>44664</v>
      </c>
      <c r="H8553">
        <v>2022</v>
      </c>
      <c r="I8553" t="s">
        <v>46</v>
      </c>
    </row>
    <row r="8554" spans="1:9" x14ac:dyDescent="0.3">
      <c r="A8554" t="s">
        <v>65</v>
      </c>
      <c r="G8554">
        <v>44664</v>
      </c>
      <c r="H8554">
        <v>2022</v>
      </c>
      <c r="I8554" t="s">
        <v>46</v>
      </c>
    </row>
    <row r="8555" spans="1:9" x14ac:dyDescent="0.3">
      <c r="A8555" t="s">
        <v>18</v>
      </c>
      <c r="G8555">
        <v>44664</v>
      </c>
      <c r="H8555">
        <v>2022</v>
      </c>
      <c r="I8555" t="s">
        <v>46</v>
      </c>
    </row>
    <row r="8556" spans="1:9" x14ac:dyDescent="0.3">
      <c r="A8556" t="s">
        <v>16</v>
      </c>
      <c r="G8556">
        <v>44664</v>
      </c>
      <c r="H8556">
        <v>2022</v>
      </c>
      <c r="I8556" t="s">
        <v>46</v>
      </c>
    </row>
    <row r="8557" spans="1:9" x14ac:dyDescent="0.3">
      <c r="A8557" t="s">
        <v>20</v>
      </c>
      <c r="G8557">
        <v>44665</v>
      </c>
      <c r="H8557">
        <v>2022</v>
      </c>
      <c r="I8557" t="s">
        <v>46</v>
      </c>
    </row>
    <row r="8558" spans="1:9" x14ac:dyDescent="0.3">
      <c r="A8558" t="s">
        <v>37</v>
      </c>
      <c r="G8558">
        <v>44665</v>
      </c>
      <c r="H8558">
        <v>2022</v>
      </c>
      <c r="I8558" t="s">
        <v>46</v>
      </c>
    </row>
    <row r="8559" spans="1:9" x14ac:dyDescent="0.3">
      <c r="A8559" t="s">
        <v>17</v>
      </c>
      <c r="C8559">
        <v>162000</v>
      </c>
      <c r="G8559">
        <v>44665</v>
      </c>
      <c r="H8559">
        <v>2022</v>
      </c>
      <c r="I8559" t="s">
        <v>46</v>
      </c>
    </row>
    <row r="8560" spans="1:9" x14ac:dyDescent="0.3">
      <c r="A8560" t="s">
        <v>0</v>
      </c>
      <c r="C8560">
        <v>270000</v>
      </c>
      <c r="G8560">
        <v>44665</v>
      </c>
      <c r="H8560">
        <v>2022</v>
      </c>
      <c r="I8560" t="s">
        <v>46</v>
      </c>
    </row>
    <row r="8561" spans="1:9" x14ac:dyDescent="0.3">
      <c r="A8561" t="s">
        <v>25</v>
      </c>
      <c r="B8561">
        <v>162000</v>
      </c>
      <c r="G8561">
        <v>44665</v>
      </c>
      <c r="H8561">
        <v>2022</v>
      </c>
      <c r="I8561" t="s">
        <v>46</v>
      </c>
    </row>
    <row r="8562" spans="1:9" x14ac:dyDescent="0.3">
      <c r="A8562" t="s">
        <v>15</v>
      </c>
      <c r="B8562">
        <v>216000</v>
      </c>
      <c r="C8562">
        <v>162000</v>
      </c>
      <c r="G8562">
        <v>44665</v>
      </c>
      <c r="H8562">
        <v>2022</v>
      </c>
      <c r="I8562" t="s">
        <v>46</v>
      </c>
    </row>
    <row r="8563" spans="1:9" x14ac:dyDescent="0.3">
      <c r="A8563" t="s">
        <v>54</v>
      </c>
      <c r="G8563">
        <v>44665</v>
      </c>
      <c r="H8563">
        <v>2022</v>
      </c>
      <c r="I8563" t="s">
        <v>46</v>
      </c>
    </row>
    <row r="8564" spans="1:9" x14ac:dyDescent="0.3">
      <c r="A8564" t="s">
        <v>26</v>
      </c>
      <c r="B8564">
        <v>108000</v>
      </c>
      <c r="G8564">
        <v>44665</v>
      </c>
      <c r="H8564">
        <v>2022</v>
      </c>
      <c r="I8564" t="s">
        <v>46</v>
      </c>
    </row>
    <row r="8565" spans="1:9" x14ac:dyDescent="0.3">
      <c r="A8565" t="s">
        <v>22</v>
      </c>
      <c r="G8565">
        <v>44665</v>
      </c>
      <c r="H8565">
        <v>2022</v>
      </c>
      <c r="I8565" t="s">
        <v>46</v>
      </c>
    </row>
    <row r="8566" spans="1:9" x14ac:dyDescent="0.3">
      <c r="A8566" t="s">
        <v>61</v>
      </c>
      <c r="G8566">
        <v>44665</v>
      </c>
      <c r="H8566">
        <v>2022</v>
      </c>
      <c r="I8566" t="s">
        <v>46</v>
      </c>
    </row>
    <row r="8567" spans="1:9" x14ac:dyDescent="0.3">
      <c r="A8567" t="s">
        <v>19</v>
      </c>
      <c r="B8567">
        <v>270000</v>
      </c>
      <c r="C8567">
        <v>360000</v>
      </c>
      <c r="G8567">
        <v>44665</v>
      </c>
      <c r="H8567">
        <v>2022</v>
      </c>
      <c r="I8567" t="s">
        <v>46</v>
      </c>
    </row>
    <row r="8568" spans="1:9" x14ac:dyDescent="0.3">
      <c r="A8568" t="s">
        <v>14</v>
      </c>
      <c r="B8568">
        <v>270000</v>
      </c>
      <c r="C8568">
        <v>54000</v>
      </c>
      <c r="G8568">
        <v>44665</v>
      </c>
      <c r="H8568">
        <v>2022</v>
      </c>
      <c r="I8568" t="s">
        <v>46</v>
      </c>
    </row>
    <row r="8569" spans="1:9" x14ac:dyDescent="0.3">
      <c r="A8569" t="s">
        <v>24</v>
      </c>
      <c r="G8569">
        <v>44665</v>
      </c>
      <c r="H8569">
        <v>2022</v>
      </c>
      <c r="I8569" t="s">
        <v>46</v>
      </c>
    </row>
    <row r="8570" spans="1:9" x14ac:dyDescent="0.3">
      <c r="A8570" t="s">
        <v>21</v>
      </c>
      <c r="B8570">
        <v>216000</v>
      </c>
      <c r="G8570">
        <v>44665</v>
      </c>
      <c r="H8570">
        <v>2022</v>
      </c>
      <c r="I8570" t="s">
        <v>46</v>
      </c>
    </row>
    <row r="8571" spans="1:9" x14ac:dyDescent="0.3">
      <c r="A8571" t="s">
        <v>65</v>
      </c>
      <c r="G8571">
        <v>44665</v>
      </c>
      <c r="H8571">
        <v>2022</v>
      </c>
      <c r="I8571" t="s">
        <v>46</v>
      </c>
    </row>
    <row r="8572" spans="1:9" x14ac:dyDescent="0.3">
      <c r="A8572" t="s">
        <v>18</v>
      </c>
      <c r="G8572">
        <v>44665</v>
      </c>
      <c r="H8572">
        <v>2022</v>
      </c>
      <c r="I8572" t="s">
        <v>46</v>
      </c>
    </row>
    <row r="8573" spans="1:9" x14ac:dyDescent="0.3">
      <c r="A8573" t="s">
        <v>16</v>
      </c>
      <c r="C8573">
        <v>45000</v>
      </c>
      <c r="G8573">
        <v>44665</v>
      </c>
      <c r="H8573">
        <v>2022</v>
      </c>
      <c r="I8573" t="s">
        <v>46</v>
      </c>
    </row>
    <row r="8574" spans="1:9" x14ac:dyDescent="0.3">
      <c r="A8574" t="s">
        <v>20</v>
      </c>
      <c r="G8574">
        <v>44670</v>
      </c>
      <c r="H8574">
        <v>2022</v>
      </c>
      <c r="I8574" t="s">
        <v>46</v>
      </c>
    </row>
    <row r="8575" spans="1:9" x14ac:dyDescent="0.3">
      <c r="A8575" t="s">
        <v>37</v>
      </c>
      <c r="G8575">
        <v>44670</v>
      </c>
      <c r="H8575">
        <v>2022</v>
      </c>
      <c r="I8575" t="s">
        <v>46</v>
      </c>
    </row>
    <row r="8576" spans="1:9" x14ac:dyDescent="0.3">
      <c r="A8576" t="s">
        <v>17</v>
      </c>
      <c r="B8576">
        <v>211500</v>
      </c>
      <c r="C8576">
        <v>535500</v>
      </c>
      <c r="G8576">
        <v>44670</v>
      </c>
      <c r="H8576">
        <v>2022</v>
      </c>
      <c r="I8576" t="s">
        <v>46</v>
      </c>
    </row>
    <row r="8577" spans="1:9" x14ac:dyDescent="0.3">
      <c r="A8577" t="s">
        <v>0</v>
      </c>
      <c r="C8577">
        <v>1026000</v>
      </c>
      <c r="G8577">
        <v>44670</v>
      </c>
      <c r="H8577">
        <v>2022</v>
      </c>
      <c r="I8577" t="s">
        <v>46</v>
      </c>
    </row>
    <row r="8578" spans="1:9" x14ac:dyDescent="0.3">
      <c r="A8578" t="s">
        <v>25</v>
      </c>
      <c r="B8578">
        <v>481500</v>
      </c>
      <c r="F8578">
        <v>108000</v>
      </c>
      <c r="G8578">
        <v>44670</v>
      </c>
      <c r="H8578">
        <v>2022</v>
      </c>
      <c r="I8578" t="s">
        <v>46</v>
      </c>
    </row>
    <row r="8579" spans="1:9" x14ac:dyDescent="0.3">
      <c r="A8579" t="s">
        <v>15</v>
      </c>
      <c r="B8579">
        <v>103500</v>
      </c>
      <c r="C8579">
        <v>49500</v>
      </c>
      <c r="G8579">
        <v>44670</v>
      </c>
      <c r="H8579">
        <v>2022</v>
      </c>
      <c r="I8579" t="s">
        <v>46</v>
      </c>
    </row>
    <row r="8580" spans="1:9" x14ac:dyDescent="0.3">
      <c r="A8580" t="s">
        <v>54</v>
      </c>
      <c r="G8580">
        <v>44670</v>
      </c>
      <c r="H8580">
        <v>2022</v>
      </c>
      <c r="I8580" t="s">
        <v>46</v>
      </c>
    </row>
    <row r="8581" spans="1:9" x14ac:dyDescent="0.3">
      <c r="A8581" t="s">
        <v>26</v>
      </c>
      <c r="E8581">
        <v>149000</v>
      </c>
      <c r="F8581">
        <v>108000</v>
      </c>
      <c r="G8581">
        <v>44670</v>
      </c>
      <c r="H8581">
        <v>2022</v>
      </c>
      <c r="I8581" t="s">
        <v>46</v>
      </c>
    </row>
    <row r="8582" spans="1:9" x14ac:dyDescent="0.3">
      <c r="A8582" t="s">
        <v>22</v>
      </c>
      <c r="G8582">
        <v>44670</v>
      </c>
      <c r="H8582">
        <v>2022</v>
      </c>
      <c r="I8582" t="s">
        <v>46</v>
      </c>
    </row>
    <row r="8583" spans="1:9" x14ac:dyDescent="0.3">
      <c r="A8583" t="s">
        <v>61</v>
      </c>
      <c r="G8583">
        <v>44670</v>
      </c>
      <c r="H8583">
        <v>2022</v>
      </c>
      <c r="I8583" t="s">
        <v>46</v>
      </c>
    </row>
    <row r="8584" spans="1:9" x14ac:dyDescent="0.3">
      <c r="A8584" t="s">
        <v>19</v>
      </c>
      <c r="B8584">
        <v>324000</v>
      </c>
      <c r="F8584">
        <v>216000</v>
      </c>
      <c r="G8584">
        <v>44670</v>
      </c>
      <c r="H8584">
        <v>2022</v>
      </c>
      <c r="I8584" t="s">
        <v>46</v>
      </c>
    </row>
    <row r="8585" spans="1:9" x14ac:dyDescent="0.3">
      <c r="A8585" t="s">
        <v>14</v>
      </c>
      <c r="B8585">
        <v>427500</v>
      </c>
      <c r="C8585">
        <v>162000</v>
      </c>
      <c r="F8585">
        <v>162000</v>
      </c>
      <c r="G8585">
        <v>44670</v>
      </c>
      <c r="H8585">
        <v>2022</v>
      </c>
      <c r="I8585" t="s">
        <v>46</v>
      </c>
    </row>
    <row r="8586" spans="1:9" x14ac:dyDescent="0.3">
      <c r="A8586" t="s">
        <v>24</v>
      </c>
      <c r="G8586">
        <v>44670</v>
      </c>
      <c r="H8586">
        <v>2022</v>
      </c>
      <c r="I8586" t="s">
        <v>46</v>
      </c>
    </row>
    <row r="8587" spans="1:9" x14ac:dyDescent="0.3">
      <c r="A8587" t="s">
        <v>21</v>
      </c>
      <c r="B8587">
        <v>265500</v>
      </c>
      <c r="G8587">
        <v>44670</v>
      </c>
      <c r="H8587">
        <v>2022</v>
      </c>
      <c r="I8587" t="s">
        <v>46</v>
      </c>
    </row>
    <row r="8588" spans="1:9" x14ac:dyDescent="0.3">
      <c r="A8588" t="s">
        <v>65</v>
      </c>
      <c r="G8588">
        <v>44670</v>
      </c>
      <c r="H8588">
        <v>2022</v>
      </c>
      <c r="I8588" t="s">
        <v>46</v>
      </c>
    </row>
    <row r="8589" spans="1:9" x14ac:dyDescent="0.3">
      <c r="A8589" t="s">
        <v>18</v>
      </c>
      <c r="G8589">
        <v>44670</v>
      </c>
      <c r="H8589">
        <v>2022</v>
      </c>
      <c r="I8589" t="s">
        <v>46</v>
      </c>
    </row>
    <row r="8590" spans="1:9" x14ac:dyDescent="0.3">
      <c r="A8590" t="s">
        <v>16</v>
      </c>
      <c r="G8590">
        <v>44670</v>
      </c>
      <c r="H8590">
        <v>2022</v>
      </c>
      <c r="I8590" t="s">
        <v>46</v>
      </c>
    </row>
    <row r="8591" spans="1:9" x14ac:dyDescent="0.3">
      <c r="A8591" t="s">
        <v>20</v>
      </c>
      <c r="G8591">
        <v>44671</v>
      </c>
      <c r="H8591">
        <v>2022</v>
      </c>
      <c r="I8591" t="s">
        <v>46</v>
      </c>
    </row>
    <row r="8592" spans="1:9" x14ac:dyDescent="0.3">
      <c r="A8592" t="s">
        <v>37</v>
      </c>
      <c r="G8592">
        <v>44671</v>
      </c>
      <c r="H8592">
        <v>2022</v>
      </c>
      <c r="I8592" t="s">
        <v>46</v>
      </c>
    </row>
    <row r="8593" spans="1:9" x14ac:dyDescent="0.3">
      <c r="A8593" t="s">
        <v>17</v>
      </c>
      <c r="B8593">
        <v>49500</v>
      </c>
      <c r="G8593">
        <v>44671</v>
      </c>
      <c r="H8593">
        <v>2022</v>
      </c>
      <c r="I8593" t="s">
        <v>46</v>
      </c>
    </row>
    <row r="8594" spans="1:9" x14ac:dyDescent="0.3">
      <c r="A8594" t="s">
        <v>0</v>
      </c>
      <c r="C8594">
        <v>1399500</v>
      </c>
      <c r="G8594">
        <v>44671</v>
      </c>
      <c r="H8594">
        <v>2022</v>
      </c>
      <c r="I8594" t="s">
        <v>46</v>
      </c>
    </row>
    <row r="8595" spans="1:9" x14ac:dyDescent="0.3">
      <c r="A8595" t="s">
        <v>25</v>
      </c>
      <c r="B8595">
        <v>427500</v>
      </c>
      <c r="F8595">
        <v>54000</v>
      </c>
      <c r="G8595">
        <v>44671</v>
      </c>
      <c r="H8595">
        <v>2022</v>
      </c>
      <c r="I8595" t="s">
        <v>46</v>
      </c>
    </row>
    <row r="8596" spans="1:9" x14ac:dyDescent="0.3">
      <c r="A8596" t="s">
        <v>15</v>
      </c>
      <c r="C8596">
        <v>49500</v>
      </c>
      <c r="G8596">
        <v>44671</v>
      </c>
      <c r="H8596">
        <v>2022</v>
      </c>
      <c r="I8596" t="s">
        <v>46</v>
      </c>
    </row>
    <row r="8597" spans="1:9" x14ac:dyDescent="0.3">
      <c r="A8597" t="s">
        <v>54</v>
      </c>
      <c r="G8597">
        <v>44671</v>
      </c>
      <c r="H8597">
        <v>2022</v>
      </c>
      <c r="I8597" t="s">
        <v>46</v>
      </c>
    </row>
    <row r="8598" spans="1:9" x14ac:dyDescent="0.3">
      <c r="A8598" t="s">
        <v>26</v>
      </c>
      <c r="F8598">
        <v>54000</v>
      </c>
      <c r="G8598">
        <v>44671</v>
      </c>
      <c r="H8598">
        <v>2022</v>
      </c>
      <c r="I8598" t="s">
        <v>46</v>
      </c>
    </row>
    <row r="8599" spans="1:9" x14ac:dyDescent="0.3">
      <c r="A8599" t="s">
        <v>22</v>
      </c>
      <c r="G8599">
        <v>44671</v>
      </c>
      <c r="H8599">
        <v>2022</v>
      </c>
      <c r="I8599" t="s">
        <v>46</v>
      </c>
    </row>
    <row r="8600" spans="1:9" x14ac:dyDescent="0.3">
      <c r="A8600" t="s">
        <v>61</v>
      </c>
      <c r="G8600">
        <v>44671</v>
      </c>
      <c r="H8600">
        <v>2022</v>
      </c>
      <c r="I8600" t="s">
        <v>46</v>
      </c>
    </row>
    <row r="8601" spans="1:9" x14ac:dyDescent="0.3">
      <c r="A8601" t="s">
        <v>19</v>
      </c>
      <c r="B8601">
        <v>161500</v>
      </c>
      <c r="F8601">
        <v>108000</v>
      </c>
      <c r="G8601">
        <v>44671</v>
      </c>
      <c r="H8601">
        <v>2022</v>
      </c>
      <c r="I8601" t="s">
        <v>46</v>
      </c>
    </row>
    <row r="8602" spans="1:9" x14ac:dyDescent="0.3">
      <c r="A8602" t="s">
        <v>14</v>
      </c>
      <c r="B8602">
        <v>1026000</v>
      </c>
      <c r="E8602">
        <v>54000</v>
      </c>
      <c r="F8602">
        <v>54000</v>
      </c>
      <c r="G8602">
        <v>44671</v>
      </c>
      <c r="H8602">
        <v>2022</v>
      </c>
      <c r="I8602" t="s">
        <v>46</v>
      </c>
    </row>
    <row r="8603" spans="1:9" x14ac:dyDescent="0.3">
      <c r="A8603" t="s">
        <v>24</v>
      </c>
      <c r="G8603">
        <v>44671</v>
      </c>
      <c r="H8603">
        <v>2022</v>
      </c>
      <c r="I8603" t="s">
        <v>46</v>
      </c>
    </row>
    <row r="8604" spans="1:9" x14ac:dyDescent="0.3">
      <c r="A8604" t="s">
        <v>21</v>
      </c>
      <c r="B8604">
        <v>324000</v>
      </c>
      <c r="G8604">
        <v>44671</v>
      </c>
      <c r="H8604">
        <v>2022</v>
      </c>
      <c r="I8604" t="s">
        <v>46</v>
      </c>
    </row>
    <row r="8605" spans="1:9" x14ac:dyDescent="0.3">
      <c r="A8605" t="s">
        <v>65</v>
      </c>
      <c r="G8605">
        <v>44671</v>
      </c>
      <c r="H8605">
        <v>2022</v>
      </c>
      <c r="I8605" t="s">
        <v>46</v>
      </c>
    </row>
    <row r="8606" spans="1:9" x14ac:dyDescent="0.3">
      <c r="A8606" t="s">
        <v>18</v>
      </c>
      <c r="G8606">
        <v>44671</v>
      </c>
      <c r="H8606">
        <v>2022</v>
      </c>
      <c r="I8606" t="s">
        <v>46</v>
      </c>
    </row>
    <row r="8607" spans="1:9" x14ac:dyDescent="0.3">
      <c r="A8607" t="s">
        <v>16</v>
      </c>
      <c r="B8607">
        <v>90000</v>
      </c>
      <c r="G8607">
        <v>44671</v>
      </c>
      <c r="H8607">
        <v>2022</v>
      </c>
      <c r="I8607" t="s">
        <v>46</v>
      </c>
    </row>
    <row r="8608" spans="1:9" x14ac:dyDescent="0.3">
      <c r="A8608" t="s">
        <v>20</v>
      </c>
      <c r="G8608">
        <v>44672</v>
      </c>
      <c r="H8608">
        <v>2022</v>
      </c>
      <c r="I8608" t="s">
        <v>46</v>
      </c>
    </row>
    <row r="8609" spans="1:9" x14ac:dyDescent="0.3">
      <c r="A8609" t="s">
        <v>37</v>
      </c>
      <c r="G8609">
        <v>44672</v>
      </c>
      <c r="H8609">
        <v>2022</v>
      </c>
      <c r="I8609" t="s">
        <v>46</v>
      </c>
    </row>
    <row r="8610" spans="1:9" x14ac:dyDescent="0.3">
      <c r="A8610" t="s">
        <v>17</v>
      </c>
      <c r="B8610">
        <v>107500</v>
      </c>
      <c r="G8610">
        <v>44672</v>
      </c>
      <c r="H8610">
        <v>2022</v>
      </c>
      <c r="I8610" t="s">
        <v>46</v>
      </c>
    </row>
    <row r="8611" spans="1:9" x14ac:dyDescent="0.3">
      <c r="A8611" t="s">
        <v>0</v>
      </c>
      <c r="C8611">
        <v>702000</v>
      </c>
      <c r="G8611">
        <v>44672</v>
      </c>
      <c r="H8611">
        <v>2022</v>
      </c>
      <c r="I8611" t="s">
        <v>46</v>
      </c>
    </row>
    <row r="8612" spans="1:9" x14ac:dyDescent="0.3">
      <c r="A8612" t="s">
        <v>25</v>
      </c>
      <c r="B8612">
        <v>322000</v>
      </c>
      <c r="F8612">
        <v>95000</v>
      </c>
      <c r="G8612">
        <v>44672</v>
      </c>
      <c r="H8612">
        <v>2022</v>
      </c>
      <c r="I8612" t="s">
        <v>46</v>
      </c>
    </row>
    <row r="8613" spans="1:9" x14ac:dyDescent="0.3">
      <c r="A8613" t="s">
        <v>15</v>
      </c>
      <c r="G8613">
        <v>44672</v>
      </c>
      <c r="H8613">
        <v>2022</v>
      </c>
      <c r="I8613" t="s">
        <v>46</v>
      </c>
    </row>
    <row r="8614" spans="1:9" x14ac:dyDescent="0.3">
      <c r="A8614" t="s">
        <v>54</v>
      </c>
      <c r="G8614">
        <v>44672</v>
      </c>
      <c r="H8614">
        <v>2022</v>
      </c>
      <c r="I8614" t="s">
        <v>46</v>
      </c>
    </row>
    <row r="8615" spans="1:9" x14ac:dyDescent="0.3">
      <c r="A8615" t="s">
        <v>26</v>
      </c>
      <c r="B8615">
        <v>90000</v>
      </c>
      <c r="G8615">
        <v>44672</v>
      </c>
      <c r="H8615">
        <v>2022</v>
      </c>
      <c r="I8615" t="s">
        <v>46</v>
      </c>
    </row>
    <row r="8616" spans="1:9" x14ac:dyDescent="0.3">
      <c r="A8616" t="s">
        <v>22</v>
      </c>
      <c r="G8616">
        <v>44672</v>
      </c>
      <c r="H8616">
        <v>2022</v>
      </c>
      <c r="I8616" t="s">
        <v>46</v>
      </c>
    </row>
    <row r="8617" spans="1:9" x14ac:dyDescent="0.3">
      <c r="A8617" t="s">
        <v>61</v>
      </c>
      <c r="G8617">
        <v>44672</v>
      </c>
      <c r="H8617">
        <v>2022</v>
      </c>
      <c r="I8617" t="s">
        <v>46</v>
      </c>
    </row>
    <row r="8618" spans="1:9" x14ac:dyDescent="0.3">
      <c r="A8618" t="s">
        <v>19</v>
      </c>
      <c r="C8618">
        <v>486000</v>
      </c>
      <c r="F8618">
        <v>648000</v>
      </c>
      <c r="G8618">
        <v>44672</v>
      </c>
      <c r="H8618">
        <v>2022</v>
      </c>
      <c r="I8618" t="s">
        <v>46</v>
      </c>
    </row>
    <row r="8619" spans="1:9" x14ac:dyDescent="0.3">
      <c r="A8619" t="s">
        <v>14</v>
      </c>
      <c r="B8619">
        <v>45000</v>
      </c>
      <c r="E8619">
        <v>378000</v>
      </c>
      <c r="F8619">
        <v>54000</v>
      </c>
      <c r="G8619">
        <v>44672</v>
      </c>
      <c r="H8619">
        <v>2022</v>
      </c>
      <c r="I8619" t="s">
        <v>46</v>
      </c>
    </row>
    <row r="8620" spans="1:9" x14ac:dyDescent="0.3">
      <c r="A8620" t="s">
        <v>24</v>
      </c>
      <c r="G8620">
        <v>44672</v>
      </c>
      <c r="H8620">
        <v>2022</v>
      </c>
      <c r="I8620" t="s">
        <v>46</v>
      </c>
    </row>
    <row r="8621" spans="1:9" x14ac:dyDescent="0.3">
      <c r="A8621" t="s">
        <v>21</v>
      </c>
      <c r="G8621">
        <v>44672</v>
      </c>
      <c r="H8621">
        <v>2022</v>
      </c>
      <c r="I8621" t="s">
        <v>46</v>
      </c>
    </row>
    <row r="8622" spans="1:9" x14ac:dyDescent="0.3">
      <c r="A8622" t="s">
        <v>65</v>
      </c>
      <c r="G8622">
        <v>44672</v>
      </c>
      <c r="H8622">
        <v>2022</v>
      </c>
      <c r="I8622" t="s">
        <v>46</v>
      </c>
    </row>
    <row r="8623" spans="1:9" x14ac:dyDescent="0.3">
      <c r="A8623" t="s">
        <v>18</v>
      </c>
      <c r="G8623">
        <v>44672</v>
      </c>
      <c r="H8623">
        <v>2022</v>
      </c>
      <c r="I8623" t="s">
        <v>46</v>
      </c>
    </row>
    <row r="8624" spans="1:9" x14ac:dyDescent="0.3">
      <c r="A8624" t="s">
        <v>16</v>
      </c>
      <c r="E8624">
        <v>54000</v>
      </c>
      <c r="G8624">
        <v>44672</v>
      </c>
      <c r="H8624">
        <v>2022</v>
      </c>
      <c r="I8624" t="s">
        <v>46</v>
      </c>
    </row>
    <row r="8625" spans="1:9" x14ac:dyDescent="0.3">
      <c r="A8625" t="s">
        <v>20</v>
      </c>
      <c r="G8625">
        <v>44673</v>
      </c>
      <c r="H8625">
        <v>2022</v>
      </c>
      <c r="I8625" t="s">
        <v>46</v>
      </c>
    </row>
    <row r="8626" spans="1:9" x14ac:dyDescent="0.3">
      <c r="A8626" t="s">
        <v>37</v>
      </c>
      <c r="G8626">
        <v>44673</v>
      </c>
      <c r="H8626">
        <v>2022</v>
      </c>
      <c r="I8626" t="s">
        <v>46</v>
      </c>
    </row>
    <row r="8627" spans="1:9" x14ac:dyDescent="0.3">
      <c r="A8627" t="s">
        <v>17</v>
      </c>
      <c r="C8627">
        <v>45000</v>
      </c>
      <c r="G8627">
        <v>44673</v>
      </c>
      <c r="H8627">
        <v>2022</v>
      </c>
      <c r="I8627" t="s">
        <v>46</v>
      </c>
    </row>
    <row r="8628" spans="1:9" x14ac:dyDescent="0.3">
      <c r="A8628" t="s">
        <v>0</v>
      </c>
      <c r="C8628">
        <v>162000</v>
      </c>
      <c r="G8628">
        <v>44673</v>
      </c>
      <c r="H8628">
        <v>2022</v>
      </c>
      <c r="I8628" t="s">
        <v>46</v>
      </c>
    </row>
    <row r="8629" spans="1:9" x14ac:dyDescent="0.3">
      <c r="A8629" t="s">
        <v>25</v>
      </c>
      <c r="G8629">
        <v>44673</v>
      </c>
      <c r="H8629">
        <v>2022</v>
      </c>
      <c r="I8629" t="s">
        <v>46</v>
      </c>
    </row>
    <row r="8630" spans="1:9" x14ac:dyDescent="0.3">
      <c r="A8630" t="s">
        <v>15</v>
      </c>
      <c r="C8630">
        <v>54000</v>
      </c>
      <c r="G8630">
        <v>44673</v>
      </c>
      <c r="H8630">
        <v>2022</v>
      </c>
      <c r="I8630" t="s">
        <v>46</v>
      </c>
    </row>
    <row r="8631" spans="1:9" x14ac:dyDescent="0.3">
      <c r="A8631" t="s">
        <v>54</v>
      </c>
      <c r="G8631">
        <v>44673</v>
      </c>
      <c r="H8631">
        <v>2022</v>
      </c>
      <c r="I8631" t="s">
        <v>46</v>
      </c>
    </row>
    <row r="8632" spans="1:9" x14ac:dyDescent="0.3">
      <c r="A8632" t="s">
        <v>26</v>
      </c>
      <c r="B8632">
        <v>45000</v>
      </c>
      <c r="C8632">
        <v>45000</v>
      </c>
      <c r="G8632">
        <v>44673</v>
      </c>
      <c r="H8632">
        <v>2022</v>
      </c>
      <c r="I8632" t="s">
        <v>46</v>
      </c>
    </row>
    <row r="8633" spans="1:9" x14ac:dyDescent="0.3">
      <c r="A8633" t="s">
        <v>22</v>
      </c>
      <c r="G8633">
        <v>44673</v>
      </c>
      <c r="H8633">
        <v>2022</v>
      </c>
      <c r="I8633" t="s">
        <v>46</v>
      </c>
    </row>
    <row r="8634" spans="1:9" x14ac:dyDescent="0.3">
      <c r="A8634" t="s">
        <v>61</v>
      </c>
      <c r="G8634">
        <v>44673</v>
      </c>
      <c r="H8634">
        <v>2022</v>
      </c>
      <c r="I8634" t="s">
        <v>46</v>
      </c>
    </row>
    <row r="8635" spans="1:9" x14ac:dyDescent="0.3">
      <c r="A8635" t="s">
        <v>19</v>
      </c>
      <c r="C8635">
        <v>324000</v>
      </c>
      <c r="G8635">
        <v>44673</v>
      </c>
      <c r="H8635">
        <v>2022</v>
      </c>
      <c r="I8635" t="s">
        <v>46</v>
      </c>
    </row>
    <row r="8636" spans="1:9" x14ac:dyDescent="0.3">
      <c r="A8636" t="s">
        <v>14</v>
      </c>
      <c r="C8636">
        <v>45000</v>
      </c>
      <c r="E8636">
        <v>432000</v>
      </c>
      <c r="F8636">
        <v>216000</v>
      </c>
      <c r="G8636">
        <v>44673</v>
      </c>
      <c r="H8636">
        <v>2022</v>
      </c>
      <c r="I8636" t="s">
        <v>46</v>
      </c>
    </row>
    <row r="8637" spans="1:9" x14ac:dyDescent="0.3">
      <c r="A8637" t="s">
        <v>24</v>
      </c>
      <c r="G8637">
        <v>44673</v>
      </c>
      <c r="H8637">
        <v>2022</v>
      </c>
      <c r="I8637" t="s">
        <v>46</v>
      </c>
    </row>
    <row r="8638" spans="1:9" x14ac:dyDescent="0.3">
      <c r="A8638" t="s">
        <v>21</v>
      </c>
      <c r="G8638">
        <v>44673</v>
      </c>
      <c r="H8638">
        <v>2022</v>
      </c>
      <c r="I8638" t="s">
        <v>46</v>
      </c>
    </row>
    <row r="8639" spans="1:9" x14ac:dyDescent="0.3">
      <c r="A8639" t="s">
        <v>65</v>
      </c>
      <c r="G8639">
        <v>44673</v>
      </c>
      <c r="H8639">
        <v>2022</v>
      </c>
      <c r="I8639" t="s">
        <v>46</v>
      </c>
    </row>
    <row r="8640" spans="1:9" x14ac:dyDescent="0.3">
      <c r="A8640" t="s">
        <v>18</v>
      </c>
      <c r="G8640">
        <v>44673</v>
      </c>
      <c r="H8640">
        <v>2022</v>
      </c>
      <c r="I8640" t="s">
        <v>46</v>
      </c>
    </row>
    <row r="8641" spans="1:9" x14ac:dyDescent="0.3">
      <c r="A8641" t="s">
        <v>16</v>
      </c>
      <c r="C8641">
        <v>45000</v>
      </c>
      <c r="G8641">
        <v>44673</v>
      </c>
      <c r="H8641">
        <v>2022</v>
      </c>
      <c r="I8641" t="s">
        <v>46</v>
      </c>
    </row>
    <row r="8642" spans="1:9" x14ac:dyDescent="0.3">
      <c r="A8642" t="s">
        <v>20</v>
      </c>
      <c r="C8642">
        <v>486000</v>
      </c>
      <c r="G8642">
        <v>44676</v>
      </c>
      <c r="H8642">
        <v>2022</v>
      </c>
      <c r="I8642" t="s">
        <v>46</v>
      </c>
    </row>
    <row r="8643" spans="1:9" x14ac:dyDescent="0.3">
      <c r="A8643" t="s">
        <v>37</v>
      </c>
      <c r="G8643">
        <v>44676</v>
      </c>
      <c r="H8643">
        <v>2022</v>
      </c>
      <c r="I8643" t="s">
        <v>46</v>
      </c>
    </row>
    <row r="8644" spans="1:9" x14ac:dyDescent="0.3">
      <c r="A8644" t="s">
        <v>17</v>
      </c>
      <c r="G8644">
        <v>44676</v>
      </c>
      <c r="H8644">
        <v>2022</v>
      </c>
      <c r="I8644" t="s">
        <v>46</v>
      </c>
    </row>
    <row r="8645" spans="1:9" x14ac:dyDescent="0.3">
      <c r="A8645" t="s">
        <v>0</v>
      </c>
      <c r="G8645">
        <v>44676</v>
      </c>
      <c r="H8645">
        <v>2022</v>
      </c>
      <c r="I8645" t="s">
        <v>46</v>
      </c>
    </row>
    <row r="8646" spans="1:9" x14ac:dyDescent="0.3">
      <c r="A8646" t="s">
        <v>25</v>
      </c>
      <c r="G8646">
        <v>44676</v>
      </c>
      <c r="H8646">
        <v>2022</v>
      </c>
      <c r="I8646" t="s">
        <v>46</v>
      </c>
    </row>
    <row r="8647" spans="1:9" x14ac:dyDescent="0.3">
      <c r="A8647" t="s">
        <v>15</v>
      </c>
      <c r="G8647">
        <v>44676</v>
      </c>
      <c r="H8647">
        <v>2022</v>
      </c>
      <c r="I8647" t="s">
        <v>46</v>
      </c>
    </row>
    <row r="8648" spans="1:9" x14ac:dyDescent="0.3">
      <c r="A8648" t="s">
        <v>54</v>
      </c>
      <c r="G8648">
        <v>44676</v>
      </c>
      <c r="H8648">
        <v>2022</v>
      </c>
      <c r="I8648" t="s">
        <v>46</v>
      </c>
    </row>
    <row r="8649" spans="1:9" x14ac:dyDescent="0.3">
      <c r="A8649" t="s">
        <v>26</v>
      </c>
      <c r="G8649">
        <v>44676</v>
      </c>
      <c r="H8649">
        <v>2022</v>
      </c>
      <c r="I8649" t="s">
        <v>46</v>
      </c>
    </row>
    <row r="8650" spans="1:9" x14ac:dyDescent="0.3">
      <c r="A8650" t="s">
        <v>22</v>
      </c>
      <c r="G8650">
        <v>44676</v>
      </c>
      <c r="H8650">
        <v>2022</v>
      </c>
      <c r="I8650" t="s">
        <v>46</v>
      </c>
    </row>
    <row r="8651" spans="1:9" x14ac:dyDescent="0.3">
      <c r="A8651" t="s">
        <v>61</v>
      </c>
      <c r="G8651">
        <v>44676</v>
      </c>
      <c r="H8651">
        <v>2022</v>
      </c>
      <c r="I8651" t="s">
        <v>46</v>
      </c>
    </row>
    <row r="8652" spans="1:9" x14ac:dyDescent="0.3">
      <c r="A8652" t="s">
        <v>19</v>
      </c>
      <c r="C8652">
        <v>162000</v>
      </c>
      <c r="G8652">
        <v>44676</v>
      </c>
      <c r="H8652">
        <v>2022</v>
      </c>
      <c r="I8652" t="s">
        <v>46</v>
      </c>
    </row>
    <row r="8653" spans="1:9" x14ac:dyDescent="0.3">
      <c r="A8653" t="s">
        <v>14</v>
      </c>
      <c r="G8653">
        <v>44676</v>
      </c>
      <c r="H8653">
        <v>2022</v>
      </c>
      <c r="I8653" t="s">
        <v>46</v>
      </c>
    </row>
    <row r="8654" spans="1:9" x14ac:dyDescent="0.3">
      <c r="A8654" t="s">
        <v>24</v>
      </c>
      <c r="G8654">
        <v>44676</v>
      </c>
      <c r="H8654">
        <v>2022</v>
      </c>
      <c r="I8654" t="s">
        <v>46</v>
      </c>
    </row>
    <row r="8655" spans="1:9" x14ac:dyDescent="0.3">
      <c r="A8655" t="s">
        <v>21</v>
      </c>
      <c r="G8655">
        <v>44676</v>
      </c>
      <c r="H8655">
        <v>2022</v>
      </c>
      <c r="I8655" t="s">
        <v>46</v>
      </c>
    </row>
    <row r="8656" spans="1:9" x14ac:dyDescent="0.3">
      <c r="A8656" t="s">
        <v>65</v>
      </c>
      <c r="G8656">
        <v>44676</v>
      </c>
      <c r="H8656">
        <v>2022</v>
      </c>
      <c r="I8656" t="s">
        <v>46</v>
      </c>
    </row>
    <row r="8657" spans="1:9" x14ac:dyDescent="0.3">
      <c r="A8657" t="s">
        <v>18</v>
      </c>
      <c r="G8657">
        <v>44676</v>
      </c>
      <c r="H8657">
        <v>2022</v>
      </c>
      <c r="I8657" t="s">
        <v>46</v>
      </c>
    </row>
    <row r="8658" spans="1:9" x14ac:dyDescent="0.3">
      <c r="A8658" t="s">
        <v>16</v>
      </c>
      <c r="G8658">
        <v>44676</v>
      </c>
      <c r="H8658">
        <v>2022</v>
      </c>
      <c r="I8658" t="s">
        <v>46</v>
      </c>
    </row>
    <row r="8659" spans="1:9" x14ac:dyDescent="0.3">
      <c r="A8659" t="s">
        <v>20</v>
      </c>
      <c r="G8659">
        <v>44677</v>
      </c>
      <c r="H8659">
        <v>2022</v>
      </c>
      <c r="I8659" t="s">
        <v>46</v>
      </c>
    </row>
    <row r="8660" spans="1:9" x14ac:dyDescent="0.3">
      <c r="A8660" t="s">
        <v>37</v>
      </c>
      <c r="G8660">
        <v>44677</v>
      </c>
      <c r="H8660">
        <v>2022</v>
      </c>
      <c r="I8660" t="s">
        <v>46</v>
      </c>
    </row>
    <row r="8661" spans="1:9" x14ac:dyDescent="0.3">
      <c r="A8661" t="s">
        <v>17</v>
      </c>
      <c r="G8661">
        <v>44677</v>
      </c>
      <c r="H8661">
        <v>2022</v>
      </c>
      <c r="I8661" t="s">
        <v>46</v>
      </c>
    </row>
    <row r="8662" spans="1:9" x14ac:dyDescent="0.3">
      <c r="A8662" t="s">
        <v>0</v>
      </c>
      <c r="G8662">
        <v>44677</v>
      </c>
      <c r="H8662">
        <v>2022</v>
      </c>
      <c r="I8662" t="s">
        <v>46</v>
      </c>
    </row>
    <row r="8663" spans="1:9" x14ac:dyDescent="0.3">
      <c r="A8663" t="s">
        <v>25</v>
      </c>
      <c r="G8663">
        <v>44677</v>
      </c>
      <c r="H8663">
        <v>2022</v>
      </c>
      <c r="I8663" t="s">
        <v>46</v>
      </c>
    </row>
    <row r="8664" spans="1:9" x14ac:dyDescent="0.3">
      <c r="A8664" t="s">
        <v>15</v>
      </c>
      <c r="G8664">
        <v>44677</v>
      </c>
      <c r="H8664">
        <v>2022</v>
      </c>
      <c r="I8664" t="s">
        <v>46</v>
      </c>
    </row>
    <row r="8665" spans="1:9" x14ac:dyDescent="0.3">
      <c r="A8665" t="s">
        <v>54</v>
      </c>
      <c r="G8665">
        <v>44677</v>
      </c>
      <c r="H8665">
        <v>2022</v>
      </c>
      <c r="I8665" t="s">
        <v>46</v>
      </c>
    </row>
    <row r="8666" spans="1:9" x14ac:dyDescent="0.3">
      <c r="A8666" t="s">
        <v>26</v>
      </c>
      <c r="G8666">
        <v>44677</v>
      </c>
      <c r="H8666">
        <v>2022</v>
      </c>
      <c r="I8666" t="s">
        <v>46</v>
      </c>
    </row>
    <row r="8667" spans="1:9" x14ac:dyDescent="0.3">
      <c r="A8667" t="s">
        <v>22</v>
      </c>
      <c r="G8667">
        <v>44677</v>
      </c>
      <c r="H8667">
        <v>2022</v>
      </c>
      <c r="I8667" t="s">
        <v>46</v>
      </c>
    </row>
    <row r="8668" spans="1:9" x14ac:dyDescent="0.3">
      <c r="A8668" t="s">
        <v>61</v>
      </c>
      <c r="G8668">
        <v>44677</v>
      </c>
      <c r="H8668">
        <v>2022</v>
      </c>
      <c r="I8668" t="s">
        <v>46</v>
      </c>
    </row>
    <row r="8669" spans="1:9" x14ac:dyDescent="0.3">
      <c r="A8669" t="s">
        <v>19</v>
      </c>
      <c r="C8669">
        <v>306000</v>
      </c>
      <c r="G8669">
        <v>44677</v>
      </c>
      <c r="H8669">
        <v>2022</v>
      </c>
      <c r="I8669" t="s">
        <v>46</v>
      </c>
    </row>
    <row r="8670" spans="1:9" x14ac:dyDescent="0.3">
      <c r="A8670" t="s">
        <v>14</v>
      </c>
      <c r="E8670">
        <v>135000</v>
      </c>
      <c r="G8670">
        <v>44677</v>
      </c>
      <c r="H8670">
        <v>2022</v>
      </c>
      <c r="I8670" t="s">
        <v>46</v>
      </c>
    </row>
    <row r="8671" spans="1:9" x14ac:dyDescent="0.3">
      <c r="A8671" t="s">
        <v>24</v>
      </c>
      <c r="G8671">
        <v>44677</v>
      </c>
      <c r="H8671">
        <v>2022</v>
      </c>
      <c r="I8671" t="s">
        <v>46</v>
      </c>
    </row>
    <row r="8672" spans="1:9" x14ac:dyDescent="0.3">
      <c r="A8672" t="s">
        <v>21</v>
      </c>
      <c r="G8672">
        <v>44677</v>
      </c>
      <c r="H8672">
        <v>2022</v>
      </c>
      <c r="I8672" t="s">
        <v>46</v>
      </c>
    </row>
    <row r="8673" spans="1:9" x14ac:dyDescent="0.3">
      <c r="A8673" t="s">
        <v>65</v>
      </c>
      <c r="G8673">
        <v>44677</v>
      </c>
      <c r="H8673">
        <v>2022</v>
      </c>
      <c r="I8673" t="s">
        <v>46</v>
      </c>
    </row>
    <row r="8674" spans="1:9" x14ac:dyDescent="0.3">
      <c r="A8674" t="s">
        <v>18</v>
      </c>
      <c r="G8674">
        <v>44677</v>
      </c>
      <c r="H8674">
        <v>2022</v>
      </c>
      <c r="I8674" t="s">
        <v>46</v>
      </c>
    </row>
    <row r="8675" spans="1:9" x14ac:dyDescent="0.3">
      <c r="A8675" t="s">
        <v>16</v>
      </c>
      <c r="G8675">
        <v>44677</v>
      </c>
      <c r="H8675">
        <v>2022</v>
      </c>
      <c r="I8675" t="s">
        <v>46</v>
      </c>
    </row>
    <row r="8676" spans="1:9" x14ac:dyDescent="0.3">
      <c r="A8676" t="s">
        <v>20</v>
      </c>
      <c r="G8676">
        <v>44678</v>
      </c>
      <c r="H8676">
        <v>2022</v>
      </c>
      <c r="I8676" t="s">
        <v>46</v>
      </c>
    </row>
    <row r="8677" spans="1:9" x14ac:dyDescent="0.3">
      <c r="A8677" t="s">
        <v>37</v>
      </c>
      <c r="B8677">
        <v>158000</v>
      </c>
      <c r="G8677">
        <v>44678</v>
      </c>
      <c r="H8677">
        <v>2022</v>
      </c>
      <c r="I8677" t="s">
        <v>46</v>
      </c>
    </row>
    <row r="8678" spans="1:9" x14ac:dyDescent="0.3">
      <c r="A8678" t="s">
        <v>17</v>
      </c>
      <c r="G8678">
        <v>44678</v>
      </c>
      <c r="H8678">
        <v>2022</v>
      </c>
      <c r="I8678" t="s">
        <v>46</v>
      </c>
    </row>
    <row r="8679" spans="1:9" x14ac:dyDescent="0.3">
      <c r="A8679" t="s">
        <v>0</v>
      </c>
      <c r="B8679">
        <v>540000</v>
      </c>
      <c r="G8679">
        <v>44678</v>
      </c>
      <c r="H8679">
        <v>2022</v>
      </c>
      <c r="I8679" t="s">
        <v>46</v>
      </c>
    </row>
    <row r="8680" spans="1:9" x14ac:dyDescent="0.3">
      <c r="A8680" t="s">
        <v>25</v>
      </c>
      <c r="G8680">
        <v>44678</v>
      </c>
      <c r="H8680">
        <v>2022</v>
      </c>
      <c r="I8680" t="s">
        <v>46</v>
      </c>
    </row>
    <row r="8681" spans="1:9" x14ac:dyDescent="0.3">
      <c r="A8681" t="s">
        <v>15</v>
      </c>
      <c r="D8681">
        <v>162000</v>
      </c>
      <c r="G8681">
        <v>44678</v>
      </c>
      <c r="H8681">
        <v>2022</v>
      </c>
      <c r="I8681" t="s">
        <v>46</v>
      </c>
    </row>
    <row r="8682" spans="1:9" x14ac:dyDescent="0.3">
      <c r="A8682" t="s">
        <v>54</v>
      </c>
      <c r="B8682">
        <v>54000</v>
      </c>
      <c r="G8682">
        <v>44678</v>
      </c>
      <c r="H8682">
        <v>2022</v>
      </c>
      <c r="I8682" t="s">
        <v>46</v>
      </c>
    </row>
    <row r="8683" spans="1:9" x14ac:dyDescent="0.3">
      <c r="A8683" t="s">
        <v>26</v>
      </c>
      <c r="G8683">
        <v>44678</v>
      </c>
      <c r="H8683">
        <v>2022</v>
      </c>
      <c r="I8683" t="s">
        <v>46</v>
      </c>
    </row>
    <row r="8684" spans="1:9" x14ac:dyDescent="0.3">
      <c r="A8684" t="s">
        <v>22</v>
      </c>
      <c r="G8684">
        <v>44678</v>
      </c>
      <c r="H8684">
        <v>2022</v>
      </c>
      <c r="I8684" t="s">
        <v>46</v>
      </c>
    </row>
    <row r="8685" spans="1:9" x14ac:dyDescent="0.3">
      <c r="A8685" t="s">
        <v>61</v>
      </c>
      <c r="G8685">
        <v>44678</v>
      </c>
      <c r="H8685">
        <v>2022</v>
      </c>
      <c r="I8685" t="s">
        <v>46</v>
      </c>
    </row>
    <row r="8686" spans="1:9" x14ac:dyDescent="0.3">
      <c r="A8686" t="s">
        <v>19</v>
      </c>
      <c r="D8686">
        <v>54000</v>
      </c>
      <c r="G8686">
        <v>44678</v>
      </c>
      <c r="H8686">
        <v>2022</v>
      </c>
      <c r="I8686" t="s">
        <v>46</v>
      </c>
    </row>
    <row r="8687" spans="1:9" x14ac:dyDescent="0.3">
      <c r="A8687" t="s">
        <v>14</v>
      </c>
      <c r="D8687">
        <v>54000</v>
      </c>
      <c r="G8687">
        <v>44678</v>
      </c>
      <c r="H8687">
        <v>2022</v>
      </c>
      <c r="I8687" t="s">
        <v>46</v>
      </c>
    </row>
    <row r="8688" spans="1:9" x14ac:dyDescent="0.3">
      <c r="A8688" t="s">
        <v>24</v>
      </c>
      <c r="G8688">
        <v>44678</v>
      </c>
      <c r="H8688">
        <v>2022</v>
      </c>
      <c r="I8688" t="s">
        <v>46</v>
      </c>
    </row>
    <row r="8689" spans="1:9" x14ac:dyDescent="0.3">
      <c r="A8689" t="s">
        <v>21</v>
      </c>
      <c r="G8689">
        <v>44678</v>
      </c>
      <c r="H8689">
        <v>2022</v>
      </c>
      <c r="I8689" t="s">
        <v>46</v>
      </c>
    </row>
    <row r="8690" spans="1:9" x14ac:dyDescent="0.3">
      <c r="A8690" t="s">
        <v>65</v>
      </c>
      <c r="G8690">
        <v>44678</v>
      </c>
      <c r="H8690">
        <v>2022</v>
      </c>
      <c r="I8690" t="s">
        <v>46</v>
      </c>
    </row>
    <row r="8691" spans="1:9" x14ac:dyDescent="0.3">
      <c r="A8691" t="s">
        <v>18</v>
      </c>
      <c r="G8691">
        <v>44678</v>
      </c>
      <c r="H8691">
        <v>2022</v>
      </c>
      <c r="I8691" t="s">
        <v>46</v>
      </c>
    </row>
    <row r="8692" spans="1:9" x14ac:dyDescent="0.3">
      <c r="A8692" t="s">
        <v>16</v>
      </c>
      <c r="B8692">
        <v>108000</v>
      </c>
      <c r="G8692">
        <v>44678</v>
      </c>
      <c r="H8692">
        <v>2022</v>
      </c>
      <c r="I8692" t="s">
        <v>46</v>
      </c>
    </row>
    <row r="8693" spans="1:9" x14ac:dyDescent="0.3">
      <c r="A8693" t="s">
        <v>20</v>
      </c>
      <c r="G8693">
        <v>44679</v>
      </c>
      <c r="H8693">
        <v>2022</v>
      </c>
      <c r="I8693" t="s">
        <v>46</v>
      </c>
    </row>
    <row r="8694" spans="1:9" x14ac:dyDescent="0.3">
      <c r="A8694" t="s">
        <v>37</v>
      </c>
      <c r="G8694">
        <v>44679</v>
      </c>
      <c r="H8694">
        <v>2022</v>
      </c>
      <c r="I8694" t="s">
        <v>46</v>
      </c>
    </row>
    <row r="8695" spans="1:9" x14ac:dyDescent="0.3">
      <c r="A8695" t="s">
        <v>17</v>
      </c>
      <c r="G8695">
        <v>44679</v>
      </c>
      <c r="H8695">
        <v>2022</v>
      </c>
      <c r="I8695" t="s">
        <v>46</v>
      </c>
    </row>
    <row r="8696" spans="1:9" x14ac:dyDescent="0.3">
      <c r="A8696" t="s">
        <v>0</v>
      </c>
      <c r="G8696">
        <v>44679</v>
      </c>
      <c r="H8696">
        <v>2022</v>
      </c>
      <c r="I8696" t="s">
        <v>46</v>
      </c>
    </row>
    <row r="8697" spans="1:9" x14ac:dyDescent="0.3">
      <c r="A8697" t="s">
        <v>25</v>
      </c>
      <c r="B8697">
        <v>162000</v>
      </c>
      <c r="D8697">
        <v>270000</v>
      </c>
      <c r="G8697">
        <v>44679</v>
      </c>
      <c r="H8697">
        <v>2022</v>
      </c>
      <c r="I8697" t="s">
        <v>46</v>
      </c>
    </row>
    <row r="8698" spans="1:9" x14ac:dyDescent="0.3">
      <c r="A8698" t="s">
        <v>15</v>
      </c>
      <c r="B8698">
        <v>486000</v>
      </c>
      <c r="G8698">
        <v>44679</v>
      </c>
      <c r="H8698">
        <v>2022</v>
      </c>
      <c r="I8698" t="s">
        <v>46</v>
      </c>
    </row>
    <row r="8699" spans="1:9" x14ac:dyDescent="0.3">
      <c r="A8699" t="s">
        <v>54</v>
      </c>
      <c r="B8699">
        <v>594000</v>
      </c>
      <c r="D8699">
        <v>108000</v>
      </c>
      <c r="G8699">
        <v>44679</v>
      </c>
      <c r="H8699">
        <v>2022</v>
      </c>
      <c r="I8699" t="s">
        <v>46</v>
      </c>
    </row>
    <row r="8700" spans="1:9" x14ac:dyDescent="0.3">
      <c r="A8700" t="s">
        <v>26</v>
      </c>
      <c r="G8700">
        <v>44679</v>
      </c>
      <c r="H8700">
        <v>2022</v>
      </c>
      <c r="I8700" t="s">
        <v>46</v>
      </c>
    </row>
    <row r="8701" spans="1:9" x14ac:dyDescent="0.3">
      <c r="A8701" t="s">
        <v>22</v>
      </c>
      <c r="G8701">
        <v>44679</v>
      </c>
      <c r="H8701">
        <v>2022</v>
      </c>
      <c r="I8701" t="s">
        <v>46</v>
      </c>
    </row>
    <row r="8702" spans="1:9" x14ac:dyDescent="0.3">
      <c r="A8702" t="s">
        <v>61</v>
      </c>
      <c r="G8702">
        <v>44679</v>
      </c>
      <c r="H8702">
        <v>2022</v>
      </c>
      <c r="I8702" t="s">
        <v>46</v>
      </c>
    </row>
    <row r="8703" spans="1:9" x14ac:dyDescent="0.3">
      <c r="A8703" t="s">
        <v>19</v>
      </c>
      <c r="B8703">
        <v>540000</v>
      </c>
      <c r="C8703">
        <v>162000</v>
      </c>
      <c r="D8703">
        <v>108000</v>
      </c>
      <c r="G8703">
        <v>44679</v>
      </c>
      <c r="H8703">
        <v>2022</v>
      </c>
      <c r="I8703" t="s">
        <v>46</v>
      </c>
    </row>
    <row r="8704" spans="1:9" x14ac:dyDescent="0.3">
      <c r="A8704" t="s">
        <v>14</v>
      </c>
      <c r="B8704">
        <v>756000</v>
      </c>
      <c r="C8704">
        <v>1242000</v>
      </c>
      <c r="D8704">
        <v>108000</v>
      </c>
      <c r="G8704">
        <v>44679</v>
      </c>
      <c r="H8704">
        <v>2022</v>
      </c>
      <c r="I8704" t="s">
        <v>46</v>
      </c>
    </row>
    <row r="8705" spans="1:9" x14ac:dyDescent="0.3">
      <c r="A8705" t="s">
        <v>24</v>
      </c>
      <c r="G8705">
        <v>44679</v>
      </c>
      <c r="H8705">
        <v>2022</v>
      </c>
      <c r="I8705" t="s">
        <v>46</v>
      </c>
    </row>
    <row r="8706" spans="1:9" x14ac:dyDescent="0.3">
      <c r="A8706" t="s">
        <v>21</v>
      </c>
      <c r="G8706">
        <v>44679</v>
      </c>
      <c r="H8706">
        <v>2022</v>
      </c>
      <c r="I8706" t="s">
        <v>46</v>
      </c>
    </row>
    <row r="8707" spans="1:9" x14ac:dyDescent="0.3">
      <c r="A8707" t="s">
        <v>65</v>
      </c>
      <c r="G8707">
        <v>44679</v>
      </c>
      <c r="H8707">
        <v>2022</v>
      </c>
      <c r="I8707" t="s">
        <v>46</v>
      </c>
    </row>
    <row r="8708" spans="1:9" x14ac:dyDescent="0.3">
      <c r="A8708" t="s">
        <v>18</v>
      </c>
      <c r="G8708">
        <v>44679</v>
      </c>
      <c r="H8708">
        <v>2022</v>
      </c>
      <c r="I8708" t="s">
        <v>46</v>
      </c>
    </row>
    <row r="8709" spans="1:9" x14ac:dyDescent="0.3">
      <c r="A8709" t="s">
        <v>16</v>
      </c>
      <c r="G8709">
        <v>44679</v>
      </c>
      <c r="H8709">
        <v>2022</v>
      </c>
      <c r="I8709" t="s">
        <v>46</v>
      </c>
    </row>
    <row r="8710" spans="1:9" x14ac:dyDescent="0.3">
      <c r="A8710" t="s">
        <v>20</v>
      </c>
      <c r="G8710">
        <v>44680</v>
      </c>
      <c r="H8710">
        <v>2022</v>
      </c>
      <c r="I8710" t="s">
        <v>46</v>
      </c>
    </row>
    <row r="8711" spans="1:9" x14ac:dyDescent="0.3">
      <c r="A8711" t="s">
        <v>37</v>
      </c>
      <c r="G8711">
        <v>44680</v>
      </c>
      <c r="H8711">
        <v>2022</v>
      </c>
      <c r="I8711" t="s">
        <v>46</v>
      </c>
    </row>
    <row r="8712" spans="1:9" x14ac:dyDescent="0.3">
      <c r="A8712" t="s">
        <v>17</v>
      </c>
      <c r="G8712">
        <v>44680</v>
      </c>
      <c r="H8712">
        <v>2022</v>
      </c>
      <c r="I8712" t="s">
        <v>46</v>
      </c>
    </row>
    <row r="8713" spans="1:9" x14ac:dyDescent="0.3">
      <c r="A8713" t="s">
        <v>0</v>
      </c>
      <c r="G8713">
        <v>44680</v>
      </c>
      <c r="H8713">
        <v>2022</v>
      </c>
      <c r="I8713" t="s">
        <v>46</v>
      </c>
    </row>
    <row r="8714" spans="1:9" x14ac:dyDescent="0.3">
      <c r="A8714" t="s">
        <v>25</v>
      </c>
      <c r="B8714">
        <v>639000</v>
      </c>
      <c r="D8714">
        <v>216000</v>
      </c>
      <c r="G8714">
        <v>44680</v>
      </c>
      <c r="H8714">
        <v>2022</v>
      </c>
      <c r="I8714" t="s">
        <v>46</v>
      </c>
    </row>
    <row r="8715" spans="1:9" x14ac:dyDescent="0.3">
      <c r="A8715" t="s">
        <v>15</v>
      </c>
      <c r="B8715">
        <v>482000</v>
      </c>
      <c r="D8715">
        <v>162000</v>
      </c>
      <c r="G8715">
        <v>44680</v>
      </c>
      <c r="H8715">
        <v>2022</v>
      </c>
      <c r="I8715" t="s">
        <v>46</v>
      </c>
    </row>
    <row r="8716" spans="1:9" x14ac:dyDescent="0.3">
      <c r="A8716" t="s">
        <v>54</v>
      </c>
      <c r="B8716">
        <v>536000</v>
      </c>
      <c r="D8716">
        <v>270000</v>
      </c>
      <c r="G8716">
        <v>44680</v>
      </c>
      <c r="H8716">
        <v>2022</v>
      </c>
      <c r="I8716" t="s">
        <v>46</v>
      </c>
    </row>
    <row r="8717" spans="1:9" x14ac:dyDescent="0.3">
      <c r="A8717" t="s">
        <v>26</v>
      </c>
      <c r="C8717">
        <v>756000</v>
      </c>
      <c r="G8717">
        <v>44680</v>
      </c>
      <c r="H8717">
        <v>2022</v>
      </c>
      <c r="I8717" t="s">
        <v>46</v>
      </c>
    </row>
    <row r="8718" spans="1:9" x14ac:dyDescent="0.3">
      <c r="A8718" t="s">
        <v>22</v>
      </c>
      <c r="G8718">
        <v>44680</v>
      </c>
      <c r="H8718">
        <v>2022</v>
      </c>
      <c r="I8718" t="s">
        <v>46</v>
      </c>
    </row>
    <row r="8719" spans="1:9" x14ac:dyDescent="0.3">
      <c r="A8719" t="s">
        <v>61</v>
      </c>
      <c r="G8719">
        <v>44680</v>
      </c>
      <c r="H8719">
        <v>2022</v>
      </c>
      <c r="I8719" t="s">
        <v>46</v>
      </c>
    </row>
    <row r="8720" spans="1:9" x14ac:dyDescent="0.3">
      <c r="A8720" t="s">
        <v>19</v>
      </c>
      <c r="B8720">
        <v>540000</v>
      </c>
      <c r="C8720">
        <v>540000</v>
      </c>
      <c r="D8720">
        <v>212000</v>
      </c>
      <c r="G8720">
        <v>44680</v>
      </c>
      <c r="H8720">
        <v>2022</v>
      </c>
      <c r="I8720" t="s">
        <v>46</v>
      </c>
    </row>
    <row r="8721" spans="1:9" x14ac:dyDescent="0.3">
      <c r="A8721" t="s">
        <v>14</v>
      </c>
      <c r="B8721">
        <v>486000</v>
      </c>
      <c r="C8721">
        <v>432000</v>
      </c>
      <c r="D8721">
        <v>216000</v>
      </c>
      <c r="G8721">
        <v>44680</v>
      </c>
      <c r="H8721">
        <v>2022</v>
      </c>
      <c r="I8721" t="s">
        <v>46</v>
      </c>
    </row>
    <row r="8722" spans="1:9" x14ac:dyDescent="0.3">
      <c r="A8722" t="s">
        <v>24</v>
      </c>
      <c r="G8722">
        <v>44680</v>
      </c>
      <c r="H8722">
        <v>2022</v>
      </c>
      <c r="I8722" t="s">
        <v>46</v>
      </c>
    </row>
    <row r="8723" spans="1:9" x14ac:dyDescent="0.3">
      <c r="A8723" t="s">
        <v>21</v>
      </c>
      <c r="G8723">
        <v>44680</v>
      </c>
      <c r="H8723">
        <v>2022</v>
      </c>
      <c r="I8723" t="s">
        <v>46</v>
      </c>
    </row>
    <row r="8724" spans="1:9" x14ac:dyDescent="0.3">
      <c r="A8724" t="s">
        <v>65</v>
      </c>
      <c r="G8724">
        <v>44680</v>
      </c>
      <c r="H8724">
        <v>2022</v>
      </c>
      <c r="I8724" t="s">
        <v>46</v>
      </c>
    </row>
    <row r="8725" spans="1:9" x14ac:dyDescent="0.3">
      <c r="A8725" t="s">
        <v>18</v>
      </c>
      <c r="G8725">
        <v>44680</v>
      </c>
      <c r="H8725">
        <v>2022</v>
      </c>
      <c r="I8725" t="s">
        <v>46</v>
      </c>
    </row>
    <row r="8726" spans="1:9" x14ac:dyDescent="0.3">
      <c r="A8726" t="s">
        <v>16</v>
      </c>
      <c r="G8726">
        <v>44680</v>
      </c>
      <c r="H8726">
        <v>2022</v>
      </c>
      <c r="I8726" t="s">
        <v>46</v>
      </c>
    </row>
    <row r="8727" spans="1:9" x14ac:dyDescent="0.3">
      <c r="A8727" t="s">
        <v>20</v>
      </c>
      <c r="G8727">
        <v>44685</v>
      </c>
      <c r="H8727">
        <v>2022</v>
      </c>
      <c r="I8727" t="s">
        <v>44</v>
      </c>
    </row>
    <row r="8728" spans="1:9" x14ac:dyDescent="0.3">
      <c r="A8728" t="s">
        <v>37</v>
      </c>
      <c r="G8728">
        <v>44685</v>
      </c>
      <c r="H8728">
        <v>2022</v>
      </c>
      <c r="I8728" t="s">
        <v>44</v>
      </c>
    </row>
    <row r="8729" spans="1:9" x14ac:dyDescent="0.3">
      <c r="A8729" t="s">
        <v>17</v>
      </c>
      <c r="G8729">
        <v>44685</v>
      </c>
      <c r="H8729">
        <v>2022</v>
      </c>
      <c r="I8729" t="s">
        <v>44</v>
      </c>
    </row>
    <row r="8730" spans="1:9" x14ac:dyDescent="0.3">
      <c r="A8730" t="s">
        <v>0</v>
      </c>
      <c r="G8730">
        <v>44685</v>
      </c>
      <c r="H8730">
        <v>2022</v>
      </c>
      <c r="I8730" t="s">
        <v>44</v>
      </c>
    </row>
    <row r="8731" spans="1:9" x14ac:dyDescent="0.3">
      <c r="A8731" t="s">
        <v>25</v>
      </c>
      <c r="B8731">
        <v>216000</v>
      </c>
      <c r="G8731">
        <v>44685</v>
      </c>
      <c r="H8731">
        <v>2022</v>
      </c>
      <c r="I8731" t="s">
        <v>44</v>
      </c>
    </row>
    <row r="8732" spans="1:9" x14ac:dyDescent="0.3">
      <c r="A8732" t="s">
        <v>15</v>
      </c>
      <c r="G8732">
        <v>44685</v>
      </c>
      <c r="H8732">
        <v>2022</v>
      </c>
      <c r="I8732" t="s">
        <v>44</v>
      </c>
    </row>
    <row r="8733" spans="1:9" x14ac:dyDescent="0.3">
      <c r="A8733" t="s">
        <v>54</v>
      </c>
      <c r="B8733">
        <v>270000</v>
      </c>
      <c r="G8733">
        <v>44685</v>
      </c>
      <c r="H8733">
        <v>2022</v>
      </c>
      <c r="I8733" t="s">
        <v>44</v>
      </c>
    </row>
    <row r="8734" spans="1:9" x14ac:dyDescent="0.3">
      <c r="A8734" t="s">
        <v>26</v>
      </c>
      <c r="G8734">
        <v>44685</v>
      </c>
      <c r="H8734">
        <v>2022</v>
      </c>
      <c r="I8734" t="s">
        <v>44</v>
      </c>
    </row>
    <row r="8735" spans="1:9" x14ac:dyDescent="0.3">
      <c r="A8735" t="s">
        <v>22</v>
      </c>
      <c r="G8735">
        <v>44685</v>
      </c>
      <c r="H8735">
        <v>2022</v>
      </c>
      <c r="I8735" t="s">
        <v>44</v>
      </c>
    </row>
    <row r="8736" spans="1:9" x14ac:dyDescent="0.3">
      <c r="A8736" t="s">
        <v>61</v>
      </c>
      <c r="G8736">
        <v>44685</v>
      </c>
      <c r="H8736">
        <v>2022</v>
      </c>
      <c r="I8736" t="s">
        <v>44</v>
      </c>
    </row>
    <row r="8737" spans="1:9" x14ac:dyDescent="0.3">
      <c r="A8737" t="s">
        <v>19</v>
      </c>
      <c r="B8737">
        <v>108000</v>
      </c>
      <c r="G8737">
        <v>44685</v>
      </c>
      <c r="H8737">
        <v>2022</v>
      </c>
      <c r="I8737" t="s">
        <v>44</v>
      </c>
    </row>
    <row r="8738" spans="1:9" x14ac:dyDescent="0.3">
      <c r="A8738" t="s">
        <v>14</v>
      </c>
      <c r="B8738">
        <v>104000</v>
      </c>
      <c r="G8738">
        <v>44685</v>
      </c>
      <c r="H8738">
        <v>2022</v>
      </c>
      <c r="I8738" t="s">
        <v>44</v>
      </c>
    </row>
    <row r="8739" spans="1:9" x14ac:dyDescent="0.3">
      <c r="A8739" t="s">
        <v>24</v>
      </c>
      <c r="G8739">
        <v>44685</v>
      </c>
      <c r="H8739">
        <v>2022</v>
      </c>
      <c r="I8739" t="s">
        <v>44</v>
      </c>
    </row>
    <row r="8740" spans="1:9" x14ac:dyDescent="0.3">
      <c r="A8740" t="s">
        <v>21</v>
      </c>
      <c r="G8740">
        <v>44685</v>
      </c>
      <c r="H8740">
        <v>2022</v>
      </c>
      <c r="I8740" t="s">
        <v>44</v>
      </c>
    </row>
    <row r="8741" spans="1:9" x14ac:dyDescent="0.3">
      <c r="A8741" t="s">
        <v>65</v>
      </c>
      <c r="G8741">
        <v>44685</v>
      </c>
      <c r="H8741">
        <v>2022</v>
      </c>
      <c r="I8741" t="s">
        <v>44</v>
      </c>
    </row>
    <row r="8742" spans="1:9" x14ac:dyDescent="0.3">
      <c r="A8742" t="s">
        <v>18</v>
      </c>
      <c r="G8742">
        <v>44685</v>
      </c>
      <c r="H8742">
        <v>2022</v>
      </c>
      <c r="I8742" t="s">
        <v>44</v>
      </c>
    </row>
    <row r="8743" spans="1:9" x14ac:dyDescent="0.3">
      <c r="A8743" t="s">
        <v>16</v>
      </c>
      <c r="G8743">
        <v>44685</v>
      </c>
      <c r="H8743">
        <v>2022</v>
      </c>
      <c r="I8743" t="s">
        <v>44</v>
      </c>
    </row>
    <row r="8744" spans="1:9" x14ac:dyDescent="0.3">
      <c r="A8744" t="s">
        <v>20</v>
      </c>
      <c r="G8744">
        <v>44686</v>
      </c>
      <c r="H8744">
        <v>2022</v>
      </c>
      <c r="I8744" t="s">
        <v>44</v>
      </c>
    </row>
    <row r="8745" spans="1:9" x14ac:dyDescent="0.3">
      <c r="A8745" t="s">
        <v>37</v>
      </c>
      <c r="G8745">
        <v>44686</v>
      </c>
      <c r="H8745">
        <v>2022</v>
      </c>
      <c r="I8745" t="s">
        <v>44</v>
      </c>
    </row>
    <row r="8746" spans="1:9" x14ac:dyDescent="0.3">
      <c r="A8746" t="s">
        <v>17</v>
      </c>
      <c r="G8746">
        <v>44686</v>
      </c>
      <c r="H8746">
        <v>2022</v>
      </c>
      <c r="I8746" t="s">
        <v>44</v>
      </c>
    </row>
    <row r="8747" spans="1:9" x14ac:dyDescent="0.3">
      <c r="A8747" t="s">
        <v>0</v>
      </c>
      <c r="G8747">
        <v>44686</v>
      </c>
      <c r="H8747">
        <v>2022</v>
      </c>
      <c r="I8747" t="s">
        <v>44</v>
      </c>
    </row>
    <row r="8748" spans="1:9" x14ac:dyDescent="0.3">
      <c r="A8748" t="s">
        <v>25</v>
      </c>
      <c r="B8748">
        <v>756000</v>
      </c>
      <c r="G8748">
        <v>44686</v>
      </c>
      <c r="H8748">
        <v>2022</v>
      </c>
      <c r="I8748" t="s">
        <v>44</v>
      </c>
    </row>
    <row r="8749" spans="1:9" x14ac:dyDescent="0.3">
      <c r="A8749" t="s">
        <v>15</v>
      </c>
      <c r="C8749">
        <v>580500</v>
      </c>
      <c r="G8749">
        <v>44686</v>
      </c>
      <c r="H8749">
        <v>2022</v>
      </c>
      <c r="I8749" t="s">
        <v>44</v>
      </c>
    </row>
    <row r="8750" spans="1:9" x14ac:dyDescent="0.3">
      <c r="A8750" t="s">
        <v>54</v>
      </c>
      <c r="B8750">
        <v>427500</v>
      </c>
      <c r="G8750">
        <v>44686</v>
      </c>
      <c r="H8750">
        <v>2022</v>
      </c>
      <c r="I8750" t="s">
        <v>44</v>
      </c>
    </row>
    <row r="8751" spans="1:9" x14ac:dyDescent="0.3">
      <c r="A8751" t="s">
        <v>26</v>
      </c>
      <c r="C8751">
        <v>589500</v>
      </c>
      <c r="G8751">
        <v>44686</v>
      </c>
      <c r="H8751">
        <v>2022</v>
      </c>
      <c r="I8751" t="s">
        <v>44</v>
      </c>
    </row>
    <row r="8752" spans="1:9" x14ac:dyDescent="0.3">
      <c r="A8752" t="s">
        <v>22</v>
      </c>
      <c r="G8752">
        <v>44686</v>
      </c>
      <c r="H8752">
        <v>2022</v>
      </c>
      <c r="I8752" t="s">
        <v>44</v>
      </c>
    </row>
    <row r="8753" spans="1:9" x14ac:dyDescent="0.3">
      <c r="A8753" t="s">
        <v>61</v>
      </c>
      <c r="G8753">
        <v>44686</v>
      </c>
      <c r="H8753">
        <v>2022</v>
      </c>
      <c r="I8753" t="s">
        <v>44</v>
      </c>
    </row>
    <row r="8754" spans="1:9" x14ac:dyDescent="0.3">
      <c r="A8754" t="s">
        <v>19</v>
      </c>
      <c r="B8754">
        <v>742500</v>
      </c>
      <c r="C8754">
        <v>306000</v>
      </c>
      <c r="G8754">
        <v>44686</v>
      </c>
      <c r="H8754">
        <v>2022</v>
      </c>
      <c r="I8754" t="s">
        <v>44</v>
      </c>
    </row>
    <row r="8755" spans="1:9" x14ac:dyDescent="0.3">
      <c r="A8755" t="s">
        <v>14</v>
      </c>
      <c r="B8755">
        <v>378000</v>
      </c>
      <c r="C8755">
        <v>270000</v>
      </c>
      <c r="G8755">
        <v>44686</v>
      </c>
      <c r="H8755">
        <v>2022</v>
      </c>
      <c r="I8755" t="s">
        <v>44</v>
      </c>
    </row>
    <row r="8756" spans="1:9" x14ac:dyDescent="0.3">
      <c r="A8756" t="s">
        <v>24</v>
      </c>
      <c r="G8756">
        <v>44686</v>
      </c>
      <c r="H8756">
        <v>2022</v>
      </c>
      <c r="I8756" t="s">
        <v>44</v>
      </c>
    </row>
    <row r="8757" spans="1:9" x14ac:dyDescent="0.3">
      <c r="A8757" t="s">
        <v>21</v>
      </c>
      <c r="G8757">
        <v>44686</v>
      </c>
      <c r="H8757">
        <v>2022</v>
      </c>
      <c r="I8757" t="s">
        <v>44</v>
      </c>
    </row>
    <row r="8758" spans="1:9" x14ac:dyDescent="0.3">
      <c r="A8758" t="s">
        <v>65</v>
      </c>
      <c r="G8758">
        <v>44686</v>
      </c>
      <c r="H8758">
        <v>2022</v>
      </c>
      <c r="I8758" t="s">
        <v>44</v>
      </c>
    </row>
    <row r="8759" spans="1:9" x14ac:dyDescent="0.3">
      <c r="A8759" t="s">
        <v>18</v>
      </c>
      <c r="G8759">
        <v>44686</v>
      </c>
      <c r="H8759">
        <v>2022</v>
      </c>
      <c r="I8759" t="s">
        <v>44</v>
      </c>
    </row>
    <row r="8760" spans="1:9" x14ac:dyDescent="0.3">
      <c r="A8760" t="s">
        <v>16</v>
      </c>
      <c r="C8760">
        <v>45000</v>
      </c>
      <c r="E8760">
        <v>162000</v>
      </c>
      <c r="G8760">
        <v>44686</v>
      </c>
      <c r="H8760">
        <v>2022</v>
      </c>
      <c r="I8760" t="s">
        <v>44</v>
      </c>
    </row>
    <row r="8761" spans="1:9" x14ac:dyDescent="0.3">
      <c r="A8761" t="s">
        <v>20</v>
      </c>
      <c r="G8761">
        <v>44687</v>
      </c>
      <c r="H8761">
        <v>2022</v>
      </c>
      <c r="I8761" t="s">
        <v>44</v>
      </c>
    </row>
    <row r="8762" spans="1:9" x14ac:dyDescent="0.3">
      <c r="A8762" t="s">
        <v>37</v>
      </c>
      <c r="G8762">
        <v>44687</v>
      </c>
      <c r="H8762">
        <v>2022</v>
      </c>
      <c r="I8762" t="s">
        <v>44</v>
      </c>
    </row>
    <row r="8763" spans="1:9" x14ac:dyDescent="0.3">
      <c r="A8763" t="s">
        <v>17</v>
      </c>
      <c r="G8763">
        <v>44687</v>
      </c>
      <c r="H8763">
        <v>2022</v>
      </c>
      <c r="I8763" t="s">
        <v>44</v>
      </c>
    </row>
    <row r="8764" spans="1:9" x14ac:dyDescent="0.3">
      <c r="A8764" t="s">
        <v>0</v>
      </c>
      <c r="G8764">
        <v>44687</v>
      </c>
      <c r="H8764">
        <v>2022</v>
      </c>
      <c r="I8764" t="s">
        <v>44</v>
      </c>
    </row>
    <row r="8765" spans="1:9" x14ac:dyDescent="0.3">
      <c r="A8765" t="s">
        <v>25</v>
      </c>
      <c r="B8765">
        <v>108000</v>
      </c>
      <c r="D8765">
        <v>108000</v>
      </c>
      <c r="G8765">
        <v>44687</v>
      </c>
      <c r="H8765">
        <v>2022</v>
      </c>
      <c r="I8765" t="s">
        <v>44</v>
      </c>
    </row>
    <row r="8766" spans="1:9" x14ac:dyDescent="0.3">
      <c r="A8766" t="s">
        <v>15</v>
      </c>
      <c r="B8766">
        <v>1026000</v>
      </c>
      <c r="C8766">
        <v>688500</v>
      </c>
      <c r="D8766">
        <v>108000</v>
      </c>
      <c r="G8766">
        <v>44687</v>
      </c>
      <c r="H8766">
        <v>2022</v>
      </c>
      <c r="I8766" t="s">
        <v>44</v>
      </c>
    </row>
    <row r="8767" spans="1:9" x14ac:dyDescent="0.3">
      <c r="A8767" t="s">
        <v>54</v>
      </c>
      <c r="D8767">
        <v>108000</v>
      </c>
      <c r="G8767">
        <v>44687</v>
      </c>
      <c r="H8767">
        <v>2022</v>
      </c>
      <c r="I8767" t="s">
        <v>44</v>
      </c>
    </row>
    <row r="8768" spans="1:9" x14ac:dyDescent="0.3">
      <c r="A8768" t="s">
        <v>26</v>
      </c>
      <c r="C8768">
        <v>540000</v>
      </c>
      <c r="G8768">
        <v>44687</v>
      </c>
      <c r="H8768">
        <v>2022</v>
      </c>
      <c r="I8768" t="s">
        <v>44</v>
      </c>
    </row>
    <row r="8769" spans="1:9" x14ac:dyDescent="0.3">
      <c r="A8769" t="s">
        <v>22</v>
      </c>
      <c r="G8769">
        <v>44687</v>
      </c>
      <c r="H8769">
        <v>2022</v>
      </c>
      <c r="I8769" t="s">
        <v>44</v>
      </c>
    </row>
    <row r="8770" spans="1:9" x14ac:dyDescent="0.3">
      <c r="A8770" t="s">
        <v>61</v>
      </c>
      <c r="G8770">
        <v>44687</v>
      </c>
      <c r="H8770">
        <v>2022</v>
      </c>
      <c r="I8770" t="s">
        <v>44</v>
      </c>
    </row>
    <row r="8771" spans="1:9" x14ac:dyDescent="0.3">
      <c r="A8771" t="s">
        <v>19</v>
      </c>
      <c r="B8771">
        <v>54000</v>
      </c>
      <c r="D8771">
        <v>216000</v>
      </c>
      <c r="G8771">
        <v>44687</v>
      </c>
      <c r="H8771">
        <v>2022</v>
      </c>
      <c r="I8771" t="s">
        <v>44</v>
      </c>
    </row>
    <row r="8772" spans="1:9" x14ac:dyDescent="0.3">
      <c r="A8772" t="s">
        <v>14</v>
      </c>
      <c r="B8772">
        <v>103500</v>
      </c>
      <c r="C8772">
        <v>108000</v>
      </c>
      <c r="D8772">
        <v>103500</v>
      </c>
      <c r="G8772">
        <v>44687</v>
      </c>
      <c r="H8772">
        <v>2022</v>
      </c>
      <c r="I8772" t="s">
        <v>44</v>
      </c>
    </row>
    <row r="8773" spans="1:9" x14ac:dyDescent="0.3">
      <c r="A8773" t="s">
        <v>24</v>
      </c>
      <c r="G8773">
        <v>44687</v>
      </c>
      <c r="H8773">
        <v>2022</v>
      </c>
      <c r="I8773" t="s">
        <v>44</v>
      </c>
    </row>
    <row r="8774" spans="1:9" x14ac:dyDescent="0.3">
      <c r="A8774" t="s">
        <v>21</v>
      </c>
      <c r="G8774">
        <v>44687</v>
      </c>
      <c r="H8774">
        <v>2022</v>
      </c>
      <c r="I8774" t="s">
        <v>44</v>
      </c>
    </row>
    <row r="8775" spans="1:9" x14ac:dyDescent="0.3">
      <c r="A8775" t="s">
        <v>65</v>
      </c>
      <c r="G8775">
        <v>44687</v>
      </c>
      <c r="H8775">
        <v>2022</v>
      </c>
      <c r="I8775" t="s">
        <v>44</v>
      </c>
    </row>
    <row r="8776" spans="1:9" x14ac:dyDescent="0.3">
      <c r="A8776" t="s">
        <v>18</v>
      </c>
      <c r="G8776">
        <v>44687</v>
      </c>
      <c r="H8776">
        <v>2022</v>
      </c>
      <c r="I8776" t="s">
        <v>44</v>
      </c>
    </row>
    <row r="8777" spans="1:9" x14ac:dyDescent="0.3">
      <c r="A8777" t="s">
        <v>16</v>
      </c>
      <c r="G8777">
        <v>44687</v>
      </c>
      <c r="H8777">
        <v>2022</v>
      </c>
      <c r="I8777" t="s">
        <v>44</v>
      </c>
    </row>
    <row r="8778" spans="1:9" x14ac:dyDescent="0.3">
      <c r="A8778" t="s">
        <v>20</v>
      </c>
      <c r="G8778">
        <v>44690</v>
      </c>
      <c r="H8778">
        <v>2022</v>
      </c>
      <c r="I8778" t="s">
        <v>44</v>
      </c>
    </row>
    <row r="8779" spans="1:9" x14ac:dyDescent="0.3">
      <c r="A8779" t="s">
        <v>37</v>
      </c>
      <c r="G8779">
        <v>44690</v>
      </c>
      <c r="H8779">
        <v>2022</v>
      </c>
      <c r="I8779" t="s">
        <v>44</v>
      </c>
    </row>
    <row r="8780" spans="1:9" x14ac:dyDescent="0.3">
      <c r="A8780" t="s">
        <v>17</v>
      </c>
      <c r="G8780">
        <v>44690</v>
      </c>
      <c r="H8780">
        <v>2022</v>
      </c>
      <c r="I8780" t="s">
        <v>44</v>
      </c>
    </row>
    <row r="8781" spans="1:9" x14ac:dyDescent="0.3">
      <c r="A8781" t="s">
        <v>0</v>
      </c>
      <c r="B8781">
        <v>1134000</v>
      </c>
      <c r="D8781">
        <v>108000</v>
      </c>
      <c r="G8781">
        <v>44690</v>
      </c>
      <c r="H8781">
        <v>2022</v>
      </c>
      <c r="I8781" t="s">
        <v>44</v>
      </c>
    </row>
    <row r="8782" spans="1:9" x14ac:dyDescent="0.3">
      <c r="A8782" t="s">
        <v>25</v>
      </c>
      <c r="B8782">
        <v>108000</v>
      </c>
      <c r="D8782">
        <v>54000</v>
      </c>
      <c r="G8782">
        <v>44690</v>
      </c>
      <c r="H8782">
        <v>2022</v>
      </c>
      <c r="I8782" t="s">
        <v>44</v>
      </c>
    </row>
    <row r="8783" spans="1:9" x14ac:dyDescent="0.3">
      <c r="A8783" t="s">
        <v>15</v>
      </c>
      <c r="B8783">
        <v>540000</v>
      </c>
      <c r="C8783">
        <v>756000</v>
      </c>
      <c r="D8783">
        <v>54000</v>
      </c>
      <c r="G8783">
        <v>44690</v>
      </c>
      <c r="H8783">
        <v>2022</v>
      </c>
      <c r="I8783" t="s">
        <v>44</v>
      </c>
    </row>
    <row r="8784" spans="1:9" x14ac:dyDescent="0.3">
      <c r="A8784" t="s">
        <v>54</v>
      </c>
      <c r="G8784">
        <v>44690</v>
      </c>
      <c r="H8784">
        <v>2022</v>
      </c>
      <c r="I8784" t="s">
        <v>44</v>
      </c>
    </row>
    <row r="8785" spans="1:9" x14ac:dyDescent="0.3">
      <c r="A8785" t="s">
        <v>26</v>
      </c>
      <c r="B8785">
        <v>265500</v>
      </c>
      <c r="C8785">
        <v>306000</v>
      </c>
      <c r="G8785">
        <v>44690</v>
      </c>
      <c r="H8785">
        <v>2022</v>
      </c>
      <c r="I8785" t="s">
        <v>44</v>
      </c>
    </row>
    <row r="8786" spans="1:9" x14ac:dyDescent="0.3">
      <c r="A8786" t="s">
        <v>22</v>
      </c>
      <c r="G8786">
        <v>44690</v>
      </c>
      <c r="H8786">
        <v>2022</v>
      </c>
      <c r="I8786" t="s">
        <v>44</v>
      </c>
    </row>
    <row r="8787" spans="1:9" x14ac:dyDescent="0.3">
      <c r="A8787" t="s">
        <v>61</v>
      </c>
      <c r="G8787">
        <v>44690</v>
      </c>
      <c r="H8787">
        <v>2022</v>
      </c>
      <c r="I8787" t="s">
        <v>44</v>
      </c>
    </row>
    <row r="8788" spans="1:9" x14ac:dyDescent="0.3">
      <c r="A8788" t="s">
        <v>19</v>
      </c>
      <c r="B8788">
        <v>162000</v>
      </c>
      <c r="G8788">
        <v>44690</v>
      </c>
      <c r="H8788">
        <v>2022</v>
      </c>
      <c r="I8788" t="s">
        <v>44</v>
      </c>
    </row>
    <row r="8789" spans="1:9" x14ac:dyDescent="0.3">
      <c r="A8789" t="s">
        <v>14</v>
      </c>
      <c r="B8789">
        <v>270000</v>
      </c>
      <c r="D8789">
        <v>54000</v>
      </c>
      <c r="G8789">
        <v>44690</v>
      </c>
      <c r="H8789">
        <v>2022</v>
      </c>
      <c r="I8789" t="s">
        <v>44</v>
      </c>
    </row>
    <row r="8790" spans="1:9" x14ac:dyDescent="0.3">
      <c r="A8790" t="s">
        <v>24</v>
      </c>
      <c r="G8790">
        <v>44690</v>
      </c>
      <c r="H8790">
        <v>2022</v>
      </c>
      <c r="I8790" t="s">
        <v>44</v>
      </c>
    </row>
    <row r="8791" spans="1:9" x14ac:dyDescent="0.3">
      <c r="A8791" t="s">
        <v>21</v>
      </c>
      <c r="G8791">
        <v>44690</v>
      </c>
      <c r="H8791">
        <v>2022</v>
      </c>
      <c r="I8791" t="s">
        <v>44</v>
      </c>
    </row>
    <row r="8792" spans="1:9" x14ac:dyDescent="0.3">
      <c r="A8792" t="s">
        <v>65</v>
      </c>
      <c r="G8792">
        <v>44690</v>
      </c>
      <c r="H8792">
        <v>2022</v>
      </c>
      <c r="I8792" t="s">
        <v>44</v>
      </c>
    </row>
    <row r="8793" spans="1:9" x14ac:dyDescent="0.3">
      <c r="A8793" t="s">
        <v>18</v>
      </c>
      <c r="G8793">
        <v>44690</v>
      </c>
      <c r="H8793">
        <v>2022</v>
      </c>
      <c r="I8793" t="s">
        <v>44</v>
      </c>
    </row>
    <row r="8794" spans="1:9" x14ac:dyDescent="0.3">
      <c r="A8794" t="s">
        <v>16</v>
      </c>
      <c r="G8794">
        <v>44690</v>
      </c>
      <c r="H8794">
        <v>2022</v>
      </c>
      <c r="I8794" t="s">
        <v>44</v>
      </c>
    </row>
    <row r="8795" spans="1:9" x14ac:dyDescent="0.3">
      <c r="A8795" t="s">
        <v>20</v>
      </c>
      <c r="G8795">
        <v>44691</v>
      </c>
      <c r="H8795">
        <v>2022</v>
      </c>
      <c r="I8795" t="s">
        <v>44</v>
      </c>
    </row>
    <row r="8796" spans="1:9" x14ac:dyDescent="0.3">
      <c r="A8796" t="s">
        <v>37</v>
      </c>
      <c r="G8796">
        <v>44691</v>
      </c>
      <c r="H8796">
        <v>2022</v>
      </c>
      <c r="I8796" t="s">
        <v>44</v>
      </c>
    </row>
    <row r="8797" spans="1:9" x14ac:dyDescent="0.3">
      <c r="A8797" t="s">
        <v>17</v>
      </c>
      <c r="C8797">
        <v>54000</v>
      </c>
      <c r="G8797">
        <v>44691</v>
      </c>
      <c r="H8797">
        <v>2022</v>
      </c>
      <c r="I8797" t="s">
        <v>44</v>
      </c>
    </row>
    <row r="8798" spans="1:9" x14ac:dyDescent="0.3">
      <c r="A8798" t="s">
        <v>0</v>
      </c>
      <c r="B8798">
        <v>216000</v>
      </c>
      <c r="G8798">
        <v>44691</v>
      </c>
      <c r="H8798">
        <v>2022</v>
      </c>
      <c r="I8798" t="s">
        <v>44</v>
      </c>
    </row>
    <row r="8799" spans="1:9" x14ac:dyDescent="0.3">
      <c r="A8799" t="s">
        <v>25</v>
      </c>
      <c r="D8799">
        <v>54000</v>
      </c>
      <c r="G8799">
        <v>44691</v>
      </c>
      <c r="H8799">
        <v>2022</v>
      </c>
      <c r="I8799" t="s">
        <v>44</v>
      </c>
    </row>
    <row r="8800" spans="1:9" x14ac:dyDescent="0.3">
      <c r="A8800" t="s">
        <v>15</v>
      </c>
      <c r="B8800">
        <v>589500</v>
      </c>
      <c r="C8800">
        <v>963000</v>
      </c>
      <c r="G8800">
        <v>44691</v>
      </c>
      <c r="H8800">
        <v>2022</v>
      </c>
      <c r="I8800" t="s">
        <v>44</v>
      </c>
    </row>
    <row r="8801" spans="1:9" x14ac:dyDescent="0.3">
      <c r="A8801" t="s">
        <v>54</v>
      </c>
      <c r="E8801">
        <v>216000</v>
      </c>
      <c r="G8801">
        <v>44691</v>
      </c>
      <c r="H8801">
        <v>2022</v>
      </c>
      <c r="I8801" t="s">
        <v>44</v>
      </c>
    </row>
    <row r="8802" spans="1:9" x14ac:dyDescent="0.3">
      <c r="A8802" t="s">
        <v>26</v>
      </c>
      <c r="B8802">
        <v>139500</v>
      </c>
      <c r="C8802">
        <v>216000</v>
      </c>
      <c r="G8802">
        <v>44691</v>
      </c>
      <c r="H8802">
        <v>2022</v>
      </c>
      <c r="I8802" t="s">
        <v>44</v>
      </c>
    </row>
    <row r="8803" spans="1:9" x14ac:dyDescent="0.3">
      <c r="A8803" t="s">
        <v>22</v>
      </c>
      <c r="G8803">
        <v>44691</v>
      </c>
      <c r="H8803">
        <v>2022</v>
      </c>
      <c r="I8803" t="s">
        <v>44</v>
      </c>
    </row>
    <row r="8804" spans="1:9" x14ac:dyDescent="0.3">
      <c r="A8804" t="s">
        <v>61</v>
      </c>
      <c r="G8804">
        <v>44691</v>
      </c>
      <c r="H8804">
        <v>2022</v>
      </c>
      <c r="I8804" t="s">
        <v>44</v>
      </c>
    </row>
    <row r="8805" spans="1:9" x14ac:dyDescent="0.3">
      <c r="A8805" t="s">
        <v>19</v>
      </c>
      <c r="C8805">
        <v>216000</v>
      </c>
      <c r="D8805">
        <v>54000</v>
      </c>
      <c r="G8805">
        <v>44691</v>
      </c>
      <c r="H8805">
        <v>2022</v>
      </c>
      <c r="I8805" t="s">
        <v>44</v>
      </c>
    </row>
    <row r="8806" spans="1:9" x14ac:dyDescent="0.3">
      <c r="A8806" t="s">
        <v>14</v>
      </c>
      <c r="B8806">
        <v>1399500</v>
      </c>
      <c r="D8806">
        <v>54000</v>
      </c>
      <c r="G8806">
        <v>44691</v>
      </c>
      <c r="H8806">
        <v>2022</v>
      </c>
      <c r="I8806" t="s">
        <v>44</v>
      </c>
    </row>
    <row r="8807" spans="1:9" x14ac:dyDescent="0.3">
      <c r="A8807" t="s">
        <v>24</v>
      </c>
      <c r="G8807">
        <v>44691</v>
      </c>
      <c r="H8807">
        <v>2022</v>
      </c>
      <c r="I8807" t="s">
        <v>44</v>
      </c>
    </row>
    <row r="8808" spans="1:9" x14ac:dyDescent="0.3">
      <c r="A8808" t="s">
        <v>21</v>
      </c>
      <c r="G8808">
        <v>44691</v>
      </c>
      <c r="H8808">
        <v>2022</v>
      </c>
      <c r="I8808" t="s">
        <v>44</v>
      </c>
    </row>
    <row r="8809" spans="1:9" x14ac:dyDescent="0.3">
      <c r="A8809" t="s">
        <v>65</v>
      </c>
      <c r="G8809">
        <v>44691</v>
      </c>
      <c r="H8809">
        <v>2022</v>
      </c>
      <c r="I8809" t="s">
        <v>44</v>
      </c>
    </row>
    <row r="8810" spans="1:9" x14ac:dyDescent="0.3">
      <c r="A8810" t="s">
        <v>18</v>
      </c>
      <c r="G8810">
        <v>44691</v>
      </c>
      <c r="H8810">
        <v>2022</v>
      </c>
      <c r="I8810" t="s">
        <v>44</v>
      </c>
    </row>
    <row r="8811" spans="1:9" x14ac:dyDescent="0.3">
      <c r="A8811" t="s">
        <v>16</v>
      </c>
      <c r="G8811">
        <v>44691</v>
      </c>
      <c r="H8811">
        <v>2022</v>
      </c>
      <c r="I8811" t="s">
        <v>44</v>
      </c>
    </row>
    <row r="8812" spans="1:9" x14ac:dyDescent="0.3">
      <c r="A8812" t="s">
        <v>20</v>
      </c>
      <c r="G8812">
        <v>44692</v>
      </c>
      <c r="H8812">
        <v>2022</v>
      </c>
      <c r="I8812" t="s">
        <v>44</v>
      </c>
    </row>
    <row r="8813" spans="1:9" x14ac:dyDescent="0.3">
      <c r="A8813" t="s">
        <v>37</v>
      </c>
      <c r="G8813">
        <v>44692</v>
      </c>
      <c r="H8813">
        <v>2022</v>
      </c>
      <c r="I8813" t="s">
        <v>44</v>
      </c>
    </row>
    <row r="8814" spans="1:9" x14ac:dyDescent="0.3">
      <c r="A8814" t="s">
        <v>17</v>
      </c>
      <c r="G8814">
        <v>44692</v>
      </c>
      <c r="H8814">
        <v>2022</v>
      </c>
      <c r="I8814" t="s">
        <v>44</v>
      </c>
    </row>
    <row r="8815" spans="1:9" x14ac:dyDescent="0.3">
      <c r="A8815" t="s">
        <v>0</v>
      </c>
      <c r="B8815">
        <v>162000</v>
      </c>
      <c r="G8815">
        <v>44692</v>
      </c>
      <c r="H8815">
        <v>2022</v>
      </c>
      <c r="I8815" t="s">
        <v>44</v>
      </c>
    </row>
    <row r="8816" spans="1:9" x14ac:dyDescent="0.3">
      <c r="A8816" t="s">
        <v>25</v>
      </c>
      <c r="D8816">
        <v>54000</v>
      </c>
      <c r="G8816">
        <v>44692</v>
      </c>
      <c r="H8816">
        <v>2022</v>
      </c>
      <c r="I8816" t="s">
        <v>44</v>
      </c>
    </row>
    <row r="8817" spans="1:9" x14ac:dyDescent="0.3">
      <c r="A8817" t="s">
        <v>15</v>
      </c>
      <c r="B8817">
        <v>214000</v>
      </c>
      <c r="C8817">
        <v>1076000</v>
      </c>
      <c r="D8817">
        <v>108000</v>
      </c>
      <c r="G8817">
        <v>44692</v>
      </c>
      <c r="H8817">
        <v>2022</v>
      </c>
      <c r="I8817" t="s">
        <v>44</v>
      </c>
    </row>
    <row r="8818" spans="1:9" x14ac:dyDescent="0.3">
      <c r="A8818" t="s">
        <v>54</v>
      </c>
      <c r="D8818">
        <v>54000</v>
      </c>
      <c r="E8818">
        <v>432000</v>
      </c>
      <c r="G8818">
        <v>44692</v>
      </c>
      <c r="H8818">
        <v>2022</v>
      </c>
      <c r="I8818" t="s">
        <v>44</v>
      </c>
    </row>
    <row r="8819" spans="1:9" x14ac:dyDescent="0.3">
      <c r="A8819" t="s">
        <v>26</v>
      </c>
      <c r="B8819">
        <v>49500</v>
      </c>
      <c r="C8819">
        <v>45000</v>
      </c>
      <c r="G8819">
        <v>44692</v>
      </c>
      <c r="H8819">
        <v>2022</v>
      </c>
      <c r="I8819" t="s">
        <v>44</v>
      </c>
    </row>
    <row r="8820" spans="1:9" x14ac:dyDescent="0.3">
      <c r="A8820" t="s">
        <v>22</v>
      </c>
      <c r="G8820">
        <v>44692</v>
      </c>
      <c r="H8820">
        <v>2022</v>
      </c>
      <c r="I8820" t="s">
        <v>44</v>
      </c>
    </row>
    <row r="8821" spans="1:9" x14ac:dyDescent="0.3">
      <c r="A8821" t="s">
        <v>61</v>
      </c>
      <c r="G8821">
        <v>44692</v>
      </c>
      <c r="H8821">
        <v>2022</v>
      </c>
      <c r="I8821" t="s">
        <v>44</v>
      </c>
    </row>
    <row r="8822" spans="1:9" x14ac:dyDescent="0.3">
      <c r="A8822" t="s">
        <v>19</v>
      </c>
      <c r="C8822">
        <v>108000</v>
      </c>
      <c r="D8822">
        <v>108000</v>
      </c>
      <c r="G8822">
        <v>44692</v>
      </c>
      <c r="H8822">
        <v>2022</v>
      </c>
      <c r="I8822" t="s">
        <v>44</v>
      </c>
    </row>
    <row r="8823" spans="1:9" x14ac:dyDescent="0.3">
      <c r="A8823" t="s">
        <v>14</v>
      </c>
      <c r="B8823">
        <v>1287000</v>
      </c>
      <c r="D8823">
        <v>54000</v>
      </c>
      <c r="G8823">
        <v>44692</v>
      </c>
      <c r="H8823">
        <v>2022</v>
      </c>
      <c r="I8823" t="s">
        <v>44</v>
      </c>
    </row>
    <row r="8824" spans="1:9" x14ac:dyDescent="0.3">
      <c r="A8824" t="s">
        <v>24</v>
      </c>
      <c r="G8824">
        <v>44692</v>
      </c>
      <c r="H8824">
        <v>2022</v>
      </c>
      <c r="I8824" t="s">
        <v>44</v>
      </c>
    </row>
    <row r="8825" spans="1:9" x14ac:dyDescent="0.3">
      <c r="A8825" t="s">
        <v>21</v>
      </c>
      <c r="G8825">
        <v>44692</v>
      </c>
      <c r="H8825">
        <v>2022</v>
      </c>
      <c r="I8825" t="s">
        <v>44</v>
      </c>
    </row>
    <row r="8826" spans="1:9" x14ac:dyDescent="0.3">
      <c r="A8826" t="s">
        <v>65</v>
      </c>
      <c r="G8826">
        <v>44692</v>
      </c>
      <c r="H8826">
        <v>2022</v>
      </c>
      <c r="I8826" t="s">
        <v>44</v>
      </c>
    </row>
    <row r="8827" spans="1:9" x14ac:dyDescent="0.3">
      <c r="A8827" t="s">
        <v>18</v>
      </c>
      <c r="G8827">
        <v>44692</v>
      </c>
      <c r="H8827">
        <v>2022</v>
      </c>
      <c r="I8827" t="s">
        <v>44</v>
      </c>
    </row>
    <row r="8828" spans="1:9" x14ac:dyDescent="0.3">
      <c r="A8828" t="s">
        <v>16</v>
      </c>
      <c r="B8828">
        <v>432000</v>
      </c>
      <c r="G8828">
        <v>44692</v>
      </c>
      <c r="H8828">
        <v>2022</v>
      </c>
      <c r="I8828" t="s">
        <v>44</v>
      </c>
    </row>
    <row r="8829" spans="1:9" x14ac:dyDescent="0.3">
      <c r="A8829" t="s">
        <v>20</v>
      </c>
      <c r="G8829">
        <v>44693</v>
      </c>
      <c r="H8829">
        <v>2022</v>
      </c>
      <c r="I8829" t="s">
        <v>44</v>
      </c>
    </row>
    <row r="8830" spans="1:9" x14ac:dyDescent="0.3">
      <c r="A8830" t="s">
        <v>37</v>
      </c>
      <c r="G8830">
        <v>44693</v>
      </c>
      <c r="H8830">
        <v>2022</v>
      </c>
      <c r="I8830" t="s">
        <v>44</v>
      </c>
    </row>
    <row r="8831" spans="1:9" x14ac:dyDescent="0.3">
      <c r="A8831" t="s">
        <v>17</v>
      </c>
      <c r="G8831">
        <v>44693</v>
      </c>
      <c r="H8831">
        <v>2022</v>
      </c>
      <c r="I8831" t="s">
        <v>44</v>
      </c>
    </row>
    <row r="8832" spans="1:9" x14ac:dyDescent="0.3">
      <c r="A8832" t="s">
        <v>0</v>
      </c>
      <c r="G8832">
        <v>44693</v>
      </c>
      <c r="H8832">
        <v>2022</v>
      </c>
      <c r="I8832" t="s">
        <v>44</v>
      </c>
    </row>
    <row r="8833" spans="1:9" x14ac:dyDescent="0.3">
      <c r="A8833" t="s">
        <v>25</v>
      </c>
      <c r="D8833">
        <v>54000</v>
      </c>
      <c r="G8833">
        <v>44693</v>
      </c>
      <c r="H8833">
        <v>2022</v>
      </c>
      <c r="I8833" t="s">
        <v>44</v>
      </c>
    </row>
    <row r="8834" spans="1:9" x14ac:dyDescent="0.3">
      <c r="A8834" t="s">
        <v>15</v>
      </c>
      <c r="C8834">
        <v>54000</v>
      </c>
      <c r="G8834">
        <v>44693</v>
      </c>
      <c r="H8834">
        <v>2022</v>
      </c>
      <c r="I8834" t="s">
        <v>44</v>
      </c>
    </row>
    <row r="8835" spans="1:9" x14ac:dyDescent="0.3">
      <c r="A8835" t="s">
        <v>54</v>
      </c>
      <c r="C8835">
        <v>1200000</v>
      </c>
      <c r="E8835">
        <v>432000</v>
      </c>
      <c r="G8835">
        <v>44693</v>
      </c>
      <c r="H8835">
        <v>2022</v>
      </c>
      <c r="I8835" t="s">
        <v>44</v>
      </c>
    </row>
    <row r="8836" spans="1:9" x14ac:dyDescent="0.3">
      <c r="A8836" t="s">
        <v>26</v>
      </c>
      <c r="C8836">
        <v>45000</v>
      </c>
      <c r="G8836">
        <v>44693</v>
      </c>
      <c r="H8836">
        <v>2022</v>
      </c>
      <c r="I8836" t="s">
        <v>44</v>
      </c>
    </row>
    <row r="8837" spans="1:9" x14ac:dyDescent="0.3">
      <c r="A8837" t="s">
        <v>22</v>
      </c>
      <c r="G8837">
        <v>44693</v>
      </c>
      <c r="H8837">
        <v>2022</v>
      </c>
      <c r="I8837" t="s">
        <v>44</v>
      </c>
    </row>
    <row r="8838" spans="1:9" x14ac:dyDescent="0.3">
      <c r="A8838" t="s">
        <v>61</v>
      </c>
      <c r="G8838">
        <v>44693</v>
      </c>
      <c r="H8838">
        <v>2022</v>
      </c>
      <c r="I8838" t="s">
        <v>44</v>
      </c>
    </row>
    <row r="8839" spans="1:9" x14ac:dyDescent="0.3">
      <c r="A8839" t="s">
        <v>19</v>
      </c>
      <c r="B8839">
        <v>2322000</v>
      </c>
      <c r="C8839">
        <v>216000</v>
      </c>
      <c r="D8839">
        <v>162000</v>
      </c>
      <c r="G8839">
        <v>44693</v>
      </c>
      <c r="H8839">
        <v>2022</v>
      </c>
      <c r="I8839" t="s">
        <v>44</v>
      </c>
    </row>
    <row r="8840" spans="1:9" x14ac:dyDescent="0.3">
      <c r="A8840" t="s">
        <v>14</v>
      </c>
      <c r="D8840">
        <v>54000</v>
      </c>
      <c r="G8840">
        <v>44693</v>
      </c>
      <c r="H8840">
        <v>2022</v>
      </c>
      <c r="I8840" t="s">
        <v>44</v>
      </c>
    </row>
    <row r="8841" spans="1:9" x14ac:dyDescent="0.3">
      <c r="A8841" t="s">
        <v>24</v>
      </c>
      <c r="G8841">
        <v>44693</v>
      </c>
      <c r="H8841">
        <v>2022</v>
      </c>
      <c r="I8841" t="s">
        <v>44</v>
      </c>
    </row>
    <row r="8842" spans="1:9" x14ac:dyDescent="0.3">
      <c r="A8842" t="s">
        <v>21</v>
      </c>
      <c r="G8842">
        <v>44693</v>
      </c>
      <c r="H8842">
        <v>2022</v>
      </c>
      <c r="I8842" t="s">
        <v>44</v>
      </c>
    </row>
    <row r="8843" spans="1:9" x14ac:dyDescent="0.3">
      <c r="A8843" t="s">
        <v>65</v>
      </c>
      <c r="G8843">
        <v>44693</v>
      </c>
      <c r="H8843">
        <v>2022</v>
      </c>
      <c r="I8843" t="s">
        <v>44</v>
      </c>
    </row>
    <row r="8844" spans="1:9" x14ac:dyDescent="0.3">
      <c r="A8844" t="s">
        <v>18</v>
      </c>
      <c r="G8844">
        <v>44693</v>
      </c>
      <c r="H8844">
        <v>2022</v>
      </c>
      <c r="I8844" t="s">
        <v>44</v>
      </c>
    </row>
    <row r="8845" spans="1:9" x14ac:dyDescent="0.3">
      <c r="A8845" t="s">
        <v>16</v>
      </c>
      <c r="D8845">
        <v>54000</v>
      </c>
      <c r="G8845">
        <v>44693</v>
      </c>
      <c r="H8845">
        <v>2022</v>
      </c>
      <c r="I8845" t="s">
        <v>44</v>
      </c>
    </row>
    <row r="8846" spans="1:9" x14ac:dyDescent="0.3">
      <c r="A8846" t="s">
        <v>20</v>
      </c>
      <c r="G8846">
        <v>44694</v>
      </c>
      <c r="H8846">
        <v>2022</v>
      </c>
      <c r="I8846" t="s">
        <v>44</v>
      </c>
    </row>
    <row r="8847" spans="1:9" x14ac:dyDescent="0.3">
      <c r="A8847" t="s">
        <v>37</v>
      </c>
      <c r="G8847">
        <v>44694</v>
      </c>
      <c r="H8847">
        <v>2022</v>
      </c>
      <c r="I8847" t="s">
        <v>44</v>
      </c>
    </row>
    <row r="8848" spans="1:9" x14ac:dyDescent="0.3">
      <c r="A8848" t="s">
        <v>17</v>
      </c>
      <c r="G8848">
        <v>44694</v>
      </c>
      <c r="H8848">
        <v>2022</v>
      </c>
      <c r="I8848" t="s">
        <v>44</v>
      </c>
    </row>
    <row r="8849" spans="1:9" x14ac:dyDescent="0.3">
      <c r="A8849" t="s">
        <v>0</v>
      </c>
      <c r="G8849">
        <v>44694</v>
      </c>
      <c r="H8849">
        <v>2022</v>
      </c>
      <c r="I8849" t="s">
        <v>44</v>
      </c>
    </row>
    <row r="8850" spans="1:9" x14ac:dyDescent="0.3">
      <c r="A8850" t="s">
        <v>25</v>
      </c>
      <c r="D8850">
        <v>50000</v>
      </c>
      <c r="G8850">
        <v>44694</v>
      </c>
      <c r="H8850">
        <v>2022</v>
      </c>
      <c r="I8850" t="s">
        <v>44</v>
      </c>
    </row>
    <row r="8851" spans="1:9" x14ac:dyDescent="0.3">
      <c r="A8851" t="s">
        <v>15</v>
      </c>
      <c r="C8851">
        <v>90000</v>
      </c>
      <c r="G8851">
        <v>44694</v>
      </c>
      <c r="H8851">
        <v>2022</v>
      </c>
      <c r="I8851" t="s">
        <v>44</v>
      </c>
    </row>
    <row r="8852" spans="1:9" x14ac:dyDescent="0.3">
      <c r="A8852" t="s">
        <v>54</v>
      </c>
      <c r="C8852">
        <v>1337000</v>
      </c>
      <c r="G8852">
        <v>44694</v>
      </c>
      <c r="H8852">
        <v>2022</v>
      </c>
      <c r="I8852" t="s">
        <v>44</v>
      </c>
    </row>
    <row r="8853" spans="1:9" x14ac:dyDescent="0.3">
      <c r="A8853" t="s">
        <v>26</v>
      </c>
      <c r="G8853">
        <v>44694</v>
      </c>
      <c r="H8853">
        <v>2022</v>
      </c>
      <c r="I8853" t="s">
        <v>44</v>
      </c>
    </row>
    <row r="8854" spans="1:9" x14ac:dyDescent="0.3">
      <c r="A8854" t="s">
        <v>22</v>
      </c>
      <c r="G8854">
        <v>44694</v>
      </c>
      <c r="H8854">
        <v>2022</v>
      </c>
      <c r="I8854" t="s">
        <v>44</v>
      </c>
    </row>
    <row r="8855" spans="1:9" x14ac:dyDescent="0.3">
      <c r="A8855" t="s">
        <v>61</v>
      </c>
      <c r="G8855">
        <v>44694</v>
      </c>
      <c r="H8855">
        <v>2022</v>
      </c>
      <c r="I8855" t="s">
        <v>44</v>
      </c>
    </row>
    <row r="8856" spans="1:9" x14ac:dyDescent="0.3">
      <c r="A8856" t="s">
        <v>19</v>
      </c>
      <c r="B8856">
        <v>162000</v>
      </c>
      <c r="C8856">
        <v>162000</v>
      </c>
      <c r="D8856">
        <v>378000</v>
      </c>
      <c r="G8856">
        <v>44694</v>
      </c>
      <c r="H8856">
        <v>2022</v>
      </c>
      <c r="I8856" t="s">
        <v>44</v>
      </c>
    </row>
    <row r="8857" spans="1:9" x14ac:dyDescent="0.3">
      <c r="A8857" t="s">
        <v>14</v>
      </c>
      <c r="B8857">
        <v>501000</v>
      </c>
      <c r="C8857">
        <v>216000</v>
      </c>
      <c r="D8857">
        <v>594000</v>
      </c>
      <c r="G8857">
        <v>44694</v>
      </c>
      <c r="H8857">
        <v>2022</v>
      </c>
      <c r="I8857" t="s">
        <v>44</v>
      </c>
    </row>
    <row r="8858" spans="1:9" x14ac:dyDescent="0.3">
      <c r="A8858" t="s">
        <v>24</v>
      </c>
      <c r="G8858">
        <v>44694</v>
      </c>
      <c r="H8858">
        <v>2022</v>
      </c>
      <c r="I8858" t="s">
        <v>44</v>
      </c>
    </row>
    <row r="8859" spans="1:9" x14ac:dyDescent="0.3">
      <c r="A8859" t="s">
        <v>21</v>
      </c>
      <c r="G8859">
        <v>44694</v>
      </c>
      <c r="H8859">
        <v>2022</v>
      </c>
      <c r="I8859" t="s">
        <v>44</v>
      </c>
    </row>
    <row r="8860" spans="1:9" x14ac:dyDescent="0.3">
      <c r="A8860" t="s">
        <v>65</v>
      </c>
      <c r="G8860">
        <v>44694</v>
      </c>
      <c r="H8860">
        <v>2022</v>
      </c>
      <c r="I8860" t="s">
        <v>44</v>
      </c>
    </row>
    <row r="8861" spans="1:9" x14ac:dyDescent="0.3">
      <c r="A8861" t="s">
        <v>18</v>
      </c>
      <c r="G8861">
        <v>44694</v>
      </c>
      <c r="H8861">
        <v>2022</v>
      </c>
      <c r="I8861" t="s">
        <v>44</v>
      </c>
    </row>
    <row r="8862" spans="1:9" x14ac:dyDescent="0.3">
      <c r="A8862" t="s">
        <v>16</v>
      </c>
      <c r="D8862">
        <v>54000</v>
      </c>
      <c r="G8862">
        <v>44694</v>
      </c>
      <c r="H8862">
        <v>2022</v>
      </c>
      <c r="I8862" t="s">
        <v>44</v>
      </c>
    </row>
    <row r="8863" spans="1:9" x14ac:dyDescent="0.3">
      <c r="A8863" t="s">
        <v>20</v>
      </c>
      <c r="G8863">
        <v>44697</v>
      </c>
      <c r="H8863">
        <v>2022</v>
      </c>
      <c r="I8863" t="s">
        <v>44</v>
      </c>
    </row>
    <row r="8864" spans="1:9" x14ac:dyDescent="0.3">
      <c r="A8864" t="s">
        <v>37</v>
      </c>
      <c r="G8864">
        <v>44697</v>
      </c>
      <c r="H8864">
        <v>2022</v>
      </c>
      <c r="I8864" t="s">
        <v>44</v>
      </c>
    </row>
    <row r="8865" spans="1:9" x14ac:dyDescent="0.3">
      <c r="A8865" t="s">
        <v>17</v>
      </c>
      <c r="G8865">
        <v>44697</v>
      </c>
      <c r="H8865">
        <v>2022</v>
      </c>
      <c r="I8865" t="s">
        <v>44</v>
      </c>
    </row>
    <row r="8866" spans="1:9" x14ac:dyDescent="0.3">
      <c r="A8866" t="s">
        <v>0</v>
      </c>
      <c r="G8866">
        <v>44697</v>
      </c>
      <c r="H8866">
        <v>2022</v>
      </c>
      <c r="I8866" t="s">
        <v>44</v>
      </c>
    </row>
    <row r="8867" spans="1:9" x14ac:dyDescent="0.3">
      <c r="A8867" t="s">
        <v>25</v>
      </c>
      <c r="D8867">
        <v>50000</v>
      </c>
      <c r="G8867">
        <v>44697</v>
      </c>
      <c r="H8867">
        <v>2022</v>
      </c>
      <c r="I8867" t="s">
        <v>44</v>
      </c>
    </row>
    <row r="8868" spans="1:9" x14ac:dyDescent="0.3">
      <c r="A8868" t="s">
        <v>15</v>
      </c>
      <c r="C8868">
        <v>54000</v>
      </c>
      <c r="G8868">
        <v>44697</v>
      </c>
      <c r="H8868">
        <v>2022</v>
      </c>
      <c r="I8868" t="s">
        <v>44</v>
      </c>
    </row>
    <row r="8869" spans="1:9" x14ac:dyDescent="0.3">
      <c r="A8869" t="s">
        <v>54</v>
      </c>
      <c r="C8869">
        <v>108000</v>
      </c>
      <c r="G8869">
        <v>44697</v>
      </c>
      <c r="H8869">
        <v>2022</v>
      </c>
      <c r="I8869" t="s">
        <v>44</v>
      </c>
    </row>
    <row r="8870" spans="1:9" x14ac:dyDescent="0.3">
      <c r="A8870" t="s">
        <v>26</v>
      </c>
      <c r="G8870">
        <v>44697</v>
      </c>
      <c r="H8870">
        <v>2022</v>
      </c>
      <c r="I8870" t="s">
        <v>44</v>
      </c>
    </row>
    <row r="8871" spans="1:9" x14ac:dyDescent="0.3">
      <c r="A8871" t="s">
        <v>22</v>
      </c>
      <c r="G8871">
        <v>44697</v>
      </c>
      <c r="H8871">
        <v>2022</v>
      </c>
      <c r="I8871" t="s">
        <v>44</v>
      </c>
    </row>
    <row r="8872" spans="1:9" x14ac:dyDescent="0.3">
      <c r="A8872" t="s">
        <v>61</v>
      </c>
      <c r="G8872">
        <v>44697</v>
      </c>
      <c r="H8872">
        <v>2022</v>
      </c>
      <c r="I8872" t="s">
        <v>44</v>
      </c>
    </row>
    <row r="8873" spans="1:9" x14ac:dyDescent="0.3">
      <c r="A8873" t="s">
        <v>19</v>
      </c>
      <c r="D8873">
        <v>162000</v>
      </c>
      <c r="G8873">
        <v>44697</v>
      </c>
      <c r="H8873">
        <v>2022</v>
      </c>
      <c r="I8873" t="s">
        <v>44</v>
      </c>
    </row>
    <row r="8874" spans="1:9" x14ac:dyDescent="0.3">
      <c r="A8874" t="s">
        <v>14</v>
      </c>
      <c r="B8874">
        <v>2377000</v>
      </c>
      <c r="C8874">
        <v>428000</v>
      </c>
      <c r="D8874">
        <v>108000</v>
      </c>
      <c r="G8874">
        <v>44697</v>
      </c>
      <c r="H8874">
        <v>2022</v>
      </c>
      <c r="I8874" t="s">
        <v>44</v>
      </c>
    </row>
    <row r="8875" spans="1:9" x14ac:dyDescent="0.3">
      <c r="A8875" t="s">
        <v>24</v>
      </c>
      <c r="G8875">
        <v>44697</v>
      </c>
      <c r="H8875">
        <v>2022</v>
      </c>
      <c r="I8875" t="s">
        <v>44</v>
      </c>
    </row>
    <row r="8876" spans="1:9" x14ac:dyDescent="0.3">
      <c r="A8876" t="s">
        <v>21</v>
      </c>
      <c r="G8876">
        <v>44697</v>
      </c>
      <c r="H8876">
        <v>2022</v>
      </c>
      <c r="I8876" t="s">
        <v>44</v>
      </c>
    </row>
    <row r="8877" spans="1:9" x14ac:dyDescent="0.3">
      <c r="A8877" t="s">
        <v>65</v>
      </c>
      <c r="G8877">
        <v>44697</v>
      </c>
      <c r="H8877">
        <v>2022</v>
      </c>
      <c r="I8877" t="s">
        <v>44</v>
      </c>
    </row>
    <row r="8878" spans="1:9" x14ac:dyDescent="0.3">
      <c r="A8878" t="s">
        <v>18</v>
      </c>
      <c r="G8878">
        <v>44697</v>
      </c>
      <c r="H8878">
        <v>2022</v>
      </c>
      <c r="I8878" t="s">
        <v>44</v>
      </c>
    </row>
    <row r="8879" spans="1:9" x14ac:dyDescent="0.3">
      <c r="A8879" t="s">
        <v>16</v>
      </c>
      <c r="G8879">
        <v>44697</v>
      </c>
      <c r="H8879">
        <v>2022</v>
      </c>
      <c r="I8879" t="s">
        <v>44</v>
      </c>
    </row>
    <row r="8880" spans="1:9" x14ac:dyDescent="0.3">
      <c r="A8880" t="s">
        <v>20</v>
      </c>
      <c r="G8880">
        <v>44698</v>
      </c>
      <c r="H8880">
        <v>2022</v>
      </c>
      <c r="I8880" t="s">
        <v>44</v>
      </c>
    </row>
    <row r="8881" spans="1:9" x14ac:dyDescent="0.3">
      <c r="A8881" t="s">
        <v>37</v>
      </c>
      <c r="G8881">
        <v>44698</v>
      </c>
      <c r="H8881">
        <v>2022</v>
      </c>
      <c r="I8881" t="s">
        <v>44</v>
      </c>
    </row>
    <row r="8882" spans="1:9" x14ac:dyDescent="0.3">
      <c r="A8882" t="s">
        <v>17</v>
      </c>
      <c r="G8882">
        <v>44698</v>
      </c>
      <c r="H8882">
        <v>2022</v>
      </c>
      <c r="I8882" t="s">
        <v>44</v>
      </c>
    </row>
    <row r="8883" spans="1:9" x14ac:dyDescent="0.3">
      <c r="A8883" t="s">
        <v>0</v>
      </c>
      <c r="G8883">
        <v>44698</v>
      </c>
      <c r="H8883">
        <v>2022</v>
      </c>
      <c r="I8883" t="s">
        <v>44</v>
      </c>
    </row>
    <row r="8884" spans="1:9" x14ac:dyDescent="0.3">
      <c r="A8884" t="s">
        <v>25</v>
      </c>
      <c r="D8884">
        <v>90000</v>
      </c>
      <c r="G8884">
        <v>44698</v>
      </c>
      <c r="H8884">
        <v>2022</v>
      </c>
      <c r="I8884" t="s">
        <v>44</v>
      </c>
    </row>
    <row r="8885" spans="1:9" x14ac:dyDescent="0.3">
      <c r="A8885" t="s">
        <v>15</v>
      </c>
      <c r="G8885">
        <v>44698</v>
      </c>
      <c r="H8885">
        <v>2022</v>
      </c>
      <c r="I8885" t="s">
        <v>44</v>
      </c>
    </row>
    <row r="8886" spans="1:9" x14ac:dyDescent="0.3">
      <c r="A8886" t="s">
        <v>54</v>
      </c>
      <c r="G8886">
        <v>44698</v>
      </c>
      <c r="H8886">
        <v>2022</v>
      </c>
      <c r="I8886" t="s">
        <v>44</v>
      </c>
    </row>
    <row r="8887" spans="1:9" x14ac:dyDescent="0.3">
      <c r="A8887" t="s">
        <v>26</v>
      </c>
      <c r="G8887">
        <v>44698</v>
      </c>
      <c r="H8887">
        <v>2022</v>
      </c>
      <c r="I8887" t="s">
        <v>44</v>
      </c>
    </row>
    <row r="8888" spans="1:9" x14ac:dyDescent="0.3">
      <c r="A8888" t="s">
        <v>22</v>
      </c>
      <c r="G8888">
        <v>44698</v>
      </c>
      <c r="H8888">
        <v>2022</v>
      </c>
      <c r="I8888" t="s">
        <v>44</v>
      </c>
    </row>
    <row r="8889" spans="1:9" x14ac:dyDescent="0.3">
      <c r="A8889" t="s">
        <v>61</v>
      </c>
      <c r="G8889">
        <v>44698</v>
      </c>
      <c r="H8889">
        <v>2022</v>
      </c>
      <c r="I8889" t="s">
        <v>44</v>
      </c>
    </row>
    <row r="8890" spans="1:9" x14ac:dyDescent="0.3">
      <c r="A8890" t="s">
        <v>19</v>
      </c>
      <c r="C8890">
        <v>432000</v>
      </c>
      <c r="D8890">
        <v>486000</v>
      </c>
      <c r="G8890">
        <v>44698</v>
      </c>
      <c r="H8890">
        <v>2022</v>
      </c>
      <c r="I8890" t="s">
        <v>44</v>
      </c>
    </row>
    <row r="8891" spans="1:9" x14ac:dyDescent="0.3">
      <c r="A8891" t="s">
        <v>14</v>
      </c>
      <c r="B8891">
        <v>216000</v>
      </c>
      <c r="D8891">
        <v>423500</v>
      </c>
      <c r="G8891">
        <v>44698</v>
      </c>
      <c r="H8891">
        <v>2022</v>
      </c>
      <c r="I8891" t="s">
        <v>44</v>
      </c>
    </row>
    <row r="8892" spans="1:9" x14ac:dyDescent="0.3">
      <c r="A8892" t="s">
        <v>24</v>
      </c>
      <c r="G8892">
        <v>44698</v>
      </c>
      <c r="H8892">
        <v>2022</v>
      </c>
      <c r="I8892" t="s">
        <v>44</v>
      </c>
    </row>
    <row r="8893" spans="1:9" x14ac:dyDescent="0.3">
      <c r="A8893" t="s">
        <v>21</v>
      </c>
      <c r="G8893">
        <v>44698</v>
      </c>
      <c r="H8893">
        <v>2022</v>
      </c>
      <c r="I8893" t="s">
        <v>44</v>
      </c>
    </row>
    <row r="8894" spans="1:9" x14ac:dyDescent="0.3">
      <c r="A8894" t="s">
        <v>65</v>
      </c>
      <c r="G8894">
        <v>44698</v>
      </c>
      <c r="H8894">
        <v>2022</v>
      </c>
      <c r="I8894" t="s">
        <v>44</v>
      </c>
    </row>
    <row r="8895" spans="1:9" x14ac:dyDescent="0.3">
      <c r="A8895" t="s">
        <v>18</v>
      </c>
      <c r="G8895">
        <v>44698</v>
      </c>
      <c r="H8895">
        <v>2022</v>
      </c>
      <c r="I8895" t="s">
        <v>44</v>
      </c>
    </row>
    <row r="8896" spans="1:9" x14ac:dyDescent="0.3">
      <c r="A8896" t="s">
        <v>16</v>
      </c>
      <c r="C8896">
        <v>994000</v>
      </c>
      <c r="G8896">
        <v>44698</v>
      </c>
      <c r="H8896">
        <v>2022</v>
      </c>
      <c r="I8896" t="s">
        <v>44</v>
      </c>
    </row>
    <row r="8897" spans="1:9" x14ac:dyDescent="0.3">
      <c r="A8897" t="s">
        <v>20</v>
      </c>
      <c r="G8897">
        <v>44699</v>
      </c>
      <c r="H8897">
        <v>2022</v>
      </c>
      <c r="I8897" t="s">
        <v>44</v>
      </c>
    </row>
    <row r="8898" spans="1:9" x14ac:dyDescent="0.3">
      <c r="A8898" t="s">
        <v>37</v>
      </c>
      <c r="G8898">
        <v>44699</v>
      </c>
      <c r="H8898">
        <v>2022</v>
      </c>
      <c r="I8898" t="s">
        <v>44</v>
      </c>
    </row>
    <row r="8899" spans="1:9" x14ac:dyDescent="0.3">
      <c r="A8899" t="s">
        <v>17</v>
      </c>
      <c r="G8899">
        <v>44699</v>
      </c>
      <c r="H8899">
        <v>2022</v>
      </c>
      <c r="I8899" t="s">
        <v>44</v>
      </c>
    </row>
    <row r="8900" spans="1:9" x14ac:dyDescent="0.3">
      <c r="A8900" t="s">
        <v>0</v>
      </c>
      <c r="C8900">
        <v>1188000</v>
      </c>
      <c r="G8900">
        <v>44699</v>
      </c>
      <c r="H8900">
        <v>2022</v>
      </c>
      <c r="I8900" t="s">
        <v>44</v>
      </c>
    </row>
    <row r="8901" spans="1:9" x14ac:dyDescent="0.3">
      <c r="A8901" t="s">
        <v>25</v>
      </c>
      <c r="G8901">
        <v>44699</v>
      </c>
      <c r="H8901">
        <v>2022</v>
      </c>
      <c r="I8901" t="s">
        <v>44</v>
      </c>
    </row>
    <row r="8902" spans="1:9" x14ac:dyDescent="0.3">
      <c r="A8902" t="s">
        <v>15</v>
      </c>
      <c r="G8902">
        <v>44699</v>
      </c>
      <c r="H8902">
        <v>2022</v>
      </c>
      <c r="I8902" t="s">
        <v>44</v>
      </c>
    </row>
    <row r="8903" spans="1:9" x14ac:dyDescent="0.3">
      <c r="A8903" t="s">
        <v>54</v>
      </c>
      <c r="G8903">
        <v>44699</v>
      </c>
      <c r="H8903">
        <v>2022</v>
      </c>
      <c r="I8903" t="s">
        <v>44</v>
      </c>
    </row>
    <row r="8904" spans="1:9" x14ac:dyDescent="0.3">
      <c r="A8904" t="s">
        <v>26</v>
      </c>
      <c r="C8904">
        <v>314500</v>
      </c>
      <c r="E8904">
        <v>432000</v>
      </c>
      <c r="G8904">
        <v>44699</v>
      </c>
      <c r="H8904">
        <v>2022</v>
      </c>
      <c r="I8904" t="s">
        <v>44</v>
      </c>
    </row>
    <row r="8905" spans="1:9" x14ac:dyDescent="0.3">
      <c r="A8905" t="s">
        <v>22</v>
      </c>
      <c r="G8905">
        <v>44699</v>
      </c>
      <c r="H8905">
        <v>2022</v>
      </c>
      <c r="I8905" t="s">
        <v>44</v>
      </c>
    </row>
    <row r="8906" spans="1:9" x14ac:dyDescent="0.3">
      <c r="A8906" t="s">
        <v>61</v>
      </c>
      <c r="G8906">
        <v>44699</v>
      </c>
      <c r="H8906">
        <v>2022</v>
      </c>
      <c r="I8906" t="s">
        <v>44</v>
      </c>
    </row>
    <row r="8907" spans="1:9" x14ac:dyDescent="0.3">
      <c r="A8907" t="s">
        <v>19</v>
      </c>
      <c r="D8907">
        <v>162000</v>
      </c>
      <c r="G8907">
        <v>44699</v>
      </c>
      <c r="H8907">
        <v>2022</v>
      </c>
      <c r="I8907" t="s">
        <v>44</v>
      </c>
    </row>
    <row r="8908" spans="1:9" x14ac:dyDescent="0.3">
      <c r="A8908" t="s">
        <v>14</v>
      </c>
      <c r="C8908">
        <v>54000</v>
      </c>
      <c r="D8908">
        <v>108000</v>
      </c>
      <c r="G8908">
        <v>44699</v>
      </c>
      <c r="H8908">
        <v>2022</v>
      </c>
      <c r="I8908" t="s">
        <v>44</v>
      </c>
    </row>
    <row r="8909" spans="1:9" x14ac:dyDescent="0.3">
      <c r="A8909" t="s">
        <v>24</v>
      </c>
      <c r="G8909">
        <v>44699</v>
      </c>
      <c r="H8909">
        <v>2022</v>
      </c>
      <c r="I8909" t="s">
        <v>44</v>
      </c>
    </row>
    <row r="8910" spans="1:9" x14ac:dyDescent="0.3">
      <c r="A8910" t="s">
        <v>21</v>
      </c>
      <c r="G8910">
        <v>44699</v>
      </c>
      <c r="H8910">
        <v>2022</v>
      </c>
      <c r="I8910" t="s">
        <v>44</v>
      </c>
    </row>
    <row r="8911" spans="1:9" x14ac:dyDescent="0.3">
      <c r="A8911" t="s">
        <v>65</v>
      </c>
      <c r="G8911">
        <v>44699</v>
      </c>
      <c r="H8911">
        <v>2022</v>
      </c>
      <c r="I8911" t="s">
        <v>44</v>
      </c>
    </row>
    <row r="8912" spans="1:9" x14ac:dyDescent="0.3">
      <c r="A8912" t="s">
        <v>18</v>
      </c>
      <c r="G8912">
        <v>44699</v>
      </c>
      <c r="H8912">
        <v>2022</v>
      </c>
      <c r="I8912" t="s">
        <v>44</v>
      </c>
    </row>
    <row r="8913" spans="1:9" x14ac:dyDescent="0.3">
      <c r="A8913" t="s">
        <v>16</v>
      </c>
      <c r="G8913">
        <v>44699</v>
      </c>
      <c r="H8913">
        <v>2022</v>
      </c>
      <c r="I8913" t="s">
        <v>44</v>
      </c>
    </row>
    <row r="8914" spans="1:9" x14ac:dyDescent="0.3">
      <c r="A8914" t="s">
        <v>20</v>
      </c>
      <c r="G8914">
        <v>44700</v>
      </c>
      <c r="H8914">
        <v>2022</v>
      </c>
      <c r="I8914" t="s">
        <v>44</v>
      </c>
    </row>
    <row r="8915" spans="1:9" x14ac:dyDescent="0.3">
      <c r="A8915" t="s">
        <v>37</v>
      </c>
      <c r="G8915">
        <v>44700</v>
      </c>
      <c r="H8915">
        <v>2022</v>
      </c>
      <c r="I8915" t="s">
        <v>44</v>
      </c>
    </row>
    <row r="8916" spans="1:9" x14ac:dyDescent="0.3">
      <c r="A8916" t="s">
        <v>17</v>
      </c>
      <c r="G8916">
        <v>44700</v>
      </c>
      <c r="H8916">
        <v>2022</v>
      </c>
      <c r="I8916" t="s">
        <v>44</v>
      </c>
    </row>
    <row r="8917" spans="1:9" x14ac:dyDescent="0.3">
      <c r="A8917" t="s">
        <v>0</v>
      </c>
      <c r="C8917">
        <v>1026000</v>
      </c>
      <c r="G8917">
        <v>44700</v>
      </c>
      <c r="H8917">
        <v>2022</v>
      </c>
      <c r="I8917" t="s">
        <v>44</v>
      </c>
    </row>
    <row r="8918" spans="1:9" x14ac:dyDescent="0.3">
      <c r="A8918" t="s">
        <v>25</v>
      </c>
      <c r="G8918">
        <v>44700</v>
      </c>
      <c r="H8918">
        <v>2022</v>
      </c>
      <c r="I8918" t="s">
        <v>44</v>
      </c>
    </row>
    <row r="8919" spans="1:9" x14ac:dyDescent="0.3">
      <c r="A8919" t="s">
        <v>15</v>
      </c>
      <c r="G8919">
        <v>44700</v>
      </c>
      <c r="H8919">
        <v>2022</v>
      </c>
      <c r="I8919" t="s">
        <v>44</v>
      </c>
    </row>
    <row r="8920" spans="1:9" x14ac:dyDescent="0.3">
      <c r="A8920" t="s">
        <v>54</v>
      </c>
      <c r="G8920">
        <v>44700</v>
      </c>
      <c r="H8920">
        <v>2022</v>
      </c>
      <c r="I8920" t="s">
        <v>44</v>
      </c>
    </row>
    <row r="8921" spans="1:9" x14ac:dyDescent="0.3">
      <c r="A8921" t="s">
        <v>26</v>
      </c>
      <c r="C8921">
        <v>270000</v>
      </c>
      <c r="E8921">
        <v>54000</v>
      </c>
      <c r="G8921">
        <v>44700</v>
      </c>
      <c r="H8921">
        <v>2022</v>
      </c>
      <c r="I8921" t="s">
        <v>44</v>
      </c>
    </row>
    <row r="8922" spans="1:9" x14ac:dyDescent="0.3">
      <c r="A8922" t="s">
        <v>22</v>
      </c>
      <c r="G8922">
        <v>44700</v>
      </c>
      <c r="H8922">
        <v>2022</v>
      </c>
      <c r="I8922" t="s">
        <v>44</v>
      </c>
    </row>
    <row r="8923" spans="1:9" x14ac:dyDescent="0.3">
      <c r="A8923" t="s">
        <v>61</v>
      </c>
      <c r="G8923">
        <v>44700</v>
      </c>
      <c r="H8923">
        <v>2022</v>
      </c>
      <c r="I8923" t="s">
        <v>44</v>
      </c>
    </row>
    <row r="8924" spans="1:9" x14ac:dyDescent="0.3">
      <c r="A8924" t="s">
        <v>19</v>
      </c>
      <c r="D8924">
        <v>270000</v>
      </c>
      <c r="G8924">
        <v>44700</v>
      </c>
      <c r="H8924">
        <v>2022</v>
      </c>
      <c r="I8924" t="s">
        <v>44</v>
      </c>
    </row>
    <row r="8925" spans="1:9" x14ac:dyDescent="0.3">
      <c r="A8925" t="s">
        <v>14</v>
      </c>
      <c r="G8925">
        <v>44700</v>
      </c>
      <c r="H8925">
        <v>2022</v>
      </c>
      <c r="I8925" t="s">
        <v>44</v>
      </c>
    </row>
    <row r="8926" spans="1:9" x14ac:dyDescent="0.3">
      <c r="A8926" t="s">
        <v>24</v>
      </c>
      <c r="G8926">
        <v>44700</v>
      </c>
      <c r="H8926">
        <v>2022</v>
      </c>
      <c r="I8926" t="s">
        <v>44</v>
      </c>
    </row>
    <row r="8927" spans="1:9" x14ac:dyDescent="0.3">
      <c r="A8927" t="s">
        <v>21</v>
      </c>
      <c r="G8927">
        <v>44700</v>
      </c>
      <c r="H8927">
        <v>2022</v>
      </c>
      <c r="I8927" t="s">
        <v>44</v>
      </c>
    </row>
    <row r="8928" spans="1:9" x14ac:dyDescent="0.3">
      <c r="A8928" t="s">
        <v>65</v>
      </c>
      <c r="G8928">
        <v>44700</v>
      </c>
      <c r="H8928">
        <v>2022</v>
      </c>
      <c r="I8928" t="s">
        <v>44</v>
      </c>
    </row>
    <row r="8929" spans="1:9" x14ac:dyDescent="0.3">
      <c r="A8929" t="s">
        <v>18</v>
      </c>
      <c r="G8929">
        <v>44700</v>
      </c>
      <c r="H8929">
        <v>2022</v>
      </c>
      <c r="I8929" t="s">
        <v>44</v>
      </c>
    </row>
    <row r="8930" spans="1:9" x14ac:dyDescent="0.3">
      <c r="A8930" t="s">
        <v>16</v>
      </c>
      <c r="C8930">
        <v>104000</v>
      </c>
      <c r="G8930">
        <v>44700</v>
      </c>
      <c r="H8930">
        <v>2022</v>
      </c>
      <c r="I8930" t="s">
        <v>44</v>
      </c>
    </row>
    <row r="8931" spans="1:9" x14ac:dyDescent="0.3">
      <c r="A8931" t="s">
        <v>20</v>
      </c>
      <c r="G8931">
        <v>44701</v>
      </c>
      <c r="H8931">
        <v>2022</v>
      </c>
      <c r="I8931" t="s">
        <v>44</v>
      </c>
    </row>
    <row r="8932" spans="1:9" x14ac:dyDescent="0.3">
      <c r="A8932" t="s">
        <v>37</v>
      </c>
      <c r="G8932">
        <v>44701</v>
      </c>
      <c r="H8932">
        <v>2022</v>
      </c>
      <c r="I8932" t="s">
        <v>44</v>
      </c>
    </row>
    <row r="8933" spans="1:9" x14ac:dyDescent="0.3">
      <c r="A8933" t="s">
        <v>17</v>
      </c>
      <c r="G8933">
        <v>44701</v>
      </c>
      <c r="H8933">
        <v>2022</v>
      </c>
      <c r="I8933" t="s">
        <v>44</v>
      </c>
    </row>
    <row r="8934" spans="1:9" x14ac:dyDescent="0.3">
      <c r="A8934" t="s">
        <v>0</v>
      </c>
      <c r="C8934">
        <v>918000</v>
      </c>
      <c r="G8934">
        <v>44701</v>
      </c>
      <c r="H8934">
        <v>2022</v>
      </c>
      <c r="I8934" t="s">
        <v>44</v>
      </c>
    </row>
    <row r="8935" spans="1:9" x14ac:dyDescent="0.3">
      <c r="A8935" t="s">
        <v>25</v>
      </c>
      <c r="G8935">
        <v>44701</v>
      </c>
      <c r="H8935">
        <v>2022</v>
      </c>
      <c r="I8935" t="s">
        <v>44</v>
      </c>
    </row>
    <row r="8936" spans="1:9" x14ac:dyDescent="0.3">
      <c r="A8936" t="s">
        <v>15</v>
      </c>
      <c r="C8936">
        <v>162000</v>
      </c>
      <c r="G8936">
        <v>44701</v>
      </c>
      <c r="H8936">
        <v>2022</v>
      </c>
      <c r="I8936" t="s">
        <v>44</v>
      </c>
    </row>
    <row r="8937" spans="1:9" x14ac:dyDescent="0.3">
      <c r="A8937" t="s">
        <v>54</v>
      </c>
      <c r="C8937">
        <v>54000</v>
      </c>
      <c r="G8937">
        <v>44701</v>
      </c>
      <c r="H8937">
        <v>2022</v>
      </c>
      <c r="I8937" t="s">
        <v>44</v>
      </c>
    </row>
    <row r="8938" spans="1:9" x14ac:dyDescent="0.3">
      <c r="A8938" t="s">
        <v>26</v>
      </c>
      <c r="C8938">
        <v>162000</v>
      </c>
      <c r="G8938">
        <v>44701</v>
      </c>
      <c r="H8938">
        <v>2022</v>
      </c>
      <c r="I8938" t="s">
        <v>44</v>
      </c>
    </row>
    <row r="8939" spans="1:9" x14ac:dyDescent="0.3">
      <c r="A8939" t="s">
        <v>22</v>
      </c>
      <c r="G8939">
        <v>44701</v>
      </c>
      <c r="H8939">
        <v>2022</v>
      </c>
      <c r="I8939" t="s">
        <v>44</v>
      </c>
    </row>
    <row r="8940" spans="1:9" x14ac:dyDescent="0.3">
      <c r="A8940" t="s">
        <v>61</v>
      </c>
      <c r="G8940">
        <v>44701</v>
      </c>
      <c r="H8940">
        <v>2022</v>
      </c>
      <c r="I8940" t="s">
        <v>44</v>
      </c>
    </row>
    <row r="8941" spans="1:9" x14ac:dyDescent="0.3">
      <c r="A8941" t="s">
        <v>19</v>
      </c>
      <c r="G8941">
        <v>44701</v>
      </c>
      <c r="H8941">
        <v>2022</v>
      </c>
      <c r="I8941" t="s">
        <v>44</v>
      </c>
    </row>
    <row r="8942" spans="1:9" x14ac:dyDescent="0.3">
      <c r="A8942" t="s">
        <v>14</v>
      </c>
      <c r="G8942">
        <v>44701</v>
      </c>
      <c r="H8942">
        <v>2022</v>
      </c>
      <c r="I8942" t="s">
        <v>44</v>
      </c>
    </row>
    <row r="8943" spans="1:9" x14ac:dyDescent="0.3">
      <c r="A8943" t="s">
        <v>24</v>
      </c>
      <c r="G8943">
        <v>44701</v>
      </c>
      <c r="H8943">
        <v>2022</v>
      </c>
      <c r="I8943" t="s">
        <v>44</v>
      </c>
    </row>
    <row r="8944" spans="1:9" x14ac:dyDescent="0.3">
      <c r="A8944" t="s">
        <v>21</v>
      </c>
      <c r="G8944">
        <v>44701</v>
      </c>
      <c r="H8944">
        <v>2022</v>
      </c>
      <c r="I8944" t="s">
        <v>44</v>
      </c>
    </row>
    <row r="8945" spans="1:9" x14ac:dyDescent="0.3">
      <c r="A8945" t="s">
        <v>65</v>
      </c>
      <c r="G8945">
        <v>44701</v>
      </c>
      <c r="H8945">
        <v>2022</v>
      </c>
      <c r="I8945" t="s">
        <v>44</v>
      </c>
    </row>
    <row r="8946" spans="1:9" x14ac:dyDescent="0.3">
      <c r="A8946" t="s">
        <v>18</v>
      </c>
      <c r="G8946">
        <v>44701</v>
      </c>
      <c r="H8946">
        <v>2022</v>
      </c>
      <c r="I8946" t="s">
        <v>44</v>
      </c>
    </row>
    <row r="8947" spans="1:9" x14ac:dyDescent="0.3">
      <c r="A8947" t="s">
        <v>16</v>
      </c>
      <c r="G8947">
        <v>44701</v>
      </c>
      <c r="H8947">
        <v>2022</v>
      </c>
      <c r="I8947" t="s">
        <v>44</v>
      </c>
    </row>
    <row r="8948" spans="1:9" x14ac:dyDescent="0.3">
      <c r="A8948" t="s">
        <v>20</v>
      </c>
      <c r="G8948">
        <v>44704</v>
      </c>
      <c r="H8948">
        <v>2022</v>
      </c>
      <c r="I8948" t="s">
        <v>44</v>
      </c>
    </row>
    <row r="8949" spans="1:9" x14ac:dyDescent="0.3">
      <c r="A8949" t="s">
        <v>37</v>
      </c>
      <c r="G8949">
        <v>44704</v>
      </c>
      <c r="H8949">
        <v>2022</v>
      </c>
      <c r="I8949" t="s">
        <v>44</v>
      </c>
    </row>
    <row r="8950" spans="1:9" x14ac:dyDescent="0.3">
      <c r="A8950" t="s">
        <v>17</v>
      </c>
      <c r="G8950">
        <v>44704</v>
      </c>
      <c r="H8950">
        <v>2022</v>
      </c>
      <c r="I8950" t="s">
        <v>44</v>
      </c>
    </row>
    <row r="8951" spans="1:9" x14ac:dyDescent="0.3">
      <c r="A8951" t="s">
        <v>0</v>
      </c>
      <c r="C8951">
        <v>810000</v>
      </c>
      <c r="G8951">
        <v>44704</v>
      </c>
      <c r="H8951">
        <v>2022</v>
      </c>
      <c r="I8951" t="s">
        <v>44</v>
      </c>
    </row>
    <row r="8952" spans="1:9" x14ac:dyDescent="0.3">
      <c r="A8952" t="s">
        <v>25</v>
      </c>
      <c r="G8952">
        <v>44704</v>
      </c>
      <c r="H8952">
        <v>2022</v>
      </c>
      <c r="I8952" t="s">
        <v>44</v>
      </c>
    </row>
    <row r="8953" spans="1:9" x14ac:dyDescent="0.3">
      <c r="A8953" t="s">
        <v>15</v>
      </c>
      <c r="C8953">
        <v>216000</v>
      </c>
      <c r="G8953">
        <v>44704</v>
      </c>
      <c r="H8953">
        <v>2022</v>
      </c>
      <c r="I8953" t="s">
        <v>44</v>
      </c>
    </row>
    <row r="8954" spans="1:9" x14ac:dyDescent="0.3">
      <c r="A8954" t="s">
        <v>54</v>
      </c>
      <c r="G8954">
        <v>44704</v>
      </c>
      <c r="H8954">
        <v>2022</v>
      </c>
      <c r="I8954" t="s">
        <v>44</v>
      </c>
    </row>
    <row r="8955" spans="1:9" x14ac:dyDescent="0.3">
      <c r="A8955" t="s">
        <v>26</v>
      </c>
      <c r="C8955">
        <v>157500</v>
      </c>
      <c r="G8955">
        <v>44704</v>
      </c>
      <c r="H8955">
        <v>2022</v>
      </c>
      <c r="I8955" t="s">
        <v>44</v>
      </c>
    </row>
    <row r="8956" spans="1:9" x14ac:dyDescent="0.3">
      <c r="A8956" t="s">
        <v>22</v>
      </c>
      <c r="G8956">
        <v>44704</v>
      </c>
      <c r="H8956">
        <v>2022</v>
      </c>
      <c r="I8956" t="s">
        <v>44</v>
      </c>
    </row>
    <row r="8957" spans="1:9" x14ac:dyDescent="0.3">
      <c r="A8957" t="s">
        <v>61</v>
      </c>
      <c r="G8957">
        <v>44704</v>
      </c>
      <c r="H8957">
        <v>2022</v>
      </c>
      <c r="I8957" t="s">
        <v>44</v>
      </c>
    </row>
    <row r="8958" spans="1:9" x14ac:dyDescent="0.3">
      <c r="A8958" t="s">
        <v>19</v>
      </c>
      <c r="D8958">
        <v>149500</v>
      </c>
      <c r="G8958">
        <v>44704</v>
      </c>
      <c r="H8958">
        <v>2022</v>
      </c>
      <c r="I8958" t="s">
        <v>44</v>
      </c>
    </row>
    <row r="8959" spans="1:9" x14ac:dyDescent="0.3">
      <c r="A8959" t="s">
        <v>14</v>
      </c>
      <c r="G8959">
        <v>44704</v>
      </c>
      <c r="H8959">
        <v>2022</v>
      </c>
      <c r="I8959" t="s">
        <v>44</v>
      </c>
    </row>
    <row r="8960" spans="1:9" x14ac:dyDescent="0.3">
      <c r="A8960" t="s">
        <v>24</v>
      </c>
      <c r="G8960">
        <v>44704</v>
      </c>
      <c r="H8960">
        <v>2022</v>
      </c>
      <c r="I8960" t="s">
        <v>44</v>
      </c>
    </row>
    <row r="8961" spans="1:9" x14ac:dyDescent="0.3">
      <c r="A8961" t="s">
        <v>21</v>
      </c>
      <c r="G8961">
        <v>44704</v>
      </c>
      <c r="H8961">
        <v>2022</v>
      </c>
      <c r="I8961" t="s">
        <v>44</v>
      </c>
    </row>
    <row r="8962" spans="1:9" x14ac:dyDescent="0.3">
      <c r="A8962" t="s">
        <v>65</v>
      </c>
      <c r="G8962">
        <v>44704</v>
      </c>
      <c r="H8962">
        <v>2022</v>
      </c>
      <c r="I8962" t="s">
        <v>44</v>
      </c>
    </row>
    <row r="8963" spans="1:9" x14ac:dyDescent="0.3">
      <c r="A8963" t="s">
        <v>18</v>
      </c>
      <c r="G8963">
        <v>44704</v>
      </c>
      <c r="H8963">
        <v>2022</v>
      </c>
      <c r="I8963" t="s">
        <v>44</v>
      </c>
    </row>
    <row r="8964" spans="1:9" x14ac:dyDescent="0.3">
      <c r="A8964" t="s">
        <v>16</v>
      </c>
      <c r="C8964">
        <v>153000</v>
      </c>
      <c r="G8964">
        <v>44704</v>
      </c>
      <c r="H8964">
        <v>2022</v>
      </c>
      <c r="I8964" t="s">
        <v>44</v>
      </c>
    </row>
    <row r="8965" spans="1:9" x14ac:dyDescent="0.3">
      <c r="A8965" t="s">
        <v>20</v>
      </c>
      <c r="G8965">
        <v>44704</v>
      </c>
      <c r="H8965">
        <v>2022</v>
      </c>
      <c r="I8965" t="s">
        <v>44</v>
      </c>
    </row>
    <row r="8966" spans="1:9" x14ac:dyDescent="0.3">
      <c r="A8966" t="s">
        <v>37</v>
      </c>
      <c r="G8966">
        <v>44704</v>
      </c>
      <c r="H8966">
        <v>2022</v>
      </c>
      <c r="I8966" t="s">
        <v>44</v>
      </c>
    </row>
    <row r="8967" spans="1:9" x14ac:dyDescent="0.3">
      <c r="A8967" t="s">
        <v>17</v>
      </c>
      <c r="G8967">
        <v>44704</v>
      </c>
      <c r="H8967">
        <v>2022</v>
      </c>
      <c r="I8967" t="s">
        <v>44</v>
      </c>
    </row>
    <row r="8968" spans="1:9" x14ac:dyDescent="0.3">
      <c r="A8968" t="s">
        <v>0</v>
      </c>
      <c r="C8968">
        <v>1080000</v>
      </c>
      <c r="G8968">
        <v>44704</v>
      </c>
      <c r="H8968">
        <v>2022</v>
      </c>
      <c r="I8968" t="s">
        <v>44</v>
      </c>
    </row>
    <row r="8969" spans="1:9" x14ac:dyDescent="0.3">
      <c r="A8969" t="s">
        <v>25</v>
      </c>
      <c r="G8969">
        <v>44704</v>
      </c>
      <c r="H8969">
        <v>2022</v>
      </c>
      <c r="I8969" t="s">
        <v>44</v>
      </c>
    </row>
    <row r="8970" spans="1:9" x14ac:dyDescent="0.3">
      <c r="A8970" t="s">
        <v>15</v>
      </c>
      <c r="C8970">
        <v>270000</v>
      </c>
      <c r="G8970">
        <v>44704</v>
      </c>
      <c r="H8970">
        <v>2022</v>
      </c>
      <c r="I8970" t="s">
        <v>44</v>
      </c>
    </row>
    <row r="8971" spans="1:9" x14ac:dyDescent="0.3">
      <c r="A8971" t="s">
        <v>54</v>
      </c>
      <c r="B8971">
        <v>972000</v>
      </c>
      <c r="G8971">
        <v>44704</v>
      </c>
      <c r="H8971">
        <v>2022</v>
      </c>
      <c r="I8971" t="s">
        <v>44</v>
      </c>
    </row>
    <row r="8972" spans="1:9" x14ac:dyDescent="0.3">
      <c r="A8972" t="s">
        <v>26</v>
      </c>
      <c r="G8972">
        <v>44704</v>
      </c>
      <c r="H8972">
        <v>2022</v>
      </c>
      <c r="I8972" t="s">
        <v>44</v>
      </c>
    </row>
    <row r="8973" spans="1:9" x14ac:dyDescent="0.3">
      <c r="A8973" t="s">
        <v>22</v>
      </c>
      <c r="G8973">
        <v>44704</v>
      </c>
      <c r="H8973">
        <v>2022</v>
      </c>
      <c r="I8973" t="s">
        <v>44</v>
      </c>
    </row>
    <row r="8974" spans="1:9" x14ac:dyDescent="0.3">
      <c r="A8974" t="s">
        <v>61</v>
      </c>
      <c r="G8974">
        <v>44704</v>
      </c>
      <c r="H8974">
        <v>2022</v>
      </c>
      <c r="I8974" t="s">
        <v>44</v>
      </c>
    </row>
    <row r="8975" spans="1:9" x14ac:dyDescent="0.3">
      <c r="A8975" t="s">
        <v>19</v>
      </c>
      <c r="G8975">
        <v>44704</v>
      </c>
      <c r="H8975">
        <v>2022</v>
      </c>
      <c r="I8975" t="s">
        <v>44</v>
      </c>
    </row>
    <row r="8976" spans="1:9" x14ac:dyDescent="0.3">
      <c r="A8976" t="s">
        <v>14</v>
      </c>
      <c r="G8976">
        <v>44704</v>
      </c>
      <c r="H8976">
        <v>2022</v>
      </c>
      <c r="I8976" t="s">
        <v>44</v>
      </c>
    </row>
    <row r="8977" spans="1:9" x14ac:dyDescent="0.3">
      <c r="A8977" t="s">
        <v>24</v>
      </c>
      <c r="G8977">
        <v>44704</v>
      </c>
      <c r="H8977">
        <v>2022</v>
      </c>
      <c r="I8977" t="s">
        <v>44</v>
      </c>
    </row>
    <row r="8978" spans="1:9" x14ac:dyDescent="0.3">
      <c r="A8978" t="s">
        <v>21</v>
      </c>
      <c r="G8978">
        <v>44704</v>
      </c>
      <c r="H8978">
        <v>2022</v>
      </c>
      <c r="I8978" t="s">
        <v>44</v>
      </c>
    </row>
    <row r="8979" spans="1:9" x14ac:dyDescent="0.3">
      <c r="A8979" t="s">
        <v>65</v>
      </c>
      <c r="G8979">
        <v>44704</v>
      </c>
      <c r="H8979">
        <v>2022</v>
      </c>
      <c r="I8979" t="s">
        <v>44</v>
      </c>
    </row>
    <row r="8980" spans="1:9" x14ac:dyDescent="0.3">
      <c r="A8980" t="s">
        <v>18</v>
      </c>
      <c r="G8980">
        <v>44704</v>
      </c>
      <c r="H8980">
        <v>2022</v>
      </c>
      <c r="I8980" t="s">
        <v>44</v>
      </c>
    </row>
    <row r="8981" spans="1:9" x14ac:dyDescent="0.3">
      <c r="A8981" t="s">
        <v>16</v>
      </c>
      <c r="G8981">
        <v>44704</v>
      </c>
      <c r="H8981">
        <v>2022</v>
      </c>
      <c r="I8981" t="s">
        <v>44</v>
      </c>
    </row>
    <row r="8982" spans="1:9" x14ac:dyDescent="0.3">
      <c r="A8982" t="s">
        <v>20</v>
      </c>
      <c r="G8982">
        <v>44706</v>
      </c>
      <c r="H8982">
        <v>2022</v>
      </c>
      <c r="I8982" t="s">
        <v>44</v>
      </c>
    </row>
    <row r="8983" spans="1:9" x14ac:dyDescent="0.3">
      <c r="A8983" t="s">
        <v>37</v>
      </c>
      <c r="G8983">
        <v>44706</v>
      </c>
      <c r="H8983">
        <v>2022</v>
      </c>
      <c r="I8983" t="s">
        <v>44</v>
      </c>
    </row>
    <row r="8984" spans="1:9" x14ac:dyDescent="0.3">
      <c r="A8984" t="s">
        <v>17</v>
      </c>
      <c r="G8984">
        <v>44706</v>
      </c>
      <c r="H8984">
        <v>2022</v>
      </c>
      <c r="I8984" t="s">
        <v>44</v>
      </c>
    </row>
    <row r="8985" spans="1:9" x14ac:dyDescent="0.3">
      <c r="A8985" t="s">
        <v>0</v>
      </c>
      <c r="B8985">
        <v>1944000</v>
      </c>
      <c r="D8985">
        <v>162000</v>
      </c>
      <c r="G8985">
        <v>44706</v>
      </c>
      <c r="H8985">
        <v>2022</v>
      </c>
      <c r="I8985" t="s">
        <v>44</v>
      </c>
    </row>
    <row r="8986" spans="1:9" x14ac:dyDescent="0.3">
      <c r="A8986" t="s">
        <v>25</v>
      </c>
      <c r="G8986">
        <v>44706</v>
      </c>
      <c r="H8986">
        <v>2022</v>
      </c>
      <c r="I8986" t="s">
        <v>44</v>
      </c>
    </row>
    <row r="8987" spans="1:9" x14ac:dyDescent="0.3">
      <c r="A8987" t="s">
        <v>15</v>
      </c>
      <c r="C8987">
        <v>864000</v>
      </c>
      <c r="G8987">
        <v>44706</v>
      </c>
      <c r="H8987">
        <v>2022</v>
      </c>
      <c r="I8987" t="s">
        <v>44</v>
      </c>
    </row>
    <row r="8988" spans="1:9" x14ac:dyDescent="0.3">
      <c r="A8988" t="s">
        <v>54</v>
      </c>
      <c r="C8988">
        <v>540000</v>
      </c>
      <c r="D8988">
        <v>54000</v>
      </c>
      <c r="G8988">
        <v>44706</v>
      </c>
      <c r="H8988">
        <v>2022</v>
      </c>
      <c r="I8988" t="s">
        <v>44</v>
      </c>
    </row>
    <row r="8989" spans="1:9" x14ac:dyDescent="0.3">
      <c r="A8989" t="s">
        <v>26</v>
      </c>
      <c r="B8989">
        <v>108000</v>
      </c>
      <c r="G8989">
        <v>44706</v>
      </c>
      <c r="H8989">
        <v>2022</v>
      </c>
      <c r="I8989" t="s">
        <v>44</v>
      </c>
    </row>
    <row r="8990" spans="1:9" x14ac:dyDescent="0.3">
      <c r="A8990" t="s">
        <v>22</v>
      </c>
      <c r="G8990">
        <v>44706</v>
      </c>
      <c r="H8990">
        <v>2022</v>
      </c>
      <c r="I8990" t="s">
        <v>44</v>
      </c>
    </row>
    <row r="8991" spans="1:9" x14ac:dyDescent="0.3">
      <c r="A8991" t="s">
        <v>61</v>
      </c>
      <c r="G8991">
        <v>44706</v>
      </c>
      <c r="H8991">
        <v>2022</v>
      </c>
      <c r="I8991" t="s">
        <v>44</v>
      </c>
    </row>
    <row r="8992" spans="1:9" x14ac:dyDescent="0.3">
      <c r="A8992" t="s">
        <v>19</v>
      </c>
      <c r="C8992">
        <v>378000</v>
      </c>
      <c r="G8992">
        <v>44706</v>
      </c>
      <c r="H8992">
        <v>2022</v>
      </c>
      <c r="I8992" t="s">
        <v>44</v>
      </c>
    </row>
    <row r="8993" spans="1:9" x14ac:dyDescent="0.3">
      <c r="A8993" t="s">
        <v>14</v>
      </c>
      <c r="G8993">
        <v>44706</v>
      </c>
      <c r="H8993">
        <v>2022</v>
      </c>
      <c r="I8993" t="s">
        <v>44</v>
      </c>
    </row>
    <row r="8994" spans="1:9" x14ac:dyDescent="0.3">
      <c r="A8994" t="s">
        <v>24</v>
      </c>
      <c r="G8994">
        <v>44706</v>
      </c>
      <c r="H8994">
        <v>2022</v>
      </c>
      <c r="I8994" t="s">
        <v>44</v>
      </c>
    </row>
    <row r="8995" spans="1:9" x14ac:dyDescent="0.3">
      <c r="A8995" t="s">
        <v>21</v>
      </c>
      <c r="G8995">
        <v>44706</v>
      </c>
      <c r="H8995">
        <v>2022</v>
      </c>
      <c r="I8995" t="s">
        <v>44</v>
      </c>
    </row>
    <row r="8996" spans="1:9" x14ac:dyDescent="0.3">
      <c r="A8996" t="s">
        <v>65</v>
      </c>
      <c r="G8996">
        <v>44706</v>
      </c>
      <c r="H8996">
        <v>2022</v>
      </c>
      <c r="I8996" t="s">
        <v>44</v>
      </c>
    </row>
    <row r="8997" spans="1:9" x14ac:dyDescent="0.3">
      <c r="A8997" t="s">
        <v>18</v>
      </c>
      <c r="G8997">
        <v>44706</v>
      </c>
      <c r="H8997">
        <v>2022</v>
      </c>
      <c r="I8997" t="s">
        <v>44</v>
      </c>
    </row>
    <row r="8998" spans="1:9" x14ac:dyDescent="0.3">
      <c r="A8998" t="s">
        <v>16</v>
      </c>
      <c r="B8998">
        <v>401000</v>
      </c>
      <c r="D8998">
        <v>54000</v>
      </c>
      <c r="G8998">
        <v>44706</v>
      </c>
      <c r="H8998">
        <v>2022</v>
      </c>
      <c r="I8998" t="s">
        <v>44</v>
      </c>
    </row>
    <row r="8999" spans="1:9" x14ac:dyDescent="0.3">
      <c r="A8999" t="s">
        <v>20</v>
      </c>
      <c r="G8999">
        <v>44707</v>
      </c>
      <c r="H8999">
        <v>2022</v>
      </c>
      <c r="I8999" t="s">
        <v>44</v>
      </c>
    </row>
    <row r="9000" spans="1:9" x14ac:dyDescent="0.3">
      <c r="A9000" t="s">
        <v>37</v>
      </c>
      <c r="G9000">
        <v>44707</v>
      </c>
      <c r="H9000">
        <v>2022</v>
      </c>
      <c r="I9000" t="s">
        <v>44</v>
      </c>
    </row>
    <row r="9001" spans="1:9" x14ac:dyDescent="0.3">
      <c r="A9001" t="s">
        <v>17</v>
      </c>
      <c r="G9001">
        <v>44707</v>
      </c>
      <c r="H9001">
        <v>2022</v>
      </c>
      <c r="I9001" t="s">
        <v>44</v>
      </c>
    </row>
    <row r="9002" spans="1:9" x14ac:dyDescent="0.3">
      <c r="A9002" t="s">
        <v>0</v>
      </c>
      <c r="D9002">
        <v>162000</v>
      </c>
      <c r="G9002">
        <v>44707</v>
      </c>
      <c r="H9002">
        <v>2022</v>
      </c>
      <c r="I9002" t="s">
        <v>44</v>
      </c>
    </row>
    <row r="9003" spans="1:9" x14ac:dyDescent="0.3">
      <c r="A9003" t="s">
        <v>25</v>
      </c>
      <c r="G9003">
        <v>44707</v>
      </c>
      <c r="H9003">
        <v>2022</v>
      </c>
      <c r="I9003" t="s">
        <v>44</v>
      </c>
    </row>
    <row r="9004" spans="1:9" x14ac:dyDescent="0.3">
      <c r="A9004" t="s">
        <v>15</v>
      </c>
      <c r="C9004">
        <v>589500</v>
      </c>
      <c r="G9004">
        <v>44707</v>
      </c>
      <c r="H9004">
        <v>2022</v>
      </c>
      <c r="I9004" t="s">
        <v>44</v>
      </c>
    </row>
    <row r="9005" spans="1:9" x14ac:dyDescent="0.3">
      <c r="A9005" t="s">
        <v>54</v>
      </c>
      <c r="B9005">
        <v>270000</v>
      </c>
      <c r="C9005">
        <v>590000</v>
      </c>
      <c r="D9005">
        <v>54000</v>
      </c>
      <c r="G9005">
        <v>44707</v>
      </c>
      <c r="H9005">
        <v>2022</v>
      </c>
      <c r="I9005" t="s">
        <v>44</v>
      </c>
    </row>
    <row r="9006" spans="1:9" x14ac:dyDescent="0.3">
      <c r="A9006" t="s">
        <v>26</v>
      </c>
      <c r="B9006">
        <v>477000</v>
      </c>
      <c r="C9006">
        <v>50000</v>
      </c>
      <c r="D9006">
        <v>54000</v>
      </c>
      <c r="G9006">
        <v>44707</v>
      </c>
      <c r="H9006">
        <v>2022</v>
      </c>
      <c r="I9006" t="s">
        <v>44</v>
      </c>
    </row>
    <row r="9007" spans="1:9" x14ac:dyDescent="0.3">
      <c r="A9007" t="s">
        <v>22</v>
      </c>
      <c r="G9007">
        <v>44707</v>
      </c>
      <c r="H9007">
        <v>2022</v>
      </c>
      <c r="I9007" t="s">
        <v>44</v>
      </c>
    </row>
    <row r="9008" spans="1:9" x14ac:dyDescent="0.3">
      <c r="A9008" t="s">
        <v>61</v>
      </c>
      <c r="G9008">
        <v>44707</v>
      </c>
      <c r="H9008">
        <v>2022</v>
      </c>
      <c r="I9008" t="s">
        <v>44</v>
      </c>
    </row>
    <row r="9009" spans="1:9" x14ac:dyDescent="0.3">
      <c r="A9009" t="s">
        <v>19</v>
      </c>
      <c r="B9009">
        <v>797000</v>
      </c>
      <c r="C9009">
        <v>576000</v>
      </c>
      <c r="D9009">
        <v>270000</v>
      </c>
      <c r="G9009">
        <v>44707</v>
      </c>
      <c r="H9009">
        <v>2022</v>
      </c>
      <c r="I9009" t="s">
        <v>44</v>
      </c>
    </row>
    <row r="9010" spans="1:9" x14ac:dyDescent="0.3">
      <c r="A9010" t="s">
        <v>14</v>
      </c>
      <c r="G9010">
        <v>44707</v>
      </c>
      <c r="H9010">
        <v>2022</v>
      </c>
      <c r="I9010" t="s">
        <v>44</v>
      </c>
    </row>
    <row r="9011" spans="1:9" x14ac:dyDescent="0.3">
      <c r="A9011" t="s">
        <v>24</v>
      </c>
      <c r="G9011">
        <v>44707</v>
      </c>
      <c r="H9011">
        <v>2022</v>
      </c>
      <c r="I9011" t="s">
        <v>44</v>
      </c>
    </row>
    <row r="9012" spans="1:9" x14ac:dyDescent="0.3">
      <c r="A9012" t="s">
        <v>21</v>
      </c>
      <c r="G9012">
        <v>44707</v>
      </c>
      <c r="H9012">
        <v>2022</v>
      </c>
      <c r="I9012" t="s">
        <v>44</v>
      </c>
    </row>
    <row r="9013" spans="1:9" x14ac:dyDescent="0.3">
      <c r="A9013" t="s">
        <v>65</v>
      </c>
      <c r="G9013">
        <v>44707</v>
      </c>
      <c r="H9013">
        <v>2022</v>
      </c>
      <c r="I9013" t="s">
        <v>44</v>
      </c>
    </row>
    <row r="9014" spans="1:9" x14ac:dyDescent="0.3">
      <c r="A9014" t="s">
        <v>18</v>
      </c>
      <c r="G9014">
        <v>44707</v>
      </c>
      <c r="H9014">
        <v>2022</v>
      </c>
      <c r="I9014" t="s">
        <v>44</v>
      </c>
    </row>
    <row r="9015" spans="1:9" x14ac:dyDescent="0.3">
      <c r="A9015" t="s">
        <v>16</v>
      </c>
      <c r="B9015">
        <v>536000</v>
      </c>
      <c r="G9015">
        <v>44707</v>
      </c>
      <c r="H9015">
        <v>2022</v>
      </c>
      <c r="I9015" t="s">
        <v>44</v>
      </c>
    </row>
    <row r="9016" spans="1:9" x14ac:dyDescent="0.3">
      <c r="A9016" t="s">
        <v>20</v>
      </c>
      <c r="G9016">
        <v>44708</v>
      </c>
      <c r="H9016">
        <v>2022</v>
      </c>
      <c r="I9016" t="s">
        <v>44</v>
      </c>
    </row>
    <row r="9017" spans="1:9" x14ac:dyDescent="0.3">
      <c r="A9017" t="s">
        <v>37</v>
      </c>
      <c r="G9017">
        <v>44708</v>
      </c>
      <c r="H9017">
        <v>2022</v>
      </c>
      <c r="I9017" t="s">
        <v>44</v>
      </c>
    </row>
    <row r="9018" spans="1:9" x14ac:dyDescent="0.3">
      <c r="A9018" t="s">
        <v>17</v>
      </c>
      <c r="G9018">
        <v>44708</v>
      </c>
      <c r="H9018">
        <v>2022</v>
      </c>
      <c r="I9018" t="s">
        <v>44</v>
      </c>
    </row>
    <row r="9019" spans="1:9" x14ac:dyDescent="0.3">
      <c r="A9019" t="s">
        <v>0</v>
      </c>
      <c r="B9019">
        <v>108000</v>
      </c>
      <c r="D9019">
        <v>216000</v>
      </c>
      <c r="G9019">
        <v>44708</v>
      </c>
      <c r="H9019">
        <v>2022</v>
      </c>
      <c r="I9019" t="s">
        <v>44</v>
      </c>
    </row>
    <row r="9020" spans="1:9" x14ac:dyDescent="0.3">
      <c r="A9020" t="s">
        <v>25</v>
      </c>
      <c r="C9020">
        <v>432000</v>
      </c>
      <c r="G9020">
        <v>44708</v>
      </c>
      <c r="H9020">
        <v>2022</v>
      </c>
      <c r="I9020" t="s">
        <v>44</v>
      </c>
    </row>
    <row r="9021" spans="1:9" x14ac:dyDescent="0.3">
      <c r="A9021" t="s">
        <v>15</v>
      </c>
      <c r="C9021">
        <v>320000</v>
      </c>
      <c r="G9021">
        <v>44708</v>
      </c>
      <c r="H9021">
        <v>2022</v>
      </c>
      <c r="I9021" t="s">
        <v>44</v>
      </c>
    </row>
    <row r="9022" spans="1:9" x14ac:dyDescent="0.3">
      <c r="A9022" t="s">
        <v>54</v>
      </c>
      <c r="B9022">
        <v>108000</v>
      </c>
      <c r="C9022">
        <v>162000</v>
      </c>
      <c r="D9022">
        <v>108000</v>
      </c>
      <c r="G9022">
        <v>44708</v>
      </c>
      <c r="H9022">
        <v>2022</v>
      </c>
      <c r="I9022" t="s">
        <v>44</v>
      </c>
    </row>
    <row r="9023" spans="1:9" x14ac:dyDescent="0.3">
      <c r="A9023" t="s">
        <v>26</v>
      </c>
      <c r="B9023">
        <v>212000</v>
      </c>
      <c r="D9023">
        <v>162000</v>
      </c>
      <c r="G9023">
        <v>44708</v>
      </c>
      <c r="H9023">
        <v>2022</v>
      </c>
      <c r="I9023" t="s">
        <v>44</v>
      </c>
    </row>
    <row r="9024" spans="1:9" x14ac:dyDescent="0.3">
      <c r="A9024" t="s">
        <v>22</v>
      </c>
      <c r="G9024">
        <v>44708</v>
      </c>
      <c r="H9024">
        <v>2022</v>
      </c>
      <c r="I9024" t="s">
        <v>44</v>
      </c>
    </row>
    <row r="9025" spans="1:9" x14ac:dyDescent="0.3">
      <c r="A9025" t="s">
        <v>61</v>
      </c>
      <c r="G9025">
        <v>44708</v>
      </c>
      <c r="H9025">
        <v>2022</v>
      </c>
      <c r="I9025" t="s">
        <v>44</v>
      </c>
    </row>
    <row r="9026" spans="1:9" x14ac:dyDescent="0.3">
      <c r="A9026" t="s">
        <v>19</v>
      </c>
      <c r="B9026">
        <v>162000</v>
      </c>
      <c r="C9026">
        <v>324000</v>
      </c>
      <c r="D9026">
        <v>212000</v>
      </c>
      <c r="G9026">
        <v>44708</v>
      </c>
      <c r="H9026">
        <v>2022</v>
      </c>
      <c r="I9026" t="s">
        <v>44</v>
      </c>
    </row>
    <row r="9027" spans="1:9" x14ac:dyDescent="0.3">
      <c r="A9027" t="s">
        <v>14</v>
      </c>
      <c r="B9027">
        <v>351000</v>
      </c>
      <c r="C9027">
        <v>485500</v>
      </c>
      <c r="E9027">
        <v>540000</v>
      </c>
      <c r="G9027">
        <v>44708</v>
      </c>
      <c r="H9027">
        <v>2022</v>
      </c>
      <c r="I9027" t="s">
        <v>44</v>
      </c>
    </row>
    <row r="9028" spans="1:9" x14ac:dyDescent="0.3">
      <c r="A9028" t="s">
        <v>24</v>
      </c>
      <c r="G9028">
        <v>44708</v>
      </c>
      <c r="H9028">
        <v>2022</v>
      </c>
      <c r="I9028" t="s">
        <v>44</v>
      </c>
    </row>
    <row r="9029" spans="1:9" x14ac:dyDescent="0.3">
      <c r="A9029" t="s">
        <v>21</v>
      </c>
      <c r="G9029">
        <v>44708</v>
      </c>
      <c r="H9029">
        <v>2022</v>
      </c>
      <c r="I9029" t="s">
        <v>44</v>
      </c>
    </row>
    <row r="9030" spans="1:9" x14ac:dyDescent="0.3">
      <c r="A9030" t="s">
        <v>65</v>
      </c>
      <c r="G9030">
        <v>44708</v>
      </c>
      <c r="H9030">
        <v>2022</v>
      </c>
      <c r="I9030" t="s">
        <v>44</v>
      </c>
    </row>
    <row r="9031" spans="1:9" x14ac:dyDescent="0.3">
      <c r="A9031" t="s">
        <v>18</v>
      </c>
      <c r="G9031">
        <v>44708</v>
      </c>
      <c r="H9031">
        <v>2022</v>
      </c>
      <c r="I9031" t="s">
        <v>44</v>
      </c>
    </row>
    <row r="9032" spans="1:9" x14ac:dyDescent="0.3">
      <c r="A9032" t="s">
        <v>16</v>
      </c>
      <c r="B9032">
        <v>54000</v>
      </c>
      <c r="D9032">
        <v>162000</v>
      </c>
      <c r="G9032">
        <v>44708</v>
      </c>
      <c r="H9032">
        <v>2022</v>
      </c>
      <c r="I9032" t="s">
        <v>44</v>
      </c>
    </row>
    <row r="9033" spans="1:9" x14ac:dyDescent="0.3">
      <c r="A9033" t="s">
        <v>20</v>
      </c>
      <c r="G9033">
        <v>44711</v>
      </c>
      <c r="H9033">
        <v>2022</v>
      </c>
      <c r="I9033" t="s">
        <v>44</v>
      </c>
    </row>
    <row r="9034" spans="1:9" x14ac:dyDescent="0.3">
      <c r="A9034" t="s">
        <v>37</v>
      </c>
      <c r="G9034">
        <v>44711</v>
      </c>
      <c r="H9034">
        <v>2022</v>
      </c>
      <c r="I9034" t="s">
        <v>44</v>
      </c>
    </row>
    <row r="9035" spans="1:9" x14ac:dyDescent="0.3">
      <c r="A9035" t="s">
        <v>17</v>
      </c>
      <c r="G9035">
        <v>44711</v>
      </c>
      <c r="H9035">
        <v>2022</v>
      </c>
      <c r="I9035" t="s">
        <v>44</v>
      </c>
    </row>
    <row r="9036" spans="1:9" x14ac:dyDescent="0.3">
      <c r="A9036" t="s">
        <v>0</v>
      </c>
      <c r="G9036">
        <v>44711</v>
      </c>
      <c r="H9036">
        <v>2022</v>
      </c>
      <c r="I9036" t="s">
        <v>44</v>
      </c>
    </row>
    <row r="9037" spans="1:9" x14ac:dyDescent="0.3">
      <c r="A9037" t="s">
        <v>25</v>
      </c>
      <c r="C9037">
        <v>324000</v>
      </c>
      <c r="G9037">
        <v>44711</v>
      </c>
      <c r="H9037">
        <v>2022</v>
      </c>
      <c r="I9037" t="s">
        <v>44</v>
      </c>
    </row>
    <row r="9038" spans="1:9" x14ac:dyDescent="0.3">
      <c r="A9038" t="s">
        <v>15</v>
      </c>
      <c r="C9038">
        <v>586000</v>
      </c>
      <c r="G9038">
        <v>44711</v>
      </c>
      <c r="H9038">
        <v>2022</v>
      </c>
      <c r="I9038" t="s">
        <v>44</v>
      </c>
    </row>
    <row r="9039" spans="1:9" x14ac:dyDescent="0.3">
      <c r="A9039" t="s">
        <v>54</v>
      </c>
      <c r="B9039">
        <v>54000</v>
      </c>
      <c r="D9039">
        <v>270000</v>
      </c>
      <c r="G9039">
        <v>44711</v>
      </c>
      <c r="H9039">
        <v>2022</v>
      </c>
      <c r="I9039" t="s">
        <v>44</v>
      </c>
    </row>
    <row r="9040" spans="1:9" x14ac:dyDescent="0.3">
      <c r="A9040" t="s">
        <v>26</v>
      </c>
      <c r="C9040">
        <v>45000</v>
      </c>
      <c r="G9040">
        <v>44711</v>
      </c>
      <c r="H9040">
        <v>2022</v>
      </c>
      <c r="I9040" t="s">
        <v>44</v>
      </c>
    </row>
    <row r="9041" spans="1:9" x14ac:dyDescent="0.3">
      <c r="A9041" t="s">
        <v>22</v>
      </c>
      <c r="G9041">
        <v>44711</v>
      </c>
      <c r="H9041">
        <v>2022</v>
      </c>
      <c r="I9041" t="s">
        <v>44</v>
      </c>
    </row>
    <row r="9042" spans="1:9" x14ac:dyDescent="0.3">
      <c r="A9042" t="s">
        <v>61</v>
      </c>
      <c r="G9042">
        <v>44711</v>
      </c>
      <c r="H9042">
        <v>2022</v>
      </c>
      <c r="I9042" t="s">
        <v>44</v>
      </c>
    </row>
    <row r="9043" spans="1:9" x14ac:dyDescent="0.3">
      <c r="A9043" t="s">
        <v>19</v>
      </c>
      <c r="D9043">
        <v>432000</v>
      </c>
      <c r="G9043">
        <v>44711</v>
      </c>
      <c r="H9043">
        <v>2022</v>
      </c>
      <c r="I9043" t="s">
        <v>44</v>
      </c>
    </row>
    <row r="9044" spans="1:9" x14ac:dyDescent="0.3">
      <c r="A9044" t="s">
        <v>14</v>
      </c>
      <c r="C9044">
        <v>428000</v>
      </c>
      <c r="G9044">
        <v>44711</v>
      </c>
      <c r="H9044">
        <v>2022</v>
      </c>
      <c r="I9044" t="s">
        <v>44</v>
      </c>
    </row>
    <row r="9045" spans="1:9" x14ac:dyDescent="0.3">
      <c r="A9045" t="s">
        <v>24</v>
      </c>
      <c r="G9045">
        <v>44711</v>
      </c>
      <c r="H9045">
        <v>2022</v>
      </c>
      <c r="I9045" t="s">
        <v>44</v>
      </c>
    </row>
    <row r="9046" spans="1:9" x14ac:dyDescent="0.3">
      <c r="A9046" t="s">
        <v>21</v>
      </c>
      <c r="G9046">
        <v>44711</v>
      </c>
      <c r="H9046">
        <v>2022</v>
      </c>
      <c r="I9046" t="s">
        <v>44</v>
      </c>
    </row>
    <row r="9047" spans="1:9" x14ac:dyDescent="0.3">
      <c r="A9047" t="s">
        <v>65</v>
      </c>
      <c r="G9047">
        <v>44711</v>
      </c>
      <c r="H9047">
        <v>2022</v>
      </c>
      <c r="I9047" t="s">
        <v>44</v>
      </c>
    </row>
    <row r="9048" spans="1:9" x14ac:dyDescent="0.3">
      <c r="A9048" t="s">
        <v>18</v>
      </c>
      <c r="G9048">
        <v>44711</v>
      </c>
      <c r="H9048">
        <v>2022</v>
      </c>
      <c r="I9048" t="s">
        <v>44</v>
      </c>
    </row>
    <row r="9049" spans="1:9" x14ac:dyDescent="0.3">
      <c r="A9049" t="s">
        <v>16</v>
      </c>
      <c r="G9049">
        <v>44711</v>
      </c>
      <c r="H9049">
        <v>2022</v>
      </c>
      <c r="I9049" t="s">
        <v>44</v>
      </c>
    </row>
    <row r="9050" spans="1:9" x14ac:dyDescent="0.3">
      <c r="A9050" t="s">
        <v>20</v>
      </c>
      <c r="G9050">
        <v>44712</v>
      </c>
      <c r="H9050">
        <v>2022</v>
      </c>
      <c r="I9050" t="s">
        <v>44</v>
      </c>
    </row>
    <row r="9051" spans="1:9" x14ac:dyDescent="0.3">
      <c r="A9051" t="s">
        <v>37</v>
      </c>
      <c r="G9051">
        <v>44712</v>
      </c>
      <c r="H9051">
        <v>2022</v>
      </c>
      <c r="I9051" t="s">
        <v>44</v>
      </c>
    </row>
    <row r="9052" spans="1:9" x14ac:dyDescent="0.3">
      <c r="A9052" t="s">
        <v>17</v>
      </c>
      <c r="G9052">
        <v>44712</v>
      </c>
      <c r="H9052">
        <v>2022</v>
      </c>
      <c r="I9052" t="s">
        <v>44</v>
      </c>
    </row>
    <row r="9053" spans="1:9" x14ac:dyDescent="0.3">
      <c r="A9053" t="s">
        <v>0</v>
      </c>
      <c r="G9053">
        <v>44712</v>
      </c>
      <c r="H9053">
        <v>2022</v>
      </c>
      <c r="I9053" t="s">
        <v>44</v>
      </c>
    </row>
    <row r="9054" spans="1:9" x14ac:dyDescent="0.3">
      <c r="A9054" t="s">
        <v>25</v>
      </c>
      <c r="C9054">
        <v>270000</v>
      </c>
      <c r="G9054">
        <v>44712</v>
      </c>
      <c r="H9054">
        <v>2022</v>
      </c>
      <c r="I9054" t="s">
        <v>44</v>
      </c>
    </row>
    <row r="9055" spans="1:9" x14ac:dyDescent="0.3">
      <c r="A9055" t="s">
        <v>15</v>
      </c>
      <c r="C9055">
        <v>540000</v>
      </c>
      <c r="G9055">
        <v>44712</v>
      </c>
      <c r="H9055">
        <v>2022</v>
      </c>
      <c r="I9055" t="s">
        <v>44</v>
      </c>
    </row>
    <row r="9056" spans="1:9" x14ac:dyDescent="0.3">
      <c r="A9056" t="s">
        <v>54</v>
      </c>
      <c r="C9056">
        <v>270000</v>
      </c>
      <c r="D9056">
        <v>378000</v>
      </c>
      <c r="G9056">
        <v>44712</v>
      </c>
      <c r="H9056">
        <v>2022</v>
      </c>
      <c r="I9056" t="s">
        <v>44</v>
      </c>
    </row>
    <row r="9057" spans="1:9" x14ac:dyDescent="0.3">
      <c r="A9057" t="s">
        <v>26</v>
      </c>
      <c r="D9057">
        <v>135000</v>
      </c>
      <c r="G9057">
        <v>44712</v>
      </c>
      <c r="H9057">
        <v>2022</v>
      </c>
      <c r="I9057" t="s">
        <v>44</v>
      </c>
    </row>
    <row r="9058" spans="1:9" x14ac:dyDescent="0.3">
      <c r="A9058" t="s">
        <v>22</v>
      </c>
      <c r="G9058">
        <v>44712</v>
      </c>
      <c r="H9058">
        <v>2022</v>
      </c>
      <c r="I9058" t="s">
        <v>44</v>
      </c>
    </row>
    <row r="9059" spans="1:9" x14ac:dyDescent="0.3">
      <c r="A9059" t="s">
        <v>61</v>
      </c>
      <c r="G9059">
        <v>44712</v>
      </c>
      <c r="H9059">
        <v>2022</v>
      </c>
      <c r="I9059" t="s">
        <v>44</v>
      </c>
    </row>
    <row r="9060" spans="1:9" x14ac:dyDescent="0.3">
      <c r="A9060" t="s">
        <v>19</v>
      </c>
      <c r="B9060">
        <v>108000</v>
      </c>
      <c r="D9060">
        <v>216000</v>
      </c>
      <c r="G9060">
        <v>44712</v>
      </c>
      <c r="H9060">
        <v>2022</v>
      </c>
      <c r="I9060" t="s">
        <v>44</v>
      </c>
    </row>
    <row r="9061" spans="1:9" x14ac:dyDescent="0.3">
      <c r="A9061" t="s">
        <v>14</v>
      </c>
      <c r="C9061">
        <v>428000</v>
      </c>
      <c r="G9061">
        <v>44712</v>
      </c>
      <c r="H9061">
        <v>2022</v>
      </c>
      <c r="I9061" t="s">
        <v>44</v>
      </c>
    </row>
    <row r="9062" spans="1:9" x14ac:dyDescent="0.3">
      <c r="A9062" t="s">
        <v>24</v>
      </c>
      <c r="G9062">
        <v>44712</v>
      </c>
      <c r="H9062">
        <v>2022</v>
      </c>
      <c r="I9062" t="s">
        <v>44</v>
      </c>
    </row>
    <row r="9063" spans="1:9" x14ac:dyDescent="0.3">
      <c r="A9063" t="s">
        <v>21</v>
      </c>
      <c r="G9063">
        <v>44712</v>
      </c>
      <c r="H9063">
        <v>2022</v>
      </c>
      <c r="I9063" t="s">
        <v>44</v>
      </c>
    </row>
    <row r="9064" spans="1:9" x14ac:dyDescent="0.3">
      <c r="A9064" t="s">
        <v>65</v>
      </c>
      <c r="G9064">
        <v>44712</v>
      </c>
      <c r="H9064">
        <v>2022</v>
      </c>
      <c r="I9064" t="s">
        <v>44</v>
      </c>
    </row>
    <row r="9065" spans="1:9" x14ac:dyDescent="0.3">
      <c r="A9065" t="s">
        <v>18</v>
      </c>
      <c r="G9065">
        <v>44712</v>
      </c>
      <c r="H9065">
        <v>2022</v>
      </c>
      <c r="I9065" t="s">
        <v>44</v>
      </c>
    </row>
    <row r="9066" spans="1:9" x14ac:dyDescent="0.3">
      <c r="A9066" t="s">
        <v>16</v>
      </c>
      <c r="B9066">
        <v>54000</v>
      </c>
      <c r="G9066">
        <v>44712</v>
      </c>
      <c r="H9066">
        <v>2022</v>
      </c>
      <c r="I9066" t="s">
        <v>44</v>
      </c>
    </row>
    <row r="9067" spans="1:9" x14ac:dyDescent="0.3">
      <c r="A9067" t="s">
        <v>20</v>
      </c>
      <c r="G9067">
        <v>44713</v>
      </c>
      <c r="H9067">
        <v>2022</v>
      </c>
      <c r="I9067" t="s">
        <v>47</v>
      </c>
    </row>
    <row r="9068" spans="1:9" x14ac:dyDescent="0.3">
      <c r="A9068" t="s">
        <v>37</v>
      </c>
      <c r="G9068">
        <v>44713</v>
      </c>
      <c r="H9068">
        <v>2022</v>
      </c>
      <c r="I9068" t="s">
        <v>47</v>
      </c>
    </row>
    <row r="9069" spans="1:9" x14ac:dyDescent="0.3">
      <c r="A9069" t="s">
        <v>17</v>
      </c>
      <c r="G9069">
        <v>44713</v>
      </c>
      <c r="H9069">
        <v>2022</v>
      </c>
      <c r="I9069" t="s">
        <v>47</v>
      </c>
    </row>
    <row r="9070" spans="1:9" x14ac:dyDescent="0.3">
      <c r="A9070" t="s">
        <v>0</v>
      </c>
      <c r="G9070">
        <v>44713</v>
      </c>
      <c r="H9070">
        <v>2022</v>
      </c>
      <c r="I9070" t="s">
        <v>47</v>
      </c>
    </row>
    <row r="9071" spans="1:9" x14ac:dyDescent="0.3">
      <c r="A9071" t="s">
        <v>25</v>
      </c>
      <c r="C9071">
        <v>54000</v>
      </c>
      <c r="G9071">
        <v>44713</v>
      </c>
      <c r="H9071">
        <v>2022</v>
      </c>
      <c r="I9071" t="s">
        <v>47</v>
      </c>
    </row>
    <row r="9072" spans="1:9" x14ac:dyDescent="0.3">
      <c r="A9072" t="s">
        <v>15</v>
      </c>
      <c r="B9072">
        <v>216000</v>
      </c>
      <c r="C9072">
        <v>108000</v>
      </c>
      <c r="D9072">
        <v>108000</v>
      </c>
      <c r="G9072">
        <v>44713</v>
      </c>
      <c r="H9072">
        <v>2022</v>
      </c>
      <c r="I9072" t="s">
        <v>47</v>
      </c>
    </row>
    <row r="9073" spans="1:9" x14ac:dyDescent="0.3">
      <c r="A9073" t="s">
        <v>54</v>
      </c>
      <c r="B9073">
        <v>162000</v>
      </c>
      <c r="C9073">
        <v>54000</v>
      </c>
      <c r="D9073">
        <v>108000</v>
      </c>
      <c r="G9073">
        <v>44713</v>
      </c>
      <c r="H9073">
        <v>2022</v>
      </c>
      <c r="I9073" t="s">
        <v>47</v>
      </c>
    </row>
    <row r="9074" spans="1:9" x14ac:dyDescent="0.3">
      <c r="A9074" t="s">
        <v>26</v>
      </c>
      <c r="G9074">
        <v>44713</v>
      </c>
      <c r="H9074">
        <v>2022</v>
      </c>
      <c r="I9074" t="s">
        <v>47</v>
      </c>
    </row>
    <row r="9075" spans="1:9" x14ac:dyDescent="0.3">
      <c r="A9075" t="s">
        <v>22</v>
      </c>
      <c r="G9075">
        <v>44713</v>
      </c>
      <c r="H9075">
        <v>2022</v>
      </c>
      <c r="I9075" t="s">
        <v>47</v>
      </c>
    </row>
    <row r="9076" spans="1:9" x14ac:dyDescent="0.3">
      <c r="A9076" t="s">
        <v>61</v>
      </c>
      <c r="G9076">
        <v>44713</v>
      </c>
      <c r="H9076">
        <v>2022</v>
      </c>
      <c r="I9076" t="s">
        <v>47</v>
      </c>
    </row>
    <row r="9077" spans="1:9" x14ac:dyDescent="0.3">
      <c r="A9077" t="s">
        <v>19</v>
      </c>
      <c r="G9077">
        <v>44713</v>
      </c>
      <c r="H9077">
        <v>2022</v>
      </c>
      <c r="I9077" t="s">
        <v>47</v>
      </c>
    </row>
    <row r="9078" spans="1:9" x14ac:dyDescent="0.3">
      <c r="A9078" t="s">
        <v>14</v>
      </c>
      <c r="B9078">
        <v>216000</v>
      </c>
      <c r="C9078">
        <v>108000</v>
      </c>
      <c r="D9078">
        <v>54000</v>
      </c>
      <c r="G9078">
        <v>44713</v>
      </c>
      <c r="H9078">
        <v>2022</v>
      </c>
      <c r="I9078" t="s">
        <v>47</v>
      </c>
    </row>
    <row r="9079" spans="1:9" x14ac:dyDescent="0.3">
      <c r="A9079" t="s">
        <v>24</v>
      </c>
      <c r="G9079">
        <v>44713</v>
      </c>
      <c r="H9079">
        <v>2022</v>
      </c>
      <c r="I9079" t="s">
        <v>47</v>
      </c>
    </row>
    <row r="9080" spans="1:9" x14ac:dyDescent="0.3">
      <c r="A9080" t="s">
        <v>21</v>
      </c>
      <c r="G9080">
        <v>44713</v>
      </c>
      <c r="H9080">
        <v>2022</v>
      </c>
      <c r="I9080" t="s">
        <v>47</v>
      </c>
    </row>
    <row r="9081" spans="1:9" x14ac:dyDescent="0.3">
      <c r="A9081" t="s">
        <v>65</v>
      </c>
      <c r="G9081">
        <v>44713</v>
      </c>
      <c r="H9081">
        <v>2022</v>
      </c>
      <c r="I9081" t="s">
        <v>47</v>
      </c>
    </row>
    <row r="9082" spans="1:9" x14ac:dyDescent="0.3">
      <c r="A9082" t="s">
        <v>18</v>
      </c>
      <c r="G9082">
        <v>44713</v>
      </c>
      <c r="H9082">
        <v>2022</v>
      </c>
      <c r="I9082" t="s">
        <v>47</v>
      </c>
    </row>
    <row r="9083" spans="1:9" x14ac:dyDescent="0.3">
      <c r="A9083" t="s">
        <v>16</v>
      </c>
      <c r="G9083">
        <v>44713</v>
      </c>
      <c r="H9083">
        <v>2022</v>
      </c>
      <c r="I9083" t="s">
        <v>47</v>
      </c>
    </row>
    <row r="9084" spans="1:9" x14ac:dyDescent="0.3">
      <c r="A9084" t="s">
        <v>20</v>
      </c>
      <c r="G9084">
        <v>44714</v>
      </c>
      <c r="H9084">
        <v>2022</v>
      </c>
      <c r="I9084" t="s">
        <v>47</v>
      </c>
    </row>
    <row r="9085" spans="1:9" x14ac:dyDescent="0.3">
      <c r="A9085" t="s">
        <v>37</v>
      </c>
      <c r="G9085">
        <v>44714</v>
      </c>
      <c r="H9085">
        <v>2022</v>
      </c>
      <c r="I9085" t="s">
        <v>47</v>
      </c>
    </row>
    <row r="9086" spans="1:9" x14ac:dyDescent="0.3">
      <c r="A9086" t="s">
        <v>17</v>
      </c>
      <c r="G9086">
        <v>44714</v>
      </c>
      <c r="H9086">
        <v>2022</v>
      </c>
      <c r="I9086" t="s">
        <v>47</v>
      </c>
    </row>
    <row r="9087" spans="1:9" x14ac:dyDescent="0.3">
      <c r="A9087" t="s">
        <v>0</v>
      </c>
      <c r="G9087">
        <v>44714</v>
      </c>
      <c r="H9087">
        <v>2022</v>
      </c>
      <c r="I9087" t="s">
        <v>47</v>
      </c>
    </row>
    <row r="9088" spans="1:9" x14ac:dyDescent="0.3">
      <c r="A9088" t="s">
        <v>25</v>
      </c>
      <c r="C9088">
        <v>486000</v>
      </c>
      <c r="G9088">
        <v>44714</v>
      </c>
      <c r="H9088">
        <v>2022</v>
      </c>
      <c r="I9088" t="s">
        <v>47</v>
      </c>
    </row>
    <row r="9089" spans="1:9" x14ac:dyDescent="0.3">
      <c r="A9089" t="s">
        <v>15</v>
      </c>
      <c r="B9089">
        <v>797500</v>
      </c>
      <c r="C9089">
        <v>54000</v>
      </c>
      <c r="D9089">
        <v>54000</v>
      </c>
      <c r="G9089">
        <v>44714</v>
      </c>
      <c r="H9089">
        <v>2022</v>
      </c>
      <c r="I9089" t="s">
        <v>47</v>
      </c>
    </row>
    <row r="9090" spans="1:9" x14ac:dyDescent="0.3">
      <c r="A9090" t="s">
        <v>54</v>
      </c>
      <c r="B9090">
        <v>693000</v>
      </c>
      <c r="C9090">
        <v>216000</v>
      </c>
      <c r="D9090">
        <v>108000</v>
      </c>
      <c r="G9090">
        <v>44714</v>
      </c>
      <c r="H9090">
        <v>2022</v>
      </c>
      <c r="I9090" t="s">
        <v>47</v>
      </c>
    </row>
    <row r="9091" spans="1:9" x14ac:dyDescent="0.3">
      <c r="A9091" t="s">
        <v>26</v>
      </c>
      <c r="G9091">
        <v>44714</v>
      </c>
      <c r="H9091">
        <v>2022</v>
      </c>
      <c r="I9091" t="s">
        <v>47</v>
      </c>
    </row>
    <row r="9092" spans="1:9" x14ac:dyDescent="0.3">
      <c r="A9092" t="s">
        <v>22</v>
      </c>
      <c r="G9092">
        <v>44714</v>
      </c>
      <c r="H9092">
        <v>2022</v>
      </c>
      <c r="I9092" t="s">
        <v>47</v>
      </c>
    </row>
    <row r="9093" spans="1:9" x14ac:dyDescent="0.3">
      <c r="A9093" t="s">
        <v>61</v>
      </c>
      <c r="G9093">
        <v>44714</v>
      </c>
      <c r="H9093">
        <v>2022</v>
      </c>
      <c r="I9093" t="s">
        <v>47</v>
      </c>
    </row>
    <row r="9094" spans="1:9" x14ac:dyDescent="0.3">
      <c r="A9094" t="s">
        <v>19</v>
      </c>
      <c r="B9094">
        <v>324000</v>
      </c>
      <c r="D9094">
        <v>54000</v>
      </c>
      <c r="G9094">
        <v>44714</v>
      </c>
      <c r="H9094">
        <v>2022</v>
      </c>
      <c r="I9094" t="s">
        <v>47</v>
      </c>
    </row>
    <row r="9095" spans="1:9" x14ac:dyDescent="0.3">
      <c r="A9095" t="s">
        <v>14</v>
      </c>
      <c r="B9095">
        <v>702000</v>
      </c>
      <c r="C9095">
        <v>644000</v>
      </c>
      <c r="D9095">
        <v>108000</v>
      </c>
      <c r="G9095">
        <v>44714</v>
      </c>
      <c r="H9095">
        <v>2022</v>
      </c>
      <c r="I9095" t="s">
        <v>47</v>
      </c>
    </row>
    <row r="9096" spans="1:9" x14ac:dyDescent="0.3">
      <c r="A9096" t="s">
        <v>24</v>
      </c>
      <c r="G9096">
        <v>44714</v>
      </c>
      <c r="H9096">
        <v>2022</v>
      </c>
      <c r="I9096" t="s">
        <v>47</v>
      </c>
    </row>
    <row r="9097" spans="1:9" x14ac:dyDescent="0.3">
      <c r="A9097" t="s">
        <v>21</v>
      </c>
      <c r="G9097">
        <v>44714</v>
      </c>
      <c r="H9097">
        <v>2022</v>
      </c>
      <c r="I9097" t="s">
        <v>47</v>
      </c>
    </row>
    <row r="9098" spans="1:9" x14ac:dyDescent="0.3">
      <c r="A9098" t="s">
        <v>65</v>
      </c>
      <c r="G9098">
        <v>44714</v>
      </c>
      <c r="H9098">
        <v>2022</v>
      </c>
      <c r="I9098" t="s">
        <v>47</v>
      </c>
    </row>
    <row r="9099" spans="1:9" x14ac:dyDescent="0.3">
      <c r="A9099" t="s">
        <v>18</v>
      </c>
      <c r="G9099">
        <v>44714</v>
      </c>
      <c r="H9099">
        <v>2022</v>
      </c>
      <c r="I9099" t="s">
        <v>47</v>
      </c>
    </row>
    <row r="9100" spans="1:9" x14ac:dyDescent="0.3">
      <c r="A9100" t="s">
        <v>16</v>
      </c>
      <c r="G9100">
        <v>44714</v>
      </c>
      <c r="H9100">
        <v>2022</v>
      </c>
      <c r="I9100" t="s">
        <v>47</v>
      </c>
    </row>
    <row r="9101" spans="1:9" x14ac:dyDescent="0.3">
      <c r="A9101" t="s">
        <v>20</v>
      </c>
      <c r="G9101">
        <v>44715</v>
      </c>
      <c r="H9101">
        <v>2022</v>
      </c>
      <c r="I9101" t="s">
        <v>47</v>
      </c>
    </row>
    <row r="9102" spans="1:9" x14ac:dyDescent="0.3">
      <c r="A9102" t="s">
        <v>37</v>
      </c>
      <c r="G9102">
        <v>44715</v>
      </c>
      <c r="H9102">
        <v>2022</v>
      </c>
      <c r="I9102" t="s">
        <v>47</v>
      </c>
    </row>
    <row r="9103" spans="1:9" x14ac:dyDescent="0.3">
      <c r="A9103" t="s">
        <v>17</v>
      </c>
      <c r="G9103">
        <v>44715</v>
      </c>
      <c r="H9103">
        <v>2022</v>
      </c>
      <c r="I9103" t="s">
        <v>47</v>
      </c>
    </row>
    <row r="9104" spans="1:9" x14ac:dyDescent="0.3">
      <c r="A9104" t="s">
        <v>0</v>
      </c>
      <c r="G9104">
        <v>44715</v>
      </c>
      <c r="H9104">
        <v>2022</v>
      </c>
      <c r="I9104" t="s">
        <v>47</v>
      </c>
    </row>
    <row r="9105" spans="1:9" x14ac:dyDescent="0.3">
      <c r="A9105" t="s">
        <v>25</v>
      </c>
      <c r="C9105">
        <v>432000</v>
      </c>
      <c r="G9105">
        <v>44715</v>
      </c>
      <c r="H9105">
        <v>2022</v>
      </c>
      <c r="I9105" t="s">
        <v>47</v>
      </c>
    </row>
    <row r="9106" spans="1:9" x14ac:dyDescent="0.3">
      <c r="A9106" t="s">
        <v>15</v>
      </c>
      <c r="G9106">
        <v>44715</v>
      </c>
      <c r="H9106">
        <v>2022</v>
      </c>
      <c r="I9106" t="s">
        <v>47</v>
      </c>
    </row>
    <row r="9107" spans="1:9" x14ac:dyDescent="0.3">
      <c r="A9107" t="s">
        <v>54</v>
      </c>
      <c r="B9107">
        <v>585500</v>
      </c>
      <c r="C9107">
        <v>54000</v>
      </c>
      <c r="D9107">
        <v>54000</v>
      </c>
      <c r="G9107">
        <v>44715</v>
      </c>
      <c r="H9107">
        <v>2022</v>
      </c>
      <c r="I9107" t="s">
        <v>47</v>
      </c>
    </row>
    <row r="9108" spans="1:9" x14ac:dyDescent="0.3">
      <c r="A9108" t="s">
        <v>26</v>
      </c>
      <c r="G9108">
        <v>44715</v>
      </c>
      <c r="H9108">
        <v>2022</v>
      </c>
      <c r="I9108" t="s">
        <v>47</v>
      </c>
    </row>
    <row r="9109" spans="1:9" x14ac:dyDescent="0.3">
      <c r="A9109" t="s">
        <v>22</v>
      </c>
      <c r="G9109">
        <v>44715</v>
      </c>
      <c r="H9109">
        <v>2022</v>
      </c>
      <c r="I9109" t="s">
        <v>47</v>
      </c>
    </row>
    <row r="9110" spans="1:9" x14ac:dyDescent="0.3">
      <c r="A9110" t="s">
        <v>61</v>
      </c>
      <c r="G9110">
        <v>44715</v>
      </c>
      <c r="H9110">
        <v>2022</v>
      </c>
      <c r="I9110" t="s">
        <v>47</v>
      </c>
    </row>
    <row r="9111" spans="1:9" x14ac:dyDescent="0.3">
      <c r="A9111" t="s">
        <v>19</v>
      </c>
      <c r="B9111">
        <v>702000</v>
      </c>
      <c r="C9111">
        <v>540000</v>
      </c>
      <c r="D9111">
        <v>108000</v>
      </c>
      <c r="G9111">
        <v>44715</v>
      </c>
      <c r="H9111">
        <v>2022</v>
      </c>
      <c r="I9111" t="s">
        <v>47</v>
      </c>
    </row>
    <row r="9112" spans="1:9" x14ac:dyDescent="0.3">
      <c r="A9112" t="s">
        <v>14</v>
      </c>
      <c r="B9112">
        <v>486000</v>
      </c>
      <c r="C9112">
        <v>486000</v>
      </c>
      <c r="D9112">
        <v>104000</v>
      </c>
      <c r="G9112">
        <v>44715</v>
      </c>
      <c r="H9112">
        <v>2022</v>
      </c>
      <c r="I9112" t="s">
        <v>47</v>
      </c>
    </row>
    <row r="9113" spans="1:9" x14ac:dyDescent="0.3">
      <c r="A9113" t="s">
        <v>24</v>
      </c>
      <c r="G9113">
        <v>44715</v>
      </c>
      <c r="H9113">
        <v>2022</v>
      </c>
      <c r="I9113" t="s">
        <v>47</v>
      </c>
    </row>
    <row r="9114" spans="1:9" x14ac:dyDescent="0.3">
      <c r="A9114" t="s">
        <v>21</v>
      </c>
      <c r="G9114">
        <v>44715</v>
      </c>
      <c r="H9114">
        <v>2022</v>
      </c>
      <c r="I9114" t="s">
        <v>47</v>
      </c>
    </row>
    <row r="9115" spans="1:9" x14ac:dyDescent="0.3">
      <c r="A9115" t="s">
        <v>65</v>
      </c>
      <c r="G9115">
        <v>44715</v>
      </c>
      <c r="H9115">
        <v>2022</v>
      </c>
      <c r="I9115" t="s">
        <v>47</v>
      </c>
    </row>
    <row r="9116" spans="1:9" x14ac:dyDescent="0.3">
      <c r="A9116" t="s">
        <v>18</v>
      </c>
      <c r="G9116">
        <v>44715</v>
      </c>
      <c r="H9116">
        <v>2022</v>
      </c>
      <c r="I9116" t="s">
        <v>47</v>
      </c>
    </row>
    <row r="9117" spans="1:9" x14ac:dyDescent="0.3">
      <c r="A9117" t="s">
        <v>16</v>
      </c>
      <c r="G9117">
        <v>44715</v>
      </c>
      <c r="H9117">
        <v>2022</v>
      </c>
      <c r="I9117" t="s">
        <v>47</v>
      </c>
    </row>
    <row r="9118" spans="1:9" x14ac:dyDescent="0.3">
      <c r="A9118" t="s">
        <v>20</v>
      </c>
      <c r="G9118">
        <v>44715</v>
      </c>
      <c r="H9118">
        <v>2022</v>
      </c>
      <c r="I9118" t="s">
        <v>47</v>
      </c>
    </row>
    <row r="9119" spans="1:9" x14ac:dyDescent="0.3">
      <c r="A9119" t="s">
        <v>37</v>
      </c>
      <c r="G9119">
        <v>44715</v>
      </c>
      <c r="H9119">
        <v>2022</v>
      </c>
      <c r="I9119" t="s">
        <v>47</v>
      </c>
    </row>
    <row r="9120" spans="1:9" x14ac:dyDescent="0.3">
      <c r="A9120" t="s">
        <v>17</v>
      </c>
      <c r="G9120">
        <v>44715</v>
      </c>
      <c r="H9120">
        <v>2022</v>
      </c>
      <c r="I9120" t="s">
        <v>47</v>
      </c>
    </row>
    <row r="9121" spans="1:9" x14ac:dyDescent="0.3">
      <c r="A9121" t="s">
        <v>0</v>
      </c>
      <c r="G9121">
        <v>44715</v>
      </c>
      <c r="H9121">
        <v>2022</v>
      </c>
      <c r="I9121" t="s">
        <v>47</v>
      </c>
    </row>
    <row r="9122" spans="1:9" x14ac:dyDescent="0.3">
      <c r="A9122" t="s">
        <v>25</v>
      </c>
      <c r="G9122">
        <v>44715</v>
      </c>
      <c r="H9122">
        <v>2022</v>
      </c>
      <c r="I9122" t="s">
        <v>47</v>
      </c>
    </row>
    <row r="9123" spans="1:9" x14ac:dyDescent="0.3">
      <c r="A9123" t="s">
        <v>15</v>
      </c>
      <c r="G9123">
        <v>44715</v>
      </c>
      <c r="H9123">
        <v>2022</v>
      </c>
      <c r="I9123" t="s">
        <v>47</v>
      </c>
    </row>
    <row r="9124" spans="1:9" x14ac:dyDescent="0.3">
      <c r="A9124" t="s">
        <v>54</v>
      </c>
      <c r="G9124">
        <v>44715</v>
      </c>
      <c r="H9124">
        <v>2022</v>
      </c>
      <c r="I9124" t="s">
        <v>47</v>
      </c>
    </row>
    <row r="9125" spans="1:9" x14ac:dyDescent="0.3">
      <c r="A9125" t="s">
        <v>26</v>
      </c>
      <c r="G9125">
        <v>44715</v>
      </c>
      <c r="H9125">
        <v>2022</v>
      </c>
      <c r="I9125" t="s">
        <v>47</v>
      </c>
    </row>
    <row r="9126" spans="1:9" x14ac:dyDescent="0.3">
      <c r="A9126" t="s">
        <v>22</v>
      </c>
      <c r="G9126">
        <v>44715</v>
      </c>
      <c r="H9126">
        <v>2022</v>
      </c>
      <c r="I9126" t="s">
        <v>47</v>
      </c>
    </row>
    <row r="9127" spans="1:9" x14ac:dyDescent="0.3">
      <c r="A9127" t="s">
        <v>61</v>
      </c>
      <c r="G9127">
        <v>44715</v>
      </c>
      <c r="H9127">
        <v>2022</v>
      </c>
      <c r="I9127" t="s">
        <v>47</v>
      </c>
    </row>
    <row r="9128" spans="1:9" x14ac:dyDescent="0.3">
      <c r="A9128" t="s">
        <v>19</v>
      </c>
      <c r="C9128">
        <v>324000</v>
      </c>
      <c r="G9128">
        <v>44715</v>
      </c>
      <c r="H9128">
        <v>2022</v>
      </c>
      <c r="I9128" t="s">
        <v>47</v>
      </c>
    </row>
    <row r="9129" spans="1:9" x14ac:dyDescent="0.3">
      <c r="A9129" t="s">
        <v>14</v>
      </c>
      <c r="G9129">
        <v>44715</v>
      </c>
      <c r="H9129">
        <v>2022</v>
      </c>
      <c r="I9129" t="s">
        <v>47</v>
      </c>
    </row>
    <row r="9130" spans="1:9" x14ac:dyDescent="0.3">
      <c r="A9130" t="s">
        <v>24</v>
      </c>
      <c r="G9130">
        <v>44715</v>
      </c>
      <c r="H9130">
        <v>2022</v>
      </c>
      <c r="I9130" t="s">
        <v>47</v>
      </c>
    </row>
    <row r="9131" spans="1:9" x14ac:dyDescent="0.3">
      <c r="A9131" t="s">
        <v>21</v>
      </c>
      <c r="G9131">
        <v>44715</v>
      </c>
      <c r="H9131">
        <v>2022</v>
      </c>
      <c r="I9131" t="s">
        <v>47</v>
      </c>
    </row>
    <row r="9132" spans="1:9" x14ac:dyDescent="0.3">
      <c r="A9132" t="s">
        <v>65</v>
      </c>
      <c r="G9132">
        <v>44715</v>
      </c>
      <c r="H9132">
        <v>2022</v>
      </c>
      <c r="I9132" t="s">
        <v>47</v>
      </c>
    </row>
    <row r="9133" spans="1:9" x14ac:dyDescent="0.3">
      <c r="A9133" t="s">
        <v>18</v>
      </c>
      <c r="G9133">
        <v>44715</v>
      </c>
      <c r="H9133">
        <v>2022</v>
      </c>
      <c r="I9133" t="s">
        <v>47</v>
      </c>
    </row>
    <row r="9134" spans="1:9" x14ac:dyDescent="0.3">
      <c r="A9134" t="s">
        <v>16</v>
      </c>
      <c r="G9134">
        <v>44715</v>
      </c>
      <c r="H9134">
        <v>2022</v>
      </c>
      <c r="I9134" t="s">
        <v>47</v>
      </c>
    </row>
    <row r="9135" spans="1:9" x14ac:dyDescent="0.3">
      <c r="A9135" t="s">
        <v>20</v>
      </c>
      <c r="G9135">
        <v>44718</v>
      </c>
      <c r="H9135">
        <v>2022</v>
      </c>
      <c r="I9135" t="s">
        <v>47</v>
      </c>
    </row>
    <row r="9136" spans="1:9" x14ac:dyDescent="0.3">
      <c r="A9136" t="s">
        <v>37</v>
      </c>
      <c r="G9136">
        <v>44718</v>
      </c>
      <c r="H9136">
        <v>2022</v>
      </c>
      <c r="I9136" t="s">
        <v>47</v>
      </c>
    </row>
    <row r="9137" spans="1:9" x14ac:dyDescent="0.3">
      <c r="A9137" t="s">
        <v>17</v>
      </c>
      <c r="G9137">
        <v>44718</v>
      </c>
      <c r="H9137">
        <v>2022</v>
      </c>
      <c r="I9137" t="s">
        <v>47</v>
      </c>
    </row>
    <row r="9138" spans="1:9" x14ac:dyDescent="0.3">
      <c r="A9138" t="s">
        <v>0</v>
      </c>
      <c r="G9138">
        <v>44718</v>
      </c>
      <c r="H9138">
        <v>2022</v>
      </c>
      <c r="I9138" t="s">
        <v>47</v>
      </c>
    </row>
    <row r="9139" spans="1:9" x14ac:dyDescent="0.3">
      <c r="A9139" t="s">
        <v>25</v>
      </c>
      <c r="C9139">
        <v>216000</v>
      </c>
      <c r="G9139">
        <v>44718</v>
      </c>
      <c r="H9139">
        <v>2022</v>
      </c>
      <c r="I9139" t="s">
        <v>47</v>
      </c>
    </row>
    <row r="9140" spans="1:9" x14ac:dyDescent="0.3">
      <c r="A9140" t="s">
        <v>15</v>
      </c>
      <c r="B9140">
        <v>135000</v>
      </c>
      <c r="G9140">
        <v>44718</v>
      </c>
      <c r="H9140">
        <v>2022</v>
      </c>
      <c r="I9140" t="s">
        <v>47</v>
      </c>
    </row>
    <row r="9141" spans="1:9" x14ac:dyDescent="0.3">
      <c r="A9141" t="s">
        <v>54</v>
      </c>
      <c r="B9141">
        <v>810000</v>
      </c>
      <c r="D9141">
        <v>54000</v>
      </c>
      <c r="G9141">
        <v>44718</v>
      </c>
      <c r="H9141">
        <v>2022</v>
      </c>
      <c r="I9141" t="s">
        <v>47</v>
      </c>
    </row>
    <row r="9142" spans="1:9" x14ac:dyDescent="0.3">
      <c r="A9142" t="s">
        <v>26</v>
      </c>
      <c r="G9142">
        <v>44718</v>
      </c>
      <c r="H9142">
        <v>2022</v>
      </c>
      <c r="I9142" t="s">
        <v>47</v>
      </c>
    </row>
    <row r="9143" spans="1:9" x14ac:dyDescent="0.3">
      <c r="A9143" t="s">
        <v>22</v>
      </c>
      <c r="G9143">
        <v>44718</v>
      </c>
      <c r="H9143">
        <v>2022</v>
      </c>
      <c r="I9143" t="s">
        <v>47</v>
      </c>
    </row>
    <row r="9144" spans="1:9" x14ac:dyDescent="0.3">
      <c r="A9144" t="s">
        <v>61</v>
      </c>
      <c r="G9144">
        <v>44718</v>
      </c>
      <c r="H9144">
        <v>2022</v>
      </c>
      <c r="I9144" t="s">
        <v>47</v>
      </c>
    </row>
    <row r="9145" spans="1:9" x14ac:dyDescent="0.3">
      <c r="A9145" t="s">
        <v>19</v>
      </c>
      <c r="B9145">
        <v>647500</v>
      </c>
      <c r="C9145">
        <v>576000</v>
      </c>
      <c r="D9145">
        <v>108000</v>
      </c>
      <c r="G9145">
        <v>44718</v>
      </c>
      <c r="H9145">
        <v>2022</v>
      </c>
      <c r="I9145" t="s">
        <v>47</v>
      </c>
    </row>
    <row r="9146" spans="1:9" x14ac:dyDescent="0.3">
      <c r="A9146" t="s">
        <v>14</v>
      </c>
      <c r="B9146">
        <v>427500</v>
      </c>
      <c r="C9146">
        <v>270000</v>
      </c>
      <c r="G9146">
        <v>44718</v>
      </c>
      <c r="H9146">
        <v>2022</v>
      </c>
      <c r="I9146" t="s">
        <v>47</v>
      </c>
    </row>
    <row r="9147" spans="1:9" x14ac:dyDescent="0.3">
      <c r="A9147" t="s">
        <v>24</v>
      </c>
      <c r="G9147">
        <v>44718</v>
      </c>
      <c r="H9147">
        <v>2022</v>
      </c>
      <c r="I9147" t="s">
        <v>47</v>
      </c>
    </row>
    <row r="9148" spans="1:9" x14ac:dyDescent="0.3">
      <c r="A9148" t="s">
        <v>21</v>
      </c>
      <c r="G9148">
        <v>44718</v>
      </c>
      <c r="H9148">
        <v>2022</v>
      </c>
      <c r="I9148" t="s">
        <v>47</v>
      </c>
    </row>
    <row r="9149" spans="1:9" x14ac:dyDescent="0.3">
      <c r="A9149" t="s">
        <v>65</v>
      </c>
      <c r="G9149">
        <v>44718</v>
      </c>
      <c r="H9149">
        <v>2022</v>
      </c>
      <c r="I9149" t="s">
        <v>47</v>
      </c>
    </row>
    <row r="9150" spans="1:9" x14ac:dyDescent="0.3">
      <c r="A9150" t="s">
        <v>18</v>
      </c>
      <c r="C9150">
        <v>45000</v>
      </c>
      <c r="G9150">
        <v>44718</v>
      </c>
      <c r="H9150">
        <v>2022</v>
      </c>
      <c r="I9150" t="s">
        <v>47</v>
      </c>
    </row>
    <row r="9151" spans="1:9" x14ac:dyDescent="0.3">
      <c r="A9151" t="s">
        <v>16</v>
      </c>
      <c r="G9151">
        <v>44718</v>
      </c>
      <c r="H9151">
        <v>2022</v>
      </c>
      <c r="I9151" t="s">
        <v>47</v>
      </c>
    </row>
    <row r="9152" spans="1:9" x14ac:dyDescent="0.3">
      <c r="A9152" t="s">
        <v>20</v>
      </c>
      <c r="G9152">
        <v>44719</v>
      </c>
      <c r="H9152">
        <v>2022</v>
      </c>
      <c r="I9152" t="s">
        <v>47</v>
      </c>
    </row>
    <row r="9153" spans="1:9" x14ac:dyDescent="0.3">
      <c r="A9153" t="s">
        <v>37</v>
      </c>
      <c r="G9153">
        <v>44719</v>
      </c>
      <c r="H9153">
        <v>2022</v>
      </c>
      <c r="I9153" t="s">
        <v>47</v>
      </c>
    </row>
    <row r="9154" spans="1:9" x14ac:dyDescent="0.3">
      <c r="A9154" t="s">
        <v>17</v>
      </c>
      <c r="G9154">
        <v>44719</v>
      </c>
      <c r="H9154">
        <v>2022</v>
      </c>
      <c r="I9154" t="s">
        <v>47</v>
      </c>
    </row>
    <row r="9155" spans="1:9" x14ac:dyDescent="0.3">
      <c r="A9155" t="s">
        <v>0</v>
      </c>
      <c r="G9155">
        <v>44719</v>
      </c>
      <c r="H9155">
        <v>2022</v>
      </c>
      <c r="I9155" t="s">
        <v>47</v>
      </c>
    </row>
    <row r="9156" spans="1:9" x14ac:dyDescent="0.3">
      <c r="A9156" t="s">
        <v>25</v>
      </c>
      <c r="C9156">
        <v>216000</v>
      </c>
      <c r="G9156">
        <v>44719</v>
      </c>
      <c r="H9156">
        <v>2022</v>
      </c>
      <c r="I9156" t="s">
        <v>47</v>
      </c>
    </row>
    <row r="9157" spans="1:9" x14ac:dyDescent="0.3">
      <c r="A9157" t="s">
        <v>15</v>
      </c>
      <c r="B9157">
        <v>50000</v>
      </c>
      <c r="C9157">
        <v>161500</v>
      </c>
      <c r="G9157">
        <v>44719</v>
      </c>
      <c r="H9157">
        <v>2022</v>
      </c>
      <c r="I9157" t="s">
        <v>47</v>
      </c>
    </row>
    <row r="9158" spans="1:9" x14ac:dyDescent="0.3">
      <c r="A9158" t="s">
        <v>54</v>
      </c>
      <c r="B9158">
        <v>792500</v>
      </c>
      <c r="D9158">
        <v>162000</v>
      </c>
      <c r="G9158">
        <v>44719</v>
      </c>
      <c r="H9158">
        <v>2022</v>
      </c>
      <c r="I9158" t="s">
        <v>47</v>
      </c>
    </row>
    <row r="9159" spans="1:9" x14ac:dyDescent="0.3">
      <c r="A9159" t="s">
        <v>26</v>
      </c>
      <c r="G9159">
        <v>44719</v>
      </c>
      <c r="H9159">
        <v>2022</v>
      </c>
      <c r="I9159" t="s">
        <v>47</v>
      </c>
    </row>
    <row r="9160" spans="1:9" x14ac:dyDescent="0.3">
      <c r="A9160" t="s">
        <v>22</v>
      </c>
      <c r="G9160">
        <v>44719</v>
      </c>
      <c r="H9160">
        <v>2022</v>
      </c>
      <c r="I9160" t="s">
        <v>47</v>
      </c>
    </row>
    <row r="9161" spans="1:9" x14ac:dyDescent="0.3">
      <c r="A9161" t="s">
        <v>61</v>
      </c>
      <c r="G9161">
        <v>44719</v>
      </c>
      <c r="H9161">
        <v>2022</v>
      </c>
      <c r="I9161" t="s">
        <v>47</v>
      </c>
    </row>
    <row r="9162" spans="1:9" x14ac:dyDescent="0.3">
      <c r="A9162" t="s">
        <v>19</v>
      </c>
      <c r="B9162">
        <v>378000</v>
      </c>
      <c r="C9162">
        <v>432000</v>
      </c>
      <c r="D9162">
        <v>216000</v>
      </c>
      <c r="G9162">
        <v>44719</v>
      </c>
      <c r="H9162">
        <v>2022</v>
      </c>
      <c r="I9162" t="s">
        <v>47</v>
      </c>
    </row>
    <row r="9163" spans="1:9" x14ac:dyDescent="0.3">
      <c r="A9163" t="s">
        <v>14</v>
      </c>
      <c r="B9163">
        <v>671000</v>
      </c>
      <c r="C9163">
        <v>648000</v>
      </c>
      <c r="D9163">
        <v>162000</v>
      </c>
      <c r="G9163">
        <v>44719</v>
      </c>
      <c r="H9163">
        <v>2022</v>
      </c>
      <c r="I9163" t="s">
        <v>47</v>
      </c>
    </row>
    <row r="9164" spans="1:9" x14ac:dyDescent="0.3">
      <c r="A9164" t="s">
        <v>24</v>
      </c>
      <c r="G9164">
        <v>44719</v>
      </c>
      <c r="H9164">
        <v>2022</v>
      </c>
      <c r="I9164" t="s">
        <v>47</v>
      </c>
    </row>
    <row r="9165" spans="1:9" x14ac:dyDescent="0.3">
      <c r="A9165" t="s">
        <v>21</v>
      </c>
      <c r="G9165">
        <v>44719</v>
      </c>
      <c r="H9165">
        <v>2022</v>
      </c>
      <c r="I9165" t="s">
        <v>47</v>
      </c>
    </row>
    <row r="9166" spans="1:9" x14ac:dyDescent="0.3">
      <c r="A9166" t="s">
        <v>65</v>
      </c>
      <c r="G9166">
        <v>44719</v>
      </c>
      <c r="H9166">
        <v>2022</v>
      </c>
      <c r="I9166" t="s">
        <v>47</v>
      </c>
    </row>
    <row r="9167" spans="1:9" x14ac:dyDescent="0.3">
      <c r="A9167" t="s">
        <v>18</v>
      </c>
      <c r="C9167">
        <v>99000</v>
      </c>
      <c r="G9167">
        <v>44719</v>
      </c>
      <c r="H9167">
        <v>2022</v>
      </c>
      <c r="I9167" t="s">
        <v>47</v>
      </c>
    </row>
    <row r="9168" spans="1:9" x14ac:dyDescent="0.3">
      <c r="A9168" t="s">
        <v>16</v>
      </c>
      <c r="G9168">
        <v>44719</v>
      </c>
      <c r="H9168">
        <v>2022</v>
      </c>
      <c r="I9168" t="s">
        <v>47</v>
      </c>
    </row>
    <row r="9169" spans="1:9" x14ac:dyDescent="0.3">
      <c r="A9169" t="s">
        <v>20</v>
      </c>
      <c r="G9169">
        <v>44720</v>
      </c>
      <c r="H9169">
        <v>2022</v>
      </c>
      <c r="I9169" t="s">
        <v>47</v>
      </c>
    </row>
    <row r="9170" spans="1:9" x14ac:dyDescent="0.3">
      <c r="A9170" t="s">
        <v>37</v>
      </c>
      <c r="G9170">
        <v>44720</v>
      </c>
      <c r="H9170">
        <v>2022</v>
      </c>
      <c r="I9170" t="s">
        <v>47</v>
      </c>
    </row>
    <row r="9171" spans="1:9" x14ac:dyDescent="0.3">
      <c r="A9171" t="s">
        <v>17</v>
      </c>
      <c r="G9171">
        <v>44720</v>
      </c>
      <c r="H9171">
        <v>2022</v>
      </c>
      <c r="I9171" t="s">
        <v>47</v>
      </c>
    </row>
    <row r="9172" spans="1:9" x14ac:dyDescent="0.3">
      <c r="A9172" t="s">
        <v>0</v>
      </c>
      <c r="G9172">
        <v>44720</v>
      </c>
      <c r="H9172">
        <v>2022</v>
      </c>
      <c r="I9172" t="s">
        <v>47</v>
      </c>
    </row>
    <row r="9173" spans="1:9" x14ac:dyDescent="0.3">
      <c r="A9173" t="s">
        <v>25</v>
      </c>
      <c r="C9173">
        <v>162000</v>
      </c>
      <c r="G9173">
        <v>44720</v>
      </c>
      <c r="H9173">
        <v>2022</v>
      </c>
      <c r="I9173" t="s">
        <v>47</v>
      </c>
    </row>
    <row r="9174" spans="1:9" x14ac:dyDescent="0.3">
      <c r="A9174" t="s">
        <v>15</v>
      </c>
      <c r="G9174">
        <v>44720</v>
      </c>
      <c r="H9174">
        <v>2022</v>
      </c>
      <c r="I9174" t="s">
        <v>47</v>
      </c>
    </row>
    <row r="9175" spans="1:9" x14ac:dyDescent="0.3">
      <c r="A9175" t="s">
        <v>54</v>
      </c>
      <c r="B9175">
        <v>108000</v>
      </c>
      <c r="G9175">
        <v>44720</v>
      </c>
      <c r="H9175">
        <v>2022</v>
      </c>
      <c r="I9175" t="s">
        <v>47</v>
      </c>
    </row>
    <row r="9176" spans="1:9" x14ac:dyDescent="0.3">
      <c r="A9176" t="s">
        <v>26</v>
      </c>
      <c r="G9176">
        <v>44720</v>
      </c>
      <c r="H9176">
        <v>2022</v>
      </c>
      <c r="I9176" t="s">
        <v>47</v>
      </c>
    </row>
    <row r="9177" spans="1:9" x14ac:dyDescent="0.3">
      <c r="A9177" t="s">
        <v>22</v>
      </c>
      <c r="G9177">
        <v>44720</v>
      </c>
      <c r="H9177">
        <v>2022</v>
      </c>
      <c r="I9177" t="s">
        <v>47</v>
      </c>
    </row>
    <row r="9178" spans="1:9" x14ac:dyDescent="0.3">
      <c r="A9178" t="s">
        <v>61</v>
      </c>
      <c r="G9178">
        <v>44720</v>
      </c>
      <c r="H9178">
        <v>2022</v>
      </c>
      <c r="I9178" t="s">
        <v>47</v>
      </c>
    </row>
    <row r="9179" spans="1:9" x14ac:dyDescent="0.3">
      <c r="A9179" t="s">
        <v>19</v>
      </c>
      <c r="B9179">
        <v>54000</v>
      </c>
      <c r="C9179">
        <v>270000</v>
      </c>
      <c r="D9179">
        <v>648000</v>
      </c>
      <c r="G9179">
        <v>44720</v>
      </c>
      <c r="H9179">
        <v>2022</v>
      </c>
      <c r="I9179" t="s">
        <v>47</v>
      </c>
    </row>
    <row r="9180" spans="1:9" x14ac:dyDescent="0.3">
      <c r="A9180" t="s">
        <v>14</v>
      </c>
      <c r="D9180">
        <v>270000</v>
      </c>
      <c r="G9180">
        <v>44720</v>
      </c>
      <c r="H9180">
        <v>2022</v>
      </c>
      <c r="I9180" t="s">
        <v>47</v>
      </c>
    </row>
    <row r="9181" spans="1:9" x14ac:dyDescent="0.3">
      <c r="A9181" t="s">
        <v>24</v>
      </c>
      <c r="G9181">
        <v>44720</v>
      </c>
      <c r="H9181">
        <v>2022</v>
      </c>
      <c r="I9181" t="s">
        <v>47</v>
      </c>
    </row>
    <row r="9182" spans="1:9" x14ac:dyDescent="0.3">
      <c r="A9182" t="s">
        <v>21</v>
      </c>
      <c r="G9182">
        <v>44720</v>
      </c>
      <c r="H9182">
        <v>2022</v>
      </c>
      <c r="I9182" t="s">
        <v>47</v>
      </c>
    </row>
    <row r="9183" spans="1:9" x14ac:dyDescent="0.3">
      <c r="A9183" t="s">
        <v>65</v>
      </c>
      <c r="G9183">
        <v>44720</v>
      </c>
      <c r="H9183">
        <v>2022</v>
      </c>
      <c r="I9183" t="s">
        <v>47</v>
      </c>
    </row>
    <row r="9184" spans="1:9" x14ac:dyDescent="0.3">
      <c r="A9184" t="s">
        <v>18</v>
      </c>
      <c r="G9184">
        <v>44720</v>
      </c>
      <c r="H9184">
        <v>2022</v>
      </c>
      <c r="I9184" t="s">
        <v>47</v>
      </c>
    </row>
    <row r="9185" spans="1:9" x14ac:dyDescent="0.3">
      <c r="A9185" t="s">
        <v>16</v>
      </c>
      <c r="G9185">
        <v>44720</v>
      </c>
      <c r="H9185">
        <v>2022</v>
      </c>
      <c r="I9185" t="s">
        <v>47</v>
      </c>
    </row>
    <row r="9186" spans="1:9" x14ac:dyDescent="0.3">
      <c r="A9186" t="s">
        <v>20</v>
      </c>
      <c r="G9186">
        <v>44721</v>
      </c>
      <c r="H9186">
        <v>2022</v>
      </c>
      <c r="I9186" t="s">
        <v>47</v>
      </c>
    </row>
    <row r="9187" spans="1:9" x14ac:dyDescent="0.3">
      <c r="A9187" t="s">
        <v>37</v>
      </c>
      <c r="G9187">
        <v>44721</v>
      </c>
      <c r="H9187">
        <v>2022</v>
      </c>
      <c r="I9187" t="s">
        <v>47</v>
      </c>
    </row>
    <row r="9188" spans="1:9" x14ac:dyDescent="0.3">
      <c r="A9188" t="s">
        <v>17</v>
      </c>
      <c r="G9188">
        <v>44721</v>
      </c>
      <c r="H9188">
        <v>2022</v>
      </c>
      <c r="I9188" t="s">
        <v>47</v>
      </c>
    </row>
    <row r="9189" spans="1:9" x14ac:dyDescent="0.3">
      <c r="A9189" t="s">
        <v>0</v>
      </c>
      <c r="G9189">
        <v>44721</v>
      </c>
      <c r="H9189">
        <v>2022</v>
      </c>
      <c r="I9189" t="s">
        <v>47</v>
      </c>
    </row>
    <row r="9190" spans="1:9" x14ac:dyDescent="0.3">
      <c r="A9190" t="s">
        <v>25</v>
      </c>
      <c r="G9190">
        <v>44721</v>
      </c>
      <c r="H9190">
        <v>2022</v>
      </c>
      <c r="I9190" t="s">
        <v>47</v>
      </c>
    </row>
    <row r="9191" spans="1:9" x14ac:dyDescent="0.3">
      <c r="A9191" t="s">
        <v>15</v>
      </c>
      <c r="D9191">
        <v>90000</v>
      </c>
      <c r="G9191">
        <v>44721</v>
      </c>
      <c r="H9191">
        <v>2022</v>
      </c>
      <c r="I9191" t="s">
        <v>47</v>
      </c>
    </row>
    <row r="9192" spans="1:9" x14ac:dyDescent="0.3">
      <c r="A9192" t="s">
        <v>54</v>
      </c>
      <c r="C9192">
        <v>54000</v>
      </c>
      <c r="G9192">
        <v>44721</v>
      </c>
      <c r="H9192">
        <v>2022</v>
      </c>
      <c r="I9192" t="s">
        <v>47</v>
      </c>
    </row>
    <row r="9193" spans="1:9" x14ac:dyDescent="0.3">
      <c r="A9193" t="s">
        <v>26</v>
      </c>
      <c r="G9193">
        <v>44721</v>
      </c>
      <c r="H9193">
        <v>2022</v>
      </c>
      <c r="I9193" t="s">
        <v>47</v>
      </c>
    </row>
    <row r="9194" spans="1:9" x14ac:dyDescent="0.3">
      <c r="A9194" t="s">
        <v>22</v>
      </c>
      <c r="G9194">
        <v>44721</v>
      </c>
      <c r="H9194">
        <v>2022</v>
      </c>
      <c r="I9194" t="s">
        <v>47</v>
      </c>
    </row>
    <row r="9195" spans="1:9" x14ac:dyDescent="0.3">
      <c r="A9195" t="s">
        <v>61</v>
      </c>
      <c r="G9195">
        <v>44721</v>
      </c>
      <c r="H9195">
        <v>2022</v>
      </c>
      <c r="I9195" t="s">
        <v>47</v>
      </c>
    </row>
    <row r="9196" spans="1:9" x14ac:dyDescent="0.3">
      <c r="A9196" t="s">
        <v>19</v>
      </c>
      <c r="B9196">
        <v>54000</v>
      </c>
      <c r="G9196">
        <v>44721</v>
      </c>
      <c r="H9196">
        <v>2022</v>
      </c>
      <c r="I9196" t="s">
        <v>47</v>
      </c>
    </row>
    <row r="9197" spans="1:9" x14ac:dyDescent="0.3">
      <c r="A9197" t="s">
        <v>14</v>
      </c>
      <c r="D9197">
        <v>270000</v>
      </c>
      <c r="G9197">
        <v>44721</v>
      </c>
      <c r="H9197">
        <v>2022</v>
      </c>
      <c r="I9197" t="s">
        <v>47</v>
      </c>
    </row>
    <row r="9198" spans="1:9" x14ac:dyDescent="0.3">
      <c r="A9198" t="s">
        <v>24</v>
      </c>
      <c r="G9198">
        <v>44721</v>
      </c>
      <c r="H9198">
        <v>2022</v>
      </c>
      <c r="I9198" t="s">
        <v>47</v>
      </c>
    </row>
    <row r="9199" spans="1:9" x14ac:dyDescent="0.3">
      <c r="A9199" t="s">
        <v>21</v>
      </c>
      <c r="G9199">
        <v>44721</v>
      </c>
      <c r="H9199">
        <v>2022</v>
      </c>
      <c r="I9199" t="s">
        <v>47</v>
      </c>
    </row>
    <row r="9200" spans="1:9" x14ac:dyDescent="0.3">
      <c r="A9200" t="s">
        <v>65</v>
      </c>
      <c r="G9200">
        <v>44721</v>
      </c>
      <c r="H9200">
        <v>2022</v>
      </c>
      <c r="I9200" t="s">
        <v>47</v>
      </c>
    </row>
    <row r="9201" spans="1:9" x14ac:dyDescent="0.3">
      <c r="A9201" t="s">
        <v>18</v>
      </c>
      <c r="G9201">
        <v>44721</v>
      </c>
      <c r="H9201">
        <v>2022</v>
      </c>
      <c r="I9201" t="s">
        <v>47</v>
      </c>
    </row>
    <row r="9202" spans="1:9" x14ac:dyDescent="0.3">
      <c r="A9202" t="s">
        <v>16</v>
      </c>
      <c r="G9202">
        <v>44721</v>
      </c>
      <c r="H9202">
        <v>2022</v>
      </c>
      <c r="I9202" t="s">
        <v>47</v>
      </c>
    </row>
    <row r="9203" spans="1:9" x14ac:dyDescent="0.3">
      <c r="A9203" t="s">
        <v>20</v>
      </c>
      <c r="G9203">
        <v>44722</v>
      </c>
      <c r="H9203">
        <v>2022</v>
      </c>
      <c r="I9203" t="s">
        <v>47</v>
      </c>
    </row>
    <row r="9204" spans="1:9" x14ac:dyDescent="0.3">
      <c r="A9204" t="s">
        <v>37</v>
      </c>
      <c r="G9204">
        <v>44722</v>
      </c>
      <c r="H9204">
        <v>2022</v>
      </c>
      <c r="I9204" t="s">
        <v>47</v>
      </c>
    </row>
    <row r="9205" spans="1:9" x14ac:dyDescent="0.3">
      <c r="A9205" t="s">
        <v>17</v>
      </c>
      <c r="B9205">
        <v>648000</v>
      </c>
      <c r="D9205">
        <v>432000</v>
      </c>
      <c r="G9205">
        <v>44722</v>
      </c>
      <c r="H9205">
        <v>2022</v>
      </c>
      <c r="I9205" t="s">
        <v>47</v>
      </c>
    </row>
    <row r="9206" spans="1:9" x14ac:dyDescent="0.3">
      <c r="A9206" t="s">
        <v>0</v>
      </c>
      <c r="G9206">
        <v>44722</v>
      </c>
      <c r="H9206">
        <v>2022</v>
      </c>
      <c r="I9206" t="s">
        <v>47</v>
      </c>
    </row>
    <row r="9207" spans="1:9" x14ac:dyDescent="0.3">
      <c r="A9207" t="s">
        <v>25</v>
      </c>
      <c r="G9207">
        <v>44722</v>
      </c>
      <c r="H9207">
        <v>2022</v>
      </c>
      <c r="I9207" t="s">
        <v>47</v>
      </c>
    </row>
    <row r="9208" spans="1:9" x14ac:dyDescent="0.3">
      <c r="A9208" t="s">
        <v>15</v>
      </c>
      <c r="G9208">
        <v>44722</v>
      </c>
      <c r="H9208">
        <v>2022</v>
      </c>
      <c r="I9208" t="s">
        <v>47</v>
      </c>
    </row>
    <row r="9209" spans="1:9" x14ac:dyDescent="0.3">
      <c r="A9209" t="s">
        <v>54</v>
      </c>
      <c r="G9209">
        <v>44722</v>
      </c>
      <c r="H9209">
        <v>2022</v>
      </c>
      <c r="I9209" t="s">
        <v>47</v>
      </c>
    </row>
    <row r="9210" spans="1:9" x14ac:dyDescent="0.3">
      <c r="A9210" t="s">
        <v>26</v>
      </c>
      <c r="G9210">
        <v>44722</v>
      </c>
      <c r="H9210">
        <v>2022</v>
      </c>
      <c r="I9210" t="s">
        <v>47</v>
      </c>
    </row>
    <row r="9211" spans="1:9" x14ac:dyDescent="0.3">
      <c r="A9211" t="s">
        <v>22</v>
      </c>
      <c r="G9211">
        <v>44722</v>
      </c>
      <c r="H9211">
        <v>2022</v>
      </c>
      <c r="I9211" t="s">
        <v>47</v>
      </c>
    </row>
    <row r="9212" spans="1:9" x14ac:dyDescent="0.3">
      <c r="A9212" t="s">
        <v>61</v>
      </c>
      <c r="G9212">
        <v>44722</v>
      </c>
      <c r="H9212">
        <v>2022</v>
      </c>
      <c r="I9212" t="s">
        <v>47</v>
      </c>
    </row>
    <row r="9213" spans="1:9" x14ac:dyDescent="0.3">
      <c r="A9213" t="s">
        <v>19</v>
      </c>
      <c r="G9213">
        <v>44722</v>
      </c>
      <c r="H9213">
        <v>2022</v>
      </c>
      <c r="I9213" t="s">
        <v>47</v>
      </c>
    </row>
    <row r="9214" spans="1:9" x14ac:dyDescent="0.3">
      <c r="A9214" t="s">
        <v>14</v>
      </c>
      <c r="G9214">
        <v>44722</v>
      </c>
      <c r="H9214">
        <v>2022</v>
      </c>
      <c r="I9214" t="s">
        <v>47</v>
      </c>
    </row>
    <row r="9215" spans="1:9" x14ac:dyDescent="0.3">
      <c r="A9215" t="s">
        <v>24</v>
      </c>
      <c r="G9215">
        <v>44722</v>
      </c>
      <c r="H9215">
        <v>2022</v>
      </c>
      <c r="I9215" t="s">
        <v>47</v>
      </c>
    </row>
    <row r="9216" spans="1:9" x14ac:dyDescent="0.3">
      <c r="A9216" t="s">
        <v>21</v>
      </c>
      <c r="G9216">
        <v>44722</v>
      </c>
      <c r="H9216">
        <v>2022</v>
      </c>
      <c r="I9216" t="s">
        <v>47</v>
      </c>
    </row>
    <row r="9217" spans="1:9" x14ac:dyDescent="0.3">
      <c r="A9217" t="s">
        <v>65</v>
      </c>
      <c r="G9217">
        <v>44722</v>
      </c>
      <c r="H9217">
        <v>2022</v>
      </c>
      <c r="I9217" t="s">
        <v>47</v>
      </c>
    </row>
    <row r="9218" spans="1:9" x14ac:dyDescent="0.3">
      <c r="A9218" t="s">
        <v>18</v>
      </c>
      <c r="G9218">
        <v>44722</v>
      </c>
      <c r="H9218">
        <v>2022</v>
      </c>
      <c r="I9218" t="s">
        <v>47</v>
      </c>
    </row>
    <row r="9219" spans="1:9" x14ac:dyDescent="0.3">
      <c r="A9219" t="s">
        <v>16</v>
      </c>
      <c r="G9219">
        <v>44722</v>
      </c>
      <c r="H9219">
        <v>2022</v>
      </c>
      <c r="I9219" t="s">
        <v>47</v>
      </c>
    </row>
    <row r="9220" spans="1:9" x14ac:dyDescent="0.3">
      <c r="A9220" t="s">
        <v>20</v>
      </c>
      <c r="G9220">
        <v>44725</v>
      </c>
      <c r="H9220">
        <v>2022</v>
      </c>
      <c r="I9220" t="s">
        <v>47</v>
      </c>
    </row>
    <row r="9221" spans="1:9" x14ac:dyDescent="0.3">
      <c r="A9221" t="s">
        <v>37</v>
      </c>
      <c r="G9221">
        <v>44725</v>
      </c>
      <c r="H9221">
        <v>2022</v>
      </c>
      <c r="I9221" t="s">
        <v>47</v>
      </c>
    </row>
    <row r="9222" spans="1:9" x14ac:dyDescent="0.3">
      <c r="A9222" t="s">
        <v>17</v>
      </c>
      <c r="B9222">
        <v>103500</v>
      </c>
      <c r="D9222">
        <v>157500</v>
      </c>
      <c r="G9222">
        <v>44725</v>
      </c>
      <c r="H9222">
        <v>2022</v>
      </c>
      <c r="I9222" t="s">
        <v>47</v>
      </c>
    </row>
    <row r="9223" spans="1:9" x14ac:dyDescent="0.3">
      <c r="A9223" t="s">
        <v>0</v>
      </c>
      <c r="G9223">
        <v>44725</v>
      </c>
      <c r="H9223">
        <v>2022</v>
      </c>
      <c r="I9223" t="s">
        <v>47</v>
      </c>
    </row>
    <row r="9224" spans="1:9" x14ac:dyDescent="0.3">
      <c r="A9224" t="s">
        <v>25</v>
      </c>
      <c r="G9224">
        <v>44725</v>
      </c>
      <c r="H9224">
        <v>2022</v>
      </c>
      <c r="I9224" t="s">
        <v>47</v>
      </c>
    </row>
    <row r="9225" spans="1:9" x14ac:dyDescent="0.3">
      <c r="A9225" t="s">
        <v>15</v>
      </c>
      <c r="D9225">
        <v>45000</v>
      </c>
      <c r="G9225">
        <v>44725</v>
      </c>
      <c r="H9225">
        <v>2022</v>
      </c>
      <c r="I9225" t="s">
        <v>47</v>
      </c>
    </row>
    <row r="9226" spans="1:9" x14ac:dyDescent="0.3">
      <c r="A9226" t="s">
        <v>54</v>
      </c>
      <c r="G9226">
        <v>44725</v>
      </c>
      <c r="H9226">
        <v>2022</v>
      </c>
      <c r="I9226" t="s">
        <v>47</v>
      </c>
    </row>
    <row r="9227" spans="1:9" x14ac:dyDescent="0.3">
      <c r="A9227" t="s">
        <v>26</v>
      </c>
      <c r="D9227">
        <v>45000</v>
      </c>
      <c r="G9227">
        <v>44725</v>
      </c>
      <c r="H9227">
        <v>2022</v>
      </c>
      <c r="I9227" t="s">
        <v>47</v>
      </c>
    </row>
    <row r="9228" spans="1:9" x14ac:dyDescent="0.3">
      <c r="A9228" t="s">
        <v>22</v>
      </c>
      <c r="G9228">
        <v>44725</v>
      </c>
      <c r="H9228">
        <v>2022</v>
      </c>
      <c r="I9228" t="s">
        <v>47</v>
      </c>
    </row>
    <row r="9229" spans="1:9" x14ac:dyDescent="0.3">
      <c r="A9229" t="s">
        <v>61</v>
      </c>
      <c r="G9229">
        <v>44725</v>
      </c>
      <c r="H9229">
        <v>2022</v>
      </c>
      <c r="I9229" t="s">
        <v>47</v>
      </c>
    </row>
    <row r="9230" spans="1:9" x14ac:dyDescent="0.3">
      <c r="A9230" t="s">
        <v>19</v>
      </c>
      <c r="G9230">
        <v>44725</v>
      </c>
      <c r="H9230">
        <v>2022</v>
      </c>
      <c r="I9230" t="s">
        <v>47</v>
      </c>
    </row>
    <row r="9231" spans="1:9" x14ac:dyDescent="0.3">
      <c r="A9231" t="s">
        <v>14</v>
      </c>
      <c r="G9231">
        <v>44725</v>
      </c>
      <c r="H9231">
        <v>2022</v>
      </c>
      <c r="I9231" t="s">
        <v>47</v>
      </c>
    </row>
    <row r="9232" spans="1:9" x14ac:dyDescent="0.3">
      <c r="A9232" t="s">
        <v>24</v>
      </c>
      <c r="G9232">
        <v>44725</v>
      </c>
      <c r="H9232">
        <v>2022</v>
      </c>
      <c r="I9232" t="s">
        <v>47</v>
      </c>
    </row>
    <row r="9233" spans="1:9" x14ac:dyDescent="0.3">
      <c r="A9233" t="s">
        <v>21</v>
      </c>
      <c r="G9233">
        <v>44725</v>
      </c>
      <c r="H9233">
        <v>2022</v>
      </c>
      <c r="I9233" t="s">
        <v>47</v>
      </c>
    </row>
    <row r="9234" spans="1:9" x14ac:dyDescent="0.3">
      <c r="A9234" t="s">
        <v>65</v>
      </c>
      <c r="G9234">
        <v>44725</v>
      </c>
      <c r="H9234">
        <v>2022</v>
      </c>
      <c r="I9234" t="s">
        <v>47</v>
      </c>
    </row>
    <row r="9235" spans="1:9" x14ac:dyDescent="0.3">
      <c r="A9235" t="s">
        <v>18</v>
      </c>
      <c r="G9235">
        <v>44725</v>
      </c>
      <c r="H9235">
        <v>2022</v>
      </c>
      <c r="I9235" t="s">
        <v>47</v>
      </c>
    </row>
    <row r="9236" spans="1:9" x14ac:dyDescent="0.3">
      <c r="A9236" t="s">
        <v>16</v>
      </c>
      <c r="G9236">
        <v>44725</v>
      </c>
      <c r="H9236">
        <v>2022</v>
      </c>
      <c r="I9236" t="s">
        <v>47</v>
      </c>
    </row>
    <row r="9237" spans="1:9" x14ac:dyDescent="0.3">
      <c r="A9237" t="s">
        <v>20</v>
      </c>
      <c r="G9237">
        <v>44726</v>
      </c>
      <c r="H9237">
        <v>2022</v>
      </c>
      <c r="I9237" t="s">
        <v>47</v>
      </c>
    </row>
    <row r="9238" spans="1:9" x14ac:dyDescent="0.3">
      <c r="A9238" t="s">
        <v>37</v>
      </c>
      <c r="G9238">
        <v>44726</v>
      </c>
      <c r="H9238">
        <v>2022</v>
      </c>
      <c r="I9238" t="s">
        <v>47</v>
      </c>
    </row>
    <row r="9239" spans="1:9" x14ac:dyDescent="0.3">
      <c r="A9239" t="s">
        <v>17</v>
      </c>
      <c r="G9239">
        <v>44726</v>
      </c>
      <c r="H9239">
        <v>2022</v>
      </c>
      <c r="I9239" t="s">
        <v>47</v>
      </c>
    </row>
    <row r="9240" spans="1:9" x14ac:dyDescent="0.3">
      <c r="A9240" t="s">
        <v>0</v>
      </c>
      <c r="B9240">
        <v>1998000</v>
      </c>
      <c r="G9240">
        <v>44726</v>
      </c>
      <c r="H9240">
        <v>2022</v>
      </c>
      <c r="I9240" t="s">
        <v>47</v>
      </c>
    </row>
    <row r="9241" spans="1:9" x14ac:dyDescent="0.3">
      <c r="A9241" t="s">
        <v>25</v>
      </c>
      <c r="G9241">
        <v>44726</v>
      </c>
      <c r="H9241">
        <v>2022</v>
      </c>
      <c r="I9241" t="s">
        <v>47</v>
      </c>
    </row>
    <row r="9242" spans="1:9" x14ac:dyDescent="0.3">
      <c r="A9242" t="s">
        <v>15</v>
      </c>
      <c r="G9242">
        <v>44726</v>
      </c>
      <c r="H9242">
        <v>2022</v>
      </c>
      <c r="I9242" t="s">
        <v>47</v>
      </c>
    </row>
    <row r="9243" spans="1:9" x14ac:dyDescent="0.3">
      <c r="A9243" t="s">
        <v>54</v>
      </c>
      <c r="G9243">
        <v>44726</v>
      </c>
      <c r="H9243">
        <v>2022</v>
      </c>
      <c r="I9243" t="s">
        <v>47</v>
      </c>
    </row>
    <row r="9244" spans="1:9" x14ac:dyDescent="0.3">
      <c r="A9244" t="s">
        <v>26</v>
      </c>
      <c r="G9244">
        <v>44726</v>
      </c>
      <c r="H9244">
        <v>2022</v>
      </c>
      <c r="I9244" t="s">
        <v>47</v>
      </c>
    </row>
    <row r="9245" spans="1:9" x14ac:dyDescent="0.3">
      <c r="A9245" t="s">
        <v>22</v>
      </c>
      <c r="G9245">
        <v>44726</v>
      </c>
      <c r="H9245">
        <v>2022</v>
      </c>
      <c r="I9245" t="s">
        <v>47</v>
      </c>
    </row>
    <row r="9246" spans="1:9" x14ac:dyDescent="0.3">
      <c r="A9246" t="s">
        <v>61</v>
      </c>
      <c r="G9246">
        <v>44726</v>
      </c>
      <c r="H9246">
        <v>2022</v>
      </c>
      <c r="I9246" t="s">
        <v>47</v>
      </c>
    </row>
    <row r="9247" spans="1:9" x14ac:dyDescent="0.3">
      <c r="A9247" t="s">
        <v>19</v>
      </c>
      <c r="G9247">
        <v>44726</v>
      </c>
      <c r="H9247">
        <v>2022</v>
      </c>
      <c r="I9247" t="s">
        <v>47</v>
      </c>
    </row>
    <row r="9248" spans="1:9" x14ac:dyDescent="0.3">
      <c r="A9248" t="s">
        <v>14</v>
      </c>
      <c r="C9248">
        <v>270000</v>
      </c>
      <c r="G9248">
        <v>44726</v>
      </c>
      <c r="H9248">
        <v>2022</v>
      </c>
      <c r="I9248" t="s">
        <v>47</v>
      </c>
    </row>
    <row r="9249" spans="1:9" x14ac:dyDescent="0.3">
      <c r="A9249" t="s">
        <v>24</v>
      </c>
      <c r="G9249">
        <v>44726</v>
      </c>
      <c r="H9249">
        <v>2022</v>
      </c>
      <c r="I9249" t="s">
        <v>47</v>
      </c>
    </row>
    <row r="9250" spans="1:9" x14ac:dyDescent="0.3">
      <c r="A9250" t="s">
        <v>21</v>
      </c>
      <c r="G9250">
        <v>44726</v>
      </c>
      <c r="H9250">
        <v>2022</v>
      </c>
      <c r="I9250" t="s">
        <v>47</v>
      </c>
    </row>
    <row r="9251" spans="1:9" x14ac:dyDescent="0.3">
      <c r="A9251" t="s">
        <v>65</v>
      </c>
      <c r="G9251">
        <v>44726</v>
      </c>
      <c r="H9251">
        <v>2022</v>
      </c>
      <c r="I9251" t="s">
        <v>47</v>
      </c>
    </row>
    <row r="9252" spans="1:9" x14ac:dyDescent="0.3">
      <c r="A9252" t="s">
        <v>18</v>
      </c>
      <c r="G9252">
        <v>44726</v>
      </c>
      <c r="H9252">
        <v>2022</v>
      </c>
      <c r="I9252" t="s">
        <v>47</v>
      </c>
    </row>
    <row r="9253" spans="1:9" x14ac:dyDescent="0.3">
      <c r="A9253" t="s">
        <v>16</v>
      </c>
      <c r="G9253">
        <v>44726</v>
      </c>
      <c r="H9253">
        <v>2022</v>
      </c>
      <c r="I9253" t="s">
        <v>47</v>
      </c>
    </row>
    <row r="9254" spans="1:9" x14ac:dyDescent="0.3">
      <c r="A9254" t="s">
        <v>20</v>
      </c>
      <c r="G9254">
        <v>44727</v>
      </c>
      <c r="H9254">
        <v>2022</v>
      </c>
      <c r="I9254" t="s">
        <v>47</v>
      </c>
    </row>
    <row r="9255" spans="1:9" x14ac:dyDescent="0.3">
      <c r="A9255" t="s">
        <v>37</v>
      </c>
      <c r="G9255">
        <v>44727</v>
      </c>
      <c r="H9255">
        <v>2022</v>
      </c>
      <c r="I9255" t="s">
        <v>47</v>
      </c>
    </row>
    <row r="9256" spans="1:9" x14ac:dyDescent="0.3">
      <c r="A9256" t="s">
        <v>17</v>
      </c>
      <c r="G9256">
        <v>44727</v>
      </c>
      <c r="H9256">
        <v>2022</v>
      </c>
      <c r="I9256" t="s">
        <v>47</v>
      </c>
    </row>
    <row r="9257" spans="1:9" x14ac:dyDescent="0.3">
      <c r="A9257" t="s">
        <v>0</v>
      </c>
      <c r="G9257">
        <v>44727</v>
      </c>
      <c r="H9257">
        <v>2022</v>
      </c>
      <c r="I9257" t="s">
        <v>47</v>
      </c>
    </row>
    <row r="9258" spans="1:9" x14ac:dyDescent="0.3">
      <c r="A9258" t="s">
        <v>25</v>
      </c>
      <c r="G9258">
        <v>44727</v>
      </c>
      <c r="H9258">
        <v>2022</v>
      </c>
      <c r="I9258" t="s">
        <v>47</v>
      </c>
    </row>
    <row r="9259" spans="1:9" x14ac:dyDescent="0.3">
      <c r="A9259" t="s">
        <v>15</v>
      </c>
      <c r="G9259">
        <v>44727</v>
      </c>
      <c r="H9259">
        <v>2022</v>
      </c>
      <c r="I9259" t="s">
        <v>47</v>
      </c>
    </row>
    <row r="9260" spans="1:9" x14ac:dyDescent="0.3">
      <c r="A9260" t="s">
        <v>54</v>
      </c>
      <c r="G9260">
        <v>44727</v>
      </c>
      <c r="H9260">
        <v>2022</v>
      </c>
      <c r="I9260" t="s">
        <v>47</v>
      </c>
    </row>
    <row r="9261" spans="1:9" x14ac:dyDescent="0.3">
      <c r="A9261" t="s">
        <v>26</v>
      </c>
      <c r="C9261">
        <v>108000</v>
      </c>
      <c r="E9261">
        <v>108000</v>
      </c>
      <c r="G9261">
        <v>44727</v>
      </c>
      <c r="H9261">
        <v>2022</v>
      </c>
      <c r="I9261" t="s">
        <v>47</v>
      </c>
    </row>
    <row r="9262" spans="1:9" x14ac:dyDescent="0.3">
      <c r="A9262" t="s">
        <v>22</v>
      </c>
      <c r="G9262">
        <v>44727</v>
      </c>
      <c r="H9262">
        <v>2022</v>
      </c>
      <c r="I9262" t="s">
        <v>47</v>
      </c>
    </row>
    <row r="9263" spans="1:9" x14ac:dyDescent="0.3">
      <c r="A9263" t="s">
        <v>61</v>
      </c>
      <c r="G9263">
        <v>44727</v>
      </c>
      <c r="H9263">
        <v>2022</v>
      </c>
      <c r="I9263" t="s">
        <v>47</v>
      </c>
    </row>
    <row r="9264" spans="1:9" x14ac:dyDescent="0.3">
      <c r="A9264" t="s">
        <v>19</v>
      </c>
      <c r="C9264">
        <v>486000</v>
      </c>
      <c r="G9264">
        <v>44727</v>
      </c>
      <c r="H9264">
        <v>2022</v>
      </c>
      <c r="I9264" t="s">
        <v>47</v>
      </c>
    </row>
    <row r="9265" spans="1:9" x14ac:dyDescent="0.3">
      <c r="A9265" t="s">
        <v>14</v>
      </c>
      <c r="C9265">
        <v>486000</v>
      </c>
      <c r="G9265">
        <v>44727</v>
      </c>
      <c r="H9265">
        <v>2022</v>
      </c>
      <c r="I9265" t="s">
        <v>47</v>
      </c>
    </row>
    <row r="9266" spans="1:9" x14ac:dyDescent="0.3">
      <c r="A9266" t="s">
        <v>24</v>
      </c>
      <c r="G9266">
        <v>44727</v>
      </c>
      <c r="H9266">
        <v>2022</v>
      </c>
      <c r="I9266" t="s">
        <v>47</v>
      </c>
    </row>
    <row r="9267" spans="1:9" x14ac:dyDescent="0.3">
      <c r="A9267" t="s">
        <v>21</v>
      </c>
      <c r="G9267">
        <v>44727</v>
      </c>
      <c r="H9267">
        <v>2022</v>
      </c>
      <c r="I9267" t="s">
        <v>47</v>
      </c>
    </row>
    <row r="9268" spans="1:9" x14ac:dyDescent="0.3">
      <c r="A9268" t="s">
        <v>65</v>
      </c>
      <c r="G9268">
        <v>44727</v>
      </c>
      <c r="H9268">
        <v>2022</v>
      </c>
      <c r="I9268" t="s">
        <v>47</v>
      </c>
    </row>
    <row r="9269" spans="1:9" x14ac:dyDescent="0.3">
      <c r="A9269" t="s">
        <v>18</v>
      </c>
      <c r="G9269">
        <v>44727</v>
      </c>
      <c r="H9269">
        <v>2022</v>
      </c>
      <c r="I9269" t="s">
        <v>47</v>
      </c>
    </row>
    <row r="9270" spans="1:9" x14ac:dyDescent="0.3">
      <c r="A9270" t="s">
        <v>16</v>
      </c>
      <c r="G9270">
        <v>44727</v>
      </c>
      <c r="H9270">
        <v>2022</v>
      </c>
      <c r="I9270" t="s">
        <v>47</v>
      </c>
    </row>
    <row r="9271" spans="1:9" x14ac:dyDescent="0.3">
      <c r="A9271" t="s">
        <v>20</v>
      </c>
      <c r="G9271">
        <v>44728</v>
      </c>
      <c r="H9271">
        <v>2022</v>
      </c>
      <c r="I9271" t="s">
        <v>47</v>
      </c>
    </row>
    <row r="9272" spans="1:9" x14ac:dyDescent="0.3">
      <c r="A9272" t="s">
        <v>37</v>
      </c>
      <c r="G9272">
        <v>44728</v>
      </c>
      <c r="H9272">
        <v>2022</v>
      </c>
      <c r="I9272" t="s">
        <v>47</v>
      </c>
    </row>
    <row r="9273" spans="1:9" x14ac:dyDescent="0.3">
      <c r="A9273" t="s">
        <v>17</v>
      </c>
      <c r="G9273">
        <v>44728</v>
      </c>
      <c r="H9273">
        <v>2022</v>
      </c>
      <c r="I9273" t="s">
        <v>47</v>
      </c>
    </row>
    <row r="9274" spans="1:9" x14ac:dyDescent="0.3">
      <c r="A9274" t="s">
        <v>0</v>
      </c>
      <c r="G9274">
        <v>44728</v>
      </c>
      <c r="H9274">
        <v>2022</v>
      </c>
      <c r="I9274" t="s">
        <v>47</v>
      </c>
    </row>
    <row r="9275" spans="1:9" x14ac:dyDescent="0.3">
      <c r="A9275" t="s">
        <v>25</v>
      </c>
      <c r="G9275">
        <v>44728</v>
      </c>
      <c r="H9275">
        <v>2022</v>
      </c>
      <c r="I9275" t="s">
        <v>47</v>
      </c>
    </row>
    <row r="9276" spans="1:9" x14ac:dyDescent="0.3">
      <c r="A9276" t="s">
        <v>15</v>
      </c>
      <c r="G9276">
        <v>44728</v>
      </c>
      <c r="H9276">
        <v>2022</v>
      </c>
      <c r="I9276" t="s">
        <v>47</v>
      </c>
    </row>
    <row r="9277" spans="1:9" x14ac:dyDescent="0.3">
      <c r="A9277" t="s">
        <v>54</v>
      </c>
      <c r="B9277">
        <v>108000</v>
      </c>
      <c r="G9277">
        <v>44728</v>
      </c>
      <c r="H9277">
        <v>2022</v>
      </c>
      <c r="I9277" t="s">
        <v>47</v>
      </c>
    </row>
    <row r="9278" spans="1:9" x14ac:dyDescent="0.3">
      <c r="A9278" t="s">
        <v>26</v>
      </c>
      <c r="C9278">
        <v>751500</v>
      </c>
      <c r="E9278">
        <v>270000</v>
      </c>
      <c r="G9278">
        <v>44728</v>
      </c>
      <c r="H9278">
        <v>2022</v>
      </c>
      <c r="I9278" t="s">
        <v>47</v>
      </c>
    </row>
    <row r="9279" spans="1:9" x14ac:dyDescent="0.3">
      <c r="A9279" t="s">
        <v>22</v>
      </c>
      <c r="G9279">
        <v>44728</v>
      </c>
      <c r="H9279">
        <v>2022</v>
      </c>
      <c r="I9279" t="s">
        <v>47</v>
      </c>
    </row>
    <row r="9280" spans="1:9" x14ac:dyDescent="0.3">
      <c r="A9280" t="s">
        <v>61</v>
      </c>
      <c r="G9280">
        <v>44728</v>
      </c>
      <c r="H9280">
        <v>2022</v>
      </c>
      <c r="I9280" t="s">
        <v>47</v>
      </c>
    </row>
    <row r="9281" spans="1:9" x14ac:dyDescent="0.3">
      <c r="A9281" t="s">
        <v>19</v>
      </c>
      <c r="C9281">
        <v>306000</v>
      </c>
      <c r="G9281">
        <v>44728</v>
      </c>
      <c r="H9281">
        <v>2022</v>
      </c>
      <c r="I9281" t="s">
        <v>47</v>
      </c>
    </row>
    <row r="9282" spans="1:9" x14ac:dyDescent="0.3">
      <c r="A9282" t="s">
        <v>14</v>
      </c>
      <c r="C9282">
        <v>324000</v>
      </c>
      <c r="G9282">
        <v>44728</v>
      </c>
      <c r="H9282">
        <v>2022</v>
      </c>
      <c r="I9282" t="s">
        <v>47</v>
      </c>
    </row>
    <row r="9283" spans="1:9" x14ac:dyDescent="0.3">
      <c r="A9283" t="s">
        <v>24</v>
      </c>
      <c r="G9283">
        <v>44728</v>
      </c>
      <c r="H9283">
        <v>2022</v>
      </c>
      <c r="I9283" t="s">
        <v>47</v>
      </c>
    </row>
    <row r="9284" spans="1:9" x14ac:dyDescent="0.3">
      <c r="A9284" t="s">
        <v>21</v>
      </c>
      <c r="G9284">
        <v>44728</v>
      </c>
      <c r="H9284">
        <v>2022</v>
      </c>
      <c r="I9284" t="s">
        <v>47</v>
      </c>
    </row>
    <row r="9285" spans="1:9" x14ac:dyDescent="0.3">
      <c r="A9285" t="s">
        <v>65</v>
      </c>
      <c r="G9285">
        <v>44728</v>
      </c>
      <c r="H9285">
        <v>2022</v>
      </c>
      <c r="I9285" t="s">
        <v>47</v>
      </c>
    </row>
    <row r="9286" spans="1:9" x14ac:dyDescent="0.3">
      <c r="A9286" t="s">
        <v>18</v>
      </c>
      <c r="G9286">
        <v>44728</v>
      </c>
      <c r="H9286">
        <v>2022</v>
      </c>
      <c r="I9286" t="s">
        <v>47</v>
      </c>
    </row>
    <row r="9287" spans="1:9" x14ac:dyDescent="0.3">
      <c r="A9287" t="s">
        <v>16</v>
      </c>
      <c r="G9287">
        <v>44728</v>
      </c>
      <c r="H9287">
        <v>2022</v>
      </c>
      <c r="I9287" t="s">
        <v>47</v>
      </c>
    </row>
    <row r="9288" spans="1:9" x14ac:dyDescent="0.3">
      <c r="A9288" t="s">
        <v>20</v>
      </c>
      <c r="G9288">
        <v>44729</v>
      </c>
      <c r="H9288">
        <v>2022</v>
      </c>
      <c r="I9288" t="s">
        <v>47</v>
      </c>
    </row>
    <row r="9289" spans="1:9" x14ac:dyDescent="0.3">
      <c r="A9289" t="s">
        <v>37</v>
      </c>
      <c r="G9289">
        <v>44729</v>
      </c>
      <c r="H9289">
        <v>2022</v>
      </c>
      <c r="I9289" t="s">
        <v>47</v>
      </c>
    </row>
    <row r="9290" spans="1:9" x14ac:dyDescent="0.3">
      <c r="A9290" t="s">
        <v>17</v>
      </c>
      <c r="G9290">
        <v>44729</v>
      </c>
      <c r="H9290">
        <v>2022</v>
      </c>
      <c r="I9290" t="s">
        <v>47</v>
      </c>
    </row>
    <row r="9291" spans="1:9" x14ac:dyDescent="0.3">
      <c r="A9291" t="s">
        <v>0</v>
      </c>
      <c r="G9291">
        <v>44729</v>
      </c>
      <c r="H9291">
        <v>2022</v>
      </c>
      <c r="I9291" t="s">
        <v>47</v>
      </c>
    </row>
    <row r="9292" spans="1:9" x14ac:dyDescent="0.3">
      <c r="A9292" t="s">
        <v>25</v>
      </c>
      <c r="C9292">
        <v>702000</v>
      </c>
      <c r="E9292">
        <v>324000</v>
      </c>
      <c r="G9292">
        <v>44729</v>
      </c>
      <c r="H9292">
        <v>2022</v>
      </c>
      <c r="I9292" t="s">
        <v>47</v>
      </c>
    </row>
    <row r="9293" spans="1:9" x14ac:dyDescent="0.3">
      <c r="A9293" t="s">
        <v>15</v>
      </c>
      <c r="G9293">
        <v>44729</v>
      </c>
      <c r="H9293">
        <v>2022</v>
      </c>
      <c r="I9293" t="s">
        <v>47</v>
      </c>
    </row>
    <row r="9294" spans="1:9" x14ac:dyDescent="0.3">
      <c r="A9294" t="s">
        <v>54</v>
      </c>
      <c r="C9294">
        <v>594000</v>
      </c>
      <c r="G9294">
        <v>44729</v>
      </c>
      <c r="H9294">
        <v>2022</v>
      </c>
      <c r="I9294" t="s">
        <v>47</v>
      </c>
    </row>
    <row r="9295" spans="1:9" x14ac:dyDescent="0.3">
      <c r="A9295" t="s">
        <v>26</v>
      </c>
      <c r="C9295">
        <v>162000</v>
      </c>
      <c r="E9295">
        <v>54000</v>
      </c>
      <c r="G9295">
        <v>44729</v>
      </c>
      <c r="H9295">
        <v>2022</v>
      </c>
      <c r="I9295" t="s">
        <v>47</v>
      </c>
    </row>
    <row r="9296" spans="1:9" x14ac:dyDescent="0.3">
      <c r="A9296" t="s">
        <v>22</v>
      </c>
      <c r="G9296">
        <v>44729</v>
      </c>
      <c r="H9296">
        <v>2022</v>
      </c>
      <c r="I9296" t="s">
        <v>47</v>
      </c>
    </row>
    <row r="9297" spans="1:9" x14ac:dyDescent="0.3">
      <c r="A9297" t="s">
        <v>61</v>
      </c>
      <c r="G9297">
        <v>44729</v>
      </c>
      <c r="H9297">
        <v>2022</v>
      </c>
      <c r="I9297" t="s">
        <v>47</v>
      </c>
    </row>
    <row r="9298" spans="1:9" x14ac:dyDescent="0.3">
      <c r="A9298" t="s">
        <v>19</v>
      </c>
      <c r="G9298">
        <v>44729</v>
      </c>
      <c r="H9298">
        <v>2022</v>
      </c>
      <c r="I9298" t="s">
        <v>47</v>
      </c>
    </row>
    <row r="9299" spans="1:9" x14ac:dyDescent="0.3">
      <c r="A9299" t="s">
        <v>14</v>
      </c>
      <c r="G9299">
        <v>44729</v>
      </c>
      <c r="H9299">
        <v>2022</v>
      </c>
      <c r="I9299" t="s">
        <v>47</v>
      </c>
    </row>
    <row r="9300" spans="1:9" x14ac:dyDescent="0.3">
      <c r="A9300" t="s">
        <v>24</v>
      </c>
      <c r="G9300">
        <v>44729</v>
      </c>
      <c r="H9300">
        <v>2022</v>
      </c>
      <c r="I9300" t="s">
        <v>47</v>
      </c>
    </row>
    <row r="9301" spans="1:9" x14ac:dyDescent="0.3">
      <c r="A9301" t="s">
        <v>21</v>
      </c>
      <c r="G9301">
        <v>44729</v>
      </c>
      <c r="H9301">
        <v>2022</v>
      </c>
      <c r="I9301" t="s">
        <v>47</v>
      </c>
    </row>
    <row r="9302" spans="1:9" x14ac:dyDescent="0.3">
      <c r="A9302" t="s">
        <v>65</v>
      </c>
      <c r="G9302">
        <v>44729</v>
      </c>
      <c r="H9302">
        <v>2022</v>
      </c>
      <c r="I9302" t="s">
        <v>47</v>
      </c>
    </row>
    <row r="9303" spans="1:9" x14ac:dyDescent="0.3">
      <c r="A9303" t="s">
        <v>18</v>
      </c>
      <c r="G9303">
        <v>44729</v>
      </c>
      <c r="H9303">
        <v>2022</v>
      </c>
      <c r="I9303" t="s">
        <v>47</v>
      </c>
    </row>
    <row r="9304" spans="1:9" x14ac:dyDescent="0.3">
      <c r="A9304" t="s">
        <v>16</v>
      </c>
      <c r="G9304">
        <v>44729</v>
      </c>
      <c r="H9304">
        <v>2022</v>
      </c>
      <c r="I9304" t="s">
        <v>47</v>
      </c>
    </row>
    <row r="9305" spans="1:9" x14ac:dyDescent="0.3">
      <c r="A9305" t="s">
        <v>20</v>
      </c>
      <c r="G9305">
        <v>44732</v>
      </c>
      <c r="H9305">
        <v>2022</v>
      </c>
      <c r="I9305" t="s">
        <v>47</v>
      </c>
    </row>
    <row r="9306" spans="1:9" x14ac:dyDescent="0.3">
      <c r="A9306" t="s">
        <v>37</v>
      </c>
      <c r="G9306">
        <v>44732</v>
      </c>
      <c r="H9306">
        <v>2022</v>
      </c>
      <c r="I9306" t="s">
        <v>47</v>
      </c>
    </row>
    <row r="9307" spans="1:9" x14ac:dyDescent="0.3">
      <c r="A9307" t="s">
        <v>17</v>
      </c>
      <c r="G9307">
        <v>44732</v>
      </c>
      <c r="H9307">
        <v>2022</v>
      </c>
      <c r="I9307" t="s">
        <v>47</v>
      </c>
    </row>
    <row r="9308" spans="1:9" x14ac:dyDescent="0.3">
      <c r="A9308" t="s">
        <v>0</v>
      </c>
      <c r="G9308">
        <v>44732</v>
      </c>
      <c r="H9308">
        <v>2022</v>
      </c>
      <c r="I9308" t="s">
        <v>47</v>
      </c>
    </row>
    <row r="9309" spans="1:9" x14ac:dyDescent="0.3">
      <c r="A9309" t="s">
        <v>25</v>
      </c>
      <c r="C9309">
        <v>585500</v>
      </c>
      <c r="E9309">
        <v>162000</v>
      </c>
      <c r="G9309">
        <v>44732</v>
      </c>
      <c r="H9309">
        <v>2022</v>
      </c>
      <c r="I9309" t="s">
        <v>47</v>
      </c>
    </row>
    <row r="9310" spans="1:9" x14ac:dyDescent="0.3">
      <c r="A9310" t="s">
        <v>15</v>
      </c>
      <c r="G9310">
        <v>44732</v>
      </c>
      <c r="H9310">
        <v>2022</v>
      </c>
      <c r="I9310" t="s">
        <v>47</v>
      </c>
    </row>
    <row r="9311" spans="1:9" x14ac:dyDescent="0.3">
      <c r="A9311" t="s">
        <v>54</v>
      </c>
      <c r="C9311">
        <v>639500</v>
      </c>
      <c r="G9311">
        <v>44732</v>
      </c>
      <c r="H9311">
        <v>2022</v>
      </c>
      <c r="I9311" t="s">
        <v>47</v>
      </c>
    </row>
    <row r="9312" spans="1:9" x14ac:dyDescent="0.3">
      <c r="A9312" t="s">
        <v>26</v>
      </c>
      <c r="B9312">
        <v>540000</v>
      </c>
      <c r="C9312">
        <v>162000</v>
      </c>
      <c r="D9312">
        <v>108000</v>
      </c>
      <c r="E9312">
        <v>54000</v>
      </c>
      <c r="G9312">
        <v>44732</v>
      </c>
      <c r="H9312">
        <v>2022</v>
      </c>
      <c r="I9312" t="s">
        <v>47</v>
      </c>
    </row>
    <row r="9313" spans="1:9" x14ac:dyDescent="0.3">
      <c r="A9313" t="s">
        <v>22</v>
      </c>
      <c r="G9313">
        <v>44732</v>
      </c>
      <c r="H9313">
        <v>2022</v>
      </c>
      <c r="I9313" t="s">
        <v>47</v>
      </c>
    </row>
    <row r="9314" spans="1:9" x14ac:dyDescent="0.3">
      <c r="A9314" t="s">
        <v>61</v>
      </c>
      <c r="G9314">
        <v>44732</v>
      </c>
      <c r="H9314">
        <v>2022</v>
      </c>
      <c r="I9314" t="s">
        <v>47</v>
      </c>
    </row>
    <row r="9315" spans="1:9" x14ac:dyDescent="0.3">
      <c r="A9315" t="s">
        <v>19</v>
      </c>
      <c r="C9315">
        <v>270000</v>
      </c>
      <c r="G9315">
        <v>44732</v>
      </c>
      <c r="H9315">
        <v>2022</v>
      </c>
      <c r="I9315" t="s">
        <v>47</v>
      </c>
    </row>
    <row r="9316" spans="1:9" x14ac:dyDescent="0.3">
      <c r="A9316" t="s">
        <v>14</v>
      </c>
      <c r="B9316">
        <v>1134000</v>
      </c>
      <c r="D9316">
        <v>162000</v>
      </c>
      <c r="G9316">
        <v>44732</v>
      </c>
      <c r="H9316">
        <v>2022</v>
      </c>
      <c r="I9316" t="s">
        <v>47</v>
      </c>
    </row>
    <row r="9317" spans="1:9" x14ac:dyDescent="0.3">
      <c r="A9317" t="s">
        <v>24</v>
      </c>
      <c r="G9317">
        <v>44732</v>
      </c>
      <c r="H9317">
        <v>2022</v>
      </c>
      <c r="I9317" t="s">
        <v>47</v>
      </c>
    </row>
    <row r="9318" spans="1:9" x14ac:dyDescent="0.3">
      <c r="A9318" t="s">
        <v>21</v>
      </c>
      <c r="G9318">
        <v>44732</v>
      </c>
      <c r="H9318">
        <v>2022</v>
      </c>
      <c r="I9318" t="s">
        <v>47</v>
      </c>
    </row>
    <row r="9319" spans="1:9" x14ac:dyDescent="0.3">
      <c r="A9319" t="s">
        <v>65</v>
      </c>
      <c r="G9319">
        <v>44732</v>
      </c>
      <c r="H9319">
        <v>2022</v>
      </c>
      <c r="I9319" t="s">
        <v>47</v>
      </c>
    </row>
    <row r="9320" spans="1:9" x14ac:dyDescent="0.3">
      <c r="A9320" t="s">
        <v>18</v>
      </c>
      <c r="G9320">
        <v>44732</v>
      </c>
      <c r="H9320">
        <v>2022</v>
      </c>
      <c r="I9320" t="s">
        <v>47</v>
      </c>
    </row>
    <row r="9321" spans="1:9" x14ac:dyDescent="0.3">
      <c r="A9321" t="s">
        <v>16</v>
      </c>
      <c r="G9321">
        <v>44732</v>
      </c>
      <c r="H9321">
        <v>2022</v>
      </c>
      <c r="I9321" t="s">
        <v>47</v>
      </c>
    </row>
    <row r="9322" spans="1:9" x14ac:dyDescent="0.3">
      <c r="A9322" t="s">
        <v>20</v>
      </c>
      <c r="G9322">
        <v>44733</v>
      </c>
      <c r="H9322">
        <v>2022</v>
      </c>
      <c r="I9322" t="s">
        <v>47</v>
      </c>
    </row>
    <row r="9323" spans="1:9" x14ac:dyDescent="0.3">
      <c r="A9323" t="s">
        <v>37</v>
      </c>
      <c r="G9323">
        <v>44733</v>
      </c>
      <c r="H9323">
        <v>2022</v>
      </c>
      <c r="I9323" t="s">
        <v>47</v>
      </c>
    </row>
    <row r="9324" spans="1:9" x14ac:dyDescent="0.3">
      <c r="A9324" t="s">
        <v>17</v>
      </c>
      <c r="B9324">
        <v>45000</v>
      </c>
      <c r="G9324">
        <v>44733</v>
      </c>
      <c r="H9324">
        <v>2022</v>
      </c>
      <c r="I9324" t="s">
        <v>47</v>
      </c>
    </row>
    <row r="9325" spans="1:9" x14ac:dyDescent="0.3">
      <c r="A9325" t="s">
        <v>0</v>
      </c>
      <c r="G9325">
        <v>44733</v>
      </c>
      <c r="H9325">
        <v>2022</v>
      </c>
      <c r="I9325" t="s">
        <v>47</v>
      </c>
    </row>
    <row r="9326" spans="1:9" x14ac:dyDescent="0.3">
      <c r="A9326" t="s">
        <v>25</v>
      </c>
      <c r="C9326">
        <v>518500</v>
      </c>
      <c r="E9326">
        <v>216000</v>
      </c>
      <c r="G9326">
        <v>44733</v>
      </c>
      <c r="H9326">
        <v>2022</v>
      </c>
      <c r="I9326" t="s">
        <v>47</v>
      </c>
    </row>
    <row r="9327" spans="1:9" x14ac:dyDescent="0.3">
      <c r="A9327" t="s">
        <v>15</v>
      </c>
      <c r="G9327">
        <v>44733</v>
      </c>
      <c r="H9327">
        <v>2022</v>
      </c>
      <c r="I9327" t="s">
        <v>47</v>
      </c>
    </row>
    <row r="9328" spans="1:9" x14ac:dyDescent="0.3">
      <c r="A9328" t="s">
        <v>54</v>
      </c>
      <c r="C9328">
        <v>531500</v>
      </c>
      <c r="G9328">
        <v>44733</v>
      </c>
      <c r="H9328">
        <v>2022</v>
      </c>
      <c r="I9328" t="s">
        <v>47</v>
      </c>
    </row>
    <row r="9329" spans="1:9" x14ac:dyDescent="0.3">
      <c r="A9329" t="s">
        <v>26</v>
      </c>
      <c r="B9329">
        <v>203000</v>
      </c>
      <c r="D9329">
        <v>54000</v>
      </c>
      <c r="E9329">
        <v>108000</v>
      </c>
      <c r="G9329">
        <v>44733</v>
      </c>
      <c r="H9329">
        <v>2022</v>
      </c>
      <c r="I9329" t="s">
        <v>47</v>
      </c>
    </row>
    <row r="9330" spans="1:9" x14ac:dyDescent="0.3">
      <c r="A9330" t="s">
        <v>22</v>
      </c>
      <c r="G9330">
        <v>44733</v>
      </c>
      <c r="H9330">
        <v>2022</v>
      </c>
      <c r="I9330" t="s">
        <v>47</v>
      </c>
    </row>
    <row r="9331" spans="1:9" x14ac:dyDescent="0.3">
      <c r="A9331" t="s">
        <v>61</v>
      </c>
      <c r="G9331">
        <v>44733</v>
      </c>
      <c r="H9331">
        <v>2022</v>
      </c>
      <c r="I9331" t="s">
        <v>47</v>
      </c>
    </row>
    <row r="9332" spans="1:9" x14ac:dyDescent="0.3">
      <c r="A9332" t="s">
        <v>19</v>
      </c>
      <c r="B9332">
        <v>261000</v>
      </c>
      <c r="D9332">
        <v>54000</v>
      </c>
      <c r="G9332">
        <v>44733</v>
      </c>
      <c r="H9332">
        <v>2022</v>
      </c>
      <c r="I9332" t="s">
        <v>47</v>
      </c>
    </row>
    <row r="9333" spans="1:9" x14ac:dyDescent="0.3">
      <c r="A9333" t="s">
        <v>14</v>
      </c>
      <c r="B9333">
        <v>891500</v>
      </c>
      <c r="C9333">
        <v>216000</v>
      </c>
      <c r="D9333">
        <v>54000</v>
      </c>
      <c r="G9333">
        <v>44733</v>
      </c>
      <c r="H9333">
        <v>2022</v>
      </c>
      <c r="I9333" t="s">
        <v>47</v>
      </c>
    </row>
    <row r="9334" spans="1:9" x14ac:dyDescent="0.3">
      <c r="A9334" t="s">
        <v>24</v>
      </c>
      <c r="G9334">
        <v>44733</v>
      </c>
      <c r="H9334">
        <v>2022</v>
      </c>
      <c r="I9334" t="s">
        <v>47</v>
      </c>
    </row>
    <row r="9335" spans="1:9" x14ac:dyDescent="0.3">
      <c r="A9335" t="s">
        <v>21</v>
      </c>
      <c r="G9335">
        <v>44733</v>
      </c>
      <c r="H9335">
        <v>2022</v>
      </c>
      <c r="I9335" t="s">
        <v>47</v>
      </c>
    </row>
    <row r="9336" spans="1:9" x14ac:dyDescent="0.3">
      <c r="A9336" t="s">
        <v>65</v>
      </c>
      <c r="G9336">
        <v>44733</v>
      </c>
      <c r="H9336">
        <v>2022</v>
      </c>
      <c r="I9336" t="s">
        <v>47</v>
      </c>
    </row>
    <row r="9337" spans="1:9" x14ac:dyDescent="0.3">
      <c r="A9337" t="s">
        <v>18</v>
      </c>
      <c r="B9337">
        <v>432000</v>
      </c>
      <c r="D9337">
        <v>54000</v>
      </c>
      <c r="G9337">
        <v>44733</v>
      </c>
      <c r="H9337">
        <v>2022</v>
      </c>
      <c r="I9337" t="s">
        <v>47</v>
      </c>
    </row>
    <row r="9338" spans="1:9" x14ac:dyDescent="0.3">
      <c r="A9338" t="s">
        <v>16</v>
      </c>
      <c r="G9338">
        <v>44733</v>
      </c>
      <c r="H9338">
        <v>2022</v>
      </c>
      <c r="I9338" t="s">
        <v>47</v>
      </c>
    </row>
    <row r="9339" spans="1:9" x14ac:dyDescent="0.3">
      <c r="A9339" t="s">
        <v>20</v>
      </c>
      <c r="G9339">
        <v>44734</v>
      </c>
      <c r="H9339">
        <v>2022</v>
      </c>
      <c r="I9339" t="s">
        <v>47</v>
      </c>
    </row>
    <row r="9340" spans="1:9" x14ac:dyDescent="0.3">
      <c r="A9340" t="s">
        <v>37</v>
      </c>
      <c r="C9340">
        <v>261000</v>
      </c>
      <c r="G9340">
        <v>44734</v>
      </c>
      <c r="H9340">
        <v>2022</v>
      </c>
      <c r="I9340" t="s">
        <v>47</v>
      </c>
    </row>
    <row r="9341" spans="1:9" x14ac:dyDescent="0.3">
      <c r="A9341" t="s">
        <v>17</v>
      </c>
      <c r="G9341">
        <v>44734</v>
      </c>
      <c r="H9341">
        <v>2022</v>
      </c>
      <c r="I9341" t="s">
        <v>47</v>
      </c>
    </row>
    <row r="9342" spans="1:9" x14ac:dyDescent="0.3">
      <c r="A9342" t="s">
        <v>0</v>
      </c>
      <c r="G9342">
        <v>44734</v>
      </c>
      <c r="H9342">
        <v>2022</v>
      </c>
      <c r="I9342" t="s">
        <v>47</v>
      </c>
    </row>
    <row r="9343" spans="1:9" x14ac:dyDescent="0.3">
      <c r="A9343" t="s">
        <v>25</v>
      </c>
      <c r="C9343">
        <v>378000</v>
      </c>
      <c r="E9343">
        <v>108000</v>
      </c>
      <c r="G9343">
        <v>44734</v>
      </c>
      <c r="H9343">
        <v>2022</v>
      </c>
      <c r="I9343" t="s">
        <v>47</v>
      </c>
    </row>
    <row r="9344" spans="1:9" x14ac:dyDescent="0.3">
      <c r="A9344" t="s">
        <v>15</v>
      </c>
      <c r="G9344">
        <v>44734</v>
      </c>
      <c r="H9344">
        <v>2022</v>
      </c>
      <c r="I9344" t="s">
        <v>47</v>
      </c>
    </row>
    <row r="9345" spans="1:9" x14ac:dyDescent="0.3">
      <c r="A9345" t="s">
        <v>54</v>
      </c>
      <c r="C9345">
        <v>216000</v>
      </c>
      <c r="G9345">
        <v>44734</v>
      </c>
      <c r="H9345">
        <v>2022</v>
      </c>
      <c r="I9345" t="s">
        <v>47</v>
      </c>
    </row>
    <row r="9346" spans="1:9" x14ac:dyDescent="0.3">
      <c r="A9346" t="s">
        <v>26</v>
      </c>
      <c r="B9346">
        <v>54000</v>
      </c>
      <c r="D9346">
        <v>54000</v>
      </c>
      <c r="G9346">
        <v>44734</v>
      </c>
      <c r="H9346">
        <v>2022</v>
      </c>
      <c r="I9346" t="s">
        <v>47</v>
      </c>
    </row>
    <row r="9347" spans="1:9" x14ac:dyDescent="0.3">
      <c r="A9347" t="s">
        <v>22</v>
      </c>
      <c r="G9347">
        <v>44734</v>
      </c>
      <c r="H9347">
        <v>2022</v>
      </c>
      <c r="I9347" t="s">
        <v>47</v>
      </c>
    </row>
    <row r="9348" spans="1:9" x14ac:dyDescent="0.3">
      <c r="A9348" t="s">
        <v>61</v>
      </c>
      <c r="G9348">
        <v>44734</v>
      </c>
      <c r="H9348">
        <v>2022</v>
      </c>
      <c r="I9348" t="s">
        <v>47</v>
      </c>
    </row>
    <row r="9349" spans="1:9" x14ac:dyDescent="0.3">
      <c r="A9349" t="s">
        <v>19</v>
      </c>
      <c r="B9349">
        <v>315000</v>
      </c>
      <c r="C9349">
        <v>162000</v>
      </c>
      <c r="D9349">
        <v>270000</v>
      </c>
      <c r="G9349">
        <v>44734</v>
      </c>
      <c r="H9349">
        <v>2022</v>
      </c>
      <c r="I9349" t="s">
        <v>47</v>
      </c>
    </row>
    <row r="9350" spans="1:9" x14ac:dyDescent="0.3">
      <c r="A9350" t="s">
        <v>14</v>
      </c>
      <c r="B9350">
        <v>913500</v>
      </c>
      <c r="C9350">
        <v>216000</v>
      </c>
      <c r="D9350">
        <v>594000</v>
      </c>
      <c r="E9350">
        <v>648000</v>
      </c>
      <c r="G9350">
        <v>44734</v>
      </c>
      <c r="H9350">
        <v>2022</v>
      </c>
      <c r="I9350" t="s">
        <v>47</v>
      </c>
    </row>
    <row r="9351" spans="1:9" x14ac:dyDescent="0.3">
      <c r="A9351" t="s">
        <v>24</v>
      </c>
      <c r="G9351">
        <v>44734</v>
      </c>
      <c r="H9351">
        <v>2022</v>
      </c>
      <c r="I9351" t="s">
        <v>47</v>
      </c>
    </row>
    <row r="9352" spans="1:9" x14ac:dyDescent="0.3">
      <c r="A9352" t="s">
        <v>21</v>
      </c>
      <c r="B9352">
        <v>270000</v>
      </c>
      <c r="D9352">
        <v>162000</v>
      </c>
      <c r="G9352">
        <v>44734</v>
      </c>
      <c r="H9352">
        <v>2022</v>
      </c>
      <c r="I9352" t="s">
        <v>47</v>
      </c>
    </row>
    <row r="9353" spans="1:9" x14ac:dyDescent="0.3">
      <c r="A9353" t="s">
        <v>65</v>
      </c>
      <c r="G9353">
        <v>44734</v>
      </c>
      <c r="H9353">
        <v>2022</v>
      </c>
      <c r="I9353" t="s">
        <v>47</v>
      </c>
    </row>
    <row r="9354" spans="1:9" x14ac:dyDescent="0.3">
      <c r="A9354" t="s">
        <v>18</v>
      </c>
      <c r="D9354">
        <v>54000</v>
      </c>
      <c r="G9354">
        <v>44734</v>
      </c>
      <c r="H9354">
        <v>2022</v>
      </c>
      <c r="I9354" t="s">
        <v>47</v>
      </c>
    </row>
    <row r="9355" spans="1:9" x14ac:dyDescent="0.3">
      <c r="A9355" t="s">
        <v>16</v>
      </c>
      <c r="G9355">
        <v>44734</v>
      </c>
      <c r="H9355">
        <v>2022</v>
      </c>
      <c r="I9355" t="s">
        <v>47</v>
      </c>
    </row>
    <row r="9356" spans="1:9" x14ac:dyDescent="0.3">
      <c r="A9356" t="s">
        <v>20</v>
      </c>
      <c r="G9356">
        <v>44735</v>
      </c>
      <c r="H9356">
        <v>2022</v>
      </c>
      <c r="I9356" t="s">
        <v>47</v>
      </c>
    </row>
    <row r="9357" spans="1:9" x14ac:dyDescent="0.3">
      <c r="A9357" t="s">
        <v>37</v>
      </c>
      <c r="C9357">
        <v>324000</v>
      </c>
      <c r="G9357">
        <v>44735</v>
      </c>
      <c r="H9357">
        <v>2022</v>
      </c>
      <c r="I9357" t="s">
        <v>47</v>
      </c>
    </row>
    <row r="9358" spans="1:9" x14ac:dyDescent="0.3">
      <c r="A9358" t="s">
        <v>17</v>
      </c>
      <c r="G9358">
        <v>44735</v>
      </c>
      <c r="H9358">
        <v>2022</v>
      </c>
      <c r="I9358" t="s">
        <v>47</v>
      </c>
    </row>
    <row r="9359" spans="1:9" x14ac:dyDescent="0.3">
      <c r="A9359" t="s">
        <v>0</v>
      </c>
      <c r="G9359">
        <v>44735</v>
      </c>
      <c r="H9359">
        <v>2022</v>
      </c>
      <c r="I9359" t="s">
        <v>47</v>
      </c>
    </row>
    <row r="9360" spans="1:9" x14ac:dyDescent="0.3">
      <c r="A9360" t="s">
        <v>25</v>
      </c>
      <c r="C9360">
        <v>216000</v>
      </c>
      <c r="E9360">
        <v>95000</v>
      </c>
      <c r="G9360">
        <v>44735</v>
      </c>
      <c r="H9360">
        <v>2022</v>
      </c>
      <c r="I9360" t="s">
        <v>47</v>
      </c>
    </row>
    <row r="9361" spans="1:9" x14ac:dyDescent="0.3">
      <c r="A9361" t="s">
        <v>15</v>
      </c>
      <c r="G9361">
        <v>44735</v>
      </c>
      <c r="H9361">
        <v>2022</v>
      </c>
      <c r="I9361" t="s">
        <v>47</v>
      </c>
    </row>
    <row r="9362" spans="1:9" x14ac:dyDescent="0.3">
      <c r="A9362" t="s">
        <v>54</v>
      </c>
      <c r="C9362">
        <v>270000</v>
      </c>
      <c r="G9362">
        <v>44735</v>
      </c>
      <c r="H9362">
        <v>2022</v>
      </c>
      <c r="I9362" t="s">
        <v>47</v>
      </c>
    </row>
    <row r="9363" spans="1:9" x14ac:dyDescent="0.3">
      <c r="A9363" t="s">
        <v>26</v>
      </c>
      <c r="D9363">
        <v>45000</v>
      </c>
      <c r="G9363">
        <v>44735</v>
      </c>
      <c r="H9363">
        <v>2022</v>
      </c>
      <c r="I9363" t="s">
        <v>47</v>
      </c>
    </row>
    <row r="9364" spans="1:9" x14ac:dyDescent="0.3">
      <c r="A9364" t="s">
        <v>22</v>
      </c>
      <c r="G9364">
        <v>44735</v>
      </c>
      <c r="H9364">
        <v>2022</v>
      </c>
      <c r="I9364" t="s">
        <v>47</v>
      </c>
    </row>
    <row r="9365" spans="1:9" x14ac:dyDescent="0.3">
      <c r="A9365" t="s">
        <v>61</v>
      </c>
      <c r="G9365">
        <v>44735</v>
      </c>
      <c r="H9365">
        <v>2022</v>
      </c>
      <c r="I9365" t="s">
        <v>47</v>
      </c>
    </row>
    <row r="9366" spans="1:9" x14ac:dyDescent="0.3">
      <c r="A9366" t="s">
        <v>19</v>
      </c>
      <c r="B9366">
        <v>108000</v>
      </c>
      <c r="G9366">
        <v>44735</v>
      </c>
      <c r="H9366">
        <v>2022</v>
      </c>
      <c r="I9366" t="s">
        <v>47</v>
      </c>
    </row>
    <row r="9367" spans="1:9" x14ac:dyDescent="0.3">
      <c r="A9367" t="s">
        <v>14</v>
      </c>
      <c r="C9367">
        <v>270000</v>
      </c>
      <c r="D9367">
        <v>90000</v>
      </c>
      <c r="G9367">
        <v>44735</v>
      </c>
      <c r="H9367">
        <v>2022</v>
      </c>
      <c r="I9367" t="s">
        <v>47</v>
      </c>
    </row>
    <row r="9368" spans="1:9" x14ac:dyDescent="0.3">
      <c r="A9368" t="s">
        <v>24</v>
      </c>
      <c r="G9368">
        <v>44735</v>
      </c>
      <c r="H9368">
        <v>2022</v>
      </c>
      <c r="I9368" t="s">
        <v>47</v>
      </c>
    </row>
    <row r="9369" spans="1:9" x14ac:dyDescent="0.3">
      <c r="A9369" t="s">
        <v>21</v>
      </c>
      <c r="B9369">
        <v>589500</v>
      </c>
      <c r="D9369">
        <v>162000</v>
      </c>
      <c r="G9369">
        <v>44735</v>
      </c>
      <c r="H9369">
        <v>2022</v>
      </c>
      <c r="I9369" t="s">
        <v>47</v>
      </c>
    </row>
    <row r="9370" spans="1:9" x14ac:dyDescent="0.3">
      <c r="A9370" t="s">
        <v>65</v>
      </c>
      <c r="G9370">
        <v>44735</v>
      </c>
      <c r="H9370">
        <v>2022</v>
      </c>
      <c r="I9370" t="s">
        <v>47</v>
      </c>
    </row>
    <row r="9371" spans="1:9" x14ac:dyDescent="0.3">
      <c r="A9371" t="s">
        <v>18</v>
      </c>
      <c r="G9371">
        <v>44735</v>
      </c>
      <c r="H9371">
        <v>2022</v>
      </c>
      <c r="I9371" t="s">
        <v>47</v>
      </c>
    </row>
    <row r="9372" spans="1:9" x14ac:dyDescent="0.3">
      <c r="A9372" t="s">
        <v>16</v>
      </c>
      <c r="G9372">
        <v>44735</v>
      </c>
      <c r="H9372">
        <v>2022</v>
      </c>
      <c r="I9372" t="s">
        <v>47</v>
      </c>
    </row>
    <row r="9373" spans="1:9" x14ac:dyDescent="0.3">
      <c r="A9373" t="s">
        <v>20</v>
      </c>
      <c r="G9373">
        <v>44736</v>
      </c>
      <c r="H9373">
        <v>2022</v>
      </c>
      <c r="I9373" t="s">
        <v>47</v>
      </c>
    </row>
    <row r="9374" spans="1:9" x14ac:dyDescent="0.3">
      <c r="A9374" t="s">
        <v>37</v>
      </c>
      <c r="G9374">
        <v>44736</v>
      </c>
      <c r="H9374">
        <v>2022</v>
      </c>
      <c r="I9374" t="s">
        <v>47</v>
      </c>
    </row>
    <row r="9375" spans="1:9" x14ac:dyDescent="0.3">
      <c r="A9375" t="s">
        <v>17</v>
      </c>
      <c r="G9375">
        <v>44736</v>
      </c>
      <c r="H9375">
        <v>2022</v>
      </c>
      <c r="I9375" t="s">
        <v>47</v>
      </c>
    </row>
    <row r="9376" spans="1:9" x14ac:dyDescent="0.3">
      <c r="A9376" t="s">
        <v>0</v>
      </c>
      <c r="G9376">
        <v>44736</v>
      </c>
      <c r="H9376">
        <v>2022</v>
      </c>
      <c r="I9376" t="s">
        <v>47</v>
      </c>
    </row>
    <row r="9377" spans="1:9" x14ac:dyDescent="0.3">
      <c r="A9377" t="s">
        <v>25</v>
      </c>
      <c r="G9377">
        <v>44736</v>
      </c>
      <c r="H9377">
        <v>2022</v>
      </c>
      <c r="I9377" t="s">
        <v>47</v>
      </c>
    </row>
    <row r="9378" spans="1:9" x14ac:dyDescent="0.3">
      <c r="A9378" t="s">
        <v>15</v>
      </c>
      <c r="G9378">
        <v>44736</v>
      </c>
      <c r="H9378">
        <v>2022</v>
      </c>
      <c r="I9378" t="s">
        <v>47</v>
      </c>
    </row>
    <row r="9379" spans="1:9" x14ac:dyDescent="0.3">
      <c r="A9379" t="s">
        <v>54</v>
      </c>
      <c r="G9379">
        <v>44736</v>
      </c>
      <c r="H9379">
        <v>2022</v>
      </c>
      <c r="I9379" t="s">
        <v>47</v>
      </c>
    </row>
    <row r="9380" spans="1:9" x14ac:dyDescent="0.3">
      <c r="A9380" t="s">
        <v>26</v>
      </c>
      <c r="D9380">
        <v>45000</v>
      </c>
      <c r="G9380">
        <v>44736</v>
      </c>
      <c r="H9380">
        <v>2022</v>
      </c>
      <c r="I9380" t="s">
        <v>47</v>
      </c>
    </row>
    <row r="9381" spans="1:9" x14ac:dyDescent="0.3">
      <c r="A9381" t="s">
        <v>22</v>
      </c>
      <c r="G9381">
        <v>44736</v>
      </c>
      <c r="H9381">
        <v>2022</v>
      </c>
      <c r="I9381" t="s">
        <v>47</v>
      </c>
    </row>
    <row r="9382" spans="1:9" x14ac:dyDescent="0.3">
      <c r="A9382" t="s">
        <v>61</v>
      </c>
      <c r="G9382">
        <v>44736</v>
      </c>
      <c r="H9382">
        <v>2022</v>
      </c>
      <c r="I9382" t="s">
        <v>47</v>
      </c>
    </row>
    <row r="9383" spans="1:9" x14ac:dyDescent="0.3">
      <c r="A9383" t="s">
        <v>19</v>
      </c>
      <c r="G9383">
        <v>44736</v>
      </c>
      <c r="H9383">
        <v>2022</v>
      </c>
      <c r="I9383" t="s">
        <v>47</v>
      </c>
    </row>
    <row r="9384" spans="1:9" x14ac:dyDescent="0.3">
      <c r="A9384" t="s">
        <v>14</v>
      </c>
      <c r="B9384">
        <v>50000</v>
      </c>
      <c r="G9384">
        <v>44736</v>
      </c>
      <c r="H9384">
        <v>2022</v>
      </c>
      <c r="I9384" t="s">
        <v>47</v>
      </c>
    </row>
    <row r="9385" spans="1:9" x14ac:dyDescent="0.3">
      <c r="A9385" t="s">
        <v>24</v>
      </c>
      <c r="G9385">
        <v>44736</v>
      </c>
      <c r="H9385">
        <v>2022</v>
      </c>
      <c r="I9385" t="s">
        <v>47</v>
      </c>
    </row>
    <row r="9386" spans="1:9" x14ac:dyDescent="0.3">
      <c r="A9386" t="s">
        <v>21</v>
      </c>
      <c r="B9386">
        <v>140000</v>
      </c>
      <c r="G9386">
        <v>44736</v>
      </c>
      <c r="H9386">
        <v>2022</v>
      </c>
      <c r="I9386" t="s">
        <v>47</v>
      </c>
    </row>
    <row r="9387" spans="1:9" x14ac:dyDescent="0.3">
      <c r="A9387" t="s">
        <v>65</v>
      </c>
      <c r="G9387">
        <v>44736</v>
      </c>
      <c r="H9387">
        <v>2022</v>
      </c>
      <c r="I9387" t="s">
        <v>47</v>
      </c>
    </row>
    <row r="9388" spans="1:9" x14ac:dyDescent="0.3">
      <c r="A9388" t="s">
        <v>18</v>
      </c>
      <c r="G9388">
        <v>44736</v>
      </c>
      <c r="H9388">
        <v>2022</v>
      </c>
      <c r="I9388" t="s">
        <v>47</v>
      </c>
    </row>
    <row r="9389" spans="1:9" x14ac:dyDescent="0.3">
      <c r="A9389" t="s">
        <v>16</v>
      </c>
      <c r="G9389">
        <v>44736</v>
      </c>
      <c r="H9389">
        <v>2022</v>
      </c>
      <c r="I9389" t="s">
        <v>47</v>
      </c>
    </row>
    <row r="9390" spans="1:9" x14ac:dyDescent="0.3">
      <c r="A9390" t="s">
        <v>20</v>
      </c>
      <c r="G9390">
        <v>44739</v>
      </c>
      <c r="H9390">
        <v>2022</v>
      </c>
      <c r="I9390" t="s">
        <v>47</v>
      </c>
    </row>
    <row r="9391" spans="1:9" x14ac:dyDescent="0.3">
      <c r="A9391" t="s">
        <v>37</v>
      </c>
      <c r="C9391">
        <v>162000</v>
      </c>
      <c r="G9391">
        <v>44739</v>
      </c>
      <c r="H9391">
        <v>2022</v>
      </c>
      <c r="I9391" t="s">
        <v>47</v>
      </c>
    </row>
    <row r="9392" spans="1:9" x14ac:dyDescent="0.3">
      <c r="A9392" t="s">
        <v>17</v>
      </c>
      <c r="G9392">
        <v>44739</v>
      </c>
      <c r="H9392">
        <v>2022</v>
      </c>
      <c r="I9392" t="s">
        <v>47</v>
      </c>
    </row>
    <row r="9393" spans="1:9" x14ac:dyDescent="0.3">
      <c r="A9393" t="s">
        <v>0</v>
      </c>
      <c r="G9393">
        <v>44739</v>
      </c>
      <c r="H9393">
        <v>2022</v>
      </c>
      <c r="I9393" t="s">
        <v>47</v>
      </c>
    </row>
    <row r="9394" spans="1:9" x14ac:dyDescent="0.3">
      <c r="A9394" t="s">
        <v>25</v>
      </c>
      <c r="C9394">
        <v>162000</v>
      </c>
      <c r="E9394">
        <v>94500</v>
      </c>
      <c r="G9394">
        <v>44739</v>
      </c>
      <c r="H9394">
        <v>2022</v>
      </c>
      <c r="I9394" t="s">
        <v>47</v>
      </c>
    </row>
    <row r="9395" spans="1:9" x14ac:dyDescent="0.3">
      <c r="A9395" t="s">
        <v>15</v>
      </c>
      <c r="G9395">
        <v>44739</v>
      </c>
      <c r="H9395">
        <v>2022</v>
      </c>
      <c r="I9395" t="s">
        <v>47</v>
      </c>
    </row>
    <row r="9396" spans="1:9" x14ac:dyDescent="0.3">
      <c r="A9396" t="s">
        <v>54</v>
      </c>
      <c r="C9396">
        <v>162000</v>
      </c>
      <c r="G9396">
        <v>44739</v>
      </c>
      <c r="H9396">
        <v>2022</v>
      </c>
      <c r="I9396" t="s">
        <v>47</v>
      </c>
    </row>
    <row r="9397" spans="1:9" x14ac:dyDescent="0.3">
      <c r="A9397" t="s">
        <v>26</v>
      </c>
      <c r="D9397">
        <v>45000</v>
      </c>
      <c r="G9397">
        <v>44739</v>
      </c>
      <c r="H9397">
        <v>2022</v>
      </c>
      <c r="I9397" t="s">
        <v>47</v>
      </c>
    </row>
    <row r="9398" spans="1:9" x14ac:dyDescent="0.3">
      <c r="A9398" t="s">
        <v>22</v>
      </c>
      <c r="G9398">
        <v>44739</v>
      </c>
      <c r="H9398">
        <v>2022</v>
      </c>
      <c r="I9398" t="s">
        <v>47</v>
      </c>
    </row>
    <row r="9399" spans="1:9" x14ac:dyDescent="0.3">
      <c r="A9399" t="s">
        <v>61</v>
      </c>
      <c r="G9399">
        <v>44739</v>
      </c>
      <c r="H9399">
        <v>2022</v>
      </c>
      <c r="I9399" t="s">
        <v>47</v>
      </c>
    </row>
    <row r="9400" spans="1:9" x14ac:dyDescent="0.3">
      <c r="A9400" t="s">
        <v>19</v>
      </c>
      <c r="G9400">
        <v>44739</v>
      </c>
      <c r="H9400">
        <v>2022</v>
      </c>
      <c r="I9400" t="s">
        <v>47</v>
      </c>
    </row>
    <row r="9401" spans="1:9" x14ac:dyDescent="0.3">
      <c r="A9401" t="s">
        <v>14</v>
      </c>
      <c r="C9401">
        <v>432000</v>
      </c>
      <c r="G9401">
        <v>44739</v>
      </c>
      <c r="H9401">
        <v>2022</v>
      </c>
      <c r="I9401" t="s">
        <v>47</v>
      </c>
    </row>
    <row r="9402" spans="1:9" x14ac:dyDescent="0.3">
      <c r="A9402" t="s">
        <v>24</v>
      </c>
      <c r="G9402">
        <v>44739</v>
      </c>
      <c r="H9402">
        <v>2022</v>
      </c>
      <c r="I9402" t="s">
        <v>47</v>
      </c>
    </row>
    <row r="9403" spans="1:9" x14ac:dyDescent="0.3">
      <c r="A9403" t="s">
        <v>21</v>
      </c>
      <c r="G9403">
        <v>44739</v>
      </c>
      <c r="H9403">
        <v>2022</v>
      </c>
      <c r="I9403" t="s">
        <v>47</v>
      </c>
    </row>
    <row r="9404" spans="1:9" x14ac:dyDescent="0.3">
      <c r="A9404" t="s">
        <v>65</v>
      </c>
      <c r="G9404">
        <v>44739</v>
      </c>
      <c r="H9404">
        <v>2022</v>
      </c>
      <c r="I9404" t="s">
        <v>47</v>
      </c>
    </row>
    <row r="9405" spans="1:9" x14ac:dyDescent="0.3">
      <c r="A9405" t="s">
        <v>18</v>
      </c>
      <c r="G9405">
        <v>44739</v>
      </c>
      <c r="H9405">
        <v>2022</v>
      </c>
      <c r="I9405" t="s">
        <v>47</v>
      </c>
    </row>
    <row r="9406" spans="1:9" x14ac:dyDescent="0.3">
      <c r="A9406" t="s">
        <v>16</v>
      </c>
      <c r="G9406">
        <v>44739</v>
      </c>
      <c r="H9406">
        <v>2022</v>
      </c>
      <c r="I9406" t="s">
        <v>47</v>
      </c>
    </row>
    <row r="9407" spans="1:9" x14ac:dyDescent="0.3">
      <c r="A9407" t="s">
        <v>20</v>
      </c>
      <c r="G9407">
        <v>44740</v>
      </c>
      <c r="H9407">
        <v>2022</v>
      </c>
      <c r="I9407" t="s">
        <v>47</v>
      </c>
    </row>
    <row r="9408" spans="1:9" x14ac:dyDescent="0.3">
      <c r="A9408" t="s">
        <v>37</v>
      </c>
      <c r="C9408">
        <v>54000</v>
      </c>
      <c r="G9408">
        <v>44740</v>
      </c>
      <c r="H9408">
        <v>2022</v>
      </c>
      <c r="I9408" t="s">
        <v>47</v>
      </c>
    </row>
    <row r="9409" spans="1:9" x14ac:dyDescent="0.3">
      <c r="A9409" t="s">
        <v>17</v>
      </c>
      <c r="G9409">
        <v>44740</v>
      </c>
      <c r="H9409">
        <v>2022</v>
      </c>
      <c r="I9409" t="s">
        <v>47</v>
      </c>
    </row>
    <row r="9410" spans="1:9" x14ac:dyDescent="0.3">
      <c r="A9410" t="s">
        <v>0</v>
      </c>
      <c r="G9410">
        <v>44740</v>
      </c>
      <c r="H9410">
        <v>2022</v>
      </c>
      <c r="I9410" t="s">
        <v>47</v>
      </c>
    </row>
    <row r="9411" spans="1:9" x14ac:dyDescent="0.3">
      <c r="A9411" t="s">
        <v>25</v>
      </c>
      <c r="G9411">
        <v>44740</v>
      </c>
      <c r="H9411">
        <v>2022</v>
      </c>
      <c r="I9411" t="s">
        <v>47</v>
      </c>
    </row>
    <row r="9412" spans="1:9" x14ac:dyDescent="0.3">
      <c r="A9412" t="s">
        <v>15</v>
      </c>
      <c r="G9412">
        <v>44740</v>
      </c>
      <c r="H9412">
        <v>2022</v>
      </c>
      <c r="I9412" t="s">
        <v>47</v>
      </c>
    </row>
    <row r="9413" spans="1:9" x14ac:dyDescent="0.3">
      <c r="A9413" t="s">
        <v>54</v>
      </c>
      <c r="G9413">
        <v>44740</v>
      </c>
      <c r="H9413">
        <v>2022</v>
      </c>
      <c r="I9413" t="s">
        <v>47</v>
      </c>
    </row>
    <row r="9414" spans="1:9" x14ac:dyDescent="0.3">
      <c r="A9414" t="s">
        <v>26</v>
      </c>
      <c r="G9414">
        <v>44740</v>
      </c>
      <c r="H9414">
        <v>2022</v>
      </c>
      <c r="I9414" t="s">
        <v>47</v>
      </c>
    </row>
    <row r="9415" spans="1:9" x14ac:dyDescent="0.3">
      <c r="A9415" t="s">
        <v>22</v>
      </c>
      <c r="G9415">
        <v>44740</v>
      </c>
      <c r="H9415">
        <v>2022</v>
      </c>
      <c r="I9415" t="s">
        <v>47</v>
      </c>
    </row>
    <row r="9416" spans="1:9" x14ac:dyDescent="0.3">
      <c r="A9416" t="s">
        <v>61</v>
      </c>
      <c r="G9416">
        <v>44740</v>
      </c>
      <c r="H9416">
        <v>2022</v>
      </c>
      <c r="I9416" t="s">
        <v>47</v>
      </c>
    </row>
    <row r="9417" spans="1:9" x14ac:dyDescent="0.3">
      <c r="A9417" t="s">
        <v>19</v>
      </c>
      <c r="C9417">
        <v>432000</v>
      </c>
      <c r="G9417">
        <v>44740</v>
      </c>
      <c r="H9417">
        <v>2022</v>
      </c>
      <c r="I9417" t="s">
        <v>47</v>
      </c>
    </row>
    <row r="9418" spans="1:9" x14ac:dyDescent="0.3">
      <c r="A9418" t="s">
        <v>14</v>
      </c>
      <c r="B9418">
        <v>540000</v>
      </c>
      <c r="C9418">
        <v>647500</v>
      </c>
      <c r="E9418">
        <v>50000</v>
      </c>
      <c r="G9418">
        <v>44740</v>
      </c>
      <c r="H9418">
        <v>2022</v>
      </c>
      <c r="I9418" t="s">
        <v>47</v>
      </c>
    </row>
    <row r="9419" spans="1:9" x14ac:dyDescent="0.3">
      <c r="A9419" t="s">
        <v>24</v>
      </c>
      <c r="G9419">
        <v>44740</v>
      </c>
      <c r="H9419">
        <v>2022</v>
      </c>
      <c r="I9419" t="s">
        <v>47</v>
      </c>
    </row>
    <row r="9420" spans="1:9" x14ac:dyDescent="0.3">
      <c r="A9420" t="s">
        <v>21</v>
      </c>
      <c r="G9420">
        <v>44740</v>
      </c>
      <c r="H9420">
        <v>2022</v>
      </c>
      <c r="I9420" t="s">
        <v>47</v>
      </c>
    </row>
    <row r="9421" spans="1:9" x14ac:dyDescent="0.3">
      <c r="A9421" t="s">
        <v>65</v>
      </c>
      <c r="G9421">
        <v>44740</v>
      </c>
      <c r="H9421">
        <v>2022</v>
      </c>
      <c r="I9421" t="s">
        <v>47</v>
      </c>
    </row>
    <row r="9422" spans="1:9" x14ac:dyDescent="0.3">
      <c r="A9422" t="s">
        <v>18</v>
      </c>
      <c r="G9422">
        <v>44740</v>
      </c>
      <c r="H9422">
        <v>2022</v>
      </c>
      <c r="I9422" t="s">
        <v>47</v>
      </c>
    </row>
    <row r="9423" spans="1:9" x14ac:dyDescent="0.3">
      <c r="A9423" t="s">
        <v>16</v>
      </c>
      <c r="G9423">
        <v>44740</v>
      </c>
      <c r="H9423">
        <v>2022</v>
      </c>
      <c r="I9423" t="s">
        <v>47</v>
      </c>
    </row>
    <row r="9424" spans="1:9" x14ac:dyDescent="0.3">
      <c r="A9424" t="s">
        <v>20</v>
      </c>
      <c r="G9424">
        <v>44741</v>
      </c>
      <c r="H9424">
        <v>2022</v>
      </c>
      <c r="I9424" t="s">
        <v>47</v>
      </c>
    </row>
    <row r="9425" spans="1:9" x14ac:dyDescent="0.3">
      <c r="A9425" t="s">
        <v>37</v>
      </c>
      <c r="C9425">
        <v>108000</v>
      </c>
      <c r="G9425">
        <v>44741</v>
      </c>
      <c r="H9425">
        <v>2022</v>
      </c>
      <c r="I9425" t="s">
        <v>47</v>
      </c>
    </row>
    <row r="9426" spans="1:9" x14ac:dyDescent="0.3">
      <c r="A9426" t="s">
        <v>17</v>
      </c>
      <c r="G9426">
        <v>44741</v>
      </c>
      <c r="H9426">
        <v>2022</v>
      </c>
      <c r="I9426" t="s">
        <v>47</v>
      </c>
    </row>
    <row r="9427" spans="1:9" x14ac:dyDescent="0.3">
      <c r="A9427" t="s">
        <v>0</v>
      </c>
      <c r="G9427">
        <v>44741</v>
      </c>
      <c r="H9427">
        <v>2022</v>
      </c>
      <c r="I9427" t="s">
        <v>47</v>
      </c>
    </row>
    <row r="9428" spans="1:9" x14ac:dyDescent="0.3">
      <c r="A9428" t="s">
        <v>25</v>
      </c>
      <c r="C9428">
        <v>324000</v>
      </c>
      <c r="G9428">
        <v>44741</v>
      </c>
      <c r="H9428">
        <v>2022</v>
      </c>
      <c r="I9428" t="s">
        <v>47</v>
      </c>
    </row>
    <row r="9429" spans="1:9" x14ac:dyDescent="0.3">
      <c r="A9429" t="s">
        <v>15</v>
      </c>
      <c r="B9429">
        <v>864000</v>
      </c>
      <c r="D9429">
        <v>216000</v>
      </c>
      <c r="G9429">
        <v>44741</v>
      </c>
      <c r="H9429">
        <v>2022</v>
      </c>
      <c r="I9429" t="s">
        <v>47</v>
      </c>
    </row>
    <row r="9430" spans="1:9" x14ac:dyDescent="0.3">
      <c r="A9430" t="s">
        <v>54</v>
      </c>
      <c r="B9430">
        <v>378000</v>
      </c>
      <c r="E9430">
        <v>162000</v>
      </c>
      <c r="G9430">
        <v>44741</v>
      </c>
      <c r="H9430">
        <v>2022</v>
      </c>
      <c r="I9430" t="s">
        <v>47</v>
      </c>
    </row>
    <row r="9431" spans="1:9" x14ac:dyDescent="0.3">
      <c r="A9431" t="s">
        <v>26</v>
      </c>
      <c r="G9431">
        <v>44741</v>
      </c>
      <c r="H9431">
        <v>2022</v>
      </c>
      <c r="I9431" t="s">
        <v>47</v>
      </c>
    </row>
    <row r="9432" spans="1:9" x14ac:dyDescent="0.3">
      <c r="A9432" t="s">
        <v>22</v>
      </c>
      <c r="G9432">
        <v>44741</v>
      </c>
      <c r="H9432">
        <v>2022</v>
      </c>
      <c r="I9432" t="s">
        <v>47</v>
      </c>
    </row>
    <row r="9433" spans="1:9" x14ac:dyDescent="0.3">
      <c r="A9433" t="s">
        <v>61</v>
      </c>
      <c r="G9433">
        <v>44741</v>
      </c>
      <c r="H9433">
        <v>2022</v>
      </c>
      <c r="I9433" t="s">
        <v>47</v>
      </c>
    </row>
    <row r="9434" spans="1:9" x14ac:dyDescent="0.3">
      <c r="A9434" t="s">
        <v>19</v>
      </c>
      <c r="B9434">
        <v>693500</v>
      </c>
      <c r="D9434">
        <v>216000</v>
      </c>
      <c r="G9434">
        <v>44741</v>
      </c>
      <c r="H9434">
        <v>2022</v>
      </c>
      <c r="I9434" t="s">
        <v>47</v>
      </c>
    </row>
    <row r="9435" spans="1:9" x14ac:dyDescent="0.3">
      <c r="A9435" t="s">
        <v>14</v>
      </c>
      <c r="B9435">
        <v>536000</v>
      </c>
      <c r="C9435">
        <v>797000</v>
      </c>
      <c r="D9435">
        <v>162000</v>
      </c>
      <c r="E9435">
        <v>270000</v>
      </c>
      <c r="G9435">
        <v>44741</v>
      </c>
      <c r="H9435">
        <v>2022</v>
      </c>
      <c r="I9435" t="s">
        <v>47</v>
      </c>
    </row>
    <row r="9436" spans="1:9" x14ac:dyDescent="0.3">
      <c r="A9436" t="s">
        <v>24</v>
      </c>
      <c r="G9436">
        <v>44741</v>
      </c>
      <c r="H9436">
        <v>2022</v>
      </c>
      <c r="I9436" t="s">
        <v>47</v>
      </c>
    </row>
    <row r="9437" spans="1:9" x14ac:dyDescent="0.3">
      <c r="A9437" t="s">
        <v>21</v>
      </c>
      <c r="G9437">
        <v>44741</v>
      </c>
      <c r="H9437">
        <v>2022</v>
      </c>
      <c r="I9437" t="s">
        <v>47</v>
      </c>
    </row>
    <row r="9438" spans="1:9" x14ac:dyDescent="0.3">
      <c r="A9438" t="s">
        <v>65</v>
      </c>
      <c r="G9438">
        <v>44741</v>
      </c>
      <c r="H9438">
        <v>2022</v>
      </c>
      <c r="I9438" t="s">
        <v>47</v>
      </c>
    </row>
    <row r="9439" spans="1:9" x14ac:dyDescent="0.3">
      <c r="A9439" t="s">
        <v>18</v>
      </c>
      <c r="G9439">
        <v>44741</v>
      </c>
      <c r="H9439">
        <v>2022</v>
      </c>
      <c r="I9439" t="s">
        <v>47</v>
      </c>
    </row>
    <row r="9440" spans="1:9" x14ac:dyDescent="0.3">
      <c r="A9440" t="s">
        <v>16</v>
      </c>
      <c r="G9440">
        <v>44741</v>
      </c>
      <c r="H9440">
        <v>2022</v>
      </c>
      <c r="I9440" t="s">
        <v>47</v>
      </c>
    </row>
    <row r="9441" spans="1:9" x14ac:dyDescent="0.3">
      <c r="A9441" t="s">
        <v>20</v>
      </c>
      <c r="G9441">
        <v>44742</v>
      </c>
      <c r="H9441">
        <v>2022</v>
      </c>
      <c r="I9441" t="s">
        <v>47</v>
      </c>
    </row>
    <row r="9442" spans="1:9" x14ac:dyDescent="0.3">
      <c r="A9442" t="s">
        <v>37</v>
      </c>
      <c r="B9442">
        <v>262000</v>
      </c>
      <c r="C9442">
        <v>45000</v>
      </c>
      <c r="D9442">
        <v>216000</v>
      </c>
      <c r="G9442">
        <v>44742</v>
      </c>
      <c r="H9442">
        <v>2022</v>
      </c>
      <c r="I9442" t="s">
        <v>47</v>
      </c>
    </row>
    <row r="9443" spans="1:9" x14ac:dyDescent="0.3">
      <c r="A9443" t="s">
        <v>17</v>
      </c>
      <c r="G9443">
        <v>44742</v>
      </c>
      <c r="H9443">
        <v>2022</v>
      </c>
      <c r="I9443" t="s">
        <v>47</v>
      </c>
    </row>
    <row r="9444" spans="1:9" x14ac:dyDescent="0.3">
      <c r="A9444" t="s">
        <v>0</v>
      </c>
      <c r="G9444">
        <v>44742</v>
      </c>
      <c r="H9444">
        <v>2022</v>
      </c>
      <c r="I9444" t="s">
        <v>47</v>
      </c>
    </row>
    <row r="9445" spans="1:9" x14ac:dyDescent="0.3">
      <c r="A9445" t="s">
        <v>25</v>
      </c>
      <c r="C9445">
        <v>108000</v>
      </c>
      <c r="G9445">
        <v>44742</v>
      </c>
      <c r="H9445">
        <v>2022</v>
      </c>
      <c r="I9445" t="s">
        <v>47</v>
      </c>
    </row>
    <row r="9446" spans="1:9" x14ac:dyDescent="0.3">
      <c r="A9446" t="s">
        <v>15</v>
      </c>
      <c r="B9446">
        <v>216000</v>
      </c>
      <c r="G9446">
        <v>44742</v>
      </c>
      <c r="H9446">
        <v>2022</v>
      </c>
      <c r="I9446" t="s">
        <v>47</v>
      </c>
    </row>
    <row r="9447" spans="1:9" x14ac:dyDescent="0.3">
      <c r="A9447" t="s">
        <v>54</v>
      </c>
      <c r="B9447">
        <v>540000</v>
      </c>
      <c r="G9447">
        <v>44742</v>
      </c>
      <c r="H9447">
        <v>2022</v>
      </c>
      <c r="I9447" t="s">
        <v>47</v>
      </c>
    </row>
    <row r="9448" spans="1:9" x14ac:dyDescent="0.3">
      <c r="A9448" t="s">
        <v>26</v>
      </c>
      <c r="G9448">
        <v>44742</v>
      </c>
      <c r="H9448">
        <v>2022</v>
      </c>
      <c r="I9448" t="s">
        <v>47</v>
      </c>
    </row>
    <row r="9449" spans="1:9" x14ac:dyDescent="0.3">
      <c r="A9449" t="s">
        <v>22</v>
      </c>
      <c r="G9449">
        <v>44742</v>
      </c>
      <c r="H9449">
        <v>2022</v>
      </c>
      <c r="I9449" t="s">
        <v>47</v>
      </c>
    </row>
    <row r="9450" spans="1:9" x14ac:dyDescent="0.3">
      <c r="A9450" t="s">
        <v>61</v>
      </c>
      <c r="G9450">
        <v>44742</v>
      </c>
      <c r="H9450">
        <v>2022</v>
      </c>
      <c r="I9450" t="s">
        <v>47</v>
      </c>
    </row>
    <row r="9451" spans="1:9" x14ac:dyDescent="0.3">
      <c r="A9451" t="s">
        <v>19</v>
      </c>
      <c r="B9451">
        <v>486000</v>
      </c>
      <c r="D9451">
        <v>216000</v>
      </c>
      <c r="G9451">
        <v>44742</v>
      </c>
      <c r="H9451">
        <v>2022</v>
      </c>
      <c r="I9451" t="s">
        <v>47</v>
      </c>
    </row>
    <row r="9452" spans="1:9" x14ac:dyDescent="0.3">
      <c r="A9452" t="s">
        <v>14</v>
      </c>
      <c r="B9452">
        <v>377500</v>
      </c>
      <c r="C9452">
        <v>1283500</v>
      </c>
      <c r="D9452">
        <v>216000</v>
      </c>
      <c r="G9452">
        <v>44742</v>
      </c>
      <c r="H9452">
        <v>2022</v>
      </c>
      <c r="I9452" t="s">
        <v>47</v>
      </c>
    </row>
    <row r="9453" spans="1:9" x14ac:dyDescent="0.3">
      <c r="A9453" t="s">
        <v>24</v>
      </c>
      <c r="G9453">
        <v>44742</v>
      </c>
      <c r="H9453">
        <v>2022</v>
      </c>
      <c r="I9453" t="s">
        <v>47</v>
      </c>
    </row>
    <row r="9454" spans="1:9" x14ac:dyDescent="0.3">
      <c r="A9454" t="s">
        <v>21</v>
      </c>
      <c r="G9454">
        <v>44742</v>
      </c>
      <c r="H9454">
        <v>2022</v>
      </c>
      <c r="I9454" t="s">
        <v>47</v>
      </c>
    </row>
    <row r="9455" spans="1:9" x14ac:dyDescent="0.3">
      <c r="A9455" t="s">
        <v>65</v>
      </c>
      <c r="G9455">
        <v>44742</v>
      </c>
      <c r="H9455">
        <v>2022</v>
      </c>
      <c r="I9455" t="s">
        <v>47</v>
      </c>
    </row>
    <row r="9456" spans="1:9" x14ac:dyDescent="0.3">
      <c r="A9456" t="s">
        <v>18</v>
      </c>
      <c r="G9456">
        <v>44742</v>
      </c>
      <c r="H9456">
        <v>2022</v>
      </c>
      <c r="I9456" t="s">
        <v>47</v>
      </c>
    </row>
    <row r="9457" spans="1:9" x14ac:dyDescent="0.3">
      <c r="A9457" t="s">
        <v>16</v>
      </c>
      <c r="G9457">
        <v>44742</v>
      </c>
      <c r="H9457">
        <v>2022</v>
      </c>
      <c r="I9457" t="s">
        <v>47</v>
      </c>
    </row>
    <row r="9458" spans="1:9" x14ac:dyDescent="0.3">
      <c r="A9458" t="s">
        <v>20</v>
      </c>
      <c r="G9458">
        <v>44746</v>
      </c>
      <c r="H9458">
        <v>2022</v>
      </c>
      <c r="I9458" t="s">
        <v>48</v>
      </c>
    </row>
    <row r="9459" spans="1:9" x14ac:dyDescent="0.3">
      <c r="A9459" t="s">
        <v>37</v>
      </c>
      <c r="B9459">
        <v>216000</v>
      </c>
      <c r="C9459">
        <v>45000</v>
      </c>
      <c r="D9459">
        <v>54000</v>
      </c>
      <c r="G9459">
        <v>44746</v>
      </c>
      <c r="H9459">
        <v>2022</v>
      </c>
      <c r="I9459" t="s">
        <v>48</v>
      </c>
    </row>
    <row r="9460" spans="1:9" x14ac:dyDescent="0.3">
      <c r="A9460" t="s">
        <v>17</v>
      </c>
      <c r="G9460">
        <v>44746</v>
      </c>
      <c r="H9460">
        <v>2022</v>
      </c>
      <c r="I9460" t="s">
        <v>48</v>
      </c>
    </row>
    <row r="9461" spans="1:9" x14ac:dyDescent="0.3">
      <c r="A9461" t="s">
        <v>0</v>
      </c>
      <c r="B9461">
        <v>648000</v>
      </c>
      <c r="D9461">
        <v>54000</v>
      </c>
      <c r="G9461">
        <v>44746</v>
      </c>
      <c r="H9461">
        <v>2022</v>
      </c>
      <c r="I9461" t="s">
        <v>48</v>
      </c>
    </row>
    <row r="9462" spans="1:9" x14ac:dyDescent="0.3">
      <c r="A9462" t="s">
        <v>25</v>
      </c>
      <c r="G9462">
        <v>44746</v>
      </c>
      <c r="H9462">
        <v>2022</v>
      </c>
      <c r="I9462" t="s">
        <v>48</v>
      </c>
    </row>
    <row r="9463" spans="1:9" x14ac:dyDescent="0.3">
      <c r="A9463" t="s">
        <v>15</v>
      </c>
      <c r="B9463">
        <v>162000</v>
      </c>
      <c r="G9463">
        <v>44746</v>
      </c>
      <c r="H9463">
        <v>2022</v>
      </c>
      <c r="I9463" t="s">
        <v>48</v>
      </c>
    </row>
    <row r="9464" spans="1:9" x14ac:dyDescent="0.3">
      <c r="A9464" t="s">
        <v>54</v>
      </c>
      <c r="B9464">
        <v>266000</v>
      </c>
      <c r="D9464">
        <v>108000</v>
      </c>
      <c r="G9464">
        <v>44746</v>
      </c>
      <c r="H9464">
        <v>2022</v>
      </c>
      <c r="I9464" t="s">
        <v>48</v>
      </c>
    </row>
    <row r="9465" spans="1:9" x14ac:dyDescent="0.3">
      <c r="A9465" t="s">
        <v>26</v>
      </c>
      <c r="G9465">
        <v>44746</v>
      </c>
      <c r="H9465">
        <v>2022</v>
      </c>
      <c r="I9465" t="s">
        <v>48</v>
      </c>
    </row>
    <row r="9466" spans="1:9" x14ac:dyDescent="0.3">
      <c r="A9466" t="s">
        <v>22</v>
      </c>
      <c r="C9466">
        <v>432000</v>
      </c>
      <c r="G9466">
        <v>44746</v>
      </c>
      <c r="H9466">
        <v>2022</v>
      </c>
      <c r="I9466" t="s">
        <v>48</v>
      </c>
    </row>
    <row r="9467" spans="1:9" x14ac:dyDescent="0.3">
      <c r="A9467" t="s">
        <v>61</v>
      </c>
      <c r="G9467">
        <v>44746</v>
      </c>
      <c r="H9467">
        <v>2022</v>
      </c>
      <c r="I9467" t="s">
        <v>48</v>
      </c>
    </row>
    <row r="9468" spans="1:9" x14ac:dyDescent="0.3">
      <c r="A9468" t="s">
        <v>19</v>
      </c>
      <c r="B9468">
        <v>108000</v>
      </c>
      <c r="C9468">
        <v>414000</v>
      </c>
      <c r="D9468">
        <v>216000</v>
      </c>
      <c r="G9468">
        <v>44746</v>
      </c>
      <c r="H9468">
        <v>2022</v>
      </c>
      <c r="I9468" t="s">
        <v>48</v>
      </c>
    </row>
    <row r="9469" spans="1:9" x14ac:dyDescent="0.3">
      <c r="A9469" t="s">
        <v>14</v>
      </c>
      <c r="B9469">
        <v>455000</v>
      </c>
      <c r="C9469">
        <v>679500</v>
      </c>
      <c r="D9469">
        <v>216000</v>
      </c>
      <c r="G9469">
        <v>44746</v>
      </c>
      <c r="H9469">
        <v>2022</v>
      </c>
      <c r="I9469" t="s">
        <v>48</v>
      </c>
    </row>
    <row r="9470" spans="1:9" x14ac:dyDescent="0.3">
      <c r="A9470" t="s">
        <v>24</v>
      </c>
      <c r="G9470">
        <v>44746</v>
      </c>
      <c r="H9470">
        <v>2022</v>
      </c>
      <c r="I9470" t="s">
        <v>48</v>
      </c>
    </row>
    <row r="9471" spans="1:9" x14ac:dyDescent="0.3">
      <c r="A9471" t="s">
        <v>21</v>
      </c>
      <c r="G9471">
        <v>44746</v>
      </c>
      <c r="H9471">
        <v>2022</v>
      </c>
      <c r="I9471" t="s">
        <v>48</v>
      </c>
    </row>
    <row r="9472" spans="1:9" x14ac:dyDescent="0.3">
      <c r="A9472" t="s">
        <v>65</v>
      </c>
      <c r="G9472">
        <v>44746</v>
      </c>
      <c r="H9472">
        <v>2022</v>
      </c>
      <c r="I9472" t="s">
        <v>48</v>
      </c>
    </row>
    <row r="9473" spans="1:9" x14ac:dyDescent="0.3">
      <c r="A9473" t="s">
        <v>18</v>
      </c>
      <c r="G9473">
        <v>44746</v>
      </c>
      <c r="H9473">
        <v>2022</v>
      </c>
      <c r="I9473" t="s">
        <v>48</v>
      </c>
    </row>
    <row r="9474" spans="1:9" x14ac:dyDescent="0.3">
      <c r="A9474" t="s">
        <v>16</v>
      </c>
      <c r="B9474">
        <v>310500</v>
      </c>
      <c r="D9474">
        <v>54000</v>
      </c>
      <c r="G9474">
        <v>44746</v>
      </c>
      <c r="H9474">
        <v>2022</v>
      </c>
      <c r="I9474" t="s">
        <v>48</v>
      </c>
    </row>
    <row r="9475" spans="1:9" x14ac:dyDescent="0.3">
      <c r="A9475" t="s">
        <v>20</v>
      </c>
      <c r="G9475">
        <v>44747</v>
      </c>
      <c r="H9475">
        <v>2022</v>
      </c>
      <c r="I9475" t="s">
        <v>48</v>
      </c>
    </row>
    <row r="9476" spans="1:9" x14ac:dyDescent="0.3">
      <c r="A9476" t="s">
        <v>37</v>
      </c>
      <c r="G9476">
        <v>44747</v>
      </c>
      <c r="H9476">
        <v>2022</v>
      </c>
      <c r="I9476" t="s">
        <v>48</v>
      </c>
    </row>
    <row r="9477" spans="1:9" x14ac:dyDescent="0.3">
      <c r="A9477" t="s">
        <v>17</v>
      </c>
      <c r="G9477">
        <v>44747</v>
      </c>
      <c r="H9477">
        <v>2022</v>
      </c>
      <c r="I9477" t="s">
        <v>48</v>
      </c>
    </row>
    <row r="9478" spans="1:9" x14ac:dyDescent="0.3">
      <c r="A9478" t="s">
        <v>0</v>
      </c>
      <c r="B9478">
        <v>1134000</v>
      </c>
      <c r="D9478">
        <v>270000</v>
      </c>
      <c r="G9478">
        <v>44747</v>
      </c>
      <c r="H9478">
        <v>2022</v>
      </c>
      <c r="I9478" t="s">
        <v>48</v>
      </c>
    </row>
    <row r="9479" spans="1:9" x14ac:dyDescent="0.3">
      <c r="A9479" t="s">
        <v>25</v>
      </c>
      <c r="G9479">
        <v>44747</v>
      </c>
      <c r="H9479">
        <v>2022</v>
      </c>
      <c r="I9479" t="s">
        <v>48</v>
      </c>
    </row>
    <row r="9480" spans="1:9" x14ac:dyDescent="0.3">
      <c r="A9480" t="s">
        <v>15</v>
      </c>
      <c r="D9480">
        <v>50000</v>
      </c>
      <c r="G9480">
        <v>44747</v>
      </c>
      <c r="H9480">
        <v>2022</v>
      </c>
      <c r="I9480" t="s">
        <v>48</v>
      </c>
    </row>
    <row r="9481" spans="1:9" x14ac:dyDescent="0.3">
      <c r="A9481" t="s">
        <v>54</v>
      </c>
      <c r="D9481">
        <v>54000</v>
      </c>
      <c r="G9481">
        <v>44747</v>
      </c>
      <c r="H9481">
        <v>2022</v>
      </c>
      <c r="I9481" t="s">
        <v>48</v>
      </c>
    </row>
    <row r="9482" spans="1:9" x14ac:dyDescent="0.3">
      <c r="A9482" t="s">
        <v>26</v>
      </c>
      <c r="G9482">
        <v>44747</v>
      </c>
      <c r="H9482">
        <v>2022</v>
      </c>
      <c r="I9482" t="s">
        <v>48</v>
      </c>
    </row>
    <row r="9483" spans="1:9" x14ac:dyDescent="0.3">
      <c r="A9483" t="s">
        <v>22</v>
      </c>
      <c r="C9483">
        <v>54000</v>
      </c>
      <c r="G9483">
        <v>44747</v>
      </c>
      <c r="H9483">
        <v>2022</v>
      </c>
      <c r="I9483" t="s">
        <v>48</v>
      </c>
    </row>
    <row r="9484" spans="1:9" x14ac:dyDescent="0.3">
      <c r="A9484" t="s">
        <v>61</v>
      </c>
      <c r="G9484">
        <v>44747</v>
      </c>
      <c r="H9484">
        <v>2022</v>
      </c>
      <c r="I9484" t="s">
        <v>48</v>
      </c>
    </row>
    <row r="9485" spans="1:9" x14ac:dyDescent="0.3">
      <c r="A9485" t="s">
        <v>19</v>
      </c>
      <c r="B9485">
        <v>53500</v>
      </c>
      <c r="C9485">
        <v>270000</v>
      </c>
      <c r="G9485">
        <v>44747</v>
      </c>
      <c r="H9485">
        <v>2022</v>
      </c>
      <c r="I9485" t="s">
        <v>48</v>
      </c>
    </row>
    <row r="9486" spans="1:9" x14ac:dyDescent="0.3">
      <c r="A9486" t="s">
        <v>14</v>
      </c>
      <c r="B9486">
        <v>195000</v>
      </c>
      <c r="C9486">
        <v>324000</v>
      </c>
      <c r="D9486">
        <v>54000</v>
      </c>
      <c r="G9486">
        <v>44747</v>
      </c>
      <c r="H9486">
        <v>2022</v>
      </c>
      <c r="I9486" t="s">
        <v>48</v>
      </c>
    </row>
    <row r="9487" spans="1:9" x14ac:dyDescent="0.3">
      <c r="A9487" t="s">
        <v>24</v>
      </c>
      <c r="G9487">
        <v>44747</v>
      </c>
      <c r="H9487">
        <v>2022</v>
      </c>
      <c r="I9487" t="s">
        <v>48</v>
      </c>
    </row>
    <row r="9488" spans="1:9" x14ac:dyDescent="0.3">
      <c r="A9488" t="s">
        <v>21</v>
      </c>
      <c r="G9488">
        <v>44747</v>
      </c>
      <c r="H9488">
        <v>2022</v>
      </c>
      <c r="I9488" t="s">
        <v>48</v>
      </c>
    </row>
    <row r="9489" spans="1:9" x14ac:dyDescent="0.3">
      <c r="A9489" t="s">
        <v>65</v>
      </c>
      <c r="G9489">
        <v>44747</v>
      </c>
      <c r="H9489">
        <v>2022</v>
      </c>
      <c r="I9489" t="s">
        <v>48</v>
      </c>
    </row>
    <row r="9490" spans="1:9" x14ac:dyDescent="0.3">
      <c r="A9490" t="s">
        <v>18</v>
      </c>
      <c r="G9490">
        <v>44747</v>
      </c>
      <c r="H9490">
        <v>2022</v>
      </c>
      <c r="I9490" t="s">
        <v>48</v>
      </c>
    </row>
    <row r="9491" spans="1:9" x14ac:dyDescent="0.3">
      <c r="A9491" t="s">
        <v>16</v>
      </c>
      <c r="B9491">
        <v>49500</v>
      </c>
      <c r="D9491">
        <v>54000</v>
      </c>
      <c r="G9491">
        <v>44747</v>
      </c>
      <c r="H9491">
        <v>2022</v>
      </c>
      <c r="I9491" t="s">
        <v>48</v>
      </c>
    </row>
    <row r="9492" spans="1:9" x14ac:dyDescent="0.3">
      <c r="A9492" t="s">
        <v>20</v>
      </c>
      <c r="G9492">
        <v>44748</v>
      </c>
      <c r="H9492">
        <v>2022</v>
      </c>
      <c r="I9492" t="s">
        <v>48</v>
      </c>
    </row>
    <row r="9493" spans="1:9" x14ac:dyDescent="0.3">
      <c r="A9493" t="s">
        <v>37</v>
      </c>
      <c r="B9493">
        <v>216000</v>
      </c>
      <c r="G9493">
        <v>44748</v>
      </c>
      <c r="H9493">
        <v>2022</v>
      </c>
      <c r="I9493" t="s">
        <v>48</v>
      </c>
    </row>
    <row r="9494" spans="1:9" x14ac:dyDescent="0.3">
      <c r="A9494" t="s">
        <v>17</v>
      </c>
      <c r="G9494">
        <v>44748</v>
      </c>
      <c r="H9494">
        <v>2022</v>
      </c>
      <c r="I9494" t="s">
        <v>48</v>
      </c>
    </row>
    <row r="9495" spans="1:9" x14ac:dyDescent="0.3">
      <c r="A9495" t="s">
        <v>0</v>
      </c>
      <c r="B9495">
        <v>270000</v>
      </c>
      <c r="D9495">
        <v>378000</v>
      </c>
      <c r="G9495">
        <v>44748</v>
      </c>
      <c r="H9495">
        <v>2022</v>
      </c>
      <c r="I9495" t="s">
        <v>48</v>
      </c>
    </row>
    <row r="9496" spans="1:9" x14ac:dyDescent="0.3">
      <c r="A9496" t="s">
        <v>25</v>
      </c>
      <c r="G9496">
        <v>44748</v>
      </c>
      <c r="H9496">
        <v>2022</v>
      </c>
      <c r="I9496" t="s">
        <v>48</v>
      </c>
    </row>
    <row r="9497" spans="1:9" x14ac:dyDescent="0.3">
      <c r="A9497" t="s">
        <v>15</v>
      </c>
      <c r="G9497">
        <v>44748</v>
      </c>
      <c r="H9497">
        <v>2022</v>
      </c>
      <c r="I9497" t="s">
        <v>48</v>
      </c>
    </row>
    <row r="9498" spans="1:9" x14ac:dyDescent="0.3">
      <c r="A9498" t="s">
        <v>54</v>
      </c>
      <c r="B9498">
        <v>162000</v>
      </c>
      <c r="D9498">
        <v>216000</v>
      </c>
      <c r="G9498">
        <v>44748</v>
      </c>
      <c r="H9498">
        <v>2022</v>
      </c>
      <c r="I9498" t="s">
        <v>48</v>
      </c>
    </row>
    <row r="9499" spans="1:9" x14ac:dyDescent="0.3">
      <c r="A9499" t="s">
        <v>26</v>
      </c>
      <c r="G9499">
        <v>44748</v>
      </c>
      <c r="H9499">
        <v>2022</v>
      </c>
      <c r="I9499" t="s">
        <v>48</v>
      </c>
    </row>
    <row r="9500" spans="1:9" x14ac:dyDescent="0.3">
      <c r="A9500" t="s">
        <v>22</v>
      </c>
      <c r="C9500">
        <v>54000</v>
      </c>
      <c r="G9500">
        <v>44748</v>
      </c>
      <c r="H9500">
        <v>2022</v>
      </c>
      <c r="I9500" t="s">
        <v>48</v>
      </c>
    </row>
    <row r="9501" spans="1:9" x14ac:dyDescent="0.3">
      <c r="A9501" t="s">
        <v>61</v>
      </c>
      <c r="G9501">
        <v>44748</v>
      </c>
      <c r="H9501">
        <v>2022</v>
      </c>
      <c r="I9501" t="s">
        <v>48</v>
      </c>
    </row>
    <row r="9502" spans="1:9" x14ac:dyDescent="0.3">
      <c r="A9502" t="s">
        <v>19</v>
      </c>
      <c r="G9502">
        <v>44748</v>
      </c>
      <c r="H9502">
        <v>2022</v>
      </c>
      <c r="I9502" t="s">
        <v>48</v>
      </c>
    </row>
    <row r="9503" spans="1:9" x14ac:dyDescent="0.3">
      <c r="A9503" t="s">
        <v>14</v>
      </c>
      <c r="B9503">
        <v>1323500</v>
      </c>
      <c r="C9503">
        <v>1282500</v>
      </c>
      <c r="D9503">
        <v>162000</v>
      </c>
      <c r="E9503">
        <v>95000</v>
      </c>
      <c r="G9503">
        <v>44748</v>
      </c>
      <c r="H9503">
        <v>2022</v>
      </c>
      <c r="I9503" t="s">
        <v>48</v>
      </c>
    </row>
    <row r="9504" spans="1:9" x14ac:dyDescent="0.3">
      <c r="A9504" t="s">
        <v>24</v>
      </c>
      <c r="G9504">
        <v>44748</v>
      </c>
      <c r="H9504">
        <v>2022</v>
      </c>
      <c r="I9504" t="s">
        <v>48</v>
      </c>
    </row>
    <row r="9505" spans="1:9" x14ac:dyDescent="0.3">
      <c r="A9505" t="s">
        <v>21</v>
      </c>
      <c r="G9505">
        <v>44748</v>
      </c>
      <c r="H9505">
        <v>2022</v>
      </c>
      <c r="I9505" t="s">
        <v>48</v>
      </c>
    </row>
    <row r="9506" spans="1:9" x14ac:dyDescent="0.3">
      <c r="A9506" t="s">
        <v>65</v>
      </c>
      <c r="G9506">
        <v>44748</v>
      </c>
      <c r="H9506">
        <v>2022</v>
      </c>
      <c r="I9506" t="s">
        <v>48</v>
      </c>
    </row>
    <row r="9507" spans="1:9" x14ac:dyDescent="0.3">
      <c r="A9507" t="s">
        <v>18</v>
      </c>
      <c r="G9507">
        <v>44748</v>
      </c>
      <c r="H9507">
        <v>2022</v>
      </c>
      <c r="I9507" t="s">
        <v>48</v>
      </c>
    </row>
    <row r="9508" spans="1:9" x14ac:dyDescent="0.3">
      <c r="A9508" t="s">
        <v>16</v>
      </c>
      <c r="B9508">
        <v>153500</v>
      </c>
      <c r="D9508">
        <v>54000</v>
      </c>
      <c r="G9508">
        <v>44748</v>
      </c>
      <c r="H9508">
        <v>2022</v>
      </c>
      <c r="I9508" t="s">
        <v>48</v>
      </c>
    </row>
    <row r="9509" spans="1:9" x14ac:dyDescent="0.3">
      <c r="A9509" t="s">
        <v>20</v>
      </c>
      <c r="G9509">
        <v>44749</v>
      </c>
      <c r="H9509">
        <v>2022</v>
      </c>
      <c r="I9509" t="s">
        <v>48</v>
      </c>
    </row>
    <row r="9510" spans="1:9" x14ac:dyDescent="0.3">
      <c r="A9510" t="s">
        <v>37</v>
      </c>
      <c r="D9510">
        <v>50000</v>
      </c>
      <c r="G9510">
        <v>44749</v>
      </c>
      <c r="H9510">
        <v>2022</v>
      </c>
      <c r="I9510" t="s">
        <v>48</v>
      </c>
    </row>
    <row r="9511" spans="1:9" x14ac:dyDescent="0.3">
      <c r="A9511" t="s">
        <v>17</v>
      </c>
      <c r="G9511">
        <v>44749</v>
      </c>
      <c r="H9511">
        <v>2022</v>
      </c>
      <c r="I9511" t="s">
        <v>48</v>
      </c>
    </row>
    <row r="9512" spans="1:9" x14ac:dyDescent="0.3">
      <c r="A9512" t="s">
        <v>0</v>
      </c>
      <c r="D9512">
        <v>108000</v>
      </c>
      <c r="G9512">
        <v>44749</v>
      </c>
      <c r="H9512">
        <v>2022</v>
      </c>
      <c r="I9512" t="s">
        <v>48</v>
      </c>
    </row>
    <row r="9513" spans="1:9" x14ac:dyDescent="0.3">
      <c r="A9513" t="s">
        <v>25</v>
      </c>
      <c r="G9513">
        <v>44749</v>
      </c>
      <c r="H9513">
        <v>2022</v>
      </c>
      <c r="I9513" t="s">
        <v>48</v>
      </c>
    </row>
    <row r="9514" spans="1:9" x14ac:dyDescent="0.3">
      <c r="A9514" t="s">
        <v>15</v>
      </c>
      <c r="D9514">
        <v>108000</v>
      </c>
      <c r="G9514">
        <v>44749</v>
      </c>
      <c r="H9514">
        <v>2022</v>
      </c>
      <c r="I9514" t="s">
        <v>48</v>
      </c>
    </row>
    <row r="9515" spans="1:9" x14ac:dyDescent="0.3">
      <c r="A9515" t="s">
        <v>54</v>
      </c>
      <c r="D9515">
        <v>54000</v>
      </c>
      <c r="G9515">
        <v>44749</v>
      </c>
      <c r="H9515">
        <v>2022</v>
      </c>
      <c r="I9515" t="s">
        <v>48</v>
      </c>
    </row>
    <row r="9516" spans="1:9" x14ac:dyDescent="0.3">
      <c r="A9516" t="s">
        <v>26</v>
      </c>
      <c r="D9516">
        <v>45000</v>
      </c>
      <c r="G9516">
        <v>44749</v>
      </c>
      <c r="H9516">
        <v>2022</v>
      </c>
      <c r="I9516" t="s">
        <v>48</v>
      </c>
    </row>
    <row r="9517" spans="1:9" x14ac:dyDescent="0.3">
      <c r="A9517" t="s">
        <v>22</v>
      </c>
      <c r="G9517">
        <v>44749</v>
      </c>
      <c r="H9517">
        <v>2022</v>
      </c>
      <c r="I9517" t="s">
        <v>48</v>
      </c>
    </row>
    <row r="9518" spans="1:9" x14ac:dyDescent="0.3">
      <c r="A9518" t="s">
        <v>61</v>
      </c>
      <c r="G9518">
        <v>44749</v>
      </c>
      <c r="H9518">
        <v>2022</v>
      </c>
      <c r="I9518" t="s">
        <v>48</v>
      </c>
    </row>
    <row r="9519" spans="1:9" x14ac:dyDescent="0.3">
      <c r="A9519" t="s">
        <v>19</v>
      </c>
      <c r="C9519">
        <v>324000</v>
      </c>
      <c r="G9519">
        <v>44749</v>
      </c>
      <c r="H9519">
        <v>2022</v>
      </c>
      <c r="I9519" t="s">
        <v>48</v>
      </c>
    </row>
    <row r="9520" spans="1:9" x14ac:dyDescent="0.3">
      <c r="A9520" t="s">
        <v>14</v>
      </c>
      <c r="C9520">
        <v>162000</v>
      </c>
      <c r="D9520">
        <v>1017000</v>
      </c>
      <c r="G9520">
        <v>44749</v>
      </c>
      <c r="H9520">
        <v>2022</v>
      </c>
      <c r="I9520" t="s">
        <v>48</v>
      </c>
    </row>
    <row r="9521" spans="1:9" x14ac:dyDescent="0.3">
      <c r="A9521" t="s">
        <v>24</v>
      </c>
      <c r="G9521">
        <v>44749</v>
      </c>
      <c r="H9521">
        <v>2022</v>
      </c>
      <c r="I9521" t="s">
        <v>48</v>
      </c>
    </row>
    <row r="9522" spans="1:9" x14ac:dyDescent="0.3">
      <c r="A9522" t="s">
        <v>21</v>
      </c>
      <c r="G9522">
        <v>44749</v>
      </c>
      <c r="H9522">
        <v>2022</v>
      </c>
      <c r="I9522" t="s">
        <v>48</v>
      </c>
    </row>
    <row r="9523" spans="1:9" x14ac:dyDescent="0.3">
      <c r="A9523" t="s">
        <v>65</v>
      </c>
      <c r="G9523">
        <v>44749</v>
      </c>
      <c r="H9523">
        <v>2022</v>
      </c>
      <c r="I9523" t="s">
        <v>48</v>
      </c>
    </row>
    <row r="9524" spans="1:9" x14ac:dyDescent="0.3">
      <c r="A9524" t="s">
        <v>18</v>
      </c>
      <c r="G9524">
        <v>44749</v>
      </c>
      <c r="H9524">
        <v>2022</v>
      </c>
      <c r="I9524" t="s">
        <v>48</v>
      </c>
    </row>
    <row r="9525" spans="1:9" x14ac:dyDescent="0.3">
      <c r="A9525" t="s">
        <v>16</v>
      </c>
      <c r="G9525">
        <v>44749</v>
      </c>
      <c r="H9525">
        <v>2022</v>
      </c>
      <c r="I9525" t="s">
        <v>48</v>
      </c>
    </row>
    <row r="9526" spans="1:9" x14ac:dyDescent="0.3">
      <c r="A9526" t="s">
        <v>20</v>
      </c>
      <c r="G9526">
        <v>44750</v>
      </c>
      <c r="H9526">
        <v>2022</v>
      </c>
      <c r="I9526" t="s">
        <v>48</v>
      </c>
    </row>
    <row r="9527" spans="1:9" x14ac:dyDescent="0.3">
      <c r="A9527" t="s">
        <v>37</v>
      </c>
      <c r="D9527">
        <v>180000</v>
      </c>
      <c r="G9527">
        <v>44750</v>
      </c>
      <c r="H9527">
        <v>2022</v>
      </c>
      <c r="I9527" t="s">
        <v>48</v>
      </c>
    </row>
    <row r="9528" spans="1:9" x14ac:dyDescent="0.3">
      <c r="A9528" t="s">
        <v>17</v>
      </c>
      <c r="G9528">
        <v>44750</v>
      </c>
      <c r="H9528">
        <v>2022</v>
      </c>
      <c r="I9528" t="s">
        <v>48</v>
      </c>
    </row>
    <row r="9529" spans="1:9" x14ac:dyDescent="0.3">
      <c r="A9529" t="s">
        <v>0</v>
      </c>
      <c r="G9529">
        <v>44750</v>
      </c>
      <c r="H9529">
        <v>2022</v>
      </c>
      <c r="I9529" t="s">
        <v>48</v>
      </c>
    </row>
    <row r="9530" spans="1:9" x14ac:dyDescent="0.3">
      <c r="A9530" t="s">
        <v>25</v>
      </c>
      <c r="C9530">
        <v>161500</v>
      </c>
      <c r="G9530">
        <v>44750</v>
      </c>
      <c r="H9530">
        <v>2022</v>
      </c>
      <c r="I9530" t="s">
        <v>48</v>
      </c>
    </row>
    <row r="9531" spans="1:9" x14ac:dyDescent="0.3">
      <c r="A9531" t="s">
        <v>15</v>
      </c>
      <c r="G9531">
        <v>44750</v>
      </c>
      <c r="H9531">
        <v>2022</v>
      </c>
      <c r="I9531" t="s">
        <v>48</v>
      </c>
    </row>
    <row r="9532" spans="1:9" x14ac:dyDescent="0.3">
      <c r="A9532" t="s">
        <v>54</v>
      </c>
      <c r="B9532">
        <v>54000</v>
      </c>
      <c r="G9532">
        <v>44750</v>
      </c>
      <c r="H9532">
        <v>2022</v>
      </c>
      <c r="I9532" t="s">
        <v>48</v>
      </c>
    </row>
    <row r="9533" spans="1:9" x14ac:dyDescent="0.3">
      <c r="A9533" t="s">
        <v>26</v>
      </c>
      <c r="G9533">
        <v>44750</v>
      </c>
      <c r="H9533">
        <v>2022</v>
      </c>
      <c r="I9533" t="s">
        <v>48</v>
      </c>
    </row>
    <row r="9534" spans="1:9" x14ac:dyDescent="0.3">
      <c r="A9534" t="s">
        <v>22</v>
      </c>
      <c r="G9534">
        <v>44750</v>
      </c>
      <c r="H9534">
        <v>2022</v>
      </c>
      <c r="I9534" t="s">
        <v>48</v>
      </c>
    </row>
    <row r="9535" spans="1:9" x14ac:dyDescent="0.3">
      <c r="A9535" t="s">
        <v>61</v>
      </c>
      <c r="G9535">
        <v>44750</v>
      </c>
      <c r="H9535">
        <v>2022</v>
      </c>
      <c r="I9535" t="s">
        <v>48</v>
      </c>
    </row>
    <row r="9536" spans="1:9" x14ac:dyDescent="0.3">
      <c r="A9536" t="s">
        <v>19</v>
      </c>
      <c r="G9536">
        <v>44750</v>
      </c>
      <c r="H9536">
        <v>2022</v>
      </c>
      <c r="I9536" t="s">
        <v>48</v>
      </c>
    </row>
    <row r="9537" spans="1:9" x14ac:dyDescent="0.3">
      <c r="A9537" t="s">
        <v>14</v>
      </c>
      <c r="B9537">
        <v>906000</v>
      </c>
      <c r="C9537">
        <v>216000</v>
      </c>
      <c r="D9537">
        <v>207000</v>
      </c>
      <c r="G9537">
        <v>44750</v>
      </c>
      <c r="H9537">
        <v>2022</v>
      </c>
      <c r="I9537" t="s">
        <v>48</v>
      </c>
    </row>
    <row r="9538" spans="1:9" x14ac:dyDescent="0.3">
      <c r="A9538" t="s">
        <v>24</v>
      </c>
      <c r="G9538">
        <v>44750</v>
      </c>
      <c r="H9538">
        <v>2022</v>
      </c>
      <c r="I9538" t="s">
        <v>48</v>
      </c>
    </row>
    <row r="9539" spans="1:9" x14ac:dyDescent="0.3">
      <c r="A9539" t="s">
        <v>21</v>
      </c>
      <c r="G9539">
        <v>44750</v>
      </c>
      <c r="H9539">
        <v>2022</v>
      </c>
      <c r="I9539" t="s">
        <v>48</v>
      </c>
    </row>
    <row r="9540" spans="1:9" x14ac:dyDescent="0.3">
      <c r="A9540" t="s">
        <v>65</v>
      </c>
      <c r="G9540">
        <v>44750</v>
      </c>
      <c r="H9540">
        <v>2022</v>
      </c>
      <c r="I9540" t="s">
        <v>48</v>
      </c>
    </row>
    <row r="9541" spans="1:9" x14ac:dyDescent="0.3">
      <c r="A9541" t="s">
        <v>18</v>
      </c>
      <c r="G9541">
        <v>44750</v>
      </c>
      <c r="H9541">
        <v>2022</v>
      </c>
      <c r="I9541" t="s">
        <v>48</v>
      </c>
    </row>
    <row r="9542" spans="1:9" x14ac:dyDescent="0.3">
      <c r="A9542" t="s">
        <v>16</v>
      </c>
      <c r="B9542">
        <v>108000</v>
      </c>
      <c r="C9542">
        <v>216000</v>
      </c>
      <c r="G9542">
        <v>44750</v>
      </c>
      <c r="H9542">
        <v>2022</v>
      </c>
      <c r="I9542" t="s">
        <v>48</v>
      </c>
    </row>
    <row r="9543" spans="1:9" x14ac:dyDescent="0.3">
      <c r="A9543" t="s">
        <v>20</v>
      </c>
      <c r="G9543">
        <v>44754</v>
      </c>
      <c r="H9543">
        <v>2022</v>
      </c>
      <c r="I9543" t="s">
        <v>48</v>
      </c>
    </row>
    <row r="9544" spans="1:9" x14ac:dyDescent="0.3">
      <c r="A9544" t="s">
        <v>37</v>
      </c>
      <c r="G9544">
        <v>44754</v>
      </c>
      <c r="H9544">
        <v>2022</v>
      </c>
      <c r="I9544" t="s">
        <v>48</v>
      </c>
    </row>
    <row r="9545" spans="1:9" x14ac:dyDescent="0.3">
      <c r="A9545" t="s">
        <v>17</v>
      </c>
      <c r="G9545">
        <v>44754</v>
      </c>
      <c r="H9545">
        <v>2022</v>
      </c>
      <c r="I9545" t="s">
        <v>48</v>
      </c>
    </row>
    <row r="9546" spans="1:9" x14ac:dyDescent="0.3">
      <c r="A9546" t="s">
        <v>0</v>
      </c>
      <c r="G9546">
        <v>44754</v>
      </c>
      <c r="H9546">
        <v>2022</v>
      </c>
      <c r="I9546" t="s">
        <v>48</v>
      </c>
    </row>
    <row r="9547" spans="1:9" x14ac:dyDescent="0.3">
      <c r="A9547" t="s">
        <v>25</v>
      </c>
      <c r="C9547">
        <v>324000</v>
      </c>
      <c r="G9547">
        <v>44754</v>
      </c>
      <c r="H9547">
        <v>2022</v>
      </c>
      <c r="I9547" t="s">
        <v>48</v>
      </c>
    </row>
    <row r="9548" spans="1:9" x14ac:dyDescent="0.3">
      <c r="A9548" t="s">
        <v>15</v>
      </c>
      <c r="G9548">
        <v>44754</v>
      </c>
      <c r="H9548">
        <v>2022</v>
      </c>
      <c r="I9548" t="s">
        <v>48</v>
      </c>
    </row>
    <row r="9549" spans="1:9" x14ac:dyDescent="0.3">
      <c r="A9549" t="s">
        <v>54</v>
      </c>
      <c r="G9549">
        <v>44754</v>
      </c>
      <c r="H9549">
        <v>2022</v>
      </c>
      <c r="I9549" t="s">
        <v>48</v>
      </c>
    </row>
    <row r="9550" spans="1:9" x14ac:dyDescent="0.3">
      <c r="A9550" t="s">
        <v>26</v>
      </c>
      <c r="G9550">
        <v>44754</v>
      </c>
      <c r="H9550">
        <v>2022</v>
      </c>
      <c r="I9550" t="s">
        <v>48</v>
      </c>
    </row>
    <row r="9551" spans="1:9" x14ac:dyDescent="0.3">
      <c r="A9551" t="s">
        <v>22</v>
      </c>
      <c r="G9551">
        <v>44754</v>
      </c>
      <c r="H9551">
        <v>2022</v>
      </c>
      <c r="I9551" t="s">
        <v>48</v>
      </c>
    </row>
    <row r="9552" spans="1:9" x14ac:dyDescent="0.3">
      <c r="A9552" t="s">
        <v>61</v>
      </c>
      <c r="G9552">
        <v>44754</v>
      </c>
      <c r="H9552">
        <v>2022</v>
      </c>
      <c r="I9552" t="s">
        <v>48</v>
      </c>
    </row>
    <row r="9553" spans="1:9" x14ac:dyDescent="0.3">
      <c r="A9553" t="s">
        <v>19</v>
      </c>
      <c r="D9553">
        <v>270000</v>
      </c>
      <c r="G9553">
        <v>44754</v>
      </c>
      <c r="H9553">
        <v>2022</v>
      </c>
      <c r="I9553" t="s">
        <v>48</v>
      </c>
    </row>
    <row r="9554" spans="1:9" x14ac:dyDescent="0.3">
      <c r="A9554" t="s">
        <v>14</v>
      </c>
      <c r="B9554">
        <v>1009000</v>
      </c>
      <c r="C9554">
        <v>54000</v>
      </c>
      <c r="D9554">
        <v>324000</v>
      </c>
      <c r="G9554">
        <v>44754</v>
      </c>
      <c r="H9554">
        <v>2022</v>
      </c>
      <c r="I9554" t="s">
        <v>48</v>
      </c>
    </row>
    <row r="9555" spans="1:9" x14ac:dyDescent="0.3">
      <c r="A9555" t="s">
        <v>24</v>
      </c>
      <c r="G9555">
        <v>44754</v>
      </c>
      <c r="H9555">
        <v>2022</v>
      </c>
      <c r="I9555" t="s">
        <v>48</v>
      </c>
    </row>
    <row r="9556" spans="1:9" x14ac:dyDescent="0.3">
      <c r="A9556" t="s">
        <v>21</v>
      </c>
      <c r="G9556">
        <v>44754</v>
      </c>
      <c r="H9556">
        <v>2022</v>
      </c>
      <c r="I9556" t="s">
        <v>48</v>
      </c>
    </row>
    <row r="9557" spans="1:9" x14ac:dyDescent="0.3">
      <c r="A9557" t="s">
        <v>65</v>
      </c>
      <c r="G9557">
        <v>44754</v>
      </c>
      <c r="H9557">
        <v>2022</v>
      </c>
      <c r="I9557" t="s">
        <v>48</v>
      </c>
    </row>
    <row r="9558" spans="1:9" x14ac:dyDescent="0.3">
      <c r="A9558" t="s">
        <v>18</v>
      </c>
      <c r="B9558">
        <v>378000</v>
      </c>
      <c r="C9558">
        <v>162000</v>
      </c>
      <c r="G9558">
        <v>44754</v>
      </c>
      <c r="H9558">
        <v>2022</v>
      </c>
      <c r="I9558" t="s">
        <v>48</v>
      </c>
    </row>
    <row r="9559" spans="1:9" x14ac:dyDescent="0.3">
      <c r="A9559" t="s">
        <v>16</v>
      </c>
      <c r="B9559">
        <v>162000</v>
      </c>
      <c r="C9559">
        <v>211500</v>
      </c>
      <c r="G9559">
        <v>44754</v>
      </c>
      <c r="H9559">
        <v>2022</v>
      </c>
      <c r="I9559" t="s">
        <v>48</v>
      </c>
    </row>
    <row r="9560" spans="1:9" x14ac:dyDescent="0.3">
      <c r="A9560" t="s">
        <v>20</v>
      </c>
      <c r="G9560">
        <v>44755</v>
      </c>
      <c r="H9560">
        <v>2022</v>
      </c>
      <c r="I9560" t="s">
        <v>48</v>
      </c>
    </row>
    <row r="9561" spans="1:9" x14ac:dyDescent="0.3">
      <c r="A9561" t="s">
        <v>37</v>
      </c>
      <c r="G9561">
        <v>44755</v>
      </c>
      <c r="H9561">
        <v>2022</v>
      </c>
      <c r="I9561" t="s">
        <v>48</v>
      </c>
    </row>
    <row r="9562" spans="1:9" x14ac:dyDescent="0.3">
      <c r="A9562" t="s">
        <v>17</v>
      </c>
      <c r="G9562">
        <v>44755</v>
      </c>
      <c r="H9562">
        <v>2022</v>
      </c>
      <c r="I9562" t="s">
        <v>48</v>
      </c>
    </row>
    <row r="9563" spans="1:9" x14ac:dyDescent="0.3">
      <c r="A9563" t="s">
        <v>0</v>
      </c>
      <c r="G9563">
        <v>44755</v>
      </c>
      <c r="H9563">
        <v>2022</v>
      </c>
      <c r="I9563" t="s">
        <v>48</v>
      </c>
    </row>
    <row r="9564" spans="1:9" x14ac:dyDescent="0.3">
      <c r="A9564" t="s">
        <v>25</v>
      </c>
      <c r="C9564">
        <v>432000</v>
      </c>
      <c r="G9564">
        <v>44755</v>
      </c>
      <c r="H9564">
        <v>2022</v>
      </c>
      <c r="I9564" t="s">
        <v>48</v>
      </c>
    </row>
    <row r="9565" spans="1:9" x14ac:dyDescent="0.3">
      <c r="A9565" t="s">
        <v>15</v>
      </c>
      <c r="G9565">
        <v>44755</v>
      </c>
      <c r="H9565">
        <v>2022</v>
      </c>
      <c r="I9565" t="s">
        <v>48</v>
      </c>
    </row>
    <row r="9566" spans="1:9" x14ac:dyDescent="0.3">
      <c r="A9566" t="s">
        <v>54</v>
      </c>
      <c r="G9566">
        <v>44755</v>
      </c>
      <c r="H9566">
        <v>2022</v>
      </c>
      <c r="I9566" t="s">
        <v>48</v>
      </c>
    </row>
    <row r="9567" spans="1:9" x14ac:dyDescent="0.3">
      <c r="A9567" t="s">
        <v>26</v>
      </c>
      <c r="G9567">
        <v>44755</v>
      </c>
      <c r="H9567">
        <v>2022</v>
      </c>
      <c r="I9567" t="s">
        <v>48</v>
      </c>
    </row>
    <row r="9568" spans="1:9" x14ac:dyDescent="0.3">
      <c r="A9568" t="s">
        <v>22</v>
      </c>
      <c r="G9568">
        <v>44755</v>
      </c>
      <c r="H9568">
        <v>2022</v>
      </c>
      <c r="I9568" t="s">
        <v>48</v>
      </c>
    </row>
    <row r="9569" spans="1:9" x14ac:dyDescent="0.3">
      <c r="A9569" t="s">
        <v>61</v>
      </c>
      <c r="G9569">
        <v>44755</v>
      </c>
      <c r="H9569">
        <v>2022</v>
      </c>
      <c r="I9569" t="s">
        <v>48</v>
      </c>
    </row>
    <row r="9570" spans="1:9" x14ac:dyDescent="0.3">
      <c r="A9570" t="s">
        <v>19</v>
      </c>
      <c r="D9570">
        <v>270000</v>
      </c>
      <c r="G9570">
        <v>44755</v>
      </c>
      <c r="H9570">
        <v>2022</v>
      </c>
      <c r="I9570" t="s">
        <v>48</v>
      </c>
    </row>
    <row r="9571" spans="1:9" x14ac:dyDescent="0.3">
      <c r="A9571" t="s">
        <v>14</v>
      </c>
      <c r="B9571">
        <v>1670000</v>
      </c>
      <c r="D9571">
        <v>378000</v>
      </c>
      <c r="E9571">
        <v>108000</v>
      </c>
      <c r="G9571">
        <v>44755</v>
      </c>
      <c r="H9571">
        <v>2022</v>
      </c>
      <c r="I9571" t="s">
        <v>48</v>
      </c>
    </row>
    <row r="9572" spans="1:9" x14ac:dyDescent="0.3">
      <c r="A9572" t="s">
        <v>24</v>
      </c>
      <c r="G9572">
        <v>44755</v>
      </c>
      <c r="H9572">
        <v>2022</v>
      </c>
      <c r="I9572" t="s">
        <v>48</v>
      </c>
    </row>
    <row r="9573" spans="1:9" x14ac:dyDescent="0.3">
      <c r="A9573" t="s">
        <v>21</v>
      </c>
      <c r="G9573">
        <v>44755</v>
      </c>
      <c r="H9573">
        <v>2022</v>
      </c>
      <c r="I9573" t="s">
        <v>48</v>
      </c>
    </row>
    <row r="9574" spans="1:9" x14ac:dyDescent="0.3">
      <c r="A9574" t="s">
        <v>65</v>
      </c>
      <c r="G9574">
        <v>44755</v>
      </c>
      <c r="H9574">
        <v>2022</v>
      </c>
      <c r="I9574" t="s">
        <v>48</v>
      </c>
    </row>
    <row r="9575" spans="1:9" x14ac:dyDescent="0.3">
      <c r="A9575" t="s">
        <v>18</v>
      </c>
      <c r="B9575">
        <v>162000</v>
      </c>
      <c r="C9575">
        <v>270000</v>
      </c>
      <c r="G9575">
        <v>44755</v>
      </c>
      <c r="H9575">
        <v>2022</v>
      </c>
      <c r="I9575" t="s">
        <v>48</v>
      </c>
    </row>
    <row r="9576" spans="1:9" x14ac:dyDescent="0.3">
      <c r="A9576" t="s">
        <v>16</v>
      </c>
      <c r="C9576">
        <v>369000</v>
      </c>
      <c r="G9576">
        <v>44755</v>
      </c>
      <c r="H9576">
        <v>2022</v>
      </c>
      <c r="I9576" t="s">
        <v>48</v>
      </c>
    </row>
    <row r="9577" spans="1:9" x14ac:dyDescent="0.3">
      <c r="A9577" t="s">
        <v>20</v>
      </c>
      <c r="G9577">
        <v>44756</v>
      </c>
      <c r="H9577">
        <v>2022</v>
      </c>
      <c r="I9577" t="s">
        <v>48</v>
      </c>
    </row>
    <row r="9578" spans="1:9" x14ac:dyDescent="0.3">
      <c r="A9578" t="s">
        <v>37</v>
      </c>
      <c r="G9578">
        <v>44756</v>
      </c>
      <c r="H9578">
        <v>2022</v>
      </c>
      <c r="I9578" t="s">
        <v>48</v>
      </c>
    </row>
    <row r="9579" spans="1:9" x14ac:dyDescent="0.3">
      <c r="A9579" t="s">
        <v>17</v>
      </c>
      <c r="G9579">
        <v>44756</v>
      </c>
      <c r="H9579">
        <v>2022</v>
      </c>
      <c r="I9579" t="s">
        <v>48</v>
      </c>
    </row>
    <row r="9580" spans="1:9" x14ac:dyDescent="0.3">
      <c r="A9580" t="s">
        <v>0</v>
      </c>
      <c r="G9580">
        <v>44756</v>
      </c>
      <c r="H9580">
        <v>2022</v>
      </c>
      <c r="I9580" t="s">
        <v>48</v>
      </c>
    </row>
    <row r="9581" spans="1:9" x14ac:dyDescent="0.3">
      <c r="A9581" t="s">
        <v>25</v>
      </c>
      <c r="C9581">
        <v>216000</v>
      </c>
      <c r="G9581">
        <v>44756</v>
      </c>
      <c r="H9581">
        <v>2022</v>
      </c>
      <c r="I9581" t="s">
        <v>48</v>
      </c>
    </row>
    <row r="9582" spans="1:9" x14ac:dyDescent="0.3">
      <c r="A9582" t="s">
        <v>15</v>
      </c>
      <c r="C9582">
        <v>216000</v>
      </c>
      <c r="E9582">
        <v>108000</v>
      </c>
      <c r="G9582">
        <v>44756</v>
      </c>
      <c r="H9582">
        <v>2022</v>
      </c>
      <c r="I9582" t="s">
        <v>48</v>
      </c>
    </row>
    <row r="9583" spans="1:9" x14ac:dyDescent="0.3">
      <c r="A9583" t="s">
        <v>54</v>
      </c>
      <c r="B9583">
        <v>162000</v>
      </c>
      <c r="D9583">
        <v>162000</v>
      </c>
      <c r="G9583">
        <v>44756</v>
      </c>
      <c r="H9583">
        <v>2022</v>
      </c>
      <c r="I9583" t="s">
        <v>48</v>
      </c>
    </row>
    <row r="9584" spans="1:9" x14ac:dyDescent="0.3">
      <c r="A9584" t="s">
        <v>26</v>
      </c>
      <c r="B9584">
        <v>377500</v>
      </c>
      <c r="D9584">
        <v>162000</v>
      </c>
      <c r="G9584">
        <v>44756</v>
      </c>
      <c r="H9584">
        <v>2022</v>
      </c>
      <c r="I9584" t="s">
        <v>48</v>
      </c>
    </row>
    <row r="9585" spans="1:9" x14ac:dyDescent="0.3">
      <c r="A9585" t="s">
        <v>22</v>
      </c>
      <c r="G9585">
        <v>44756</v>
      </c>
      <c r="H9585">
        <v>2022</v>
      </c>
      <c r="I9585" t="s">
        <v>48</v>
      </c>
    </row>
    <row r="9586" spans="1:9" x14ac:dyDescent="0.3">
      <c r="A9586" t="s">
        <v>61</v>
      </c>
      <c r="G9586">
        <v>44756</v>
      </c>
      <c r="H9586">
        <v>2022</v>
      </c>
      <c r="I9586" t="s">
        <v>48</v>
      </c>
    </row>
    <row r="9587" spans="1:9" x14ac:dyDescent="0.3">
      <c r="A9587" t="s">
        <v>19</v>
      </c>
      <c r="B9587">
        <v>270000</v>
      </c>
      <c r="C9587">
        <v>216000</v>
      </c>
      <c r="D9587">
        <v>216000</v>
      </c>
      <c r="G9587">
        <v>44756</v>
      </c>
      <c r="H9587">
        <v>2022</v>
      </c>
      <c r="I9587" t="s">
        <v>48</v>
      </c>
    </row>
    <row r="9588" spans="1:9" x14ac:dyDescent="0.3">
      <c r="A9588" t="s">
        <v>14</v>
      </c>
      <c r="B9588">
        <v>324000</v>
      </c>
      <c r="D9588">
        <v>108000</v>
      </c>
      <c r="G9588">
        <v>44756</v>
      </c>
      <c r="H9588">
        <v>2022</v>
      </c>
      <c r="I9588" t="s">
        <v>48</v>
      </c>
    </row>
    <row r="9589" spans="1:9" x14ac:dyDescent="0.3">
      <c r="A9589" t="s">
        <v>24</v>
      </c>
      <c r="G9589">
        <v>44756</v>
      </c>
      <c r="H9589">
        <v>2022</v>
      </c>
      <c r="I9589" t="s">
        <v>48</v>
      </c>
    </row>
    <row r="9590" spans="1:9" x14ac:dyDescent="0.3">
      <c r="A9590" t="s">
        <v>21</v>
      </c>
      <c r="B9590">
        <v>373500</v>
      </c>
      <c r="G9590">
        <v>44756</v>
      </c>
      <c r="H9590">
        <v>2022</v>
      </c>
      <c r="I9590" t="s">
        <v>48</v>
      </c>
    </row>
    <row r="9591" spans="1:9" x14ac:dyDescent="0.3">
      <c r="A9591" t="s">
        <v>65</v>
      </c>
      <c r="G9591">
        <v>44756</v>
      </c>
      <c r="H9591">
        <v>2022</v>
      </c>
      <c r="I9591" t="s">
        <v>48</v>
      </c>
    </row>
    <row r="9592" spans="1:9" x14ac:dyDescent="0.3">
      <c r="A9592" t="s">
        <v>18</v>
      </c>
      <c r="C9592">
        <v>216000</v>
      </c>
      <c r="G9592">
        <v>44756</v>
      </c>
      <c r="H9592">
        <v>2022</v>
      </c>
      <c r="I9592" t="s">
        <v>48</v>
      </c>
    </row>
    <row r="9593" spans="1:9" x14ac:dyDescent="0.3">
      <c r="A9593" t="s">
        <v>16</v>
      </c>
      <c r="C9593">
        <v>162000</v>
      </c>
      <c r="G9593">
        <v>44756</v>
      </c>
      <c r="H9593">
        <v>2022</v>
      </c>
      <c r="I9593" t="s">
        <v>48</v>
      </c>
    </row>
    <row r="9594" spans="1:9" x14ac:dyDescent="0.3">
      <c r="A9594" t="s">
        <v>20</v>
      </c>
      <c r="G9594">
        <v>44757</v>
      </c>
      <c r="H9594">
        <v>2022</v>
      </c>
      <c r="I9594" t="s">
        <v>48</v>
      </c>
    </row>
    <row r="9595" spans="1:9" x14ac:dyDescent="0.3">
      <c r="A9595" t="s">
        <v>37</v>
      </c>
      <c r="G9595">
        <v>44757</v>
      </c>
      <c r="H9595">
        <v>2022</v>
      </c>
      <c r="I9595" t="s">
        <v>48</v>
      </c>
    </row>
    <row r="9596" spans="1:9" x14ac:dyDescent="0.3">
      <c r="A9596" t="s">
        <v>17</v>
      </c>
      <c r="G9596">
        <v>44757</v>
      </c>
      <c r="H9596">
        <v>2022</v>
      </c>
      <c r="I9596" t="s">
        <v>48</v>
      </c>
    </row>
    <row r="9597" spans="1:9" x14ac:dyDescent="0.3">
      <c r="A9597" t="s">
        <v>0</v>
      </c>
      <c r="G9597">
        <v>44757</v>
      </c>
      <c r="H9597">
        <v>2022</v>
      </c>
      <c r="I9597" t="s">
        <v>48</v>
      </c>
    </row>
    <row r="9598" spans="1:9" x14ac:dyDescent="0.3">
      <c r="A9598" t="s">
        <v>25</v>
      </c>
      <c r="C9598">
        <v>270000</v>
      </c>
      <c r="G9598">
        <v>44757</v>
      </c>
      <c r="H9598">
        <v>2022</v>
      </c>
      <c r="I9598" t="s">
        <v>48</v>
      </c>
    </row>
    <row r="9599" spans="1:9" x14ac:dyDescent="0.3">
      <c r="A9599" t="s">
        <v>15</v>
      </c>
      <c r="C9599">
        <v>373500</v>
      </c>
      <c r="G9599">
        <v>44757</v>
      </c>
      <c r="H9599">
        <v>2022</v>
      </c>
      <c r="I9599" t="s">
        <v>48</v>
      </c>
    </row>
    <row r="9600" spans="1:9" x14ac:dyDescent="0.3">
      <c r="A9600" t="s">
        <v>54</v>
      </c>
      <c r="B9600">
        <v>216000</v>
      </c>
      <c r="D9600">
        <v>324000</v>
      </c>
      <c r="G9600">
        <v>44757</v>
      </c>
      <c r="H9600">
        <v>2022</v>
      </c>
      <c r="I9600" t="s">
        <v>48</v>
      </c>
    </row>
    <row r="9601" spans="1:9" x14ac:dyDescent="0.3">
      <c r="A9601" t="s">
        <v>26</v>
      </c>
      <c r="B9601">
        <v>306500</v>
      </c>
      <c r="D9601">
        <v>108000</v>
      </c>
      <c r="G9601">
        <v>44757</v>
      </c>
      <c r="H9601">
        <v>2022</v>
      </c>
      <c r="I9601" t="s">
        <v>48</v>
      </c>
    </row>
    <row r="9602" spans="1:9" x14ac:dyDescent="0.3">
      <c r="A9602" t="s">
        <v>22</v>
      </c>
      <c r="G9602">
        <v>44757</v>
      </c>
      <c r="H9602">
        <v>2022</v>
      </c>
      <c r="I9602" t="s">
        <v>48</v>
      </c>
    </row>
    <row r="9603" spans="1:9" x14ac:dyDescent="0.3">
      <c r="A9603" t="s">
        <v>61</v>
      </c>
      <c r="G9603">
        <v>44757</v>
      </c>
      <c r="H9603">
        <v>2022</v>
      </c>
      <c r="I9603" t="s">
        <v>48</v>
      </c>
    </row>
    <row r="9604" spans="1:9" x14ac:dyDescent="0.3">
      <c r="A9604" t="s">
        <v>19</v>
      </c>
      <c r="B9604">
        <v>324000</v>
      </c>
      <c r="C9604">
        <v>324000</v>
      </c>
      <c r="D9604">
        <v>162000</v>
      </c>
      <c r="G9604">
        <v>44757</v>
      </c>
      <c r="H9604">
        <v>2022</v>
      </c>
      <c r="I9604" t="s">
        <v>48</v>
      </c>
    </row>
    <row r="9605" spans="1:9" x14ac:dyDescent="0.3">
      <c r="A9605" t="s">
        <v>14</v>
      </c>
      <c r="B9605">
        <v>432000</v>
      </c>
      <c r="C9605">
        <v>108000</v>
      </c>
      <c r="D9605">
        <v>216000</v>
      </c>
      <c r="G9605">
        <v>44757</v>
      </c>
      <c r="H9605">
        <v>2022</v>
      </c>
      <c r="I9605" t="s">
        <v>48</v>
      </c>
    </row>
    <row r="9606" spans="1:9" x14ac:dyDescent="0.3">
      <c r="A9606" t="s">
        <v>24</v>
      </c>
      <c r="G9606">
        <v>44757</v>
      </c>
      <c r="H9606">
        <v>2022</v>
      </c>
      <c r="I9606" t="s">
        <v>48</v>
      </c>
    </row>
    <row r="9607" spans="1:9" x14ac:dyDescent="0.3">
      <c r="A9607" t="s">
        <v>21</v>
      </c>
      <c r="B9607">
        <v>324000</v>
      </c>
      <c r="G9607">
        <v>44757</v>
      </c>
      <c r="H9607">
        <v>2022</v>
      </c>
      <c r="I9607" t="s">
        <v>48</v>
      </c>
    </row>
    <row r="9608" spans="1:9" x14ac:dyDescent="0.3">
      <c r="A9608" t="s">
        <v>65</v>
      </c>
      <c r="G9608">
        <v>44757</v>
      </c>
      <c r="H9608">
        <v>2022</v>
      </c>
      <c r="I9608" t="s">
        <v>48</v>
      </c>
    </row>
    <row r="9609" spans="1:9" x14ac:dyDescent="0.3">
      <c r="A9609" t="s">
        <v>18</v>
      </c>
      <c r="C9609">
        <v>108000</v>
      </c>
      <c r="G9609">
        <v>44757</v>
      </c>
      <c r="H9609">
        <v>2022</v>
      </c>
      <c r="I9609" t="s">
        <v>48</v>
      </c>
    </row>
    <row r="9610" spans="1:9" x14ac:dyDescent="0.3">
      <c r="A9610" t="s">
        <v>16</v>
      </c>
      <c r="C9610">
        <v>270000</v>
      </c>
      <c r="G9610">
        <v>44757</v>
      </c>
      <c r="H9610">
        <v>2022</v>
      </c>
      <c r="I9610" t="s">
        <v>48</v>
      </c>
    </row>
    <row r="9611" spans="1:9" x14ac:dyDescent="0.3">
      <c r="A9611" t="s">
        <v>20</v>
      </c>
      <c r="G9611">
        <v>44760</v>
      </c>
      <c r="H9611">
        <v>2022</v>
      </c>
      <c r="I9611" t="s">
        <v>48</v>
      </c>
    </row>
    <row r="9612" spans="1:9" x14ac:dyDescent="0.3">
      <c r="A9612" t="s">
        <v>37</v>
      </c>
      <c r="G9612">
        <v>44760</v>
      </c>
      <c r="H9612">
        <v>2022</v>
      </c>
      <c r="I9612" t="s">
        <v>48</v>
      </c>
    </row>
    <row r="9613" spans="1:9" x14ac:dyDescent="0.3">
      <c r="A9613" t="s">
        <v>17</v>
      </c>
      <c r="G9613">
        <v>44760</v>
      </c>
      <c r="H9613">
        <v>2022</v>
      </c>
      <c r="I9613" t="s">
        <v>48</v>
      </c>
    </row>
    <row r="9614" spans="1:9" x14ac:dyDescent="0.3">
      <c r="A9614" t="s">
        <v>0</v>
      </c>
      <c r="B9614">
        <v>639000</v>
      </c>
      <c r="D9614">
        <v>162000</v>
      </c>
      <c r="G9614">
        <v>44760</v>
      </c>
      <c r="H9614">
        <v>2022</v>
      </c>
      <c r="I9614" t="s">
        <v>48</v>
      </c>
    </row>
    <row r="9615" spans="1:9" x14ac:dyDescent="0.3">
      <c r="A9615" t="s">
        <v>25</v>
      </c>
      <c r="C9615">
        <v>324000</v>
      </c>
      <c r="G9615">
        <v>44760</v>
      </c>
      <c r="H9615">
        <v>2022</v>
      </c>
      <c r="I9615" t="s">
        <v>48</v>
      </c>
    </row>
    <row r="9616" spans="1:9" x14ac:dyDescent="0.3">
      <c r="A9616" t="s">
        <v>15</v>
      </c>
      <c r="C9616">
        <v>370000</v>
      </c>
      <c r="E9616">
        <v>90000</v>
      </c>
      <c r="G9616">
        <v>44760</v>
      </c>
      <c r="H9616">
        <v>2022</v>
      </c>
      <c r="I9616" t="s">
        <v>48</v>
      </c>
    </row>
    <row r="9617" spans="1:9" x14ac:dyDescent="0.3">
      <c r="A9617" t="s">
        <v>54</v>
      </c>
      <c r="B9617">
        <v>216000</v>
      </c>
      <c r="D9617">
        <v>216000</v>
      </c>
      <c r="G9617">
        <v>44760</v>
      </c>
      <c r="H9617">
        <v>2022</v>
      </c>
      <c r="I9617" t="s">
        <v>48</v>
      </c>
    </row>
    <row r="9618" spans="1:9" x14ac:dyDescent="0.3">
      <c r="A9618" t="s">
        <v>26</v>
      </c>
      <c r="B9618">
        <v>108000</v>
      </c>
      <c r="D9618">
        <v>135000</v>
      </c>
      <c r="G9618">
        <v>44760</v>
      </c>
      <c r="H9618">
        <v>2022</v>
      </c>
      <c r="I9618" t="s">
        <v>48</v>
      </c>
    </row>
    <row r="9619" spans="1:9" x14ac:dyDescent="0.3">
      <c r="A9619" t="s">
        <v>22</v>
      </c>
      <c r="G9619">
        <v>44760</v>
      </c>
      <c r="H9619">
        <v>2022</v>
      </c>
      <c r="I9619" t="s">
        <v>48</v>
      </c>
    </row>
    <row r="9620" spans="1:9" x14ac:dyDescent="0.3">
      <c r="A9620" t="s">
        <v>61</v>
      </c>
      <c r="G9620">
        <v>44760</v>
      </c>
      <c r="H9620">
        <v>2022</v>
      </c>
      <c r="I9620" t="s">
        <v>48</v>
      </c>
    </row>
    <row r="9621" spans="1:9" x14ac:dyDescent="0.3">
      <c r="A9621" t="s">
        <v>19</v>
      </c>
      <c r="B9621">
        <v>270000</v>
      </c>
      <c r="C9621">
        <v>486000</v>
      </c>
      <c r="D9621">
        <v>162000</v>
      </c>
      <c r="G9621">
        <v>44760</v>
      </c>
      <c r="H9621">
        <v>2022</v>
      </c>
      <c r="I9621" t="s">
        <v>48</v>
      </c>
    </row>
    <row r="9622" spans="1:9" x14ac:dyDescent="0.3">
      <c r="A9622" t="s">
        <v>14</v>
      </c>
      <c r="B9622">
        <v>424000</v>
      </c>
      <c r="D9622">
        <v>158000</v>
      </c>
      <c r="G9622">
        <v>44760</v>
      </c>
      <c r="H9622">
        <v>2022</v>
      </c>
      <c r="I9622" t="s">
        <v>48</v>
      </c>
    </row>
    <row r="9623" spans="1:9" x14ac:dyDescent="0.3">
      <c r="A9623" t="s">
        <v>24</v>
      </c>
      <c r="G9623">
        <v>44760</v>
      </c>
      <c r="H9623">
        <v>2022</v>
      </c>
      <c r="I9623" t="s">
        <v>48</v>
      </c>
    </row>
    <row r="9624" spans="1:9" x14ac:dyDescent="0.3">
      <c r="A9624" t="s">
        <v>21</v>
      </c>
      <c r="B9624">
        <v>162000</v>
      </c>
      <c r="G9624">
        <v>44760</v>
      </c>
      <c r="H9624">
        <v>2022</v>
      </c>
      <c r="I9624" t="s">
        <v>48</v>
      </c>
    </row>
    <row r="9625" spans="1:9" x14ac:dyDescent="0.3">
      <c r="A9625" t="s">
        <v>65</v>
      </c>
      <c r="G9625">
        <v>44760</v>
      </c>
      <c r="H9625">
        <v>2022</v>
      </c>
      <c r="I9625" t="s">
        <v>48</v>
      </c>
    </row>
    <row r="9626" spans="1:9" x14ac:dyDescent="0.3">
      <c r="A9626" t="s">
        <v>18</v>
      </c>
      <c r="G9626">
        <v>44760</v>
      </c>
      <c r="H9626">
        <v>2022</v>
      </c>
      <c r="I9626" t="s">
        <v>48</v>
      </c>
    </row>
    <row r="9627" spans="1:9" x14ac:dyDescent="0.3">
      <c r="A9627" t="s">
        <v>16</v>
      </c>
      <c r="C9627">
        <v>324000</v>
      </c>
      <c r="G9627">
        <v>44760</v>
      </c>
      <c r="H9627">
        <v>2022</v>
      </c>
      <c r="I9627" t="s">
        <v>48</v>
      </c>
    </row>
    <row r="9628" spans="1:9" x14ac:dyDescent="0.3">
      <c r="A9628" t="s">
        <v>20</v>
      </c>
      <c r="G9628">
        <v>44761</v>
      </c>
      <c r="H9628">
        <v>2022</v>
      </c>
      <c r="I9628" t="s">
        <v>48</v>
      </c>
    </row>
    <row r="9629" spans="1:9" x14ac:dyDescent="0.3">
      <c r="A9629" t="s">
        <v>37</v>
      </c>
      <c r="G9629">
        <v>44761</v>
      </c>
      <c r="H9629">
        <v>2022</v>
      </c>
      <c r="I9629" t="s">
        <v>48</v>
      </c>
    </row>
    <row r="9630" spans="1:9" x14ac:dyDescent="0.3">
      <c r="A9630" t="s">
        <v>17</v>
      </c>
      <c r="G9630">
        <v>44761</v>
      </c>
      <c r="H9630">
        <v>2022</v>
      </c>
      <c r="I9630" t="s">
        <v>48</v>
      </c>
    </row>
    <row r="9631" spans="1:9" x14ac:dyDescent="0.3">
      <c r="A9631" t="s">
        <v>0</v>
      </c>
      <c r="B9631">
        <v>531000</v>
      </c>
      <c r="D9631">
        <v>54000</v>
      </c>
      <c r="G9631">
        <v>44761</v>
      </c>
      <c r="H9631">
        <v>2022</v>
      </c>
      <c r="I9631" t="s">
        <v>48</v>
      </c>
    </row>
    <row r="9632" spans="1:9" x14ac:dyDescent="0.3">
      <c r="A9632" t="s">
        <v>25</v>
      </c>
      <c r="C9632">
        <v>162000</v>
      </c>
      <c r="G9632">
        <v>44761</v>
      </c>
      <c r="H9632">
        <v>2022</v>
      </c>
      <c r="I9632" t="s">
        <v>48</v>
      </c>
    </row>
    <row r="9633" spans="1:9" x14ac:dyDescent="0.3">
      <c r="A9633" t="s">
        <v>15</v>
      </c>
      <c r="C9633">
        <v>535500</v>
      </c>
      <c r="G9633">
        <v>44761</v>
      </c>
      <c r="H9633">
        <v>2022</v>
      </c>
      <c r="I9633" t="s">
        <v>48</v>
      </c>
    </row>
    <row r="9634" spans="1:9" x14ac:dyDescent="0.3">
      <c r="A9634" t="s">
        <v>54</v>
      </c>
      <c r="B9634">
        <v>162000</v>
      </c>
      <c r="D9634">
        <v>108000</v>
      </c>
      <c r="G9634">
        <v>44761</v>
      </c>
      <c r="H9634">
        <v>2022</v>
      </c>
      <c r="I9634" t="s">
        <v>48</v>
      </c>
    </row>
    <row r="9635" spans="1:9" x14ac:dyDescent="0.3">
      <c r="A9635" t="s">
        <v>26</v>
      </c>
      <c r="D9635">
        <v>50000</v>
      </c>
      <c r="G9635">
        <v>44761</v>
      </c>
      <c r="H9635">
        <v>2022</v>
      </c>
      <c r="I9635" t="s">
        <v>48</v>
      </c>
    </row>
    <row r="9636" spans="1:9" x14ac:dyDescent="0.3">
      <c r="A9636" t="s">
        <v>22</v>
      </c>
      <c r="G9636">
        <v>44761</v>
      </c>
      <c r="H9636">
        <v>2022</v>
      </c>
      <c r="I9636" t="s">
        <v>48</v>
      </c>
    </row>
    <row r="9637" spans="1:9" x14ac:dyDescent="0.3">
      <c r="A9637" t="s">
        <v>61</v>
      </c>
      <c r="G9637">
        <v>44761</v>
      </c>
      <c r="H9637">
        <v>2022</v>
      </c>
      <c r="I9637" t="s">
        <v>48</v>
      </c>
    </row>
    <row r="9638" spans="1:9" x14ac:dyDescent="0.3">
      <c r="A9638" t="s">
        <v>19</v>
      </c>
      <c r="B9638">
        <v>270000</v>
      </c>
      <c r="C9638">
        <v>324000</v>
      </c>
      <c r="D9638">
        <v>324000</v>
      </c>
      <c r="G9638">
        <v>44761</v>
      </c>
      <c r="H9638">
        <v>2022</v>
      </c>
      <c r="I9638" t="s">
        <v>48</v>
      </c>
    </row>
    <row r="9639" spans="1:9" x14ac:dyDescent="0.3">
      <c r="A9639" t="s">
        <v>14</v>
      </c>
      <c r="B9639">
        <v>265500</v>
      </c>
      <c r="C9639">
        <v>54000</v>
      </c>
      <c r="D9639">
        <v>432000</v>
      </c>
      <c r="G9639">
        <v>44761</v>
      </c>
      <c r="H9639">
        <v>2022</v>
      </c>
      <c r="I9639" t="s">
        <v>48</v>
      </c>
    </row>
    <row r="9640" spans="1:9" x14ac:dyDescent="0.3">
      <c r="A9640" t="s">
        <v>24</v>
      </c>
      <c r="G9640">
        <v>44761</v>
      </c>
      <c r="H9640">
        <v>2022</v>
      </c>
      <c r="I9640" t="s">
        <v>48</v>
      </c>
    </row>
    <row r="9641" spans="1:9" x14ac:dyDescent="0.3">
      <c r="A9641" t="s">
        <v>21</v>
      </c>
      <c r="B9641">
        <v>108000</v>
      </c>
      <c r="G9641">
        <v>44761</v>
      </c>
      <c r="H9641">
        <v>2022</v>
      </c>
      <c r="I9641" t="s">
        <v>48</v>
      </c>
    </row>
    <row r="9642" spans="1:9" x14ac:dyDescent="0.3">
      <c r="A9642" t="s">
        <v>65</v>
      </c>
      <c r="G9642">
        <v>44761</v>
      </c>
      <c r="H9642">
        <v>2022</v>
      </c>
      <c r="I9642" t="s">
        <v>48</v>
      </c>
    </row>
    <row r="9643" spans="1:9" x14ac:dyDescent="0.3">
      <c r="A9643" t="s">
        <v>18</v>
      </c>
      <c r="G9643">
        <v>44761</v>
      </c>
      <c r="H9643">
        <v>2022</v>
      </c>
      <c r="I9643" t="s">
        <v>48</v>
      </c>
    </row>
    <row r="9644" spans="1:9" x14ac:dyDescent="0.3">
      <c r="A9644" t="s">
        <v>16</v>
      </c>
      <c r="C9644">
        <v>153000</v>
      </c>
      <c r="G9644">
        <v>44761</v>
      </c>
      <c r="H9644">
        <v>2022</v>
      </c>
      <c r="I9644" t="s">
        <v>48</v>
      </c>
    </row>
    <row r="9645" spans="1:9" x14ac:dyDescent="0.3">
      <c r="A9645" t="s">
        <v>20</v>
      </c>
      <c r="G9645">
        <v>44762</v>
      </c>
      <c r="H9645">
        <v>2022</v>
      </c>
      <c r="I9645" t="s">
        <v>48</v>
      </c>
    </row>
    <row r="9646" spans="1:9" x14ac:dyDescent="0.3">
      <c r="A9646" t="s">
        <v>37</v>
      </c>
      <c r="G9646">
        <v>44762</v>
      </c>
      <c r="H9646">
        <v>2022</v>
      </c>
      <c r="I9646" t="s">
        <v>48</v>
      </c>
    </row>
    <row r="9647" spans="1:9" x14ac:dyDescent="0.3">
      <c r="A9647" t="s">
        <v>17</v>
      </c>
      <c r="G9647">
        <v>44762</v>
      </c>
      <c r="H9647">
        <v>2022</v>
      </c>
      <c r="I9647" t="s">
        <v>48</v>
      </c>
    </row>
    <row r="9648" spans="1:9" x14ac:dyDescent="0.3">
      <c r="A9648" t="s">
        <v>0</v>
      </c>
      <c r="B9648">
        <v>153000</v>
      </c>
      <c r="G9648">
        <v>44762</v>
      </c>
      <c r="H9648">
        <v>2022</v>
      </c>
      <c r="I9648" t="s">
        <v>48</v>
      </c>
    </row>
    <row r="9649" spans="1:9" x14ac:dyDescent="0.3">
      <c r="A9649" t="s">
        <v>25</v>
      </c>
      <c r="C9649">
        <v>108000</v>
      </c>
      <c r="G9649">
        <v>44762</v>
      </c>
      <c r="H9649">
        <v>2022</v>
      </c>
      <c r="I9649" t="s">
        <v>48</v>
      </c>
    </row>
    <row r="9650" spans="1:9" x14ac:dyDescent="0.3">
      <c r="A9650" t="s">
        <v>15</v>
      </c>
      <c r="C9650">
        <v>531500</v>
      </c>
      <c r="G9650">
        <v>44762</v>
      </c>
      <c r="H9650">
        <v>2022</v>
      </c>
      <c r="I9650" t="s">
        <v>48</v>
      </c>
    </row>
    <row r="9651" spans="1:9" x14ac:dyDescent="0.3">
      <c r="A9651" t="s">
        <v>54</v>
      </c>
      <c r="B9651">
        <v>162000</v>
      </c>
      <c r="G9651">
        <v>44762</v>
      </c>
      <c r="H9651">
        <v>2022</v>
      </c>
      <c r="I9651" t="s">
        <v>48</v>
      </c>
    </row>
    <row r="9652" spans="1:9" x14ac:dyDescent="0.3">
      <c r="A9652" t="s">
        <v>26</v>
      </c>
      <c r="B9652">
        <v>54000</v>
      </c>
      <c r="G9652">
        <v>44762</v>
      </c>
      <c r="H9652">
        <v>2022</v>
      </c>
      <c r="I9652" t="s">
        <v>48</v>
      </c>
    </row>
    <row r="9653" spans="1:9" x14ac:dyDescent="0.3">
      <c r="A9653" t="s">
        <v>22</v>
      </c>
      <c r="G9653">
        <v>44762</v>
      </c>
      <c r="H9653">
        <v>2022</v>
      </c>
      <c r="I9653" t="s">
        <v>48</v>
      </c>
    </row>
    <row r="9654" spans="1:9" x14ac:dyDescent="0.3">
      <c r="A9654" t="s">
        <v>61</v>
      </c>
      <c r="G9654">
        <v>44762</v>
      </c>
      <c r="H9654">
        <v>2022</v>
      </c>
      <c r="I9654" t="s">
        <v>48</v>
      </c>
    </row>
    <row r="9655" spans="1:9" x14ac:dyDescent="0.3">
      <c r="A9655" t="s">
        <v>19</v>
      </c>
      <c r="B9655">
        <v>216000</v>
      </c>
      <c r="D9655">
        <v>486000</v>
      </c>
      <c r="G9655">
        <v>44762</v>
      </c>
      <c r="H9655">
        <v>2022</v>
      </c>
      <c r="I9655" t="s">
        <v>48</v>
      </c>
    </row>
    <row r="9656" spans="1:9" x14ac:dyDescent="0.3">
      <c r="A9656" t="s">
        <v>14</v>
      </c>
      <c r="B9656">
        <v>418500</v>
      </c>
      <c r="C9656">
        <v>90000</v>
      </c>
      <c r="D9656">
        <v>432000</v>
      </c>
      <c r="G9656">
        <v>44762</v>
      </c>
      <c r="H9656">
        <v>2022</v>
      </c>
      <c r="I9656" t="s">
        <v>48</v>
      </c>
    </row>
    <row r="9657" spans="1:9" x14ac:dyDescent="0.3">
      <c r="A9657" t="s">
        <v>24</v>
      </c>
      <c r="G9657">
        <v>44762</v>
      </c>
      <c r="H9657">
        <v>2022</v>
      </c>
      <c r="I9657" t="s">
        <v>48</v>
      </c>
    </row>
    <row r="9658" spans="1:9" x14ac:dyDescent="0.3">
      <c r="A9658" t="s">
        <v>21</v>
      </c>
      <c r="B9658">
        <v>270000</v>
      </c>
      <c r="G9658">
        <v>44762</v>
      </c>
      <c r="H9658">
        <v>2022</v>
      </c>
      <c r="I9658" t="s">
        <v>48</v>
      </c>
    </row>
    <row r="9659" spans="1:9" x14ac:dyDescent="0.3">
      <c r="A9659" t="s">
        <v>65</v>
      </c>
      <c r="G9659">
        <v>44762</v>
      </c>
      <c r="H9659">
        <v>2022</v>
      </c>
      <c r="I9659" t="s">
        <v>48</v>
      </c>
    </row>
    <row r="9660" spans="1:9" x14ac:dyDescent="0.3">
      <c r="A9660" t="s">
        <v>18</v>
      </c>
      <c r="G9660">
        <v>44762</v>
      </c>
      <c r="H9660">
        <v>2022</v>
      </c>
      <c r="I9660" t="s">
        <v>48</v>
      </c>
    </row>
    <row r="9661" spans="1:9" x14ac:dyDescent="0.3">
      <c r="A9661" t="s">
        <v>16</v>
      </c>
      <c r="C9661">
        <v>54000</v>
      </c>
      <c r="G9661">
        <v>44762</v>
      </c>
      <c r="H9661">
        <v>2022</v>
      </c>
      <c r="I9661" t="s">
        <v>48</v>
      </c>
    </row>
    <row r="9662" spans="1:9" x14ac:dyDescent="0.3">
      <c r="A9662" t="s">
        <v>20</v>
      </c>
      <c r="B9662">
        <v>216000</v>
      </c>
      <c r="G9662">
        <v>44763</v>
      </c>
      <c r="H9662">
        <v>2022</v>
      </c>
      <c r="I9662" t="s">
        <v>48</v>
      </c>
    </row>
    <row r="9663" spans="1:9" x14ac:dyDescent="0.3">
      <c r="A9663" t="s">
        <v>37</v>
      </c>
      <c r="G9663">
        <v>44763</v>
      </c>
      <c r="H9663">
        <v>2022</v>
      </c>
      <c r="I9663" t="s">
        <v>48</v>
      </c>
    </row>
    <row r="9664" spans="1:9" x14ac:dyDescent="0.3">
      <c r="A9664" t="s">
        <v>17</v>
      </c>
      <c r="G9664">
        <v>44763</v>
      </c>
      <c r="H9664">
        <v>2022</v>
      </c>
      <c r="I9664" t="s">
        <v>48</v>
      </c>
    </row>
    <row r="9665" spans="1:9" x14ac:dyDescent="0.3">
      <c r="A9665" t="s">
        <v>0</v>
      </c>
      <c r="G9665">
        <v>44763</v>
      </c>
      <c r="H9665">
        <v>2022</v>
      </c>
      <c r="I9665" t="s">
        <v>48</v>
      </c>
    </row>
    <row r="9666" spans="1:9" x14ac:dyDescent="0.3">
      <c r="A9666" t="s">
        <v>25</v>
      </c>
      <c r="G9666">
        <v>44763</v>
      </c>
      <c r="H9666">
        <v>2022</v>
      </c>
      <c r="I9666" t="s">
        <v>48</v>
      </c>
    </row>
    <row r="9667" spans="1:9" x14ac:dyDescent="0.3">
      <c r="A9667" t="s">
        <v>15</v>
      </c>
      <c r="C9667">
        <v>427500</v>
      </c>
      <c r="G9667">
        <v>44763</v>
      </c>
      <c r="H9667">
        <v>2022</v>
      </c>
      <c r="I9667" t="s">
        <v>48</v>
      </c>
    </row>
    <row r="9668" spans="1:9" x14ac:dyDescent="0.3">
      <c r="A9668" t="s">
        <v>54</v>
      </c>
      <c r="B9668">
        <v>270000</v>
      </c>
      <c r="G9668">
        <v>44763</v>
      </c>
      <c r="H9668">
        <v>2022</v>
      </c>
      <c r="I9668" t="s">
        <v>48</v>
      </c>
    </row>
    <row r="9669" spans="1:9" x14ac:dyDescent="0.3">
      <c r="A9669" t="s">
        <v>26</v>
      </c>
      <c r="B9669">
        <v>153000</v>
      </c>
      <c r="G9669">
        <v>44763</v>
      </c>
      <c r="H9669">
        <v>2022</v>
      </c>
      <c r="I9669" t="s">
        <v>48</v>
      </c>
    </row>
    <row r="9670" spans="1:9" x14ac:dyDescent="0.3">
      <c r="A9670" t="s">
        <v>22</v>
      </c>
      <c r="G9670">
        <v>44763</v>
      </c>
      <c r="H9670">
        <v>2022</v>
      </c>
      <c r="I9670" t="s">
        <v>48</v>
      </c>
    </row>
    <row r="9671" spans="1:9" x14ac:dyDescent="0.3">
      <c r="A9671" t="s">
        <v>61</v>
      </c>
      <c r="G9671">
        <v>44763</v>
      </c>
      <c r="H9671">
        <v>2022</v>
      </c>
      <c r="I9671" t="s">
        <v>48</v>
      </c>
    </row>
    <row r="9672" spans="1:9" x14ac:dyDescent="0.3">
      <c r="A9672" t="s">
        <v>19</v>
      </c>
      <c r="B9672">
        <v>270000</v>
      </c>
      <c r="D9672">
        <v>270000</v>
      </c>
      <c r="G9672">
        <v>44763</v>
      </c>
      <c r="H9672">
        <v>2022</v>
      </c>
      <c r="I9672" t="s">
        <v>48</v>
      </c>
    </row>
    <row r="9673" spans="1:9" x14ac:dyDescent="0.3">
      <c r="A9673" t="s">
        <v>14</v>
      </c>
      <c r="B9673">
        <v>216000</v>
      </c>
      <c r="C9673">
        <v>378000</v>
      </c>
      <c r="D9673">
        <v>486000</v>
      </c>
      <c r="G9673">
        <v>44763</v>
      </c>
      <c r="H9673">
        <v>2022</v>
      </c>
      <c r="I9673" t="s">
        <v>48</v>
      </c>
    </row>
    <row r="9674" spans="1:9" x14ac:dyDescent="0.3">
      <c r="A9674" t="s">
        <v>24</v>
      </c>
      <c r="G9674">
        <v>44763</v>
      </c>
      <c r="H9674">
        <v>2022</v>
      </c>
      <c r="I9674" t="s">
        <v>48</v>
      </c>
    </row>
    <row r="9675" spans="1:9" x14ac:dyDescent="0.3">
      <c r="A9675" t="s">
        <v>21</v>
      </c>
      <c r="G9675">
        <v>44763</v>
      </c>
      <c r="H9675">
        <v>2022</v>
      </c>
      <c r="I9675" t="s">
        <v>48</v>
      </c>
    </row>
    <row r="9676" spans="1:9" x14ac:dyDescent="0.3">
      <c r="A9676" t="s">
        <v>65</v>
      </c>
      <c r="G9676">
        <v>44763</v>
      </c>
      <c r="H9676">
        <v>2022</v>
      </c>
      <c r="I9676" t="s">
        <v>48</v>
      </c>
    </row>
    <row r="9677" spans="1:9" x14ac:dyDescent="0.3">
      <c r="A9677" t="s">
        <v>18</v>
      </c>
      <c r="G9677">
        <v>44763</v>
      </c>
      <c r="H9677">
        <v>2022</v>
      </c>
      <c r="I9677" t="s">
        <v>48</v>
      </c>
    </row>
    <row r="9678" spans="1:9" x14ac:dyDescent="0.3">
      <c r="A9678" t="s">
        <v>16</v>
      </c>
      <c r="B9678">
        <v>202500</v>
      </c>
      <c r="D9678">
        <v>216000</v>
      </c>
      <c r="G9678">
        <v>44763</v>
      </c>
      <c r="H9678">
        <v>2022</v>
      </c>
      <c r="I9678" t="s">
        <v>48</v>
      </c>
    </row>
    <row r="9679" spans="1:9" x14ac:dyDescent="0.3">
      <c r="A9679" t="s">
        <v>20</v>
      </c>
      <c r="B9679">
        <v>108000</v>
      </c>
      <c r="G9679">
        <v>44764</v>
      </c>
      <c r="H9679">
        <v>2022</v>
      </c>
      <c r="I9679" t="s">
        <v>48</v>
      </c>
    </row>
    <row r="9680" spans="1:9" x14ac:dyDescent="0.3">
      <c r="A9680" t="s">
        <v>37</v>
      </c>
      <c r="G9680">
        <v>44764</v>
      </c>
      <c r="H9680">
        <v>2022</v>
      </c>
      <c r="I9680" t="s">
        <v>48</v>
      </c>
    </row>
    <row r="9681" spans="1:9" x14ac:dyDescent="0.3">
      <c r="A9681" t="s">
        <v>17</v>
      </c>
      <c r="G9681">
        <v>44764</v>
      </c>
      <c r="H9681">
        <v>2022</v>
      </c>
      <c r="I9681" t="s">
        <v>48</v>
      </c>
    </row>
    <row r="9682" spans="1:9" x14ac:dyDescent="0.3">
      <c r="A9682" t="s">
        <v>0</v>
      </c>
      <c r="B9682">
        <v>536000</v>
      </c>
      <c r="D9682">
        <v>216000</v>
      </c>
      <c r="G9682">
        <v>44764</v>
      </c>
      <c r="H9682">
        <v>2022</v>
      </c>
      <c r="I9682" t="s">
        <v>48</v>
      </c>
    </row>
    <row r="9683" spans="1:9" x14ac:dyDescent="0.3">
      <c r="A9683" t="s">
        <v>25</v>
      </c>
      <c r="G9683">
        <v>44764</v>
      </c>
      <c r="H9683">
        <v>2022</v>
      </c>
      <c r="I9683" t="s">
        <v>48</v>
      </c>
    </row>
    <row r="9684" spans="1:9" x14ac:dyDescent="0.3">
      <c r="A9684" t="s">
        <v>15</v>
      </c>
      <c r="B9684">
        <v>216000</v>
      </c>
      <c r="D9684">
        <v>108000</v>
      </c>
      <c r="G9684">
        <v>44764</v>
      </c>
      <c r="H9684">
        <v>2022</v>
      </c>
      <c r="I9684" t="s">
        <v>48</v>
      </c>
    </row>
    <row r="9685" spans="1:9" x14ac:dyDescent="0.3">
      <c r="A9685" t="s">
        <v>54</v>
      </c>
      <c r="B9685">
        <v>54000</v>
      </c>
      <c r="G9685">
        <v>44764</v>
      </c>
      <c r="H9685">
        <v>2022</v>
      </c>
      <c r="I9685" t="s">
        <v>48</v>
      </c>
    </row>
    <row r="9686" spans="1:9" x14ac:dyDescent="0.3">
      <c r="A9686" t="s">
        <v>26</v>
      </c>
      <c r="G9686">
        <v>44764</v>
      </c>
      <c r="H9686">
        <v>2022</v>
      </c>
      <c r="I9686" t="s">
        <v>48</v>
      </c>
    </row>
    <row r="9687" spans="1:9" x14ac:dyDescent="0.3">
      <c r="A9687" t="s">
        <v>22</v>
      </c>
      <c r="G9687">
        <v>44764</v>
      </c>
      <c r="H9687">
        <v>2022</v>
      </c>
      <c r="I9687" t="s">
        <v>48</v>
      </c>
    </row>
    <row r="9688" spans="1:9" x14ac:dyDescent="0.3">
      <c r="A9688" t="s">
        <v>61</v>
      </c>
      <c r="G9688">
        <v>44764</v>
      </c>
      <c r="H9688">
        <v>2022</v>
      </c>
      <c r="I9688" t="s">
        <v>48</v>
      </c>
    </row>
    <row r="9689" spans="1:9" x14ac:dyDescent="0.3">
      <c r="A9689" t="s">
        <v>19</v>
      </c>
      <c r="B9689">
        <v>107500</v>
      </c>
      <c r="D9689">
        <v>270000</v>
      </c>
      <c r="G9689">
        <v>44764</v>
      </c>
      <c r="H9689">
        <v>2022</v>
      </c>
      <c r="I9689" t="s">
        <v>48</v>
      </c>
    </row>
    <row r="9690" spans="1:9" x14ac:dyDescent="0.3">
      <c r="A9690" t="s">
        <v>14</v>
      </c>
      <c r="B9690">
        <v>157500</v>
      </c>
      <c r="C9690">
        <v>1021500</v>
      </c>
      <c r="D9690">
        <v>261000</v>
      </c>
      <c r="G9690">
        <v>44764</v>
      </c>
      <c r="H9690">
        <v>2022</v>
      </c>
      <c r="I9690" t="s">
        <v>48</v>
      </c>
    </row>
    <row r="9691" spans="1:9" x14ac:dyDescent="0.3">
      <c r="A9691" t="s">
        <v>24</v>
      </c>
      <c r="G9691">
        <v>44764</v>
      </c>
      <c r="H9691">
        <v>2022</v>
      </c>
      <c r="I9691" t="s">
        <v>48</v>
      </c>
    </row>
    <row r="9692" spans="1:9" x14ac:dyDescent="0.3">
      <c r="A9692" t="s">
        <v>21</v>
      </c>
      <c r="G9692">
        <v>44764</v>
      </c>
      <c r="H9692">
        <v>2022</v>
      </c>
      <c r="I9692" t="s">
        <v>48</v>
      </c>
    </row>
    <row r="9693" spans="1:9" x14ac:dyDescent="0.3">
      <c r="A9693" t="s">
        <v>65</v>
      </c>
      <c r="G9693">
        <v>44764</v>
      </c>
      <c r="H9693">
        <v>2022</v>
      </c>
      <c r="I9693" t="s">
        <v>48</v>
      </c>
    </row>
    <row r="9694" spans="1:9" x14ac:dyDescent="0.3">
      <c r="A9694" t="s">
        <v>18</v>
      </c>
      <c r="G9694">
        <v>44764</v>
      </c>
      <c r="H9694">
        <v>2022</v>
      </c>
      <c r="I9694" t="s">
        <v>48</v>
      </c>
    </row>
    <row r="9695" spans="1:9" x14ac:dyDescent="0.3">
      <c r="A9695" t="s">
        <v>16</v>
      </c>
      <c r="B9695">
        <v>158000</v>
      </c>
      <c r="D9695">
        <v>108000</v>
      </c>
      <c r="G9695">
        <v>44764</v>
      </c>
      <c r="H9695">
        <v>2022</v>
      </c>
      <c r="I9695" t="s">
        <v>48</v>
      </c>
    </row>
    <row r="9696" spans="1:9" x14ac:dyDescent="0.3">
      <c r="A9696" t="s">
        <v>20</v>
      </c>
      <c r="B9696">
        <v>99000</v>
      </c>
      <c r="C9696">
        <v>211500</v>
      </c>
      <c r="G9696">
        <v>44767</v>
      </c>
      <c r="H9696">
        <v>2022</v>
      </c>
      <c r="I9696" t="s">
        <v>48</v>
      </c>
    </row>
    <row r="9697" spans="1:9" x14ac:dyDescent="0.3">
      <c r="A9697" t="s">
        <v>37</v>
      </c>
      <c r="G9697">
        <v>44767</v>
      </c>
      <c r="H9697">
        <v>2022</v>
      </c>
      <c r="I9697" t="s">
        <v>48</v>
      </c>
    </row>
    <row r="9698" spans="1:9" x14ac:dyDescent="0.3">
      <c r="A9698" t="s">
        <v>17</v>
      </c>
      <c r="G9698">
        <v>44767</v>
      </c>
      <c r="H9698">
        <v>2022</v>
      </c>
      <c r="I9698" t="s">
        <v>48</v>
      </c>
    </row>
    <row r="9699" spans="1:9" x14ac:dyDescent="0.3">
      <c r="A9699" t="s">
        <v>0</v>
      </c>
      <c r="B9699">
        <v>486000</v>
      </c>
      <c r="G9699">
        <v>44767</v>
      </c>
      <c r="H9699">
        <v>2022</v>
      </c>
      <c r="I9699" t="s">
        <v>48</v>
      </c>
    </row>
    <row r="9700" spans="1:9" x14ac:dyDescent="0.3">
      <c r="A9700" t="s">
        <v>25</v>
      </c>
      <c r="G9700">
        <v>44767</v>
      </c>
      <c r="H9700">
        <v>2022</v>
      </c>
      <c r="I9700" t="s">
        <v>48</v>
      </c>
    </row>
    <row r="9701" spans="1:9" x14ac:dyDescent="0.3">
      <c r="A9701" t="s">
        <v>15</v>
      </c>
      <c r="B9701">
        <v>270000</v>
      </c>
      <c r="G9701">
        <v>44767</v>
      </c>
      <c r="H9701">
        <v>2022</v>
      </c>
      <c r="I9701" t="s">
        <v>48</v>
      </c>
    </row>
    <row r="9702" spans="1:9" x14ac:dyDescent="0.3">
      <c r="A9702" t="s">
        <v>54</v>
      </c>
      <c r="B9702">
        <v>108000</v>
      </c>
      <c r="G9702">
        <v>44767</v>
      </c>
      <c r="H9702">
        <v>2022</v>
      </c>
      <c r="I9702" t="s">
        <v>48</v>
      </c>
    </row>
    <row r="9703" spans="1:9" x14ac:dyDescent="0.3">
      <c r="A9703" t="s">
        <v>26</v>
      </c>
      <c r="G9703">
        <v>44767</v>
      </c>
      <c r="H9703">
        <v>2022</v>
      </c>
      <c r="I9703" t="s">
        <v>48</v>
      </c>
    </row>
    <row r="9704" spans="1:9" x14ac:dyDescent="0.3">
      <c r="A9704" t="s">
        <v>22</v>
      </c>
      <c r="G9704">
        <v>44767</v>
      </c>
      <c r="H9704">
        <v>2022</v>
      </c>
      <c r="I9704" t="s">
        <v>48</v>
      </c>
    </row>
    <row r="9705" spans="1:9" x14ac:dyDescent="0.3">
      <c r="A9705" t="s">
        <v>61</v>
      </c>
      <c r="G9705">
        <v>44767</v>
      </c>
      <c r="H9705">
        <v>2022</v>
      </c>
      <c r="I9705" t="s">
        <v>48</v>
      </c>
    </row>
    <row r="9706" spans="1:9" x14ac:dyDescent="0.3">
      <c r="A9706" t="s">
        <v>19</v>
      </c>
      <c r="B9706">
        <v>216000</v>
      </c>
      <c r="D9706">
        <v>54000</v>
      </c>
      <c r="G9706">
        <v>44767</v>
      </c>
      <c r="H9706">
        <v>2022</v>
      </c>
      <c r="I9706" t="s">
        <v>48</v>
      </c>
    </row>
    <row r="9707" spans="1:9" x14ac:dyDescent="0.3">
      <c r="A9707" t="s">
        <v>14</v>
      </c>
      <c r="B9707">
        <v>158000</v>
      </c>
      <c r="C9707">
        <v>270000</v>
      </c>
      <c r="D9707">
        <v>257000</v>
      </c>
      <c r="G9707">
        <v>44767</v>
      </c>
      <c r="H9707">
        <v>2022</v>
      </c>
      <c r="I9707" t="s">
        <v>48</v>
      </c>
    </row>
    <row r="9708" spans="1:9" x14ac:dyDescent="0.3">
      <c r="A9708" t="s">
        <v>24</v>
      </c>
      <c r="G9708">
        <v>44767</v>
      </c>
      <c r="H9708">
        <v>2022</v>
      </c>
      <c r="I9708" t="s">
        <v>48</v>
      </c>
    </row>
    <row r="9709" spans="1:9" x14ac:dyDescent="0.3">
      <c r="A9709" t="s">
        <v>21</v>
      </c>
      <c r="C9709">
        <v>316000</v>
      </c>
      <c r="G9709">
        <v>44767</v>
      </c>
      <c r="H9709">
        <v>2022</v>
      </c>
      <c r="I9709" t="s">
        <v>48</v>
      </c>
    </row>
    <row r="9710" spans="1:9" x14ac:dyDescent="0.3">
      <c r="A9710" t="s">
        <v>65</v>
      </c>
      <c r="G9710">
        <v>44767</v>
      </c>
      <c r="H9710">
        <v>2022</v>
      </c>
      <c r="I9710" t="s">
        <v>48</v>
      </c>
    </row>
    <row r="9711" spans="1:9" x14ac:dyDescent="0.3">
      <c r="A9711" t="s">
        <v>18</v>
      </c>
      <c r="G9711">
        <v>44767</v>
      </c>
      <c r="H9711">
        <v>2022</v>
      </c>
      <c r="I9711" t="s">
        <v>48</v>
      </c>
    </row>
    <row r="9712" spans="1:9" x14ac:dyDescent="0.3">
      <c r="A9712" t="s">
        <v>16</v>
      </c>
      <c r="B9712">
        <v>49500</v>
      </c>
      <c r="D9712">
        <v>54000</v>
      </c>
      <c r="G9712">
        <v>44767</v>
      </c>
      <c r="H9712">
        <v>2022</v>
      </c>
      <c r="I9712" t="s">
        <v>48</v>
      </c>
    </row>
    <row r="9713" spans="1:9" x14ac:dyDescent="0.3">
      <c r="A9713" t="s">
        <v>20</v>
      </c>
      <c r="B9713">
        <v>162000</v>
      </c>
      <c r="C9713">
        <v>198000</v>
      </c>
      <c r="G9713">
        <v>44768</v>
      </c>
      <c r="H9713">
        <v>2022</v>
      </c>
      <c r="I9713" t="s">
        <v>48</v>
      </c>
    </row>
    <row r="9714" spans="1:9" x14ac:dyDescent="0.3">
      <c r="A9714" t="s">
        <v>37</v>
      </c>
      <c r="G9714">
        <v>44768</v>
      </c>
      <c r="H9714">
        <v>2022</v>
      </c>
      <c r="I9714" t="s">
        <v>48</v>
      </c>
    </row>
    <row r="9715" spans="1:9" x14ac:dyDescent="0.3">
      <c r="A9715" t="s">
        <v>17</v>
      </c>
      <c r="G9715">
        <v>44768</v>
      </c>
      <c r="H9715">
        <v>2022</v>
      </c>
      <c r="I9715" t="s">
        <v>48</v>
      </c>
    </row>
    <row r="9716" spans="1:9" x14ac:dyDescent="0.3">
      <c r="A9716" t="s">
        <v>0</v>
      </c>
      <c r="B9716">
        <v>324000</v>
      </c>
      <c r="G9716">
        <v>44768</v>
      </c>
      <c r="H9716">
        <v>2022</v>
      </c>
      <c r="I9716" t="s">
        <v>48</v>
      </c>
    </row>
    <row r="9717" spans="1:9" x14ac:dyDescent="0.3">
      <c r="A9717" t="s">
        <v>25</v>
      </c>
      <c r="G9717">
        <v>44768</v>
      </c>
      <c r="H9717">
        <v>2022</v>
      </c>
      <c r="I9717" t="s">
        <v>48</v>
      </c>
    </row>
    <row r="9718" spans="1:9" x14ac:dyDescent="0.3">
      <c r="A9718" t="s">
        <v>15</v>
      </c>
      <c r="B9718">
        <v>311000</v>
      </c>
      <c r="G9718">
        <v>44768</v>
      </c>
      <c r="H9718">
        <v>2022</v>
      </c>
      <c r="I9718" t="s">
        <v>48</v>
      </c>
    </row>
    <row r="9719" spans="1:9" x14ac:dyDescent="0.3">
      <c r="A9719" t="s">
        <v>54</v>
      </c>
      <c r="B9719">
        <v>162000</v>
      </c>
      <c r="G9719">
        <v>44768</v>
      </c>
      <c r="H9719">
        <v>2022</v>
      </c>
      <c r="I9719" t="s">
        <v>48</v>
      </c>
    </row>
    <row r="9720" spans="1:9" x14ac:dyDescent="0.3">
      <c r="A9720" t="s">
        <v>26</v>
      </c>
      <c r="G9720">
        <v>44768</v>
      </c>
      <c r="H9720">
        <v>2022</v>
      </c>
      <c r="I9720" t="s">
        <v>48</v>
      </c>
    </row>
    <row r="9721" spans="1:9" x14ac:dyDescent="0.3">
      <c r="A9721" t="s">
        <v>22</v>
      </c>
      <c r="G9721">
        <v>44768</v>
      </c>
      <c r="H9721">
        <v>2022</v>
      </c>
      <c r="I9721" t="s">
        <v>48</v>
      </c>
    </row>
    <row r="9722" spans="1:9" x14ac:dyDescent="0.3">
      <c r="A9722" t="s">
        <v>61</v>
      </c>
      <c r="G9722">
        <v>44768</v>
      </c>
      <c r="H9722">
        <v>2022</v>
      </c>
      <c r="I9722" t="s">
        <v>48</v>
      </c>
    </row>
    <row r="9723" spans="1:9" x14ac:dyDescent="0.3">
      <c r="A9723" t="s">
        <v>19</v>
      </c>
      <c r="B9723">
        <v>162000</v>
      </c>
      <c r="C9723">
        <v>414000</v>
      </c>
      <c r="G9723">
        <v>44768</v>
      </c>
      <c r="H9723">
        <v>2022</v>
      </c>
      <c r="I9723" t="s">
        <v>48</v>
      </c>
    </row>
    <row r="9724" spans="1:9" x14ac:dyDescent="0.3">
      <c r="A9724" t="s">
        <v>14</v>
      </c>
      <c r="B9724">
        <v>108000</v>
      </c>
      <c r="C9724">
        <v>252000</v>
      </c>
      <c r="G9724">
        <v>44768</v>
      </c>
      <c r="H9724">
        <v>2022</v>
      </c>
      <c r="I9724" t="s">
        <v>48</v>
      </c>
    </row>
    <row r="9725" spans="1:9" x14ac:dyDescent="0.3">
      <c r="A9725" t="s">
        <v>24</v>
      </c>
      <c r="G9725">
        <v>44768</v>
      </c>
      <c r="H9725">
        <v>2022</v>
      </c>
      <c r="I9725" t="s">
        <v>48</v>
      </c>
    </row>
    <row r="9726" spans="1:9" x14ac:dyDescent="0.3">
      <c r="A9726" t="s">
        <v>21</v>
      </c>
      <c r="C9726">
        <v>270000</v>
      </c>
      <c r="G9726">
        <v>44768</v>
      </c>
      <c r="H9726">
        <v>2022</v>
      </c>
      <c r="I9726" t="s">
        <v>48</v>
      </c>
    </row>
    <row r="9727" spans="1:9" x14ac:dyDescent="0.3">
      <c r="A9727" t="s">
        <v>65</v>
      </c>
      <c r="G9727">
        <v>44768</v>
      </c>
      <c r="H9727">
        <v>2022</v>
      </c>
      <c r="I9727" t="s">
        <v>48</v>
      </c>
    </row>
    <row r="9728" spans="1:9" x14ac:dyDescent="0.3">
      <c r="A9728" t="s">
        <v>18</v>
      </c>
      <c r="G9728">
        <v>44768</v>
      </c>
      <c r="H9728">
        <v>2022</v>
      </c>
      <c r="I9728" t="s">
        <v>48</v>
      </c>
    </row>
    <row r="9729" spans="1:9" x14ac:dyDescent="0.3">
      <c r="A9729" t="s">
        <v>16</v>
      </c>
      <c r="B9729">
        <v>108000</v>
      </c>
      <c r="G9729">
        <v>44768</v>
      </c>
      <c r="H9729">
        <v>2022</v>
      </c>
      <c r="I9729" t="s">
        <v>48</v>
      </c>
    </row>
    <row r="9730" spans="1:9" x14ac:dyDescent="0.3">
      <c r="A9730" t="s">
        <v>20</v>
      </c>
      <c r="B9730">
        <v>216000</v>
      </c>
      <c r="G9730">
        <v>44769</v>
      </c>
      <c r="H9730">
        <v>2022</v>
      </c>
      <c r="I9730" t="s">
        <v>48</v>
      </c>
    </row>
    <row r="9731" spans="1:9" x14ac:dyDescent="0.3">
      <c r="A9731" t="s">
        <v>37</v>
      </c>
      <c r="G9731">
        <v>44769</v>
      </c>
      <c r="H9731">
        <v>2022</v>
      </c>
      <c r="I9731" t="s">
        <v>48</v>
      </c>
    </row>
    <row r="9732" spans="1:9" x14ac:dyDescent="0.3">
      <c r="A9732" t="s">
        <v>17</v>
      </c>
      <c r="G9732">
        <v>44769</v>
      </c>
      <c r="H9732">
        <v>2022</v>
      </c>
      <c r="I9732" t="s">
        <v>48</v>
      </c>
    </row>
    <row r="9733" spans="1:9" x14ac:dyDescent="0.3">
      <c r="A9733" t="s">
        <v>0</v>
      </c>
      <c r="G9733">
        <v>44769</v>
      </c>
      <c r="H9733">
        <v>2022</v>
      </c>
      <c r="I9733" t="s">
        <v>48</v>
      </c>
    </row>
    <row r="9734" spans="1:9" x14ac:dyDescent="0.3">
      <c r="A9734" t="s">
        <v>25</v>
      </c>
      <c r="G9734">
        <v>44769</v>
      </c>
      <c r="H9734">
        <v>2022</v>
      </c>
      <c r="I9734" t="s">
        <v>48</v>
      </c>
    </row>
    <row r="9735" spans="1:9" x14ac:dyDescent="0.3">
      <c r="A9735" t="s">
        <v>15</v>
      </c>
      <c r="B9735">
        <v>423500</v>
      </c>
      <c r="G9735">
        <v>44769</v>
      </c>
      <c r="H9735">
        <v>2022</v>
      </c>
      <c r="I9735" t="s">
        <v>48</v>
      </c>
    </row>
    <row r="9736" spans="1:9" x14ac:dyDescent="0.3">
      <c r="A9736" t="s">
        <v>54</v>
      </c>
      <c r="G9736">
        <v>44769</v>
      </c>
      <c r="H9736">
        <v>2022</v>
      </c>
      <c r="I9736" t="s">
        <v>48</v>
      </c>
    </row>
    <row r="9737" spans="1:9" x14ac:dyDescent="0.3">
      <c r="A9737" t="s">
        <v>26</v>
      </c>
      <c r="G9737">
        <v>44769</v>
      </c>
      <c r="H9737">
        <v>2022</v>
      </c>
      <c r="I9737" t="s">
        <v>48</v>
      </c>
    </row>
    <row r="9738" spans="1:9" x14ac:dyDescent="0.3">
      <c r="A9738" t="s">
        <v>22</v>
      </c>
      <c r="G9738">
        <v>44769</v>
      </c>
      <c r="H9738">
        <v>2022</v>
      </c>
      <c r="I9738" t="s">
        <v>48</v>
      </c>
    </row>
    <row r="9739" spans="1:9" x14ac:dyDescent="0.3">
      <c r="A9739" t="s">
        <v>61</v>
      </c>
      <c r="G9739">
        <v>44769</v>
      </c>
      <c r="H9739">
        <v>2022</v>
      </c>
      <c r="I9739" t="s">
        <v>48</v>
      </c>
    </row>
    <row r="9740" spans="1:9" x14ac:dyDescent="0.3">
      <c r="A9740" t="s">
        <v>19</v>
      </c>
      <c r="B9740">
        <v>270000</v>
      </c>
      <c r="C9740">
        <v>162000</v>
      </c>
      <c r="G9740">
        <v>44769</v>
      </c>
      <c r="H9740">
        <v>2022</v>
      </c>
      <c r="I9740" t="s">
        <v>48</v>
      </c>
    </row>
    <row r="9741" spans="1:9" x14ac:dyDescent="0.3">
      <c r="A9741" t="s">
        <v>14</v>
      </c>
      <c r="C9741">
        <v>319500</v>
      </c>
      <c r="G9741">
        <v>44769</v>
      </c>
      <c r="H9741">
        <v>2022</v>
      </c>
      <c r="I9741" t="s">
        <v>48</v>
      </c>
    </row>
    <row r="9742" spans="1:9" x14ac:dyDescent="0.3">
      <c r="A9742" t="s">
        <v>24</v>
      </c>
      <c r="G9742">
        <v>44769</v>
      </c>
      <c r="H9742">
        <v>2022</v>
      </c>
      <c r="I9742" t="s">
        <v>48</v>
      </c>
    </row>
    <row r="9743" spans="1:9" x14ac:dyDescent="0.3">
      <c r="A9743" t="s">
        <v>21</v>
      </c>
      <c r="B9743">
        <v>270000</v>
      </c>
      <c r="C9743">
        <v>432000</v>
      </c>
      <c r="G9743">
        <v>44769</v>
      </c>
      <c r="H9743">
        <v>2022</v>
      </c>
      <c r="I9743" t="s">
        <v>48</v>
      </c>
    </row>
    <row r="9744" spans="1:9" x14ac:dyDescent="0.3">
      <c r="A9744" t="s">
        <v>65</v>
      </c>
      <c r="G9744">
        <v>44769</v>
      </c>
      <c r="H9744">
        <v>2022</v>
      </c>
      <c r="I9744" t="s">
        <v>48</v>
      </c>
    </row>
    <row r="9745" spans="1:9" x14ac:dyDescent="0.3">
      <c r="A9745" t="s">
        <v>18</v>
      </c>
      <c r="G9745">
        <v>44769</v>
      </c>
      <c r="H9745">
        <v>2022</v>
      </c>
      <c r="I9745" t="s">
        <v>48</v>
      </c>
    </row>
    <row r="9746" spans="1:9" x14ac:dyDescent="0.3">
      <c r="A9746" t="s">
        <v>16</v>
      </c>
      <c r="B9746">
        <v>270000</v>
      </c>
      <c r="G9746">
        <v>44769</v>
      </c>
      <c r="H9746">
        <v>2022</v>
      </c>
      <c r="I9746" t="s">
        <v>48</v>
      </c>
    </row>
    <row r="9747" spans="1:9" x14ac:dyDescent="0.3">
      <c r="A9747" t="s">
        <v>20</v>
      </c>
      <c r="B9747">
        <v>216000</v>
      </c>
      <c r="C9747">
        <v>306000</v>
      </c>
      <c r="G9747">
        <v>44770</v>
      </c>
      <c r="H9747">
        <v>2022</v>
      </c>
      <c r="I9747" t="s">
        <v>48</v>
      </c>
    </row>
    <row r="9748" spans="1:9" x14ac:dyDescent="0.3">
      <c r="A9748" t="s">
        <v>37</v>
      </c>
      <c r="G9748">
        <v>44770</v>
      </c>
      <c r="H9748">
        <v>2022</v>
      </c>
      <c r="I9748" t="s">
        <v>48</v>
      </c>
    </row>
    <row r="9749" spans="1:9" x14ac:dyDescent="0.3">
      <c r="A9749" t="s">
        <v>17</v>
      </c>
      <c r="G9749">
        <v>44770</v>
      </c>
      <c r="H9749">
        <v>2022</v>
      </c>
      <c r="I9749" t="s">
        <v>48</v>
      </c>
    </row>
    <row r="9750" spans="1:9" x14ac:dyDescent="0.3">
      <c r="A9750" t="s">
        <v>0</v>
      </c>
      <c r="G9750">
        <v>44770</v>
      </c>
      <c r="H9750">
        <v>2022</v>
      </c>
      <c r="I9750" t="s">
        <v>48</v>
      </c>
    </row>
    <row r="9751" spans="1:9" x14ac:dyDescent="0.3">
      <c r="A9751" t="s">
        <v>25</v>
      </c>
      <c r="G9751">
        <v>44770</v>
      </c>
      <c r="H9751">
        <v>2022</v>
      </c>
      <c r="I9751" t="s">
        <v>48</v>
      </c>
    </row>
    <row r="9752" spans="1:9" x14ac:dyDescent="0.3">
      <c r="A9752" t="s">
        <v>15</v>
      </c>
      <c r="B9752">
        <v>216000</v>
      </c>
      <c r="G9752">
        <v>44770</v>
      </c>
      <c r="H9752">
        <v>2022</v>
      </c>
      <c r="I9752" t="s">
        <v>48</v>
      </c>
    </row>
    <row r="9753" spans="1:9" x14ac:dyDescent="0.3">
      <c r="A9753" t="s">
        <v>54</v>
      </c>
      <c r="B9753">
        <v>108000</v>
      </c>
      <c r="G9753">
        <v>44770</v>
      </c>
      <c r="H9753">
        <v>2022</v>
      </c>
      <c r="I9753" t="s">
        <v>48</v>
      </c>
    </row>
    <row r="9754" spans="1:9" x14ac:dyDescent="0.3">
      <c r="A9754" t="s">
        <v>26</v>
      </c>
      <c r="G9754">
        <v>44770</v>
      </c>
      <c r="H9754">
        <v>2022</v>
      </c>
      <c r="I9754" t="s">
        <v>48</v>
      </c>
    </row>
    <row r="9755" spans="1:9" x14ac:dyDescent="0.3">
      <c r="A9755" t="s">
        <v>22</v>
      </c>
      <c r="G9755">
        <v>44770</v>
      </c>
      <c r="H9755">
        <v>2022</v>
      </c>
      <c r="I9755" t="s">
        <v>48</v>
      </c>
    </row>
    <row r="9756" spans="1:9" x14ac:dyDescent="0.3">
      <c r="A9756" t="s">
        <v>61</v>
      </c>
      <c r="G9756">
        <v>44770</v>
      </c>
      <c r="H9756">
        <v>2022</v>
      </c>
      <c r="I9756" t="s">
        <v>48</v>
      </c>
    </row>
    <row r="9757" spans="1:9" x14ac:dyDescent="0.3">
      <c r="A9757" t="s">
        <v>19</v>
      </c>
      <c r="B9757">
        <v>324000</v>
      </c>
      <c r="G9757">
        <v>44770</v>
      </c>
      <c r="H9757">
        <v>2022</v>
      </c>
      <c r="I9757" t="s">
        <v>48</v>
      </c>
    </row>
    <row r="9758" spans="1:9" x14ac:dyDescent="0.3">
      <c r="A9758" t="s">
        <v>14</v>
      </c>
      <c r="B9758">
        <v>419000</v>
      </c>
      <c r="G9758">
        <v>44770</v>
      </c>
      <c r="H9758">
        <v>2022</v>
      </c>
      <c r="I9758" t="s">
        <v>48</v>
      </c>
    </row>
    <row r="9759" spans="1:9" x14ac:dyDescent="0.3">
      <c r="A9759" t="s">
        <v>24</v>
      </c>
      <c r="G9759">
        <v>44770</v>
      </c>
      <c r="H9759">
        <v>2022</v>
      </c>
      <c r="I9759" t="s">
        <v>48</v>
      </c>
    </row>
    <row r="9760" spans="1:9" x14ac:dyDescent="0.3">
      <c r="A9760" t="s">
        <v>21</v>
      </c>
      <c r="B9760">
        <v>54000</v>
      </c>
      <c r="C9760">
        <v>482000</v>
      </c>
      <c r="G9760">
        <v>44770</v>
      </c>
      <c r="H9760">
        <v>2022</v>
      </c>
      <c r="I9760" t="s">
        <v>48</v>
      </c>
    </row>
    <row r="9761" spans="1:9" x14ac:dyDescent="0.3">
      <c r="A9761" t="s">
        <v>65</v>
      </c>
      <c r="G9761">
        <v>44770</v>
      </c>
      <c r="H9761">
        <v>2022</v>
      </c>
      <c r="I9761" t="s">
        <v>48</v>
      </c>
    </row>
    <row r="9762" spans="1:9" x14ac:dyDescent="0.3">
      <c r="A9762" t="s">
        <v>18</v>
      </c>
      <c r="G9762">
        <v>44770</v>
      </c>
      <c r="H9762">
        <v>2022</v>
      </c>
      <c r="I9762" t="s">
        <v>48</v>
      </c>
    </row>
    <row r="9763" spans="1:9" x14ac:dyDescent="0.3">
      <c r="A9763" t="s">
        <v>16</v>
      </c>
      <c r="B9763">
        <v>162000</v>
      </c>
      <c r="G9763">
        <v>44770</v>
      </c>
      <c r="H9763">
        <v>2022</v>
      </c>
      <c r="I9763" t="s">
        <v>48</v>
      </c>
    </row>
    <row r="9764" spans="1:9" x14ac:dyDescent="0.3">
      <c r="A9764" t="s">
        <v>20</v>
      </c>
      <c r="B9764">
        <v>540000</v>
      </c>
      <c r="C9764">
        <v>216000</v>
      </c>
      <c r="G9764">
        <v>44771</v>
      </c>
      <c r="H9764">
        <v>2022</v>
      </c>
      <c r="I9764" t="s">
        <v>48</v>
      </c>
    </row>
    <row r="9765" spans="1:9" x14ac:dyDescent="0.3">
      <c r="A9765" t="s">
        <v>37</v>
      </c>
      <c r="G9765">
        <v>44771</v>
      </c>
      <c r="H9765">
        <v>2022</v>
      </c>
      <c r="I9765" t="s">
        <v>48</v>
      </c>
    </row>
    <row r="9766" spans="1:9" x14ac:dyDescent="0.3">
      <c r="A9766" t="s">
        <v>17</v>
      </c>
      <c r="B9766">
        <v>54000</v>
      </c>
      <c r="G9766">
        <v>44771</v>
      </c>
      <c r="H9766">
        <v>2022</v>
      </c>
      <c r="I9766" t="s">
        <v>48</v>
      </c>
    </row>
    <row r="9767" spans="1:9" x14ac:dyDescent="0.3">
      <c r="A9767" t="s">
        <v>0</v>
      </c>
      <c r="G9767">
        <v>44771</v>
      </c>
      <c r="H9767">
        <v>2022</v>
      </c>
      <c r="I9767" t="s">
        <v>48</v>
      </c>
    </row>
    <row r="9768" spans="1:9" x14ac:dyDescent="0.3">
      <c r="A9768" t="s">
        <v>25</v>
      </c>
      <c r="B9768">
        <v>108000</v>
      </c>
      <c r="G9768">
        <v>44771</v>
      </c>
      <c r="H9768">
        <v>2022</v>
      </c>
      <c r="I9768" t="s">
        <v>48</v>
      </c>
    </row>
    <row r="9769" spans="1:9" x14ac:dyDescent="0.3">
      <c r="A9769" t="s">
        <v>15</v>
      </c>
      <c r="B9769">
        <v>315000</v>
      </c>
      <c r="G9769">
        <v>44771</v>
      </c>
      <c r="H9769">
        <v>2022</v>
      </c>
      <c r="I9769" t="s">
        <v>48</v>
      </c>
    </row>
    <row r="9770" spans="1:9" x14ac:dyDescent="0.3">
      <c r="A9770" t="s">
        <v>54</v>
      </c>
      <c r="E9770">
        <v>216000</v>
      </c>
      <c r="F9770">
        <v>158000</v>
      </c>
      <c r="G9770">
        <v>44771</v>
      </c>
      <c r="H9770">
        <v>2022</v>
      </c>
      <c r="I9770" t="s">
        <v>48</v>
      </c>
    </row>
    <row r="9771" spans="1:9" x14ac:dyDescent="0.3">
      <c r="A9771" t="s">
        <v>26</v>
      </c>
      <c r="G9771">
        <v>44771</v>
      </c>
      <c r="H9771">
        <v>2022</v>
      </c>
      <c r="I9771" t="s">
        <v>48</v>
      </c>
    </row>
    <row r="9772" spans="1:9" x14ac:dyDescent="0.3">
      <c r="A9772" t="s">
        <v>22</v>
      </c>
      <c r="G9772">
        <v>44771</v>
      </c>
      <c r="H9772">
        <v>2022</v>
      </c>
      <c r="I9772" t="s">
        <v>48</v>
      </c>
    </row>
    <row r="9773" spans="1:9" x14ac:dyDescent="0.3">
      <c r="A9773" t="s">
        <v>61</v>
      </c>
      <c r="G9773">
        <v>44771</v>
      </c>
      <c r="H9773">
        <v>2022</v>
      </c>
      <c r="I9773" t="s">
        <v>48</v>
      </c>
    </row>
    <row r="9774" spans="1:9" x14ac:dyDescent="0.3">
      <c r="A9774" t="s">
        <v>19</v>
      </c>
      <c r="B9774">
        <v>370000</v>
      </c>
      <c r="F9774">
        <v>216000</v>
      </c>
      <c r="G9774">
        <v>44771</v>
      </c>
      <c r="H9774">
        <v>2022</v>
      </c>
      <c r="I9774" t="s">
        <v>48</v>
      </c>
    </row>
    <row r="9775" spans="1:9" x14ac:dyDescent="0.3">
      <c r="A9775" t="s">
        <v>14</v>
      </c>
      <c r="B9775">
        <v>540000</v>
      </c>
      <c r="C9775">
        <v>486000</v>
      </c>
      <c r="E9775">
        <v>270000</v>
      </c>
      <c r="F9775">
        <v>162000</v>
      </c>
      <c r="G9775">
        <v>44771</v>
      </c>
      <c r="H9775">
        <v>2022</v>
      </c>
      <c r="I9775" t="s">
        <v>48</v>
      </c>
    </row>
    <row r="9776" spans="1:9" x14ac:dyDescent="0.3">
      <c r="A9776" t="s">
        <v>24</v>
      </c>
      <c r="G9776">
        <v>44771</v>
      </c>
      <c r="H9776">
        <v>2022</v>
      </c>
      <c r="I9776" t="s">
        <v>48</v>
      </c>
    </row>
    <row r="9777" spans="1:9" x14ac:dyDescent="0.3">
      <c r="A9777" t="s">
        <v>21</v>
      </c>
      <c r="G9777">
        <v>44771</v>
      </c>
      <c r="H9777">
        <v>2022</v>
      </c>
      <c r="I9777" t="s">
        <v>48</v>
      </c>
    </row>
    <row r="9778" spans="1:9" x14ac:dyDescent="0.3">
      <c r="A9778" t="s">
        <v>65</v>
      </c>
      <c r="G9778">
        <v>44771</v>
      </c>
      <c r="H9778">
        <v>2022</v>
      </c>
      <c r="I9778" t="s">
        <v>48</v>
      </c>
    </row>
    <row r="9779" spans="1:9" x14ac:dyDescent="0.3">
      <c r="A9779" t="s">
        <v>18</v>
      </c>
      <c r="G9779">
        <v>44771</v>
      </c>
      <c r="H9779">
        <v>2022</v>
      </c>
      <c r="I9779" t="s">
        <v>48</v>
      </c>
    </row>
    <row r="9780" spans="1:9" x14ac:dyDescent="0.3">
      <c r="A9780" t="s">
        <v>16</v>
      </c>
      <c r="G9780">
        <v>44771</v>
      </c>
      <c r="H9780">
        <v>2022</v>
      </c>
      <c r="I9780" t="s">
        <v>48</v>
      </c>
    </row>
    <row r="9781" spans="1:9" x14ac:dyDescent="0.3">
      <c r="A9781" t="s">
        <v>20</v>
      </c>
      <c r="G9781">
        <v>44778</v>
      </c>
      <c r="H9781">
        <v>2022</v>
      </c>
      <c r="I9781" t="s">
        <v>49</v>
      </c>
    </row>
    <row r="9782" spans="1:9" x14ac:dyDescent="0.3">
      <c r="A9782" t="s">
        <v>37</v>
      </c>
      <c r="G9782">
        <v>44778</v>
      </c>
      <c r="H9782">
        <v>2022</v>
      </c>
      <c r="I9782" t="s">
        <v>49</v>
      </c>
    </row>
    <row r="9783" spans="1:9" x14ac:dyDescent="0.3">
      <c r="A9783" t="s">
        <v>17</v>
      </c>
      <c r="G9783">
        <v>44778</v>
      </c>
      <c r="H9783">
        <v>2022</v>
      </c>
      <c r="I9783" t="s">
        <v>49</v>
      </c>
    </row>
    <row r="9784" spans="1:9" x14ac:dyDescent="0.3">
      <c r="A9784" t="s">
        <v>0</v>
      </c>
      <c r="G9784">
        <v>44778</v>
      </c>
      <c r="H9784">
        <v>2022</v>
      </c>
      <c r="I9784" t="s">
        <v>49</v>
      </c>
    </row>
    <row r="9785" spans="1:9" x14ac:dyDescent="0.3">
      <c r="A9785" t="s">
        <v>25</v>
      </c>
      <c r="B9785">
        <v>108000</v>
      </c>
      <c r="G9785">
        <v>44778</v>
      </c>
      <c r="H9785">
        <v>2022</v>
      </c>
      <c r="I9785" t="s">
        <v>49</v>
      </c>
    </row>
    <row r="9786" spans="1:9" x14ac:dyDescent="0.3">
      <c r="A9786" t="s">
        <v>15</v>
      </c>
      <c r="B9786">
        <v>54000</v>
      </c>
      <c r="G9786">
        <v>44778</v>
      </c>
      <c r="H9786">
        <v>2022</v>
      </c>
      <c r="I9786" t="s">
        <v>49</v>
      </c>
    </row>
    <row r="9787" spans="1:9" x14ac:dyDescent="0.3">
      <c r="A9787" t="s">
        <v>54</v>
      </c>
      <c r="F9787">
        <v>108000</v>
      </c>
      <c r="G9787">
        <v>44778</v>
      </c>
      <c r="H9787">
        <v>2022</v>
      </c>
      <c r="I9787" t="s">
        <v>49</v>
      </c>
    </row>
    <row r="9788" spans="1:9" x14ac:dyDescent="0.3">
      <c r="A9788" t="s">
        <v>26</v>
      </c>
      <c r="B9788">
        <v>104000</v>
      </c>
      <c r="F9788">
        <v>54000</v>
      </c>
      <c r="G9788">
        <v>44778</v>
      </c>
      <c r="H9788">
        <v>2022</v>
      </c>
      <c r="I9788" t="s">
        <v>49</v>
      </c>
    </row>
    <row r="9789" spans="1:9" x14ac:dyDescent="0.3">
      <c r="A9789" t="s">
        <v>22</v>
      </c>
      <c r="G9789">
        <v>44778</v>
      </c>
      <c r="H9789">
        <v>2022</v>
      </c>
      <c r="I9789" t="s">
        <v>49</v>
      </c>
    </row>
    <row r="9790" spans="1:9" x14ac:dyDescent="0.3">
      <c r="A9790" t="s">
        <v>61</v>
      </c>
      <c r="G9790">
        <v>44778</v>
      </c>
      <c r="H9790">
        <v>2022</v>
      </c>
      <c r="I9790" t="s">
        <v>49</v>
      </c>
    </row>
    <row r="9791" spans="1:9" x14ac:dyDescent="0.3">
      <c r="A9791" t="s">
        <v>19</v>
      </c>
      <c r="B9791">
        <v>108000</v>
      </c>
      <c r="F9791">
        <v>162000</v>
      </c>
      <c r="G9791">
        <v>44778</v>
      </c>
      <c r="H9791">
        <v>2022</v>
      </c>
      <c r="I9791" t="s">
        <v>49</v>
      </c>
    </row>
    <row r="9792" spans="1:9" x14ac:dyDescent="0.3">
      <c r="A9792" t="s">
        <v>14</v>
      </c>
      <c r="B9792">
        <v>54000</v>
      </c>
      <c r="F9792">
        <v>54000</v>
      </c>
      <c r="G9792">
        <v>44778</v>
      </c>
      <c r="H9792">
        <v>2022</v>
      </c>
      <c r="I9792" t="s">
        <v>49</v>
      </c>
    </row>
    <row r="9793" spans="1:9" x14ac:dyDescent="0.3">
      <c r="A9793" t="s">
        <v>24</v>
      </c>
      <c r="G9793">
        <v>44778</v>
      </c>
      <c r="H9793">
        <v>2022</v>
      </c>
      <c r="I9793" t="s">
        <v>49</v>
      </c>
    </row>
    <row r="9794" spans="1:9" x14ac:dyDescent="0.3">
      <c r="A9794" t="s">
        <v>21</v>
      </c>
      <c r="G9794">
        <v>44778</v>
      </c>
      <c r="H9794">
        <v>2022</v>
      </c>
      <c r="I9794" t="s">
        <v>49</v>
      </c>
    </row>
    <row r="9795" spans="1:9" x14ac:dyDescent="0.3">
      <c r="A9795" t="s">
        <v>65</v>
      </c>
      <c r="G9795">
        <v>44778</v>
      </c>
      <c r="H9795">
        <v>2022</v>
      </c>
      <c r="I9795" t="s">
        <v>49</v>
      </c>
    </row>
    <row r="9796" spans="1:9" x14ac:dyDescent="0.3">
      <c r="A9796" t="s">
        <v>18</v>
      </c>
      <c r="G9796">
        <v>44778</v>
      </c>
      <c r="H9796">
        <v>2022</v>
      </c>
      <c r="I9796" t="s">
        <v>49</v>
      </c>
    </row>
    <row r="9797" spans="1:9" x14ac:dyDescent="0.3">
      <c r="A9797" t="s">
        <v>16</v>
      </c>
      <c r="B9797">
        <v>54000</v>
      </c>
      <c r="G9797">
        <v>44778</v>
      </c>
      <c r="H9797">
        <v>2022</v>
      </c>
      <c r="I9797" t="s">
        <v>49</v>
      </c>
    </row>
    <row r="9798" spans="1:9" x14ac:dyDescent="0.3">
      <c r="A9798" t="s">
        <v>20</v>
      </c>
      <c r="B9798">
        <v>108000</v>
      </c>
      <c r="C9798">
        <v>108000</v>
      </c>
      <c r="G9798">
        <v>44781</v>
      </c>
      <c r="H9798">
        <v>2022</v>
      </c>
      <c r="I9798" t="s">
        <v>49</v>
      </c>
    </row>
    <row r="9799" spans="1:9" x14ac:dyDescent="0.3">
      <c r="A9799" t="s">
        <v>37</v>
      </c>
      <c r="G9799">
        <v>44781</v>
      </c>
      <c r="H9799">
        <v>2022</v>
      </c>
      <c r="I9799" t="s">
        <v>49</v>
      </c>
    </row>
    <row r="9800" spans="1:9" x14ac:dyDescent="0.3">
      <c r="A9800" t="s">
        <v>17</v>
      </c>
      <c r="B9800">
        <v>162000</v>
      </c>
      <c r="G9800">
        <v>44781</v>
      </c>
      <c r="H9800">
        <v>2022</v>
      </c>
      <c r="I9800" t="s">
        <v>49</v>
      </c>
    </row>
    <row r="9801" spans="1:9" x14ac:dyDescent="0.3">
      <c r="A9801" t="s">
        <v>0</v>
      </c>
      <c r="G9801">
        <v>44781</v>
      </c>
      <c r="H9801">
        <v>2022</v>
      </c>
      <c r="I9801" t="s">
        <v>49</v>
      </c>
    </row>
    <row r="9802" spans="1:9" x14ac:dyDescent="0.3">
      <c r="A9802" t="s">
        <v>25</v>
      </c>
      <c r="B9802">
        <v>99500</v>
      </c>
      <c r="G9802">
        <v>44781</v>
      </c>
      <c r="H9802">
        <v>2022</v>
      </c>
      <c r="I9802" t="s">
        <v>49</v>
      </c>
    </row>
    <row r="9803" spans="1:9" x14ac:dyDescent="0.3">
      <c r="A9803" t="s">
        <v>15</v>
      </c>
      <c r="B9803">
        <v>153000</v>
      </c>
      <c r="C9803">
        <v>216000</v>
      </c>
      <c r="G9803">
        <v>44781</v>
      </c>
      <c r="H9803">
        <v>2022</v>
      </c>
      <c r="I9803" t="s">
        <v>49</v>
      </c>
    </row>
    <row r="9804" spans="1:9" x14ac:dyDescent="0.3">
      <c r="A9804" t="s">
        <v>54</v>
      </c>
      <c r="B9804">
        <v>162000</v>
      </c>
      <c r="C9804">
        <v>108000</v>
      </c>
      <c r="E9804">
        <v>216000</v>
      </c>
      <c r="F9804">
        <v>108000</v>
      </c>
      <c r="G9804">
        <v>44781</v>
      </c>
      <c r="H9804">
        <v>2022</v>
      </c>
      <c r="I9804" t="s">
        <v>49</v>
      </c>
    </row>
    <row r="9805" spans="1:9" x14ac:dyDescent="0.3">
      <c r="A9805" t="s">
        <v>26</v>
      </c>
      <c r="B9805">
        <v>162000</v>
      </c>
      <c r="C9805">
        <v>104000</v>
      </c>
      <c r="F9805">
        <v>108000</v>
      </c>
      <c r="G9805">
        <v>44781</v>
      </c>
      <c r="H9805">
        <v>2022</v>
      </c>
      <c r="I9805" t="s">
        <v>49</v>
      </c>
    </row>
    <row r="9806" spans="1:9" x14ac:dyDescent="0.3">
      <c r="A9806" t="s">
        <v>22</v>
      </c>
      <c r="G9806">
        <v>44781</v>
      </c>
      <c r="H9806">
        <v>2022</v>
      </c>
      <c r="I9806" t="s">
        <v>49</v>
      </c>
    </row>
    <row r="9807" spans="1:9" x14ac:dyDescent="0.3">
      <c r="A9807" t="s">
        <v>61</v>
      </c>
      <c r="G9807">
        <v>44781</v>
      </c>
      <c r="H9807">
        <v>2022</v>
      </c>
      <c r="I9807" t="s">
        <v>49</v>
      </c>
    </row>
    <row r="9808" spans="1:9" x14ac:dyDescent="0.3">
      <c r="A9808" t="s">
        <v>19</v>
      </c>
      <c r="B9808">
        <v>270000</v>
      </c>
      <c r="C9808">
        <v>315000</v>
      </c>
      <c r="F9808">
        <v>108000</v>
      </c>
      <c r="G9808">
        <v>44781</v>
      </c>
      <c r="H9808">
        <v>2022</v>
      </c>
      <c r="I9808" t="s">
        <v>49</v>
      </c>
    </row>
    <row r="9809" spans="1:9" x14ac:dyDescent="0.3">
      <c r="A9809" t="s">
        <v>14</v>
      </c>
      <c r="B9809">
        <v>324000</v>
      </c>
      <c r="C9809">
        <v>54000</v>
      </c>
      <c r="E9809">
        <v>216000</v>
      </c>
      <c r="F9809">
        <v>108000</v>
      </c>
      <c r="G9809">
        <v>44781</v>
      </c>
      <c r="H9809">
        <v>2022</v>
      </c>
      <c r="I9809" t="s">
        <v>49</v>
      </c>
    </row>
    <row r="9810" spans="1:9" x14ac:dyDescent="0.3">
      <c r="A9810" t="s">
        <v>24</v>
      </c>
      <c r="G9810">
        <v>44781</v>
      </c>
      <c r="H9810">
        <v>2022</v>
      </c>
      <c r="I9810" t="s">
        <v>49</v>
      </c>
    </row>
    <row r="9811" spans="1:9" x14ac:dyDescent="0.3">
      <c r="A9811" t="s">
        <v>21</v>
      </c>
      <c r="B9811">
        <v>162000</v>
      </c>
      <c r="C9811">
        <v>162000</v>
      </c>
      <c r="G9811">
        <v>44781</v>
      </c>
      <c r="H9811">
        <v>2022</v>
      </c>
      <c r="I9811" t="s">
        <v>49</v>
      </c>
    </row>
    <row r="9812" spans="1:9" x14ac:dyDescent="0.3">
      <c r="A9812" t="s">
        <v>65</v>
      </c>
      <c r="G9812">
        <v>44781</v>
      </c>
      <c r="H9812">
        <v>2022</v>
      </c>
      <c r="I9812" t="s">
        <v>49</v>
      </c>
    </row>
    <row r="9813" spans="1:9" x14ac:dyDescent="0.3">
      <c r="A9813" t="s">
        <v>18</v>
      </c>
      <c r="G9813">
        <v>44781</v>
      </c>
      <c r="H9813">
        <v>2022</v>
      </c>
      <c r="I9813" t="s">
        <v>49</v>
      </c>
    </row>
    <row r="9814" spans="1:9" x14ac:dyDescent="0.3">
      <c r="A9814" t="s">
        <v>16</v>
      </c>
      <c r="B9814">
        <v>108000</v>
      </c>
      <c r="C9814">
        <v>108000</v>
      </c>
      <c r="E9814">
        <v>162000</v>
      </c>
      <c r="F9814">
        <v>108000</v>
      </c>
      <c r="G9814">
        <v>44781</v>
      </c>
      <c r="H9814">
        <v>2022</v>
      </c>
      <c r="I9814" t="s">
        <v>49</v>
      </c>
    </row>
    <row r="9815" spans="1:9" x14ac:dyDescent="0.3">
      <c r="A9815" t="s">
        <v>20</v>
      </c>
      <c r="B9815">
        <v>216000</v>
      </c>
      <c r="C9815">
        <v>108000</v>
      </c>
      <c r="G9815">
        <v>44782</v>
      </c>
      <c r="H9815">
        <v>2022</v>
      </c>
      <c r="I9815" t="s">
        <v>49</v>
      </c>
    </row>
    <row r="9816" spans="1:9" x14ac:dyDescent="0.3">
      <c r="A9816" t="s">
        <v>37</v>
      </c>
      <c r="G9816">
        <v>44782</v>
      </c>
      <c r="H9816">
        <v>2022</v>
      </c>
      <c r="I9816" t="s">
        <v>49</v>
      </c>
    </row>
    <row r="9817" spans="1:9" x14ac:dyDescent="0.3">
      <c r="A9817" t="s">
        <v>17</v>
      </c>
      <c r="B9817">
        <v>162000</v>
      </c>
      <c r="G9817">
        <v>44782</v>
      </c>
      <c r="H9817">
        <v>2022</v>
      </c>
      <c r="I9817" t="s">
        <v>49</v>
      </c>
    </row>
    <row r="9818" spans="1:9" x14ac:dyDescent="0.3">
      <c r="A9818" t="s">
        <v>0</v>
      </c>
      <c r="G9818">
        <v>44782</v>
      </c>
      <c r="H9818">
        <v>2022</v>
      </c>
      <c r="I9818" t="s">
        <v>49</v>
      </c>
    </row>
    <row r="9819" spans="1:9" x14ac:dyDescent="0.3">
      <c r="A9819" t="s">
        <v>25</v>
      </c>
      <c r="B9819">
        <v>270000</v>
      </c>
      <c r="G9819">
        <v>44782</v>
      </c>
      <c r="H9819">
        <v>2022</v>
      </c>
      <c r="I9819" t="s">
        <v>49</v>
      </c>
    </row>
    <row r="9820" spans="1:9" x14ac:dyDescent="0.3">
      <c r="A9820" t="s">
        <v>15</v>
      </c>
      <c r="B9820">
        <v>108000</v>
      </c>
      <c r="C9820">
        <v>157000</v>
      </c>
      <c r="G9820">
        <v>44782</v>
      </c>
      <c r="H9820">
        <v>2022</v>
      </c>
      <c r="I9820" t="s">
        <v>49</v>
      </c>
    </row>
    <row r="9821" spans="1:9" x14ac:dyDescent="0.3">
      <c r="A9821" t="s">
        <v>54</v>
      </c>
      <c r="B9821">
        <v>162000</v>
      </c>
      <c r="E9821">
        <v>270000</v>
      </c>
      <c r="F9821">
        <v>54000</v>
      </c>
      <c r="G9821">
        <v>44782</v>
      </c>
      <c r="H9821">
        <v>2022</v>
      </c>
      <c r="I9821" t="s">
        <v>49</v>
      </c>
    </row>
    <row r="9822" spans="1:9" x14ac:dyDescent="0.3">
      <c r="A9822" t="s">
        <v>26</v>
      </c>
      <c r="B9822">
        <v>108000</v>
      </c>
      <c r="C9822">
        <v>108000</v>
      </c>
      <c r="F9822">
        <v>108000</v>
      </c>
      <c r="G9822">
        <v>44782</v>
      </c>
      <c r="H9822">
        <v>2022</v>
      </c>
      <c r="I9822" t="s">
        <v>49</v>
      </c>
    </row>
    <row r="9823" spans="1:9" x14ac:dyDescent="0.3">
      <c r="A9823" t="s">
        <v>22</v>
      </c>
      <c r="G9823">
        <v>44782</v>
      </c>
      <c r="H9823">
        <v>2022</v>
      </c>
      <c r="I9823" t="s">
        <v>49</v>
      </c>
    </row>
    <row r="9824" spans="1:9" x14ac:dyDescent="0.3">
      <c r="A9824" t="s">
        <v>61</v>
      </c>
      <c r="G9824">
        <v>44782</v>
      </c>
      <c r="H9824">
        <v>2022</v>
      </c>
      <c r="I9824" t="s">
        <v>49</v>
      </c>
    </row>
    <row r="9825" spans="1:9" x14ac:dyDescent="0.3">
      <c r="A9825" t="s">
        <v>19</v>
      </c>
      <c r="B9825">
        <v>212000</v>
      </c>
      <c r="C9825">
        <v>324000</v>
      </c>
      <c r="F9825">
        <v>324000</v>
      </c>
      <c r="G9825">
        <v>44782</v>
      </c>
      <c r="H9825">
        <v>2022</v>
      </c>
      <c r="I9825" t="s">
        <v>49</v>
      </c>
    </row>
    <row r="9826" spans="1:9" x14ac:dyDescent="0.3">
      <c r="A9826" t="s">
        <v>14</v>
      </c>
      <c r="B9826">
        <v>266000</v>
      </c>
      <c r="C9826">
        <v>108000</v>
      </c>
      <c r="E9826">
        <v>270000</v>
      </c>
      <c r="F9826">
        <v>90000</v>
      </c>
      <c r="G9826">
        <v>44782</v>
      </c>
      <c r="H9826">
        <v>2022</v>
      </c>
      <c r="I9826" t="s">
        <v>49</v>
      </c>
    </row>
    <row r="9827" spans="1:9" x14ac:dyDescent="0.3">
      <c r="A9827" t="s">
        <v>24</v>
      </c>
      <c r="G9827">
        <v>44782</v>
      </c>
      <c r="H9827">
        <v>2022</v>
      </c>
      <c r="I9827" t="s">
        <v>49</v>
      </c>
    </row>
    <row r="9828" spans="1:9" x14ac:dyDescent="0.3">
      <c r="A9828" t="s">
        <v>21</v>
      </c>
      <c r="B9828">
        <v>162000</v>
      </c>
      <c r="C9828">
        <v>50000</v>
      </c>
      <c r="G9828">
        <v>44782</v>
      </c>
      <c r="H9828">
        <v>2022</v>
      </c>
      <c r="I9828" t="s">
        <v>49</v>
      </c>
    </row>
    <row r="9829" spans="1:9" x14ac:dyDescent="0.3">
      <c r="A9829" t="s">
        <v>65</v>
      </c>
      <c r="G9829">
        <v>44782</v>
      </c>
      <c r="H9829">
        <v>2022</v>
      </c>
      <c r="I9829" t="s">
        <v>49</v>
      </c>
    </row>
    <row r="9830" spans="1:9" x14ac:dyDescent="0.3">
      <c r="A9830" t="s">
        <v>18</v>
      </c>
      <c r="G9830">
        <v>44782</v>
      </c>
      <c r="H9830">
        <v>2022</v>
      </c>
      <c r="I9830" t="s">
        <v>49</v>
      </c>
    </row>
    <row r="9831" spans="1:9" x14ac:dyDescent="0.3">
      <c r="A9831" t="s">
        <v>16</v>
      </c>
      <c r="B9831">
        <v>162000</v>
      </c>
      <c r="C9831">
        <v>108000</v>
      </c>
      <c r="E9831">
        <v>54000</v>
      </c>
      <c r="F9831">
        <v>108000</v>
      </c>
      <c r="G9831">
        <v>44782</v>
      </c>
      <c r="H9831">
        <v>2022</v>
      </c>
      <c r="I9831" t="s">
        <v>49</v>
      </c>
    </row>
    <row r="9832" spans="1:9" x14ac:dyDescent="0.3">
      <c r="A9832" t="s">
        <v>20</v>
      </c>
      <c r="B9832">
        <v>216000</v>
      </c>
      <c r="C9832">
        <v>99000</v>
      </c>
      <c r="G9832">
        <v>44783</v>
      </c>
      <c r="H9832">
        <v>2022</v>
      </c>
      <c r="I9832" t="s">
        <v>49</v>
      </c>
    </row>
    <row r="9833" spans="1:9" x14ac:dyDescent="0.3">
      <c r="A9833" t="s">
        <v>37</v>
      </c>
      <c r="G9833">
        <v>44783</v>
      </c>
      <c r="H9833">
        <v>2022</v>
      </c>
      <c r="I9833" t="s">
        <v>49</v>
      </c>
    </row>
    <row r="9834" spans="1:9" x14ac:dyDescent="0.3">
      <c r="A9834" t="s">
        <v>17</v>
      </c>
      <c r="B9834">
        <v>108000</v>
      </c>
      <c r="G9834">
        <v>44783</v>
      </c>
      <c r="H9834">
        <v>2022</v>
      </c>
      <c r="I9834" t="s">
        <v>49</v>
      </c>
    </row>
    <row r="9835" spans="1:9" x14ac:dyDescent="0.3">
      <c r="A9835" t="s">
        <v>0</v>
      </c>
      <c r="G9835">
        <v>44783</v>
      </c>
      <c r="H9835">
        <v>2022</v>
      </c>
      <c r="I9835" t="s">
        <v>49</v>
      </c>
    </row>
    <row r="9836" spans="1:9" x14ac:dyDescent="0.3">
      <c r="A9836" t="s">
        <v>25</v>
      </c>
      <c r="B9836">
        <v>108000</v>
      </c>
      <c r="G9836">
        <v>44783</v>
      </c>
      <c r="H9836">
        <v>2022</v>
      </c>
      <c r="I9836" t="s">
        <v>49</v>
      </c>
    </row>
    <row r="9837" spans="1:9" x14ac:dyDescent="0.3">
      <c r="A9837" t="s">
        <v>15</v>
      </c>
      <c r="B9837">
        <v>215500</v>
      </c>
      <c r="C9837">
        <v>216000</v>
      </c>
      <c r="F9837">
        <v>108000</v>
      </c>
      <c r="G9837">
        <v>44783</v>
      </c>
      <c r="H9837">
        <v>2022</v>
      </c>
      <c r="I9837" t="s">
        <v>49</v>
      </c>
    </row>
    <row r="9838" spans="1:9" x14ac:dyDescent="0.3">
      <c r="A9838" t="s">
        <v>54</v>
      </c>
      <c r="B9838">
        <v>216000</v>
      </c>
      <c r="C9838">
        <v>162000</v>
      </c>
      <c r="E9838">
        <v>212000</v>
      </c>
      <c r="F9838">
        <v>162000</v>
      </c>
      <c r="G9838">
        <v>44783</v>
      </c>
      <c r="H9838">
        <v>2022</v>
      </c>
      <c r="I9838" t="s">
        <v>49</v>
      </c>
    </row>
    <row r="9839" spans="1:9" x14ac:dyDescent="0.3">
      <c r="A9839" t="s">
        <v>26</v>
      </c>
      <c r="B9839">
        <v>108000</v>
      </c>
      <c r="C9839">
        <v>54000</v>
      </c>
      <c r="G9839">
        <v>44783</v>
      </c>
      <c r="H9839">
        <v>2022</v>
      </c>
      <c r="I9839" t="s">
        <v>49</v>
      </c>
    </row>
    <row r="9840" spans="1:9" x14ac:dyDescent="0.3">
      <c r="A9840" t="s">
        <v>22</v>
      </c>
      <c r="G9840">
        <v>44783</v>
      </c>
      <c r="H9840">
        <v>2022</v>
      </c>
      <c r="I9840" t="s">
        <v>49</v>
      </c>
    </row>
    <row r="9841" spans="1:9" x14ac:dyDescent="0.3">
      <c r="A9841" t="s">
        <v>61</v>
      </c>
      <c r="B9841">
        <v>270000</v>
      </c>
      <c r="G9841">
        <v>44783</v>
      </c>
      <c r="H9841">
        <v>2022</v>
      </c>
      <c r="I9841" t="s">
        <v>49</v>
      </c>
    </row>
    <row r="9842" spans="1:9" x14ac:dyDescent="0.3">
      <c r="A9842" t="s">
        <v>19</v>
      </c>
      <c r="B9842">
        <v>216000</v>
      </c>
      <c r="C9842">
        <v>297000</v>
      </c>
      <c r="F9842">
        <v>162000</v>
      </c>
      <c r="G9842">
        <v>44783</v>
      </c>
      <c r="H9842">
        <v>2022</v>
      </c>
      <c r="I9842" t="s">
        <v>49</v>
      </c>
    </row>
    <row r="9843" spans="1:9" x14ac:dyDescent="0.3">
      <c r="A9843" t="s">
        <v>14</v>
      </c>
      <c r="B9843">
        <v>378000</v>
      </c>
      <c r="C9843">
        <v>54000</v>
      </c>
      <c r="E9843">
        <v>423000</v>
      </c>
      <c r="F9843">
        <v>158000</v>
      </c>
      <c r="G9843">
        <v>44783</v>
      </c>
      <c r="H9843">
        <v>2022</v>
      </c>
      <c r="I9843" t="s">
        <v>49</v>
      </c>
    </row>
    <row r="9844" spans="1:9" x14ac:dyDescent="0.3">
      <c r="A9844" t="s">
        <v>24</v>
      </c>
      <c r="G9844">
        <v>44783</v>
      </c>
      <c r="H9844">
        <v>2022</v>
      </c>
      <c r="I9844" t="s">
        <v>49</v>
      </c>
    </row>
    <row r="9845" spans="1:9" x14ac:dyDescent="0.3">
      <c r="A9845" t="s">
        <v>21</v>
      </c>
      <c r="B9845">
        <v>99000</v>
      </c>
      <c r="G9845">
        <v>44783</v>
      </c>
      <c r="H9845">
        <v>2022</v>
      </c>
      <c r="I9845" t="s">
        <v>49</v>
      </c>
    </row>
    <row r="9846" spans="1:9" x14ac:dyDescent="0.3">
      <c r="A9846" t="s">
        <v>65</v>
      </c>
      <c r="G9846">
        <v>44783</v>
      </c>
      <c r="H9846">
        <v>2022</v>
      </c>
      <c r="I9846" t="s">
        <v>49</v>
      </c>
    </row>
    <row r="9847" spans="1:9" x14ac:dyDescent="0.3">
      <c r="A9847" t="s">
        <v>18</v>
      </c>
      <c r="G9847">
        <v>44783</v>
      </c>
      <c r="H9847">
        <v>2022</v>
      </c>
      <c r="I9847" t="s">
        <v>49</v>
      </c>
    </row>
    <row r="9848" spans="1:9" x14ac:dyDescent="0.3">
      <c r="A9848" t="s">
        <v>16</v>
      </c>
      <c r="C9848">
        <v>54000</v>
      </c>
      <c r="E9848">
        <v>54000</v>
      </c>
      <c r="G9848">
        <v>44783</v>
      </c>
      <c r="H9848">
        <v>2022</v>
      </c>
      <c r="I9848" t="s">
        <v>49</v>
      </c>
    </row>
    <row r="9849" spans="1:9" x14ac:dyDescent="0.3">
      <c r="A9849" t="s">
        <v>20</v>
      </c>
      <c r="B9849">
        <v>216000</v>
      </c>
      <c r="C9849">
        <v>108000</v>
      </c>
      <c r="G9849">
        <v>44784</v>
      </c>
      <c r="H9849">
        <v>2022</v>
      </c>
      <c r="I9849" t="s">
        <v>49</v>
      </c>
    </row>
    <row r="9850" spans="1:9" x14ac:dyDescent="0.3">
      <c r="A9850" t="s">
        <v>37</v>
      </c>
      <c r="G9850">
        <v>44784</v>
      </c>
      <c r="H9850">
        <v>2022</v>
      </c>
      <c r="I9850" t="s">
        <v>49</v>
      </c>
    </row>
    <row r="9851" spans="1:9" x14ac:dyDescent="0.3">
      <c r="A9851" t="s">
        <v>17</v>
      </c>
      <c r="G9851">
        <v>44784</v>
      </c>
      <c r="H9851">
        <v>2022</v>
      </c>
      <c r="I9851" t="s">
        <v>49</v>
      </c>
    </row>
    <row r="9852" spans="1:9" x14ac:dyDescent="0.3">
      <c r="A9852" t="s">
        <v>0</v>
      </c>
      <c r="G9852">
        <v>44784</v>
      </c>
      <c r="H9852">
        <v>2022</v>
      </c>
      <c r="I9852" t="s">
        <v>49</v>
      </c>
    </row>
    <row r="9853" spans="1:9" x14ac:dyDescent="0.3">
      <c r="A9853" t="s">
        <v>25</v>
      </c>
      <c r="B9853">
        <v>202500</v>
      </c>
      <c r="G9853">
        <v>44784</v>
      </c>
      <c r="H9853">
        <v>2022</v>
      </c>
      <c r="I9853" t="s">
        <v>49</v>
      </c>
    </row>
    <row r="9854" spans="1:9" x14ac:dyDescent="0.3">
      <c r="A9854" t="s">
        <v>15</v>
      </c>
      <c r="B9854">
        <v>212000</v>
      </c>
      <c r="C9854">
        <v>365500</v>
      </c>
      <c r="G9854">
        <v>44784</v>
      </c>
      <c r="H9854">
        <v>2022</v>
      </c>
      <c r="I9854" t="s">
        <v>49</v>
      </c>
    </row>
    <row r="9855" spans="1:9" x14ac:dyDescent="0.3">
      <c r="A9855" t="s">
        <v>54</v>
      </c>
      <c r="B9855">
        <v>162000</v>
      </c>
      <c r="C9855">
        <v>270000</v>
      </c>
      <c r="F9855">
        <v>54000</v>
      </c>
      <c r="G9855">
        <v>44784</v>
      </c>
      <c r="H9855">
        <v>2022</v>
      </c>
      <c r="I9855" t="s">
        <v>49</v>
      </c>
    </row>
    <row r="9856" spans="1:9" x14ac:dyDescent="0.3">
      <c r="A9856" t="s">
        <v>26</v>
      </c>
      <c r="B9856">
        <v>158000</v>
      </c>
      <c r="C9856">
        <v>216000</v>
      </c>
      <c r="G9856">
        <v>44784</v>
      </c>
      <c r="H9856">
        <v>2022</v>
      </c>
      <c r="I9856" t="s">
        <v>49</v>
      </c>
    </row>
    <row r="9857" spans="1:9" x14ac:dyDescent="0.3">
      <c r="A9857" t="s">
        <v>22</v>
      </c>
      <c r="G9857">
        <v>44784</v>
      </c>
      <c r="H9857">
        <v>2022</v>
      </c>
      <c r="I9857" t="s">
        <v>49</v>
      </c>
    </row>
    <row r="9858" spans="1:9" x14ac:dyDescent="0.3">
      <c r="A9858" t="s">
        <v>61</v>
      </c>
      <c r="B9858">
        <v>270000</v>
      </c>
      <c r="G9858">
        <v>44784</v>
      </c>
      <c r="H9858">
        <v>2022</v>
      </c>
      <c r="I9858" t="s">
        <v>49</v>
      </c>
    </row>
    <row r="9859" spans="1:9" x14ac:dyDescent="0.3">
      <c r="A9859" t="s">
        <v>19</v>
      </c>
      <c r="B9859">
        <v>216000</v>
      </c>
      <c r="F9859">
        <v>576000</v>
      </c>
      <c r="G9859">
        <v>44784</v>
      </c>
      <c r="H9859">
        <v>2022</v>
      </c>
      <c r="I9859" t="s">
        <v>49</v>
      </c>
    </row>
    <row r="9860" spans="1:9" x14ac:dyDescent="0.3">
      <c r="A9860" t="s">
        <v>14</v>
      </c>
      <c r="B9860">
        <v>270000</v>
      </c>
      <c r="C9860">
        <v>108000</v>
      </c>
      <c r="E9860">
        <v>787500</v>
      </c>
      <c r="F9860">
        <v>108000</v>
      </c>
      <c r="G9860">
        <v>44784</v>
      </c>
      <c r="H9860">
        <v>2022</v>
      </c>
      <c r="I9860" t="s">
        <v>49</v>
      </c>
    </row>
    <row r="9861" spans="1:9" x14ac:dyDescent="0.3">
      <c r="A9861" t="s">
        <v>24</v>
      </c>
      <c r="G9861">
        <v>44784</v>
      </c>
      <c r="H9861">
        <v>2022</v>
      </c>
      <c r="I9861" t="s">
        <v>49</v>
      </c>
    </row>
    <row r="9862" spans="1:9" x14ac:dyDescent="0.3">
      <c r="A9862" t="s">
        <v>21</v>
      </c>
      <c r="B9862">
        <v>216000</v>
      </c>
      <c r="G9862">
        <v>44784</v>
      </c>
      <c r="H9862">
        <v>2022</v>
      </c>
      <c r="I9862" t="s">
        <v>49</v>
      </c>
    </row>
    <row r="9863" spans="1:9" x14ac:dyDescent="0.3">
      <c r="A9863" t="s">
        <v>65</v>
      </c>
      <c r="G9863">
        <v>44784</v>
      </c>
      <c r="H9863">
        <v>2022</v>
      </c>
      <c r="I9863" t="s">
        <v>49</v>
      </c>
    </row>
    <row r="9864" spans="1:9" x14ac:dyDescent="0.3">
      <c r="A9864" t="s">
        <v>18</v>
      </c>
      <c r="G9864">
        <v>44784</v>
      </c>
      <c r="H9864">
        <v>2022</v>
      </c>
      <c r="I9864" t="s">
        <v>49</v>
      </c>
    </row>
    <row r="9865" spans="1:9" x14ac:dyDescent="0.3">
      <c r="A9865" t="s">
        <v>16</v>
      </c>
      <c r="B9865">
        <v>208000</v>
      </c>
      <c r="C9865">
        <v>49500</v>
      </c>
      <c r="G9865">
        <v>44784</v>
      </c>
      <c r="H9865">
        <v>2022</v>
      </c>
      <c r="I9865" t="s">
        <v>49</v>
      </c>
    </row>
    <row r="9866" spans="1:9" x14ac:dyDescent="0.3">
      <c r="A9866" t="s">
        <v>20</v>
      </c>
      <c r="B9866">
        <v>162000</v>
      </c>
      <c r="G9866">
        <v>44785</v>
      </c>
      <c r="H9866">
        <v>2022</v>
      </c>
      <c r="I9866" t="s">
        <v>49</v>
      </c>
    </row>
    <row r="9867" spans="1:9" x14ac:dyDescent="0.3">
      <c r="A9867" t="s">
        <v>37</v>
      </c>
      <c r="G9867">
        <v>44785</v>
      </c>
      <c r="H9867">
        <v>2022</v>
      </c>
      <c r="I9867" t="s">
        <v>49</v>
      </c>
    </row>
    <row r="9868" spans="1:9" x14ac:dyDescent="0.3">
      <c r="A9868" t="s">
        <v>17</v>
      </c>
      <c r="G9868">
        <v>44785</v>
      </c>
      <c r="H9868">
        <v>2022</v>
      </c>
      <c r="I9868" t="s">
        <v>49</v>
      </c>
    </row>
    <row r="9869" spans="1:9" x14ac:dyDescent="0.3">
      <c r="A9869" t="s">
        <v>0</v>
      </c>
      <c r="G9869">
        <v>44785</v>
      </c>
      <c r="H9869">
        <v>2022</v>
      </c>
      <c r="I9869" t="s">
        <v>49</v>
      </c>
    </row>
    <row r="9870" spans="1:9" x14ac:dyDescent="0.3">
      <c r="A9870" t="s">
        <v>25</v>
      </c>
      <c r="B9870">
        <v>104000</v>
      </c>
      <c r="G9870">
        <v>44785</v>
      </c>
      <c r="H9870">
        <v>2022</v>
      </c>
      <c r="I9870" t="s">
        <v>49</v>
      </c>
    </row>
    <row r="9871" spans="1:9" x14ac:dyDescent="0.3">
      <c r="A9871" t="s">
        <v>15</v>
      </c>
      <c r="B9871">
        <v>378000</v>
      </c>
      <c r="C9871">
        <v>918000</v>
      </c>
      <c r="G9871">
        <v>44785</v>
      </c>
      <c r="H9871">
        <v>2022</v>
      </c>
      <c r="I9871" t="s">
        <v>49</v>
      </c>
    </row>
    <row r="9872" spans="1:9" x14ac:dyDescent="0.3">
      <c r="A9872" t="s">
        <v>54</v>
      </c>
      <c r="B9872">
        <v>270000</v>
      </c>
      <c r="C9872">
        <v>482000</v>
      </c>
      <c r="G9872">
        <v>44785</v>
      </c>
      <c r="H9872">
        <v>2022</v>
      </c>
      <c r="I9872" t="s">
        <v>49</v>
      </c>
    </row>
    <row r="9873" spans="1:9" x14ac:dyDescent="0.3">
      <c r="A9873" t="s">
        <v>26</v>
      </c>
      <c r="B9873">
        <v>270000</v>
      </c>
      <c r="F9873">
        <v>108000</v>
      </c>
      <c r="G9873">
        <v>44785</v>
      </c>
      <c r="H9873">
        <v>2022</v>
      </c>
      <c r="I9873" t="s">
        <v>49</v>
      </c>
    </row>
    <row r="9874" spans="1:9" x14ac:dyDescent="0.3">
      <c r="A9874" t="s">
        <v>22</v>
      </c>
      <c r="G9874">
        <v>44785</v>
      </c>
      <c r="H9874">
        <v>2022</v>
      </c>
      <c r="I9874" t="s">
        <v>49</v>
      </c>
    </row>
    <row r="9875" spans="1:9" x14ac:dyDescent="0.3">
      <c r="A9875" t="s">
        <v>61</v>
      </c>
      <c r="G9875">
        <v>44785</v>
      </c>
      <c r="H9875">
        <v>2022</v>
      </c>
      <c r="I9875" t="s">
        <v>49</v>
      </c>
    </row>
    <row r="9876" spans="1:9" x14ac:dyDescent="0.3">
      <c r="A9876" t="s">
        <v>19</v>
      </c>
      <c r="B9876">
        <v>212000</v>
      </c>
      <c r="F9876">
        <v>54000</v>
      </c>
      <c r="G9876">
        <v>44785</v>
      </c>
      <c r="H9876">
        <v>2022</v>
      </c>
      <c r="I9876" t="s">
        <v>49</v>
      </c>
    </row>
    <row r="9877" spans="1:9" x14ac:dyDescent="0.3">
      <c r="A9877" t="s">
        <v>14</v>
      </c>
      <c r="B9877">
        <v>315000</v>
      </c>
      <c r="E9877">
        <v>747000</v>
      </c>
      <c r="F9877">
        <v>270000</v>
      </c>
      <c r="G9877">
        <v>44785</v>
      </c>
      <c r="H9877">
        <v>2022</v>
      </c>
      <c r="I9877" t="s">
        <v>49</v>
      </c>
    </row>
    <row r="9878" spans="1:9" x14ac:dyDescent="0.3">
      <c r="A9878" t="s">
        <v>24</v>
      </c>
      <c r="G9878">
        <v>44785</v>
      </c>
      <c r="H9878">
        <v>2022</v>
      </c>
      <c r="I9878" t="s">
        <v>49</v>
      </c>
    </row>
    <row r="9879" spans="1:9" x14ac:dyDescent="0.3">
      <c r="A9879" t="s">
        <v>21</v>
      </c>
      <c r="B9879">
        <v>216000</v>
      </c>
      <c r="G9879">
        <v>44785</v>
      </c>
      <c r="H9879">
        <v>2022</v>
      </c>
      <c r="I9879" t="s">
        <v>49</v>
      </c>
    </row>
    <row r="9880" spans="1:9" x14ac:dyDescent="0.3">
      <c r="A9880" t="s">
        <v>65</v>
      </c>
      <c r="G9880">
        <v>44785</v>
      </c>
      <c r="H9880">
        <v>2022</v>
      </c>
      <c r="I9880" t="s">
        <v>49</v>
      </c>
    </row>
    <row r="9881" spans="1:9" x14ac:dyDescent="0.3">
      <c r="A9881" t="s">
        <v>18</v>
      </c>
      <c r="G9881">
        <v>44785</v>
      </c>
      <c r="H9881">
        <v>2022</v>
      </c>
      <c r="I9881" t="s">
        <v>49</v>
      </c>
    </row>
    <row r="9882" spans="1:9" x14ac:dyDescent="0.3">
      <c r="A9882" t="s">
        <v>16</v>
      </c>
      <c r="B9882">
        <v>270000</v>
      </c>
      <c r="C9882">
        <v>54000</v>
      </c>
      <c r="G9882">
        <v>44785</v>
      </c>
      <c r="H9882">
        <v>2022</v>
      </c>
      <c r="I9882" t="s">
        <v>49</v>
      </c>
    </row>
    <row r="9883" spans="1:9" x14ac:dyDescent="0.3">
      <c r="A9883" t="s">
        <v>20</v>
      </c>
      <c r="B9883">
        <v>270000</v>
      </c>
      <c r="C9883">
        <v>100000</v>
      </c>
      <c r="G9883">
        <v>44788</v>
      </c>
      <c r="H9883">
        <v>2022</v>
      </c>
      <c r="I9883" t="s">
        <v>49</v>
      </c>
    </row>
    <row r="9884" spans="1:9" x14ac:dyDescent="0.3">
      <c r="A9884" t="s">
        <v>37</v>
      </c>
      <c r="G9884">
        <v>44788</v>
      </c>
      <c r="H9884">
        <v>2022</v>
      </c>
      <c r="I9884" t="s">
        <v>49</v>
      </c>
    </row>
    <row r="9885" spans="1:9" x14ac:dyDescent="0.3">
      <c r="A9885" t="s">
        <v>17</v>
      </c>
      <c r="G9885">
        <v>44788</v>
      </c>
      <c r="H9885">
        <v>2022</v>
      </c>
      <c r="I9885" t="s">
        <v>49</v>
      </c>
    </row>
    <row r="9886" spans="1:9" x14ac:dyDescent="0.3">
      <c r="A9886" t="s">
        <v>0</v>
      </c>
      <c r="G9886">
        <v>44788</v>
      </c>
      <c r="H9886">
        <v>2022</v>
      </c>
      <c r="I9886" t="s">
        <v>49</v>
      </c>
    </row>
    <row r="9887" spans="1:9" x14ac:dyDescent="0.3">
      <c r="A9887" t="s">
        <v>25</v>
      </c>
      <c r="G9887">
        <v>44788</v>
      </c>
      <c r="H9887">
        <v>2022</v>
      </c>
      <c r="I9887" t="s">
        <v>49</v>
      </c>
    </row>
    <row r="9888" spans="1:9" x14ac:dyDescent="0.3">
      <c r="A9888" t="s">
        <v>15</v>
      </c>
      <c r="B9888">
        <v>378000</v>
      </c>
      <c r="C9888">
        <v>427500</v>
      </c>
      <c r="F9888">
        <v>45000</v>
      </c>
      <c r="G9888">
        <v>44788</v>
      </c>
      <c r="H9888">
        <v>2022</v>
      </c>
      <c r="I9888" t="s">
        <v>49</v>
      </c>
    </row>
    <row r="9889" spans="1:9" x14ac:dyDescent="0.3">
      <c r="A9889" t="s">
        <v>54</v>
      </c>
      <c r="B9889">
        <v>162000</v>
      </c>
      <c r="C9889">
        <v>162000</v>
      </c>
      <c r="E9889">
        <v>162000</v>
      </c>
      <c r="G9889">
        <v>44788</v>
      </c>
      <c r="H9889">
        <v>2022</v>
      </c>
      <c r="I9889" t="s">
        <v>49</v>
      </c>
    </row>
    <row r="9890" spans="1:9" x14ac:dyDescent="0.3">
      <c r="A9890" t="s">
        <v>26</v>
      </c>
      <c r="B9890">
        <v>208000</v>
      </c>
      <c r="C9890">
        <v>373500</v>
      </c>
      <c r="G9890">
        <v>44788</v>
      </c>
      <c r="H9890">
        <v>2022</v>
      </c>
      <c r="I9890" t="s">
        <v>49</v>
      </c>
    </row>
    <row r="9891" spans="1:9" x14ac:dyDescent="0.3">
      <c r="A9891" t="s">
        <v>22</v>
      </c>
      <c r="G9891">
        <v>44788</v>
      </c>
      <c r="H9891">
        <v>2022</v>
      </c>
      <c r="I9891" t="s">
        <v>49</v>
      </c>
    </row>
    <row r="9892" spans="1:9" x14ac:dyDescent="0.3">
      <c r="A9892" t="s">
        <v>61</v>
      </c>
      <c r="G9892">
        <v>44788</v>
      </c>
      <c r="H9892">
        <v>2022</v>
      </c>
      <c r="I9892" t="s">
        <v>49</v>
      </c>
    </row>
    <row r="9893" spans="1:9" x14ac:dyDescent="0.3">
      <c r="A9893" t="s">
        <v>19</v>
      </c>
      <c r="B9893">
        <v>108000</v>
      </c>
      <c r="G9893">
        <v>44788</v>
      </c>
      <c r="H9893">
        <v>2022</v>
      </c>
      <c r="I9893" t="s">
        <v>49</v>
      </c>
    </row>
    <row r="9894" spans="1:9" x14ac:dyDescent="0.3">
      <c r="A9894" t="s">
        <v>14</v>
      </c>
      <c r="B9894">
        <v>486000</v>
      </c>
      <c r="C9894">
        <v>54000</v>
      </c>
      <c r="E9894">
        <v>108000</v>
      </c>
      <c r="F9894">
        <v>518000</v>
      </c>
      <c r="G9894">
        <v>44788</v>
      </c>
      <c r="H9894">
        <v>2022</v>
      </c>
      <c r="I9894" t="s">
        <v>49</v>
      </c>
    </row>
    <row r="9895" spans="1:9" x14ac:dyDescent="0.3">
      <c r="A9895" t="s">
        <v>24</v>
      </c>
      <c r="G9895">
        <v>44788</v>
      </c>
      <c r="H9895">
        <v>2022</v>
      </c>
      <c r="I9895" t="s">
        <v>49</v>
      </c>
    </row>
    <row r="9896" spans="1:9" x14ac:dyDescent="0.3">
      <c r="A9896" t="s">
        <v>21</v>
      </c>
      <c r="B9896">
        <v>103500</v>
      </c>
      <c r="G9896">
        <v>44788</v>
      </c>
      <c r="H9896">
        <v>2022</v>
      </c>
      <c r="I9896" t="s">
        <v>49</v>
      </c>
    </row>
    <row r="9897" spans="1:9" x14ac:dyDescent="0.3">
      <c r="A9897" t="s">
        <v>65</v>
      </c>
      <c r="G9897">
        <v>44788</v>
      </c>
      <c r="H9897">
        <v>2022</v>
      </c>
      <c r="I9897" t="s">
        <v>49</v>
      </c>
    </row>
    <row r="9898" spans="1:9" x14ac:dyDescent="0.3">
      <c r="A9898" t="s">
        <v>18</v>
      </c>
      <c r="G9898">
        <v>44788</v>
      </c>
      <c r="H9898">
        <v>2022</v>
      </c>
      <c r="I9898" t="s">
        <v>49</v>
      </c>
    </row>
    <row r="9899" spans="1:9" x14ac:dyDescent="0.3">
      <c r="A9899" t="s">
        <v>16</v>
      </c>
      <c r="G9899">
        <v>44788</v>
      </c>
      <c r="H9899">
        <v>2022</v>
      </c>
      <c r="I9899" t="s">
        <v>49</v>
      </c>
    </row>
    <row r="9900" spans="1:9" x14ac:dyDescent="0.3">
      <c r="A9900" t="s">
        <v>20</v>
      </c>
      <c r="B9900">
        <v>54000</v>
      </c>
      <c r="C9900">
        <v>432000</v>
      </c>
      <c r="G9900">
        <v>44789</v>
      </c>
      <c r="H9900">
        <v>2022</v>
      </c>
      <c r="I9900" t="s">
        <v>49</v>
      </c>
    </row>
    <row r="9901" spans="1:9" x14ac:dyDescent="0.3">
      <c r="A9901" t="s">
        <v>37</v>
      </c>
      <c r="G9901">
        <v>44789</v>
      </c>
      <c r="H9901">
        <v>2022</v>
      </c>
      <c r="I9901" t="s">
        <v>49</v>
      </c>
    </row>
    <row r="9902" spans="1:9" x14ac:dyDescent="0.3">
      <c r="A9902" t="s">
        <v>17</v>
      </c>
      <c r="G9902">
        <v>44789</v>
      </c>
      <c r="H9902">
        <v>2022</v>
      </c>
      <c r="I9902" t="s">
        <v>49</v>
      </c>
    </row>
    <row r="9903" spans="1:9" x14ac:dyDescent="0.3">
      <c r="A9903" t="s">
        <v>0</v>
      </c>
      <c r="G9903">
        <v>44789</v>
      </c>
      <c r="H9903">
        <v>2022</v>
      </c>
      <c r="I9903" t="s">
        <v>49</v>
      </c>
    </row>
    <row r="9904" spans="1:9" x14ac:dyDescent="0.3">
      <c r="A9904" t="s">
        <v>25</v>
      </c>
      <c r="G9904">
        <v>44789</v>
      </c>
      <c r="H9904">
        <v>2022</v>
      </c>
      <c r="I9904" t="s">
        <v>49</v>
      </c>
    </row>
    <row r="9905" spans="1:9" x14ac:dyDescent="0.3">
      <c r="A9905" t="s">
        <v>15</v>
      </c>
      <c r="B9905">
        <v>54000</v>
      </c>
      <c r="C9905">
        <v>108000</v>
      </c>
      <c r="G9905">
        <v>44789</v>
      </c>
      <c r="H9905">
        <v>2022</v>
      </c>
      <c r="I9905" t="s">
        <v>49</v>
      </c>
    </row>
    <row r="9906" spans="1:9" x14ac:dyDescent="0.3">
      <c r="A9906" t="s">
        <v>54</v>
      </c>
      <c r="B9906">
        <v>54000</v>
      </c>
      <c r="C9906">
        <v>54000</v>
      </c>
      <c r="G9906">
        <v>44789</v>
      </c>
      <c r="H9906">
        <v>2022</v>
      </c>
      <c r="I9906" t="s">
        <v>49</v>
      </c>
    </row>
    <row r="9907" spans="1:9" x14ac:dyDescent="0.3">
      <c r="A9907" t="s">
        <v>26</v>
      </c>
      <c r="B9907">
        <v>54000</v>
      </c>
      <c r="C9907">
        <v>324000</v>
      </c>
      <c r="G9907">
        <v>44789</v>
      </c>
      <c r="H9907">
        <v>2022</v>
      </c>
      <c r="I9907" t="s">
        <v>49</v>
      </c>
    </row>
    <row r="9908" spans="1:9" x14ac:dyDescent="0.3">
      <c r="A9908" t="s">
        <v>22</v>
      </c>
      <c r="G9908">
        <v>44789</v>
      </c>
      <c r="H9908">
        <v>2022</v>
      </c>
      <c r="I9908" t="s">
        <v>49</v>
      </c>
    </row>
    <row r="9909" spans="1:9" x14ac:dyDescent="0.3">
      <c r="A9909" t="s">
        <v>61</v>
      </c>
      <c r="G9909">
        <v>44789</v>
      </c>
      <c r="H9909">
        <v>2022</v>
      </c>
      <c r="I9909" t="s">
        <v>49</v>
      </c>
    </row>
    <row r="9910" spans="1:9" x14ac:dyDescent="0.3">
      <c r="A9910" t="s">
        <v>19</v>
      </c>
      <c r="B9910">
        <v>54000</v>
      </c>
      <c r="C9910">
        <v>702000</v>
      </c>
      <c r="G9910">
        <v>44789</v>
      </c>
      <c r="H9910">
        <v>2022</v>
      </c>
      <c r="I9910" t="s">
        <v>49</v>
      </c>
    </row>
    <row r="9911" spans="1:9" x14ac:dyDescent="0.3">
      <c r="A9911" t="s">
        <v>14</v>
      </c>
      <c r="B9911">
        <v>216000</v>
      </c>
      <c r="E9911">
        <v>54000</v>
      </c>
      <c r="F9911">
        <v>801000</v>
      </c>
      <c r="G9911">
        <v>44789</v>
      </c>
      <c r="H9911">
        <v>2022</v>
      </c>
      <c r="I9911" t="s">
        <v>49</v>
      </c>
    </row>
    <row r="9912" spans="1:9" x14ac:dyDescent="0.3">
      <c r="A9912" t="s">
        <v>24</v>
      </c>
      <c r="G9912">
        <v>44789</v>
      </c>
      <c r="H9912">
        <v>2022</v>
      </c>
      <c r="I9912" t="s">
        <v>49</v>
      </c>
    </row>
    <row r="9913" spans="1:9" x14ac:dyDescent="0.3">
      <c r="A9913" t="s">
        <v>21</v>
      </c>
      <c r="B9913">
        <v>54000</v>
      </c>
      <c r="G9913">
        <v>44789</v>
      </c>
      <c r="H9913">
        <v>2022</v>
      </c>
      <c r="I9913" t="s">
        <v>49</v>
      </c>
    </row>
    <row r="9914" spans="1:9" x14ac:dyDescent="0.3">
      <c r="A9914" t="s">
        <v>65</v>
      </c>
      <c r="G9914">
        <v>44789</v>
      </c>
      <c r="H9914">
        <v>2022</v>
      </c>
      <c r="I9914" t="s">
        <v>49</v>
      </c>
    </row>
    <row r="9915" spans="1:9" x14ac:dyDescent="0.3">
      <c r="A9915" t="s">
        <v>18</v>
      </c>
      <c r="G9915">
        <v>44789</v>
      </c>
      <c r="H9915">
        <v>2022</v>
      </c>
      <c r="I9915" t="s">
        <v>49</v>
      </c>
    </row>
    <row r="9916" spans="1:9" x14ac:dyDescent="0.3">
      <c r="A9916" t="s">
        <v>16</v>
      </c>
      <c r="G9916">
        <v>44789</v>
      </c>
      <c r="H9916">
        <v>2022</v>
      </c>
      <c r="I9916" t="s">
        <v>49</v>
      </c>
    </row>
    <row r="9917" spans="1:9" x14ac:dyDescent="0.3">
      <c r="A9917" t="s">
        <v>20</v>
      </c>
      <c r="B9917">
        <v>108000</v>
      </c>
      <c r="C9917">
        <v>531500</v>
      </c>
      <c r="G9917">
        <v>44790</v>
      </c>
      <c r="H9917">
        <v>2022</v>
      </c>
      <c r="I9917" t="s">
        <v>49</v>
      </c>
    </row>
    <row r="9918" spans="1:9" x14ac:dyDescent="0.3">
      <c r="A9918" t="s">
        <v>37</v>
      </c>
      <c r="G9918">
        <v>44790</v>
      </c>
      <c r="H9918">
        <v>2022</v>
      </c>
      <c r="I9918" t="s">
        <v>49</v>
      </c>
    </row>
    <row r="9919" spans="1:9" x14ac:dyDescent="0.3">
      <c r="A9919" t="s">
        <v>17</v>
      </c>
      <c r="B9919">
        <v>108000</v>
      </c>
      <c r="G9919">
        <v>44790</v>
      </c>
      <c r="H9919">
        <v>2022</v>
      </c>
      <c r="I9919" t="s">
        <v>49</v>
      </c>
    </row>
    <row r="9920" spans="1:9" x14ac:dyDescent="0.3">
      <c r="A9920" t="s">
        <v>0</v>
      </c>
      <c r="G9920">
        <v>44790</v>
      </c>
      <c r="H9920">
        <v>2022</v>
      </c>
      <c r="I9920" t="s">
        <v>49</v>
      </c>
    </row>
    <row r="9921" spans="1:9" x14ac:dyDescent="0.3">
      <c r="A9921" t="s">
        <v>25</v>
      </c>
      <c r="G9921">
        <v>44790</v>
      </c>
      <c r="H9921">
        <v>2022</v>
      </c>
      <c r="I9921" t="s">
        <v>49</v>
      </c>
    </row>
    <row r="9922" spans="1:9" x14ac:dyDescent="0.3">
      <c r="A9922" t="s">
        <v>15</v>
      </c>
      <c r="B9922">
        <v>108000</v>
      </c>
      <c r="C9922">
        <v>45000</v>
      </c>
      <c r="G9922">
        <v>44790</v>
      </c>
      <c r="H9922">
        <v>2022</v>
      </c>
      <c r="I9922" t="s">
        <v>49</v>
      </c>
    </row>
    <row r="9923" spans="1:9" x14ac:dyDescent="0.3">
      <c r="A9923" t="s">
        <v>54</v>
      </c>
      <c r="B9923">
        <v>324000</v>
      </c>
      <c r="G9923">
        <v>44790</v>
      </c>
      <c r="H9923">
        <v>2022</v>
      </c>
      <c r="I9923" t="s">
        <v>49</v>
      </c>
    </row>
    <row r="9924" spans="1:9" x14ac:dyDescent="0.3">
      <c r="A9924" t="s">
        <v>26</v>
      </c>
      <c r="G9924">
        <v>44790</v>
      </c>
      <c r="H9924">
        <v>2022</v>
      </c>
      <c r="I9924" t="s">
        <v>49</v>
      </c>
    </row>
    <row r="9925" spans="1:9" x14ac:dyDescent="0.3">
      <c r="A9925" t="s">
        <v>22</v>
      </c>
      <c r="G9925">
        <v>44790</v>
      </c>
      <c r="H9925">
        <v>2022</v>
      </c>
      <c r="I9925" t="s">
        <v>49</v>
      </c>
    </row>
    <row r="9926" spans="1:9" x14ac:dyDescent="0.3">
      <c r="A9926" t="s">
        <v>61</v>
      </c>
      <c r="G9926">
        <v>44790</v>
      </c>
      <c r="H9926">
        <v>2022</v>
      </c>
      <c r="I9926" t="s">
        <v>49</v>
      </c>
    </row>
    <row r="9927" spans="1:9" x14ac:dyDescent="0.3">
      <c r="A9927" t="s">
        <v>19</v>
      </c>
      <c r="B9927">
        <v>54000</v>
      </c>
      <c r="C9927">
        <v>99000</v>
      </c>
      <c r="G9927">
        <v>44790</v>
      </c>
      <c r="H9927">
        <v>2022</v>
      </c>
      <c r="I9927" t="s">
        <v>49</v>
      </c>
    </row>
    <row r="9928" spans="1:9" x14ac:dyDescent="0.3">
      <c r="A9928" t="s">
        <v>14</v>
      </c>
      <c r="B9928">
        <v>702000</v>
      </c>
      <c r="C9928">
        <v>1242000</v>
      </c>
      <c r="F9928">
        <v>594000</v>
      </c>
      <c r="G9928">
        <v>44790</v>
      </c>
      <c r="H9928">
        <v>2022</v>
      </c>
      <c r="I9928" t="s">
        <v>49</v>
      </c>
    </row>
    <row r="9929" spans="1:9" x14ac:dyDescent="0.3">
      <c r="A9929" t="s">
        <v>24</v>
      </c>
      <c r="G9929">
        <v>44790</v>
      </c>
      <c r="H9929">
        <v>2022</v>
      </c>
      <c r="I9929" t="s">
        <v>49</v>
      </c>
    </row>
    <row r="9930" spans="1:9" x14ac:dyDescent="0.3">
      <c r="A9930" t="s">
        <v>21</v>
      </c>
      <c r="B9930">
        <v>206500</v>
      </c>
      <c r="G9930">
        <v>44790</v>
      </c>
      <c r="H9930">
        <v>2022</v>
      </c>
      <c r="I9930" t="s">
        <v>49</v>
      </c>
    </row>
    <row r="9931" spans="1:9" x14ac:dyDescent="0.3">
      <c r="A9931" t="s">
        <v>65</v>
      </c>
      <c r="G9931">
        <v>44790</v>
      </c>
      <c r="H9931">
        <v>2022</v>
      </c>
      <c r="I9931" t="s">
        <v>49</v>
      </c>
    </row>
    <row r="9932" spans="1:9" x14ac:dyDescent="0.3">
      <c r="A9932" t="s">
        <v>18</v>
      </c>
      <c r="G9932">
        <v>44790</v>
      </c>
      <c r="H9932">
        <v>2022</v>
      </c>
      <c r="I9932" t="s">
        <v>49</v>
      </c>
    </row>
    <row r="9933" spans="1:9" x14ac:dyDescent="0.3">
      <c r="A9933" t="s">
        <v>16</v>
      </c>
      <c r="G9933">
        <v>44790</v>
      </c>
      <c r="H9933">
        <v>2022</v>
      </c>
      <c r="I9933" t="s">
        <v>49</v>
      </c>
    </row>
    <row r="9934" spans="1:9" x14ac:dyDescent="0.3">
      <c r="A9934" t="s">
        <v>20</v>
      </c>
      <c r="B9934">
        <v>266000</v>
      </c>
      <c r="C9934">
        <v>319500</v>
      </c>
      <c r="G9934">
        <v>44791</v>
      </c>
      <c r="H9934">
        <v>2022</v>
      </c>
      <c r="I9934" t="s">
        <v>49</v>
      </c>
    </row>
    <row r="9935" spans="1:9" x14ac:dyDescent="0.3">
      <c r="A9935" t="s">
        <v>37</v>
      </c>
      <c r="G9935">
        <v>44791</v>
      </c>
      <c r="H9935">
        <v>2022</v>
      </c>
      <c r="I9935" t="s">
        <v>49</v>
      </c>
    </row>
    <row r="9936" spans="1:9" x14ac:dyDescent="0.3">
      <c r="A9936" t="s">
        <v>17</v>
      </c>
      <c r="B9936">
        <v>162000</v>
      </c>
      <c r="G9936">
        <v>44791</v>
      </c>
      <c r="H9936">
        <v>2022</v>
      </c>
      <c r="I9936" t="s">
        <v>49</v>
      </c>
    </row>
    <row r="9937" spans="1:9" x14ac:dyDescent="0.3">
      <c r="A9937" t="s">
        <v>0</v>
      </c>
      <c r="G9937">
        <v>44791</v>
      </c>
      <c r="H9937">
        <v>2022</v>
      </c>
      <c r="I9937" t="s">
        <v>49</v>
      </c>
    </row>
    <row r="9938" spans="1:9" x14ac:dyDescent="0.3">
      <c r="A9938" t="s">
        <v>25</v>
      </c>
      <c r="G9938">
        <v>44791</v>
      </c>
      <c r="H9938">
        <v>2022</v>
      </c>
      <c r="I9938" t="s">
        <v>49</v>
      </c>
    </row>
    <row r="9939" spans="1:9" x14ac:dyDescent="0.3">
      <c r="A9939" t="s">
        <v>15</v>
      </c>
      <c r="B9939">
        <v>414500</v>
      </c>
      <c r="C9939">
        <v>45000</v>
      </c>
      <c r="F9939">
        <v>45000</v>
      </c>
      <c r="G9939">
        <v>44791</v>
      </c>
      <c r="H9939">
        <v>2022</v>
      </c>
      <c r="I9939" t="s">
        <v>49</v>
      </c>
    </row>
    <row r="9940" spans="1:9" x14ac:dyDescent="0.3">
      <c r="A9940" t="s">
        <v>54</v>
      </c>
      <c r="B9940">
        <v>216000</v>
      </c>
      <c r="G9940">
        <v>44791</v>
      </c>
      <c r="H9940">
        <v>2022</v>
      </c>
      <c r="I9940" t="s">
        <v>49</v>
      </c>
    </row>
    <row r="9941" spans="1:9" x14ac:dyDescent="0.3">
      <c r="A9941" t="s">
        <v>26</v>
      </c>
      <c r="G9941">
        <v>44791</v>
      </c>
      <c r="H9941">
        <v>2022</v>
      </c>
      <c r="I9941" t="s">
        <v>49</v>
      </c>
    </row>
    <row r="9942" spans="1:9" x14ac:dyDescent="0.3">
      <c r="A9942" t="s">
        <v>22</v>
      </c>
      <c r="G9942">
        <v>44791</v>
      </c>
      <c r="H9942">
        <v>2022</v>
      </c>
      <c r="I9942" t="s">
        <v>49</v>
      </c>
    </row>
    <row r="9943" spans="1:9" x14ac:dyDescent="0.3">
      <c r="A9943" t="s">
        <v>61</v>
      </c>
      <c r="G9943">
        <v>44791</v>
      </c>
      <c r="H9943">
        <v>2022</v>
      </c>
      <c r="I9943" t="s">
        <v>49</v>
      </c>
    </row>
    <row r="9944" spans="1:9" x14ac:dyDescent="0.3">
      <c r="A9944" t="s">
        <v>19</v>
      </c>
      <c r="B9944">
        <v>108000</v>
      </c>
      <c r="G9944">
        <v>44791</v>
      </c>
      <c r="H9944">
        <v>2022</v>
      </c>
      <c r="I9944" t="s">
        <v>49</v>
      </c>
    </row>
    <row r="9945" spans="1:9" x14ac:dyDescent="0.3">
      <c r="A9945" t="s">
        <v>14</v>
      </c>
      <c r="B9945">
        <v>265500</v>
      </c>
      <c r="C9945">
        <v>918000</v>
      </c>
      <c r="E9945">
        <v>918000</v>
      </c>
      <c r="F9945">
        <v>135000</v>
      </c>
      <c r="G9945">
        <v>44791</v>
      </c>
      <c r="H9945">
        <v>2022</v>
      </c>
      <c r="I9945" t="s">
        <v>49</v>
      </c>
    </row>
    <row r="9946" spans="1:9" x14ac:dyDescent="0.3">
      <c r="A9946" t="s">
        <v>24</v>
      </c>
      <c r="G9946">
        <v>44791</v>
      </c>
      <c r="H9946">
        <v>2022</v>
      </c>
      <c r="I9946" t="s">
        <v>49</v>
      </c>
    </row>
    <row r="9947" spans="1:9" x14ac:dyDescent="0.3">
      <c r="A9947" t="s">
        <v>21</v>
      </c>
      <c r="B9947">
        <v>162000</v>
      </c>
      <c r="G9947">
        <v>44791</v>
      </c>
      <c r="H9947">
        <v>2022</v>
      </c>
      <c r="I9947" t="s">
        <v>49</v>
      </c>
    </row>
    <row r="9948" spans="1:9" x14ac:dyDescent="0.3">
      <c r="A9948" t="s">
        <v>65</v>
      </c>
      <c r="G9948">
        <v>44791</v>
      </c>
      <c r="H9948">
        <v>2022</v>
      </c>
      <c r="I9948" t="s">
        <v>49</v>
      </c>
    </row>
    <row r="9949" spans="1:9" x14ac:dyDescent="0.3">
      <c r="A9949" t="s">
        <v>18</v>
      </c>
      <c r="G9949">
        <v>44791</v>
      </c>
      <c r="H9949">
        <v>2022</v>
      </c>
      <c r="I9949" t="s">
        <v>49</v>
      </c>
    </row>
    <row r="9950" spans="1:9" x14ac:dyDescent="0.3">
      <c r="A9950" t="s">
        <v>16</v>
      </c>
      <c r="C9950">
        <v>54000</v>
      </c>
      <c r="G9950">
        <v>44791</v>
      </c>
      <c r="H9950">
        <v>2022</v>
      </c>
      <c r="I9950" t="s">
        <v>49</v>
      </c>
    </row>
    <row r="9951" spans="1:9" x14ac:dyDescent="0.3">
      <c r="A9951" t="s">
        <v>20</v>
      </c>
      <c r="B9951">
        <v>158000</v>
      </c>
      <c r="C9951">
        <v>139500</v>
      </c>
      <c r="G9951">
        <v>44792</v>
      </c>
      <c r="H9951">
        <v>2022</v>
      </c>
      <c r="I9951" t="s">
        <v>49</v>
      </c>
    </row>
    <row r="9952" spans="1:9" x14ac:dyDescent="0.3">
      <c r="A9952" t="s">
        <v>37</v>
      </c>
      <c r="G9952">
        <v>44792</v>
      </c>
      <c r="H9952">
        <v>2022</v>
      </c>
      <c r="I9952" t="s">
        <v>49</v>
      </c>
    </row>
    <row r="9953" spans="1:9" x14ac:dyDescent="0.3">
      <c r="A9953" t="s">
        <v>17</v>
      </c>
      <c r="B9953">
        <v>216000</v>
      </c>
      <c r="C9953">
        <v>207000</v>
      </c>
      <c r="G9953">
        <v>44792</v>
      </c>
      <c r="H9953">
        <v>2022</v>
      </c>
      <c r="I9953" t="s">
        <v>49</v>
      </c>
    </row>
    <row r="9954" spans="1:9" x14ac:dyDescent="0.3">
      <c r="A9954" t="s">
        <v>0</v>
      </c>
      <c r="G9954">
        <v>44792</v>
      </c>
      <c r="H9954">
        <v>2022</v>
      </c>
      <c r="I9954" t="s">
        <v>49</v>
      </c>
    </row>
    <row r="9955" spans="1:9" x14ac:dyDescent="0.3">
      <c r="A9955" t="s">
        <v>25</v>
      </c>
      <c r="G9955">
        <v>44792</v>
      </c>
      <c r="H9955">
        <v>2022</v>
      </c>
      <c r="I9955" t="s">
        <v>49</v>
      </c>
    </row>
    <row r="9956" spans="1:9" x14ac:dyDescent="0.3">
      <c r="A9956" t="s">
        <v>15</v>
      </c>
      <c r="B9956">
        <v>481500</v>
      </c>
      <c r="G9956">
        <v>44792</v>
      </c>
      <c r="H9956">
        <v>2022</v>
      </c>
      <c r="I9956" t="s">
        <v>49</v>
      </c>
    </row>
    <row r="9957" spans="1:9" x14ac:dyDescent="0.3">
      <c r="A9957" t="s">
        <v>54</v>
      </c>
      <c r="C9957">
        <v>158000</v>
      </c>
      <c r="G9957">
        <v>44792</v>
      </c>
      <c r="H9957">
        <v>2022</v>
      </c>
      <c r="I9957" t="s">
        <v>49</v>
      </c>
    </row>
    <row r="9958" spans="1:9" x14ac:dyDescent="0.3">
      <c r="A9958" t="s">
        <v>26</v>
      </c>
      <c r="G9958">
        <v>44792</v>
      </c>
      <c r="H9958">
        <v>2022</v>
      </c>
      <c r="I9958" t="s">
        <v>49</v>
      </c>
    </row>
    <row r="9959" spans="1:9" x14ac:dyDescent="0.3">
      <c r="A9959" t="s">
        <v>22</v>
      </c>
      <c r="G9959">
        <v>44792</v>
      </c>
      <c r="H9959">
        <v>2022</v>
      </c>
      <c r="I9959" t="s">
        <v>49</v>
      </c>
    </row>
    <row r="9960" spans="1:9" x14ac:dyDescent="0.3">
      <c r="A9960" t="s">
        <v>61</v>
      </c>
      <c r="G9960">
        <v>44792</v>
      </c>
      <c r="H9960">
        <v>2022</v>
      </c>
      <c r="I9960" t="s">
        <v>49</v>
      </c>
    </row>
    <row r="9961" spans="1:9" x14ac:dyDescent="0.3">
      <c r="A9961" t="s">
        <v>19</v>
      </c>
      <c r="C9961">
        <v>540000</v>
      </c>
      <c r="D9961">
        <v>702000</v>
      </c>
      <c r="G9961">
        <v>44792</v>
      </c>
      <c r="H9961">
        <v>2022</v>
      </c>
      <c r="I9961" t="s">
        <v>49</v>
      </c>
    </row>
    <row r="9962" spans="1:9" x14ac:dyDescent="0.3">
      <c r="A9962" t="s">
        <v>14</v>
      </c>
      <c r="B9962">
        <v>373500</v>
      </c>
      <c r="E9962">
        <v>216000</v>
      </c>
      <c r="G9962">
        <v>44792</v>
      </c>
      <c r="H9962">
        <v>2022</v>
      </c>
      <c r="I9962" t="s">
        <v>49</v>
      </c>
    </row>
    <row r="9963" spans="1:9" x14ac:dyDescent="0.3">
      <c r="A9963" t="s">
        <v>24</v>
      </c>
      <c r="G9963">
        <v>44792</v>
      </c>
      <c r="H9963">
        <v>2022</v>
      </c>
      <c r="I9963" t="s">
        <v>49</v>
      </c>
    </row>
    <row r="9964" spans="1:9" x14ac:dyDescent="0.3">
      <c r="A9964" t="s">
        <v>21</v>
      </c>
      <c r="B9964">
        <v>374000</v>
      </c>
      <c r="G9964">
        <v>44792</v>
      </c>
      <c r="H9964">
        <v>2022</v>
      </c>
      <c r="I9964" t="s">
        <v>49</v>
      </c>
    </row>
    <row r="9965" spans="1:9" x14ac:dyDescent="0.3">
      <c r="A9965" t="s">
        <v>65</v>
      </c>
      <c r="G9965">
        <v>44792</v>
      </c>
      <c r="H9965">
        <v>2022</v>
      </c>
      <c r="I9965" t="s">
        <v>49</v>
      </c>
    </row>
    <row r="9966" spans="1:9" x14ac:dyDescent="0.3">
      <c r="A9966" t="s">
        <v>18</v>
      </c>
      <c r="B9966">
        <v>54000</v>
      </c>
      <c r="G9966">
        <v>44792</v>
      </c>
      <c r="H9966">
        <v>2022</v>
      </c>
      <c r="I9966" t="s">
        <v>49</v>
      </c>
    </row>
    <row r="9967" spans="1:9" x14ac:dyDescent="0.3">
      <c r="A9967" t="s">
        <v>16</v>
      </c>
      <c r="G9967">
        <v>44792</v>
      </c>
      <c r="H9967">
        <v>2022</v>
      </c>
      <c r="I9967" t="s">
        <v>49</v>
      </c>
    </row>
    <row r="9968" spans="1:9" x14ac:dyDescent="0.3">
      <c r="A9968" t="s">
        <v>20</v>
      </c>
      <c r="G9968">
        <v>44792</v>
      </c>
      <c r="H9968">
        <v>2022</v>
      </c>
      <c r="I9968" t="s">
        <v>49</v>
      </c>
    </row>
    <row r="9969" spans="1:9" x14ac:dyDescent="0.3">
      <c r="A9969" t="s">
        <v>37</v>
      </c>
      <c r="G9969">
        <v>44792</v>
      </c>
      <c r="H9969">
        <v>2022</v>
      </c>
      <c r="I9969" t="s">
        <v>49</v>
      </c>
    </row>
    <row r="9970" spans="1:9" x14ac:dyDescent="0.3">
      <c r="A9970" t="s">
        <v>17</v>
      </c>
      <c r="G9970">
        <v>44792</v>
      </c>
      <c r="H9970">
        <v>2022</v>
      </c>
      <c r="I9970" t="s">
        <v>49</v>
      </c>
    </row>
    <row r="9971" spans="1:9" x14ac:dyDescent="0.3">
      <c r="A9971" t="s">
        <v>0</v>
      </c>
      <c r="G9971">
        <v>44792</v>
      </c>
      <c r="H9971">
        <v>2022</v>
      </c>
      <c r="I9971" t="s">
        <v>49</v>
      </c>
    </row>
    <row r="9972" spans="1:9" x14ac:dyDescent="0.3">
      <c r="A9972" t="s">
        <v>25</v>
      </c>
      <c r="G9972">
        <v>44792</v>
      </c>
      <c r="H9972">
        <v>2022</v>
      </c>
      <c r="I9972" t="s">
        <v>49</v>
      </c>
    </row>
    <row r="9973" spans="1:9" x14ac:dyDescent="0.3">
      <c r="A9973" t="s">
        <v>15</v>
      </c>
      <c r="G9973">
        <v>44792</v>
      </c>
      <c r="H9973">
        <v>2022</v>
      </c>
      <c r="I9973" t="s">
        <v>49</v>
      </c>
    </row>
    <row r="9974" spans="1:9" x14ac:dyDescent="0.3">
      <c r="A9974" t="s">
        <v>54</v>
      </c>
      <c r="G9974">
        <v>44792</v>
      </c>
      <c r="H9974">
        <v>2022</v>
      </c>
      <c r="I9974" t="s">
        <v>49</v>
      </c>
    </row>
    <row r="9975" spans="1:9" x14ac:dyDescent="0.3">
      <c r="A9975" t="s">
        <v>26</v>
      </c>
      <c r="G9975">
        <v>44792</v>
      </c>
      <c r="H9975">
        <v>2022</v>
      </c>
      <c r="I9975" t="s">
        <v>49</v>
      </c>
    </row>
    <row r="9976" spans="1:9" x14ac:dyDescent="0.3">
      <c r="A9976" t="s">
        <v>22</v>
      </c>
      <c r="G9976">
        <v>44792</v>
      </c>
      <c r="H9976">
        <v>2022</v>
      </c>
      <c r="I9976" t="s">
        <v>49</v>
      </c>
    </row>
    <row r="9977" spans="1:9" x14ac:dyDescent="0.3">
      <c r="A9977" t="s">
        <v>61</v>
      </c>
      <c r="G9977">
        <v>44792</v>
      </c>
      <c r="H9977">
        <v>2022</v>
      </c>
      <c r="I9977" t="s">
        <v>49</v>
      </c>
    </row>
    <row r="9978" spans="1:9" x14ac:dyDescent="0.3">
      <c r="A9978" t="s">
        <v>19</v>
      </c>
      <c r="G9978">
        <v>44792</v>
      </c>
      <c r="H9978">
        <v>2022</v>
      </c>
      <c r="I9978" t="s">
        <v>49</v>
      </c>
    </row>
    <row r="9979" spans="1:9" x14ac:dyDescent="0.3">
      <c r="A9979" t="s">
        <v>14</v>
      </c>
      <c r="E9979">
        <v>54000</v>
      </c>
      <c r="G9979">
        <v>44792</v>
      </c>
      <c r="H9979">
        <v>2022</v>
      </c>
      <c r="I9979" t="s">
        <v>49</v>
      </c>
    </row>
    <row r="9980" spans="1:9" x14ac:dyDescent="0.3">
      <c r="A9980" t="s">
        <v>24</v>
      </c>
      <c r="G9980">
        <v>44792</v>
      </c>
      <c r="H9980">
        <v>2022</v>
      </c>
      <c r="I9980" t="s">
        <v>49</v>
      </c>
    </row>
    <row r="9981" spans="1:9" x14ac:dyDescent="0.3">
      <c r="A9981" t="s">
        <v>21</v>
      </c>
      <c r="G9981">
        <v>44792</v>
      </c>
      <c r="H9981">
        <v>2022</v>
      </c>
      <c r="I9981" t="s">
        <v>49</v>
      </c>
    </row>
    <row r="9982" spans="1:9" x14ac:dyDescent="0.3">
      <c r="A9982" t="s">
        <v>65</v>
      </c>
      <c r="G9982">
        <v>44792</v>
      </c>
      <c r="H9982">
        <v>2022</v>
      </c>
      <c r="I9982" t="s">
        <v>49</v>
      </c>
    </row>
    <row r="9983" spans="1:9" x14ac:dyDescent="0.3">
      <c r="A9983" t="s">
        <v>18</v>
      </c>
      <c r="G9983">
        <v>44792</v>
      </c>
      <c r="H9983">
        <v>2022</v>
      </c>
      <c r="I9983" t="s">
        <v>49</v>
      </c>
    </row>
    <row r="9984" spans="1:9" x14ac:dyDescent="0.3">
      <c r="A9984" t="s">
        <v>16</v>
      </c>
      <c r="G9984">
        <v>44792</v>
      </c>
      <c r="H9984">
        <v>2022</v>
      </c>
      <c r="I9984" t="s">
        <v>49</v>
      </c>
    </row>
    <row r="9985" spans="1:9" x14ac:dyDescent="0.3">
      <c r="A9985" t="s">
        <v>20</v>
      </c>
      <c r="B9985">
        <v>54000</v>
      </c>
      <c r="G9985">
        <v>44795</v>
      </c>
      <c r="H9985">
        <v>2022</v>
      </c>
      <c r="I9985" t="s">
        <v>49</v>
      </c>
    </row>
    <row r="9986" spans="1:9" x14ac:dyDescent="0.3">
      <c r="A9986" t="s">
        <v>37</v>
      </c>
      <c r="G9986">
        <v>44795</v>
      </c>
      <c r="H9986">
        <v>2022</v>
      </c>
      <c r="I9986" t="s">
        <v>49</v>
      </c>
    </row>
    <row r="9987" spans="1:9" x14ac:dyDescent="0.3">
      <c r="A9987" t="s">
        <v>17</v>
      </c>
      <c r="B9987">
        <v>54000</v>
      </c>
      <c r="G9987">
        <v>44795</v>
      </c>
      <c r="H9987">
        <v>2022</v>
      </c>
      <c r="I9987" t="s">
        <v>49</v>
      </c>
    </row>
    <row r="9988" spans="1:9" x14ac:dyDescent="0.3">
      <c r="A9988" t="s">
        <v>0</v>
      </c>
      <c r="G9988">
        <v>44795</v>
      </c>
      <c r="H9988">
        <v>2022</v>
      </c>
      <c r="I9988" t="s">
        <v>49</v>
      </c>
    </row>
    <row r="9989" spans="1:9" x14ac:dyDescent="0.3">
      <c r="A9989" t="s">
        <v>25</v>
      </c>
      <c r="B9989">
        <v>108000</v>
      </c>
      <c r="G9989">
        <v>44795</v>
      </c>
      <c r="H9989">
        <v>2022</v>
      </c>
      <c r="I9989" t="s">
        <v>49</v>
      </c>
    </row>
    <row r="9990" spans="1:9" x14ac:dyDescent="0.3">
      <c r="A9990" t="s">
        <v>15</v>
      </c>
      <c r="B9990">
        <v>270000</v>
      </c>
      <c r="G9990">
        <v>44795</v>
      </c>
      <c r="H9990">
        <v>2022</v>
      </c>
      <c r="I9990" t="s">
        <v>49</v>
      </c>
    </row>
    <row r="9991" spans="1:9" x14ac:dyDescent="0.3">
      <c r="A9991" t="s">
        <v>54</v>
      </c>
      <c r="C9991">
        <v>797000</v>
      </c>
      <c r="G9991">
        <v>44795</v>
      </c>
      <c r="H9991">
        <v>2022</v>
      </c>
      <c r="I9991" t="s">
        <v>49</v>
      </c>
    </row>
    <row r="9992" spans="1:9" x14ac:dyDescent="0.3">
      <c r="A9992" t="s">
        <v>26</v>
      </c>
      <c r="G9992">
        <v>44795</v>
      </c>
      <c r="H9992">
        <v>2022</v>
      </c>
      <c r="I9992" t="s">
        <v>49</v>
      </c>
    </row>
    <row r="9993" spans="1:9" x14ac:dyDescent="0.3">
      <c r="A9993" t="s">
        <v>22</v>
      </c>
      <c r="G9993">
        <v>44795</v>
      </c>
      <c r="H9993">
        <v>2022</v>
      </c>
      <c r="I9993" t="s">
        <v>49</v>
      </c>
    </row>
    <row r="9994" spans="1:9" x14ac:dyDescent="0.3">
      <c r="A9994" t="s">
        <v>61</v>
      </c>
      <c r="G9994">
        <v>44795</v>
      </c>
      <c r="H9994">
        <v>2022</v>
      </c>
      <c r="I9994" t="s">
        <v>49</v>
      </c>
    </row>
    <row r="9995" spans="1:9" x14ac:dyDescent="0.3">
      <c r="A9995" t="s">
        <v>19</v>
      </c>
      <c r="B9995">
        <v>162000</v>
      </c>
      <c r="C9995">
        <v>648000</v>
      </c>
      <c r="D9995">
        <v>378000</v>
      </c>
      <c r="G9995">
        <v>44795</v>
      </c>
      <c r="H9995">
        <v>2022</v>
      </c>
      <c r="I9995" t="s">
        <v>49</v>
      </c>
    </row>
    <row r="9996" spans="1:9" x14ac:dyDescent="0.3">
      <c r="A9996" t="s">
        <v>14</v>
      </c>
      <c r="B9996">
        <v>162000</v>
      </c>
      <c r="E9996">
        <v>54000</v>
      </c>
      <c r="G9996">
        <v>44795</v>
      </c>
      <c r="H9996">
        <v>2022</v>
      </c>
      <c r="I9996" t="s">
        <v>49</v>
      </c>
    </row>
    <row r="9997" spans="1:9" x14ac:dyDescent="0.3">
      <c r="A9997" t="s">
        <v>24</v>
      </c>
      <c r="G9997">
        <v>44795</v>
      </c>
      <c r="H9997">
        <v>2022</v>
      </c>
      <c r="I9997" t="s">
        <v>49</v>
      </c>
    </row>
    <row r="9998" spans="1:9" x14ac:dyDescent="0.3">
      <c r="A9998" t="s">
        <v>21</v>
      </c>
      <c r="G9998">
        <v>44795</v>
      </c>
      <c r="H9998">
        <v>2022</v>
      </c>
      <c r="I9998" t="s">
        <v>49</v>
      </c>
    </row>
    <row r="9999" spans="1:9" x14ac:dyDescent="0.3">
      <c r="A9999" t="s">
        <v>65</v>
      </c>
      <c r="G9999">
        <v>44795</v>
      </c>
      <c r="H9999">
        <v>2022</v>
      </c>
      <c r="I9999" t="s">
        <v>49</v>
      </c>
    </row>
    <row r="10000" spans="1:9" x14ac:dyDescent="0.3">
      <c r="A10000" t="s">
        <v>18</v>
      </c>
      <c r="G10000">
        <v>44795</v>
      </c>
      <c r="H10000">
        <v>2022</v>
      </c>
      <c r="I10000" t="s">
        <v>49</v>
      </c>
    </row>
    <row r="10001" spans="1:9" x14ac:dyDescent="0.3">
      <c r="A10001" t="s">
        <v>16</v>
      </c>
      <c r="G10001">
        <v>44795</v>
      </c>
      <c r="H10001">
        <v>2022</v>
      </c>
      <c r="I10001" t="s">
        <v>49</v>
      </c>
    </row>
    <row r="10002" spans="1:9" x14ac:dyDescent="0.3">
      <c r="A10002" t="s">
        <v>20</v>
      </c>
      <c r="B10002">
        <v>49500</v>
      </c>
      <c r="G10002">
        <v>44796</v>
      </c>
      <c r="H10002">
        <v>2022</v>
      </c>
      <c r="I10002" t="s">
        <v>49</v>
      </c>
    </row>
    <row r="10003" spans="1:9" x14ac:dyDescent="0.3">
      <c r="A10003" t="s">
        <v>37</v>
      </c>
      <c r="G10003">
        <v>44796</v>
      </c>
      <c r="H10003">
        <v>2022</v>
      </c>
      <c r="I10003" t="s">
        <v>49</v>
      </c>
    </row>
    <row r="10004" spans="1:9" x14ac:dyDescent="0.3">
      <c r="A10004" t="s">
        <v>17</v>
      </c>
      <c r="G10004">
        <v>44796</v>
      </c>
      <c r="H10004">
        <v>2022</v>
      </c>
      <c r="I10004" t="s">
        <v>49</v>
      </c>
    </row>
    <row r="10005" spans="1:9" x14ac:dyDescent="0.3">
      <c r="A10005" t="s">
        <v>0</v>
      </c>
      <c r="G10005">
        <v>44796</v>
      </c>
      <c r="H10005">
        <v>2022</v>
      </c>
      <c r="I10005" t="s">
        <v>49</v>
      </c>
    </row>
    <row r="10006" spans="1:9" x14ac:dyDescent="0.3">
      <c r="A10006" t="s">
        <v>25</v>
      </c>
      <c r="B10006">
        <v>162000</v>
      </c>
      <c r="G10006">
        <v>44796</v>
      </c>
      <c r="H10006">
        <v>2022</v>
      </c>
      <c r="I10006" t="s">
        <v>49</v>
      </c>
    </row>
    <row r="10007" spans="1:9" x14ac:dyDescent="0.3">
      <c r="A10007" t="s">
        <v>15</v>
      </c>
      <c r="B10007">
        <v>162000</v>
      </c>
      <c r="G10007">
        <v>44796</v>
      </c>
      <c r="H10007">
        <v>2022</v>
      </c>
      <c r="I10007" t="s">
        <v>49</v>
      </c>
    </row>
    <row r="10008" spans="1:9" x14ac:dyDescent="0.3">
      <c r="A10008" t="s">
        <v>54</v>
      </c>
      <c r="C10008">
        <v>855500</v>
      </c>
      <c r="G10008">
        <v>44796</v>
      </c>
      <c r="H10008">
        <v>2022</v>
      </c>
      <c r="I10008" t="s">
        <v>49</v>
      </c>
    </row>
    <row r="10009" spans="1:9" x14ac:dyDescent="0.3">
      <c r="A10009" t="s">
        <v>26</v>
      </c>
      <c r="C10009">
        <v>486000</v>
      </c>
      <c r="G10009">
        <v>44796</v>
      </c>
      <c r="H10009">
        <v>2022</v>
      </c>
      <c r="I10009" t="s">
        <v>49</v>
      </c>
    </row>
    <row r="10010" spans="1:9" x14ac:dyDescent="0.3">
      <c r="A10010" t="s">
        <v>22</v>
      </c>
      <c r="G10010">
        <v>44796</v>
      </c>
      <c r="H10010">
        <v>2022</v>
      </c>
      <c r="I10010" t="s">
        <v>49</v>
      </c>
    </row>
    <row r="10011" spans="1:9" x14ac:dyDescent="0.3">
      <c r="A10011" t="s">
        <v>61</v>
      </c>
      <c r="G10011">
        <v>44796</v>
      </c>
      <c r="H10011">
        <v>2022</v>
      </c>
      <c r="I10011" t="s">
        <v>49</v>
      </c>
    </row>
    <row r="10012" spans="1:9" x14ac:dyDescent="0.3">
      <c r="A10012" t="s">
        <v>19</v>
      </c>
      <c r="B10012">
        <v>162000</v>
      </c>
      <c r="C10012">
        <v>189000</v>
      </c>
      <c r="G10012">
        <v>44796</v>
      </c>
      <c r="H10012">
        <v>2022</v>
      </c>
      <c r="I10012" t="s">
        <v>49</v>
      </c>
    </row>
    <row r="10013" spans="1:9" x14ac:dyDescent="0.3">
      <c r="A10013" t="s">
        <v>14</v>
      </c>
      <c r="B10013">
        <v>648000</v>
      </c>
      <c r="E10013">
        <v>54000</v>
      </c>
      <c r="G10013">
        <v>44796</v>
      </c>
      <c r="H10013">
        <v>2022</v>
      </c>
      <c r="I10013" t="s">
        <v>49</v>
      </c>
    </row>
    <row r="10014" spans="1:9" x14ac:dyDescent="0.3">
      <c r="A10014" t="s">
        <v>24</v>
      </c>
      <c r="G10014">
        <v>44796</v>
      </c>
      <c r="H10014">
        <v>2022</v>
      </c>
      <c r="I10014" t="s">
        <v>49</v>
      </c>
    </row>
    <row r="10015" spans="1:9" x14ac:dyDescent="0.3">
      <c r="A10015" t="s">
        <v>21</v>
      </c>
      <c r="B10015">
        <v>216000</v>
      </c>
      <c r="G10015">
        <v>44796</v>
      </c>
      <c r="H10015">
        <v>2022</v>
      </c>
      <c r="I10015" t="s">
        <v>49</v>
      </c>
    </row>
    <row r="10016" spans="1:9" x14ac:dyDescent="0.3">
      <c r="A10016" t="s">
        <v>65</v>
      </c>
      <c r="G10016">
        <v>44796</v>
      </c>
      <c r="H10016">
        <v>2022</v>
      </c>
      <c r="I10016" t="s">
        <v>49</v>
      </c>
    </row>
    <row r="10017" spans="1:9" x14ac:dyDescent="0.3">
      <c r="A10017" t="s">
        <v>18</v>
      </c>
      <c r="G10017">
        <v>44796</v>
      </c>
      <c r="H10017">
        <v>2022</v>
      </c>
      <c r="I10017" t="s">
        <v>49</v>
      </c>
    </row>
    <row r="10018" spans="1:9" x14ac:dyDescent="0.3">
      <c r="A10018" t="s">
        <v>16</v>
      </c>
      <c r="B10018">
        <v>45000</v>
      </c>
      <c r="G10018">
        <v>44796</v>
      </c>
      <c r="H10018">
        <v>2022</v>
      </c>
      <c r="I10018" t="s">
        <v>49</v>
      </c>
    </row>
    <row r="10019" spans="1:9" x14ac:dyDescent="0.3">
      <c r="A10019" t="s">
        <v>20</v>
      </c>
      <c r="B10019">
        <v>54000</v>
      </c>
      <c r="G10019">
        <v>44797</v>
      </c>
      <c r="H10019">
        <v>2022</v>
      </c>
      <c r="I10019" t="s">
        <v>49</v>
      </c>
    </row>
    <row r="10020" spans="1:9" x14ac:dyDescent="0.3">
      <c r="A10020" t="s">
        <v>37</v>
      </c>
      <c r="G10020">
        <v>44797</v>
      </c>
      <c r="H10020">
        <v>2022</v>
      </c>
      <c r="I10020" t="s">
        <v>49</v>
      </c>
    </row>
    <row r="10021" spans="1:9" x14ac:dyDescent="0.3">
      <c r="A10021" t="s">
        <v>17</v>
      </c>
      <c r="G10021">
        <v>44797</v>
      </c>
      <c r="H10021">
        <v>2022</v>
      </c>
      <c r="I10021" t="s">
        <v>49</v>
      </c>
    </row>
    <row r="10022" spans="1:9" x14ac:dyDescent="0.3">
      <c r="A10022" t="s">
        <v>0</v>
      </c>
      <c r="G10022">
        <v>44797</v>
      </c>
      <c r="H10022">
        <v>2022</v>
      </c>
      <c r="I10022" t="s">
        <v>49</v>
      </c>
    </row>
    <row r="10023" spans="1:9" x14ac:dyDescent="0.3">
      <c r="A10023" t="s">
        <v>25</v>
      </c>
      <c r="B10023">
        <v>216000</v>
      </c>
      <c r="G10023">
        <v>44797</v>
      </c>
      <c r="H10023">
        <v>2022</v>
      </c>
      <c r="I10023" t="s">
        <v>49</v>
      </c>
    </row>
    <row r="10024" spans="1:9" x14ac:dyDescent="0.3">
      <c r="A10024" t="s">
        <v>15</v>
      </c>
      <c r="B10024">
        <v>431500</v>
      </c>
      <c r="G10024">
        <v>44797</v>
      </c>
      <c r="H10024">
        <v>2022</v>
      </c>
      <c r="I10024" t="s">
        <v>49</v>
      </c>
    </row>
    <row r="10025" spans="1:9" x14ac:dyDescent="0.3">
      <c r="A10025" t="s">
        <v>54</v>
      </c>
      <c r="C10025">
        <v>108000</v>
      </c>
      <c r="G10025">
        <v>44797</v>
      </c>
      <c r="H10025">
        <v>2022</v>
      </c>
      <c r="I10025" t="s">
        <v>49</v>
      </c>
    </row>
    <row r="10026" spans="1:9" x14ac:dyDescent="0.3">
      <c r="A10026" t="s">
        <v>26</v>
      </c>
      <c r="B10026">
        <v>324000</v>
      </c>
      <c r="C10026">
        <v>1012500</v>
      </c>
      <c r="G10026">
        <v>44797</v>
      </c>
      <c r="H10026">
        <v>2022</v>
      </c>
      <c r="I10026" t="s">
        <v>49</v>
      </c>
    </row>
    <row r="10027" spans="1:9" x14ac:dyDescent="0.3">
      <c r="A10027" t="s">
        <v>22</v>
      </c>
      <c r="G10027">
        <v>44797</v>
      </c>
      <c r="H10027">
        <v>2022</v>
      </c>
      <c r="I10027" t="s">
        <v>49</v>
      </c>
    </row>
    <row r="10028" spans="1:9" x14ac:dyDescent="0.3">
      <c r="A10028" t="s">
        <v>61</v>
      </c>
      <c r="G10028">
        <v>44797</v>
      </c>
      <c r="H10028">
        <v>2022</v>
      </c>
      <c r="I10028" t="s">
        <v>49</v>
      </c>
    </row>
    <row r="10029" spans="1:9" x14ac:dyDescent="0.3">
      <c r="A10029" t="s">
        <v>19</v>
      </c>
      <c r="B10029">
        <v>162000</v>
      </c>
      <c r="G10029">
        <v>44797</v>
      </c>
      <c r="H10029">
        <v>2022</v>
      </c>
      <c r="I10029" t="s">
        <v>49</v>
      </c>
    </row>
    <row r="10030" spans="1:9" x14ac:dyDescent="0.3">
      <c r="A10030" t="s">
        <v>14</v>
      </c>
      <c r="B10030">
        <v>585000</v>
      </c>
      <c r="G10030">
        <v>44797</v>
      </c>
      <c r="H10030">
        <v>2022</v>
      </c>
      <c r="I10030" t="s">
        <v>49</v>
      </c>
    </row>
    <row r="10031" spans="1:9" x14ac:dyDescent="0.3">
      <c r="A10031" t="s">
        <v>24</v>
      </c>
      <c r="G10031">
        <v>44797</v>
      </c>
      <c r="H10031">
        <v>2022</v>
      </c>
      <c r="I10031" t="s">
        <v>49</v>
      </c>
    </row>
    <row r="10032" spans="1:9" x14ac:dyDescent="0.3">
      <c r="A10032" t="s">
        <v>21</v>
      </c>
      <c r="B10032">
        <v>351000</v>
      </c>
      <c r="C10032">
        <v>540000</v>
      </c>
      <c r="G10032">
        <v>44797</v>
      </c>
      <c r="H10032">
        <v>2022</v>
      </c>
      <c r="I10032" t="s">
        <v>49</v>
      </c>
    </row>
    <row r="10033" spans="1:9" x14ac:dyDescent="0.3">
      <c r="A10033" t="s">
        <v>65</v>
      </c>
      <c r="G10033">
        <v>44797</v>
      </c>
      <c r="H10033">
        <v>2022</v>
      </c>
      <c r="I10033" t="s">
        <v>49</v>
      </c>
    </row>
    <row r="10034" spans="1:9" x14ac:dyDescent="0.3">
      <c r="A10034" t="s">
        <v>18</v>
      </c>
      <c r="G10034">
        <v>44797</v>
      </c>
      <c r="H10034">
        <v>2022</v>
      </c>
      <c r="I10034" t="s">
        <v>49</v>
      </c>
    </row>
    <row r="10035" spans="1:9" x14ac:dyDescent="0.3">
      <c r="A10035" t="s">
        <v>16</v>
      </c>
      <c r="B10035">
        <v>45000</v>
      </c>
      <c r="G10035">
        <v>44797</v>
      </c>
      <c r="H10035">
        <v>2022</v>
      </c>
      <c r="I10035" t="s">
        <v>49</v>
      </c>
    </row>
    <row r="10036" spans="1:9" x14ac:dyDescent="0.3">
      <c r="A10036" t="s">
        <v>20</v>
      </c>
      <c r="G10036">
        <v>44798</v>
      </c>
      <c r="H10036">
        <v>2022</v>
      </c>
      <c r="I10036" t="s">
        <v>49</v>
      </c>
    </row>
    <row r="10037" spans="1:9" x14ac:dyDescent="0.3">
      <c r="A10037" t="s">
        <v>37</v>
      </c>
      <c r="C10037">
        <v>108000</v>
      </c>
      <c r="G10037">
        <v>44798</v>
      </c>
      <c r="H10037">
        <v>2022</v>
      </c>
      <c r="I10037" t="s">
        <v>49</v>
      </c>
    </row>
    <row r="10038" spans="1:9" x14ac:dyDescent="0.3">
      <c r="A10038" t="s">
        <v>17</v>
      </c>
      <c r="G10038">
        <v>44798</v>
      </c>
      <c r="H10038">
        <v>2022</v>
      </c>
      <c r="I10038" t="s">
        <v>49</v>
      </c>
    </row>
    <row r="10039" spans="1:9" x14ac:dyDescent="0.3">
      <c r="A10039" t="s">
        <v>0</v>
      </c>
      <c r="E10039">
        <v>639000</v>
      </c>
      <c r="G10039">
        <v>44798</v>
      </c>
      <c r="H10039">
        <v>2022</v>
      </c>
      <c r="I10039" t="s">
        <v>49</v>
      </c>
    </row>
    <row r="10040" spans="1:9" x14ac:dyDescent="0.3">
      <c r="A10040" t="s">
        <v>25</v>
      </c>
      <c r="B10040">
        <v>108000</v>
      </c>
      <c r="G10040">
        <v>44798</v>
      </c>
      <c r="H10040">
        <v>2022</v>
      </c>
      <c r="I10040" t="s">
        <v>49</v>
      </c>
    </row>
    <row r="10041" spans="1:9" x14ac:dyDescent="0.3">
      <c r="A10041" t="s">
        <v>15</v>
      </c>
      <c r="B10041">
        <v>535500</v>
      </c>
      <c r="G10041">
        <v>44798</v>
      </c>
      <c r="H10041">
        <v>2022</v>
      </c>
      <c r="I10041" t="s">
        <v>49</v>
      </c>
    </row>
    <row r="10042" spans="1:9" x14ac:dyDescent="0.3">
      <c r="A10042" t="s">
        <v>54</v>
      </c>
      <c r="G10042">
        <v>44798</v>
      </c>
      <c r="H10042">
        <v>2022</v>
      </c>
      <c r="I10042" t="s">
        <v>49</v>
      </c>
    </row>
    <row r="10043" spans="1:9" x14ac:dyDescent="0.3">
      <c r="A10043" t="s">
        <v>26</v>
      </c>
      <c r="B10043">
        <v>324000</v>
      </c>
      <c r="G10043">
        <v>44798</v>
      </c>
      <c r="H10043">
        <v>2022</v>
      </c>
      <c r="I10043" t="s">
        <v>49</v>
      </c>
    </row>
    <row r="10044" spans="1:9" x14ac:dyDescent="0.3">
      <c r="A10044" t="s">
        <v>22</v>
      </c>
      <c r="G10044">
        <v>44798</v>
      </c>
      <c r="H10044">
        <v>2022</v>
      </c>
      <c r="I10044" t="s">
        <v>49</v>
      </c>
    </row>
    <row r="10045" spans="1:9" x14ac:dyDescent="0.3">
      <c r="A10045" t="s">
        <v>61</v>
      </c>
      <c r="G10045">
        <v>44798</v>
      </c>
      <c r="H10045">
        <v>2022</v>
      </c>
      <c r="I10045" t="s">
        <v>49</v>
      </c>
    </row>
    <row r="10046" spans="1:9" x14ac:dyDescent="0.3">
      <c r="A10046" t="s">
        <v>19</v>
      </c>
      <c r="B10046">
        <v>378000</v>
      </c>
      <c r="G10046">
        <v>44798</v>
      </c>
      <c r="H10046">
        <v>2022</v>
      </c>
      <c r="I10046" t="s">
        <v>49</v>
      </c>
    </row>
    <row r="10047" spans="1:9" x14ac:dyDescent="0.3">
      <c r="A10047" t="s">
        <v>14</v>
      </c>
      <c r="B10047">
        <v>643500</v>
      </c>
      <c r="G10047">
        <v>44798</v>
      </c>
      <c r="H10047">
        <v>2022</v>
      </c>
      <c r="I10047" t="s">
        <v>49</v>
      </c>
    </row>
    <row r="10048" spans="1:9" x14ac:dyDescent="0.3">
      <c r="A10048" t="s">
        <v>24</v>
      </c>
      <c r="G10048">
        <v>44798</v>
      </c>
      <c r="H10048">
        <v>2022</v>
      </c>
      <c r="I10048" t="s">
        <v>49</v>
      </c>
    </row>
    <row r="10049" spans="1:9" x14ac:dyDescent="0.3">
      <c r="A10049" t="s">
        <v>21</v>
      </c>
      <c r="B10049">
        <v>54000</v>
      </c>
      <c r="C10049">
        <v>360000</v>
      </c>
      <c r="G10049">
        <v>44798</v>
      </c>
      <c r="H10049">
        <v>2022</v>
      </c>
      <c r="I10049" t="s">
        <v>49</v>
      </c>
    </row>
    <row r="10050" spans="1:9" x14ac:dyDescent="0.3">
      <c r="A10050" t="s">
        <v>65</v>
      </c>
      <c r="G10050">
        <v>44798</v>
      </c>
      <c r="H10050">
        <v>2022</v>
      </c>
      <c r="I10050" t="s">
        <v>49</v>
      </c>
    </row>
    <row r="10051" spans="1:9" x14ac:dyDescent="0.3">
      <c r="A10051" t="s">
        <v>18</v>
      </c>
      <c r="G10051">
        <v>44798</v>
      </c>
      <c r="H10051">
        <v>2022</v>
      </c>
      <c r="I10051" t="s">
        <v>49</v>
      </c>
    </row>
    <row r="10052" spans="1:9" x14ac:dyDescent="0.3">
      <c r="A10052" t="s">
        <v>16</v>
      </c>
      <c r="C10052">
        <v>54000</v>
      </c>
      <c r="G10052">
        <v>44798</v>
      </c>
      <c r="H10052">
        <v>2022</v>
      </c>
      <c r="I10052" t="s">
        <v>49</v>
      </c>
    </row>
    <row r="10053" spans="1:9" x14ac:dyDescent="0.3">
      <c r="A10053" t="s">
        <v>20</v>
      </c>
      <c r="G10053">
        <v>44799</v>
      </c>
      <c r="H10053">
        <v>2022</v>
      </c>
      <c r="I10053" t="s">
        <v>49</v>
      </c>
    </row>
    <row r="10054" spans="1:9" x14ac:dyDescent="0.3">
      <c r="A10054" t="s">
        <v>37</v>
      </c>
      <c r="C10054">
        <v>99000</v>
      </c>
      <c r="G10054">
        <v>44799</v>
      </c>
      <c r="H10054">
        <v>2022</v>
      </c>
      <c r="I10054" t="s">
        <v>49</v>
      </c>
    </row>
    <row r="10055" spans="1:9" x14ac:dyDescent="0.3">
      <c r="A10055" t="s">
        <v>17</v>
      </c>
      <c r="G10055">
        <v>44799</v>
      </c>
      <c r="H10055">
        <v>2022</v>
      </c>
      <c r="I10055" t="s">
        <v>49</v>
      </c>
    </row>
    <row r="10056" spans="1:9" x14ac:dyDescent="0.3">
      <c r="A10056" t="s">
        <v>0</v>
      </c>
      <c r="E10056">
        <v>639000</v>
      </c>
      <c r="G10056">
        <v>44799</v>
      </c>
      <c r="H10056">
        <v>2022</v>
      </c>
      <c r="I10056" t="s">
        <v>49</v>
      </c>
    </row>
    <row r="10057" spans="1:9" x14ac:dyDescent="0.3">
      <c r="A10057" t="s">
        <v>25</v>
      </c>
      <c r="G10057">
        <v>44799</v>
      </c>
      <c r="H10057">
        <v>2022</v>
      </c>
      <c r="I10057" t="s">
        <v>49</v>
      </c>
    </row>
    <row r="10058" spans="1:9" x14ac:dyDescent="0.3">
      <c r="A10058" t="s">
        <v>15</v>
      </c>
      <c r="B10058">
        <v>270000</v>
      </c>
      <c r="G10058">
        <v>44799</v>
      </c>
      <c r="H10058">
        <v>2022</v>
      </c>
      <c r="I10058" t="s">
        <v>49</v>
      </c>
    </row>
    <row r="10059" spans="1:9" x14ac:dyDescent="0.3">
      <c r="A10059" t="s">
        <v>54</v>
      </c>
      <c r="G10059">
        <v>44799</v>
      </c>
      <c r="H10059">
        <v>2022</v>
      </c>
      <c r="I10059" t="s">
        <v>49</v>
      </c>
    </row>
    <row r="10060" spans="1:9" x14ac:dyDescent="0.3">
      <c r="A10060" t="s">
        <v>26</v>
      </c>
      <c r="B10060">
        <v>270000</v>
      </c>
      <c r="G10060">
        <v>44799</v>
      </c>
      <c r="H10060">
        <v>2022</v>
      </c>
      <c r="I10060" t="s">
        <v>49</v>
      </c>
    </row>
    <row r="10061" spans="1:9" x14ac:dyDescent="0.3">
      <c r="A10061" t="s">
        <v>22</v>
      </c>
      <c r="B10061">
        <v>270000</v>
      </c>
      <c r="G10061">
        <v>44799</v>
      </c>
      <c r="H10061">
        <v>2022</v>
      </c>
      <c r="I10061" t="s">
        <v>49</v>
      </c>
    </row>
    <row r="10062" spans="1:9" x14ac:dyDescent="0.3">
      <c r="A10062" t="s">
        <v>61</v>
      </c>
      <c r="G10062">
        <v>44799</v>
      </c>
      <c r="H10062">
        <v>2022</v>
      </c>
      <c r="I10062" t="s">
        <v>49</v>
      </c>
    </row>
    <row r="10063" spans="1:9" x14ac:dyDescent="0.3">
      <c r="A10063" t="s">
        <v>19</v>
      </c>
      <c r="B10063">
        <v>216000</v>
      </c>
      <c r="G10063">
        <v>44799</v>
      </c>
      <c r="H10063">
        <v>2022</v>
      </c>
      <c r="I10063" t="s">
        <v>49</v>
      </c>
    </row>
    <row r="10064" spans="1:9" x14ac:dyDescent="0.3">
      <c r="A10064" t="s">
        <v>14</v>
      </c>
      <c r="B10064">
        <v>162000</v>
      </c>
      <c r="G10064">
        <v>44799</v>
      </c>
      <c r="H10064">
        <v>2022</v>
      </c>
      <c r="I10064" t="s">
        <v>49</v>
      </c>
    </row>
    <row r="10065" spans="1:9" x14ac:dyDescent="0.3">
      <c r="A10065" t="s">
        <v>24</v>
      </c>
      <c r="G10065">
        <v>44799</v>
      </c>
      <c r="H10065">
        <v>2022</v>
      </c>
      <c r="I10065" t="s">
        <v>49</v>
      </c>
    </row>
    <row r="10066" spans="1:9" x14ac:dyDescent="0.3">
      <c r="A10066" t="s">
        <v>21</v>
      </c>
      <c r="G10066">
        <v>44799</v>
      </c>
      <c r="H10066">
        <v>2022</v>
      </c>
      <c r="I10066" t="s">
        <v>49</v>
      </c>
    </row>
    <row r="10067" spans="1:9" x14ac:dyDescent="0.3">
      <c r="A10067" t="s">
        <v>65</v>
      </c>
      <c r="G10067">
        <v>44799</v>
      </c>
      <c r="H10067">
        <v>2022</v>
      </c>
      <c r="I10067" t="s">
        <v>49</v>
      </c>
    </row>
    <row r="10068" spans="1:9" x14ac:dyDescent="0.3">
      <c r="A10068" t="s">
        <v>18</v>
      </c>
      <c r="G10068">
        <v>44799</v>
      </c>
      <c r="H10068">
        <v>2022</v>
      </c>
      <c r="I10068" t="s">
        <v>49</v>
      </c>
    </row>
    <row r="10069" spans="1:9" x14ac:dyDescent="0.3">
      <c r="A10069" t="s">
        <v>16</v>
      </c>
      <c r="B10069">
        <v>212000</v>
      </c>
      <c r="D10069">
        <v>378000</v>
      </c>
      <c r="G10069">
        <v>44799</v>
      </c>
      <c r="H10069">
        <v>2022</v>
      </c>
      <c r="I10069" t="s">
        <v>49</v>
      </c>
    </row>
    <row r="10070" spans="1:9" x14ac:dyDescent="0.3">
      <c r="A10070" t="s">
        <v>20</v>
      </c>
      <c r="G10070">
        <v>44802</v>
      </c>
      <c r="H10070">
        <v>2022</v>
      </c>
      <c r="I10070" t="s">
        <v>49</v>
      </c>
    </row>
    <row r="10071" spans="1:9" x14ac:dyDescent="0.3">
      <c r="A10071" t="s">
        <v>37</v>
      </c>
      <c r="G10071">
        <v>44802</v>
      </c>
      <c r="H10071">
        <v>2022</v>
      </c>
      <c r="I10071" t="s">
        <v>49</v>
      </c>
    </row>
    <row r="10072" spans="1:9" x14ac:dyDescent="0.3">
      <c r="A10072" t="s">
        <v>17</v>
      </c>
      <c r="G10072">
        <v>44802</v>
      </c>
      <c r="H10072">
        <v>2022</v>
      </c>
      <c r="I10072" t="s">
        <v>49</v>
      </c>
    </row>
    <row r="10073" spans="1:9" x14ac:dyDescent="0.3">
      <c r="A10073" t="s">
        <v>0</v>
      </c>
      <c r="E10073">
        <v>580500</v>
      </c>
      <c r="G10073">
        <v>44802</v>
      </c>
      <c r="H10073">
        <v>2022</v>
      </c>
      <c r="I10073" t="s">
        <v>49</v>
      </c>
    </row>
    <row r="10074" spans="1:9" x14ac:dyDescent="0.3">
      <c r="A10074" t="s">
        <v>25</v>
      </c>
      <c r="G10074">
        <v>44802</v>
      </c>
      <c r="H10074">
        <v>2022</v>
      </c>
      <c r="I10074" t="s">
        <v>49</v>
      </c>
    </row>
    <row r="10075" spans="1:9" x14ac:dyDescent="0.3">
      <c r="A10075" t="s">
        <v>15</v>
      </c>
      <c r="B10075">
        <v>432000</v>
      </c>
      <c r="G10075">
        <v>44802</v>
      </c>
      <c r="H10075">
        <v>2022</v>
      </c>
      <c r="I10075" t="s">
        <v>49</v>
      </c>
    </row>
    <row r="10076" spans="1:9" x14ac:dyDescent="0.3">
      <c r="A10076" t="s">
        <v>54</v>
      </c>
      <c r="G10076">
        <v>44802</v>
      </c>
      <c r="H10076">
        <v>2022</v>
      </c>
      <c r="I10076" t="s">
        <v>49</v>
      </c>
    </row>
    <row r="10077" spans="1:9" x14ac:dyDescent="0.3">
      <c r="A10077" t="s">
        <v>26</v>
      </c>
      <c r="B10077">
        <v>108000</v>
      </c>
      <c r="G10077">
        <v>44802</v>
      </c>
      <c r="H10077">
        <v>2022</v>
      </c>
      <c r="I10077" t="s">
        <v>49</v>
      </c>
    </row>
    <row r="10078" spans="1:9" x14ac:dyDescent="0.3">
      <c r="A10078" t="s">
        <v>22</v>
      </c>
      <c r="B10078">
        <v>216000</v>
      </c>
      <c r="G10078">
        <v>44802</v>
      </c>
      <c r="H10078">
        <v>2022</v>
      </c>
      <c r="I10078" t="s">
        <v>49</v>
      </c>
    </row>
    <row r="10079" spans="1:9" x14ac:dyDescent="0.3">
      <c r="A10079" t="s">
        <v>61</v>
      </c>
      <c r="G10079">
        <v>44802</v>
      </c>
      <c r="H10079">
        <v>2022</v>
      </c>
      <c r="I10079" t="s">
        <v>49</v>
      </c>
    </row>
    <row r="10080" spans="1:9" x14ac:dyDescent="0.3">
      <c r="A10080" t="s">
        <v>19</v>
      </c>
      <c r="B10080">
        <v>270000</v>
      </c>
      <c r="G10080">
        <v>44802</v>
      </c>
      <c r="H10080">
        <v>2022</v>
      </c>
      <c r="I10080" t="s">
        <v>49</v>
      </c>
    </row>
    <row r="10081" spans="1:9" x14ac:dyDescent="0.3">
      <c r="A10081" t="s">
        <v>14</v>
      </c>
      <c r="B10081">
        <v>424000</v>
      </c>
      <c r="C10081">
        <v>1238000</v>
      </c>
      <c r="F10081">
        <v>540000</v>
      </c>
      <c r="G10081">
        <v>44802</v>
      </c>
      <c r="H10081">
        <v>2022</v>
      </c>
      <c r="I10081" t="s">
        <v>49</v>
      </c>
    </row>
    <row r="10082" spans="1:9" x14ac:dyDescent="0.3">
      <c r="A10082" t="s">
        <v>24</v>
      </c>
      <c r="G10082">
        <v>44802</v>
      </c>
      <c r="H10082">
        <v>2022</v>
      </c>
      <c r="I10082" t="s">
        <v>49</v>
      </c>
    </row>
    <row r="10083" spans="1:9" x14ac:dyDescent="0.3">
      <c r="A10083" t="s">
        <v>21</v>
      </c>
      <c r="G10083">
        <v>44802</v>
      </c>
      <c r="H10083">
        <v>2022</v>
      </c>
      <c r="I10083" t="s">
        <v>49</v>
      </c>
    </row>
    <row r="10084" spans="1:9" x14ac:dyDescent="0.3">
      <c r="A10084" t="s">
        <v>65</v>
      </c>
      <c r="G10084">
        <v>44802</v>
      </c>
      <c r="H10084">
        <v>2022</v>
      </c>
      <c r="I10084" t="s">
        <v>49</v>
      </c>
    </row>
    <row r="10085" spans="1:9" x14ac:dyDescent="0.3">
      <c r="A10085" t="s">
        <v>18</v>
      </c>
      <c r="G10085">
        <v>44802</v>
      </c>
      <c r="H10085">
        <v>2022</v>
      </c>
      <c r="I10085" t="s">
        <v>49</v>
      </c>
    </row>
    <row r="10086" spans="1:9" x14ac:dyDescent="0.3">
      <c r="A10086" t="s">
        <v>16</v>
      </c>
      <c r="B10086">
        <v>324000</v>
      </c>
      <c r="G10086">
        <v>44802</v>
      </c>
      <c r="H10086">
        <v>2022</v>
      </c>
      <c r="I10086" t="s">
        <v>49</v>
      </c>
    </row>
    <row r="10087" spans="1:9" x14ac:dyDescent="0.3">
      <c r="A10087" t="s">
        <v>20</v>
      </c>
      <c r="G10087">
        <v>44803</v>
      </c>
      <c r="H10087">
        <v>2022</v>
      </c>
      <c r="I10087" t="s">
        <v>49</v>
      </c>
    </row>
    <row r="10088" spans="1:9" x14ac:dyDescent="0.3">
      <c r="A10088" t="s">
        <v>37</v>
      </c>
      <c r="G10088">
        <v>44803</v>
      </c>
      <c r="H10088">
        <v>2022</v>
      </c>
      <c r="I10088" t="s">
        <v>49</v>
      </c>
    </row>
    <row r="10089" spans="1:9" x14ac:dyDescent="0.3">
      <c r="A10089" t="s">
        <v>17</v>
      </c>
      <c r="G10089">
        <v>44803</v>
      </c>
      <c r="H10089">
        <v>2022</v>
      </c>
      <c r="I10089" t="s">
        <v>49</v>
      </c>
    </row>
    <row r="10090" spans="1:9" x14ac:dyDescent="0.3">
      <c r="A10090" t="s">
        <v>0</v>
      </c>
      <c r="C10090">
        <v>810000</v>
      </c>
      <c r="E10090">
        <v>261000</v>
      </c>
      <c r="G10090">
        <v>44803</v>
      </c>
      <c r="H10090">
        <v>2022</v>
      </c>
      <c r="I10090" t="s">
        <v>49</v>
      </c>
    </row>
    <row r="10091" spans="1:9" x14ac:dyDescent="0.3">
      <c r="A10091" t="s">
        <v>25</v>
      </c>
      <c r="G10091">
        <v>44803</v>
      </c>
      <c r="H10091">
        <v>2022</v>
      </c>
      <c r="I10091" t="s">
        <v>49</v>
      </c>
    </row>
    <row r="10092" spans="1:9" x14ac:dyDescent="0.3">
      <c r="A10092" t="s">
        <v>15</v>
      </c>
      <c r="B10092">
        <v>432000</v>
      </c>
      <c r="G10092">
        <v>44803</v>
      </c>
      <c r="H10092">
        <v>2022</v>
      </c>
      <c r="I10092" t="s">
        <v>49</v>
      </c>
    </row>
    <row r="10093" spans="1:9" x14ac:dyDescent="0.3">
      <c r="A10093" t="s">
        <v>54</v>
      </c>
      <c r="G10093">
        <v>44803</v>
      </c>
      <c r="H10093">
        <v>2022</v>
      </c>
      <c r="I10093" t="s">
        <v>49</v>
      </c>
    </row>
    <row r="10094" spans="1:9" x14ac:dyDescent="0.3">
      <c r="A10094" t="s">
        <v>26</v>
      </c>
      <c r="B10094">
        <v>374000</v>
      </c>
      <c r="G10094">
        <v>44803</v>
      </c>
      <c r="H10094">
        <v>2022</v>
      </c>
      <c r="I10094" t="s">
        <v>49</v>
      </c>
    </row>
    <row r="10095" spans="1:9" x14ac:dyDescent="0.3">
      <c r="A10095" t="s">
        <v>22</v>
      </c>
      <c r="B10095">
        <v>432000</v>
      </c>
      <c r="G10095">
        <v>44803</v>
      </c>
      <c r="H10095">
        <v>2022</v>
      </c>
      <c r="I10095" t="s">
        <v>49</v>
      </c>
    </row>
    <row r="10096" spans="1:9" x14ac:dyDescent="0.3">
      <c r="A10096" t="s">
        <v>61</v>
      </c>
      <c r="G10096">
        <v>44803</v>
      </c>
      <c r="H10096">
        <v>2022</v>
      </c>
      <c r="I10096" t="s">
        <v>49</v>
      </c>
    </row>
    <row r="10097" spans="1:9" x14ac:dyDescent="0.3">
      <c r="A10097" t="s">
        <v>19</v>
      </c>
      <c r="C10097">
        <v>288000</v>
      </c>
      <c r="G10097">
        <v>44803</v>
      </c>
      <c r="H10097">
        <v>2022</v>
      </c>
      <c r="I10097" t="s">
        <v>49</v>
      </c>
    </row>
    <row r="10098" spans="1:9" x14ac:dyDescent="0.3">
      <c r="A10098" t="s">
        <v>14</v>
      </c>
      <c r="B10098">
        <v>756000</v>
      </c>
      <c r="C10098">
        <v>482000</v>
      </c>
      <c r="D10098">
        <v>365000</v>
      </c>
      <c r="F10098">
        <v>486000</v>
      </c>
      <c r="G10098">
        <v>44803</v>
      </c>
      <c r="H10098">
        <v>2022</v>
      </c>
      <c r="I10098" t="s">
        <v>49</v>
      </c>
    </row>
    <row r="10099" spans="1:9" x14ac:dyDescent="0.3">
      <c r="A10099" t="s">
        <v>24</v>
      </c>
      <c r="G10099">
        <v>44803</v>
      </c>
      <c r="H10099">
        <v>2022</v>
      </c>
      <c r="I10099" t="s">
        <v>49</v>
      </c>
    </row>
    <row r="10100" spans="1:9" x14ac:dyDescent="0.3">
      <c r="A10100" t="s">
        <v>21</v>
      </c>
      <c r="G10100">
        <v>44803</v>
      </c>
      <c r="H10100">
        <v>2022</v>
      </c>
      <c r="I10100" t="s">
        <v>49</v>
      </c>
    </row>
    <row r="10101" spans="1:9" x14ac:dyDescent="0.3">
      <c r="A10101" t="s">
        <v>65</v>
      </c>
      <c r="G10101">
        <v>44803</v>
      </c>
      <c r="H10101">
        <v>2022</v>
      </c>
      <c r="I10101" t="s">
        <v>49</v>
      </c>
    </row>
    <row r="10102" spans="1:9" x14ac:dyDescent="0.3">
      <c r="A10102" t="s">
        <v>18</v>
      </c>
      <c r="G10102">
        <v>44803</v>
      </c>
      <c r="H10102">
        <v>2022</v>
      </c>
      <c r="I10102" t="s">
        <v>49</v>
      </c>
    </row>
    <row r="10103" spans="1:9" x14ac:dyDescent="0.3">
      <c r="A10103" t="s">
        <v>16</v>
      </c>
      <c r="B10103">
        <v>324000</v>
      </c>
      <c r="G10103">
        <v>44803</v>
      </c>
      <c r="H10103">
        <v>2022</v>
      </c>
      <c r="I10103" t="s">
        <v>49</v>
      </c>
    </row>
    <row r="10104" spans="1:9" x14ac:dyDescent="0.3">
      <c r="A10104" t="s">
        <v>20</v>
      </c>
      <c r="G10104">
        <v>44804</v>
      </c>
      <c r="H10104">
        <v>2022</v>
      </c>
      <c r="I10104" t="s">
        <v>49</v>
      </c>
    </row>
    <row r="10105" spans="1:9" x14ac:dyDescent="0.3">
      <c r="A10105" t="s">
        <v>37</v>
      </c>
      <c r="G10105">
        <v>44804</v>
      </c>
      <c r="H10105">
        <v>2022</v>
      </c>
      <c r="I10105" t="s">
        <v>49</v>
      </c>
    </row>
    <row r="10106" spans="1:9" x14ac:dyDescent="0.3">
      <c r="A10106" t="s">
        <v>17</v>
      </c>
      <c r="G10106">
        <v>44804</v>
      </c>
      <c r="H10106">
        <v>2022</v>
      </c>
      <c r="I10106" t="s">
        <v>49</v>
      </c>
    </row>
    <row r="10107" spans="1:9" x14ac:dyDescent="0.3">
      <c r="A10107" t="s">
        <v>0</v>
      </c>
      <c r="C10107">
        <v>1134000</v>
      </c>
      <c r="E10107">
        <v>49500</v>
      </c>
      <c r="G10107">
        <v>44804</v>
      </c>
      <c r="H10107">
        <v>2022</v>
      </c>
      <c r="I10107" t="s">
        <v>49</v>
      </c>
    </row>
    <row r="10108" spans="1:9" x14ac:dyDescent="0.3">
      <c r="A10108" t="s">
        <v>25</v>
      </c>
      <c r="G10108">
        <v>44804</v>
      </c>
      <c r="H10108">
        <v>2022</v>
      </c>
      <c r="I10108" t="s">
        <v>49</v>
      </c>
    </row>
    <row r="10109" spans="1:9" x14ac:dyDescent="0.3">
      <c r="A10109" t="s">
        <v>15</v>
      </c>
      <c r="B10109">
        <v>104000</v>
      </c>
      <c r="G10109">
        <v>44804</v>
      </c>
      <c r="H10109">
        <v>2022</v>
      </c>
      <c r="I10109" t="s">
        <v>49</v>
      </c>
    </row>
    <row r="10110" spans="1:9" x14ac:dyDescent="0.3">
      <c r="A10110" t="s">
        <v>54</v>
      </c>
      <c r="G10110">
        <v>44804</v>
      </c>
      <c r="H10110">
        <v>2022</v>
      </c>
      <c r="I10110" t="s">
        <v>49</v>
      </c>
    </row>
    <row r="10111" spans="1:9" x14ac:dyDescent="0.3">
      <c r="A10111" t="s">
        <v>26</v>
      </c>
      <c r="G10111">
        <v>44804</v>
      </c>
      <c r="H10111">
        <v>2022</v>
      </c>
      <c r="I10111" t="s">
        <v>49</v>
      </c>
    </row>
    <row r="10112" spans="1:9" x14ac:dyDescent="0.3">
      <c r="A10112" t="s">
        <v>22</v>
      </c>
      <c r="B10112">
        <v>701500</v>
      </c>
      <c r="G10112">
        <v>44804</v>
      </c>
      <c r="H10112">
        <v>2022</v>
      </c>
      <c r="I10112" t="s">
        <v>49</v>
      </c>
    </row>
    <row r="10113" spans="1:9" x14ac:dyDescent="0.3">
      <c r="A10113" t="s">
        <v>61</v>
      </c>
      <c r="G10113">
        <v>44804</v>
      </c>
      <c r="H10113">
        <v>2022</v>
      </c>
      <c r="I10113" t="s">
        <v>49</v>
      </c>
    </row>
    <row r="10114" spans="1:9" x14ac:dyDescent="0.3">
      <c r="A10114" t="s">
        <v>19</v>
      </c>
      <c r="C10114">
        <v>216000</v>
      </c>
      <c r="G10114">
        <v>44804</v>
      </c>
      <c r="H10114">
        <v>2022</v>
      </c>
      <c r="I10114" t="s">
        <v>49</v>
      </c>
    </row>
    <row r="10115" spans="1:9" x14ac:dyDescent="0.3">
      <c r="A10115" t="s">
        <v>14</v>
      </c>
      <c r="B10115">
        <v>1296000</v>
      </c>
      <c r="C10115">
        <v>99500</v>
      </c>
      <c r="D10115">
        <v>90000</v>
      </c>
      <c r="F10115">
        <v>468000</v>
      </c>
      <c r="G10115">
        <v>44804</v>
      </c>
      <c r="H10115">
        <v>2022</v>
      </c>
      <c r="I10115" t="s">
        <v>49</v>
      </c>
    </row>
    <row r="10116" spans="1:9" x14ac:dyDescent="0.3">
      <c r="A10116" t="s">
        <v>24</v>
      </c>
      <c r="G10116">
        <v>44804</v>
      </c>
      <c r="H10116">
        <v>2022</v>
      </c>
      <c r="I10116" t="s">
        <v>49</v>
      </c>
    </row>
    <row r="10117" spans="1:9" x14ac:dyDescent="0.3">
      <c r="A10117" t="s">
        <v>21</v>
      </c>
      <c r="G10117">
        <v>44804</v>
      </c>
      <c r="H10117">
        <v>2022</v>
      </c>
      <c r="I10117" t="s">
        <v>49</v>
      </c>
    </row>
    <row r="10118" spans="1:9" x14ac:dyDescent="0.3">
      <c r="A10118" t="s">
        <v>65</v>
      </c>
      <c r="G10118">
        <v>44804</v>
      </c>
      <c r="H10118">
        <v>2022</v>
      </c>
      <c r="I10118" t="s">
        <v>49</v>
      </c>
    </row>
    <row r="10119" spans="1:9" x14ac:dyDescent="0.3">
      <c r="A10119" t="s">
        <v>18</v>
      </c>
      <c r="G10119">
        <v>44804</v>
      </c>
      <c r="H10119">
        <v>2022</v>
      </c>
      <c r="I10119" t="s">
        <v>49</v>
      </c>
    </row>
    <row r="10120" spans="1:9" x14ac:dyDescent="0.3">
      <c r="A10120" t="s">
        <v>16</v>
      </c>
      <c r="B10120">
        <v>162000</v>
      </c>
      <c r="G10120">
        <v>44804</v>
      </c>
      <c r="H10120">
        <v>2022</v>
      </c>
      <c r="I10120" t="s">
        <v>49</v>
      </c>
    </row>
    <row r="10121" spans="1:9" x14ac:dyDescent="0.3">
      <c r="A10121" t="s">
        <v>20</v>
      </c>
      <c r="C10121">
        <v>54000</v>
      </c>
      <c r="G10121">
        <v>44806</v>
      </c>
      <c r="H10121">
        <v>2022</v>
      </c>
      <c r="I10121" t="s">
        <v>50</v>
      </c>
    </row>
    <row r="10122" spans="1:9" x14ac:dyDescent="0.3">
      <c r="A10122" t="s">
        <v>37</v>
      </c>
      <c r="C10122">
        <v>45000</v>
      </c>
      <c r="G10122">
        <v>44806</v>
      </c>
      <c r="H10122">
        <v>2022</v>
      </c>
      <c r="I10122" t="s">
        <v>50</v>
      </c>
    </row>
    <row r="10123" spans="1:9" x14ac:dyDescent="0.3">
      <c r="A10123" t="s">
        <v>17</v>
      </c>
      <c r="G10123">
        <v>44806</v>
      </c>
      <c r="H10123">
        <v>2022</v>
      </c>
      <c r="I10123" t="s">
        <v>50</v>
      </c>
    </row>
    <row r="10124" spans="1:9" x14ac:dyDescent="0.3">
      <c r="A10124" t="s">
        <v>0</v>
      </c>
      <c r="C10124">
        <v>324000</v>
      </c>
      <c r="E10124">
        <v>153000</v>
      </c>
      <c r="G10124">
        <v>44806</v>
      </c>
      <c r="H10124">
        <v>2022</v>
      </c>
      <c r="I10124" t="s">
        <v>50</v>
      </c>
    </row>
    <row r="10125" spans="1:9" x14ac:dyDescent="0.3">
      <c r="A10125" t="s">
        <v>25</v>
      </c>
      <c r="G10125">
        <v>44806</v>
      </c>
      <c r="H10125">
        <v>2022</v>
      </c>
      <c r="I10125" t="s">
        <v>50</v>
      </c>
    </row>
    <row r="10126" spans="1:9" x14ac:dyDescent="0.3">
      <c r="A10126" t="s">
        <v>15</v>
      </c>
      <c r="B10126">
        <v>212000</v>
      </c>
      <c r="G10126">
        <v>44806</v>
      </c>
      <c r="H10126">
        <v>2022</v>
      </c>
      <c r="I10126" t="s">
        <v>50</v>
      </c>
    </row>
    <row r="10127" spans="1:9" x14ac:dyDescent="0.3">
      <c r="A10127" t="s">
        <v>54</v>
      </c>
      <c r="G10127">
        <v>44806</v>
      </c>
      <c r="H10127">
        <v>2022</v>
      </c>
      <c r="I10127" t="s">
        <v>50</v>
      </c>
    </row>
    <row r="10128" spans="1:9" x14ac:dyDescent="0.3">
      <c r="A10128" t="s">
        <v>26</v>
      </c>
      <c r="B10128">
        <v>49500</v>
      </c>
      <c r="G10128">
        <v>44806</v>
      </c>
      <c r="H10128">
        <v>2022</v>
      </c>
      <c r="I10128" t="s">
        <v>50</v>
      </c>
    </row>
    <row r="10129" spans="1:9" x14ac:dyDescent="0.3">
      <c r="A10129" t="s">
        <v>22</v>
      </c>
      <c r="B10129">
        <v>540000</v>
      </c>
      <c r="G10129">
        <v>44806</v>
      </c>
      <c r="H10129">
        <v>2022</v>
      </c>
      <c r="I10129" t="s">
        <v>50</v>
      </c>
    </row>
    <row r="10130" spans="1:9" x14ac:dyDescent="0.3">
      <c r="A10130" t="s">
        <v>61</v>
      </c>
      <c r="G10130">
        <v>44806</v>
      </c>
      <c r="H10130">
        <v>2022</v>
      </c>
      <c r="I10130" t="s">
        <v>50</v>
      </c>
    </row>
    <row r="10131" spans="1:9" x14ac:dyDescent="0.3">
      <c r="A10131" t="s">
        <v>19</v>
      </c>
      <c r="G10131">
        <v>44806</v>
      </c>
      <c r="H10131">
        <v>2022</v>
      </c>
      <c r="I10131" t="s">
        <v>50</v>
      </c>
    </row>
    <row r="10132" spans="1:9" x14ac:dyDescent="0.3">
      <c r="A10132" t="s">
        <v>14</v>
      </c>
      <c r="B10132">
        <v>1080000</v>
      </c>
      <c r="C10132">
        <v>104000</v>
      </c>
      <c r="D10132">
        <v>45000</v>
      </c>
      <c r="F10132">
        <v>585000</v>
      </c>
      <c r="G10132">
        <v>44806</v>
      </c>
      <c r="H10132">
        <v>2022</v>
      </c>
      <c r="I10132" t="s">
        <v>50</v>
      </c>
    </row>
    <row r="10133" spans="1:9" x14ac:dyDescent="0.3">
      <c r="A10133" t="s">
        <v>24</v>
      </c>
      <c r="G10133">
        <v>44806</v>
      </c>
      <c r="H10133">
        <v>2022</v>
      </c>
      <c r="I10133" t="s">
        <v>50</v>
      </c>
    </row>
    <row r="10134" spans="1:9" x14ac:dyDescent="0.3">
      <c r="A10134" t="s">
        <v>21</v>
      </c>
      <c r="G10134">
        <v>44806</v>
      </c>
      <c r="H10134">
        <v>2022</v>
      </c>
      <c r="I10134" t="s">
        <v>50</v>
      </c>
    </row>
    <row r="10135" spans="1:9" x14ac:dyDescent="0.3">
      <c r="A10135" t="s">
        <v>65</v>
      </c>
      <c r="G10135">
        <v>44806</v>
      </c>
      <c r="H10135">
        <v>2022</v>
      </c>
      <c r="I10135" t="s">
        <v>50</v>
      </c>
    </row>
    <row r="10136" spans="1:9" x14ac:dyDescent="0.3">
      <c r="A10136" t="s">
        <v>18</v>
      </c>
      <c r="G10136">
        <v>44806</v>
      </c>
      <c r="H10136">
        <v>2022</v>
      </c>
      <c r="I10136" t="s">
        <v>50</v>
      </c>
    </row>
    <row r="10137" spans="1:9" x14ac:dyDescent="0.3">
      <c r="A10137" t="s">
        <v>16</v>
      </c>
      <c r="B10137">
        <v>54000</v>
      </c>
      <c r="C10137">
        <v>162000</v>
      </c>
      <c r="G10137">
        <v>44806</v>
      </c>
      <c r="H10137">
        <v>2022</v>
      </c>
      <c r="I10137" t="s">
        <v>50</v>
      </c>
    </row>
    <row r="10138" spans="1:9" x14ac:dyDescent="0.3">
      <c r="A10138" t="s">
        <v>20</v>
      </c>
      <c r="G10138">
        <v>44809</v>
      </c>
      <c r="H10138">
        <v>2022</v>
      </c>
      <c r="I10138" t="s">
        <v>50</v>
      </c>
    </row>
    <row r="10139" spans="1:9" x14ac:dyDescent="0.3">
      <c r="A10139" t="s">
        <v>37</v>
      </c>
      <c r="G10139">
        <v>44809</v>
      </c>
      <c r="H10139">
        <v>2022</v>
      </c>
      <c r="I10139" t="s">
        <v>50</v>
      </c>
    </row>
    <row r="10140" spans="1:9" x14ac:dyDescent="0.3">
      <c r="A10140" t="s">
        <v>17</v>
      </c>
      <c r="G10140">
        <v>44809</v>
      </c>
      <c r="H10140">
        <v>2022</v>
      </c>
      <c r="I10140" t="s">
        <v>50</v>
      </c>
    </row>
    <row r="10141" spans="1:9" x14ac:dyDescent="0.3">
      <c r="A10141" t="s">
        <v>0</v>
      </c>
      <c r="G10141">
        <v>44809</v>
      </c>
      <c r="H10141">
        <v>2022</v>
      </c>
      <c r="I10141" t="s">
        <v>50</v>
      </c>
    </row>
    <row r="10142" spans="1:9" x14ac:dyDescent="0.3">
      <c r="A10142" t="s">
        <v>25</v>
      </c>
      <c r="G10142">
        <v>44809</v>
      </c>
      <c r="H10142">
        <v>2022</v>
      </c>
      <c r="I10142" t="s">
        <v>50</v>
      </c>
    </row>
    <row r="10143" spans="1:9" x14ac:dyDescent="0.3">
      <c r="A10143" t="s">
        <v>15</v>
      </c>
      <c r="B10143">
        <v>54000</v>
      </c>
      <c r="G10143">
        <v>44809</v>
      </c>
      <c r="H10143">
        <v>2022</v>
      </c>
      <c r="I10143" t="s">
        <v>50</v>
      </c>
    </row>
    <row r="10144" spans="1:9" x14ac:dyDescent="0.3">
      <c r="A10144" t="s">
        <v>54</v>
      </c>
      <c r="G10144">
        <v>44809</v>
      </c>
      <c r="H10144">
        <v>2022</v>
      </c>
      <c r="I10144" t="s">
        <v>50</v>
      </c>
    </row>
    <row r="10145" spans="1:9" x14ac:dyDescent="0.3">
      <c r="A10145" t="s">
        <v>26</v>
      </c>
      <c r="B10145">
        <v>50000</v>
      </c>
      <c r="G10145">
        <v>44809</v>
      </c>
      <c r="H10145">
        <v>2022</v>
      </c>
      <c r="I10145" t="s">
        <v>50</v>
      </c>
    </row>
    <row r="10146" spans="1:9" x14ac:dyDescent="0.3">
      <c r="A10146" t="s">
        <v>22</v>
      </c>
      <c r="B10146">
        <v>108000</v>
      </c>
      <c r="G10146">
        <v>44809</v>
      </c>
      <c r="H10146">
        <v>2022</v>
      </c>
      <c r="I10146" t="s">
        <v>50</v>
      </c>
    </row>
    <row r="10147" spans="1:9" x14ac:dyDescent="0.3">
      <c r="A10147" t="s">
        <v>61</v>
      </c>
      <c r="G10147">
        <v>44809</v>
      </c>
      <c r="H10147">
        <v>2022</v>
      </c>
      <c r="I10147" t="s">
        <v>50</v>
      </c>
    </row>
    <row r="10148" spans="1:9" x14ac:dyDescent="0.3">
      <c r="A10148" t="s">
        <v>19</v>
      </c>
      <c r="G10148">
        <v>44809</v>
      </c>
      <c r="H10148">
        <v>2022</v>
      </c>
      <c r="I10148" t="s">
        <v>50</v>
      </c>
    </row>
    <row r="10149" spans="1:9" x14ac:dyDescent="0.3">
      <c r="A10149" t="s">
        <v>14</v>
      </c>
      <c r="B10149">
        <v>1827000</v>
      </c>
      <c r="C10149">
        <v>54000</v>
      </c>
      <c r="F10149">
        <v>540000</v>
      </c>
      <c r="G10149">
        <v>44809</v>
      </c>
      <c r="H10149">
        <v>2022</v>
      </c>
      <c r="I10149" t="s">
        <v>50</v>
      </c>
    </row>
    <row r="10150" spans="1:9" x14ac:dyDescent="0.3">
      <c r="A10150" t="s">
        <v>24</v>
      </c>
      <c r="G10150">
        <v>44809</v>
      </c>
      <c r="H10150">
        <v>2022</v>
      </c>
      <c r="I10150" t="s">
        <v>50</v>
      </c>
    </row>
    <row r="10151" spans="1:9" x14ac:dyDescent="0.3">
      <c r="A10151" t="s">
        <v>21</v>
      </c>
      <c r="G10151">
        <v>44809</v>
      </c>
      <c r="H10151">
        <v>2022</v>
      </c>
      <c r="I10151" t="s">
        <v>50</v>
      </c>
    </row>
    <row r="10152" spans="1:9" x14ac:dyDescent="0.3">
      <c r="A10152" t="s">
        <v>65</v>
      </c>
      <c r="G10152">
        <v>44809</v>
      </c>
      <c r="H10152">
        <v>2022</v>
      </c>
      <c r="I10152" t="s">
        <v>50</v>
      </c>
    </row>
    <row r="10153" spans="1:9" x14ac:dyDescent="0.3">
      <c r="A10153" t="s">
        <v>18</v>
      </c>
      <c r="G10153">
        <v>44809</v>
      </c>
      <c r="H10153">
        <v>2022</v>
      </c>
      <c r="I10153" t="s">
        <v>50</v>
      </c>
    </row>
    <row r="10154" spans="1:9" x14ac:dyDescent="0.3">
      <c r="A10154" t="s">
        <v>16</v>
      </c>
      <c r="C10154">
        <v>486000</v>
      </c>
      <c r="E10154">
        <v>162000</v>
      </c>
      <c r="G10154">
        <v>44809</v>
      </c>
      <c r="H10154">
        <v>2022</v>
      </c>
      <c r="I10154" t="s">
        <v>50</v>
      </c>
    </row>
    <row r="10155" spans="1:9" x14ac:dyDescent="0.3">
      <c r="A10155" t="s">
        <v>20</v>
      </c>
      <c r="G10155">
        <v>44810</v>
      </c>
      <c r="H10155">
        <v>2022</v>
      </c>
      <c r="I10155" t="s">
        <v>50</v>
      </c>
    </row>
    <row r="10156" spans="1:9" x14ac:dyDescent="0.3">
      <c r="A10156" t="s">
        <v>37</v>
      </c>
      <c r="G10156">
        <v>44810</v>
      </c>
      <c r="H10156">
        <v>2022</v>
      </c>
      <c r="I10156" t="s">
        <v>50</v>
      </c>
    </row>
    <row r="10157" spans="1:9" x14ac:dyDescent="0.3">
      <c r="A10157" t="s">
        <v>17</v>
      </c>
      <c r="G10157">
        <v>44810</v>
      </c>
      <c r="H10157">
        <v>2022</v>
      </c>
      <c r="I10157" t="s">
        <v>50</v>
      </c>
    </row>
    <row r="10158" spans="1:9" x14ac:dyDescent="0.3">
      <c r="A10158" t="s">
        <v>0</v>
      </c>
      <c r="G10158">
        <v>44810</v>
      </c>
      <c r="H10158">
        <v>2022</v>
      </c>
      <c r="I10158" t="s">
        <v>50</v>
      </c>
    </row>
    <row r="10159" spans="1:9" x14ac:dyDescent="0.3">
      <c r="A10159" t="s">
        <v>25</v>
      </c>
      <c r="G10159">
        <v>44810</v>
      </c>
      <c r="H10159">
        <v>2022</v>
      </c>
      <c r="I10159" t="s">
        <v>50</v>
      </c>
    </row>
    <row r="10160" spans="1:9" x14ac:dyDescent="0.3">
      <c r="A10160" t="s">
        <v>15</v>
      </c>
      <c r="B10160">
        <v>594000</v>
      </c>
      <c r="D10160">
        <v>162000</v>
      </c>
      <c r="G10160">
        <v>44810</v>
      </c>
      <c r="H10160">
        <v>2022</v>
      </c>
      <c r="I10160" t="s">
        <v>50</v>
      </c>
    </row>
    <row r="10161" spans="1:9" x14ac:dyDescent="0.3">
      <c r="A10161" t="s">
        <v>54</v>
      </c>
      <c r="G10161">
        <v>44810</v>
      </c>
      <c r="H10161">
        <v>2022</v>
      </c>
      <c r="I10161" t="s">
        <v>50</v>
      </c>
    </row>
    <row r="10162" spans="1:9" x14ac:dyDescent="0.3">
      <c r="A10162" t="s">
        <v>26</v>
      </c>
      <c r="G10162">
        <v>44810</v>
      </c>
      <c r="H10162">
        <v>2022</v>
      </c>
      <c r="I10162" t="s">
        <v>50</v>
      </c>
    </row>
    <row r="10163" spans="1:9" x14ac:dyDescent="0.3">
      <c r="A10163" t="s">
        <v>22</v>
      </c>
      <c r="G10163">
        <v>44810</v>
      </c>
      <c r="H10163">
        <v>2022</v>
      </c>
      <c r="I10163" t="s">
        <v>50</v>
      </c>
    </row>
    <row r="10164" spans="1:9" x14ac:dyDescent="0.3">
      <c r="A10164" t="s">
        <v>61</v>
      </c>
      <c r="G10164">
        <v>44810</v>
      </c>
      <c r="H10164">
        <v>2022</v>
      </c>
      <c r="I10164" t="s">
        <v>50</v>
      </c>
    </row>
    <row r="10165" spans="1:9" x14ac:dyDescent="0.3">
      <c r="A10165" t="s">
        <v>19</v>
      </c>
      <c r="B10165">
        <v>540000</v>
      </c>
      <c r="G10165">
        <v>44810</v>
      </c>
      <c r="H10165">
        <v>2022</v>
      </c>
      <c r="I10165" t="s">
        <v>50</v>
      </c>
    </row>
    <row r="10166" spans="1:9" x14ac:dyDescent="0.3">
      <c r="A10166" t="s">
        <v>14</v>
      </c>
      <c r="F10166">
        <v>378000</v>
      </c>
      <c r="G10166">
        <v>44810</v>
      </c>
      <c r="H10166">
        <v>2022</v>
      </c>
      <c r="I10166" t="s">
        <v>50</v>
      </c>
    </row>
    <row r="10167" spans="1:9" x14ac:dyDescent="0.3">
      <c r="A10167" t="s">
        <v>24</v>
      </c>
      <c r="G10167">
        <v>44810</v>
      </c>
      <c r="H10167">
        <v>2022</v>
      </c>
      <c r="I10167" t="s">
        <v>50</v>
      </c>
    </row>
    <row r="10168" spans="1:9" x14ac:dyDescent="0.3">
      <c r="A10168" t="s">
        <v>21</v>
      </c>
      <c r="B10168">
        <v>864000</v>
      </c>
      <c r="C10168">
        <v>99000</v>
      </c>
      <c r="G10168">
        <v>44810</v>
      </c>
      <c r="H10168">
        <v>2022</v>
      </c>
      <c r="I10168" t="s">
        <v>50</v>
      </c>
    </row>
    <row r="10169" spans="1:9" x14ac:dyDescent="0.3">
      <c r="A10169" t="s">
        <v>65</v>
      </c>
      <c r="G10169">
        <v>44810</v>
      </c>
      <c r="H10169">
        <v>2022</v>
      </c>
      <c r="I10169" t="s">
        <v>50</v>
      </c>
    </row>
    <row r="10170" spans="1:9" x14ac:dyDescent="0.3">
      <c r="A10170" t="s">
        <v>18</v>
      </c>
      <c r="G10170">
        <v>44810</v>
      </c>
      <c r="H10170">
        <v>2022</v>
      </c>
      <c r="I10170" t="s">
        <v>50</v>
      </c>
    </row>
    <row r="10171" spans="1:9" x14ac:dyDescent="0.3">
      <c r="A10171" t="s">
        <v>16</v>
      </c>
      <c r="B10171">
        <v>104000</v>
      </c>
      <c r="G10171">
        <v>44810</v>
      </c>
      <c r="H10171">
        <v>2022</v>
      </c>
      <c r="I10171" t="s">
        <v>50</v>
      </c>
    </row>
    <row r="10172" spans="1:9" x14ac:dyDescent="0.3">
      <c r="A10172" t="s">
        <v>20</v>
      </c>
      <c r="G10172">
        <v>44811</v>
      </c>
      <c r="H10172">
        <v>2022</v>
      </c>
      <c r="I10172" t="s">
        <v>50</v>
      </c>
    </row>
    <row r="10173" spans="1:9" x14ac:dyDescent="0.3">
      <c r="A10173" t="s">
        <v>37</v>
      </c>
      <c r="G10173">
        <v>44811</v>
      </c>
      <c r="H10173">
        <v>2022</v>
      </c>
      <c r="I10173" t="s">
        <v>50</v>
      </c>
    </row>
    <row r="10174" spans="1:9" x14ac:dyDescent="0.3">
      <c r="A10174" t="s">
        <v>17</v>
      </c>
      <c r="G10174">
        <v>44811</v>
      </c>
      <c r="H10174">
        <v>2022</v>
      </c>
      <c r="I10174" t="s">
        <v>50</v>
      </c>
    </row>
    <row r="10175" spans="1:9" x14ac:dyDescent="0.3">
      <c r="A10175" t="s">
        <v>0</v>
      </c>
      <c r="G10175">
        <v>44811</v>
      </c>
      <c r="H10175">
        <v>2022</v>
      </c>
      <c r="I10175" t="s">
        <v>50</v>
      </c>
    </row>
    <row r="10176" spans="1:9" x14ac:dyDescent="0.3">
      <c r="A10176" t="s">
        <v>25</v>
      </c>
      <c r="G10176">
        <v>44811</v>
      </c>
      <c r="H10176">
        <v>2022</v>
      </c>
      <c r="I10176" t="s">
        <v>50</v>
      </c>
    </row>
    <row r="10177" spans="1:9" x14ac:dyDescent="0.3">
      <c r="A10177" t="s">
        <v>15</v>
      </c>
      <c r="B10177">
        <v>1017500</v>
      </c>
      <c r="C10177">
        <v>640000</v>
      </c>
      <c r="D10177">
        <v>45000</v>
      </c>
      <c r="G10177">
        <v>44811</v>
      </c>
      <c r="H10177">
        <v>2022</v>
      </c>
      <c r="I10177" t="s">
        <v>50</v>
      </c>
    </row>
    <row r="10178" spans="1:9" x14ac:dyDescent="0.3">
      <c r="A10178" t="s">
        <v>54</v>
      </c>
      <c r="G10178">
        <v>44811</v>
      </c>
      <c r="H10178">
        <v>2022</v>
      </c>
      <c r="I10178" t="s">
        <v>50</v>
      </c>
    </row>
    <row r="10179" spans="1:9" x14ac:dyDescent="0.3">
      <c r="A10179" t="s">
        <v>26</v>
      </c>
      <c r="G10179">
        <v>44811</v>
      </c>
      <c r="H10179">
        <v>2022</v>
      </c>
      <c r="I10179" t="s">
        <v>50</v>
      </c>
    </row>
    <row r="10180" spans="1:9" x14ac:dyDescent="0.3">
      <c r="A10180" t="s">
        <v>22</v>
      </c>
      <c r="B10180">
        <v>108000</v>
      </c>
      <c r="G10180">
        <v>44811</v>
      </c>
      <c r="H10180">
        <v>2022</v>
      </c>
      <c r="I10180" t="s">
        <v>50</v>
      </c>
    </row>
    <row r="10181" spans="1:9" x14ac:dyDescent="0.3">
      <c r="A10181" t="s">
        <v>61</v>
      </c>
      <c r="G10181">
        <v>44811</v>
      </c>
      <c r="H10181">
        <v>2022</v>
      </c>
      <c r="I10181" t="s">
        <v>50</v>
      </c>
    </row>
    <row r="10182" spans="1:9" x14ac:dyDescent="0.3">
      <c r="A10182" t="s">
        <v>19</v>
      </c>
      <c r="B10182">
        <v>432000</v>
      </c>
      <c r="G10182">
        <v>44811</v>
      </c>
      <c r="H10182">
        <v>2022</v>
      </c>
      <c r="I10182" t="s">
        <v>50</v>
      </c>
    </row>
    <row r="10183" spans="1:9" x14ac:dyDescent="0.3">
      <c r="A10183" t="s">
        <v>14</v>
      </c>
      <c r="B10183">
        <v>431500</v>
      </c>
      <c r="G10183">
        <v>44811</v>
      </c>
      <c r="H10183">
        <v>2022</v>
      </c>
      <c r="I10183" t="s">
        <v>50</v>
      </c>
    </row>
    <row r="10184" spans="1:9" x14ac:dyDescent="0.3">
      <c r="A10184" t="s">
        <v>24</v>
      </c>
      <c r="G10184">
        <v>44811</v>
      </c>
      <c r="H10184">
        <v>2022</v>
      </c>
      <c r="I10184" t="s">
        <v>50</v>
      </c>
    </row>
    <row r="10185" spans="1:9" x14ac:dyDescent="0.3">
      <c r="A10185" t="s">
        <v>21</v>
      </c>
      <c r="B10185">
        <v>162000</v>
      </c>
      <c r="G10185">
        <v>44811</v>
      </c>
      <c r="H10185">
        <v>2022</v>
      </c>
      <c r="I10185" t="s">
        <v>50</v>
      </c>
    </row>
    <row r="10186" spans="1:9" x14ac:dyDescent="0.3">
      <c r="A10186" t="s">
        <v>65</v>
      </c>
      <c r="G10186">
        <v>44811</v>
      </c>
      <c r="H10186">
        <v>2022</v>
      </c>
      <c r="I10186" t="s">
        <v>50</v>
      </c>
    </row>
    <row r="10187" spans="1:9" x14ac:dyDescent="0.3">
      <c r="A10187" t="s">
        <v>18</v>
      </c>
      <c r="G10187">
        <v>44811</v>
      </c>
      <c r="H10187">
        <v>2022</v>
      </c>
      <c r="I10187" t="s">
        <v>50</v>
      </c>
    </row>
    <row r="10188" spans="1:9" x14ac:dyDescent="0.3">
      <c r="A10188" t="s">
        <v>16</v>
      </c>
      <c r="C10188">
        <v>50000</v>
      </c>
      <c r="G10188">
        <v>44811</v>
      </c>
      <c r="H10188">
        <v>2022</v>
      </c>
      <c r="I10188" t="s">
        <v>50</v>
      </c>
    </row>
    <row r="10189" spans="1:9" x14ac:dyDescent="0.3">
      <c r="A10189" t="s">
        <v>20</v>
      </c>
      <c r="G10189">
        <v>44812</v>
      </c>
      <c r="H10189">
        <v>2022</v>
      </c>
      <c r="I10189" t="s">
        <v>50</v>
      </c>
    </row>
    <row r="10190" spans="1:9" x14ac:dyDescent="0.3">
      <c r="A10190" t="s">
        <v>37</v>
      </c>
      <c r="C10190">
        <v>90000</v>
      </c>
      <c r="G10190">
        <v>44812</v>
      </c>
      <c r="H10190">
        <v>2022</v>
      </c>
      <c r="I10190" t="s">
        <v>50</v>
      </c>
    </row>
    <row r="10191" spans="1:9" x14ac:dyDescent="0.3">
      <c r="A10191" t="s">
        <v>17</v>
      </c>
      <c r="G10191">
        <v>44812</v>
      </c>
      <c r="H10191">
        <v>2022</v>
      </c>
      <c r="I10191" t="s">
        <v>50</v>
      </c>
    </row>
    <row r="10192" spans="1:9" x14ac:dyDescent="0.3">
      <c r="A10192" t="s">
        <v>0</v>
      </c>
      <c r="C10192">
        <v>54000</v>
      </c>
      <c r="G10192">
        <v>44812</v>
      </c>
      <c r="H10192">
        <v>2022</v>
      </c>
      <c r="I10192" t="s">
        <v>50</v>
      </c>
    </row>
    <row r="10193" spans="1:9" x14ac:dyDescent="0.3">
      <c r="A10193" t="s">
        <v>25</v>
      </c>
      <c r="G10193">
        <v>44812</v>
      </c>
      <c r="H10193">
        <v>2022</v>
      </c>
      <c r="I10193" t="s">
        <v>50</v>
      </c>
    </row>
    <row r="10194" spans="1:9" x14ac:dyDescent="0.3">
      <c r="A10194" t="s">
        <v>15</v>
      </c>
      <c r="B10194">
        <v>756000</v>
      </c>
      <c r="C10194">
        <v>54000</v>
      </c>
      <c r="G10194">
        <v>44812</v>
      </c>
      <c r="H10194">
        <v>2022</v>
      </c>
      <c r="I10194" t="s">
        <v>50</v>
      </c>
    </row>
    <row r="10195" spans="1:9" x14ac:dyDescent="0.3">
      <c r="A10195" t="s">
        <v>54</v>
      </c>
      <c r="G10195">
        <v>44812</v>
      </c>
      <c r="H10195">
        <v>2022</v>
      </c>
      <c r="I10195" t="s">
        <v>50</v>
      </c>
    </row>
    <row r="10196" spans="1:9" x14ac:dyDescent="0.3">
      <c r="A10196" t="s">
        <v>26</v>
      </c>
      <c r="G10196">
        <v>44812</v>
      </c>
      <c r="H10196">
        <v>2022</v>
      </c>
      <c r="I10196" t="s">
        <v>50</v>
      </c>
    </row>
    <row r="10197" spans="1:9" x14ac:dyDescent="0.3">
      <c r="A10197" t="s">
        <v>22</v>
      </c>
      <c r="G10197">
        <v>44812</v>
      </c>
      <c r="H10197">
        <v>2022</v>
      </c>
      <c r="I10197" t="s">
        <v>50</v>
      </c>
    </row>
    <row r="10198" spans="1:9" x14ac:dyDescent="0.3">
      <c r="A10198" t="s">
        <v>61</v>
      </c>
      <c r="G10198">
        <v>44812</v>
      </c>
      <c r="H10198">
        <v>2022</v>
      </c>
      <c r="I10198" t="s">
        <v>50</v>
      </c>
    </row>
    <row r="10199" spans="1:9" x14ac:dyDescent="0.3">
      <c r="A10199" t="s">
        <v>19</v>
      </c>
      <c r="B10199">
        <v>54000</v>
      </c>
      <c r="G10199">
        <v>44812</v>
      </c>
      <c r="H10199">
        <v>2022</v>
      </c>
      <c r="I10199" t="s">
        <v>50</v>
      </c>
    </row>
    <row r="10200" spans="1:9" x14ac:dyDescent="0.3">
      <c r="A10200" t="s">
        <v>14</v>
      </c>
      <c r="B10200">
        <v>590000</v>
      </c>
      <c r="G10200">
        <v>44812</v>
      </c>
      <c r="H10200">
        <v>2022</v>
      </c>
      <c r="I10200" t="s">
        <v>50</v>
      </c>
    </row>
    <row r="10201" spans="1:9" x14ac:dyDescent="0.3">
      <c r="A10201" t="s">
        <v>24</v>
      </c>
      <c r="G10201">
        <v>44812</v>
      </c>
      <c r="H10201">
        <v>2022</v>
      </c>
      <c r="I10201" t="s">
        <v>50</v>
      </c>
    </row>
    <row r="10202" spans="1:9" x14ac:dyDescent="0.3">
      <c r="A10202" t="s">
        <v>21</v>
      </c>
      <c r="G10202">
        <v>44812</v>
      </c>
      <c r="H10202">
        <v>2022</v>
      </c>
      <c r="I10202" t="s">
        <v>50</v>
      </c>
    </row>
    <row r="10203" spans="1:9" x14ac:dyDescent="0.3">
      <c r="A10203" t="s">
        <v>65</v>
      </c>
      <c r="G10203">
        <v>44812</v>
      </c>
      <c r="H10203">
        <v>2022</v>
      </c>
      <c r="I10203" t="s">
        <v>50</v>
      </c>
    </row>
    <row r="10204" spans="1:9" x14ac:dyDescent="0.3">
      <c r="A10204" t="s">
        <v>18</v>
      </c>
      <c r="G10204">
        <v>44812</v>
      </c>
      <c r="H10204">
        <v>2022</v>
      </c>
      <c r="I10204" t="s">
        <v>50</v>
      </c>
    </row>
    <row r="10205" spans="1:9" x14ac:dyDescent="0.3">
      <c r="A10205" t="s">
        <v>16</v>
      </c>
      <c r="G10205">
        <v>44812</v>
      </c>
      <c r="H10205">
        <v>2022</v>
      </c>
      <c r="I10205" t="s">
        <v>50</v>
      </c>
    </row>
    <row r="10206" spans="1:9" x14ac:dyDescent="0.3">
      <c r="A10206" t="s">
        <v>20</v>
      </c>
      <c r="G10206">
        <v>44812</v>
      </c>
      <c r="H10206">
        <v>2022</v>
      </c>
      <c r="I10206" t="s">
        <v>50</v>
      </c>
    </row>
    <row r="10207" spans="1:9" x14ac:dyDescent="0.3">
      <c r="A10207" t="s">
        <v>37</v>
      </c>
      <c r="G10207">
        <v>44812</v>
      </c>
      <c r="H10207">
        <v>2022</v>
      </c>
      <c r="I10207" t="s">
        <v>50</v>
      </c>
    </row>
    <row r="10208" spans="1:9" x14ac:dyDescent="0.3">
      <c r="A10208" t="s">
        <v>17</v>
      </c>
      <c r="G10208">
        <v>44812</v>
      </c>
      <c r="H10208">
        <v>2022</v>
      </c>
      <c r="I10208" t="s">
        <v>50</v>
      </c>
    </row>
    <row r="10209" spans="1:9" x14ac:dyDescent="0.3">
      <c r="A10209" t="s">
        <v>0</v>
      </c>
      <c r="G10209">
        <v>44812</v>
      </c>
      <c r="H10209">
        <v>2022</v>
      </c>
      <c r="I10209" t="s">
        <v>50</v>
      </c>
    </row>
    <row r="10210" spans="1:9" x14ac:dyDescent="0.3">
      <c r="A10210" t="s">
        <v>25</v>
      </c>
      <c r="G10210">
        <v>44812</v>
      </c>
      <c r="H10210">
        <v>2022</v>
      </c>
      <c r="I10210" t="s">
        <v>50</v>
      </c>
    </row>
    <row r="10211" spans="1:9" x14ac:dyDescent="0.3">
      <c r="A10211" t="s">
        <v>15</v>
      </c>
      <c r="B10211">
        <v>752000</v>
      </c>
      <c r="D10211">
        <v>90000</v>
      </c>
      <c r="G10211">
        <v>44812</v>
      </c>
      <c r="H10211">
        <v>2022</v>
      </c>
      <c r="I10211" t="s">
        <v>50</v>
      </c>
    </row>
    <row r="10212" spans="1:9" x14ac:dyDescent="0.3">
      <c r="A10212" t="s">
        <v>54</v>
      </c>
      <c r="C10212">
        <v>918000</v>
      </c>
      <c r="E10212">
        <v>270000</v>
      </c>
      <c r="G10212">
        <v>44812</v>
      </c>
      <c r="H10212">
        <v>2022</v>
      </c>
      <c r="I10212" t="s">
        <v>50</v>
      </c>
    </row>
    <row r="10213" spans="1:9" x14ac:dyDescent="0.3">
      <c r="A10213" t="s">
        <v>26</v>
      </c>
      <c r="G10213">
        <v>44812</v>
      </c>
      <c r="H10213">
        <v>2022</v>
      </c>
      <c r="I10213" t="s">
        <v>50</v>
      </c>
    </row>
    <row r="10214" spans="1:9" x14ac:dyDescent="0.3">
      <c r="A10214" t="s">
        <v>22</v>
      </c>
      <c r="G10214">
        <v>44812</v>
      </c>
      <c r="H10214">
        <v>2022</v>
      </c>
      <c r="I10214" t="s">
        <v>50</v>
      </c>
    </row>
    <row r="10215" spans="1:9" x14ac:dyDescent="0.3">
      <c r="A10215" t="s">
        <v>61</v>
      </c>
      <c r="G10215">
        <v>44812</v>
      </c>
      <c r="H10215">
        <v>2022</v>
      </c>
      <c r="I10215" t="s">
        <v>50</v>
      </c>
    </row>
    <row r="10216" spans="1:9" x14ac:dyDescent="0.3">
      <c r="A10216" t="s">
        <v>19</v>
      </c>
      <c r="B10216">
        <v>54000</v>
      </c>
      <c r="G10216">
        <v>44812</v>
      </c>
      <c r="H10216">
        <v>2022</v>
      </c>
      <c r="I10216" t="s">
        <v>50</v>
      </c>
    </row>
    <row r="10217" spans="1:9" x14ac:dyDescent="0.3">
      <c r="A10217" t="s">
        <v>14</v>
      </c>
      <c r="B10217">
        <v>1121000</v>
      </c>
      <c r="G10217">
        <v>44812</v>
      </c>
      <c r="H10217">
        <v>2022</v>
      </c>
      <c r="I10217" t="s">
        <v>50</v>
      </c>
    </row>
    <row r="10218" spans="1:9" x14ac:dyDescent="0.3">
      <c r="A10218" t="s">
        <v>24</v>
      </c>
      <c r="G10218">
        <v>44812</v>
      </c>
      <c r="H10218">
        <v>2022</v>
      </c>
      <c r="I10218" t="s">
        <v>50</v>
      </c>
    </row>
    <row r="10219" spans="1:9" x14ac:dyDescent="0.3">
      <c r="A10219" t="s">
        <v>21</v>
      </c>
      <c r="G10219">
        <v>44812</v>
      </c>
      <c r="H10219">
        <v>2022</v>
      </c>
      <c r="I10219" t="s">
        <v>50</v>
      </c>
    </row>
    <row r="10220" spans="1:9" x14ac:dyDescent="0.3">
      <c r="A10220" t="s">
        <v>65</v>
      </c>
      <c r="G10220">
        <v>44812</v>
      </c>
      <c r="H10220">
        <v>2022</v>
      </c>
      <c r="I10220" t="s">
        <v>50</v>
      </c>
    </row>
    <row r="10221" spans="1:9" x14ac:dyDescent="0.3">
      <c r="A10221" t="s">
        <v>18</v>
      </c>
      <c r="G10221">
        <v>44812</v>
      </c>
      <c r="H10221">
        <v>2022</v>
      </c>
      <c r="I10221" t="s">
        <v>50</v>
      </c>
    </row>
    <row r="10222" spans="1:9" x14ac:dyDescent="0.3">
      <c r="A10222" t="s">
        <v>16</v>
      </c>
      <c r="G10222">
        <v>44812</v>
      </c>
      <c r="H10222">
        <v>2022</v>
      </c>
      <c r="I10222" t="s">
        <v>50</v>
      </c>
    </row>
    <row r="10223" spans="1:9" x14ac:dyDescent="0.3">
      <c r="A10223" t="s">
        <v>20</v>
      </c>
      <c r="G10223">
        <v>44816</v>
      </c>
      <c r="H10223">
        <v>2022</v>
      </c>
      <c r="I10223" t="s">
        <v>50</v>
      </c>
    </row>
    <row r="10224" spans="1:9" x14ac:dyDescent="0.3">
      <c r="A10224" t="s">
        <v>37</v>
      </c>
      <c r="G10224">
        <v>44816</v>
      </c>
      <c r="H10224">
        <v>2022</v>
      </c>
      <c r="I10224" t="s">
        <v>50</v>
      </c>
    </row>
    <row r="10225" spans="1:9" x14ac:dyDescent="0.3">
      <c r="A10225" t="s">
        <v>17</v>
      </c>
      <c r="G10225">
        <v>44816</v>
      </c>
      <c r="H10225">
        <v>2022</v>
      </c>
      <c r="I10225" t="s">
        <v>50</v>
      </c>
    </row>
    <row r="10226" spans="1:9" x14ac:dyDescent="0.3">
      <c r="A10226" t="s">
        <v>0</v>
      </c>
      <c r="G10226">
        <v>44816</v>
      </c>
      <c r="H10226">
        <v>2022</v>
      </c>
      <c r="I10226" t="s">
        <v>50</v>
      </c>
    </row>
    <row r="10227" spans="1:9" x14ac:dyDescent="0.3">
      <c r="A10227" t="s">
        <v>25</v>
      </c>
      <c r="G10227">
        <v>44816</v>
      </c>
      <c r="H10227">
        <v>2022</v>
      </c>
      <c r="I10227" t="s">
        <v>50</v>
      </c>
    </row>
    <row r="10228" spans="1:9" x14ac:dyDescent="0.3">
      <c r="A10228" t="s">
        <v>15</v>
      </c>
      <c r="B10228">
        <v>378000</v>
      </c>
      <c r="G10228">
        <v>44816</v>
      </c>
      <c r="H10228">
        <v>2022</v>
      </c>
      <c r="I10228" t="s">
        <v>50</v>
      </c>
    </row>
    <row r="10229" spans="1:9" x14ac:dyDescent="0.3">
      <c r="A10229" t="s">
        <v>54</v>
      </c>
      <c r="G10229">
        <v>44816</v>
      </c>
      <c r="H10229">
        <v>2022</v>
      </c>
      <c r="I10229" t="s">
        <v>50</v>
      </c>
    </row>
    <row r="10230" spans="1:9" x14ac:dyDescent="0.3">
      <c r="A10230" t="s">
        <v>26</v>
      </c>
      <c r="G10230">
        <v>44816</v>
      </c>
      <c r="H10230">
        <v>2022</v>
      </c>
      <c r="I10230" t="s">
        <v>50</v>
      </c>
    </row>
    <row r="10231" spans="1:9" x14ac:dyDescent="0.3">
      <c r="A10231" t="s">
        <v>22</v>
      </c>
      <c r="G10231">
        <v>44816</v>
      </c>
      <c r="H10231">
        <v>2022</v>
      </c>
      <c r="I10231" t="s">
        <v>50</v>
      </c>
    </row>
    <row r="10232" spans="1:9" x14ac:dyDescent="0.3">
      <c r="A10232" t="s">
        <v>61</v>
      </c>
      <c r="G10232">
        <v>44816</v>
      </c>
      <c r="H10232">
        <v>2022</v>
      </c>
      <c r="I10232" t="s">
        <v>50</v>
      </c>
    </row>
    <row r="10233" spans="1:9" x14ac:dyDescent="0.3">
      <c r="A10233" t="s">
        <v>19</v>
      </c>
      <c r="G10233">
        <v>44816</v>
      </c>
      <c r="H10233">
        <v>2022</v>
      </c>
      <c r="I10233" t="s">
        <v>50</v>
      </c>
    </row>
    <row r="10234" spans="1:9" x14ac:dyDescent="0.3">
      <c r="A10234" t="s">
        <v>14</v>
      </c>
      <c r="C10234">
        <v>427500</v>
      </c>
      <c r="G10234">
        <v>44816</v>
      </c>
      <c r="H10234">
        <v>2022</v>
      </c>
      <c r="I10234" t="s">
        <v>50</v>
      </c>
    </row>
    <row r="10235" spans="1:9" x14ac:dyDescent="0.3">
      <c r="A10235" t="s">
        <v>24</v>
      </c>
      <c r="G10235">
        <v>44816</v>
      </c>
      <c r="H10235">
        <v>2022</v>
      </c>
      <c r="I10235" t="s">
        <v>50</v>
      </c>
    </row>
    <row r="10236" spans="1:9" x14ac:dyDescent="0.3">
      <c r="A10236" t="s">
        <v>21</v>
      </c>
      <c r="B10236">
        <v>45000</v>
      </c>
      <c r="G10236">
        <v>44816</v>
      </c>
      <c r="H10236">
        <v>2022</v>
      </c>
      <c r="I10236" t="s">
        <v>50</v>
      </c>
    </row>
    <row r="10237" spans="1:9" x14ac:dyDescent="0.3">
      <c r="A10237" t="s">
        <v>65</v>
      </c>
      <c r="G10237">
        <v>44816</v>
      </c>
      <c r="H10237">
        <v>2022</v>
      </c>
      <c r="I10237" t="s">
        <v>50</v>
      </c>
    </row>
    <row r="10238" spans="1:9" x14ac:dyDescent="0.3">
      <c r="A10238" t="s">
        <v>67</v>
      </c>
      <c r="B10238">
        <v>369500</v>
      </c>
      <c r="G10238">
        <v>44816</v>
      </c>
      <c r="H10238">
        <v>2022</v>
      </c>
      <c r="I10238" t="s">
        <v>50</v>
      </c>
    </row>
    <row r="10239" spans="1:9" x14ac:dyDescent="0.3">
      <c r="A10239" t="s">
        <v>18</v>
      </c>
      <c r="G10239">
        <v>44816</v>
      </c>
      <c r="H10239">
        <v>2022</v>
      </c>
      <c r="I10239" t="s">
        <v>50</v>
      </c>
    </row>
    <row r="10240" spans="1:9" x14ac:dyDescent="0.3">
      <c r="A10240" t="s">
        <v>16</v>
      </c>
      <c r="G10240">
        <v>44816</v>
      </c>
      <c r="H10240">
        <v>2022</v>
      </c>
      <c r="I10240" t="s">
        <v>50</v>
      </c>
    </row>
    <row r="10241" spans="1:9" x14ac:dyDescent="0.3">
      <c r="A10241" t="s">
        <v>20</v>
      </c>
      <c r="G10241">
        <v>44817</v>
      </c>
      <c r="H10241">
        <v>2022</v>
      </c>
      <c r="I10241" t="s">
        <v>50</v>
      </c>
    </row>
    <row r="10242" spans="1:9" x14ac:dyDescent="0.3">
      <c r="A10242" t="s">
        <v>37</v>
      </c>
      <c r="G10242">
        <v>44817</v>
      </c>
      <c r="H10242">
        <v>2022</v>
      </c>
      <c r="I10242" t="s">
        <v>50</v>
      </c>
    </row>
    <row r="10243" spans="1:9" x14ac:dyDescent="0.3">
      <c r="A10243" t="s">
        <v>17</v>
      </c>
      <c r="B10243">
        <v>540000</v>
      </c>
      <c r="D10243">
        <v>324000</v>
      </c>
      <c r="G10243">
        <v>44817</v>
      </c>
      <c r="H10243">
        <v>2022</v>
      </c>
      <c r="I10243" t="s">
        <v>50</v>
      </c>
    </row>
    <row r="10244" spans="1:9" x14ac:dyDescent="0.3">
      <c r="A10244" t="s">
        <v>0</v>
      </c>
      <c r="G10244">
        <v>44817</v>
      </c>
      <c r="H10244">
        <v>2022</v>
      </c>
      <c r="I10244" t="s">
        <v>50</v>
      </c>
    </row>
    <row r="10245" spans="1:9" x14ac:dyDescent="0.3">
      <c r="A10245" t="s">
        <v>25</v>
      </c>
      <c r="G10245">
        <v>44817</v>
      </c>
      <c r="H10245">
        <v>2022</v>
      </c>
      <c r="I10245" t="s">
        <v>50</v>
      </c>
    </row>
    <row r="10246" spans="1:9" x14ac:dyDescent="0.3">
      <c r="A10246" t="s">
        <v>15</v>
      </c>
      <c r="G10246">
        <v>44817</v>
      </c>
      <c r="H10246">
        <v>2022</v>
      </c>
      <c r="I10246" t="s">
        <v>50</v>
      </c>
    </row>
    <row r="10247" spans="1:9" x14ac:dyDescent="0.3">
      <c r="A10247" t="s">
        <v>54</v>
      </c>
      <c r="B10247">
        <v>108000</v>
      </c>
      <c r="G10247">
        <v>44817</v>
      </c>
      <c r="H10247">
        <v>2022</v>
      </c>
      <c r="I10247" t="s">
        <v>50</v>
      </c>
    </row>
    <row r="10248" spans="1:9" x14ac:dyDescent="0.3">
      <c r="A10248" t="s">
        <v>26</v>
      </c>
      <c r="G10248">
        <v>44817</v>
      </c>
      <c r="H10248">
        <v>2022</v>
      </c>
      <c r="I10248" t="s">
        <v>50</v>
      </c>
    </row>
    <row r="10249" spans="1:9" x14ac:dyDescent="0.3">
      <c r="A10249" t="s">
        <v>22</v>
      </c>
      <c r="G10249">
        <v>44817</v>
      </c>
      <c r="H10249">
        <v>2022</v>
      </c>
      <c r="I10249" t="s">
        <v>50</v>
      </c>
    </row>
    <row r="10250" spans="1:9" x14ac:dyDescent="0.3">
      <c r="A10250" t="s">
        <v>61</v>
      </c>
      <c r="G10250">
        <v>44817</v>
      </c>
      <c r="H10250">
        <v>2022</v>
      </c>
      <c r="I10250" t="s">
        <v>50</v>
      </c>
    </row>
    <row r="10251" spans="1:9" x14ac:dyDescent="0.3">
      <c r="A10251" t="s">
        <v>19</v>
      </c>
      <c r="G10251">
        <v>44817</v>
      </c>
      <c r="H10251">
        <v>2022</v>
      </c>
      <c r="I10251" t="s">
        <v>50</v>
      </c>
    </row>
    <row r="10252" spans="1:9" x14ac:dyDescent="0.3">
      <c r="A10252" t="s">
        <v>14</v>
      </c>
      <c r="C10252">
        <v>486000</v>
      </c>
      <c r="G10252">
        <v>44817</v>
      </c>
      <c r="H10252">
        <v>2022</v>
      </c>
      <c r="I10252" t="s">
        <v>50</v>
      </c>
    </row>
    <row r="10253" spans="1:9" x14ac:dyDescent="0.3">
      <c r="A10253" t="s">
        <v>24</v>
      </c>
      <c r="G10253">
        <v>44817</v>
      </c>
      <c r="H10253">
        <v>2022</v>
      </c>
      <c r="I10253" t="s">
        <v>50</v>
      </c>
    </row>
    <row r="10254" spans="1:9" x14ac:dyDescent="0.3">
      <c r="A10254" t="s">
        <v>21</v>
      </c>
      <c r="G10254">
        <v>44817</v>
      </c>
      <c r="H10254">
        <v>2022</v>
      </c>
      <c r="I10254" t="s">
        <v>50</v>
      </c>
    </row>
    <row r="10255" spans="1:9" x14ac:dyDescent="0.3">
      <c r="A10255" t="s">
        <v>65</v>
      </c>
      <c r="G10255">
        <v>44817</v>
      </c>
      <c r="H10255">
        <v>2022</v>
      </c>
      <c r="I10255" t="s">
        <v>50</v>
      </c>
    </row>
    <row r="10256" spans="1:9" x14ac:dyDescent="0.3">
      <c r="A10256" t="s">
        <v>67</v>
      </c>
      <c r="G10256">
        <v>44817</v>
      </c>
      <c r="H10256">
        <v>2022</v>
      </c>
      <c r="I10256" t="s">
        <v>50</v>
      </c>
    </row>
    <row r="10257" spans="1:9" x14ac:dyDescent="0.3">
      <c r="A10257" t="s">
        <v>18</v>
      </c>
      <c r="G10257">
        <v>44817</v>
      </c>
      <c r="H10257">
        <v>2022</v>
      </c>
      <c r="I10257" t="s">
        <v>50</v>
      </c>
    </row>
    <row r="10258" spans="1:9" x14ac:dyDescent="0.3">
      <c r="A10258" t="s">
        <v>16</v>
      </c>
      <c r="G10258">
        <v>44817</v>
      </c>
      <c r="H10258">
        <v>2022</v>
      </c>
      <c r="I10258" t="s">
        <v>50</v>
      </c>
    </row>
    <row r="10259" spans="1:9" x14ac:dyDescent="0.3">
      <c r="A10259" t="s">
        <v>20</v>
      </c>
      <c r="G10259">
        <v>44817</v>
      </c>
      <c r="H10259">
        <v>2022</v>
      </c>
      <c r="I10259" t="s">
        <v>50</v>
      </c>
    </row>
    <row r="10260" spans="1:9" x14ac:dyDescent="0.3">
      <c r="A10260" t="s">
        <v>37</v>
      </c>
      <c r="G10260">
        <v>44817</v>
      </c>
      <c r="H10260">
        <v>2022</v>
      </c>
      <c r="I10260" t="s">
        <v>50</v>
      </c>
    </row>
    <row r="10261" spans="1:9" x14ac:dyDescent="0.3">
      <c r="A10261" t="s">
        <v>17</v>
      </c>
      <c r="B10261">
        <v>414500</v>
      </c>
      <c r="D10261">
        <v>675000</v>
      </c>
      <c r="G10261">
        <v>44817</v>
      </c>
      <c r="H10261">
        <v>2022</v>
      </c>
      <c r="I10261" t="s">
        <v>50</v>
      </c>
    </row>
    <row r="10262" spans="1:9" x14ac:dyDescent="0.3">
      <c r="A10262" t="s">
        <v>0</v>
      </c>
      <c r="G10262">
        <v>44817</v>
      </c>
      <c r="H10262">
        <v>2022</v>
      </c>
      <c r="I10262" t="s">
        <v>50</v>
      </c>
    </row>
    <row r="10263" spans="1:9" x14ac:dyDescent="0.3">
      <c r="A10263" t="s">
        <v>25</v>
      </c>
      <c r="G10263">
        <v>44817</v>
      </c>
      <c r="H10263">
        <v>2022</v>
      </c>
      <c r="I10263" t="s">
        <v>50</v>
      </c>
    </row>
    <row r="10264" spans="1:9" x14ac:dyDescent="0.3">
      <c r="A10264" t="s">
        <v>15</v>
      </c>
      <c r="G10264">
        <v>44817</v>
      </c>
      <c r="H10264">
        <v>2022</v>
      </c>
      <c r="I10264" t="s">
        <v>50</v>
      </c>
    </row>
    <row r="10265" spans="1:9" x14ac:dyDescent="0.3">
      <c r="A10265" t="s">
        <v>54</v>
      </c>
      <c r="B10265">
        <v>1026000</v>
      </c>
      <c r="G10265">
        <v>44817</v>
      </c>
      <c r="H10265">
        <v>2022</v>
      </c>
      <c r="I10265" t="s">
        <v>50</v>
      </c>
    </row>
    <row r="10266" spans="1:9" x14ac:dyDescent="0.3">
      <c r="A10266" t="s">
        <v>26</v>
      </c>
      <c r="G10266">
        <v>44817</v>
      </c>
      <c r="H10266">
        <v>2022</v>
      </c>
      <c r="I10266" t="s">
        <v>50</v>
      </c>
    </row>
    <row r="10267" spans="1:9" x14ac:dyDescent="0.3">
      <c r="A10267" t="s">
        <v>22</v>
      </c>
      <c r="G10267">
        <v>44817</v>
      </c>
      <c r="H10267">
        <v>2022</v>
      </c>
      <c r="I10267" t="s">
        <v>50</v>
      </c>
    </row>
    <row r="10268" spans="1:9" x14ac:dyDescent="0.3">
      <c r="A10268" t="s">
        <v>61</v>
      </c>
      <c r="G10268">
        <v>44817</v>
      </c>
      <c r="H10268">
        <v>2022</v>
      </c>
      <c r="I10268" t="s">
        <v>50</v>
      </c>
    </row>
    <row r="10269" spans="1:9" x14ac:dyDescent="0.3">
      <c r="A10269" t="s">
        <v>19</v>
      </c>
      <c r="G10269">
        <v>44817</v>
      </c>
      <c r="H10269">
        <v>2022</v>
      </c>
      <c r="I10269" t="s">
        <v>50</v>
      </c>
    </row>
    <row r="10270" spans="1:9" x14ac:dyDescent="0.3">
      <c r="A10270" t="s">
        <v>14</v>
      </c>
      <c r="C10270">
        <v>324000</v>
      </c>
      <c r="G10270">
        <v>44817</v>
      </c>
      <c r="H10270">
        <v>2022</v>
      </c>
      <c r="I10270" t="s">
        <v>50</v>
      </c>
    </row>
    <row r="10271" spans="1:9" x14ac:dyDescent="0.3">
      <c r="A10271" t="s">
        <v>24</v>
      </c>
      <c r="G10271">
        <v>44817</v>
      </c>
      <c r="H10271">
        <v>2022</v>
      </c>
      <c r="I10271" t="s">
        <v>50</v>
      </c>
    </row>
    <row r="10272" spans="1:9" x14ac:dyDescent="0.3">
      <c r="A10272" t="s">
        <v>21</v>
      </c>
      <c r="G10272">
        <v>44817</v>
      </c>
      <c r="H10272">
        <v>2022</v>
      </c>
      <c r="I10272" t="s">
        <v>50</v>
      </c>
    </row>
    <row r="10273" spans="1:9" x14ac:dyDescent="0.3">
      <c r="A10273" t="s">
        <v>65</v>
      </c>
      <c r="G10273">
        <v>44817</v>
      </c>
      <c r="H10273">
        <v>2022</v>
      </c>
      <c r="I10273" t="s">
        <v>50</v>
      </c>
    </row>
    <row r="10274" spans="1:9" x14ac:dyDescent="0.3">
      <c r="A10274" t="s">
        <v>67</v>
      </c>
      <c r="G10274">
        <v>44817</v>
      </c>
      <c r="H10274">
        <v>2022</v>
      </c>
      <c r="I10274" t="s">
        <v>50</v>
      </c>
    </row>
    <row r="10275" spans="1:9" x14ac:dyDescent="0.3">
      <c r="A10275" t="s">
        <v>18</v>
      </c>
      <c r="G10275">
        <v>44817</v>
      </c>
      <c r="H10275">
        <v>2022</v>
      </c>
      <c r="I10275" t="s">
        <v>50</v>
      </c>
    </row>
    <row r="10276" spans="1:9" x14ac:dyDescent="0.3">
      <c r="A10276" t="s">
        <v>16</v>
      </c>
      <c r="G10276">
        <v>44817</v>
      </c>
      <c r="H10276">
        <v>2022</v>
      </c>
      <c r="I10276" t="s">
        <v>50</v>
      </c>
    </row>
    <row r="10277" spans="1:9" x14ac:dyDescent="0.3">
      <c r="A10277" t="s">
        <v>20</v>
      </c>
      <c r="G10277">
        <v>44819</v>
      </c>
      <c r="H10277">
        <v>2022</v>
      </c>
      <c r="I10277" t="s">
        <v>50</v>
      </c>
    </row>
    <row r="10278" spans="1:9" x14ac:dyDescent="0.3">
      <c r="A10278" t="s">
        <v>37</v>
      </c>
      <c r="G10278">
        <v>44819</v>
      </c>
      <c r="H10278">
        <v>2022</v>
      </c>
      <c r="I10278" t="s">
        <v>50</v>
      </c>
    </row>
    <row r="10279" spans="1:9" x14ac:dyDescent="0.3">
      <c r="A10279" t="s">
        <v>17</v>
      </c>
      <c r="G10279">
        <v>44819</v>
      </c>
      <c r="H10279">
        <v>2022</v>
      </c>
      <c r="I10279" t="s">
        <v>50</v>
      </c>
    </row>
    <row r="10280" spans="1:9" x14ac:dyDescent="0.3">
      <c r="A10280" t="s">
        <v>0</v>
      </c>
      <c r="G10280">
        <v>44819</v>
      </c>
      <c r="H10280">
        <v>2022</v>
      </c>
      <c r="I10280" t="s">
        <v>50</v>
      </c>
    </row>
    <row r="10281" spans="1:9" x14ac:dyDescent="0.3">
      <c r="A10281" t="s">
        <v>25</v>
      </c>
      <c r="G10281">
        <v>44819</v>
      </c>
      <c r="H10281">
        <v>2022</v>
      </c>
      <c r="I10281" t="s">
        <v>50</v>
      </c>
    </row>
    <row r="10282" spans="1:9" x14ac:dyDescent="0.3">
      <c r="A10282" t="s">
        <v>15</v>
      </c>
      <c r="G10282">
        <v>44819</v>
      </c>
      <c r="H10282">
        <v>2022</v>
      </c>
      <c r="I10282" t="s">
        <v>50</v>
      </c>
    </row>
    <row r="10283" spans="1:9" x14ac:dyDescent="0.3">
      <c r="A10283" t="s">
        <v>54</v>
      </c>
      <c r="B10283">
        <v>536000</v>
      </c>
      <c r="D10283">
        <v>270000</v>
      </c>
      <c r="G10283">
        <v>44819</v>
      </c>
      <c r="H10283">
        <v>2022</v>
      </c>
      <c r="I10283" t="s">
        <v>50</v>
      </c>
    </row>
    <row r="10284" spans="1:9" x14ac:dyDescent="0.3">
      <c r="A10284" t="s">
        <v>26</v>
      </c>
      <c r="G10284">
        <v>44819</v>
      </c>
      <c r="H10284">
        <v>2022</v>
      </c>
      <c r="I10284" t="s">
        <v>50</v>
      </c>
    </row>
    <row r="10285" spans="1:9" x14ac:dyDescent="0.3">
      <c r="A10285" t="s">
        <v>22</v>
      </c>
      <c r="G10285">
        <v>44819</v>
      </c>
      <c r="H10285">
        <v>2022</v>
      </c>
      <c r="I10285" t="s">
        <v>50</v>
      </c>
    </row>
    <row r="10286" spans="1:9" x14ac:dyDescent="0.3">
      <c r="A10286" t="s">
        <v>61</v>
      </c>
      <c r="G10286">
        <v>44819</v>
      </c>
      <c r="H10286">
        <v>2022</v>
      </c>
      <c r="I10286" t="s">
        <v>50</v>
      </c>
    </row>
    <row r="10287" spans="1:9" x14ac:dyDescent="0.3">
      <c r="A10287" t="s">
        <v>19</v>
      </c>
      <c r="B10287">
        <v>918000</v>
      </c>
      <c r="C10287">
        <v>846000</v>
      </c>
      <c r="D10287">
        <v>432000</v>
      </c>
      <c r="G10287">
        <v>44819</v>
      </c>
      <c r="H10287">
        <v>2022</v>
      </c>
      <c r="I10287" t="s">
        <v>50</v>
      </c>
    </row>
    <row r="10288" spans="1:9" x14ac:dyDescent="0.3">
      <c r="A10288" t="s">
        <v>14</v>
      </c>
      <c r="G10288">
        <v>44819</v>
      </c>
      <c r="H10288">
        <v>2022</v>
      </c>
      <c r="I10288" t="s">
        <v>50</v>
      </c>
    </row>
    <row r="10289" spans="1:9" x14ac:dyDescent="0.3">
      <c r="A10289" t="s">
        <v>24</v>
      </c>
      <c r="G10289">
        <v>44819</v>
      </c>
      <c r="H10289">
        <v>2022</v>
      </c>
      <c r="I10289" t="s">
        <v>50</v>
      </c>
    </row>
    <row r="10290" spans="1:9" x14ac:dyDescent="0.3">
      <c r="A10290" t="s">
        <v>21</v>
      </c>
      <c r="G10290">
        <v>44819</v>
      </c>
      <c r="H10290">
        <v>2022</v>
      </c>
      <c r="I10290" t="s">
        <v>50</v>
      </c>
    </row>
    <row r="10291" spans="1:9" x14ac:dyDescent="0.3">
      <c r="A10291" t="s">
        <v>65</v>
      </c>
      <c r="G10291">
        <v>44819</v>
      </c>
      <c r="H10291">
        <v>2022</v>
      </c>
      <c r="I10291" t="s">
        <v>50</v>
      </c>
    </row>
    <row r="10292" spans="1:9" x14ac:dyDescent="0.3">
      <c r="A10292" t="s">
        <v>67</v>
      </c>
      <c r="G10292">
        <v>44819</v>
      </c>
      <c r="H10292">
        <v>2022</v>
      </c>
      <c r="I10292" t="s">
        <v>50</v>
      </c>
    </row>
    <row r="10293" spans="1:9" x14ac:dyDescent="0.3">
      <c r="A10293" t="s">
        <v>18</v>
      </c>
      <c r="G10293">
        <v>44819</v>
      </c>
      <c r="H10293">
        <v>2022</v>
      </c>
      <c r="I10293" t="s">
        <v>50</v>
      </c>
    </row>
    <row r="10294" spans="1:9" x14ac:dyDescent="0.3">
      <c r="A10294" t="s">
        <v>16</v>
      </c>
      <c r="G10294">
        <v>44819</v>
      </c>
      <c r="H10294">
        <v>2022</v>
      </c>
      <c r="I10294" t="s">
        <v>50</v>
      </c>
    </row>
    <row r="10295" spans="1:9" x14ac:dyDescent="0.3">
      <c r="A10295" t="s">
        <v>20</v>
      </c>
      <c r="G10295">
        <v>44820</v>
      </c>
      <c r="H10295">
        <v>2022</v>
      </c>
      <c r="I10295" t="s">
        <v>50</v>
      </c>
    </row>
    <row r="10296" spans="1:9" x14ac:dyDescent="0.3">
      <c r="A10296" t="s">
        <v>37</v>
      </c>
      <c r="G10296">
        <v>44820</v>
      </c>
      <c r="H10296">
        <v>2022</v>
      </c>
      <c r="I10296" t="s">
        <v>50</v>
      </c>
    </row>
    <row r="10297" spans="1:9" x14ac:dyDescent="0.3">
      <c r="A10297" t="s">
        <v>17</v>
      </c>
      <c r="B10297">
        <v>594000</v>
      </c>
      <c r="G10297">
        <v>44820</v>
      </c>
      <c r="H10297">
        <v>2022</v>
      </c>
      <c r="I10297" t="s">
        <v>50</v>
      </c>
    </row>
    <row r="10298" spans="1:9" x14ac:dyDescent="0.3">
      <c r="A10298" t="s">
        <v>0</v>
      </c>
      <c r="G10298">
        <v>44820</v>
      </c>
      <c r="H10298">
        <v>2022</v>
      </c>
      <c r="I10298" t="s">
        <v>50</v>
      </c>
    </row>
    <row r="10299" spans="1:9" x14ac:dyDescent="0.3">
      <c r="A10299" t="s">
        <v>25</v>
      </c>
      <c r="G10299">
        <v>44820</v>
      </c>
      <c r="H10299">
        <v>2022</v>
      </c>
      <c r="I10299" t="s">
        <v>50</v>
      </c>
    </row>
    <row r="10300" spans="1:9" x14ac:dyDescent="0.3">
      <c r="A10300" t="s">
        <v>15</v>
      </c>
      <c r="G10300">
        <v>44820</v>
      </c>
      <c r="H10300">
        <v>2022</v>
      </c>
      <c r="I10300" t="s">
        <v>50</v>
      </c>
    </row>
    <row r="10301" spans="1:9" x14ac:dyDescent="0.3">
      <c r="A10301" t="s">
        <v>54</v>
      </c>
      <c r="D10301">
        <v>54000</v>
      </c>
      <c r="G10301">
        <v>44820</v>
      </c>
      <c r="H10301">
        <v>2022</v>
      </c>
      <c r="I10301" t="s">
        <v>50</v>
      </c>
    </row>
    <row r="10302" spans="1:9" x14ac:dyDescent="0.3">
      <c r="A10302" t="s">
        <v>26</v>
      </c>
      <c r="G10302">
        <v>44820</v>
      </c>
      <c r="H10302">
        <v>2022</v>
      </c>
      <c r="I10302" t="s">
        <v>50</v>
      </c>
    </row>
    <row r="10303" spans="1:9" x14ac:dyDescent="0.3">
      <c r="A10303" t="s">
        <v>22</v>
      </c>
      <c r="G10303">
        <v>44820</v>
      </c>
      <c r="H10303">
        <v>2022</v>
      </c>
      <c r="I10303" t="s">
        <v>50</v>
      </c>
    </row>
    <row r="10304" spans="1:9" x14ac:dyDescent="0.3">
      <c r="A10304" t="s">
        <v>61</v>
      </c>
      <c r="G10304">
        <v>44820</v>
      </c>
      <c r="H10304">
        <v>2022</v>
      </c>
      <c r="I10304" t="s">
        <v>50</v>
      </c>
    </row>
    <row r="10305" spans="1:9" x14ac:dyDescent="0.3">
      <c r="A10305" t="s">
        <v>19</v>
      </c>
      <c r="B10305">
        <v>1026000</v>
      </c>
      <c r="C10305">
        <v>207000</v>
      </c>
      <c r="D10305">
        <v>594000</v>
      </c>
      <c r="G10305">
        <v>44820</v>
      </c>
      <c r="H10305">
        <v>2022</v>
      </c>
      <c r="I10305" t="s">
        <v>50</v>
      </c>
    </row>
    <row r="10306" spans="1:9" x14ac:dyDescent="0.3">
      <c r="A10306" t="s">
        <v>14</v>
      </c>
      <c r="G10306">
        <v>44820</v>
      </c>
      <c r="H10306">
        <v>2022</v>
      </c>
      <c r="I10306" t="s">
        <v>50</v>
      </c>
    </row>
    <row r="10307" spans="1:9" x14ac:dyDescent="0.3">
      <c r="A10307" t="s">
        <v>24</v>
      </c>
      <c r="G10307">
        <v>44820</v>
      </c>
      <c r="H10307">
        <v>2022</v>
      </c>
      <c r="I10307" t="s">
        <v>50</v>
      </c>
    </row>
    <row r="10308" spans="1:9" x14ac:dyDescent="0.3">
      <c r="A10308" t="s">
        <v>21</v>
      </c>
      <c r="G10308">
        <v>44820</v>
      </c>
      <c r="H10308">
        <v>2022</v>
      </c>
      <c r="I10308" t="s">
        <v>50</v>
      </c>
    </row>
    <row r="10309" spans="1:9" x14ac:dyDescent="0.3">
      <c r="A10309" t="s">
        <v>65</v>
      </c>
      <c r="G10309">
        <v>44820</v>
      </c>
      <c r="H10309">
        <v>2022</v>
      </c>
      <c r="I10309" t="s">
        <v>50</v>
      </c>
    </row>
    <row r="10310" spans="1:9" x14ac:dyDescent="0.3">
      <c r="A10310" t="s">
        <v>67</v>
      </c>
      <c r="G10310">
        <v>44820</v>
      </c>
      <c r="H10310">
        <v>2022</v>
      </c>
      <c r="I10310" t="s">
        <v>50</v>
      </c>
    </row>
    <row r="10311" spans="1:9" x14ac:dyDescent="0.3">
      <c r="A10311" t="s">
        <v>18</v>
      </c>
      <c r="G10311">
        <v>44820</v>
      </c>
      <c r="H10311">
        <v>2022</v>
      </c>
      <c r="I10311" t="s">
        <v>50</v>
      </c>
    </row>
    <row r="10312" spans="1:9" x14ac:dyDescent="0.3">
      <c r="A10312" t="s">
        <v>16</v>
      </c>
      <c r="C10312">
        <v>54000</v>
      </c>
      <c r="G10312">
        <v>44820</v>
      </c>
      <c r="H10312">
        <v>2022</v>
      </c>
      <c r="I10312" t="s">
        <v>50</v>
      </c>
    </row>
    <row r="10313" spans="1:9" x14ac:dyDescent="0.3">
      <c r="A10313" t="s">
        <v>20</v>
      </c>
      <c r="G10313">
        <v>44823</v>
      </c>
      <c r="H10313">
        <v>2022</v>
      </c>
      <c r="I10313" t="s">
        <v>50</v>
      </c>
    </row>
    <row r="10314" spans="1:9" x14ac:dyDescent="0.3">
      <c r="A10314" t="s">
        <v>37</v>
      </c>
      <c r="G10314">
        <v>44823</v>
      </c>
      <c r="H10314">
        <v>2022</v>
      </c>
      <c r="I10314" t="s">
        <v>50</v>
      </c>
    </row>
    <row r="10315" spans="1:9" x14ac:dyDescent="0.3">
      <c r="A10315" t="s">
        <v>17</v>
      </c>
      <c r="B10315">
        <v>270000</v>
      </c>
      <c r="G10315">
        <v>44823</v>
      </c>
      <c r="H10315">
        <v>2022</v>
      </c>
      <c r="I10315" t="s">
        <v>50</v>
      </c>
    </row>
    <row r="10316" spans="1:9" x14ac:dyDescent="0.3">
      <c r="A10316" t="s">
        <v>0</v>
      </c>
      <c r="G10316">
        <v>44823</v>
      </c>
      <c r="H10316">
        <v>2022</v>
      </c>
      <c r="I10316" t="s">
        <v>50</v>
      </c>
    </row>
    <row r="10317" spans="1:9" x14ac:dyDescent="0.3">
      <c r="A10317" t="s">
        <v>25</v>
      </c>
      <c r="G10317">
        <v>44823</v>
      </c>
      <c r="H10317">
        <v>2022</v>
      </c>
      <c r="I10317" t="s">
        <v>50</v>
      </c>
    </row>
    <row r="10318" spans="1:9" x14ac:dyDescent="0.3">
      <c r="A10318" t="s">
        <v>15</v>
      </c>
      <c r="G10318">
        <v>44823</v>
      </c>
      <c r="H10318">
        <v>2022</v>
      </c>
      <c r="I10318" t="s">
        <v>50</v>
      </c>
    </row>
    <row r="10319" spans="1:9" x14ac:dyDescent="0.3">
      <c r="A10319" t="s">
        <v>54</v>
      </c>
      <c r="G10319">
        <v>44823</v>
      </c>
      <c r="H10319">
        <v>2022</v>
      </c>
      <c r="I10319" t="s">
        <v>50</v>
      </c>
    </row>
    <row r="10320" spans="1:9" x14ac:dyDescent="0.3">
      <c r="A10320" t="s">
        <v>26</v>
      </c>
      <c r="G10320">
        <v>44823</v>
      </c>
      <c r="H10320">
        <v>2022</v>
      </c>
      <c r="I10320" t="s">
        <v>50</v>
      </c>
    </row>
    <row r="10321" spans="1:9" x14ac:dyDescent="0.3">
      <c r="A10321" t="s">
        <v>22</v>
      </c>
      <c r="G10321">
        <v>44823</v>
      </c>
      <c r="H10321">
        <v>2022</v>
      </c>
      <c r="I10321" t="s">
        <v>50</v>
      </c>
    </row>
    <row r="10322" spans="1:9" x14ac:dyDescent="0.3">
      <c r="A10322" t="s">
        <v>61</v>
      </c>
      <c r="G10322">
        <v>44823</v>
      </c>
      <c r="H10322">
        <v>2022</v>
      </c>
      <c r="I10322" t="s">
        <v>50</v>
      </c>
    </row>
    <row r="10323" spans="1:9" x14ac:dyDescent="0.3">
      <c r="A10323" t="s">
        <v>19</v>
      </c>
      <c r="B10323">
        <v>702000</v>
      </c>
      <c r="D10323">
        <v>54000</v>
      </c>
      <c r="G10323">
        <v>44823</v>
      </c>
      <c r="H10323">
        <v>2022</v>
      </c>
      <c r="I10323" t="s">
        <v>50</v>
      </c>
    </row>
    <row r="10324" spans="1:9" x14ac:dyDescent="0.3">
      <c r="A10324" t="s">
        <v>14</v>
      </c>
      <c r="G10324">
        <v>44823</v>
      </c>
      <c r="H10324">
        <v>2022</v>
      </c>
      <c r="I10324" t="s">
        <v>50</v>
      </c>
    </row>
    <row r="10325" spans="1:9" x14ac:dyDescent="0.3">
      <c r="A10325" t="s">
        <v>24</v>
      </c>
      <c r="G10325">
        <v>44823</v>
      </c>
      <c r="H10325">
        <v>2022</v>
      </c>
      <c r="I10325" t="s">
        <v>50</v>
      </c>
    </row>
    <row r="10326" spans="1:9" x14ac:dyDescent="0.3">
      <c r="A10326" t="s">
        <v>21</v>
      </c>
      <c r="G10326">
        <v>44823</v>
      </c>
      <c r="H10326">
        <v>2022</v>
      </c>
      <c r="I10326" t="s">
        <v>50</v>
      </c>
    </row>
    <row r="10327" spans="1:9" x14ac:dyDescent="0.3">
      <c r="A10327" t="s">
        <v>65</v>
      </c>
      <c r="G10327">
        <v>44823</v>
      </c>
      <c r="H10327">
        <v>2022</v>
      </c>
      <c r="I10327" t="s">
        <v>50</v>
      </c>
    </row>
    <row r="10328" spans="1:9" x14ac:dyDescent="0.3">
      <c r="A10328" t="s">
        <v>67</v>
      </c>
      <c r="G10328">
        <v>44823</v>
      </c>
      <c r="H10328">
        <v>2022</v>
      </c>
      <c r="I10328" t="s">
        <v>50</v>
      </c>
    </row>
    <row r="10329" spans="1:9" x14ac:dyDescent="0.3">
      <c r="A10329" t="s">
        <v>18</v>
      </c>
      <c r="G10329">
        <v>44823</v>
      </c>
      <c r="H10329">
        <v>2022</v>
      </c>
      <c r="I10329" t="s">
        <v>50</v>
      </c>
    </row>
    <row r="10330" spans="1:9" x14ac:dyDescent="0.3">
      <c r="A10330" t="s">
        <v>16</v>
      </c>
      <c r="G10330">
        <v>44823</v>
      </c>
      <c r="H10330">
        <v>2022</v>
      </c>
      <c r="I10330" t="s">
        <v>50</v>
      </c>
    </row>
    <row r="10331" spans="1:9" x14ac:dyDescent="0.3">
      <c r="A10331" t="s">
        <v>20</v>
      </c>
      <c r="G10331">
        <v>44824</v>
      </c>
      <c r="H10331">
        <v>2022</v>
      </c>
      <c r="I10331" t="s">
        <v>50</v>
      </c>
    </row>
    <row r="10332" spans="1:9" x14ac:dyDescent="0.3">
      <c r="A10332" t="s">
        <v>37</v>
      </c>
      <c r="G10332">
        <v>44824</v>
      </c>
      <c r="H10332">
        <v>2022</v>
      </c>
      <c r="I10332" t="s">
        <v>50</v>
      </c>
    </row>
    <row r="10333" spans="1:9" x14ac:dyDescent="0.3">
      <c r="A10333" t="s">
        <v>17</v>
      </c>
      <c r="G10333">
        <v>44824</v>
      </c>
      <c r="H10333">
        <v>2022</v>
      </c>
      <c r="I10333" t="s">
        <v>50</v>
      </c>
    </row>
    <row r="10334" spans="1:9" x14ac:dyDescent="0.3">
      <c r="A10334" t="s">
        <v>0</v>
      </c>
      <c r="G10334">
        <v>44824</v>
      </c>
      <c r="H10334">
        <v>2022</v>
      </c>
      <c r="I10334" t="s">
        <v>50</v>
      </c>
    </row>
    <row r="10335" spans="1:9" x14ac:dyDescent="0.3">
      <c r="A10335" t="s">
        <v>25</v>
      </c>
      <c r="G10335">
        <v>44824</v>
      </c>
      <c r="H10335">
        <v>2022</v>
      </c>
      <c r="I10335" t="s">
        <v>50</v>
      </c>
    </row>
    <row r="10336" spans="1:9" x14ac:dyDescent="0.3">
      <c r="A10336" t="s">
        <v>15</v>
      </c>
      <c r="G10336">
        <v>44824</v>
      </c>
      <c r="H10336">
        <v>2022</v>
      </c>
      <c r="I10336" t="s">
        <v>50</v>
      </c>
    </row>
    <row r="10337" spans="1:9" x14ac:dyDescent="0.3">
      <c r="A10337" t="s">
        <v>54</v>
      </c>
      <c r="G10337">
        <v>44824</v>
      </c>
      <c r="H10337">
        <v>2022</v>
      </c>
      <c r="I10337" t="s">
        <v>50</v>
      </c>
    </row>
    <row r="10338" spans="1:9" x14ac:dyDescent="0.3">
      <c r="A10338" t="s">
        <v>26</v>
      </c>
      <c r="G10338">
        <v>44824</v>
      </c>
      <c r="H10338">
        <v>2022</v>
      </c>
      <c r="I10338" t="s">
        <v>50</v>
      </c>
    </row>
    <row r="10339" spans="1:9" x14ac:dyDescent="0.3">
      <c r="A10339" t="s">
        <v>22</v>
      </c>
      <c r="G10339">
        <v>44824</v>
      </c>
      <c r="H10339">
        <v>2022</v>
      </c>
      <c r="I10339" t="s">
        <v>50</v>
      </c>
    </row>
    <row r="10340" spans="1:9" x14ac:dyDescent="0.3">
      <c r="A10340" t="s">
        <v>61</v>
      </c>
      <c r="G10340">
        <v>44824</v>
      </c>
      <c r="H10340">
        <v>2022</v>
      </c>
      <c r="I10340" t="s">
        <v>50</v>
      </c>
    </row>
    <row r="10341" spans="1:9" x14ac:dyDescent="0.3">
      <c r="A10341" t="s">
        <v>19</v>
      </c>
      <c r="G10341">
        <v>44824</v>
      </c>
      <c r="H10341">
        <v>2022</v>
      </c>
      <c r="I10341" t="s">
        <v>50</v>
      </c>
    </row>
    <row r="10342" spans="1:9" x14ac:dyDescent="0.3">
      <c r="A10342" t="s">
        <v>14</v>
      </c>
      <c r="C10342">
        <v>432000</v>
      </c>
      <c r="D10342">
        <v>756000</v>
      </c>
      <c r="G10342">
        <v>44824</v>
      </c>
      <c r="H10342">
        <v>2022</v>
      </c>
      <c r="I10342" t="s">
        <v>50</v>
      </c>
    </row>
    <row r="10343" spans="1:9" x14ac:dyDescent="0.3">
      <c r="A10343" t="s">
        <v>24</v>
      </c>
      <c r="G10343">
        <v>44824</v>
      </c>
      <c r="H10343">
        <v>2022</v>
      </c>
      <c r="I10343" t="s">
        <v>50</v>
      </c>
    </row>
    <row r="10344" spans="1:9" x14ac:dyDescent="0.3">
      <c r="A10344" t="s">
        <v>21</v>
      </c>
      <c r="G10344">
        <v>44824</v>
      </c>
      <c r="H10344">
        <v>2022</v>
      </c>
      <c r="I10344" t="s">
        <v>50</v>
      </c>
    </row>
    <row r="10345" spans="1:9" x14ac:dyDescent="0.3">
      <c r="A10345" t="s">
        <v>65</v>
      </c>
      <c r="G10345">
        <v>44824</v>
      </c>
      <c r="H10345">
        <v>2022</v>
      </c>
      <c r="I10345" t="s">
        <v>50</v>
      </c>
    </row>
    <row r="10346" spans="1:9" x14ac:dyDescent="0.3">
      <c r="A10346" t="s">
        <v>67</v>
      </c>
      <c r="G10346">
        <v>44824</v>
      </c>
      <c r="H10346">
        <v>2022</v>
      </c>
      <c r="I10346" t="s">
        <v>50</v>
      </c>
    </row>
    <row r="10347" spans="1:9" x14ac:dyDescent="0.3">
      <c r="A10347" t="s">
        <v>18</v>
      </c>
      <c r="G10347">
        <v>44824</v>
      </c>
      <c r="H10347">
        <v>2022</v>
      </c>
      <c r="I10347" t="s">
        <v>50</v>
      </c>
    </row>
    <row r="10348" spans="1:9" x14ac:dyDescent="0.3">
      <c r="A10348" t="s">
        <v>16</v>
      </c>
      <c r="G10348">
        <v>44824</v>
      </c>
      <c r="H10348">
        <v>2022</v>
      </c>
      <c r="I10348" t="s">
        <v>50</v>
      </c>
    </row>
    <row r="10349" spans="1:9" x14ac:dyDescent="0.3">
      <c r="A10349" t="s">
        <v>20</v>
      </c>
      <c r="G10349">
        <v>44826</v>
      </c>
      <c r="H10349">
        <v>2022</v>
      </c>
      <c r="I10349" t="s">
        <v>50</v>
      </c>
    </row>
    <row r="10350" spans="1:9" x14ac:dyDescent="0.3">
      <c r="A10350" t="s">
        <v>37</v>
      </c>
      <c r="G10350">
        <v>44826</v>
      </c>
      <c r="H10350">
        <v>2022</v>
      </c>
      <c r="I10350" t="s">
        <v>50</v>
      </c>
    </row>
    <row r="10351" spans="1:9" x14ac:dyDescent="0.3">
      <c r="A10351" t="s">
        <v>17</v>
      </c>
      <c r="G10351">
        <v>44826</v>
      </c>
      <c r="H10351">
        <v>2022</v>
      </c>
      <c r="I10351" t="s">
        <v>50</v>
      </c>
    </row>
    <row r="10352" spans="1:9" x14ac:dyDescent="0.3">
      <c r="A10352" t="s">
        <v>0</v>
      </c>
      <c r="G10352">
        <v>44826</v>
      </c>
      <c r="H10352">
        <v>2022</v>
      </c>
      <c r="I10352" t="s">
        <v>50</v>
      </c>
    </row>
    <row r="10353" spans="1:9" x14ac:dyDescent="0.3">
      <c r="A10353" t="s">
        <v>25</v>
      </c>
      <c r="G10353">
        <v>44826</v>
      </c>
      <c r="H10353">
        <v>2022</v>
      </c>
      <c r="I10353" t="s">
        <v>50</v>
      </c>
    </row>
    <row r="10354" spans="1:9" x14ac:dyDescent="0.3">
      <c r="A10354" t="s">
        <v>15</v>
      </c>
      <c r="G10354">
        <v>44826</v>
      </c>
      <c r="H10354">
        <v>2022</v>
      </c>
      <c r="I10354" t="s">
        <v>50</v>
      </c>
    </row>
    <row r="10355" spans="1:9" x14ac:dyDescent="0.3">
      <c r="A10355" t="s">
        <v>54</v>
      </c>
      <c r="G10355">
        <v>44826</v>
      </c>
      <c r="H10355">
        <v>2022</v>
      </c>
      <c r="I10355" t="s">
        <v>50</v>
      </c>
    </row>
    <row r="10356" spans="1:9" x14ac:dyDescent="0.3">
      <c r="A10356" t="s">
        <v>26</v>
      </c>
      <c r="G10356">
        <v>44826</v>
      </c>
      <c r="H10356">
        <v>2022</v>
      </c>
      <c r="I10356" t="s">
        <v>50</v>
      </c>
    </row>
    <row r="10357" spans="1:9" x14ac:dyDescent="0.3">
      <c r="A10357" t="s">
        <v>22</v>
      </c>
      <c r="G10357">
        <v>44826</v>
      </c>
      <c r="H10357">
        <v>2022</v>
      </c>
      <c r="I10357" t="s">
        <v>50</v>
      </c>
    </row>
    <row r="10358" spans="1:9" x14ac:dyDescent="0.3">
      <c r="A10358" t="s">
        <v>61</v>
      </c>
      <c r="G10358">
        <v>44826</v>
      </c>
      <c r="H10358">
        <v>2022</v>
      </c>
      <c r="I10358" t="s">
        <v>50</v>
      </c>
    </row>
    <row r="10359" spans="1:9" x14ac:dyDescent="0.3">
      <c r="A10359" t="s">
        <v>19</v>
      </c>
      <c r="B10359">
        <v>54000</v>
      </c>
      <c r="G10359">
        <v>44826</v>
      </c>
      <c r="H10359">
        <v>2022</v>
      </c>
      <c r="I10359" t="s">
        <v>50</v>
      </c>
    </row>
    <row r="10360" spans="1:9" x14ac:dyDescent="0.3">
      <c r="A10360" t="s">
        <v>14</v>
      </c>
      <c r="B10360">
        <v>484000</v>
      </c>
      <c r="C10360">
        <v>859500</v>
      </c>
      <c r="D10360">
        <v>153000</v>
      </c>
      <c r="E10360">
        <v>1026000</v>
      </c>
      <c r="G10360">
        <v>44826</v>
      </c>
      <c r="H10360">
        <v>2022</v>
      </c>
      <c r="I10360" t="s">
        <v>50</v>
      </c>
    </row>
    <row r="10361" spans="1:9" x14ac:dyDescent="0.3">
      <c r="A10361" t="s">
        <v>24</v>
      </c>
      <c r="G10361">
        <v>44826</v>
      </c>
      <c r="H10361">
        <v>2022</v>
      </c>
      <c r="I10361" t="s">
        <v>50</v>
      </c>
    </row>
    <row r="10362" spans="1:9" x14ac:dyDescent="0.3">
      <c r="A10362" t="s">
        <v>21</v>
      </c>
      <c r="G10362">
        <v>44826</v>
      </c>
      <c r="H10362">
        <v>2022</v>
      </c>
      <c r="I10362" t="s">
        <v>50</v>
      </c>
    </row>
    <row r="10363" spans="1:9" x14ac:dyDescent="0.3">
      <c r="A10363" t="s">
        <v>65</v>
      </c>
      <c r="G10363">
        <v>44826</v>
      </c>
      <c r="H10363">
        <v>2022</v>
      </c>
      <c r="I10363" t="s">
        <v>50</v>
      </c>
    </row>
    <row r="10364" spans="1:9" x14ac:dyDescent="0.3">
      <c r="A10364" t="s">
        <v>67</v>
      </c>
      <c r="C10364">
        <v>324000</v>
      </c>
      <c r="G10364">
        <v>44826</v>
      </c>
      <c r="H10364">
        <v>2022</v>
      </c>
      <c r="I10364" t="s">
        <v>50</v>
      </c>
    </row>
    <row r="10365" spans="1:9" x14ac:dyDescent="0.3">
      <c r="A10365" t="s">
        <v>18</v>
      </c>
      <c r="C10365">
        <v>432000</v>
      </c>
      <c r="G10365">
        <v>44826</v>
      </c>
      <c r="H10365">
        <v>2022</v>
      </c>
      <c r="I10365" t="s">
        <v>50</v>
      </c>
    </row>
    <row r="10366" spans="1:9" x14ac:dyDescent="0.3">
      <c r="A10366" t="s">
        <v>16</v>
      </c>
      <c r="G10366">
        <v>44826</v>
      </c>
      <c r="H10366">
        <v>2022</v>
      </c>
      <c r="I10366" t="s">
        <v>50</v>
      </c>
    </row>
    <row r="10367" spans="1:9" x14ac:dyDescent="0.3">
      <c r="A10367" t="s">
        <v>20</v>
      </c>
      <c r="G10367">
        <v>44827</v>
      </c>
      <c r="H10367">
        <v>2022</v>
      </c>
      <c r="I10367" t="s">
        <v>50</v>
      </c>
    </row>
    <row r="10368" spans="1:9" x14ac:dyDescent="0.3">
      <c r="A10368" t="s">
        <v>37</v>
      </c>
      <c r="G10368">
        <v>44827</v>
      </c>
      <c r="H10368">
        <v>2022</v>
      </c>
      <c r="I10368" t="s">
        <v>50</v>
      </c>
    </row>
    <row r="10369" spans="1:9" x14ac:dyDescent="0.3">
      <c r="A10369" t="s">
        <v>17</v>
      </c>
      <c r="B10369">
        <v>135000</v>
      </c>
      <c r="G10369">
        <v>44827</v>
      </c>
      <c r="H10369">
        <v>2022</v>
      </c>
      <c r="I10369" t="s">
        <v>50</v>
      </c>
    </row>
    <row r="10370" spans="1:9" x14ac:dyDescent="0.3">
      <c r="A10370" t="s">
        <v>0</v>
      </c>
      <c r="G10370">
        <v>44827</v>
      </c>
      <c r="H10370">
        <v>2022</v>
      </c>
      <c r="I10370" t="s">
        <v>50</v>
      </c>
    </row>
    <row r="10371" spans="1:9" x14ac:dyDescent="0.3">
      <c r="A10371" t="s">
        <v>25</v>
      </c>
      <c r="G10371">
        <v>44827</v>
      </c>
      <c r="H10371">
        <v>2022</v>
      </c>
      <c r="I10371" t="s">
        <v>50</v>
      </c>
    </row>
    <row r="10372" spans="1:9" x14ac:dyDescent="0.3">
      <c r="A10372" t="s">
        <v>15</v>
      </c>
      <c r="G10372">
        <v>44827</v>
      </c>
      <c r="H10372">
        <v>2022</v>
      </c>
      <c r="I10372" t="s">
        <v>50</v>
      </c>
    </row>
    <row r="10373" spans="1:9" x14ac:dyDescent="0.3">
      <c r="A10373" t="s">
        <v>54</v>
      </c>
      <c r="G10373">
        <v>44827</v>
      </c>
      <c r="H10373">
        <v>2022</v>
      </c>
      <c r="I10373" t="s">
        <v>50</v>
      </c>
    </row>
    <row r="10374" spans="1:9" x14ac:dyDescent="0.3">
      <c r="A10374" t="s">
        <v>26</v>
      </c>
      <c r="B10374">
        <v>900000</v>
      </c>
      <c r="D10374">
        <v>108000</v>
      </c>
      <c r="G10374">
        <v>44827</v>
      </c>
      <c r="H10374">
        <v>2022</v>
      </c>
      <c r="I10374" t="s">
        <v>50</v>
      </c>
    </row>
    <row r="10375" spans="1:9" x14ac:dyDescent="0.3">
      <c r="A10375" t="s">
        <v>22</v>
      </c>
      <c r="G10375">
        <v>44827</v>
      </c>
      <c r="H10375">
        <v>2022</v>
      </c>
      <c r="I10375" t="s">
        <v>50</v>
      </c>
    </row>
    <row r="10376" spans="1:9" x14ac:dyDescent="0.3">
      <c r="A10376" t="s">
        <v>61</v>
      </c>
      <c r="G10376">
        <v>44827</v>
      </c>
      <c r="H10376">
        <v>2022</v>
      </c>
      <c r="I10376" t="s">
        <v>50</v>
      </c>
    </row>
    <row r="10377" spans="1:9" x14ac:dyDescent="0.3">
      <c r="A10377" t="s">
        <v>19</v>
      </c>
      <c r="G10377">
        <v>44827</v>
      </c>
      <c r="H10377">
        <v>2022</v>
      </c>
      <c r="I10377" t="s">
        <v>50</v>
      </c>
    </row>
    <row r="10378" spans="1:9" x14ac:dyDescent="0.3">
      <c r="A10378" t="s">
        <v>14</v>
      </c>
      <c r="B10378">
        <v>697500</v>
      </c>
      <c r="C10378">
        <v>1279000</v>
      </c>
      <c r="E10378">
        <v>270000</v>
      </c>
      <c r="G10378">
        <v>44827</v>
      </c>
      <c r="H10378">
        <v>2022</v>
      </c>
      <c r="I10378" t="s">
        <v>50</v>
      </c>
    </row>
    <row r="10379" spans="1:9" x14ac:dyDescent="0.3">
      <c r="A10379" t="s">
        <v>24</v>
      </c>
      <c r="G10379">
        <v>44827</v>
      </c>
      <c r="H10379">
        <v>2022</v>
      </c>
      <c r="I10379" t="s">
        <v>50</v>
      </c>
    </row>
    <row r="10380" spans="1:9" x14ac:dyDescent="0.3">
      <c r="A10380" t="s">
        <v>21</v>
      </c>
      <c r="B10380">
        <v>90000</v>
      </c>
      <c r="G10380">
        <v>44827</v>
      </c>
      <c r="H10380">
        <v>2022</v>
      </c>
      <c r="I10380" t="s">
        <v>50</v>
      </c>
    </row>
    <row r="10381" spans="1:9" x14ac:dyDescent="0.3">
      <c r="A10381" t="s">
        <v>65</v>
      </c>
      <c r="G10381">
        <v>44827</v>
      </c>
      <c r="H10381">
        <v>2022</v>
      </c>
      <c r="I10381" t="s">
        <v>50</v>
      </c>
    </row>
    <row r="10382" spans="1:9" x14ac:dyDescent="0.3">
      <c r="A10382" t="s">
        <v>67</v>
      </c>
      <c r="C10382">
        <v>54000</v>
      </c>
      <c r="G10382">
        <v>44827</v>
      </c>
      <c r="H10382">
        <v>2022</v>
      </c>
      <c r="I10382" t="s">
        <v>50</v>
      </c>
    </row>
    <row r="10383" spans="1:9" x14ac:dyDescent="0.3">
      <c r="A10383" t="s">
        <v>18</v>
      </c>
      <c r="C10383">
        <v>535500</v>
      </c>
      <c r="G10383">
        <v>44827</v>
      </c>
      <c r="H10383">
        <v>2022</v>
      </c>
      <c r="I10383" t="s">
        <v>50</v>
      </c>
    </row>
    <row r="10384" spans="1:9" x14ac:dyDescent="0.3">
      <c r="A10384" t="s">
        <v>16</v>
      </c>
      <c r="G10384">
        <v>44827</v>
      </c>
      <c r="H10384">
        <v>2022</v>
      </c>
      <c r="I10384" t="s">
        <v>50</v>
      </c>
    </row>
    <row r="10385" spans="1:9" x14ac:dyDescent="0.3">
      <c r="A10385" t="s">
        <v>20</v>
      </c>
      <c r="G10385">
        <v>44830</v>
      </c>
      <c r="H10385">
        <v>2022</v>
      </c>
      <c r="I10385" t="s">
        <v>50</v>
      </c>
    </row>
    <row r="10386" spans="1:9" x14ac:dyDescent="0.3">
      <c r="A10386" t="s">
        <v>37</v>
      </c>
      <c r="G10386">
        <v>44830</v>
      </c>
      <c r="H10386">
        <v>2022</v>
      </c>
      <c r="I10386" t="s">
        <v>50</v>
      </c>
    </row>
    <row r="10387" spans="1:9" x14ac:dyDescent="0.3">
      <c r="A10387" t="s">
        <v>17</v>
      </c>
      <c r="B10387">
        <v>810000</v>
      </c>
      <c r="G10387">
        <v>44830</v>
      </c>
      <c r="H10387">
        <v>2022</v>
      </c>
      <c r="I10387" t="s">
        <v>50</v>
      </c>
    </row>
    <row r="10388" spans="1:9" x14ac:dyDescent="0.3">
      <c r="A10388" t="s">
        <v>0</v>
      </c>
      <c r="C10388">
        <v>1404000</v>
      </c>
      <c r="G10388">
        <v>44830</v>
      </c>
      <c r="H10388">
        <v>2022</v>
      </c>
      <c r="I10388" t="s">
        <v>50</v>
      </c>
    </row>
    <row r="10389" spans="1:9" x14ac:dyDescent="0.3">
      <c r="A10389" t="s">
        <v>25</v>
      </c>
      <c r="G10389">
        <v>44830</v>
      </c>
      <c r="H10389">
        <v>2022</v>
      </c>
      <c r="I10389" t="s">
        <v>50</v>
      </c>
    </row>
    <row r="10390" spans="1:9" x14ac:dyDescent="0.3">
      <c r="A10390" t="s">
        <v>15</v>
      </c>
      <c r="G10390">
        <v>44830</v>
      </c>
      <c r="H10390">
        <v>2022</v>
      </c>
      <c r="I10390" t="s">
        <v>50</v>
      </c>
    </row>
    <row r="10391" spans="1:9" x14ac:dyDescent="0.3">
      <c r="A10391" t="s">
        <v>54</v>
      </c>
      <c r="G10391">
        <v>44830</v>
      </c>
      <c r="H10391">
        <v>2022</v>
      </c>
      <c r="I10391" t="s">
        <v>50</v>
      </c>
    </row>
    <row r="10392" spans="1:9" x14ac:dyDescent="0.3">
      <c r="A10392" t="s">
        <v>26</v>
      </c>
      <c r="D10392">
        <v>140000</v>
      </c>
      <c r="G10392">
        <v>44830</v>
      </c>
      <c r="H10392">
        <v>2022</v>
      </c>
      <c r="I10392" t="s">
        <v>50</v>
      </c>
    </row>
    <row r="10393" spans="1:9" x14ac:dyDescent="0.3">
      <c r="A10393" t="s">
        <v>22</v>
      </c>
      <c r="G10393">
        <v>44830</v>
      </c>
      <c r="H10393">
        <v>2022</v>
      </c>
      <c r="I10393" t="s">
        <v>50</v>
      </c>
    </row>
    <row r="10394" spans="1:9" x14ac:dyDescent="0.3">
      <c r="A10394" t="s">
        <v>61</v>
      </c>
      <c r="G10394">
        <v>44830</v>
      </c>
      <c r="H10394">
        <v>2022</v>
      </c>
      <c r="I10394" t="s">
        <v>50</v>
      </c>
    </row>
    <row r="10395" spans="1:9" x14ac:dyDescent="0.3">
      <c r="A10395" t="s">
        <v>19</v>
      </c>
      <c r="G10395">
        <v>44830</v>
      </c>
      <c r="H10395">
        <v>2022</v>
      </c>
      <c r="I10395" t="s">
        <v>50</v>
      </c>
    </row>
    <row r="10396" spans="1:9" x14ac:dyDescent="0.3">
      <c r="A10396" t="s">
        <v>14</v>
      </c>
      <c r="C10396">
        <v>469000</v>
      </c>
      <c r="G10396">
        <v>44830</v>
      </c>
      <c r="H10396">
        <v>2022</v>
      </c>
      <c r="I10396" t="s">
        <v>50</v>
      </c>
    </row>
    <row r="10397" spans="1:9" x14ac:dyDescent="0.3">
      <c r="A10397" t="s">
        <v>24</v>
      </c>
      <c r="G10397">
        <v>44830</v>
      </c>
      <c r="H10397">
        <v>2022</v>
      </c>
      <c r="I10397" t="s">
        <v>50</v>
      </c>
    </row>
    <row r="10398" spans="1:9" x14ac:dyDescent="0.3">
      <c r="A10398" t="s">
        <v>21</v>
      </c>
      <c r="G10398">
        <v>44830</v>
      </c>
      <c r="H10398">
        <v>2022</v>
      </c>
      <c r="I10398" t="s">
        <v>50</v>
      </c>
    </row>
    <row r="10399" spans="1:9" x14ac:dyDescent="0.3">
      <c r="A10399" t="s">
        <v>65</v>
      </c>
      <c r="G10399">
        <v>44830</v>
      </c>
      <c r="H10399">
        <v>2022</v>
      </c>
      <c r="I10399" t="s">
        <v>50</v>
      </c>
    </row>
    <row r="10400" spans="1:9" x14ac:dyDescent="0.3">
      <c r="A10400" t="s">
        <v>67</v>
      </c>
      <c r="G10400">
        <v>44830</v>
      </c>
      <c r="H10400">
        <v>2022</v>
      </c>
      <c r="I10400" t="s">
        <v>50</v>
      </c>
    </row>
    <row r="10401" spans="1:9" x14ac:dyDescent="0.3">
      <c r="A10401" t="s">
        <v>18</v>
      </c>
      <c r="G10401">
        <v>44830</v>
      </c>
      <c r="H10401">
        <v>2022</v>
      </c>
      <c r="I10401" t="s">
        <v>50</v>
      </c>
    </row>
    <row r="10402" spans="1:9" x14ac:dyDescent="0.3">
      <c r="A10402" t="s">
        <v>16</v>
      </c>
      <c r="G10402">
        <v>44830</v>
      </c>
      <c r="H10402">
        <v>2022</v>
      </c>
      <c r="I10402" t="s">
        <v>50</v>
      </c>
    </row>
    <row r="10403" spans="1:9" x14ac:dyDescent="0.3">
      <c r="A10403" t="s">
        <v>20</v>
      </c>
      <c r="G10403">
        <v>44831</v>
      </c>
      <c r="H10403">
        <v>2022</v>
      </c>
      <c r="I10403" t="s">
        <v>50</v>
      </c>
    </row>
    <row r="10404" spans="1:9" x14ac:dyDescent="0.3">
      <c r="A10404" t="s">
        <v>37</v>
      </c>
      <c r="G10404">
        <v>44831</v>
      </c>
      <c r="H10404">
        <v>2022</v>
      </c>
      <c r="I10404" t="s">
        <v>50</v>
      </c>
    </row>
    <row r="10405" spans="1:9" x14ac:dyDescent="0.3">
      <c r="A10405" t="s">
        <v>17</v>
      </c>
      <c r="B10405">
        <v>50000</v>
      </c>
      <c r="G10405">
        <v>44831</v>
      </c>
      <c r="H10405">
        <v>2022</v>
      </c>
      <c r="I10405" t="s">
        <v>50</v>
      </c>
    </row>
    <row r="10406" spans="1:9" x14ac:dyDescent="0.3">
      <c r="A10406" t="s">
        <v>0</v>
      </c>
      <c r="C10406">
        <v>1350000</v>
      </c>
      <c r="G10406">
        <v>44831</v>
      </c>
      <c r="H10406">
        <v>2022</v>
      </c>
      <c r="I10406" t="s">
        <v>50</v>
      </c>
    </row>
    <row r="10407" spans="1:9" x14ac:dyDescent="0.3">
      <c r="A10407" t="s">
        <v>25</v>
      </c>
      <c r="G10407">
        <v>44831</v>
      </c>
      <c r="H10407">
        <v>2022</v>
      </c>
      <c r="I10407" t="s">
        <v>50</v>
      </c>
    </row>
    <row r="10408" spans="1:9" x14ac:dyDescent="0.3">
      <c r="A10408" t="s">
        <v>15</v>
      </c>
      <c r="C10408">
        <v>162000</v>
      </c>
      <c r="G10408">
        <v>44831</v>
      </c>
      <c r="H10408">
        <v>2022</v>
      </c>
      <c r="I10408" t="s">
        <v>50</v>
      </c>
    </row>
    <row r="10409" spans="1:9" x14ac:dyDescent="0.3">
      <c r="A10409" t="s">
        <v>54</v>
      </c>
      <c r="G10409">
        <v>44831</v>
      </c>
      <c r="H10409">
        <v>2022</v>
      </c>
      <c r="I10409" t="s">
        <v>50</v>
      </c>
    </row>
    <row r="10410" spans="1:9" x14ac:dyDescent="0.3">
      <c r="A10410" t="s">
        <v>26</v>
      </c>
      <c r="G10410">
        <v>44831</v>
      </c>
      <c r="H10410">
        <v>2022</v>
      </c>
      <c r="I10410" t="s">
        <v>50</v>
      </c>
    </row>
    <row r="10411" spans="1:9" x14ac:dyDescent="0.3">
      <c r="A10411" t="s">
        <v>22</v>
      </c>
      <c r="G10411">
        <v>44831</v>
      </c>
      <c r="H10411">
        <v>2022</v>
      </c>
      <c r="I10411" t="s">
        <v>50</v>
      </c>
    </row>
    <row r="10412" spans="1:9" x14ac:dyDescent="0.3">
      <c r="A10412" t="s">
        <v>61</v>
      </c>
      <c r="G10412">
        <v>44831</v>
      </c>
      <c r="H10412">
        <v>2022</v>
      </c>
      <c r="I10412" t="s">
        <v>50</v>
      </c>
    </row>
    <row r="10413" spans="1:9" x14ac:dyDescent="0.3">
      <c r="A10413" t="s">
        <v>19</v>
      </c>
      <c r="G10413">
        <v>44831</v>
      </c>
      <c r="H10413">
        <v>2022</v>
      </c>
      <c r="I10413" t="s">
        <v>50</v>
      </c>
    </row>
    <row r="10414" spans="1:9" x14ac:dyDescent="0.3">
      <c r="A10414" t="s">
        <v>14</v>
      </c>
      <c r="C10414">
        <v>423000</v>
      </c>
      <c r="G10414">
        <v>44831</v>
      </c>
      <c r="H10414">
        <v>2022</v>
      </c>
      <c r="I10414" t="s">
        <v>50</v>
      </c>
    </row>
    <row r="10415" spans="1:9" x14ac:dyDescent="0.3">
      <c r="A10415" t="s">
        <v>24</v>
      </c>
      <c r="G10415">
        <v>44831</v>
      </c>
      <c r="H10415">
        <v>2022</v>
      </c>
      <c r="I10415" t="s">
        <v>50</v>
      </c>
    </row>
    <row r="10416" spans="1:9" x14ac:dyDescent="0.3">
      <c r="A10416" t="s">
        <v>21</v>
      </c>
      <c r="G10416">
        <v>44831</v>
      </c>
      <c r="H10416">
        <v>2022</v>
      </c>
      <c r="I10416" t="s">
        <v>50</v>
      </c>
    </row>
    <row r="10417" spans="1:9" x14ac:dyDescent="0.3">
      <c r="A10417" t="s">
        <v>65</v>
      </c>
      <c r="G10417">
        <v>44831</v>
      </c>
      <c r="H10417">
        <v>2022</v>
      </c>
      <c r="I10417" t="s">
        <v>50</v>
      </c>
    </row>
    <row r="10418" spans="1:9" x14ac:dyDescent="0.3">
      <c r="A10418" t="s">
        <v>67</v>
      </c>
      <c r="G10418">
        <v>44831</v>
      </c>
      <c r="H10418">
        <v>2022</v>
      </c>
      <c r="I10418" t="s">
        <v>50</v>
      </c>
    </row>
    <row r="10419" spans="1:9" x14ac:dyDescent="0.3">
      <c r="A10419" t="s">
        <v>18</v>
      </c>
      <c r="G10419">
        <v>44831</v>
      </c>
      <c r="H10419">
        <v>2022</v>
      </c>
      <c r="I10419" t="s">
        <v>50</v>
      </c>
    </row>
    <row r="10420" spans="1:9" x14ac:dyDescent="0.3">
      <c r="A10420" t="s">
        <v>16</v>
      </c>
      <c r="C10420">
        <v>216000</v>
      </c>
      <c r="E10420">
        <v>108000</v>
      </c>
      <c r="G10420">
        <v>44831</v>
      </c>
      <c r="H10420">
        <v>2022</v>
      </c>
      <c r="I10420" t="s">
        <v>50</v>
      </c>
    </row>
    <row r="10421" spans="1:9" x14ac:dyDescent="0.3">
      <c r="A10421" t="s">
        <v>20</v>
      </c>
      <c r="G10421">
        <v>44832</v>
      </c>
      <c r="H10421">
        <v>2022</v>
      </c>
      <c r="I10421" t="s">
        <v>50</v>
      </c>
    </row>
    <row r="10422" spans="1:9" x14ac:dyDescent="0.3">
      <c r="A10422" t="s">
        <v>37</v>
      </c>
      <c r="G10422">
        <v>44832</v>
      </c>
      <c r="H10422">
        <v>2022</v>
      </c>
      <c r="I10422" t="s">
        <v>50</v>
      </c>
    </row>
    <row r="10423" spans="1:9" x14ac:dyDescent="0.3">
      <c r="A10423" t="s">
        <v>17</v>
      </c>
      <c r="B10423">
        <v>50000</v>
      </c>
      <c r="G10423">
        <v>44832</v>
      </c>
      <c r="H10423">
        <v>2022</v>
      </c>
      <c r="I10423" t="s">
        <v>50</v>
      </c>
    </row>
    <row r="10424" spans="1:9" x14ac:dyDescent="0.3">
      <c r="A10424" t="s">
        <v>0</v>
      </c>
      <c r="B10424">
        <v>2214000</v>
      </c>
      <c r="C10424">
        <v>1724000</v>
      </c>
      <c r="D10424">
        <v>270000</v>
      </c>
      <c r="G10424">
        <v>44832</v>
      </c>
      <c r="H10424">
        <v>2022</v>
      </c>
      <c r="I10424" t="s">
        <v>50</v>
      </c>
    </row>
    <row r="10425" spans="1:9" x14ac:dyDescent="0.3">
      <c r="A10425" t="s">
        <v>25</v>
      </c>
      <c r="G10425">
        <v>44832</v>
      </c>
      <c r="H10425">
        <v>2022</v>
      </c>
      <c r="I10425" t="s">
        <v>50</v>
      </c>
    </row>
    <row r="10426" spans="1:9" x14ac:dyDescent="0.3">
      <c r="A10426" t="s">
        <v>15</v>
      </c>
      <c r="C10426">
        <v>54000</v>
      </c>
      <c r="G10426">
        <v>44832</v>
      </c>
      <c r="H10426">
        <v>2022</v>
      </c>
      <c r="I10426" t="s">
        <v>50</v>
      </c>
    </row>
    <row r="10427" spans="1:9" x14ac:dyDescent="0.3">
      <c r="A10427" t="s">
        <v>54</v>
      </c>
      <c r="G10427">
        <v>44832</v>
      </c>
      <c r="H10427">
        <v>2022</v>
      </c>
      <c r="I10427" t="s">
        <v>50</v>
      </c>
    </row>
    <row r="10428" spans="1:9" x14ac:dyDescent="0.3">
      <c r="A10428" t="s">
        <v>26</v>
      </c>
      <c r="D10428">
        <v>50000</v>
      </c>
      <c r="G10428">
        <v>44832</v>
      </c>
      <c r="H10428">
        <v>2022</v>
      </c>
      <c r="I10428" t="s">
        <v>50</v>
      </c>
    </row>
    <row r="10429" spans="1:9" x14ac:dyDescent="0.3">
      <c r="A10429" t="s">
        <v>22</v>
      </c>
      <c r="G10429">
        <v>44832</v>
      </c>
      <c r="H10429">
        <v>2022</v>
      </c>
      <c r="I10429" t="s">
        <v>50</v>
      </c>
    </row>
    <row r="10430" spans="1:9" x14ac:dyDescent="0.3">
      <c r="A10430" t="s">
        <v>61</v>
      </c>
      <c r="G10430">
        <v>44832</v>
      </c>
      <c r="H10430">
        <v>2022</v>
      </c>
      <c r="I10430" t="s">
        <v>50</v>
      </c>
    </row>
    <row r="10431" spans="1:9" x14ac:dyDescent="0.3">
      <c r="A10431" t="s">
        <v>19</v>
      </c>
      <c r="G10431">
        <v>44832</v>
      </c>
      <c r="H10431">
        <v>2022</v>
      </c>
      <c r="I10431" t="s">
        <v>50</v>
      </c>
    </row>
    <row r="10432" spans="1:9" x14ac:dyDescent="0.3">
      <c r="A10432" t="s">
        <v>14</v>
      </c>
      <c r="C10432">
        <v>202000</v>
      </c>
      <c r="G10432">
        <v>44832</v>
      </c>
      <c r="H10432">
        <v>2022</v>
      </c>
      <c r="I10432" t="s">
        <v>50</v>
      </c>
    </row>
    <row r="10433" spans="1:9" x14ac:dyDescent="0.3">
      <c r="A10433" t="s">
        <v>24</v>
      </c>
      <c r="G10433">
        <v>44832</v>
      </c>
      <c r="H10433">
        <v>2022</v>
      </c>
      <c r="I10433" t="s">
        <v>50</v>
      </c>
    </row>
    <row r="10434" spans="1:9" x14ac:dyDescent="0.3">
      <c r="A10434" t="s">
        <v>21</v>
      </c>
      <c r="G10434">
        <v>44832</v>
      </c>
      <c r="H10434">
        <v>2022</v>
      </c>
      <c r="I10434" t="s">
        <v>50</v>
      </c>
    </row>
    <row r="10435" spans="1:9" x14ac:dyDescent="0.3">
      <c r="A10435" t="s">
        <v>65</v>
      </c>
      <c r="G10435">
        <v>44832</v>
      </c>
      <c r="H10435">
        <v>2022</v>
      </c>
      <c r="I10435" t="s">
        <v>50</v>
      </c>
    </row>
    <row r="10436" spans="1:9" x14ac:dyDescent="0.3">
      <c r="A10436" t="s">
        <v>67</v>
      </c>
      <c r="G10436">
        <v>44832</v>
      </c>
      <c r="H10436">
        <v>2022</v>
      </c>
      <c r="I10436" t="s">
        <v>50</v>
      </c>
    </row>
    <row r="10437" spans="1:9" x14ac:dyDescent="0.3">
      <c r="A10437" t="s">
        <v>18</v>
      </c>
      <c r="E10437">
        <v>54000</v>
      </c>
      <c r="G10437">
        <v>44832</v>
      </c>
      <c r="H10437">
        <v>2022</v>
      </c>
      <c r="I10437" t="s">
        <v>50</v>
      </c>
    </row>
    <row r="10438" spans="1:9" x14ac:dyDescent="0.3">
      <c r="A10438" t="s">
        <v>16</v>
      </c>
      <c r="C10438">
        <v>108000</v>
      </c>
      <c r="G10438">
        <v>44832</v>
      </c>
      <c r="H10438">
        <v>2022</v>
      </c>
      <c r="I10438" t="s">
        <v>50</v>
      </c>
    </row>
    <row r="10439" spans="1:9" x14ac:dyDescent="0.3">
      <c r="A10439" t="s">
        <v>20</v>
      </c>
      <c r="G10439">
        <v>44833</v>
      </c>
      <c r="H10439">
        <v>2022</v>
      </c>
      <c r="I10439" t="s">
        <v>50</v>
      </c>
    </row>
    <row r="10440" spans="1:9" x14ac:dyDescent="0.3">
      <c r="A10440" t="s">
        <v>37</v>
      </c>
      <c r="G10440">
        <v>44833</v>
      </c>
      <c r="H10440">
        <v>2022</v>
      </c>
      <c r="I10440" t="s">
        <v>50</v>
      </c>
    </row>
    <row r="10441" spans="1:9" x14ac:dyDescent="0.3">
      <c r="A10441" t="s">
        <v>17</v>
      </c>
      <c r="B10441">
        <v>45000</v>
      </c>
      <c r="G10441">
        <v>44833</v>
      </c>
      <c r="H10441">
        <v>2022</v>
      </c>
      <c r="I10441" t="s">
        <v>50</v>
      </c>
    </row>
    <row r="10442" spans="1:9" x14ac:dyDescent="0.3">
      <c r="A10442" t="s">
        <v>0</v>
      </c>
      <c r="B10442">
        <v>1728000</v>
      </c>
      <c r="C10442">
        <v>486000</v>
      </c>
      <c r="D10442">
        <v>216000</v>
      </c>
      <c r="G10442">
        <v>44833</v>
      </c>
      <c r="H10442">
        <v>2022</v>
      </c>
      <c r="I10442" t="s">
        <v>50</v>
      </c>
    </row>
    <row r="10443" spans="1:9" x14ac:dyDescent="0.3">
      <c r="A10443" t="s">
        <v>25</v>
      </c>
      <c r="G10443">
        <v>44833</v>
      </c>
      <c r="H10443">
        <v>2022</v>
      </c>
      <c r="I10443" t="s">
        <v>50</v>
      </c>
    </row>
    <row r="10444" spans="1:9" x14ac:dyDescent="0.3">
      <c r="A10444" t="s">
        <v>15</v>
      </c>
      <c r="G10444">
        <v>44833</v>
      </c>
      <c r="H10444">
        <v>2022</v>
      </c>
      <c r="I10444" t="s">
        <v>50</v>
      </c>
    </row>
    <row r="10445" spans="1:9" x14ac:dyDescent="0.3">
      <c r="A10445" t="s">
        <v>54</v>
      </c>
      <c r="G10445">
        <v>44833</v>
      </c>
      <c r="H10445">
        <v>2022</v>
      </c>
      <c r="I10445" t="s">
        <v>50</v>
      </c>
    </row>
    <row r="10446" spans="1:9" x14ac:dyDescent="0.3">
      <c r="A10446" t="s">
        <v>26</v>
      </c>
      <c r="G10446">
        <v>44833</v>
      </c>
      <c r="H10446">
        <v>2022</v>
      </c>
      <c r="I10446" t="s">
        <v>50</v>
      </c>
    </row>
    <row r="10447" spans="1:9" x14ac:dyDescent="0.3">
      <c r="A10447" t="s">
        <v>22</v>
      </c>
      <c r="G10447">
        <v>44833</v>
      </c>
      <c r="H10447">
        <v>2022</v>
      </c>
      <c r="I10447" t="s">
        <v>50</v>
      </c>
    </row>
    <row r="10448" spans="1:9" x14ac:dyDescent="0.3">
      <c r="A10448" t="s">
        <v>61</v>
      </c>
      <c r="G10448">
        <v>44833</v>
      </c>
      <c r="H10448">
        <v>2022</v>
      </c>
      <c r="I10448" t="s">
        <v>50</v>
      </c>
    </row>
    <row r="10449" spans="1:9" x14ac:dyDescent="0.3">
      <c r="A10449" t="s">
        <v>19</v>
      </c>
      <c r="C10449">
        <v>504000</v>
      </c>
      <c r="G10449">
        <v>44833</v>
      </c>
      <c r="H10449">
        <v>2022</v>
      </c>
      <c r="I10449" t="s">
        <v>50</v>
      </c>
    </row>
    <row r="10450" spans="1:9" x14ac:dyDescent="0.3">
      <c r="A10450" t="s">
        <v>14</v>
      </c>
      <c r="C10450">
        <v>207000</v>
      </c>
      <c r="E10450">
        <v>540000</v>
      </c>
      <c r="G10450">
        <v>44833</v>
      </c>
      <c r="H10450">
        <v>2022</v>
      </c>
      <c r="I10450" t="s">
        <v>50</v>
      </c>
    </row>
    <row r="10451" spans="1:9" x14ac:dyDescent="0.3">
      <c r="A10451" t="s">
        <v>24</v>
      </c>
      <c r="G10451">
        <v>44833</v>
      </c>
      <c r="H10451">
        <v>2022</v>
      </c>
      <c r="I10451" t="s">
        <v>50</v>
      </c>
    </row>
    <row r="10452" spans="1:9" x14ac:dyDescent="0.3">
      <c r="A10452" t="s">
        <v>21</v>
      </c>
      <c r="G10452">
        <v>44833</v>
      </c>
      <c r="H10452">
        <v>2022</v>
      </c>
      <c r="I10452" t="s">
        <v>50</v>
      </c>
    </row>
    <row r="10453" spans="1:9" x14ac:dyDescent="0.3">
      <c r="A10453" t="s">
        <v>65</v>
      </c>
      <c r="G10453">
        <v>44833</v>
      </c>
      <c r="H10453">
        <v>2022</v>
      </c>
      <c r="I10453" t="s">
        <v>50</v>
      </c>
    </row>
    <row r="10454" spans="1:9" x14ac:dyDescent="0.3">
      <c r="A10454" t="s">
        <v>67</v>
      </c>
      <c r="G10454">
        <v>44833</v>
      </c>
      <c r="H10454">
        <v>2022</v>
      </c>
      <c r="I10454" t="s">
        <v>50</v>
      </c>
    </row>
    <row r="10455" spans="1:9" x14ac:dyDescent="0.3">
      <c r="A10455" t="s">
        <v>18</v>
      </c>
      <c r="G10455">
        <v>44833</v>
      </c>
      <c r="H10455">
        <v>2022</v>
      </c>
      <c r="I10455" t="s">
        <v>50</v>
      </c>
    </row>
    <row r="10456" spans="1:9" x14ac:dyDescent="0.3">
      <c r="A10456" t="s">
        <v>16</v>
      </c>
      <c r="G10456">
        <v>44833</v>
      </c>
      <c r="H10456">
        <v>2022</v>
      </c>
      <c r="I10456" t="s">
        <v>50</v>
      </c>
    </row>
    <row r="10457" spans="1:9" x14ac:dyDescent="0.3">
      <c r="A10457" t="s">
        <v>20</v>
      </c>
      <c r="G10457">
        <v>44834</v>
      </c>
      <c r="H10457">
        <v>2022</v>
      </c>
      <c r="I10457" t="s">
        <v>50</v>
      </c>
    </row>
    <row r="10458" spans="1:9" x14ac:dyDescent="0.3">
      <c r="A10458" t="s">
        <v>37</v>
      </c>
      <c r="G10458">
        <v>44834</v>
      </c>
      <c r="H10458">
        <v>2022</v>
      </c>
      <c r="I10458" t="s">
        <v>50</v>
      </c>
    </row>
    <row r="10459" spans="1:9" x14ac:dyDescent="0.3">
      <c r="A10459" t="s">
        <v>17</v>
      </c>
      <c r="G10459">
        <v>44834</v>
      </c>
      <c r="H10459">
        <v>2022</v>
      </c>
      <c r="I10459" t="s">
        <v>50</v>
      </c>
    </row>
    <row r="10460" spans="1:9" x14ac:dyDescent="0.3">
      <c r="A10460" t="s">
        <v>0</v>
      </c>
      <c r="B10460">
        <v>108000</v>
      </c>
      <c r="C10460">
        <v>648000</v>
      </c>
      <c r="D10460">
        <v>54000</v>
      </c>
      <c r="G10460">
        <v>44834</v>
      </c>
      <c r="H10460">
        <v>2022</v>
      </c>
      <c r="I10460" t="s">
        <v>50</v>
      </c>
    </row>
    <row r="10461" spans="1:9" x14ac:dyDescent="0.3">
      <c r="A10461" t="s">
        <v>25</v>
      </c>
      <c r="G10461">
        <v>44834</v>
      </c>
      <c r="H10461">
        <v>2022</v>
      </c>
      <c r="I10461" t="s">
        <v>50</v>
      </c>
    </row>
    <row r="10462" spans="1:9" x14ac:dyDescent="0.3">
      <c r="A10462" t="s">
        <v>15</v>
      </c>
      <c r="G10462">
        <v>44834</v>
      </c>
      <c r="H10462">
        <v>2022</v>
      </c>
      <c r="I10462" t="s">
        <v>50</v>
      </c>
    </row>
    <row r="10463" spans="1:9" x14ac:dyDescent="0.3">
      <c r="A10463" t="s">
        <v>54</v>
      </c>
      <c r="B10463">
        <v>1836000</v>
      </c>
      <c r="D10463">
        <v>594000</v>
      </c>
      <c r="G10463">
        <v>44834</v>
      </c>
      <c r="H10463">
        <v>2022</v>
      </c>
      <c r="I10463" t="s">
        <v>50</v>
      </c>
    </row>
    <row r="10464" spans="1:9" x14ac:dyDescent="0.3">
      <c r="A10464" t="s">
        <v>26</v>
      </c>
      <c r="G10464">
        <v>44834</v>
      </c>
      <c r="H10464">
        <v>2022</v>
      </c>
      <c r="I10464" t="s">
        <v>50</v>
      </c>
    </row>
    <row r="10465" spans="1:9" x14ac:dyDescent="0.3">
      <c r="A10465" t="s">
        <v>22</v>
      </c>
      <c r="G10465">
        <v>44834</v>
      </c>
      <c r="H10465">
        <v>2022</v>
      </c>
      <c r="I10465" t="s">
        <v>50</v>
      </c>
    </row>
    <row r="10466" spans="1:9" x14ac:dyDescent="0.3">
      <c r="A10466" t="s">
        <v>61</v>
      </c>
      <c r="G10466">
        <v>44834</v>
      </c>
      <c r="H10466">
        <v>2022</v>
      </c>
      <c r="I10466" t="s">
        <v>50</v>
      </c>
    </row>
    <row r="10467" spans="1:9" x14ac:dyDescent="0.3">
      <c r="A10467" t="s">
        <v>19</v>
      </c>
      <c r="C10467">
        <v>531000</v>
      </c>
      <c r="G10467">
        <v>44834</v>
      </c>
      <c r="H10467">
        <v>2022</v>
      </c>
      <c r="I10467" t="s">
        <v>50</v>
      </c>
    </row>
    <row r="10468" spans="1:9" x14ac:dyDescent="0.3">
      <c r="A10468" t="s">
        <v>14</v>
      </c>
      <c r="C10468">
        <v>424000</v>
      </c>
      <c r="E10468">
        <v>54000</v>
      </c>
      <c r="G10468">
        <v>44834</v>
      </c>
      <c r="H10468">
        <v>2022</v>
      </c>
      <c r="I10468" t="s">
        <v>50</v>
      </c>
    </row>
    <row r="10469" spans="1:9" x14ac:dyDescent="0.3">
      <c r="A10469" t="s">
        <v>24</v>
      </c>
      <c r="G10469">
        <v>44834</v>
      </c>
      <c r="H10469">
        <v>2022</v>
      </c>
      <c r="I10469" t="s">
        <v>50</v>
      </c>
    </row>
    <row r="10470" spans="1:9" x14ac:dyDescent="0.3">
      <c r="A10470" t="s">
        <v>21</v>
      </c>
      <c r="G10470">
        <v>44834</v>
      </c>
      <c r="H10470">
        <v>2022</v>
      </c>
      <c r="I10470" t="s">
        <v>50</v>
      </c>
    </row>
    <row r="10471" spans="1:9" x14ac:dyDescent="0.3">
      <c r="A10471" t="s">
        <v>65</v>
      </c>
      <c r="G10471">
        <v>44834</v>
      </c>
      <c r="H10471">
        <v>2022</v>
      </c>
      <c r="I10471" t="s">
        <v>50</v>
      </c>
    </row>
    <row r="10472" spans="1:9" x14ac:dyDescent="0.3">
      <c r="A10472" t="s">
        <v>67</v>
      </c>
      <c r="G10472">
        <v>44834</v>
      </c>
      <c r="H10472">
        <v>2022</v>
      </c>
      <c r="I10472" t="s">
        <v>50</v>
      </c>
    </row>
    <row r="10473" spans="1:9" x14ac:dyDescent="0.3">
      <c r="A10473" t="s">
        <v>18</v>
      </c>
      <c r="G10473">
        <v>44834</v>
      </c>
      <c r="H10473">
        <v>2022</v>
      </c>
      <c r="I10473" t="s">
        <v>50</v>
      </c>
    </row>
    <row r="10474" spans="1:9" x14ac:dyDescent="0.3">
      <c r="A10474" t="s">
        <v>16</v>
      </c>
      <c r="C10474">
        <v>531000</v>
      </c>
      <c r="G10474">
        <v>44834</v>
      </c>
      <c r="H10474">
        <v>2022</v>
      </c>
      <c r="I10474" t="s">
        <v>50</v>
      </c>
    </row>
    <row r="10475" spans="1:9" x14ac:dyDescent="0.3">
      <c r="A10475" t="s">
        <v>20</v>
      </c>
      <c r="G10475">
        <v>44837</v>
      </c>
      <c r="H10475">
        <v>2022</v>
      </c>
      <c r="I10475" t="s">
        <v>51</v>
      </c>
    </row>
    <row r="10476" spans="1:9" x14ac:dyDescent="0.3">
      <c r="A10476" t="s">
        <v>37</v>
      </c>
      <c r="G10476">
        <v>44837</v>
      </c>
      <c r="H10476">
        <v>2022</v>
      </c>
      <c r="I10476" t="s">
        <v>51</v>
      </c>
    </row>
    <row r="10477" spans="1:9" x14ac:dyDescent="0.3">
      <c r="A10477" t="s">
        <v>17</v>
      </c>
      <c r="G10477">
        <v>44837</v>
      </c>
      <c r="H10477">
        <v>2022</v>
      </c>
      <c r="I10477" t="s">
        <v>51</v>
      </c>
    </row>
    <row r="10478" spans="1:9" x14ac:dyDescent="0.3">
      <c r="A10478" t="s">
        <v>0</v>
      </c>
      <c r="C10478">
        <v>324000</v>
      </c>
      <c r="G10478">
        <v>44837</v>
      </c>
      <c r="H10478">
        <v>2022</v>
      </c>
      <c r="I10478" t="s">
        <v>51</v>
      </c>
    </row>
    <row r="10479" spans="1:9" x14ac:dyDescent="0.3">
      <c r="A10479" t="s">
        <v>25</v>
      </c>
      <c r="G10479">
        <v>44837</v>
      </c>
      <c r="H10479">
        <v>2022</v>
      </c>
      <c r="I10479" t="s">
        <v>51</v>
      </c>
    </row>
    <row r="10480" spans="1:9" x14ac:dyDescent="0.3">
      <c r="A10480" t="s">
        <v>15</v>
      </c>
      <c r="G10480">
        <v>44837</v>
      </c>
      <c r="H10480">
        <v>2022</v>
      </c>
      <c r="I10480" t="s">
        <v>51</v>
      </c>
    </row>
    <row r="10481" spans="1:9" x14ac:dyDescent="0.3">
      <c r="A10481" t="s">
        <v>54</v>
      </c>
      <c r="B10481">
        <v>162000</v>
      </c>
      <c r="G10481">
        <v>44837</v>
      </c>
      <c r="H10481">
        <v>2022</v>
      </c>
      <c r="I10481" t="s">
        <v>51</v>
      </c>
    </row>
    <row r="10482" spans="1:9" x14ac:dyDescent="0.3">
      <c r="A10482" t="s">
        <v>26</v>
      </c>
      <c r="G10482">
        <v>44837</v>
      </c>
      <c r="H10482">
        <v>2022</v>
      </c>
      <c r="I10482" t="s">
        <v>51</v>
      </c>
    </row>
    <row r="10483" spans="1:9" x14ac:dyDescent="0.3">
      <c r="A10483" t="s">
        <v>22</v>
      </c>
      <c r="G10483">
        <v>44837</v>
      </c>
      <c r="H10483">
        <v>2022</v>
      </c>
      <c r="I10483" t="s">
        <v>51</v>
      </c>
    </row>
    <row r="10484" spans="1:9" x14ac:dyDescent="0.3">
      <c r="A10484" t="s">
        <v>61</v>
      </c>
      <c r="G10484">
        <v>44837</v>
      </c>
      <c r="H10484">
        <v>2022</v>
      </c>
      <c r="I10484" t="s">
        <v>51</v>
      </c>
    </row>
    <row r="10485" spans="1:9" x14ac:dyDescent="0.3">
      <c r="A10485" t="s">
        <v>19</v>
      </c>
      <c r="G10485">
        <v>44837</v>
      </c>
      <c r="H10485">
        <v>2022</v>
      </c>
      <c r="I10485" t="s">
        <v>51</v>
      </c>
    </row>
    <row r="10486" spans="1:9" x14ac:dyDescent="0.3">
      <c r="A10486" t="s">
        <v>14</v>
      </c>
      <c r="C10486">
        <v>162000</v>
      </c>
      <c r="G10486">
        <v>44837</v>
      </c>
      <c r="H10486">
        <v>2022</v>
      </c>
      <c r="I10486" t="s">
        <v>51</v>
      </c>
    </row>
    <row r="10487" spans="1:9" x14ac:dyDescent="0.3">
      <c r="A10487" t="s">
        <v>24</v>
      </c>
      <c r="G10487">
        <v>44837</v>
      </c>
      <c r="H10487">
        <v>2022</v>
      </c>
      <c r="I10487" t="s">
        <v>51</v>
      </c>
    </row>
    <row r="10488" spans="1:9" x14ac:dyDescent="0.3">
      <c r="A10488" t="s">
        <v>21</v>
      </c>
      <c r="B10488">
        <v>374000</v>
      </c>
      <c r="G10488">
        <v>44837</v>
      </c>
      <c r="H10488">
        <v>2022</v>
      </c>
      <c r="I10488" t="s">
        <v>51</v>
      </c>
    </row>
    <row r="10489" spans="1:9" x14ac:dyDescent="0.3">
      <c r="A10489" t="s">
        <v>65</v>
      </c>
      <c r="G10489">
        <v>44837</v>
      </c>
      <c r="H10489">
        <v>2022</v>
      </c>
      <c r="I10489" t="s">
        <v>51</v>
      </c>
    </row>
    <row r="10490" spans="1:9" x14ac:dyDescent="0.3">
      <c r="A10490" t="s">
        <v>67</v>
      </c>
      <c r="G10490">
        <v>44837</v>
      </c>
      <c r="H10490">
        <v>2022</v>
      </c>
      <c r="I10490" t="s">
        <v>51</v>
      </c>
    </row>
    <row r="10491" spans="1:9" x14ac:dyDescent="0.3">
      <c r="A10491" t="s">
        <v>18</v>
      </c>
      <c r="G10491">
        <v>44837</v>
      </c>
      <c r="H10491">
        <v>2022</v>
      </c>
      <c r="I10491" t="s">
        <v>51</v>
      </c>
    </row>
    <row r="10492" spans="1:9" x14ac:dyDescent="0.3">
      <c r="A10492" t="s">
        <v>16</v>
      </c>
      <c r="C10492">
        <v>50000</v>
      </c>
      <c r="G10492">
        <v>44837</v>
      </c>
      <c r="H10492">
        <v>2022</v>
      </c>
      <c r="I10492" t="s">
        <v>51</v>
      </c>
    </row>
    <row r="10493" spans="1:9" x14ac:dyDescent="0.3">
      <c r="A10493" t="s">
        <v>20</v>
      </c>
      <c r="G10493">
        <v>44838</v>
      </c>
      <c r="H10493">
        <v>2022</v>
      </c>
      <c r="I10493" t="s">
        <v>51</v>
      </c>
    </row>
    <row r="10494" spans="1:9" x14ac:dyDescent="0.3">
      <c r="A10494" t="s">
        <v>37</v>
      </c>
      <c r="G10494">
        <v>44838</v>
      </c>
      <c r="H10494">
        <v>2022</v>
      </c>
      <c r="I10494" t="s">
        <v>51</v>
      </c>
    </row>
    <row r="10495" spans="1:9" x14ac:dyDescent="0.3">
      <c r="A10495" t="s">
        <v>17</v>
      </c>
      <c r="G10495">
        <v>44838</v>
      </c>
      <c r="H10495">
        <v>2022</v>
      </c>
      <c r="I10495" t="s">
        <v>51</v>
      </c>
    </row>
    <row r="10496" spans="1:9" x14ac:dyDescent="0.3">
      <c r="A10496" t="s">
        <v>0</v>
      </c>
      <c r="C10496">
        <v>486000</v>
      </c>
      <c r="G10496">
        <v>44838</v>
      </c>
      <c r="H10496">
        <v>2022</v>
      </c>
      <c r="I10496" t="s">
        <v>51</v>
      </c>
    </row>
    <row r="10497" spans="1:9" x14ac:dyDescent="0.3">
      <c r="A10497" t="s">
        <v>25</v>
      </c>
      <c r="G10497">
        <v>44838</v>
      </c>
      <c r="H10497">
        <v>2022</v>
      </c>
      <c r="I10497" t="s">
        <v>51</v>
      </c>
    </row>
    <row r="10498" spans="1:9" x14ac:dyDescent="0.3">
      <c r="A10498" t="s">
        <v>15</v>
      </c>
      <c r="G10498">
        <v>44838</v>
      </c>
      <c r="H10498">
        <v>2022</v>
      </c>
      <c r="I10498" t="s">
        <v>51</v>
      </c>
    </row>
    <row r="10499" spans="1:9" x14ac:dyDescent="0.3">
      <c r="A10499" t="s">
        <v>54</v>
      </c>
      <c r="G10499">
        <v>44838</v>
      </c>
      <c r="H10499">
        <v>2022</v>
      </c>
      <c r="I10499" t="s">
        <v>51</v>
      </c>
    </row>
    <row r="10500" spans="1:9" x14ac:dyDescent="0.3">
      <c r="A10500" t="s">
        <v>26</v>
      </c>
      <c r="G10500">
        <v>44838</v>
      </c>
      <c r="H10500">
        <v>2022</v>
      </c>
      <c r="I10500" t="s">
        <v>51</v>
      </c>
    </row>
    <row r="10501" spans="1:9" x14ac:dyDescent="0.3">
      <c r="A10501" t="s">
        <v>22</v>
      </c>
      <c r="G10501">
        <v>44838</v>
      </c>
      <c r="H10501">
        <v>2022</v>
      </c>
      <c r="I10501" t="s">
        <v>51</v>
      </c>
    </row>
    <row r="10502" spans="1:9" x14ac:dyDescent="0.3">
      <c r="A10502" t="s">
        <v>61</v>
      </c>
      <c r="G10502">
        <v>44838</v>
      </c>
      <c r="H10502">
        <v>2022</v>
      </c>
      <c r="I10502" t="s">
        <v>51</v>
      </c>
    </row>
    <row r="10503" spans="1:9" x14ac:dyDescent="0.3">
      <c r="A10503" t="s">
        <v>19</v>
      </c>
      <c r="C10503">
        <v>324000</v>
      </c>
      <c r="G10503">
        <v>44838</v>
      </c>
      <c r="H10503">
        <v>2022</v>
      </c>
      <c r="I10503" t="s">
        <v>51</v>
      </c>
    </row>
    <row r="10504" spans="1:9" x14ac:dyDescent="0.3">
      <c r="A10504" t="s">
        <v>14</v>
      </c>
      <c r="C10504">
        <v>265500</v>
      </c>
      <c r="E10504">
        <v>108000</v>
      </c>
      <c r="G10504">
        <v>44838</v>
      </c>
      <c r="H10504">
        <v>2022</v>
      </c>
      <c r="I10504" t="s">
        <v>51</v>
      </c>
    </row>
    <row r="10505" spans="1:9" x14ac:dyDescent="0.3">
      <c r="A10505" t="s">
        <v>24</v>
      </c>
      <c r="G10505">
        <v>44838</v>
      </c>
      <c r="H10505">
        <v>2022</v>
      </c>
      <c r="I10505" t="s">
        <v>51</v>
      </c>
    </row>
    <row r="10506" spans="1:9" x14ac:dyDescent="0.3">
      <c r="A10506" t="s">
        <v>21</v>
      </c>
      <c r="B10506">
        <v>859500</v>
      </c>
      <c r="G10506">
        <v>44838</v>
      </c>
      <c r="H10506">
        <v>2022</v>
      </c>
      <c r="I10506" t="s">
        <v>51</v>
      </c>
    </row>
    <row r="10507" spans="1:9" x14ac:dyDescent="0.3">
      <c r="A10507" t="s">
        <v>65</v>
      </c>
      <c r="G10507">
        <v>44838</v>
      </c>
      <c r="H10507">
        <v>2022</v>
      </c>
      <c r="I10507" t="s">
        <v>51</v>
      </c>
    </row>
    <row r="10508" spans="1:9" x14ac:dyDescent="0.3">
      <c r="A10508" t="s">
        <v>67</v>
      </c>
      <c r="G10508">
        <v>44838</v>
      </c>
      <c r="H10508">
        <v>2022</v>
      </c>
      <c r="I10508" t="s">
        <v>51</v>
      </c>
    </row>
    <row r="10509" spans="1:9" x14ac:dyDescent="0.3">
      <c r="A10509" t="s">
        <v>18</v>
      </c>
      <c r="G10509">
        <v>44838</v>
      </c>
      <c r="H10509">
        <v>2022</v>
      </c>
      <c r="I10509" t="s">
        <v>51</v>
      </c>
    </row>
    <row r="10510" spans="1:9" x14ac:dyDescent="0.3">
      <c r="A10510" t="s">
        <v>16</v>
      </c>
      <c r="C10510">
        <v>50000</v>
      </c>
      <c r="G10510">
        <v>44838</v>
      </c>
      <c r="H10510">
        <v>2022</v>
      </c>
      <c r="I10510" t="s">
        <v>51</v>
      </c>
    </row>
    <row r="10511" spans="1:9" x14ac:dyDescent="0.3">
      <c r="A10511" t="s">
        <v>20</v>
      </c>
      <c r="G10511">
        <v>44839</v>
      </c>
      <c r="H10511">
        <v>2022</v>
      </c>
      <c r="I10511" t="s">
        <v>51</v>
      </c>
    </row>
    <row r="10512" spans="1:9" x14ac:dyDescent="0.3">
      <c r="A10512" t="s">
        <v>37</v>
      </c>
      <c r="G10512">
        <v>44839</v>
      </c>
      <c r="H10512">
        <v>2022</v>
      </c>
      <c r="I10512" t="s">
        <v>51</v>
      </c>
    </row>
    <row r="10513" spans="1:9" x14ac:dyDescent="0.3">
      <c r="A10513" t="s">
        <v>17</v>
      </c>
      <c r="G10513">
        <v>44839</v>
      </c>
      <c r="H10513">
        <v>2022</v>
      </c>
      <c r="I10513" t="s">
        <v>51</v>
      </c>
    </row>
    <row r="10514" spans="1:9" x14ac:dyDescent="0.3">
      <c r="A10514" t="s">
        <v>0</v>
      </c>
      <c r="C10514">
        <v>1017000</v>
      </c>
      <c r="G10514">
        <v>44839</v>
      </c>
      <c r="H10514">
        <v>2022</v>
      </c>
      <c r="I10514" t="s">
        <v>51</v>
      </c>
    </row>
    <row r="10515" spans="1:9" x14ac:dyDescent="0.3">
      <c r="A10515" t="s">
        <v>25</v>
      </c>
      <c r="G10515">
        <v>44839</v>
      </c>
      <c r="H10515">
        <v>2022</v>
      </c>
      <c r="I10515" t="s">
        <v>51</v>
      </c>
    </row>
    <row r="10516" spans="1:9" x14ac:dyDescent="0.3">
      <c r="A10516" t="s">
        <v>15</v>
      </c>
      <c r="G10516">
        <v>44839</v>
      </c>
      <c r="H10516">
        <v>2022</v>
      </c>
      <c r="I10516" t="s">
        <v>51</v>
      </c>
    </row>
    <row r="10517" spans="1:9" x14ac:dyDescent="0.3">
      <c r="A10517" t="s">
        <v>54</v>
      </c>
      <c r="G10517">
        <v>44839</v>
      </c>
      <c r="H10517">
        <v>2022</v>
      </c>
      <c r="I10517" t="s">
        <v>51</v>
      </c>
    </row>
    <row r="10518" spans="1:9" x14ac:dyDescent="0.3">
      <c r="A10518" t="s">
        <v>26</v>
      </c>
      <c r="B10518">
        <v>45000</v>
      </c>
      <c r="G10518">
        <v>44839</v>
      </c>
      <c r="H10518">
        <v>2022</v>
      </c>
      <c r="I10518" t="s">
        <v>51</v>
      </c>
    </row>
    <row r="10519" spans="1:9" x14ac:dyDescent="0.3">
      <c r="A10519" t="s">
        <v>22</v>
      </c>
      <c r="G10519">
        <v>44839</v>
      </c>
      <c r="H10519">
        <v>2022</v>
      </c>
      <c r="I10519" t="s">
        <v>51</v>
      </c>
    </row>
    <row r="10520" spans="1:9" x14ac:dyDescent="0.3">
      <c r="A10520" t="s">
        <v>61</v>
      </c>
      <c r="G10520">
        <v>44839</v>
      </c>
      <c r="H10520">
        <v>2022</v>
      </c>
      <c r="I10520" t="s">
        <v>51</v>
      </c>
    </row>
    <row r="10521" spans="1:9" x14ac:dyDescent="0.3">
      <c r="A10521" t="s">
        <v>19</v>
      </c>
      <c r="C10521">
        <v>135000</v>
      </c>
      <c r="G10521">
        <v>44839</v>
      </c>
      <c r="H10521">
        <v>2022</v>
      </c>
      <c r="I10521" t="s">
        <v>51</v>
      </c>
    </row>
    <row r="10522" spans="1:9" x14ac:dyDescent="0.3">
      <c r="A10522" t="s">
        <v>14</v>
      </c>
      <c r="C10522">
        <v>469000</v>
      </c>
      <c r="G10522">
        <v>44839</v>
      </c>
      <c r="H10522">
        <v>2022</v>
      </c>
      <c r="I10522" t="s">
        <v>51</v>
      </c>
    </row>
    <row r="10523" spans="1:9" x14ac:dyDescent="0.3">
      <c r="A10523" t="s">
        <v>24</v>
      </c>
      <c r="G10523">
        <v>44839</v>
      </c>
      <c r="H10523">
        <v>2022</v>
      </c>
      <c r="I10523" t="s">
        <v>51</v>
      </c>
    </row>
    <row r="10524" spans="1:9" x14ac:dyDescent="0.3">
      <c r="A10524" t="s">
        <v>21</v>
      </c>
      <c r="B10524">
        <v>702000</v>
      </c>
      <c r="G10524">
        <v>44839</v>
      </c>
      <c r="H10524">
        <v>2022</v>
      </c>
      <c r="I10524" t="s">
        <v>51</v>
      </c>
    </row>
    <row r="10525" spans="1:9" x14ac:dyDescent="0.3">
      <c r="A10525" t="s">
        <v>65</v>
      </c>
      <c r="G10525">
        <v>44839</v>
      </c>
      <c r="H10525">
        <v>2022</v>
      </c>
      <c r="I10525" t="s">
        <v>51</v>
      </c>
    </row>
    <row r="10526" spans="1:9" x14ac:dyDescent="0.3">
      <c r="A10526" t="s">
        <v>67</v>
      </c>
      <c r="G10526">
        <v>44839</v>
      </c>
      <c r="H10526">
        <v>2022</v>
      </c>
      <c r="I10526" t="s">
        <v>51</v>
      </c>
    </row>
    <row r="10527" spans="1:9" x14ac:dyDescent="0.3">
      <c r="A10527" t="s">
        <v>18</v>
      </c>
      <c r="B10527">
        <v>54000</v>
      </c>
      <c r="G10527">
        <v>44839</v>
      </c>
      <c r="H10527">
        <v>2022</v>
      </c>
      <c r="I10527" t="s">
        <v>51</v>
      </c>
    </row>
    <row r="10528" spans="1:9" x14ac:dyDescent="0.3">
      <c r="A10528" t="s">
        <v>16</v>
      </c>
      <c r="B10528">
        <v>1076000</v>
      </c>
      <c r="C10528">
        <v>99500</v>
      </c>
      <c r="D10528">
        <v>162000</v>
      </c>
      <c r="G10528">
        <v>44839</v>
      </c>
      <c r="H10528">
        <v>2022</v>
      </c>
      <c r="I10528" t="s">
        <v>51</v>
      </c>
    </row>
    <row r="10529" spans="1:9" x14ac:dyDescent="0.3">
      <c r="A10529" t="s">
        <v>20</v>
      </c>
      <c r="G10529">
        <v>44840</v>
      </c>
      <c r="H10529">
        <v>2022</v>
      </c>
      <c r="I10529" t="s">
        <v>51</v>
      </c>
    </row>
    <row r="10530" spans="1:9" x14ac:dyDescent="0.3">
      <c r="A10530" t="s">
        <v>37</v>
      </c>
      <c r="G10530">
        <v>44840</v>
      </c>
      <c r="H10530">
        <v>2022</v>
      </c>
      <c r="I10530" t="s">
        <v>51</v>
      </c>
    </row>
    <row r="10531" spans="1:9" x14ac:dyDescent="0.3">
      <c r="A10531" t="s">
        <v>17</v>
      </c>
      <c r="G10531">
        <v>44840</v>
      </c>
      <c r="H10531">
        <v>2022</v>
      </c>
      <c r="I10531" t="s">
        <v>51</v>
      </c>
    </row>
    <row r="10532" spans="1:9" x14ac:dyDescent="0.3">
      <c r="A10532" t="s">
        <v>0</v>
      </c>
      <c r="C10532">
        <v>540000</v>
      </c>
      <c r="G10532">
        <v>44840</v>
      </c>
      <c r="H10532">
        <v>2022</v>
      </c>
      <c r="I10532" t="s">
        <v>51</v>
      </c>
    </row>
    <row r="10533" spans="1:9" x14ac:dyDescent="0.3">
      <c r="A10533" t="s">
        <v>25</v>
      </c>
      <c r="G10533">
        <v>44840</v>
      </c>
      <c r="H10533">
        <v>2022</v>
      </c>
      <c r="I10533" t="s">
        <v>51</v>
      </c>
    </row>
    <row r="10534" spans="1:9" x14ac:dyDescent="0.3">
      <c r="A10534" t="s">
        <v>15</v>
      </c>
      <c r="G10534">
        <v>44840</v>
      </c>
      <c r="H10534">
        <v>2022</v>
      </c>
      <c r="I10534" t="s">
        <v>51</v>
      </c>
    </row>
    <row r="10535" spans="1:9" x14ac:dyDescent="0.3">
      <c r="A10535" t="s">
        <v>54</v>
      </c>
      <c r="G10535">
        <v>44840</v>
      </c>
      <c r="H10535">
        <v>2022</v>
      </c>
      <c r="I10535" t="s">
        <v>51</v>
      </c>
    </row>
    <row r="10536" spans="1:9" x14ac:dyDescent="0.3">
      <c r="A10536" t="s">
        <v>26</v>
      </c>
      <c r="B10536">
        <v>54000</v>
      </c>
      <c r="G10536">
        <v>44840</v>
      </c>
      <c r="H10536">
        <v>2022</v>
      </c>
      <c r="I10536" t="s">
        <v>51</v>
      </c>
    </row>
    <row r="10537" spans="1:9" x14ac:dyDescent="0.3">
      <c r="A10537" t="s">
        <v>22</v>
      </c>
      <c r="B10537">
        <v>54000</v>
      </c>
      <c r="G10537">
        <v>44840</v>
      </c>
      <c r="H10537">
        <v>2022</v>
      </c>
      <c r="I10537" t="s">
        <v>51</v>
      </c>
    </row>
    <row r="10538" spans="1:9" x14ac:dyDescent="0.3">
      <c r="A10538" t="s">
        <v>61</v>
      </c>
      <c r="G10538">
        <v>44840</v>
      </c>
      <c r="H10538">
        <v>2022</v>
      </c>
      <c r="I10538" t="s">
        <v>51</v>
      </c>
    </row>
    <row r="10539" spans="1:9" x14ac:dyDescent="0.3">
      <c r="A10539" t="s">
        <v>19</v>
      </c>
      <c r="G10539">
        <v>44840</v>
      </c>
      <c r="H10539">
        <v>2022</v>
      </c>
      <c r="I10539" t="s">
        <v>51</v>
      </c>
    </row>
    <row r="10540" spans="1:9" x14ac:dyDescent="0.3">
      <c r="A10540" t="s">
        <v>14</v>
      </c>
      <c r="C10540">
        <v>1350000</v>
      </c>
      <c r="G10540">
        <v>44840</v>
      </c>
      <c r="H10540">
        <v>2022</v>
      </c>
      <c r="I10540" t="s">
        <v>51</v>
      </c>
    </row>
    <row r="10541" spans="1:9" x14ac:dyDescent="0.3">
      <c r="A10541" t="s">
        <v>24</v>
      </c>
      <c r="G10541">
        <v>44840</v>
      </c>
      <c r="H10541">
        <v>2022</v>
      </c>
      <c r="I10541" t="s">
        <v>51</v>
      </c>
    </row>
    <row r="10542" spans="1:9" x14ac:dyDescent="0.3">
      <c r="A10542" t="s">
        <v>21</v>
      </c>
      <c r="B10542">
        <v>485500</v>
      </c>
      <c r="G10542">
        <v>44840</v>
      </c>
      <c r="H10542">
        <v>2022</v>
      </c>
      <c r="I10542" t="s">
        <v>51</v>
      </c>
    </row>
    <row r="10543" spans="1:9" x14ac:dyDescent="0.3">
      <c r="A10543" t="s">
        <v>65</v>
      </c>
      <c r="G10543">
        <v>44840</v>
      </c>
      <c r="H10543">
        <v>2022</v>
      </c>
      <c r="I10543" t="s">
        <v>51</v>
      </c>
    </row>
    <row r="10544" spans="1:9" x14ac:dyDescent="0.3">
      <c r="A10544" t="s">
        <v>67</v>
      </c>
      <c r="G10544">
        <v>44840</v>
      </c>
      <c r="H10544">
        <v>2022</v>
      </c>
      <c r="I10544" t="s">
        <v>51</v>
      </c>
    </row>
    <row r="10545" spans="1:9" x14ac:dyDescent="0.3">
      <c r="A10545" t="s">
        <v>18</v>
      </c>
      <c r="G10545">
        <v>44840</v>
      </c>
      <c r="H10545">
        <v>2022</v>
      </c>
      <c r="I10545" t="s">
        <v>51</v>
      </c>
    </row>
    <row r="10546" spans="1:9" x14ac:dyDescent="0.3">
      <c r="A10546" t="s">
        <v>16</v>
      </c>
      <c r="B10546">
        <v>1291500</v>
      </c>
      <c r="G10546">
        <v>44840</v>
      </c>
      <c r="H10546">
        <v>2022</v>
      </c>
      <c r="I10546" t="s">
        <v>51</v>
      </c>
    </row>
    <row r="10547" spans="1:9" x14ac:dyDescent="0.3">
      <c r="A10547" t="s">
        <v>20</v>
      </c>
      <c r="G10547">
        <v>44841</v>
      </c>
      <c r="H10547">
        <v>2022</v>
      </c>
      <c r="I10547" t="s">
        <v>51</v>
      </c>
    </row>
    <row r="10548" spans="1:9" x14ac:dyDescent="0.3">
      <c r="A10548" t="s">
        <v>37</v>
      </c>
      <c r="G10548">
        <v>44841</v>
      </c>
      <c r="H10548">
        <v>2022</v>
      </c>
      <c r="I10548" t="s">
        <v>51</v>
      </c>
    </row>
    <row r="10549" spans="1:9" x14ac:dyDescent="0.3">
      <c r="A10549" t="s">
        <v>17</v>
      </c>
      <c r="B10549">
        <v>45000</v>
      </c>
      <c r="G10549">
        <v>44841</v>
      </c>
      <c r="H10549">
        <v>2022</v>
      </c>
      <c r="I10549" t="s">
        <v>51</v>
      </c>
    </row>
    <row r="10550" spans="1:9" x14ac:dyDescent="0.3">
      <c r="A10550" t="s">
        <v>0</v>
      </c>
      <c r="C10550">
        <v>54000</v>
      </c>
      <c r="G10550">
        <v>44841</v>
      </c>
      <c r="H10550">
        <v>2022</v>
      </c>
      <c r="I10550" t="s">
        <v>51</v>
      </c>
    </row>
    <row r="10551" spans="1:9" x14ac:dyDescent="0.3">
      <c r="A10551" t="s">
        <v>25</v>
      </c>
      <c r="G10551">
        <v>44841</v>
      </c>
      <c r="H10551">
        <v>2022</v>
      </c>
      <c r="I10551" t="s">
        <v>51</v>
      </c>
    </row>
    <row r="10552" spans="1:9" x14ac:dyDescent="0.3">
      <c r="A10552" t="s">
        <v>15</v>
      </c>
      <c r="G10552">
        <v>44841</v>
      </c>
      <c r="H10552">
        <v>2022</v>
      </c>
      <c r="I10552" t="s">
        <v>51</v>
      </c>
    </row>
    <row r="10553" spans="1:9" x14ac:dyDescent="0.3">
      <c r="A10553" t="s">
        <v>54</v>
      </c>
      <c r="G10553">
        <v>44841</v>
      </c>
      <c r="H10553">
        <v>2022</v>
      </c>
      <c r="I10553" t="s">
        <v>51</v>
      </c>
    </row>
    <row r="10554" spans="1:9" x14ac:dyDescent="0.3">
      <c r="A10554" t="s">
        <v>26</v>
      </c>
      <c r="B10554">
        <v>211500</v>
      </c>
      <c r="C10554">
        <v>1071000</v>
      </c>
      <c r="G10554">
        <v>44841</v>
      </c>
      <c r="H10554">
        <v>2022</v>
      </c>
      <c r="I10554" t="s">
        <v>51</v>
      </c>
    </row>
    <row r="10555" spans="1:9" x14ac:dyDescent="0.3">
      <c r="A10555" t="s">
        <v>22</v>
      </c>
      <c r="G10555">
        <v>44841</v>
      </c>
      <c r="H10555">
        <v>2022</v>
      </c>
      <c r="I10555" t="s">
        <v>51</v>
      </c>
    </row>
    <row r="10556" spans="1:9" x14ac:dyDescent="0.3">
      <c r="A10556" t="s">
        <v>61</v>
      </c>
      <c r="G10556">
        <v>44841</v>
      </c>
      <c r="H10556">
        <v>2022</v>
      </c>
      <c r="I10556" t="s">
        <v>51</v>
      </c>
    </row>
    <row r="10557" spans="1:9" x14ac:dyDescent="0.3">
      <c r="A10557" t="s">
        <v>19</v>
      </c>
      <c r="G10557">
        <v>44841</v>
      </c>
      <c r="H10557">
        <v>2022</v>
      </c>
      <c r="I10557" t="s">
        <v>51</v>
      </c>
    </row>
    <row r="10558" spans="1:9" x14ac:dyDescent="0.3">
      <c r="A10558" t="s">
        <v>14</v>
      </c>
      <c r="G10558">
        <v>44841</v>
      </c>
      <c r="H10558">
        <v>2022</v>
      </c>
      <c r="I10558" t="s">
        <v>51</v>
      </c>
    </row>
    <row r="10559" spans="1:9" x14ac:dyDescent="0.3">
      <c r="A10559" t="s">
        <v>24</v>
      </c>
      <c r="G10559">
        <v>44841</v>
      </c>
      <c r="H10559">
        <v>2022</v>
      </c>
      <c r="I10559" t="s">
        <v>51</v>
      </c>
    </row>
    <row r="10560" spans="1:9" x14ac:dyDescent="0.3">
      <c r="A10560" t="s">
        <v>21</v>
      </c>
      <c r="B10560">
        <v>644000</v>
      </c>
      <c r="G10560">
        <v>44841</v>
      </c>
      <c r="H10560">
        <v>2022</v>
      </c>
      <c r="I10560" t="s">
        <v>51</v>
      </c>
    </row>
    <row r="10561" spans="1:9" x14ac:dyDescent="0.3">
      <c r="A10561" t="s">
        <v>65</v>
      </c>
      <c r="G10561">
        <v>44841</v>
      </c>
      <c r="H10561">
        <v>2022</v>
      </c>
      <c r="I10561" t="s">
        <v>51</v>
      </c>
    </row>
    <row r="10562" spans="1:9" x14ac:dyDescent="0.3">
      <c r="A10562" t="s">
        <v>67</v>
      </c>
      <c r="G10562">
        <v>44841</v>
      </c>
      <c r="H10562">
        <v>2022</v>
      </c>
      <c r="I10562" t="s">
        <v>51</v>
      </c>
    </row>
    <row r="10563" spans="1:9" x14ac:dyDescent="0.3">
      <c r="A10563" t="s">
        <v>18</v>
      </c>
      <c r="G10563">
        <v>44841</v>
      </c>
      <c r="H10563">
        <v>2022</v>
      </c>
      <c r="I10563" t="s">
        <v>51</v>
      </c>
    </row>
    <row r="10564" spans="1:9" x14ac:dyDescent="0.3">
      <c r="A10564" t="s">
        <v>16</v>
      </c>
      <c r="B10564">
        <v>270000</v>
      </c>
      <c r="C10564">
        <v>193500</v>
      </c>
      <c r="G10564">
        <v>44841</v>
      </c>
      <c r="H10564">
        <v>2022</v>
      </c>
      <c r="I10564" t="s">
        <v>51</v>
      </c>
    </row>
    <row r="10565" spans="1:9" x14ac:dyDescent="0.3">
      <c r="A10565" t="s">
        <v>20</v>
      </c>
      <c r="G10565">
        <v>44844</v>
      </c>
      <c r="H10565">
        <v>2022</v>
      </c>
      <c r="I10565" t="s">
        <v>51</v>
      </c>
    </row>
    <row r="10566" spans="1:9" x14ac:dyDescent="0.3">
      <c r="A10566" t="s">
        <v>37</v>
      </c>
      <c r="G10566">
        <v>44844</v>
      </c>
      <c r="H10566">
        <v>2022</v>
      </c>
      <c r="I10566" t="s">
        <v>51</v>
      </c>
    </row>
    <row r="10567" spans="1:9" x14ac:dyDescent="0.3">
      <c r="A10567" t="s">
        <v>17</v>
      </c>
      <c r="B10567">
        <v>45000</v>
      </c>
      <c r="G10567">
        <v>44844</v>
      </c>
      <c r="H10567">
        <v>2022</v>
      </c>
      <c r="I10567" t="s">
        <v>51</v>
      </c>
    </row>
    <row r="10568" spans="1:9" x14ac:dyDescent="0.3">
      <c r="A10568" t="s">
        <v>0</v>
      </c>
      <c r="C10568">
        <v>54000</v>
      </c>
      <c r="G10568">
        <v>44844</v>
      </c>
      <c r="H10568">
        <v>2022</v>
      </c>
      <c r="I10568" t="s">
        <v>51</v>
      </c>
    </row>
    <row r="10569" spans="1:9" x14ac:dyDescent="0.3">
      <c r="A10569" t="s">
        <v>25</v>
      </c>
      <c r="G10569">
        <v>44844</v>
      </c>
      <c r="H10569">
        <v>2022</v>
      </c>
      <c r="I10569" t="s">
        <v>51</v>
      </c>
    </row>
    <row r="10570" spans="1:9" x14ac:dyDescent="0.3">
      <c r="A10570" t="s">
        <v>15</v>
      </c>
      <c r="G10570">
        <v>44844</v>
      </c>
      <c r="H10570">
        <v>2022</v>
      </c>
      <c r="I10570" t="s">
        <v>51</v>
      </c>
    </row>
    <row r="10571" spans="1:9" x14ac:dyDescent="0.3">
      <c r="A10571" t="s">
        <v>54</v>
      </c>
      <c r="G10571">
        <v>44844</v>
      </c>
      <c r="H10571">
        <v>2022</v>
      </c>
      <c r="I10571" t="s">
        <v>51</v>
      </c>
    </row>
    <row r="10572" spans="1:9" x14ac:dyDescent="0.3">
      <c r="A10572" t="s">
        <v>26</v>
      </c>
      <c r="B10572">
        <v>365000</v>
      </c>
      <c r="C10572">
        <v>54000</v>
      </c>
      <c r="G10572">
        <v>44844</v>
      </c>
      <c r="H10572">
        <v>2022</v>
      </c>
      <c r="I10572" t="s">
        <v>51</v>
      </c>
    </row>
    <row r="10573" spans="1:9" x14ac:dyDescent="0.3">
      <c r="A10573" t="s">
        <v>22</v>
      </c>
      <c r="G10573">
        <v>44844</v>
      </c>
      <c r="H10573">
        <v>2022</v>
      </c>
      <c r="I10573" t="s">
        <v>51</v>
      </c>
    </row>
    <row r="10574" spans="1:9" x14ac:dyDescent="0.3">
      <c r="A10574" t="s">
        <v>61</v>
      </c>
      <c r="G10574">
        <v>44844</v>
      </c>
      <c r="H10574">
        <v>2022</v>
      </c>
      <c r="I10574" t="s">
        <v>51</v>
      </c>
    </row>
    <row r="10575" spans="1:9" x14ac:dyDescent="0.3">
      <c r="A10575" t="s">
        <v>19</v>
      </c>
      <c r="G10575">
        <v>44844</v>
      </c>
      <c r="H10575">
        <v>2022</v>
      </c>
      <c r="I10575" t="s">
        <v>51</v>
      </c>
    </row>
    <row r="10576" spans="1:9" x14ac:dyDescent="0.3">
      <c r="A10576" t="s">
        <v>14</v>
      </c>
      <c r="B10576">
        <v>594000</v>
      </c>
      <c r="D10576">
        <v>702000</v>
      </c>
      <c r="G10576">
        <v>44844</v>
      </c>
      <c r="H10576">
        <v>2022</v>
      </c>
      <c r="I10576" t="s">
        <v>51</v>
      </c>
    </row>
    <row r="10577" spans="1:9" x14ac:dyDescent="0.3">
      <c r="A10577" t="s">
        <v>24</v>
      </c>
      <c r="G10577">
        <v>44844</v>
      </c>
      <c r="H10577">
        <v>2022</v>
      </c>
      <c r="I10577" t="s">
        <v>51</v>
      </c>
    </row>
    <row r="10578" spans="1:9" x14ac:dyDescent="0.3">
      <c r="A10578" t="s">
        <v>21</v>
      </c>
      <c r="B10578">
        <v>378000</v>
      </c>
      <c r="G10578">
        <v>44844</v>
      </c>
      <c r="H10578">
        <v>2022</v>
      </c>
      <c r="I10578" t="s">
        <v>51</v>
      </c>
    </row>
    <row r="10579" spans="1:9" x14ac:dyDescent="0.3">
      <c r="A10579" t="s">
        <v>65</v>
      </c>
      <c r="G10579">
        <v>44844</v>
      </c>
      <c r="H10579">
        <v>2022</v>
      </c>
      <c r="I10579" t="s">
        <v>51</v>
      </c>
    </row>
    <row r="10580" spans="1:9" x14ac:dyDescent="0.3">
      <c r="A10580" t="s">
        <v>67</v>
      </c>
      <c r="G10580">
        <v>44844</v>
      </c>
      <c r="H10580">
        <v>2022</v>
      </c>
      <c r="I10580" t="s">
        <v>51</v>
      </c>
    </row>
    <row r="10581" spans="1:9" x14ac:dyDescent="0.3">
      <c r="A10581" t="s">
        <v>18</v>
      </c>
      <c r="G10581">
        <v>44844</v>
      </c>
      <c r="H10581">
        <v>2022</v>
      </c>
      <c r="I10581" t="s">
        <v>51</v>
      </c>
    </row>
    <row r="10582" spans="1:9" x14ac:dyDescent="0.3">
      <c r="A10582" t="s">
        <v>16</v>
      </c>
      <c r="B10582">
        <v>216000</v>
      </c>
      <c r="G10582">
        <v>44844</v>
      </c>
      <c r="H10582">
        <v>2022</v>
      </c>
      <c r="I10582" t="s">
        <v>51</v>
      </c>
    </row>
    <row r="10583" spans="1:9" x14ac:dyDescent="0.3">
      <c r="A10583" t="s">
        <v>20</v>
      </c>
      <c r="G10583">
        <v>44844</v>
      </c>
      <c r="H10583">
        <v>2022</v>
      </c>
      <c r="I10583" t="s">
        <v>51</v>
      </c>
    </row>
    <row r="10584" spans="1:9" x14ac:dyDescent="0.3">
      <c r="A10584" t="s">
        <v>37</v>
      </c>
      <c r="G10584">
        <v>44844</v>
      </c>
      <c r="H10584">
        <v>2022</v>
      </c>
      <c r="I10584" t="s">
        <v>51</v>
      </c>
    </row>
    <row r="10585" spans="1:9" x14ac:dyDescent="0.3">
      <c r="A10585" t="s">
        <v>17</v>
      </c>
      <c r="G10585">
        <v>44844</v>
      </c>
      <c r="H10585">
        <v>2022</v>
      </c>
      <c r="I10585" t="s">
        <v>51</v>
      </c>
    </row>
    <row r="10586" spans="1:9" x14ac:dyDescent="0.3">
      <c r="A10586" t="s">
        <v>0</v>
      </c>
      <c r="G10586">
        <v>44844</v>
      </c>
      <c r="H10586">
        <v>2022</v>
      </c>
      <c r="I10586" t="s">
        <v>51</v>
      </c>
    </row>
    <row r="10587" spans="1:9" x14ac:dyDescent="0.3">
      <c r="A10587" t="s">
        <v>25</v>
      </c>
      <c r="G10587">
        <v>44844</v>
      </c>
      <c r="H10587">
        <v>2022</v>
      </c>
      <c r="I10587" t="s">
        <v>51</v>
      </c>
    </row>
    <row r="10588" spans="1:9" x14ac:dyDescent="0.3">
      <c r="A10588" t="s">
        <v>15</v>
      </c>
      <c r="G10588">
        <v>44844</v>
      </c>
      <c r="H10588">
        <v>2022</v>
      </c>
      <c r="I10588" t="s">
        <v>51</v>
      </c>
    </row>
    <row r="10589" spans="1:9" x14ac:dyDescent="0.3">
      <c r="A10589" t="s">
        <v>54</v>
      </c>
      <c r="G10589">
        <v>44844</v>
      </c>
      <c r="H10589">
        <v>2022</v>
      </c>
      <c r="I10589" t="s">
        <v>51</v>
      </c>
    </row>
    <row r="10590" spans="1:9" x14ac:dyDescent="0.3">
      <c r="A10590" t="s">
        <v>26</v>
      </c>
      <c r="B10590">
        <v>157500</v>
      </c>
      <c r="G10590">
        <v>44844</v>
      </c>
      <c r="H10590">
        <v>2022</v>
      </c>
      <c r="I10590" t="s">
        <v>51</v>
      </c>
    </row>
    <row r="10591" spans="1:9" x14ac:dyDescent="0.3">
      <c r="A10591" t="s">
        <v>22</v>
      </c>
      <c r="G10591">
        <v>44844</v>
      </c>
      <c r="H10591">
        <v>2022</v>
      </c>
      <c r="I10591" t="s">
        <v>51</v>
      </c>
    </row>
    <row r="10592" spans="1:9" x14ac:dyDescent="0.3">
      <c r="A10592" t="s">
        <v>61</v>
      </c>
      <c r="G10592">
        <v>44844</v>
      </c>
      <c r="H10592">
        <v>2022</v>
      </c>
      <c r="I10592" t="s">
        <v>51</v>
      </c>
    </row>
    <row r="10593" spans="1:9" x14ac:dyDescent="0.3">
      <c r="A10593" t="s">
        <v>19</v>
      </c>
      <c r="G10593">
        <v>44844</v>
      </c>
      <c r="H10593">
        <v>2022</v>
      </c>
      <c r="I10593" t="s">
        <v>51</v>
      </c>
    </row>
    <row r="10594" spans="1:9" x14ac:dyDescent="0.3">
      <c r="A10594" t="s">
        <v>14</v>
      </c>
      <c r="B10594">
        <v>594000</v>
      </c>
      <c r="D10594">
        <v>810000</v>
      </c>
      <c r="G10594">
        <v>44844</v>
      </c>
      <c r="H10594">
        <v>2022</v>
      </c>
      <c r="I10594" t="s">
        <v>51</v>
      </c>
    </row>
    <row r="10595" spans="1:9" x14ac:dyDescent="0.3">
      <c r="A10595" t="s">
        <v>24</v>
      </c>
      <c r="G10595">
        <v>44844</v>
      </c>
      <c r="H10595">
        <v>2022</v>
      </c>
      <c r="I10595" t="s">
        <v>51</v>
      </c>
    </row>
    <row r="10596" spans="1:9" x14ac:dyDescent="0.3">
      <c r="A10596" t="s">
        <v>21</v>
      </c>
      <c r="B10596">
        <v>324000</v>
      </c>
      <c r="G10596">
        <v>44844</v>
      </c>
      <c r="H10596">
        <v>2022</v>
      </c>
      <c r="I10596" t="s">
        <v>51</v>
      </c>
    </row>
    <row r="10597" spans="1:9" x14ac:dyDescent="0.3">
      <c r="A10597" t="s">
        <v>65</v>
      </c>
      <c r="G10597">
        <v>44844</v>
      </c>
      <c r="H10597">
        <v>2022</v>
      </c>
      <c r="I10597" t="s">
        <v>51</v>
      </c>
    </row>
    <row r="10598" spans="1:9" x14ac:dyDescent="0.3">
      <c r="A10598" t="s">
        <v>67</v>
      </c>
      <c r="G10598">
        <v>44844</v>
      </c>
      <c r="H10598">
        <v>2022</v>
      </c>
      <c r="I10598" t="s">
        <v>51</v>
      </c>
    </row>
    <row r="10599" spans="1:9" x14ac:dyDescent="0.3">
      <c r="A10599" t="s">
        <v>18</v>
      </c>
      <c r="B10599">
        <v>157500</v>
      </c>
      <c r="G10599">
        <v>44844</v>
      </c>
      <c r="H10599">
        <v>2022</v>
      </c>
      <c r="I10599" t="s">
        <v>51</v>
      </c>
    </row>
    <row r="10600" spans="1:9" x14ac:dyDescent="0.3">
      <c r="A10600" t="s">
        <v>16</v>
      </c>
      <c r="B10600">
        <v>108000</v>
      </c>
      <c r="G10600">
        <v>44844</v>
      </c>
      <c r="H10600">
        <v>2022</v>
      </c>
      <c r="I10600" t="s">
        <v>51</v>
      </c>
    </row>
    <row r="10601" spans="1:9" x14ac:dyDescent="0.3">
      <c r="A10601" t="s">
        <v>20</v>
      </c>
      <c r="G10601">
        <v>44846</v>
      </c>
      <c r="H10601">
        <v>2022</v>
      </c>
      <c r="I10601" t="s">
        <v>51</v>
      </c>
    </row>
    <row r="10602" spans="1:9" x14ac:dyDescent="0.3">
      <c r="A10602" t="s">
        <v>37</v>
      </c>
      <c r="G10602">
        <v>44846</v>
      </c>
      <c r="H10602">
        <v>2022</v>
      </c>
      <c r="I10602" t="s">
        <v>51</v>
      </c>
    </row>
    <row r="10603" spans="1:9" x14ac:dyDescent="0.3">
      <c r="A10603" t="s">
        <v>17</v>
      </c>
      <c r="G10603">
        <v>44846</v>
      </c>
      <c r="H10603">
        <v>2022</v>
      </c>
      <c r="I10603" t="s">
        <v>51</v>
      </c>
    </row>
    <row r="10604" spans="1:9" x14ac:dyDescent="0.3">
      <c r="A10604" t="s">
        <v>0</v>
      </c>
      <c r="C10604">
        <v>108000</v>
      </c>
      <c r="G10604">
        <v>44846</v>
      </c>
      <c r="H10604">
        <v>2022</v>
      </c>
      <c r="I10604" t="s">
        <v>51</v>
      </c>
    </row>
    <row r="10605" spans="1:9" x14ac:dyDescent="0.3">
      <c r="A10605" t="s">
        <v>25</v>
      </c>
      <c r="G10605">
        <v>44846</v>
      </c>
      <c r="H10605">
        <v>2022</v>
      </c>
      <c r="I10605" t="s">
        <v>51</v>
      </c>
    </row>
    <row r="10606" spans="1:9" x14ac:dyDescent="0.3">
      <c r="A10606" t="s">
        <v>15</v>
      </c>
      <c r="G10606">
        <v>44846</v>
      </c>
      <c r="H10606">
        <v>2022</v>
      </c>
      <c r="I10606" t="s">
        <v>51</v>
      </c>
    </row>
    <row r="10607" spans="1:9" x14ac:dyDescent="0.3">
      <c r="A10607" t="s">
        <v>54</v>
      </c>
      <c r="G10607">
        <v>44846</v>
      </c>
      <c r="H10607">
        <v>2022</v>
      </c>
      <c r="I10607" t="s">
        <v>51</v>
      </c>
    </row>
    <row r="10608" spans="1:9" x14ac:dyDescent="0.3">
      <c r="A10608" t="s">
        <v>26</v>
      </c>
      <c r="B10608">
        <v>216000</v>
      </c>
      <c r="G10608">
        <v>44846</v>
      </c>
      <c r="H10608">
        <v>2022</v>
      </c>
      <c r="I10608" t="s">
        <v>51</v>
      </c>
    </row>
    <row r="10609" spans="1:9" x14ac:dyDescent="0.3">
      <c r="A10609" t="s">
        <v>22</v>
      </c>
      <c r="G10609">
        <v>44846</v>
      </c>
      <c r="H10609">
        <v>2022</v>
      </c>
      <c r="I10609" t="s">
        <v>51</v>
      </c>
    </row>
    <row r="10610" spans="1:9" x14ac:dyDescent="0.3">
      <c r="A10610" t="s">
        <v>61</v>
      </c>
      <c r="G10610">
        <v>44846</v>
      </c>
      <c r="H10610">
        <v>2022</v>
      </c>
      <c r="I10610" t="s">
        <v>51</v>
      </c>
    </row>
    <row r="10611" spans="1:9" x14ac:dyDescent="0.3">
      <c r="A10611" t="s">
        <v>19</v>
      </c>
      <c r="B10611">
        <v>265500</v>
      </c>
      <c r="D10611">
        <v>265500</v>
      </c>
      <c r="G10611">
        <v>44846</v>
      </c>
      <c r="H10611">
        <v>2022</v>
      </c>
      <c r="I10611" t="s">
        <v>51</v>
      </c>
    </row>
    <row r="10612" spans="1:9" x14ac:dyDescent="0.3">
      <c r="A10612" t="s">
        <v>14</v>
      </c>
      <c r="B10612">
        <v>486000</v>
      </c>
      <c r="C10612">
        <v>936000</v>
      </c>
      <c r="D10612">
        <v>270000</v>
      </c>
      <c r="G10612">
        <v>44846</v>
      </c>
      <c r="H10612">
        <v>2022</v>
      </c>
      <c r="I10612" t="s">
        <v>51</v>
      </c>
    </row>
    <row r="10613" spans="1:9" x14ac:dyDescent="0.3">
      <c r="A10613" t="s">
        <v>24</v>
      </c>
      <c r="G10613">
        <v>44846</v>
      </c>
      <c r="H10613">
        <v>2022</v>
      </c>
      <c r="I10613" t="s">
        <v>51</v>
      </c>
    </row>
    <row r="10614" spans="1:9" x14ac:dyDescent="0.3">
      <c r="A10614" t="s">
        <v>21</v>
      </c>
      <c r="B10614">
        <v>270000</v>
      </c>
      <c r="G10614">
        <v>44846</v>
      </c>
      <c r="H10614">
        <v>2022</v>
      </c>
      <c r="I10614" t="s">
        <v>51</v>
      </c>
    </row>
    <row r="10615" spans="1:9" x14ac:dyDescent="0.3">
      <c r="A10615" t="s">
        <v>65</v>
      </c>
      <c r="G10615">
        <v>44846</v>
      </c>
      <c r="H10615">
        <v>2022</v>
      </c>
      <c r="I10615" t="s">
        <v>51</v>
      </c>
    </row>
    <row r="10616" spans="1:9" x14ac:dyDescent="0.3">
      <c r="A10616" t="s">
        <v>67</v>
      </c>
      <c r="G10616">
        <v>44846</v>
      </c>
      <c r="H10616">
        <v>2022</v>
      </c>
      <c r="I10616" t="s">
        <v>51</v>
      </c>
    </row>
    <row r="10617" spans="1:9" x14ac:dyDescent="0.3">
      <c r="A10617" t="s">
        <v>18</v>
      </c>
      <c r="B10617">
        <v>158000</v>
      </c>
      <c r="G10617">
        <v>44846</v>
      </c>
      <c r="H10617">
        <v>2022</v>
      </c>
      <c r="I10617" t="s">
        <v>51</v>
      </c>
    </row>
    <row r="10618" spans="1:9" x14ac:dyDescent="0.3">
      <c r="A10618" t="s">
        <v>16</v>
      </c>
      <c r="B10618">
        <v>54000</v>
      </c>
      <c r="G10618">
        <v>44846</v>
      </c>
      <c r="H10618">
        <v>2022</v>
      </c>
      <c r="I10618" t="s">
        <v>51</v>
      </c>
    </row>
    <row r="10619" spans="1:9" x14ac:dyDescent="0.3">
      <c r="A10619" t="s">
        <v>20</v>
      </c>
      <c r="G10619">
        <v>44847</v>
      </c>
      <c r="H10619">
        <v>2022</v>
      </c>
      <c r="I10619" t="s">
        <v>51</v>
      </c>
    </row>
    <row r="10620" spans="1:9" x14ac:dyDescent="0.3">
      <c r="A10620" t="s">
        <v>37</v>
      </c>
      <c r="G10620">
        <v>44847</v>
      </c>
      <c r="H10620">
        <v>2022</v>
      </c>
      <c r="I10620" t="s">
        <v>51</v>
      </c>
    </row>
    <row r="10621" spans="1:9" x14ac:dyDescent="0.3">
      <c r="A10621" t="s">
        <v>17</v>
      </c>
      <c r="G10621">
        <v>44847</v>
      </c>
      <c r="H10621">
        <v>2022</v>
      </c>
      <c r="I10621" t="s">
        <v>51</v>
      </c>
    </row>
    <row r="10622" spans="1:9" x14ac:dyDescent="0.3">
      <c r="A10622" t="s">
        <v>0</v>
      </c>
      <c r="C10622">
        <v>1510000</v>
      </c>
      <c r="G10622">
        <v>44847</v>
      </c>
      <c r="H10622">
        <v>2022</v>
      </c>
      <c r="I10622" t="s">
        <v>51</v>
      </c>
    </row>
    <row r="10623" spans="1:9" x14ac:dyDescent="0.3">
      <c r="A10623" t="s">
        <v>25</v>
      </c>
      <c r="G10623">
        <v>44847</v>
      </c>
      <c r="H10623">
        <v>2022</v>
      </c>
      <c r="I10623" t="s">
        <v>51</v>
      </c>
    </row>
    <row r="10624" spans="1:9" x14ac:dyDescent="0.3">
      <c r="A10624" t="s">
        <v>15</v>
      </c>
      <c r="G10624">
        <v>44847</v>
      </c>
      <c r="H10624">
        <v>2022</v>
      </c>
      <c r="I10624" t="s">
        <v>51</v>
      </c>
    </row>
    <row r="10625" spans="1:9" x14ac:dyDescent="0.3">
      <c r="A10625" t="s">
        <v>54</v>
      </c>
      <c r="G10625">
        <v>44847</v>
      </c>
      <c r="H10625">
        <v>2022</v>
      </c>
      <c r="I10625" t="s">
        <v>51</v>
      </c>
    </row>
    <row r="10626" spans="1:9" x14ac:dyDescent="0.3">
      <c r="A10626" t="s">
        <v>26</v>
      </c>
      <c r="B10626">
        <v>49500</v>
      </c>
      <c r="G10626">
        <v>44847</v>
      </c>
      <c r="H10626">
        <v>2022</v>
      </c>
      <c r="I10626" t="s">
        <v>51</v>
      </c>
    </row>
    <row r="10627" spans="1:9" x14ac:dyDescent="0.3">
      <c r="A10627" t="s">
        <v>22</v>
      </c>
      <c r="G10627">
        <v>44847</v>
      </c>
      <c r="H10627">
        <v>2022</v>
      </c>
      <c r="I10627" t="s">
        <v>51</v>
      </c>
    </row>
    <row r="10628" spans="1:9" x14ac:dyDescent="0.3">
      <c r="A10628" t="s">
        <v>61</v>
      </c>
      <c r="G10628">
        <v>44847</v>
      </c>
      <c r="H10628">
        <v>2022</v>
      </c>
      <c r="I10628" t="s">
        <v>51</v>
      </c>
    </row>
    <row r="10629" spans="1:9" x14ac:dyDescent="0.3">
      <c r="A10629" t="s">
        <v>19</v>
      </c>
      <c r="B10629">
        <v>540000</v>
      </c>
      <c r="D10629">
        <v>324000</v>
      </c>
      <c r="G10629">
        <v>44847</v>
      </c>
      <c r="H10629">
        <v>2022</v>
      </c>
      <c r="I10629" t="s">
        <v>51</v>
      </c>
    </row>
    <row r="10630" spans="1:9" x14ac:dyDescent="0.3">
      <c r="A10630" t="s">
        <v>14</v>
      </c>
      <c r="B10630">
        <v>648000</v>
      </c>
      <c r="D10630">
        <v>270000</v>
      </c>
      <c r="G10630">
        <v>44847</v>
      </c>
      <c r="H10630">
        <v>2022</v>
      </c>
      <c r="I10630" t="s">
        <v>51</v>
      </c>
    </row>
    <row r="10631" spans="1:9" x14ac:dyDescent="0.3">
      <c r="A10631" t="s">
        <v>24</v>
      </c>
      <c r="G10631">
        <v>44847</v>
      </c>
      <c r="H10631">
        <v>2022</v>
      </c>
      <c r="I10631" t="s">
        <v>51</v>
      </c>
    </row>
    <row r="10632" spans="1:9" x14ac:dyDescent="0.3">
      <c r="A10632" t="s">
        <v>21</v>
      </c>
      <c r="B10632">
        <v>378000</v>
      </c>
      <c r="G10632">
        <v>44847</v>
      </c>
      <c r="H10632">
        <v>2022</v>
      </c>
      <c r="I10632" t="s">
        <v>51</v>
      </c>
    </row>
    <row r="10633" spans="1:9" x14ac:dyDescent="0.3">
      <c r="A10633" t="s">
        <v>65</v>
      </c>
      <c r="G10633">
        <v>44847</v>
      </c>
      <c r="H10633">
        <v>2022</v>
      </c>
      <c r="I10633" t="s">
        <v>51</v>
      </c>
    </row>
    <row r="10634" spans="1:9" x14ac:dyDescent="0.3">
      <c r="A10634" t="s">
        <v>67</v>
      </c>
      <c r="G10634">
        <v>44847</v>
      </c>
      <c r="H10634">
        <v>2022</v>
      </c>
      <c r="I10634" t="s">
        <v>51</v>
      </c>
    </row>
    <row r="10635" spans="1:9" x14ac:dyDescent="0.3">
      <c r="A10635" t="s">
        <v>18</v>
      </c>
      <c r="G10635">
        <v>44847</v>
      </c>
      <c r="H10635">
        <v>2022</v>
      </c>
      <c r="I10635" t="s">
        <v>51</v>
      </c>
    </row>
    <row r="10636" spans="1:9" x14ac:dyDescent="0.3">
      <c r="A10636" t="s">
        <v>16</v>
      </c>
      <c r="G10636">
        <v>44847</v>
      </c>
      <c r="H10636">
        <v>2022</v>
      </c>
      <c r="I10636" t="s">
        <v>51</v>
      </c>
    </row>
    <row r="10637" spans="1:9" x14ac:dyDescent="0.3">
      <c r="A10637" t="s">
        <v>20</v>
      </c>
      <c r="G10637">
        <v>44848</v>
      </c>
      <c r="H10637">
        <v>2022</v>
      </c>
      <c r="I10637" t="s">
        <v>51</v>
      </c>
    </row>
    <row r="10638" spans="1:9" x14ac:dyDescent="0.3">
      <c r="A10638" t="s">
        <v>37</v>
      </c>
      <c r="B10638">
        <v>216000</v>
      </c>
      <c r="D10638">
        <v>54000</v>
      </c>
      <c r="G10638">
        <v>44848</v>
      </c>
      <c r="H10638">
        <v>2022</v>
      </c>
      <c r="I10638" t="s">
        <v>51</v>
      </c>
    </row>
    <row r="10639" spans="1:9" x14ac:dyDescent="0.3">
      <c r="A10639" t="s">
        <v>17</v>
      </c>
      <c r="G10639">
        <v>44848</v>
      </c>
      <c r="H10639">
        <v>2022</v>
      </c>
      <c r="I10639" t="s">
        <v>51</v>
      </c>
    </row>
    <row r="10640" spans="1:9" x14ac:dyDescent="0.3">
      <c r="A10640" t="s">
        <v>0</v>
      </c>
      <c r="C10640">
        <v>378000</v>
      </c>
      <c r="G10640">
        <v>44848</v>
      </c>
      <c r="H10640">
        <v>2022</v>
      </c>
      <c r="I10640" t="s">
        <v>51</v>
      </c>
    </row>
    <row r="10641" spans="1:9" x14ac:dyDescent="0.3">
      <c r="A10641" t="s">
        <v>25</v>
      </c>
      <c r="G10641">
        <v>44848</v>
      </c>
      <c r="H10641">
        <v>2022</v>
      </c>
      <c r="I10641" t="s">
        <v>51</v>
      </c>
    </row>
    <row r="10642" spans="1:9" x14ac:dyDescent="0.3">
      <c r="A10642" t="s">
        <v>15</v>
      </c>
      <c r="C10642">
        <v>486000</v>
      </c>
      <c r="G10642">
        <v>44848</v>
      </c>
      <c r="H10642">
        <v>2022</v>
      </c>
      <c r="I10642" t="s">
        <v>51</v>
      </c>
    </row>
    <row r="10643" spans="1:9" x14ac:dyDescent="0.3">
      <c r="A10643" t="s">
        <v>54</v>
      </c>
      <c r="C10643">
        <v>54000</v>
      </c>
      <c r="G10643">
        <v>44848</v>
      </c>
      <c r="H10643">
        <v>2022</v>
      </c>
      <c r="I10643" t="s">
        <v>51</v>
      </c>
    </row>
    <row r="10644" spans="1:9" x14ac:dyDescent="0.3">
      <c r="A10644" t="s">
        <v>26</v>
      </c>
      <c r="G10644">
        <v>44848</v>
      </c>
      <c r="H10644">
        <v>2022</v>
      </c>
      <c r="I10644" t="s">
        <v>51</v>
      </c>
    </row>
    <row r="10645" spans="1:9" x14ac:dyDescent="0.3">
      <c r="A10645" t="s">
        <v>22</v>
      </c>
      <c r="G10645">
        <v>44848</v>
      </c>
      <c r="H10645">
        <v>2022</v>
      </c>
      <c r="I10645" t="s">
        <v>51</v>
      </c>
    </row>
    <row r="10646" spans="1:9" x14ac:dyDescent="0.3">
      <c r="A10646" t="s">
        <v>61</v>
      </c>
      <c r="G10646">
        <v>44848</v>
      </c>
      <c r="H10646">
        <v>2022</v>
      </c>
      <c r="I10646" t="s">
        <v>51</v>
      </c>
    </row>
    <row r="10647" spans="1:9" x14ac:dyDescent="0.3">
      <c r="A10647" t="s">
        <v>19</v>
      </c>
      <c r="B10647">
        <v>1013000</v>
      </c>
      <c r="D10647">
        <v>270000</v>
      </c>
      <c r="G10647">
        <v>44848</v>
      </c>
      <c r="H10647">
        <v>2022</v>
      </c>
      <c r="I10647" t="s">
        <v>51</v>
      </c>
    </row>
    <row r="10648" spans="1:9" x14ac:dyDescent="0.3">
      <c r="A10648" t="s">
        <v>14</v>
      </c>
      <c r="B10648">
        <v>752000</v>
      </c>
      <c r="C10648">
        <v>428000</v>
      </c>
      <c r="D10648">
        <v>432000</v>
      </c>
      <c r="G10648">
        <v>44848</v>
      </c>
      <c r="H10648">
        <v>2022</v>
      </c>
      <c r="I10648" t="s">
        <v>51</v>
      </c>
    </row>
    <row r="10649" spans="1:9" x14ac:dyDescent="0.3">
      <c r="A10649" t="s">
        <v>24</v>
      </c>
      <c r="G10649">
        <v>44848</v>
      </c>
      <c r="H10649">
        <v>2022</v>
      </c>
      <c r="I10649" t="s">
        <v>51</v>
      </c>
    </row>
    <row r="10650" spans="1:9" x14ac:dyDescent="0.3">
      <c r="A10650" t="s">
        <v>21</v>
      </c>
      <c r="G10650">
        <v>44848</v>
      </c>
      <c r="H10650">
        <v>2022</v>
      </c>
      <c r="I10650" t="s">
        <v>51</v>
      </c>
    </row>
    <row r="10651" spans="1:9" x14ac:dyDescent="0.3">
      <c r="A10651" t="s">
        <v>65</v>
      </c>
      <c r="G10651">
        <v>44848</v>
      </c>
      <c r="H10651">
        <v>2022</v>
      </c>
      <c r="I10651" t="s">
        <v>51</v>
      </c>
    </row>
    <row r="10652" spans="1:9" x14ac:dyDescent="0.3">
      <c r="A10652" t="s">
        <v>67</v>
      </c>
      <c r="G10652">
        <v>44848</v>
      </c>
      <c r="H10652">
        <v>2022</v>
      </c>
      <c r="I10652" t="s">
        <v>51</v>
      </c>
    </row>
    <row r="10653" spans="1:9" x14ac:dyDescent="0.3">
      <c r="A10653" t="s">
        <v>18</v>
      </c>
      <c r="G10653">
        <v>44848</v>
      </c>
      <c r="H10653">
        <v>2022</v>
      </c>
      <c r="I10653" t="s">
        <v>51</v>
      </c>
    </row>
    <row r="10654" spans="1:9" x14ac:dyDescent="0.3">
      <c r="A10654" t="s">
        <v>16</v>
      </c>
      <c r="B10654">
        <v>108000</v>
      </c>
      <c r="G10654">
        <v>44848</v>
      </c>
      <c r="H10654">
        <v>2022</v>
      </c>
      <c r="I10654" t="s">
        <v>51</v>
      </c>
    </row>
    <row r="10655" spans="1:9" x14ac:dyDescent="0.3">
      <c r="A10655" t="s">
        <v>20</v>
      </c>
      <c r="G10655">
        <v>44851</v>
      </c>
      <c r="H10655">
        <v>2022</v>
      </c>
      <c r="I10655" t="s">
        <v>51</v>
      </c>
    </row>
    <row r="10656" spans="1:9" x14ac:dyDescent="0.3">
      <c r="A10656" t="s">
        <v>37</v>
      </c>
      <c r="B10656">
        <v>108000</v>
      </c>
      <c r="D10656">
        <v>90000</v>
      </c>
      <c r="G10656">
        <v>44851</v>
      </c>
      <c r="H10656">
        <v>2022</v>
      </c>
      <c r="I10656" t="s">
        <v>51</v>
      </c>
    </row>
    <row r="10657" spans="1:9" x14ac:dyDescent="0.3">
      <c r="A10657" t="s">
        <v>17</v>
      </c>
      <c r="G10657">
        <v>44851</v>
      </c>
      <c r="H10657">
        <v>2022</v>
      </c>
      <c r="I10657" t="s">
        <v>51</v>
      </c>
    </row>
    <row r="10658" spans="1:9" x14ac:dyDescent="0.3">
      <c r="A10658" t="s">
        <v>0</v>
      </c>
      <c r="B10658">
        <v>1080000</v>
      </c>
      <c r="D10658">
        <v>486000</v>
      </c>
      <c r="G10658">
        <v>44851</v>
      </c>
      <c r="H10658">
        <v>2022</v>
      </c>
      <c r="I10658" t="s">
        <v>51</v>
      </c>
    </row>
    <row r="10659" spans="1:9" x14ac:dyDescent="0.3">
      <c r="A10659" t="s">
        <v>25</v>
      </c>
      <c r="G10659">
        <v>44851</v>
      </c>
      <c r="H10659">
        <v>2022</v>
      </c>
      <c r="I10659" t="s">
        <v>51</v>
      </c>
    </row>
    <row r="10660" spans="1:9" x14ac:dyDescent="0.3">
      <c r="A10660" t="s">
        <v>15</v>
      </c>
      <c r="C10660">
        <v>1012500</v>
      </c>
      <c r="G10660">
        <v>44851</v>
      </c>
      <c r="H10660">
        <v>2022</v>
      </c>
      <c r="I10660" t="s">
        <v>51</v>
      </c>
    </row>
    <row r="10661" spans="1:9" x14ac:dyDescent="0.3">
      <c r="A10661" t="s">
        <v>54</v>
      </c>
      <c r="G10661">
        <v>44851</v>
      </c>
      <c r="H10661">
        <v>2022</v>
      </c>
      <c r="I10661" t="s">
        <v>51</v>
      </c>
    </row>
    <row r="10662" spans="1:9" x14ac:dyDescent="0.3">
      <c r="A10662" t="s">
        <v>26</v>
      </c>
      <c r="G10662">
        <v>44851</v>
      </c>
      <c r="H10662">
        <v>2022</v>
      </c>
      <c r="I10662" t="s">
        <v>51</v>
      </c>
    </row>
    <row r="10663" spans="1:9" x14ac:dyDescent="0.3">
      <c r="A10663" t="s">
        <v>22</v>
      </c>
      <c r="G10663">
        <v>44851</v>
      </c>
      <c r="H10663">
        <v>2022</v>
      </c>
      <c r="I10663" t="s">
        <v>51</v>
      </c>
    </row>
    <row r="10664" spans="1:9" x14ac:dyDescent="0.3">
      <c r="A10664" t="s">
        <v>61</v>
      </c>
      <c r="G10664">
        <v>44851</v>
      </c>
      <c r="H10664">
        <v>2022</v>
      </c>
      <c r="I10664" t="s">
        <v>51</v>
      </c>
    </row>
    <row r="10665" spans="1:9" x14ac:dyDescent="0.3">
      <c r="A10665" t="s">
        <v>19</v>
      </c>
      <c r="B10665">
        <v>107500</v>
      </c>
      <c r="C10665">
        <v>270000</v>
      </c>
      <c r="D10665">
        <v>54000</v>
      </c>
      <c r="G10665">
        <v>44851</v>
      </c>
      <c r="H10665">
        <v>2022</v>
      </c>
      <c r="I10665" t="s">
        <v>51</v>
      </c>
    </row>
    <row r="10666" spans="1:9" x14ac:dyDescent="0.3">
      <c r="A10666" t="s">
        <v>14</v>
      </c>
      <c r="B10666">
        <v>108000</v>
      </c>
      <c r="G10666">
        <v>44851</v>
      </c>
      <c r="H10666">
        <v>2022</v>
      </c>
      <c r="I10666" t="s">
        <v>51</v>
      </c>
    </row>
    <row r="10667" spans="1:9" x14ac:dyDescent="0.3">
      <c r="A10667" t="s">
        <v>24</v>
      </c>
      <c r="G10667">
        <v>44851</v>
      </c>
      <c r="H10667">
        <v>2022</v>
      </c>
      <c r="I10667" t="s">
        <v>51</v>
      </c>
    </row>
    <row r="10668" spans="1:9" x14ac:dyDescent="0.3">
      <c r="A10668" t="s">
        <v>21</v>
      </c>
      <c r="B10668">
        <v>108000</v>
      </c>
      <c r="G10668">
        <v>44851</v>
      </c>
      <c r="H10668">
        <v>2022</v>
      </c>
      <c r="I10668" t="s">
        <v>51</v>
      </c>
    </row>
    <row r="10669" spans="1:9" x14ac:dyDescent="0.3">
      <c r="A10669" t="s">
        <v>65</v>
      </c>
      <c r="G10669">
        <v>44851</v>
      </c>
      <c r="H10669">
        <v>2022</v>
      </c>
      <c r="I10669" t="s">
        <v>51</v>
      </c>
    </row>
    <row r="10670" spans="1:9" x14ac:dyDescent="0.3">
      <c r="A10670" t="s">
        <v>67</v>
      </c>
      <c r="G10670">
        <v>44851</v>
      </c>
      <c r="H10670">
        <v>2022</v>
      </c>
      <c r="I10670" t="s">
        <v>51</v>
      </c>
    </row>
    <row r="10671" spans="1:9" x14ac:dyDescent="0.3">
      <c r="A10671" t="s">
        <v>18</v>
      </c>
      <c r="G10671">
        <v>44851</v>
      </c>
      <c r="H10671">
        <v>2022</v>
      </c>
      <c r="I10671" t="s">
        <v>51</v>
      </c>
    </row>
    <row r="10672" spans="1:9" x14ac:dyDescent="0.3">
      <c r="A10672" t="s">
        <v>16</v>
      </c>
      <c r="G10672">
        <v>44851</v>
      </c>
      <c r="H10672">
        <v>2022</v>
      </c>
      <c r="I10672" t="s">
        <v>51</v>
      </c>
    </row>
    <row r="10673" spans="1:9" x14ac:dyDescent="0.3">
      <c r="A10673" t="s">
        <v>20</v>
      </c>
      <c r="G10673">
        <v>44852</v>
      </c>
      <c r="H10673">
        <v>2022</v>
      </c>
      <c r="I10673" t="s">
        <v>51</v>
      </c>
    </row>
    <row r="10674" spans="1:9" x14ac:dyDescent="0.3">
      <c r="A10674" t="s">
        <v>37</v>
      </c>
      <c r="B10674">
        <v>162000</v>
      </c>
      <c r="G10674">
        <v>44852</v>
      </c>
      <c r="H10674">
        <v>2022</v>
      </c>
      <c r="I10674" t="s">
        <v>51</v>
      </c>
    </row>
    <row r="10675" spans="1:9" x14ac:dyDescent="0.3">
      <c r="A10675" t="s">
        <v>17</v>
      </c>
      <c r="G10675">
        <v>44852</v>
      </c>
      <c r="H10675">
        <v>2022</v>
      </c>
      <c r="I10675" t="s">
        <v>51</v>
      </c>
    </row>
    <row r="10676" spans="1:9" x14ac:dyDescent="0.3">
      <c r="A10676" t="s">
        <v>0</v>
      </c>
      <c r="B10676">
        <v>810000</v>
      </c>
      <c r="G10676">
        <v>44852</v>
      </c>
      <c r="H10676">
        <v>2022</v>
      </c>
      <c r="I10676" t="s">
        <v>51</v>
      </c>
    </row>
    <row r="10677" spans="1:9" x14ac:dyDescent="0.3">
      <c r="A10677" t="s">
        <v>25</v>
      </c>
      <c r="G10677">
        <v>44852</v>
      </c>
      <c r="H10677">
        <v>2022</v>
      </c>
      <c r="I10677" t="s">
        <v>51</v>
      </c>
    </row>
    <row r="10678" spans="1:9" x14ac:dyDescent="0.3">
      <c r="A10678" t="s">
        <v>15</v>
      </c>
      <c r="G10678">
        <v>44852</v>
      </c>
      <c r="H10678">
        <v>2022</v>
      </c>
      <c r="I10678" t="s">
        <v>51</v>
      </c>
    </row>
    <row r="10679" spans="1:9" x14ac:dyDescent="0.3">
      <c r="A10679" t="s">
        <v>54</v>
      </c>
      <c r="G10679">
        <v>44852</v>
      </c>
      <c r="H10679">
        <v>2022</v>
      </c>
      <c r="I10679" t="s">
        <v>51</v>
      </c>
    </row>
    <row r="10680" spans="1:9" x14ac:dyDescent="0.3">
      <c r="A10680" t="s">
        <v>26</v>
      </c>
      <c r="D10680">
        <v>162000</v>
      </c>
      <c r="G10680">
        <v>44852</v>
      </c>
      <c r="H10680">
        <v>2022</v>
      </c>
      <c r="I10680" t="s">
        <v>51</v>
      </c>
    </row>
    <row r="10681" spans="1:9" x14ac:dyDescent="0.3">
      <c r="A10681" t="s">
        <v>22</v>
      </c>
      <c r="G10681">
        <v>44852</v>
      </c>
      <c r="H10681">
        <v>2022</v>
      </c>
      <c r="I10681" t="s">
        <v>51</v>
      </c>
    </row>
    <row r="10682" spans="1:9" x14ac:dyDescent="0.3">
      <c r="A10682" t="s">
        <v>61</v>
      </c>
      <c r="G10682">
        <v>44852</v>
      </c>
      <c r="H10682">
        <v>2022</v>
      </c>
      <c r="I10682" t="s">
        <v>51</v>
      </c>
    </row>
    <row r="10683" spans="1:9" x14ac:dyDescent="0.3">
      <c r="A10683" t="s">
        <v>19</v>
      </c>
      <c r="B10683">
        <v>162000</v>
      </c>
      <c r="C10683">
        <v>792000</v>
      </c>
      <c r="D10683">
        <v>54000</v>
      </c>
      <c r="G10683">
        <v>44852</v>
      </c>
      <c r="H10683">
        <v>2022</v>
      </c>
      <c r="I10683" t="s">
        <v>51</v>
      </c>
    </row>
    <row r="10684" spans="1:9" x14ac:dyDescent="0.3">
      <c r="A10684" t="s">
        <v>14</v>
      </c>
      <c r="B10684">
        <v>162000</v>
      </c>
      <c r="C10684">
        <v>94500</v>
      </c>
      <c r="D10684">
        <v>162000</v>
      </c>
      <c r="G10684">
        <v>44852</v>
      </c>
      <c r="H10684">
        <v>2022</v>
      </c>
      <c r="I10684" t="s">
        <v>51</v>
      </c>
    </row>
    <row r="10685" spans="1:9" x14ac:dyDescent="0.3">
      <c r="A10685" t="s">
        <v>24</v>
      </c>
      <c r="G10685">
        <v>44852</v>
      </c>
      <c r="H10685">
        <v>2022</v>
      </c>
      <c r="I10685" t="s">
        <v>51</v>
      </c>
    </row>
    <row r="10686" spans="1:9" x14ac:dyDescent="0.3">
      <c r="A10686" t="s">
        <v>21</v>
      </c>
      <c r="B10686">
        <v>162000</v>
      </c>
      <c r="G10686">
        <v>44852</v>
      </c>
      <c r="H10686">
        <v>2022</v>
      </c>
      <c r="I10686" t="s">
        <v>51</v>
      </c>
    </row>
    <row r="10687" spans="1:9" x14ac:dyDescent="0.3">
      <c r="A10687" t="s">
        <v>65</v>
      </c>
      <c r="G10687">
        <v>44852</v>
      </c>
      <c r="H10687">
        <v>2022</v>
      </c>
      <c r="I10687" t="s">
        <v>51</v>
      </c>
    </row>
    <row r="10688" spans="1:9" x14ac:dyDescent="0.3">
      <c r="A10688" t="s">
        <v>67</v>
      </c>
      <c r="G10688">
        <v>44852</v>
      </c>
      <c r="H10688">
        <v>2022</v>
      </c>
      <c r="I10688" t="s">
        <v>51</v>
      </c>
    </row>
    <row r="10689" spans="1:9" x14ac:dyDescent="0.3">
      <c r="A10689" t="s">
        <v>18</v>
      </c>
      <c r="G10689">
        <v>44852</v>
      </c>
      <c r="H10689">
        <v>2022</v>
      </c>
      <c r="I10689" t="s">
        <v>51</v>
      </c>
    </row>
    <row r="10690" spans="1:9" x14ac:dyDescent="0.3">
      <c r="A10690" t="s">
        <v>16</v>
      </c>
      <c r="G10690">
        <v>44852</v>
      </c>
      <c r="H10690">
        <v>2022</v>
      </c>
      <c r="I10690" t="s">
        <v>51</v>
      </c>
    </row>
    <row r="10691" spans="1:9" x14ac:dyDescent="0.3">
      <c r="A10691" t="s">
        <v>20</v>
      </c>
      <c r="G10691">
        <v>44853</v>
      </c>
      <c r="H10691">
        <v>2022</v>
      </c>
      <c r="I10691" t="s">
        <v>51</v>
      </c>
    </row>
    <row r="10692" spans="1:9" x14ac:dyDescent="0.3">
      <c r="A10692" t="s">
        <v>37</v>
      </c>
      <c r="B10692">
        <v>108000</v>
      </c>
      <c r="D10692">
        <v>216000</v>
      </c>
      <c r="G10692">
        <v>44853</v>
      </c>
      <c r="H10692">
        <v>2022</v>
      </c>
      <c r="I10692" t="s">
        <v>51</v>
      </c>
    </row>
    <row r="10693" spans="1:9" x14ac:dyDescent="0.3">
      <c r="A10693" t="s">
        <v>17</v>
      </c>
      <c r="G10693">
        <v>44853</v>
      </c>
      <c r="H10693">
        <v>2022</v>
      </c>
      <c r="I10693" t="s">
        <v>51</v>
      </c>
    </row>
    <row r="10694" spans="1:9" x14ac:dyDescent="0.3">
      <c r="A10694" t="s">
        <v>0</v>
      </c>
      <c r="B10694">
        <v>756000</v>
      </c>
      <c r="G10694">
        <v>44853</v>
      </c>
      <c r="H10694">
        <v>2022</v>
      </c>
      <c r="I10694" t="s">
        <v>51</v>
      </c>
    </row>
    <row r="10695" spans="1:9" x14ac:dyDescent="0.3">
      <c r="A10695" t="s">
        <v>25</v>
      </c>
      <c r="G10695">
        <v>44853</v>
      </c>
      <c r="H10695">
        <v>2022</v>
      </c>
      <c r="I10695" t="s">
        <v>51</v>
      </c>
    </row>
    <row r="10696" spans="1:9" x14ac:dyDescent="0.3">
      <c r="A10696" t="s">
        <v>15</v>
      </c>
      <c r="G10696">
        <v>44853</v>
      </c>
      <c r="H10696">
        <v>2022</v>
      </c>
      <c r="I10696" t="s">
        <v>51</v>
      </c>
    </row>
    <row r="10697" spans="1:9" x14ac:dyDescent="0.3">
      <c r="A10697" t="s">
        <v>54</v>
      </c>
      <c r="G10697">
        <v>44853</v>
      </c>
      <c r="H10697">
        <v>2022</v>
      </c>
      <c r="I10697" t="s">
        <v>51</v>
      </c>
    </row>
    <row r="10698" spans="1:9" x14ac:dyDescent="0.3">
      <c r="A10698" t="s">
        <v>26</v>
      </c>
      <c r="D10698">
        <v>54000</v>
      </c>
      <c r="G10698">
        <v>44853</v>
      </c>
      <c r="H10698">
        <v>2022</v>
      </c>
      <c r="I10698" t="s">
        <v>51</v>
      </c>
    </row>
    <row r="10699" spans="1:9" x14ac:dyDescent="0.3">
      <c r="A10699" t="s">
        <v>22</v>
      </c>
      <c r="G10699">
        <v>44853</v>
      </c>
      <c r="H10699">
        <v>2022</v>
      </c>
      <c r="I10699" t="s">
        <v>51</v>
      </c>
    </row>
    <row r="10700" spans="1:9" x14ac:dyDescent="0.3">
      <c r="A10700" t="s">
        <v>61</v>
      </c>
      <c r="G10700">
        <v>44853</v>
      </c>
      <c r="H10700">
        <v>2022</v>
      </c>
      <c r="I10700" t="s">
        <v>51</v>
      </c>
    </row>
    <row r="10701" spans="1:9" x14ac:dyDescent="0.3">
      <c r="A10701" t="s">
        <v>19</v>
      </c>
      <c r="B10701">
        <v>108000</v>
      </c>
      <c r="C10701">
        <v>198000</v>
      </c>
      <c r="D10701">
        <v>162000</v>
      </c>
      <c r="G10701">
        <v>44853</v>
      </c>
      <c r="H10701">
        <v>2022</v>
      </c>
      <c r="I10701" t="s">
        <v>51</v>
      </c>
    </row>
    <row r="10702" spans="1:9" x14ac:dyDescent="0.3">
      <c r="A10702" t="s">
        <v>14</v>
      </c>
      <c r="B10702">
        <v>162000</v>
      </c>
      <c r="D10702">
        <v>216000</v>
      </c>
      <c r="G10702">
        <v>44853</v>
      </c>
      <c r="H10702">
        <v>2022</v>
      </c>
      <c r="I10702" t="s">
        <v>51</v>
      </c>
    </row>
    <row r="10703" spans="1:9" x14ac:dyDescent="0.3">
      <c r="A10703" t="s">
        <v>24</v>
      </c>
      <c r="G10703">
        <v>44853</v>
      </c>
      <c r="H10703">
        <v>2022</v>
      </c>
      <c r="I10703" t="s">
        <v>51</v>
      </c>
    </row>
    <row r="10704" spans="1:9" x14ac:dyDescent="0.3">
      <c r="A10704" t="s">
        <v>21</v>
      </c>
      <c r="B10704">
        <v>162000</v>
      </c>
      <c r="G10704">
        <v>44853</v>
      </c>
      <c r="H10704">
        <v>2022</v>
      </c>
      <c r="I10704" t="s">
        <v>51</v>
      </c>
    </row>
    <row r="10705" spans="1:9" x14ac:dyDescent="0.3">
      <c r="A10705" t="s">
        <v>65</v>
      </c>
      <c r="G10705">
        <v>44853</v>
      </c>
      <c r="H10705">
        <v>2022</v>
      </c>
      <c r="I10705" t="s">
        <v>51</v>
      </c>
    </row>
    <row r="10706" spans="1:9" x14ac:dyDescent="0.3">
      <c r="A10706" t="s">
        <v>67</v>
      </c>
      <c r="G10706">
        <v>44853</v>
      </c>
      <c r="H10706">
        <v>2022</v>
      </c>
      <c r="I10706" t="s">
        <v>51</v>
      </c>
    </row>
    <row r="10707" spans="1:9" x14ac:dyDescent="0.3">
      <c r="A10707" t="s">
        <v>18</v>
      </c>
      <c r="B10707">
        <v>90000</v>
      </c>
      <c r="G10707">
        <v>44853</v>
      </c>
      <c r="H10707">
        <v>2022</v>
      </c>
      <c r="I10707" t="s">
        <v>51</v>
      </c>
    </row>
    <row r="10708" spans="1:9" x14ac:dyDescent="0.3">
      <c r="A10708" t="s">
        <v>16</v>
      </c>
      <c r="G10708">
        <v>44853</v>
      </c>
      <c r="H10708">
        <v>2022</v>
      </c>
      <c r="I10708" t="s">
        <v>51</v>
      </c>
    </row>
    <row r="10709" spans="1:9" x14ac:dyDescent="0.3">
      <c r="A10709" t="s">
        <v>20</v>
      </c>
      <c r="G10709">
        <v>44854</v>
      </c>
      <c r="H10709">
        <v>2022</v>
      </c>
      <c r="I10709" t="s">
        <v>51</v>
      </c>
    </row>
    <row r="10710" spans="1:9" x14ac:dyDescent="0.3">
      <c r="A10710" t="s">
        <v>37</v>
      </c>
      <c r="D10710">
        <v>50000</v>
      </c>
      <c r="G10710">
        <v>44854</v>
      </c>
      <c r="H10710">
        <v>2022</v>
      </c>
      <c r="I10710" t="s">
        <v>51</v>
      </c>
    </row>
    <row r="10711" spans="1:9" x14ac:dyDescent="0.3">
      <c r="A10711" t="s">
        <v>17</v>
      </c>
      <c r="G10711">
        <v>44854</v>
      </c>
      <c r="H10711">
        <v>2022</v>
      </c>
      <c r="I10711" t="s">
        <v>51</v>
      </c>
    </row>
    <row r="10712" spans="1:9" x14ac:dyDescent="0.3">
      <c r="A10712" t="s">
        <v>0</v>
      </c>
      <c r="B10712">
        <v>1188000</v>
      </c>
      <c r="G10712">
        <v>44854</v>
      </c>
      <c r="H10712">
        <v>2022</v>
      </c>
      <c r="I10712" t="s">
        <v>51</v>
      </c>
    </row>
    <row r="10713" spans="1:9" x14ac:dyDescent="0.3">
      <c r="A10713" t="s">
        <v>25</v>
      </c>
      <c r="G10713">
        <v>44854</v>
      </c>
      <c r="H10713">
        <v>2022</v>
      </c>
      <c r="I10713" t="s">
        <v>51</v>
      </c>
    </row>
    <row r="10714" spans="1:9" x14ac:dyDescent="0.3">
      <c r="A10714" t="s">
        <v>15</v>
      </c>
      <c r="G10714">
        <v>44854</v>
      </c>
      <c r="H10714">
        <v>2022</v>
      </c>
      <c r="I10714" t="s">
        <v>51</v>
      </c>
    </row>
    <row r="10715" spans="1:9" x14ac:dyDescent="0.3">
      <c r="A10715" t="s">
        <v>54</v>
      </c>
      <c r="G10715">
        <v>44854</v>
      </c>
      <c r="H10715">
        <v>2022</v>
      </c>
      <c r="I10715" t="s">
        <v>51</v>
      </c>
    </row>
    <row r="10716" spans="1:9" x14ac:dyDescent="0.3">
      <c r="A10716" t="s">
        <v>26</v>
      </c>
      <c r="D10716">
        <v>45000</v>
      </c>
      <c r="G10716">
        <v>44854</v>
      </c>
      <c r="H10716">
        <v>2022</v>
      </c>
      <c r="I10716" t="s">
        <v>51</v>
      </c>
    </row>
    <row r="10717" spans="1:9" x14ac:dyDescent="0.3">
      <c r="A10717" t="s">
        <v>22</v>
      </c>
      <c r="G10717">
        <v>44854</v>
      </c>
      <c r="H10717">
        <v>2022</v>
      </c>
      <c r="I10717" t="s">
        <v>51</v>
      </c>
    </row>
    <row r="10718" spans="1:9" x14ac:dyDescent="0.3">
      <c r="A10718" t="s">
        <v>61</v>
      </c>
      <c r="G10718">
        <v>44854</v>
      </c>
      <c r="H10718">
        <v>2022</v>
      </c>
      <c r="I10718" t="s">
        <v>51</v>
      </c>
    </row>
    <row r="10719" spans="1:9" x14ac:dyDescent="0.3">
      <c r="A10719" t="s">
        <v>19</v>
      </c>
      <c r="B10719">
        <v>162000</v>
      </c>
      <c r="D10719">
        <v>378000</v>
      </c>
      <c r="G10719">
        <v>44854</v>
      </c>
      <c r="H10719">
        <v>2022</v>
      </c>
      <c r="I10719" t="s">
        <v>51</v>
      </c>
    </row>
    <row r="10720" spans="1:9" x14ac:dyDescent="0.3">
      <c r="A10720" t="s">
        <v>14</v>
      </c>
      <c r="B10720">
        <v>216000</v>
      </c>
      <c r="D10720">
        <v>135000</v>
      </c>
      <c r="G10720">
        <v>44854</v>
      </c>
      <c r="H10720">
        <v>2022</v>
      </c>
      <c r="I10720" t="s">
        <v>51</v>
      </c>
    </row>
    <row r="10721" spans="1:9" x14ac:dyDescent="0.3">
      <c r="A10721" t="s">
        <v>24</v>
      </c>
      <c r="G10721">
        <v>44854</v>
      </c>
      <c r="H10721">
        <v>2022</v>
      </c>
      <c r="I10721" t="s">
        <v>51</v>
      </c>
    </row>
    <row r="10722" spans="1:9" x14ac:dyDescent="0.3">
      <c r="A10722" t="s">
        <v>21</v>
      </c>
      <c r="B10722">
        <v>50000</v>
      </c>
      <c r="G10722">
        <v>44854</v>
      </c>
      <c r="H10722">
        <v>2022</v>
      </c>
      <c r="I10722" t="s">
        <v>51</v>
      </c>
    </row>
    <row r="10723" spans="1:9" x14ac:dyDescent="0.3">
      <c r="A10723" t="s">
        <v>65</v>
      </c>
      <c r="G10723">
        <v>44854</v>
      </c>
      <c r="H10723">
        <v>2022</v>
      </c>
      <c r="I10723" t="s">
        <v>51</v>
      </c>
    </row>
    <row r="10724" spans="1:9" x14ac:dyDescent="0.3">
      <c r="A10724" t="s">
        <v>67</v>
      </c>
      <c r="G10724">
        <v>44854</v>
      </c>
      <c r="H10724">
        <v>2022</v>
      </c>
      <c r="I10724" t="s">
        <v>51</v>
      </c>
    </row>
    <row r="10725" spans="1:9" x14ac:dyDescent="0.3">
      <c r="A10725" t="s">
        <v>18</v>
      </c>
      <c r="G10725">
        <v>44854</v>
      </c>
      <c r="H10725">
        <v>2022</v>
      </c>
      <c r="I10725" t="s">
        <v>51</v>
      </c>
    </row>
    <row r="10726" spans="1:9" x14ac:dyDescent="0.3">
      <c r="A10726" t="s">
        <v>16</v>
      </c>
      <c r="G10726">
        <v>44854</v>
      </c>
      <c r="H10726">
        <v>2022</v>
      </c>
      <c r="I10726" t="s">
        <v>51</v>
      </c>
    </row>
    <row r="10727" spans="1:9" x14ac:dyDescent="0.3">
      <c r="A10727" t="s">
        <v>20</v>
      </c>
      <c r="G10727">
        <v>44855</v>
      </c>
      <c r="H10727">
        <v>2022</v>
      </c>
      <c r="I10727" t="s">
        <v>51</v>
      </c>
    </row>
    <row r="10728" spans="1:9" x14ac:dyDescent="0.3">
      <c r="A10728" t="s">
        <v>37</v>
      </c>
      <c r="G10728">
        <v>44855</v>
      </c>
      <c r="H10728">
        <v>2022</v>
      </c>
      <c r="I10728" t="s">
        <v>51</v>
      </c>
    </row>
    <row r="10729" spans="1:9" x14ac:dyDescent="0.3">
      <c r="A10729" t="s">
        <v>17</v>
      </c>
      <c r="G10729">
        <v>44855</v>
      </c>
      <c r="H10729">
        <v>2022</v>
      </c>
      <c r="I10729" t="s">
        <v>51</v>
      </c>
    </row>
    <row r="10730" spans="1:9" x14ac:dyDescent="0.3">
      <c r="A10730" t="s">
        <v>0</v>
      </c>
      <c r="B10730">
        <v>972000</v>
      </c>
      <c r="G10730">
        <v>44855</v>
      </c>
      <c r="H10730">
        <v>2022</v>
      </c>
      <c r="I10730" t="s">
        <v>51</v>
      </c>
    </row>
    <row r="10731" spans="1:9" x14ac:dyDescent="0.3">
      <c r="A10731" t="s">
        <v>25</v>
      </c>
      <c r="G10731">
        <v>44855</v>
      </c>
      <c r="H10731">
        <v>2022</v>
      </c>
      <c r="I10731" t="s">
        <v>51</v>
      </c>
    </row>
    <row r="10732" spans="1:9" x14ac:dyDescent="0.3">
      <c r="A10732" t="s">
        <v>15</v>
      </c>
      <c r="G10732">
        <v>44855</v>
      </c>
      <c r="H10732">
        <v>2022</v>
      </c>
      <c r="I10732" t="s">
        <v>51</v>
      </c>
    </row>
    <row r="10733" spans="1:9" x14ac:dyDescent="0.3">
      <c r="A10733" t="s">
        <v>54</v>
      </c>
      <c r="C10733">
        <v>1404000</v>
      </c>
      <c r="E10733">
        <v>378000</v>
      </c>
      <c r="G10733">
        <v>44855</v>
      </c>
      <c r="H10733">
        <v>2022</v>
      </c>
      <c r="I10733" t="s">
        <v>51</v>
      </c>
    </row>
    <row r="10734" spans="1:9" x14ac:dyDescent="0.3">
      <c r="A10734" t="s">
        <v>26</v>
      </c>
      <c r="D10734">
        <v>45000</v>
      </c>
      <c r="G10734">
        <v>44855</v>
      </c>
      <c r="H10734">
        <v>2022</v>
      </c>
      <c r="I10734" t="s">
        <v>51</v>
      </c>
    </row>
    <row r="10735" spans="1:9" x14ac:dyDescent="0.3">
      <c r="A10735" t="s">
        <v>22</v>
      </c>
      <c r="G10735">
        <v>44855</v>
      </c>
      <c r="H10735">
        <v>2022</v>
      </c>
      <c r="I10735" t="s">
        <v>51</v>
      </c>
    </row>
    <row r="10736" spans="1:9" x14ac:dyDescent="0.3">
      <c r="A10736" t="s">
        <v>61</v>
      </c>
      <c r="G10736">
        <v>44855</v>
      </c>
      <c r="H10736">
        <v>2022</v>
      </c>
      <c r="I10736" t="s">
        <v>51</v>
      </c>
    </row>
    <row r="10737" spans="1:9" x14ac:dyDescent="0.3">
      <c r="A10737" t="s">
        <v>19</v>
      </c>
      <c r="B10737">
        <v>473500</v>
      </c>
      <c r="G10737">
        <v>44855</v>
      </c>
      <c r="H10737">
        <v>2022</v>
      </c>
      <c r="I10737" t="s">
        <v>51</v>
      </c>
    </row>
    <row r="10738" spans="1:9" x14ac:dyDescent="0.3">
      <c r="A10738" t="s">
        <v>14</v>
      </c>
      <c r="B10738">
        <v>216000</v>
      </c>
      <c r="G10738">
        <v>44855</v>
      </c>
      <c r="H10738">
        <v>2022</v>
      </c>
      <c r="I10738" t="s">
        <v>51</v>
      </c>
    </row>
    <row r="10739" spans="1:9" x14ac:dyDescent="0.3">
      <c r="A10739" t="s">
        <v>24</v>
      </c>
      <c r="G10739">
        <v>44855</v>
      </c>
      <c r="H10739">
        <v>2022</v>
      </c>
      <c r="I10739" t="s">
        <v>51</v>
      </c>
    </row>
    <row r="10740" spans="1:9" x14ac:dyDescent="0.3">
      <c r="A10740" t="s">
        <v>21</v>
      </c>
      <c r="G10740">
        <v>44855</v>
      </c>
      <c r="H10740">
        <v>2022</v>
      </c>
      <c r="I10740" t="s">
        <v>51</v>
      </c>
    </row>
    <row r="10741" spans="1:9" x14ac:dyDescent="0.3">
      <c r="A10741" t="s">
        <v>65</v>
      </c>
      <c r="G10741">
        <v>44855</v>
      </c>
      <c r="H10741">
        <v>2022</v>
      </c>
      <c r="I10741" t="s">
        <v>51</v>
      </c>
    </row>
    <row r="10742" spans="1:9" x14ac:dyDescent="0.3">
      <c r="A10742" t="s">
        <v>67</v>
      </c>
      <c r="G10742">
        <v>44855</v>
      </c>
      <c r="H10742">
        <v>2022</v>
      </c>
      <c r="I10742" t="s">
        <v>51</v>
      </c>
    </row>
    <row r="10743" spans="1:9" x14ac:dyDescent="0.3">
      <c r="A10743" t="s">
        <v>18</v>
      </c>
      <c r="B10743">
        <v>49500</v>
      </c>
      <c r="G10743">
        <v>44855</v>
      </c>
      <c r="H10743">
        <v>2022</v>
      </c>
      <c r="I10743" t="s">
        <v>51</v>
      </c>
    </row>
    <row r="10744" spans="1:9" x14ac:dyDescent="0.3">
      <c r="A10744" t="s">
        <v>16</v>
      </c>
      <c r="G10744">
        <v>44855</v>
      </c>
      <c r="H10744">
        <v>2022</v>
      </c>
      <c r="I10744" t="s">
        <v>51</v>
      </c>
    </row>
    <row r="10745" spans="1:9" x14ac:dyDescent="0.3">
      <c r="A10745" t="s">
        <v>20</v>
      </c>
      <c r="G10745">
        <v>44858</v>
      </c>
      <c r="H10745">
        <v>2022</v>
      </c>
      <c r="I10745" t="s">
        <v>51</v>
      </c>
    </row>
    <row r="10746" spans="1:9" x14ac:dyDescent="0.3">
      <c r="A10746" t="s">
        <v>37</v>
      </c>
      <c r="G10746">
        <v>44858</v>
      </c>
      <c r="H10746">
        <v>2022</v>
      </c>
      <c r="I10746" t="s">
        <v>51</v>
      </c>
    </row>
    <row r="10747" spans="1:9" x14ac:dyDescent="0.3">
      <c r="A10747" t="s">
        <v>17</v>
      </c>
      <c r="G10747">
        <v>44858</v>
      </c>
      <c r="H10747">
        <v>2022</v>
      </c>
      <c r="I10747" t="s">
        <v>51</v>
      </c>
    </row>
    <row r="10748" spans="1:9" x14ac:dyDescent="0.3">
      <c r="A10748" t="s">
        <v>0</v>
      </c>
      <c r="G10748">
        <v>44858</v>
      </c>
      <c r="H10748">
        <v>2022</v>
      </c>
      <c r="I10748" t="s">
        <v>51</v>
      </c>
    </row>
    <row r="10749" spans="1:9" x14ac:dyDescent="0.3">
      <c r="A10749" t="s">
        <v>25</v>
      </c>
      <c r="G10749">
        <v>44858</v>
      </c>
      <c r="H10749">
        <v>2022</v>
      </c>
      <c r="I10749" t="s">
        <v>51</v>
      </c>
    </row>
    <row r="10750" spans="1:9" x14ac:dyDescent="0.3">
      <c r="A10750" t="s">
        <v>15</v>
      </c>
      <c r="G10750">
        <v>44858</v>
      </c>
      <c r="H10750">
        <v>2022</v>
      </c>
      <c r="I10750" t="s">
        <v>51</v>
      </c>
    </row>
    <row r="10751" spans="1:9" x14ac:dyDescent="0.3">
      <c r="A10751" t="s">
        <v>54</v>
      </c>
      <c r="C10751">
        <v>810000</v>
      </c>
      <c r="E10751">
        <v>324000</v>
      </c>
      <c r="G10751">
        <v>44858</v>
      </c>
      <c r="H10751">
        <v>2022</v>
      </c>
      <c r="I10751" t="s">
        <v>51</v>
      </c>
    </row>
    <row r="10752" spans="1:9" x14ac:dyDescent="0.3">
      <c r="A10752" t="s">
        <v>26</v>
      </c>
      <c r="G10752">
        <v>44858</v>
      </c>
      <c r="H10752">
        <v>2022</v>
      </c>
      <c r="I10752" t="s">
        <v>51</v>
      </c>
    </row>
    <row r="10753" spans="1:9" x14ac:dyDescent="0.3">
      <c r="A10753" t="s">
        <v>22</v>
      </c>
      <c r="G10753">
        <v>44858</v>
      </c>
      <c r="H10753">
        <v>2022</v>
      </c>
      <c r="I10753" t="s">
        <v>51</v>
      </c>
    </row>
    <row r="10754" spans="1:9" x14ac:dyDescent="0.3">
      <c r="A10754" t="s">
        <v>61</v>
      </c>
      <c r="G10754">
        <v>44858</v>
      </c>
      <c r="H10754">
        <v>2022</v>
      </c>
      <c r="I10754" t="s">
        <v>51</v>
      </c>
    </row>
    <row r="10755" spans="1:9" x14ac:dyDescent="0.3">
      <c r="A10755" t="s">
        <v>19</v>
      </c>
      <c r="B10755">
        <v>50000</v>
      </c>
      <c r="G10755">
        <v>44858</v>
      </c>
      <c r="H10755">
        <v>2022</v>
      </c>
      <c r="I10755" t="s">
        <v>51</v>
      </c>
    </row>
    <row r="10756" spans="1:9" x14ac:dyDescent="0.3">
      <c r="A10756" t="s">
        <v>14</v>
      </c>
      <c r="B10756">
        <v>918000</v>
      </c>
      <c r="G10756">
        <v>44858</v>
      </c>
      <c r="H10756">
        <v>2022</v>
      </c>
      <c r="I10756" t="s">
        <v>51</v>
      </c>
    </row>
    <row r="10757" spans="1:9" x14ac:dyDescent="0.3">
      <c r="A10757" t="s">
        <v>24</v>
      </c>
      <c r="G10757">
        <v>44858</v>
      </c>
      <c r="H10757">
        <v>2022</v>
      </c>
      <c r="I10757" t="s">
        <v>51</v>
      </c>
    </row>
    <row r="10758" spans="1:9" x14ac:dyDescent="0.3">
      <c r="A10758" t="s">
        <v>21</v>
      </c>
      <c r="G10758">
        <v>44858</v>
      </c>
      <c r="H10758">
        <v>2022</v>
      </c>
      <c r="I10758" t="s">
        <v>51</v>
      </c>
    </row>
    <row r="10759" spans="1:9" x14ac:dyDescent="0.3">
      <c r="A10759" t="s">
        <v>65</v>
      </c>
      <c r="G10759">
        <v>44858</v>
      </c>
      <c r="H10759">
        <v>2022</v>
      </c>
      <c r="I10759" t="s">
        <v>51</v>
      </c>
    </row>
    <row r="10760" spans="1:9" x14ac:dyDescent="0.3">
      <c r="A10760" t="s">
        <v>67</v>
      </c>
      <c r="B10760">
        <v>378000</v>
      </c>
      <c r="G10760">
        <v>44858</v>
      </c>
      <c r="H10760">
        <v>2022</v>
      </c>
      <c r="I10760" t="s">
        <v>51</v>
      </c>
    </row>
    <row r="10761" spans="1:9" x14ac:dyDescent="0.3">
      <c r="A10761" t="s">
        <v>18</v>
      </c>
      <c r="G10761">
        <v>44858</v>
      </c>
      <c r="H10761">
        <v>2022</v>
      </c>
      <c r="I10761" t="s">
        <v>51</v>
      </c>
    </row>
    <row r="10762" spans="1:9" x14ac:dyDescent="0.3">
      <c r="A10762" t="s">
        <v>16</v>
      </c>
      <c r="G10762">
        <v>44858</v>
      </c>
      <c r="H10762">
        <v>2022</v>
      </c>
      <c r="I10762" t="s">
        <v>51</v>
      </c>
    </row>
    <row r="10763" spans="1:9" x14ac:dyDescent="0.3">
      <c r="A10763" t="s">
        <v>20</v>
      </c>
      <c r="G10763">
        <v>44859</v>
      </c>
      <c r="H10763">
        <v>2022</v>
      </c>
      <c r="I10763" t="s">
        <v>51</v>
      </c>
    </row>
    <row r="10764" spans="1:9" x14ac:dyDescent="0.3">
      <c r="A10764" t="s">
        <v>37</v>
      </c>
      <c r="G10764">
        <v>44859</v>
      </c>
      <c r="H10764">
        <v>2022</v>
      </c>
      <c r="I10764" t="s">
        <v>51</v>
      </c>
    </row>
    <row r="10765" spans="1:9" x14ac:dyDescent="0.3">
      <c r="A10765" t="s">
        <v>17</v>
      </c>
      <c r="G10765">
        <v>44859</v>
      </c>
      <c r="H10765">
        <v>2022</v>
      </c>
      <c r="I10765" t="s">
        <v>51</v>
      </c>
    </row>
    <row r="10766" spans="1:9" x14ac:dyDescent="0.3">
      <c r="A10766" t="s">
        <v>0</v>
      </c>
      <c r="G10766">
        <v>44859</v>
      </c>
      <c r="H10766">
        <v>2022</v>
      </c>
      <c r="I10766" t="s">
        <v>51</v>
      </c>
    </row>
    <row r="10767" spans="1:9" x14ac:dyDescent="0.3">
      <c r="A10767" t="s">
        <v>25</v>
      </c>
      <c r="G10767">
        <v>44859</v>
      </c>
      <c r="H10767">
        <v>2022</v>
      </c>
      <c r="I10767" t="s">
        <v>51</v>
      </c>
    </row>
    <row r="10768" spans="1:9" x14ac:dyDescent="0.3">
      <c r="A10768" t="s">
        <v>15</v>
      </c>
      <c r="G10768">
        <v>44859</v>
      </c>
      <c r="H10768">
        <v>2022</v>
      </c>
      <c r="I10768" t="s">
        <v>51</v>
      </c>
    </row>
    <row r="10769" spans="1:9" x14ac:dyDescent="0.3">
      <c r="A10769" t="s">
        <v>54</v>
      </c>
      <c r="C10769">
        <v>324000</v>
      </c>
      <c r="E10769">
        <v>54000</v>
      </c>
      <c r="G10769">
        <v>44859</v>
      </c>
      <c r="H10769">
        <v>2022</v>
      </c>
      <c r="I10769" t="s">
        <v>51</v>
      </c>
    </row>
    <row r="10770" spans="1:9" x14ac:dyDescent="0.3">
      <c r="A10770" t="s">
        <v>26</v>
      </c>
      <c r="G10770">
        <v>44859</v>
      </c>
      <c r="H10770">
        <v>2022</v>
      </c>
      <c r="I10770" t="s">
        <v>51</v>
      </c>
    </row>
    <row r="10771" spans="1:9" x14ac:dyDescent="0.3">
      <c r="A10771" t="s">
        <v>22</v>
      </c>
      <c r="G10771">
        <v>44859</v>
      </c>
      <c r="H10771">
        <v>2022</v>
      </c>
      <c r="I10771" t="s">
        <v>51</v>
      </c>
    </row>
    <row r="10772" spans="1:9" x14ac:dyDescent="0.3">
      <c r="A10772" t="s">
        <v>61</v>
      </c>
      <c r="G10772">
        <v>44859</v>
      </c>
      <c r="H10772">
        <v>2022</v>
      </c>
      <c r="I10772" t="s">
        <v>51</v>
      </c>
    </row>
    <row r="10773" spans="1:9" x14ac:dyDescent="0.3">
      <c r="A10773" t="s">
        <v>19</v>
      </c>
      <c r="B10773">
        <v>95000</v>
      </c>
      <c r="G10773">
        <v>44859</v>
      </c>
      <c r="H10773">
        <v>2022</v>
      </c>
      <c r="I10773" t="s">
        <v>51</v>
      </c>
    </row>
    <row r="10774" spans="1:9" x14ac:dyDescent="0.3">
      <c r="A10774" t="s">
        <v>14</v>
      </c>
      <c r="B10774">
        <v>216000</v>
      </c>
      <c r="C10774">
        <v>1134000</v>
      </c>
      <c r="G10774">
        <v>44859</v>
      </c>
      <c r="H10774">
        <v>2022</v>
      </c>
      <c r="I10774" t="s">
        <v>51</v>
      </c>
    </row>
    <row r="10775" spans="1:9" x14ac:dyDescent="0.3">
      <c r="A10775" t="s">
        <v>24</v>
      </c>
      <c r="G10775">
        <v>44859</v>
      </c>
      <c r="H10775">
        <v>2022</v>
      </c>
      <c r="I10775" t="s">
        <v>51</v>
      </c>
    </row>
    <row r="10776" spans="1:9" x14ac:dyDescent="0.3">
      <c r="A10776" t="s">
        <v>21</v>
      </c>
      <c r="G10776">
        <v>44859</v>
      </c>
      <c r="H10776">
        <v>2022</v>
      </c>
      <c r="I10776" t="s">
        <v>51</v>
      </c>
    </row>
    <row r="10777" spans="1:9" x14ac:dyDescent="0.3">
      <c r="A10777" t="s">
        <v>65</v>
      </c>
      <c r="G10777">
        <v>44859</v>
      </c>
      <c r="H10777">
        <v>2022</v>
      </c>
      <c r="I10777" t="s">
        <v>51</v>
      </c>
    </row>
    <row r="10778" spans="1:9" x14ac:dyDescent="0.3">
      <c r="A10778" t="s">
        <v>67</v>
      </c>
      <c r="C10778">
        <v>108000</v>
      </c>
      <c r="G10778">
        <v>44859</v>
      </c>
      <c r="H10778">
        <v>2022</v>
      </c>
      <c r="I10778" t="s">
        <v>51</v>
      </c>
    </row>
    <row r="10779" spans="1:9" x14ac:dyDescent="0.3">
      <c r="A10779" t="s">
        <v>18</v>
      </c>
      <c r="B10779">
        <v>45000</v>
      </c>
      <c r="G10779">
        <v>44859</v>
      </c>
      <c r="H10779">
        <v>2022</v>
      </c>
      <c r="I10779" t="s">
        <v>51</v>
      </c>
    </row>
    <row r="10780" spans="1:9" x14ac:dyDescent="0.3">
      <c r="A10780" t="s">
        <v>16</v>
      </c>
      <c r="G10780">
        <v>44859</v>
      </c>
      <c r="H10780">
        <v>2022</v>
      </c>
      <c r="I10780" t="s">
        <v>51</v>
      </c>
    </row>
    <row r="10781" spans="1:9" x14ac:dyDescent="0.3">
      <c r="A10781" t="s">
        <v>20</v>
      </c>
      <c r="G10781">
        <v>44860</v>
      </c>
      <c r="H10781">
        <v>2022</v>
      </c>
      <c r="I10781" t="s">
        <v>51</v>
      </c>
    </row>
    <row r="10782" spans="1:9" x14ac:dyDescent="0.3">
      <c r="A10782" t="s">
        <v>37</v>
      </c>
      <c r="D10782">
        <v>90000</v>
      </c>
      <c r="G10782">
        <v>44860</v>
      </c>
      <c r="H10782">
        <v>2022</v>
      </c>
      <c r="I10782" t="s">
        <v>51</v>
      </c>
    </row>
    <row r="10783" spans="1:9" x14ac:dyDescent="0.3">
      <c r="A10783" t="s">
        <v>17</v>
      </c>
      <c r="G10783">
        <v>44860</v>
      </c>
      <c r="H10783">
        <v>2022</v>
      </c>
      <c r="I10783" t="s">
        <v>51</v>
      </c>
    </row>
    <row r="10784" spans="1:9" x14ac:dyDescent="0.3">
      <c r="A10784" t="s">
        <v>0</v>
      </c>
      <c r="G10784">
        <v>44860</v>
      </c>
      <c r="H10784">
        <v>2022</v>
      </c>
      <c r="I10784" t="s">
        <v>51</v>
      </c>
    </row>
    <row r="10785" spans="1:9" x14ac:dyDescent="0.3">
      <c r="A10785" t="s">
        <v>25</v>
      </c>
      <c r="G10785">
        <v>44860</v>
      </c>
      <c r="H10785">
        <v>2022</v>
      </c>
      <c r="I10785" t="s">
        <v>51</v>
      </c>
    </row>
    <row r="10786" spans="1:9" x14ac:dyDescent="0.3">
      <c r="A10786" t="s">
        <v>15</v>
      </c>
      <c r="G10786">
        <v>44860</v>
      </c>
      <c r="H10786">
        <v>2022</v>
      </c>
      <c r="I10786" t="s">
        <v>51</v>
      </c>
    </row>
    <row r="10787" spans="1:9" x14ac:dyDescent="0.3">
      <c r="A10787" t="s">
        <v>54</v>
      </c>
      <c r="C10787">
        <v>54000</v>
      </c>
      <c r="E10787">
        <v>54000</v>
      </c>
      <c r="G10787">
        <v>44860</v>
      </c>
      <c r="H10787">
        <v>2022</v>
      </c>
      <c r="I10787" t="s">
        <v>51</v>
      </c>
    </row>
    <row r="10788" spans="1:9" x14ac:dyDescent="0.3">
      <c r="A10788" t="s">
        <v>26</v>
      </c>
      <c r="D10788">
        <v>90000</v>
      </c>
      <c r="G10788">
        <v>44860</v>
      </c>
      <c r="H10788">
        <v>2022</v>
      </c>
      <c r="I10788" t="s">
        <v>51</v>
      </c>
    </row>
    <row r="10789" spans="1:9" x14ac:dyDescent="0.3">
      <c r="A10789" t="s">
        <v>22</v>
      </c>
      <c r="G10789">
        <v>44860</v>
      </c>
      <c r="H10789">
        <v>2022</v>
      </c>
      <c r="I10789" t="s">
        <v>51</v>
      </c>
    </row>
    <row r="10790" spans="1:9" x14ac:dyDescent="0.3">
      <c r="A10790" t="s">
        <v>61</v>
      </c>
      <c r="G10790">
        <v>44860</v>
      </c>
      <c r="H10790">
        <v>2022</v>
      </c>
      <c r="I10790" t="s">
        <v>51</v>
      </c>
    </row>
    <row r="10791" spans="1:9" x14ac:dyDescent="0.3">
      <c r="A10791" t="s">
        <v>19</v>
      </c>
      <c r="C10791">
        <v>540000</v>
      </c>
      <c r="G10791">
        <v>44860</v>
      </c>
      <c r="H10791">
        <v>2022</v>
      </c>
      <c r="I10791" t="s">
        <v>51</v>
      </c>
    </row>
    <row r="10792" spans="1:9" x14ac:dyDescent="0.3">
      <c r="A10792" t="s">
        <v>14</v>
      </c>
      <c r="C10792">
        <v>918000</v>
      </c>
      <c r="G10792">
        <v>44860</v>
      </c>
      <c r="H10792">
        <v>2022</v>
      </c>
      <c r="I10792" t="s">
        <v>51</v>
      </c>
    </row>
    <row r="10793" spans="1:9" x14ac:dyDescent="0.3">
      <c r="A10793" t="s">
        <v>24</v>
      </c>
      <c r="G10793">
        <v>44860</v>
      </c>
      <c r="H10793">
        <v>2022</v>
      </c>
      <c r="I10793" t="s">
        <v>51</v>
      </c>
    </row>
    <row r="10794" spans="1:9" x14ac:dyDescent="0.3">
      <c r="A10794" t="s">
        <v>21</v>
      </c>
      <c r="G10794">
        <v>44860</v>
      </c>
      <c r="H10794">
        <v>2022</v>
      </c>
      <c r="I10794" t="s">
        <v>51</v>
      </c>
    </row>
    <row r="10795" spans="1:9" x14ac:dyDescent="0.3">
      <c r="A10795" t="s">
        <v>65</v>
      </c>
      <c r="G10795">
        <v>44860</v>
      </c>
      <c r="H10795">
        <v>2022</v>
      </c>
      <c r="I10795" t="s">
        <v>51</v>
      </c>
    </row>
    <row r="10796" spans="1:9" x14ac:dyDescent="0.3">
      <c r="A10796" t="s">
        <v>67</v>
      </c>
      <c r="G10796">
        <v>44860</v>
      </c>
      <c r="H10796">
        <v>2022</v>
      </c>
      <c r="I10796" t="s">
        <v>51</v>
      </c>
    </row>
    <row r="10797" spans="1:9" x14ac:dyDescent="0.3">
      <c r="A10797" t="s">
        <v>18</v>
      </c>
      <c r="G10797">
        <v>44860</v>
      </c>
      <c r="H10797">
        <v>2022</v>
      </c>
      <c r="I10797" t="s">
        <v>51</v>
      </c>
    </row>
    <row r="10798" spans="1:9" x14ac:dyDescent="0.3">
      <c r="A10798" t="s">
        <v>16</v>
      </c>
      <c r="G10798">
        <v>44860</v>
      </c>
      <c r="H10798">
        <v>2022</v>
      </c>
      <c r="I10798" t="s">
        <v>51</v>
      </c>
    </row>
    <row r="10799" spans="1:9" x14ac:dyDescent="0.3">
      <c r="A10799" t="s">
        <v>20</v>
      </c>
      <c r="G10799">
        <v>44862</v>
      </c>
      <c r="H10799">
        <v>2022</v>
      </c>
      <c r="I10799" t="s">
        <v>51</v>
      </c>
    </row>
    <row r="10800" spans="1:9" x14ac:dyDescent="0.3">
      <c r="A10800" t="s">
        <v>37</v>
      </c>
      <c r="G10800">
        <v>44862</v>
      </c>
      <c r="H10800">
        <v>2022</v>
      </c>
      <c r="I10800" t="s">
        <v>51</v>
      </c>
    </row>
    <row r="10801" spans="1:9" x14ac:dyDescent="0.3">
      <c r="A10801" t="s">
        <v>17</v>
      </c>
      <c r="G10801">
        <v>44862</v>
      </c>
      <c r="H10801">
        <v>2022</v>
      </c>
      <c r="I10801" t="s">
        <v>51</v>
      </c>
    </row>
    <row r="10802" spans="1:9" x14ac:dyDescent="0.3">
      <c r="A10802" t="s">
        <v>0</v>
      </c>
      <c r="G10802">
        <v>44862</v>
      </c>
      <c r="H10802">
        <v>2022</v>
      </c>
      <c r="I10802" t="s">
        <v>51</v>
      </c>
    </row>
    <row r="10803" spans="1:9" x14ac:dyDescent="0.3">
      <c r="A10803" t="s">
        <v>25</v>
      </c>
      <c r="G10803">
        <v>44862</v>
      </c>
      <c r="H10803">
        <v>2022</v>
      </c>
      <c r="I10803" t="s">
        <v>51</v>
      </c>
    </row>
    <row r="10804" spans="1:9" x14ac:dyDescent="0.3">
      <c r="A10804" t="s">
        <v>15</v>
      </c>
      <c r="G10804">
        <v>44862</v>
      </c>
      <c r="H10804">
        <v>2022</v>
      </c>
      <c r="I10804" t="s">
        <v>51</v>
      </c>
    </row>
    <row r="10805" spans="1:9" x14ac:dyDescent="0.3">
      <c r="A10805" t="s">
        <v>54</v>
      </c>
      <c r="G10805">
        <v>44862</v>
      </c>
      <c r="H10805">
        <v>2022</v>
      </c>
      <c r="I10805" t="s">
        <v>51</v>
      </c>
    </row>
    <row r="10806" spans="1:9" x14ac:dyDescent="0.3">
      <c r="A10806" t="s">
        <v>26</v>
      </c>
      <c r="B10806">
        <v>270000</v>
      </c>
      <c r="C10806">
        <v>324000</v>
      </c>
      <c r="G10806">
        <v>44862</v>
      </c>
      <c r="H10806">
        <v>2022</v>
      </c>
      <c r="I10806" t="s">
        <v>51</v>
      </c>
    </row>
    <row r="10807" spans="1:9" x14ac:dyDescent="0.3">
      <c r="A10807" t="s">
        <v>22</v>
      </c>
      <c r="G10807">
        <v>44862</v>
      </c>
      <c r="H10807">
        <v>2022</v>
      </c>
      <c r="I10807" t="s">
        <v>51</v>
      </c>
    </row>
    <row r="10808" spans="1:9" x14ac:dyDescent="0.3">
      <c r="A10808" t="s">
        <v>61</v>
      </c>
      <c r="G10808">
        <v>44862</v>
      </c>
      <c r="H10808">
        <v>2022</v>
      </c>
      <c r="I10808" t="s">
        <v>51</v>
      </c>
    </row>
    <row r="10809" spans="1:9" x14ac:dyDescent="0.3">
      <c r="A10809" t="s">
        <v>19</v>
      </c>
      <c r="G10809">
        <v>44862</v>
      </c>
      <c r="H10809">
        <v>2022</v>
      </c>
      <c r="I10809" t="s">
        <v>51</v>
      </c>
    </row>
    <row r="10810" spans="1:9" x14ac:dyDescent="0.3">
      <c r="A10810" t="s">
        <v>14</v>
      </c>
      <c r="G10810">
        <v>44862</v>
      </c>
      <c r="H10810">
        <v>2022</v>
      </c>
      <c r="I10810" t="s">
        <v>51</v>
      </c>
    </row>
    <row r="10811" spans="1:9" x14ac:dyDescent="0.3">
      <c r="A10811" t="s">
        <v>24</v>
      </c>
      <c r="G10811">
        <v>44862</v>
      </c>
      <c r="H10811">
        <v>2022</v>
      </c>
      <c r="I10811" t="s">
        <v>51</v>
      </c>
    </row>
    <row r="10812" spans="1:9" x14ac:dyDescent="0.3">
      <c r="A10812" t="s">
        <v>21</v>
      </c>
      <c r="G10812">
        <v>44862</v>
      </c>
      <c r="H10812">
        <v>2022</v>
      </c>
      <c r="I10812" t="s">
        <v>51</v>
      </c>
    </row>
    <row r="10813" spans="1:9" x14ac:dyDescent="0.3">
      <c r="A10813" t="s">
        <v>65</v>
      </c>
      <c r="G10813">
        <v>44862</v>
      </c>
      <c r="H10813">
        <v>2022</v>
      </c>
      <c r="I10813" t="s">
        <v>51</v>
      </c>
    </row>
    <row r="10814" spans="1:9" x14ac:dyDescent="0.3">
      <c r="A10814" t="s">
        <v>67</v>
      </c>
      <c r="G10814">
        <v>44862</v>
      </c>
      <c r="H10814">
        <v>2022</v>
      </c>
      <c r="I10814" t="s">
        <v>51</v>
      </c>
    </row>
    <row r="10815" spans="1:9" x14ac:dyDescent="0.3">
      <c r="A10815" t="s">
        <v>18</v>
      </c>
      <c r="G10815">
        <v>44862</v>
      </c>
      <c r="H10815">
        <v>2022</v>
      </c>
      <c r="I10815" t="s">
        <v>51</v>
      </c>
    </row>
    <row r="10816" spans="1:9" x14ac:dyDescent="0.3">
      <c r="A10816" t="s">
        <v>16</v>
      </c>
      <c r="G10816">
        <v>44862</v>
      </c>
      <c r="H10816">
        <v>2022</v>
      </c>
      <c r="I10816" t="s">
        <v>51</v>
      </c>
    </row>
    <row r="10817" spans="1:9" x14ac:dyDescent="0.3">
      <c r="A10817" t="s">
        <v>20</v>
      </c>
      <c r="G10817">
        <v>44865</v>
      </c>
      <c r="H10817">
        <v>2022</v>
      </c>
      <c r="I10817" t="s">
        <v>51</v>
      </c>
    </row>
    <row r="10818" spans="1:9" x14ac:dyDescent="0.3">
      <c r="A10818" t="s">
        <v>37</v>
      </c>
      <c r="G10818">
        <v>44865</v>
      </c>
      <c r="H10818">
        <v>2022</v>
      </c>
      <c r="I10818" t="s">
        <v>51</v>
      </c>
    </row>
    <row r="10819" spans="1:9" x14ac:dyDescent="0.3">
      <c r="A10819" t="s">
        <v>17</v>
      </c>
      <c r="G10819">
        <v>44865</v>
      </c>
      <c r="H10819">
        <v>2022</v>
      </c>
      <c r="I10819" t="s">
        <v>51</v>
      </c>
    </row>
    <row r="10820" spans="1:9" x14ac:dyDescent="0.3">
      <c r="A10820" t="s">
        <v>0</v>
      </c>
      <c r="G10820">
        <v>44865</v>
      </c>
      <c r="H10820">
        <v>2022</v>
      </c>
      <c r="I10820" t="s">
        <v>51</v>
      </c>
    </row>
    <row r="10821" spans="1:9" x14ac:dyDescent="0.3">
      <c r="A10821" t="s">
        <v>25</v>
      </c>
      <c r="G10821">
        <v>44865</v>
      </c>
      <c r="H10821">
        <v>2022</v>
      </c>
      <c r="I10821" t="s">
        <v>51</v>
      </c>
    </row>
    <row r="10822" spans="1:9" x14ac:dyDescent="0.3">
      <c r="A10822" t="s">
        <v>15</v>
      </c>
      <c r="C10822">
        <v>266000</v>
      </c>
      <c r="E10822">
        <v>162000</v>
      </c>
      <c r="G10822">
        <v>44865</v>
      </c>
      <c r="H10822">
        <v>2022</v>
      </c>
      <c r="I10822" t="s">
        <v>51</v>
      </c>
    </row>
    <row r="10823" spans="1:9" x14ac:dyDescent="0.3">
      <c r="A10823" t="s">
        <v>54</v>
      </c>
      <c r="G10823">
        <v>44865</v>
      </c>
      <c r="H10823">
        <v>2022</v>
      </c>
      <c r="I10823" t="s">
        <v>51</v>
      </c>
    </row>
    <row r="10824" spans="1:9" x14ac:dyDescent="0.3">
      <c r="A10824" t="s">
        <v>26</v>
      </c>
      <c r="B10824">
        <v>486000</v>
      </c>
      <c r="C10824">
        <v>675500</v>
      </c>
      <c r="G10824">
        <v>44865</v>
      </c>
      <c r="H10824">
        <v>2022</v>
      </c>
      <c r="I10824" t="s">
        <v>51</v>
      </c>
    </row>
    <row r="10825" spans="1:9" x14ac:dyDescent="0.3">
      <c r="A10825" t="s">
        <v>22</v>
      </c>
      <c r="G10825">
        <v>44865</v>
      </c>
      <c r="H10825">
        <v>2022</v>
      </c>
      <c r="I10825" t="s">
        <v>51</v>
      </c>
    </row>
    <row r="10826" spans="1:9" x14ac:dyDescent="0.3">
      <c r="A10826" t="s">
        <v>61</v>
      </c>
      <c r="G10826">
        <v>44865</v>
      </c>
      <c r="H10826">
        <v>2022</v>
      </c>
      <c r="I10826" t="s">
        <v>51</v>
      </c>
    </row>
    <row r="10827" spans="1:9" x14ac:dyDescent="0.3">
      <c r="A10827" t="s">
        <v>19</v>
      </c>
      <c r="G10827">
        <v>44865</v>
      </c>
      <c r="H10827">
        <v>2022</v>
      </c>
      <c r="I10827" t="s">
        <v>51</v>
      </c>
    </row>
    <row r="10828" spans="1:9" x14ac:dyDescent="0.3">
      <c r="A10828" t="s">
        <v>14</v>
      </c>
      <c r="B10828">
        <v>648000</v>
      </c>
      <c r="C10828">
        <v>315000</v>
      </c>
      <c r="G10828">
        <v>44865</v>
      </c>
      <c r="H10828">
        <v>2022</v>
      </c>
      <c r="I10828" t="s">
        <v>51</v>
      </c>
    </row>
    <row r="10829" spans="1:9" x14ac:dyDescent="0.3">
      <c r="A10829" t="s">
        <v>24</v>
      </c>
      <c r="G10829">
        <v>44865</v>
      </c>
      <c r="H10829">
        <v>2022</v>
      </c>
      <c r="I10829" t="s">
        <v>51</v>
      </c>
    </row>
    <row r="10830" spans="1:9" x14ac:dyDescent="0.3">
      <c r="A10830" t="s">
        <v>21</v>
      </c>
      <c r="G10830">
        <v>44865</v>
      </c>
      <c r="H10830">
        <v>2022</v>
      </c>
      <c r="I10830" t="s">
        <v>51</v>
      </c>
    </row>
    <row r="10831" spans="1:9" x14ac:dyDescent="0.3">
      <c r="A10831" t="s">
        <v>65</v>
      </c>
      <c r="G10831">
        <v>44865</v>
      </c>
      <c r="H10831">
        <v>2022</v>
      </c>
      <c r="I10831" t="s">
        <v>51</v>
      </c>
    </row>
    <row r="10832" spans="1:9" x14ac:dyDescent="0.3">
      <c r="A10832" t="s">
        <v>67</v>
      </c>
      <c r="C10832">
        <v>54000</v>
      </c>
      <c r="G10832">
        <v>44865</v>
      </c>
      <c r="H10832">
        <v>2022</v>
      </c>
      <c r="I10832" t="s">
        <v>51</v>
      </c>
    </row>
    <row r="10833" spans="1:9" x14ac:dyDescent="0.3">
      <c r="A10833" t="s">
        <v>18</v>
      </c>
      <c r="G10833">
        <v>44865</v>
      </c>
      <c r="H10833">
        <v>2022</v>
      </c>
      <c r="I10833" t="s">
        <v>51</v>
      </c>
    </row>
    <row r="10834" spans="1:9" x14ac:dyDescent="0.3">
      <c r="A10834" t="s">
        <v>16</v>
      </c>
      <c r="G10834">
        <v>44865</v>
      </c>
      <c r="H10834">
        <v>2022</v>
      </c>
      <c r="I10834" t="s">
        <v>51</v>
      </c>
    </row>
    <row r="10835" spans="1:9" x14ac:dyDescent="0.3">
      <c r="A10835" t="s">
        <v>20</v>
      </c>
      <c r="G10835">
        <v>44867</v>
      </c>
      <c r="H10835">
        <v>2022</v>
      </c>
      <c r="I10835" t="s">
        <v>52</v>
      </c>
    </row>
    <row r="10836" spans="1:9" x14ac:dyDescent="0.3">
      <c r="A10836" t="s">
        <v>37</v>
      </c>
      <c r="G10836">
        <v>44867</v>
      </c>
      <c r="H10836">
        <v>2022</v>
      </c>
      <c r="I10836" t="s">
        <v>52</v>
      </c>
    </row>
    <row r="10837" spans="1:9" x14ac:dyDescent="0.3">
      <c r="A10837" t="s">
        <v>17</v>
      </c>
      <c r="G10837">
        <v>44867</v>
      </c>
      <c r="H10837">
        <v>2022</v>
      </c>
      <c r="I10837" t="s">
        <v>52</v>
      </c>
    </row>
    <row r="10838" spans="1:9" x14ac:dyDescent="0.3">
      <c r="A10838" t="s">
        <v>0</v>
      </c>
      <c r="G10838">
        <v>44867</v>
      </c>
      <c r="H10838">
        <v>2022</v>
      </c>
      <c r="I10838" t="s">
        <v>52</v>
      </c>
    </row>
    <row r="10839" spans="1:9" x14ac:dyDescent="0.3">
      <c r="A10839" t="s">
        <v>25</v>
      </c>
      <c r="G10839">
        <v>44867</v>
      </c>
      <c r="H10839">
        <v>2022</v>
      </c>
      <c r="I10839" t="s">
        <v>52</v>
      </c>
    </row>
    <row r="10840" spans="1:9" x14ac:dyDescent="0.3">
      <c r="A10840" t="s">
        <v>15</v>
      </c>
      <c r="C10840">
        <v>50000</v>
      </c>
      <c r="G10840">
        <v>44867</v>
      </c>
      <c r="H10840">
        <v>2022</v>
      </c>
      <c r="I10840" t="s">
        <v>52</v>
      </c>
    </row>
    <row r="10841" spans="1:9" x14ac:dyDescent="0.3">
      <c r="A10841" t="s">
        <v>54</v>
      </c>
      <c r="G10841">
        <v>44867</v>
      </c>
      <c r="H10841">
        <v>2022</v>
      </c>
      <c r="I10841" t="s">
        <v>52</v>
      </c>
    </row>
    <row r="10842" spans="1:9" x14ac:dyDescent="0.3">
      <c r="A10842" t="s">
        <v>26</v>
      </c>
      <c r="B10842">
        <v>54000</v>
      </c>
      <c r="C10842">
        <v>54000</v>
      </c>
      <c r="G10842">
        <v>44867</v>
      </c>
      <c r="H10842">
        <v>2022</v>
      </c>
      <c r="I10842" t="s">
        <v>52</v>
      </c>
    </row>
    <row r="10843" spans="1:9" x14ac:dyDescent="0.3">
      <c r="A10843" t="s">
        <v>22</v>
      </c>
      <c r="G10843">
        <v>44867</v>
      </c>
      <c r="H10843">
        <v>2022</v>
      </c>
      <c r="I10843" t="s">
        <v>52</v>
      </c>
    </row>
    <row r="10844" spans="1:9" x14ac:dyDescent="0.3">
      <c r="A10844" t="s">
        <v>61</v>
      </c>
      <c r="G10844">
        <v>44867</v>
      </c>
      <c r="H10844">
        <v>2022</v>
      </c>
      <c r="I10844" t="s">
        <v>52</v>
      </c>
    </row>
    <row r="10845" spans="1:9" x14ac:dyDescent="0.3">
      <c r="A10845" t="s">
        <v>19</v>
      </c>
      <c r="C10845">
        <v>612000</v>
      </c>
      <c r="G10845">
        <v>44867</v>
      </c>
      <c r="H10845">
        <v>2022</v>
      </c>
      <c r="I10845" t="s">
        <v>52</v>
      </c>
    </row>
    <row r="10846" spans="1:9" x14ac:dyDescent="0.3">
      <c r="A10846" t="s">
        <v>14</v>
      </c>
      <c r="B10846">
        <v>1400000</v>
      </c>
      <c r="C10846">
        <v>751500</v>
      </c>
      <c r="G10846">
        <v>44867</v>
      </c>
      <c r="H10846">
        <v>2022</v>
      </c>
      <c r="I10846" t="s">
        <v>52</v>
      </c>
    </row>
    <row r="10847" spans="1:9" x14ac:dyDescent="0.3">
      <c r="A10847" t="s">
        <v>24</v>
      </c>
      <c r="G10847">
        <v>44867</v>
      </c>
      <c r="H10847">
        <v>2022</v>
      </c>
      <c r="I10847" t="s">
        <v>52</v>
      </c>
    </row>
    <row r="10848" spans="1:9" x14ac:dyDescent="0.3">
      <c r="A10848" t="s">
        <v>21</v>
      </c>
      <c r="G10848">
        <v>44867</v>
      </c>
      <c r="H10848">
        <v>2022</v>
      </c>
      <c r="I10848" t="s">
        <v>52</v>
      </c>
    </row>
    <row r="10849" spans="1:9" x14ac:dyDescent="0.3">
      <c r="A10849" t="s">
        <v>65</v>
      </c>
      <c r="G10849">
        <v>44867</v>
      </c>
      <c r="H10849">
        <v>2022</v>
      </c>
      <c r="I10849" t="s">
        <v>52</v>
      </c>
    </row>
    <row r="10850" spans="1:9" x14ac:dyDescent="0.3">
      <c r="A10850" t="s">
        <v>67</v>
      </c>
      <c r="C10850">
        <v>54000</v>
      </c>
      <c r="G10850">
        <v>44867</v>
      </c>
      <c r="H10850">
        <v>2022</v>
      </c>
      <c r="I10850" t="s">
        <v>52</v>
      </c>
    </row>
    <row r="10851" spans="1:9" x14ac:dyDescent="0.3">
      <c r="A10851" t="s">
        <v>18</v>
      </c>
      <c r="G10851">
        <v>44867</v>
      </c>
      <c r="H10851">
        <v>2022</v>
      </c>
      <c r="I10851" t="s">
        <v>52</v>
      </c>
    </row>
    <row r="10852" spans="1:9" x14ac:dyDescent="0.3">
      <c r="A10852" t="s">
        <v>16</v>
      </c>
      <c r="G10852">
        <v>44867</v>
      </c>
      <c r="H10852">
        <v>2022</v>
      </c>
      <c r="I10852" t="s">
        <v>52</v>
      </c>
    </row>
    <row r="10853" spans="1:9" x14ac:dyDescent="0.3">
      <c r="A10853" t="s">
        <v>20</v>
      </c>
      <c r="G10853">
        <v>44868</v>
      </c>
      <c r="H10853">
        <v>2022</v>
      </c>
      <c r="I10853" t="s">
        <v>52</v>
      </c>
    </row>
    <row r="10854" spans="1:9" x14ac:dyDescent="0.3">
      <c r="A10854" t="s">
        <v>37</v>
      </c>
      <c r="G10854">
        <v>44868</v>
      </c>
      <c r="H10854">
        <v>2022</v>
      </c>
      <c r="I10854" t="s">
        <v>52</v>
      </c>
    </row>
    <row r="10855" spans="1:9" x14ac:dyDescent="0.3">
      <c r="A10855" t="s">
        <v>17</v>
      </c>
      <c r="G10855">
        <v>44868</v>
      </c>
      <c r="H10855">
        <v>2022</v>
      </c>
      <c r="I10855" t="s">
        <v>52</v>
      </c>
    </row>
    <row r="10856" spans="1:9" x14ac:dyDescent="0.3">
      <c r="A10856" t="s">
        <v>0</v>
      </c>
      <c r="G10856">
        <v>44868</v>
      </c>
      <c r="H10856">
        <v>2022</v>
      </c>
      <c r="I10856" t="s">
        <v>52</v>
      </c>
    </row>
    <row r="10857" spans="1:9" x14ac:dyDescent="0.3">
      <c r="A10857" t="s">
        <v>25</v>
      </c>
      <c r="G10857">
        <v>44868</v>
      </c>
      <c r="H10857">
        <v>2022</v>
      </c>
      <c r="I10857" t="s">
        <v>52</v>
      </c>
    </row>
    <row r="10858" spans="1:9" x14ac:dyDescent="0.3">
      <c r="A10858" t="s">
        <v>15</v>
      </c>
      <c r="B10858">
        <v>162000</v>
      </c>
      <c r="G10858">
        <v>44868</v>
      </c>
      <c r="H10858">
        <v>2022</v>
      </c>
      <c r="I10858" t="s">
        <v>52</v>
      </c>
    </row>
    <row r="10859" spans="1:9" x14ac:dyDescent="0.3">
      <c r="A10859" t="s">
        <v>54</v>
      </c>
      <c r="B10859">
        <v>864000</v>
      </c>
      <c r="C10859">
        <v>756000</v>
      </c>
      <c r="D10859">
        <v>324000</v>
      </c>
      <c r="G10859">
        <v>44868</v>
      </c>
      <c r="H10859">
        <v>2022</v>
      </c>
      <c r="I10859" t="s">
        <v>52</v>
      </c>
    </row>
    <row r="10860" spans="1:9" x14ac:dyDescent="0.3">
      <c r="A10860" t="s">
        <v>26</v>
      </c>
      <c r="C10860">
        <v>54000</v>
      </c>
      <c r="G10860">
        <v>44868</v>
      </c>
      <c r="H10860">
        <v>2022</v>
      </c>
      <c r="I10860" t="s">
        <v>52</v>
      </c>
    </row>
    <row r="10861" spans="1:9" x14ac:dyDescent="0.3">
      <c r="A10861" t="s">
        <v>22</v>
      </c>
      <c r="G10861">
        <v>44868</v>
      </c>
      <c r="H10861">
        <v>2022</v>
      </c>
      <c r="I10861" t="s">
        <v>52</v>
      </c>
    </row>
    <row r="10862" spans="1:9" x14ac:dyDescent="0.3">
      <c r="A10862" t="s">
        <v>61</v>
      </c>
      <c r="G10862">
        <v>44868</v>
      </c>
      <c r="H10862">
        <v>2022</v>
      </c>
      <c r="I10862" t="s">
        <v>52</v>
      </c>
    </row>
    <row r="10863" spans="1:9" x14ac:dyDescent="0.3">
      <c r="A10863" t="s">
        <v>19</v>
      </c>
      <c r="G10863">
        <v>44868</v>
      </c>
      <c r="H10863">
        <v>2022</v>
      </c>
      <c r="I10863" t="s">
        <v>52</v>
      </c>
    </row>
    <row r="10864" spans="1:9" x14ac:dyDescent="0.3">
      <c r="A10864" t="s">
        <v>14</v>
      </c>
      <c r="B10864">
        <v>162000</v>
      </c>
      <c r="C10864">
        <v>1280500</v>
      </c>
      <c r="G10864">
        <v>44868</v>
      </c>
      <c r="H10864">
        <v>2022</v>
      </c>
      <c r="I10864" t="s">
        <v>52</v>
      </c>
    </row>
    <row r="10865" spans="1:9" x14ac:dyDescent="0.3">
      <c r="A10865" t="s">
        <v>24</v>
      </c>
      <c r="G10865">
        <v>44868</v>
      </c>
      <c r="H10865">
        <v>2022</v>
      </c>
      <c r="I10865" t="s">
        <v>52</v>
      </c>
    </row>
    <row r="10866" spans="1:9" x14ac:dyDescent="0.3">
      <c r="A10866" t="s">
        <v>21</v>
      </c>
      <c r="G10866">
        <v>44868</v>
      </c>
      <c r="H10866">
        <v>2022</v>
      </c>
      <c r="I10866" t="s">
        <v>52</v>
      </c>
    </row>
    <row r="10867" spans="1:9" x14ac:dyDescent="0.3">
      <c r="A10867" t="s">
        <v>65</v>
      </c>
      <c r="G10867">
        <v>44868</v>
      </c>
      <c r="H10867">
        <v>2022</v>
      </c>
      <c r="I10867" t="s">
        <v>52</v>
      </c>
    </row>
    <row r="10868" spans="1:9" x14ac:dyDescent="0.3">
      <c r="A10868" t="s">
        <v>67</v>
      </c>
      <c r="G10868">
        <v>44868</v>
      </c>
      <c r="H10868">
        <v>2022</v>
      </c>
      <c r="I10868" t="s">
        <v>52</v>
      </c>
    </row>
    <row r="10869" spans="1:9" x14ac:dyDescent="0.3">
      <c r="A10869" t="s">
        <v>18</v>
      </c>
      <c r="G10869">
        <v>44868</v>
      </c>
      <c r="H10869">
        <v>2022</v>
      </c>
      <c r="I10869" t="s">
        <v>52</v>
      </c>
    </row>
    <row r="10870" spans="1:9" x14ac:dyDescent="0.3">
      <c r="A10870" t="s">
        <v>16</v>
      </c>
      <c r="G10870">
        <v>44868</v>
      </c>
      <c r="H10870">
        <v>2022</v>
      </c>
      <c r="I10870" t="s">
        <v>52</v>
      </c>
    </row>
    <row r="10871" spans="1:9" x14ac:dyDescent="0.3">
      <c r="A10871" t="s">
        <v>20</v>
      </c>
      <c r="G10871">
        <v>44869</v>
      </c>
      <c r="H10871">
        <v>2022</v>
      </c>
      <c r="I10871" t="s">
        <v>52</v>
      </c>
    </row>
    <row r="10872" spans="1:9" x14ac:dyDescent="0.3">
      <c r="A10872" t="s">
        <v>37</v>
      </c>
      <c r="G10872">
        <v>44869</v>
      </c>
      <c r="H10872">
        <v>2022</v>
      </c>
      <c r="I10872" t="s">
        <v>52</v>
      </c>
    </row>
    <row r="10873" spans="1:9" x14ac:dyDescent="0.3">
      <c r="A10873" t="s">
        <v>17</v>
      </c>
      <c r="G10873">
        <v>44869</v>
      </c>
      <c r="H10873">
        <v>2022</v>
      </c>
      <c r="I10873" t="s">
        <v>52</v>
      </c>
    </row>
    <row r="10874" spans="1:9" x14ac:dyDescent="0.3">
      <c r="A10874" t="s">
        <v>0</v>
      </c>
      <c r="G10874">
        <v>44869</v>
      </c>
      <c r="H10874">
        <v>2022</v>
      </c>
      <c r="I10874" t="s">
        <v>52</v>
      </c>
    </row>
    <row r="10875" spans="1:9" x14ac:dyDescent="0.3">
      <c r="A10875" t="s">
        <v>25</v>
      </c>
      <c r="G10875">
        <v>44869</v>
      </c>
      <c r="H10875">
        <v>2022</v>
      </c>
      <c r="I10875" t="s">
        <v>52</v>
      </c>
    </row>
    <row r="10876" spans="1:9" x14ac:dyDescent="0.3">
      <c r="A10876" t="s">
        <v>15</v>
      </c>
      <c r="B10876">
        <v>54000</v>
      </c>
      <c r="G10876">
        <v>44869</v>
      </c>
      <c r="H10876">
        <v>2022</v>
      </c>
      <c r="I10876" t="s">
        <v>52</v>
      </c>
    </row>
    <row r="10877" spans="1:9" x14ac:dyDescent="0.3">
      <c r="A10877" t="s">
        <v>54</v>
      </c>
      <c r="B10877">
        <v>108000</v>
      </c>
      <c r="C10877">
        <v>216000</v>
      </c>
      <c r="G10877">
        <v>44869</v>
      </c>
      <c r="H10877">
        <v>2022</v>
      </c>
      <c r="I10877" t="s">
        <v>52</v>
      </c>
    </row>
    <row r="10878" spans="1:9" x14ac:dyDescent="0.3">
      <c r="A10878" t="s">
        <v>26</v>
      </c>
      <c r="G10878">
        <v>44869</v>
      </c>
      <c r="H10878">
        <v>2022</v>
      </c>
      <c r="I10878" t="s">
        <v>52</v>
      </c>
    </row>
    <row r="10879" spans="1:9" x14ac:dyDescent="0.3">
      <c r="A10879" t="s">
        <v>22</v>
      </c>
      <c r="G10879">
        <v>44869</v>
      </c>
      <c r="H10879">
        <v>2022</v>
      </c>
      <c r="I10879" t="s">
        <v>52</v>
      </c>
    </row>
    <row r="10880" spans="1:9" x14ac:dyDescent="0.3">
      <c r="A10880" t="s">
        <v>61</v>
      </c>
      <c r="G10880">
        <v>44869</v>
      </c>
      <c r="H10880">
        <v>2022</v>
      </c>
      <c r="I10880" t="s">
        <v>52</v>
      </c>
    </row>
    <row r="10881" spans="1:9" x14ac:dyDescent="0.3">
      <c r="A10881" t="s">
        <v>19</v>
      </c>
      <c r="B10881">
        <v>972000</v>
      </c>
      <c r="C10881">
        <v>432000</v>
      </c>
      <c r="D10881">
        <v>648000</v>
      </c>
      <c r="G10881">
        <v>44869</v>
      </c>
      <c r="H10881">
        <v>2022</v>
      </c>
      <c r="I10881" t="s">
        <v>52</v>
      </c>
    </row>
    <row r="10882" spans="1:9" x14ac:dyDescent="0.3">
      <c r="A10882" t="s">
        <v>14</v>
      </c>
      <c r="C10882">
        <v>859500</v>
      </c>
      <c r="G10882">
        <v>44869</v>
      </c>
      <c r="H10882">
        <v>2022</v>
      </c>
      <c r="I10882" t="s">
        <v>52</v>
      </c>
    </row>
    <row r="10883" spans="1:9" x14ac:dyDescent="0.3">
      <c r="A10883" t="s">
        <v>24</v>
      </c>
      <c r="G10883">
        <v>44869</v>
      </c>
      <c r="H10883">
        <v>2022</v>
      </c>
      <c r="I10883" t="s">
        <v>52</v>
      </c>
    </row>
    <row r="10884" spans="1:9" x14ac:dyDescent="0.3">
      <c r="A10884" t="s">
        <v>21</v>
      </c>
      <c r="G10884">
        <v>44869</v>
      </c>
      <c r="H10884">
        <v>2022</v>
      </c>
      <c r="I10884" t="s">
        <v>52</v>
      </c>
    </row>
    <row r="10885" spans="1:9" x14ac:dyDescent="0.3">
      <c r="A10885" t="s">
        <v>65</v>
      </c>
      <c r="G10885">
        <v>44869</v>
      </c>
      <c r="H10885">
        <v>2022</v>
      </c>
      <c r="I10885" t="s">
        <v>52</v>
      </c>
    </row>
    <row r="10886" spans="1:9" x14ac:dyDescent="0.3">
      <c r="A10886" t="s">
        <v>67</v>
      </c>
      <c r="G10886">
        <v>44869</v>
      </c>
      <c r="H10886">
        <v>2022</v>
      </c>
      <c r="I10886" t="s">
        <v>52</v>
      </c>
    </row>
    <row r="10887" spans="1:9" x14ac:dyDescent="0.3">
      <c r="A10887" t="s">
        <v>18</v>
      </c>
      <c r="G10887">
        <v>44869</v>
      </c>
      <c r="H10887">
        <v>2022</v>
      </c>
      <c r="I10887" t="s">
        <v>52</v>
      </c>
    </row>
    <row r="10888" spans="1:9" x14ac:dyDescent="0.3">
      <c r="A10888" t="s">
        <v>16</v>
      </c>
      <c r="G10888">
        <v>44869</v>
      </c>
      <c r="H10888">
        <v>2022</v>
      </c>
      <c r="I10888" t="s">
        <v>52</v>
      </c>
    </row>
    <row r="10889" spans="1:9" x14ac:dyDescent="0.3">
      <c r="A10889" t="s">
        <v>20</v>
      </c>
      <c r="G10889">
        <v>44872</v>
      </c>
      <c r="H10889">
        <v>2022</v>
      </c>
      <c r="I10889" t="s">
        <v>52</v>
      </c>
    </row>
    <row r="10890" spans="1:9" x14ac:dyDescent="0.3">
      <c r="A10890" t="s">
        <v>37</v>
      </c>
      <c r="G10890">
        <v>44872</v>
      </c>
      <c r="H10890">
        <v>2022</v>
      </c>
      <c r="I10890" t="s">
        <v>52</v>
      </c>
    </row>
    <row r="10891" spans="1:9" x14ac:dyDescent="0.3">
      <c r="A10891" t="s">
        <v>17</v>
      </c>
      <c r="G10891">
        <v>44872</v>
      </c>
      <c r="H10891">
        <v>2022</v>
      </c>
      <c r="I10891" t="s">
        <v>52</v>
      </c>
    </row>
    <row r="10892" spans="1:9" x14ac:dyDescent="0.3">
      <c r="A10892" t="s">
        <v>0</v>
      </c>
      <c r="G10892">
        <v>44872</v>
      </c>
      <c r="H10892">
        <v>2022</v>
      </c>
      <c r="I10892" t="s">
        <v>52</v>
      </c>
    </row>
    <row r="10893" spans="1:9" x14ac:dyDescent="0.3">
      <c r="A10893" t="s">
        <v>25</v>
      </c>
      <c r="G10893">
        <v>44872</v>
      </c>
      <c r="H10893">
        <v>2022</v>
      </c>
      <c r="I10893" t="s">
        <v>52</v>
      </c>
    </row>
    <row r="10894" spans="1:9" x14ac:dyDescent="0.3">
      <c r="A10894" t="s">
        <v>15</v>
      </c>
      <c r="B10894">
        <v>45000</v>
      </c>
      <c r="G10894">
        <v>44872</v>
      </c>
      <c r="H10894">
        <v>2022</v>
      </c>
      <c r="I10894" t="s">
        <v>52</v>
      </c>
    </row>
    <row r="10895" spans="1:9" x14ac:dyDescent="0.3">
      <c r="A10895" t="s">
        <v>54</v>
      </c>
      <c r="B10895">
        <v>54000</v>
      </c>
      <c r="C10895">
        <v>162000</v>
      </c>
      <c r="G10895">
        <v>44872</v>
      </c>
      <c r="H10895">
        <v>2022</v>
      </c>
      <c r="I10895" t="s">
        <v>52</v>
      </c>
    </row>
    <row r="10896" spans="1:9" x14ac:dyDescent="0.3">
      <c r="A10896" t="s">
        <v>26</v>
      </c>
      <c r="B10896">
        <v>190000</v>
      </c>
      <c r="G10896">
        <v>44872</v>
      </c>
      <c r="H10896">
        <v>2022</v>
      </c>
      <c r="I10896" t="s">
        <v>52</v>
      </c>
    </row>
    <row r="10897" spans="1:9" x14ac:dyDescent="0.3">
      <c r="A10897" t="s">
        <v>22</v>
      </c>
      <c r="G10897">
        <v>44872</v>
      </c>
      <c r="H10897">
        <v>2022</v>
      </c>
      <c r="I10897" t="s">
        <v>52</v>
      </c>
    </row>
    <row r="10898" spans="1:9" x14ac:dyDescent="0.3">
      <c r="A10898" t="s">
        <v>61</v>
      </c>
      <c r="G10898">
        <v>44872</v>
      </c>
      <c r="H10898">
        <v>2022</v>
      </c>
      <c r="I10898" t="s">
        <v>52</v>
      </c>
    </row>
    <row r="10899" spans="1:9" x14ac:dyDescent="0.3">
      <c r="A10899" t="s">
        <v>19</v>
      </c>
      <c r="C10899">
        <v>162000</v>
      </c>
      <c r="D10899">
        <v>324000</v>
      </c>
      <c r="G10899">
        <v>44872</v>
      </c>
      <c r="H10899">
        <v>2022</v>
      </c>
      <c r="I10899" t="s">
        <v>52</v>
      </c>
    </row>
    <row r="10900" spans="1:9" x14ac:dyDescent="0.3">
      <c r="A10900" t="s">
        <v>14</v>
      </c>
      <c r="C10900">
        <v>158000</v>
      </c>
      <c r="G10900">
        <v>44872</v>
      </c>
      <c r="H10900">
        <v>2022</v>
      </c>
      <c r="I10900" t="s">
        <v>52</v>
      </c>
    </row>
    <row r="10901" spans="1:9" x14ac:dyDescent="0.3">
      <c r="A10901" t="s">
        <v>24</v>
      </c>
      <c r="G10901">
        <v>44872</v>
      </c>
      <c r="H10901">
        <v>2022</v>
      </c>
      <c r="I10901" t="s">
        <v>52</v>
      </c>
    </row>
    <row r="10902" spans="1:9" x14ac:dyDescent="0.3">
      <c r="A10902" t="s">
        <v>21</v>
      </c>
      <c r="G10902">
        <v>44872</v>
      </c>
      <c r="H10902">
        <v>2022</v>
      </c>
      <c r="I10902" t="s">
        <v>52</v>
      </c>
    </row>
    <row r="10903" spans="1:9" x14ac:dyDescent="0.3">
      <c r="A10903" t="s">
        <v>65</v>
      </c>
      <c r="G10903">
        <v>44872</v>
      </c>
      <c r="H10903">
        <v>2022</v>
      </c>
      <c r="I10903" t="s">
        <v>52</v>
      </c>
    </row>
    <row r="10904" spans="1:9" x14ac:dyDescent="0.3">
      <c r="A10904" t="s">
        <v>67</v>
      </c>
      <c r="G10904">
        <v>44872</v>
      </c>
      <c r="H10904">
        <v>2022</v>
      </c>
      <c r="I10904" t="s">
        <v>52</v>
      </c>
    </row>
    <row r="10905" spans="1:9" x14ac:dyDescent="0.3">
      <c r="A10905" t="s">
        <v>18</v>
      </c>
      <c r="G10905">
        <v>44872</v>
      </c>
      <c r="H10905">
        <v>2022</v>
      </c>
      <c r="I10905" t="s">
        <v>52</v>
      </c>
    </row>
    <row r="10906" spans="1:9" x14ac:dyDescent="0.3">
      <c r="A10906" t="s">
        <v>16</v>
      </c>
      <c r="G10906">
        <v>44872</v>
      </c>
      <c r="H10906">
        <v>2022</v>
      </c>
      <c r="I10906" t="s">
        <v>52</v>
      </c>
    </row>
    <row r="10907" spans="1:9" x14ac:dyDescent="0.3">
      <c r="A10907" t="s">
        <v>20</v>
      </c>
      <c r="G10907">
        <v>44873</v>
      </c>
      <c r="H10907">
        <v>2022</v>
      </c>
      <c r="I10907" t="s">
        <v>52</v>
      </c>
    </row>
    <row r="10908" spans="1:9" x14ac:dyDescent="0.3">
      <c r="A10908" t="s">
        <v>37</v>
      </c>
      <c r="G10908">
        <v>44873</v>
      </c>
      <c r="H10908">
        <v>2022</v>
      </c>
      <c r="I10908" t="s">
        <v>52</v>
      </c>
    </row>
    <row r="10909" spans="1:9" x14ac:dyDescent="0.3">
      <c r="A10909" t="s">
        <v>17</v>
      </c>
      <c r="G10909">
        <v>44873</v>
      </c>
      <c r="H10909">
        <v>2022</v>
      </c>
      <c r="I10909" t="s">
        <v>52</v>
      </c>
    </row>
    <row r="10910" spans="1:9" x14ac:dyDescent="0.3">
      <c r="A10910" t="s">
        <v>0</v>
      </c>
      <c r="G10910">
        <v>44873</v>
      </c>
      <c r="H10910">
        <v>2022</v>
      </c>
      <c r="I10910" t="s">
        <v>52</v>
      </c>
    </row>
    <row r="10911" spans="1:9" x14ac:dyDescent="0.3">
      <c r="A10911" t="s">
        <v>25</v>
      </c>
      <c r="G10911">
        <v>44873</v>
      </c>
      <c r="H10911">
        <v>2022</v>
      </c>
      <c r="I10911" t="s">
        <v>52</v>
      </c>
    </row>
    <row r="10912" spans="1:9" x14ac:dyDescent="0.3">
      <c r="A10912" t="s">
        <v>15</v>
      </c>
      <c r="C10912">
        <v>648000</v>
      </c>
      <c r="G10912">
        <v>44873</v>
      </c>
      <c r="H10912">
        <v>2022</v>
      </c>
      <c r="I10912" t="s">
        <v>52</v>
      </c>
    </row>
    <row r="10913" spans="1:9" x14ac:dyDescent="0.3">
      <c r="A10913" t="s">
        <v>54</v>
      </c>
      <c r="G10913">
        <v>44873</v>
      </c>
      <c r="H10913">
        <v>2022</v>
      </c>
      <c r="I10913" t="s">
        <v>52</v>
      </c>
    </row>
    <row r="10914" spans="1:9" x14ac:dyDescent="0.3">
      <c r="A10914" t="s">
        <v>26</v>
      </c>
      <c r="G10914">
        <v>44873</v>
      </c>
      <c r="H10914">
        <v>2022</v>
      </c>
      <c r="I10914" t="s">
        <v>52</v>
      </c>
    </row>
    <row r="10915" spans="1:9" x14ac:dyDescent="0.3">
      <c r="A10915" t="s">
        <v>22</v>
      </c>
      <c r="G10915">
        <v>44873</v>
      </c>
      <c r="H10915">
        <v>2022</v>
      </c>
      <c r="I10915" t="s">
        <v>52</v>
      </c>
    </row>
    <row r="10916" spans="1:9" x14ac:dyDescent="0.3">
      <c r="A10916" t="s">
        <v>61</v>
      </c>
      <c r="G10916">
        <v>44873</v>
      </c>
      <c r="H10916">
        <v>2022</v>
      </c>
      <c r="I10916" t="s">
        <v>52</v>
      </c>
    </row>
    <row r="10917" spans="1:9" x14ac:dyDescent="0.3">
      <c r="A10917" t="s">
        <v>19</v>
      </c>
      <c r="C10917">
        <v>693000</v>
      </c>
      <c r="G10917">
        <v>44873</v>
      </c>
      <c r="H10917">
        <v>2022</v>
      </c>
      <c r="I10917" t="s">
        <v>52</v>
      </c>
    </row>
    <row r="10918" spans="1:9" x14ac:dyDescent="0.3">
      <c r="A10918" t="s">
        <v>14</v>
      </c>
      <c r="G10918">
        <v>44873</v>
      </c>
      <c r="H10918">
        <v>2022</v>
      </c>
      <c r="I10918" t="s">
        <v>52</v>
      </c>
    </row>
    <row r="10919" spans="1:9" x14ac:dyDescent="0.3">
      <c r="A10919" t="s">
        <v>24</v>
      </c>
      <c r="G10919">
        <v>44873</v>
      </c>
      <c r="H10919">
        <v>2022</v>
      </c>
      <c r="I10919" t="s">
        <v>52</v>
      </c>
    </row>
    <row r="10920" spans="1:9" x14ac:dyDescent="0.3">
      <c r="A10920" t="s">
        <v>21</v>
      </c>
      <c r="G10920">
        <v>44873</v>
      </c>
      <c r="H10920">
        <v>2022</v>
      </c>
      <c r="I10920" t="s">
        <v>52</v>
      </c>
    </row>
    <row r="10921" spans="1:9" x14ac:dyDescent="0.3">
      <c r="A10921" t="s">
        <v>65</v>
      </c>
      <c r="G10921">
        <v>44873</v>
      </c>
      <c r="H10921">
        <v>2022</v>
      </c>
      <c r="I10921" t="s">
        <v>52</v>
      </c>
    </row>
    <row r="10922" spans="1:9" x14ac:dyDescent="0.3">
      <c r="A10922" t="s">
        <v>67</v>
      </c>
      <c r="G10922">
        <v>44873</v>
      </c>
      <c r="H10922">
        <v>2022</v>
      </c>
      <c r="I10922" t="s">
        <v>52</v>
      </c>
    </row>
    <row r="10923" spans="1:9" x14ac:dyDescent="0.3">
      <c r="A10923" t="s">
        <v>18</v>
      </c>
      <c r="G10923">
        <v>44873</v>
      </c>
      <c r="H10923">
        <v>2022</v>
      </c>
      <c r="I10923" t="s">
        <v>52</v>
      </c>
    </row>
    <row r="10924" spans="1:9" x14ac:dyDescent="0.3">
      <c r="A10924" t="s">
        <v>16</v>
      </c>
      <c r="G10924">
        <v>44873</v>
      </c>
      <c r="H10924">
        <v>2022</v>
      </c>
      <c r="I10924" t="s">
        <v>52</v>
      </c>
    </row>
    <row r="10925" spans="1:9" x14ac:dyDescent="0.3">
      <c r="A10925" t="s">
        <v>20</v>
      </c>
      <c r="G10925">
        <v>44874</v>
      </c>
      <c r="H10925">
        <v>2022</v>
      </c>
      <c r="I10925" t="s">
        <v>52</v>
      </c>
    </row>
    <row r="10926" spans="1:9" x14ac:dyDescent="0.3">
      <c r="A10926" t="s">
        <v>37</v>
      </c>
      <c r="G10926">
        <v>44874</v>
      </c>
      <c r="H10926">
        <v>2022</v>
      </c>
      <c r="I10926" t="s">
        <v>52</v>
      </c>
    </row>
    <row r="10927" spans="1:9" x14ac:dyDescent="0.3">
      <c r="A10927" t="s">
        <v>17</v>
      </c>
      <c r="G10927">
        <v>44874</v>
      </c>
      <c r="H10927">
        <v>2022</v>
      </c>
      <c r="I10927" t="s">
        <v>52</v>
      </c>
    </row>
    <row r="10928" spans="1:9" x14ac:dyDescent="0.3">
      <c r="A10928" t="s">
        <v>0</v>
      </c>
      <c r="G10928">
        <v>44874</v>
      </c>
      <c r="H10928">
        <v>2022</v>
      </c>
      <c r="I10928" t="s">
        <v>52</v>
      </c>
    </row>
    <row r="10929" spans="1:9" x14ac:dyDescent="0.3">
      <c r="A10929" t="s">
        <v>25</v>
      </c>
      <c r="C10929">
        <v>967500</v>
      </c>
      <c r="G10929">
        <v>44874</v>
      </c>
      <c r="H10929">
        <v>2022</v>
      </c>
      <c r="I10929" t="s">
        <v>52</v>
      </c>
    </row>
    <row r="10930" spans="1:9" x14ac:dyDescent="0.3">
      <c r="A10930" t="s">
        <v>15</v>
      </c>
      <c r="C10930">
        <v>162000</v>
      </c>
      <c r="G10930">
        <v>44874</v>
      </c>
      <c r="H10930">
        <v>2022</v>
      </c>
      <c r="I10930" t="s">
        <v>52</v>
      </c>
    </row>
    <row r="10931" spans="1:9" x14ac:dyDescent="0.3">
      <c r="A10931" t="s">
        <v>54</v>
      </c>
      <c r="G10931">
        <v>44874</v>
      </c>
      <c r="H10931">
        <v>2022</v>
      </c>
      <c r="I10931" t="s">
        <v>52</v>
      </c>
    </row>
    <row r="10932" spans="1:9" x14ac:dyDescent="0.3">
      <c r="A10932" t="s">
        <v>26</v>
      </c>
      <c r="G10932">
        <v>44874</v>
      </c>
      <c r="H10932">
        <v>2022</v>
      </c>
      <c r="I10932" t="s">
        <v>52</v>
      </c>
    </row>
    <row r="10933" spans="1:9" x14ac:dyDescent="0.3">
      <c r="A10933" t="s">
        <v>22</v>
      </c>
      <c r="G10933">
        <v>44874</v>
      </c>
      <c r="H10933">
        <v>2022</v>
      </c>
      <c r="I10933" t="s">
        <v>52</v>
      </c>
    </row>
    <row r="10934" spans="1:9" x14ac:dyDescent="0.3">
      <c r="A10934" t="s">
        <v>61</v>
      </c>
      <c r="G10934">
        <v>44874</v>
      </c>
      <c r="H10934">
        <v>2022</v>
      </c>
      <c r="I10934" t="s">
        <v>52</v>
      </c>
    </row>
    <row r="10935" spans="1:9" x14ac:dyDescent="0.3">
      <c r="A10935" t="s">
        <v>19</v>
      </c>
      <c r="G10935">
        <v>44874</v>
      </c>
      <c r="H10935">
        <v>2022</v>
      </c>
      <c r="I10935" t="s">
        <v>52</v>
      </c>
    </row>
    <row r="10936" spans="1:9" x14ac:dyDescent="0.3">
      <c r="A10936" t="s">
        <v>14</v>
      </c>
      <c r="G10936">
        <v>44874</v>
      </c>
      <c r="H10936">
        <v>2022</v>
      </c>
      <c r="I10936" t="s">
        <v>52</v>
      </c>
    </row>
    <row r="10937" spans="1:9" x14ac:dyDescent="0.3">
      <c r="A10937" t="s">
        <v>24</v>
      </c>
      <c r="G10937">
        <v>44874</v>
      </c>
      <c r="H10937">
        <v>2022</v>
      </c>
      <c r="I10937" t="s">
        <v>52</v>
      </c>
    </row>
    <row r="10938" spans="1:9" x14ac:dyDescent="0.3">
      <c r="A10938" t="s">
        <v>21</v>
      </c>
      <c r="G10938">
        <v>44874</v>
      </c>
      <c r="H10938">
        <v>2022</v>
      </c>
      <c r="I10938" t="s">
        <v>52</v>
      </c>
    </row>
    <row r="10939" spans="1:9" x14ac:dyDescent="0.3">
      <c r="A10939" t="s">
        <v>65</v>
      </c>
      <c r="G10939">
        <v>44874</v>
      </c>
      <c r="H10939">
        <v>2022</v>
      </c>
      <c r="I10939" t="s">
        <v>52</v>
      </c>
    </row>
    <row r="10940" spans="1:9" x14ac:dyDescent="0.3">
      <c r="A10940" t="s">
        <v>67</v>
      </c>
      <c r="G10940">
        <v>44874</v>
      </c>
      <c r="H10940">
        <v>2022</v>
      </c>
      <c r="I10940" t="s">
        <v>52</v>
      </c>
    </row>
    <row r="10941" spans="1:9" x14ac:dyDescent="0.3">
      <c r="A10941" t="s">
        <v>18</v>
      </c>
      <c r="G10941">
        <v>44874</v>
      </c>
      <c r="H10941">
        <v>2022</v>
      </c>
      <c r="I10941" t="s">
        <v>52</v>
      </c>
    </row>
    <row r="10942" spans="1:9" x14ac:dyDescent="0.3">
      <c r="A10942" t="s">
        <v>16</v>
      </c>
      <c r="G10942">
        <v>44874</v>
      </c>
      <c r="H10942">
        <v>2022</v>
      </c>
      <c r="I10942" t="s">
        <v>52</v>
      </c>
    </row>
    <row r="10943" spans="1:9" x14ac:dyDescent="0.3">
      <c r="A10943" t="s">
        <v>20</v>
      </c>
      <c r="G10943">
        <v>44875</v>
      </c>
      <c r="H10943">
        <v>2022</v>
      </c>
      <c r="I10943" t="s">
        <v>52</v>
      </c>
    </row>
    <row r="10944" spans="1:9" x14ac:dyDescent="0.3">
      <c r="A10944" t="s">
        <v>37</v>
      </c>
      <c r="G10944">
        <v>44875</v>
      </c>
      <c r="H10944">
        <v>2022</v>
      </c>
      <c r="I10944" t="s">
        <v>52</v>
      </c>
    </row>
    <row r="10945" spans="1:9" x14ac:dyDescent="0.3">
      <c r="A10945" t="s">
        <v>17</v>
      </c>
      <c r="G10945">
        <v>44875</v>
      </c>
      <c r="H10945">
        <v>2022</v>
      </c>
      <c r="I10945" t="s">
        <v>52</v>
      </c>
    </row>
    <row r="10946" spans="1:9" x14ac:dyDescent="0.3">
      <c r="A10946" t="s">
        <v>0</v>
      </c>
      <c r="G10946">
        <v>44875</v>
      </c>
      <c r="H10946">
        <v>2022</v>
      </c>
      <c r="I10946" t="s">
        <v>52</v>
      </c>
    </row>
    <row r="10947" spans="1:9" x14ac:dyDescent="0.3">
      <c r="A10947" t="s">
        <v>25</v>
      </c>
      <c r="C10947">
        <v>756000</v>
      </c>
      <c r="G10947">
        <v>44875</v>
      </c>
      <c r="H10947">
        <v>2022</v>
      </c>
      <c r="I10947" t="s">
        <v>52</v>
      </c>
    </row>
    <row r="10948" spans="1:9" x14ac:dyDescent="0.3">
      <c r="A10948" t="s">
        <v>15</v>
      </c>
      <c r="C10948">
        <v>54000</v>
      </c>
      <c r="G10948">
        <v>44875</v>
      </c>
      <c r="H10948">
        <v>2022</v>
      </c>
      <c r="I10948" t="s">
        <v>52</v>
      </c>
    </row>
    <row r="10949" spans="1:9" x14ac:dyDescent="0.3">
      <c r="A10949" t="s">
        <v>54</v>
      </c>
      <c r="G10949">
        <v>44875</v>
      </c>
      <c r="H10949">
        <v>2022</v>
      </c>
      <c r="I10949" t="s">
        <v>52</v>
      </c>
    </row>
    <row r="10950" spans="1:9" x14ac:dyDescent="0.3">
      <c r="A10950" t="s">
        <v>26</v>
      </c>
      <c r="G10950">
        <v>44875</v>
      </c>
      <c r="H10950">
        <v>2022</v>
      </c>
      <c r="I10950" t="s">
        <v>52</v>
      </c>
    </row>
    <row r="10951" spans="1:9" x14ac:dyDescent="0.3">
      <c r="A10951" t="s">
        <v>22</v>
      </c>
      <c r="G10951">
        <v>44875</v>
      </c>
      <c r="H10951">
        <v>2022</v>
      </c>
      <c r="I10951" t="s">
        <v>52</v>
      </c>
    </row>
    <row r="10952" spans="1:9" x14ac:dyDescent="0.3">
      <c r="A10952" t="s">
        <v>61</v>
      </c>
      <c r="G10952">
        <v>44875</v>
      </c>
      <c r="H10952">
        <v>2022</v>
      </c>
      <c r="I10952" t="s">
        <v>52</v>
      </c>
    </row>
    <row r="10953" spans="1:9" x14ac:dyDescent="0.3">
      <c r="A10953" t="s">
        <v>19</v>
      </c>
      <c r="B10953">
        <v>540000</v>
      </c>
      <c r="G10953">
        <v>44875</v>
      </c>
      <c r="H10953">
        <v>2022</v>
      </c>
      <c r="I10953" t="s">
        <v>52</v>
      </c>
    </row>
    <row r="10954" spans="1:9" x14ac:dyDescent="0.3">
      <c r="A10954" t="s">
        <v>14</v>
      </c>
      <c r="G10954">
        <v>44875</v>
      </c>
      <c r="H10954">
        <v>2022</v>
      </c>
      <c r="I10954" t="s">
        <v>52</v>
      </c>
    </row>
    <row r="10955" spans="1:9" x14ac:dyDescent="0.3">
      <c r="A10955" t="s">
        <v>24</v>
      </c>
      <c r="G10955">
        <v>44875</v>
      </c>
      <c r="H10955">
        <v>2022</v>
      </c>
      <c r="I10955" t="s">
        <v>52</v>
      </c>
    </row>
    <row r="10956" spans="1:9" x14ac:dyDescent="0.3">
      <c r="A10956" t="s">
        <v>21</v>
      </c>
      <c r="G10956">
        <v>44875</v>
      </c>
      <c r="H10956">
        <v>2022</v>
      </c>
      <c r="I10956" t="s">
        <v>52</v>
      </c>
    </row>
    <row r="10957" spans="1:9" x14ac:dyDescent="0.3">
      <c r="A10957" t="s">
        <v>65</v>
      </c>
      <c r="G10957">
        <v>44875</v>
      </c>
      <c r="H10957">
        <v>2022</v>
      </c>
      <c r="I10957" t="s">
        <v>52</v>
      </c>
    </row>
    <row r="10958" spans="1:9" x14ac:dyDescent="0.3">
      <c r="A10958" t="s">
        <v>67</v>
      </c>
      <c r="G10958">
        <v>44875</v>
      </c>
      <c r="H10958">
        <v>2022</v>
      </c>
      <c r="I10958" t="s">
        <v>52</v>
      </c>
    </row>
    <row r="10959" spans="1:9" x14ac:dyDescent="0.3">
      <c r="A10959" t="s">
        <v>18</v>
      </c>
      <c r="C10959">
        <v>90000</v>
      </c>
      <c r="G10959">
        <v>44875</v>
      </c>
      <c r="H10959">
        <v>2022</v>
      </c>
      <c r="I10959" t="s">
        <v>52</v>
      </c>
    </row>
    <row r="10960" spans="1:9" x14ac:dyDescent="0.3">
      <c r="A10960" t="s">
        <v>16</v>
      </c>
      <c r="G10960">
        <v>44875</v>
      </c>
      <c r="H10960">
        <v>2022</v>
      </c>
      <c r="I10960" t="s">
        <v>52</v>
      </c>
    </row>
    <row r="10961" spans="1:9" x14ac:dyDescent="0.3">
      <c r="A10961" t="s">
        <v>20</v>
      </c>
      <c r="G10961">
        <v>44876</v>
      </c>
      <c r="H10961">
        <v>2022</v>
      </c>
      <c r="I10961" t="s">
        <v>52</v>
      </c>
    </row>
    <row r="10962" spans="1:9" x14ac:dyDescent="0.3">
      <c r="A10962" t="s">
        <v>37</v>
      </c>
      <c r="G10962">
        <v>44876</v>
      </c>
      <c r="H10962">
        <v>2022</v>
      </c>
      <c r="I10962" t="s">
        <v>52</v>
      </c>
    </row>
    <row r="10963" spans="1:9" x14ac:dyDescent="0.3">
      <c r="A10963" t="s">
        <v>17</v>
      </c>
      <c r="G10963">
        <v>44876</v>
      </c>
      <c r="H10963">
        <v>2022</v>
      </c>
      <c r="I10963" t="s">
        <v>52</v>
      </c>
    </row>
    <row r="10964" spans="1:9" x14ac:dyDescent="0.3">
      <c r="A10964" t="s">
        <v>0</v>
      </c>
      <c r="C10964">
        <v>972000</v>
      </c>
      <c r="G10964">
        <v>44876</v>
      </c>
      <c r="H10964">
        <v>2022</v>
      </c>
      <c r="I10964" t="s">
        <v>52</v>
      </c>
    </row>
    <row r="10965" spans="1:9" x14ac:dyDescent="0.3">
      <c r="A10965" t="s">
        <v>25</v>
      </c>
      <c r="C10965">
        <v>370000</v>
      </c>
      <c r="G10965">
        <v>44876</v>
      </c>
      <c r="H10965">
        <v>2022</v>
      </c>
      <c r="I10965" t="s">
        <v>52</v>
      </c>
    </row>
    <row r="10966" spans="1:9" x14ac:dyDescent="0.3">
      <c r="A10966" t="s">
        <v>15</v>
      </c>
      <c r="G10966">
        <v>44876</v>
      </c>
      <c r="H10966">
        <v>2022</v>
      </c>
      <c r="I10966" t="s">
        <v>52</v>
      </c>
    </row>
    <row r="10967" spans="1:9" x14ac:dyDescent="0.3">
      <c r="A10967" t="s">
        <v>54</v>
      </c>
      <c r="G10967">
        <v>44876</v>
      </c>
      <c r="H10967">
        <v>2022</v>
      </c>
      <c r="I10967" t="s">
        <v>52</v>
      </c>
    </row>
    <row r="10968" spans="1:9" x14ac:dyDescent="0.3">
      <c r="A10968" t="s">
        <v>26</v>
      </c>
      <c r="G10968">
        <v>44876</v>
      </c>
      <c r="H10968">
        <v>2022</v>
      </c>
      <c r="I10968" t="s">
        <v>52</v>
      </c>
    </row>
    <row r="10969" spans="1:9" x14ac:dyDescent="0.3">
      <c r="A10969" t="s">
        <v>22</v>
      </c>
      <c r="G10969">
        <v>44876</v>
      </c>
      <c r="H10969">
        <v>2022</v>
      </c>
      <c r="I10969" t="s">
        <v>52</v>
      </c>
    </row>
    <row r="10970" spans="1:9" x14ac:dyDescent="0.3">
      <c r="A10970" t="s">
        <v>61</v>
      </c>
      <c r="G10970">
        <v>44876</v>
      </c>
      <c r="H10970">
        <v>2022</v>
      </c>
      <c r="I10970" t="s">
        <v>52</v>
      </c>
    </row>
    <row r="10971" spans="1:9" x14ac:dyDescent="0.3">
      <c r="A10971" t="s">
        <v>19</v>
      </c>
      <c r="B10971">
        <v>1562000</v>
      </c>
      <c r="D10971">
        <v>540000</v>
      </c>
      <c r="G10971">
        <v>44876</v>
      </c>
      <c r="H10971">
        <v>2022</v>
      </c>
      <c r="I10971" t="s">
        <v>52</v>
      </c>
    </row>
    <row r="10972" spans="1:9" x14ac:dyDescent="0.3">
      <c r="A10972" t="s">
        <v>14</v>
      </c>
      <c r="G10972">
        <v>44876</v>
      </c>
      <c r="H10972">
        <v>2022</v>
      </c>
      <c r="I10972" t="s">
        <v>52</v>
      </c>
    </row>
    <row r="10973" spans="1:9" x14ac:dyDescent="0.3">
      <c r="A10973" t="s">
        <v>24</v>
      </c>
      <c r="G10973">
        <v>44876</v>
      </c>
      <c r="H10973">
        <v>2022</v>
      </c>
      <c r="I10973" t="s">
        <v>52</v>
      </c>
    </row>
    <row r="10974" spans="1:9" x14ac:dyDescent="0.3">
      <c r="A10974" t="s">
        <v>21</v>
      </c>
      <c r="G10974">
        <v>44876</v>
      </c>
      <c r="H10974">
        <v>2022</v>
      </c>
      <c r="I10974" t="s">
        <v>52</v>
      </c>
    </row>
    <row r="10975" spans="1:9" x14ac:dyDescent="0.3">
      <c r="A10975" t="s">
        <v>65</v>
      </c>
      <c r="G10975">
        <v>44876</v>
      </c>
      <c r="H10975">
        <v>2022</v>
      </c>
      <c r="I10975" t="s">
        <v>52</v>
      </c>
    </row>
    <row r="10976" spans="1:9" x14ac:dyDescent="0.3">
      <c r="A10976" t="s">
        <v>67</v>
      </c>
      <c r="G10976">
        <v>44876</v>
      </c>
      <c r="H10976">
        <v>2022</v>
      </c>
      <c r="I10976" t="s">
        <v>52</v>
      </c>
    </row>
    <row r="10977" spans="1:9" x14ac:dyDescent="0.3">
      <c r="A10977" t="s">
        <v>18</v>
      </c>
      <c r="G10977">
        <v>44876</v>
      </c>
      <c r="H10977">
        <v>2022</v>
      </c>
      <c r="I10977" t="s">
        <v>52</v>
      </c>
    </row>
    <row r="10978" spans="1:9" x14ac:dyDescent="0.3">
      <c r="A10978" t="s">
        <v>16</v>
      </c>
      <c r="G10978">
        <v>44876</v>
      </c>
      <c r="H10978">
        <v>2022</v>
      </c>
      <c r="I10978" t="s">
        <v>52</v>
      </c>
    </row>
    <row r="10979" spans="1:9" x14ac:dyDescent="0.3">
      <c r="A10979" t="s">
        <v>20</v>
      </c>
      <c r="G10979">
        <v>44879</v>
      </c>
      <c r="H10979">
        <v>2022</v>
      </c>
      <c r="I10979" t="s">
        <v>52</v>
      </c>
    </row>
    <row r="10980" spans="1:9" x14ac:dyDescent="0.3">
      <c r="A10980" t="s">
        <v>37</v>
      </c>
      <c r="G10980">
        <v>44879</v>
      </c>
      <c r="H10980">
        <v>2022</v>
      </c>
      <c r="I10980" t="s">
        <v>52</v>
      </c>
    </row>
    <row r="10981" spans="1:9" x14ac:dyDescent="0.3">
      <c r="A10981" t="s">
        <v>17</v>
      </c>
      <c r="G10981">
        <v>44879</v>
      </c>
      <c r="H10981">
        <v>2022</v>
      </c>
      <c r="I10981" t="s">
        <v>52</v>
      </c>
    </row>
    <row r="10982" spans="1:9" x14ac:dyDescent="0.3">
      <c r="A10982" t="s">
        <v>0</v>
      </c>
      <c r="C10982">
        <v>54000</v>
      </c>
      <c r="G10982">
        <v>44879</v>
      </c>
      <c r="H10982">
        <v>2022</v>
      </c>
      <c r="I10982" t="s">
        <v>52</v>
      </c>
    </row>
    <row r="10983" spans="1:9" x14ac:dyDescent="0.3">
      <c r="A10983" t="s">
        <v>25</v>
      </c>
      <c r="C10983">
        <v>851000</v>
      </c>
      <c r="G10983">
        <v>44879</v>
      </c>
      <c r="H10983">
        <v>2022</v>
      </c>
      <c r="I10983" t="s">
        <v>52</v>
      </c>
    </row>
    <row r="10984" spans="1:9" x14ac:dyDescent="0.3">
      <c r="A10984" t="s">
        <v>15</v>
      </c>
      <c r="C10984">
        <v>45000</v>
      </c>
      <c r="G10984">
        <v>44879</v>
      </c>
      <c r="H10984">
        <v>2022</v>
      </c>
      <c r="I10984" t="s">
        <v>52</v>
      </c>
    </row>
    <row r="10985" spans="1:9" x14ac:dyDescent="0.3">
      <c r="A10985" t="s">
        <v>54</v>
      </c>
      <c r="G10985">
        <v>44879</v>
      </c>
      <c r="H10985">
        <v>2022</v>
      </c>
      <c r="I10985" t="s">
        <v>52</v>
      </c>
    </row>
    <row r="10986" spans="1:9" x14ac:dyDescent="0.3">
      <c r="A10986" t="s">
        <v>26</v>
      </c>
      <c r="G10986">
        <v>44879</v>
      </c>
      <c r="H10986">
        <v>2022</v>
      </c>
      <c r="I10986" t="s">
        <v>52</v>
      </c>
    </row>
    <row r="10987" spans="1:9" x14ac:dyDescent="0.3">
      <c r="A10987" t="s">
        <v>22</v>
      </c>
      <c r="G10987">
        <v>44879</v>
      </c>
      <c r="H10987">
        <v>2022</v>
      </c>
      <c r="I10987" t="s">
        <v>52</v>
      </c>
    </row>
    <row r="10988" spans="1:9" x14ac:dyDescent="0.3">
      <c r="A10988" t="s">
        <v>61</v>
      </c>
      <c r="G10988">
        <v>44879</v>
      </c>
      <c r="H10988">
        <v>2022</v>
      </c>
      <c r="I10988" t="s">
        <v>52</v>
      </c>
    </row>
    <row r="10989" spans="1:9" x14ac:dyDescent="0.3">
      <c r="A10989" t="s">
        <v>19</v>
      </c>
      <c r="B10989">
        <v>540000</v>
      </c>
      <c r="D10989">
        <v>486000</v>
      </c>
      <c r="G10989">
        <v>44879</v>
      </c>
      <c r="H10989">
        <v>2022</v>
      </c>
      <c r="I10989" t="s">
        <v>52</v>
      </c>
    </row>
    <row r="10990" spans="1:9" x14ac:dyDescent="0.3">
      <c r="A10990" t="s">
        <v>14</v>
      </c>
      <c r="G10990">
        <v>44879</v>
      </c>
      <c r="H10990">
        <v>2022</v>
      </c>
      <c r="I10990" t="s">
        <v>52</v>
      </c>
    </row>
    <row r="10991" spans="1:9" x14ac:dyDescent="0.3">
      <c r="A10991" t="s">
        <v>24</v>
      </c>
      <c r="G10991">
        <v>44879</v>
      </c>
      <c r="H10991">
        <v>2022</v>
      </c>
      <c r="I10991" t="s">
        <v>52</v>
      </c>
    </row>
    <row r="10992" spans="1:9" x14ac:dyDescent="0.3">
      <c r="A10992" t="s">
        <v>21</v>
      </c>
      <c r="B10992">
        <v>54000</v>
      </c>
      <c r="G10992">
        <v>44879</v>
      </c>
      <c r="H10992">
        <v>2022</v>
      </c>
      <c r="I10992" t="s">
        <v>52</v>
      </c>
    </row>
    <row r="10993" spans="1:9" x14ac:dyDescent="0.3">
      <c r="A10993" t="s">
        <v>65</v>
      </c>
      <c r="G10993">
        <v>44879</v>
      </c>
      <c r="H10993">
        <v>2022</v>
      </c>
      <c r="I10993" t="s">
        <v>52</v>
      </c>
    </row>
    <row r="10994" spans="1:9" x14ac:dyDescent="0.3">
      <c r="A10994" t="s">
        <v>67</v>
      </c>
      <c r="G10994">
        <v>44879</v>
      </c>
      <c r="H10994">
        <v>2022</v>
      </c>
      <c r="I10994" t="s">
        <v>52</v>
      </c>
    </row>
    <row r="10995" spans="1:9" x14ac:dyDescent="0.3">
      <c r="A10995" t="s">
        <v>18</v>
      </c>
      <c r="G10995">
        <v>44879</v>
      </c>
      <c r="H10995">
        <v>2022</v>
      </c>
      <c r="I10995" t="s">
        <v>52</v>
      </c>
    </row>
    <row r="10996" spans="1:9" x14ac:dyDescent="0.3">
      <c r="A10996" t="s">
        <v>16</v>
      </c>
      <c r="G10996">
        <v>44879</v>
      </c>
      <c r="H10996">
        <v>2022</v>
      </c>
      <c r="I10996" t="s">
        <v>52</v>
      </c>
    </row>
    <row r="10997" spans="1:9" x14ac:dyDescent="0.3">
      <c r="A10997" t="s">
        <v>20</v>
      </c>
      <c r="G10997">
        <v>44880</v>
      </c>
      <c r="H10997">
        <v>2022</v>
      </c>
      <c r="I10997" t="s">
        <v>52</v>
      </c>
    </row>
    <row r="10998" spans="1:9" x14ac:dyDescent="0.3">
      <c r="A10998" t="s">
        <v>37</v>
      </c>
      <c r="G10998">
        <v>44880</v>
      </c>
      <c r="H10998">
        <v>2022</v>
      </c>
      <c r="I10998" t="s">
        <v>52</v>
      </c>
    </row>
    <row r="10999" spans="1:9" x14ac:dyDescent="0.3">
      <c r="A10999" t="s">
        <v>17</v>
      </c>
      <c r="G10999">
        <v>44880</v>
      </c>
      <c r="H10999">
        <v>2022</v>
      </c>
      <c r="I10999" t="s">
        <v>52</v>
      </c>
    </row>
    <row r="11000" spans="1:9" x14ac:dyDescent="0.3">
      <c r="A11000" t="s">
        <v>0</v>
      </c>
      <c r="B11000">
        <v>1566000</v>
      </c>
      <c r="G11000">
        <v>44880</v>
      </c>
      <c r="H11000">
        <v>2022</v>
      </c>
      <c r="I11000" t="s">
        <v>52</v>
      </c>
    </row>
    <row r="11001" spans="1:9" x14ac:dyDescent="0.3">
      <c r="A11001" t="s">
        <v>25</v>
      </c>
      <c r="C11001">
        <v>54000</v>
      </c>
      <c r="G11001">
        <v>44880</v>
      </c>
      <c r="H11001">
        <v>2022</v>
      </c>
      <c r="I11001" t="s">
        <v>52</v>
      </c>
    </row>
    <row r="11002" spans="1:9" x14ac:dyDescent="0.3">
      <c r="A11002" t="s">
        <v>15</v>
      </c>
      <c r="G11002">
        <v>44880</v>
      </c>
      <c r="H11002">
        <v>2022</v>
      </c>
      <c r="I11002" t="s">
        <v>52</v>
      </c>
    </row>
    <row r="11003" spans="1:9" x14ac:dyDescent="0.3">
      <c r="A11003" t="s">
        <v>54</v>
      </c>
      <c r="G11003">
        <v>44880</v>
      </c>
      <c r="H11003">
        <v>2022</v>
      </c>
      <c r="I11003" t="s">
        <v>52</v>
      </c>
    </row>
    <row r="11004" spans="1:9" x14ac:dyDescent="0.3">
      <c r="A11004" t="s">
        <v>26</v>
      </c>
      <c r="G11004">
        <v>44880</v>
      </c>
      <c r="H11004">
        <v>2022</v>
      </c>
      <c r="I11004" t="s">
        <v>52</v>
      </c>
    </row>
    <row r="11005" spans="1:9" x14ac:dyDescent="0.3">
      <c r="A11005" t="s">
        <v>22</v>
      </c>
      <c r="G11005">
        <v>44880</v>
      </c>
      <c r="H11005">
        <v>2022</v>
      </c>
      <c r="I11005" t="s">
        <v>52</v>
      </c>
    </row>
    <row r="11006" spans="1:9" x14ac:dyDescent="0.3">
      <c r="A11006" t="s">
        <v>61</v>
      </c>
      <c r="G11006">
        <v>44880</v>
      </c>
      <c r="H11006">
        <v>2022</v>
      </c>
      <c r="I11006" t="s">
        <v>52</v>
      </c>
    </row>
    <row r="11007" spans="1:9" x14ac:dyDescent="0.3">
      <c r="A11007" t="s">
        <v>19</v>
      </c>
      <c r="B11007">
        <v>54000</v>
      </c>
      <c r="D11007">
        <v>108000</v>
      </c>
      <c r="G11007">
        <v>44880</v>
      </c>
      <c r="H11007">
        <v>2022</v>
      </c>
      <c r="I11007" t="s">
        <v>52</v>
      </c>
    </row>
    <row r="11008" spans="1:9" x14ac:dyDescent="0.3">
      <c r="A11008" t="s">
        <v>14</v>
      </c>
      <c r="G11008">
        <v>44880</v>
      </c>
      <c r="H11008">
        <v>2022</v>
      </c>
      <c r="I11008" t="s">
        <v>52</v>
      </c>
    </row>
    <row r="11009" spans="1:9" x14ac:dyDescent="0.3">
      <c r="A11009" t="s">
        <v>24</v>
      </c>
      <c r="G11009">
        <v>44880</v>
      </c>
      <c r="H11009">
        <v>2022</v>
      </c>
      <c r="I11009" t="s">
        <v>52</v>
      </c>
    </row>
    <row r="11010" spans="1:9" x14ac:dyDescent="0.3">
      <c r="A11010" t="s">
        <v>21</v>
      </c>
      <c r="G11010">
        <v>44880</v>
      </c>
      <c r="H11010">
        <v>2022</v>
      </c>
      <c r="I11010" t="s">
        <v>52</v>
      </c>
    </row>
    <row r="11011" spans="1:9" x14ac:dyDescent="0.3">
      <c r="A11011" t="s">
        <v>65</v>
      </c>
      <c r="G11011">
        <v>44880</v>
      </c>
      <c r="H11011">
        <v>2022</v>
      </c>
      <c r="I11011" t="s">
        <v>52</v>
      </c>
    </row>
    <row r="11012" spans="1:9" x14ac:dyDescent="0.3">
      <c r="A11012" t="s">
        <v>67</v>
      </c>
      <c r="G11012">
        <v>44880</v>
      </c>
      <c r="H11012">
        <v>2022</v>
      </c>
      <c r="I11012" t="s">
        <v>52</v>
      </c>
    </row>
    <row r="11013" spans="1:9" x14ac:dyDescent="0.3">
      <c r="A11013" t="s">
        <v>18</v>
      </c>
      <c r="G11013">
        <v>44880</v>
      </c>
      <c r="H11013">
        <v>2022</v>
      </c>
      <c r="I11013" t="s">
        <v>52</v>
      </c>
    </row>
    <row r="11014" spans="1:9" x14ac:dyDescent="0.3">
      <c r="A11014" t="s">
        <v>16</v>
      </c>
      <c r="G11014">
        <v>44880</v>
      </c>
      <c r="H11014">
        <v>2022</v>
      </c>
      <c r="I11014" t="s">
        <v>52</v>
      </c>
    </row>
    <row r="11015" spans="1:9" x14ac:dyDescent="0.3">
      <c r="A11015" t="s">
        <v>20</v>
      </c>
      <c r="G11015">
        <v>44881</v>
      </c>
      <c r="H11015">
        <v>2022</v>
      </c>
      <c r="I11015" t="s">
        <v>52</v>
      </c>
    </row>
    <row r="11016" spans="1:9" x14ac:dyDescent="0.3">
      <c r="A11016" t="s">
        <v>37</v>
      </c>
      <c r="G11016">
        <v>44881</v>
      </c>
      <c r="H11016">
        <v>2022</v>
      </c>
      <c r="I11016" t="s">
        <v>52</v>
      </c>
    </row>
    <row r="11017" spans="1:9" x14ac:dyDescent="0.3">
      <c r="A11017" t="s">
        <v>17</v>
      </c>
      <c r="B11017">
        <v>745500</v>
      </c>
      <c r="G11017">
        <v>44881</v>
      </c>
      <c r="H11017">
        <v>2022</v>
      </c>
      <c r="I11017" t="s">
        <v>52</v>
      </c>
    </row>
    <row r="11018" spans="1:9" x14ac:dyDescent="0.3">
      <c r="A11018" t="s">
        <v>0</v>
      </c>
      <c r="B11018">
        <v>486000</v>
      </c>
      <c r="G11018">
        <v>44881</v>
      </c>
      <c r="H11018">
        <v>2022</v>
      </c>
      <c r="I11018" t="s">
        <v>52</v>
      </c>
    </row>
    <row r="11019" spans="1:9" x14ac:dyDescent="0.3">
      <c r="A11019" t="s">
        <v>25</v>
      </c>
      <c r="G11019">
        <v>44881</v>
      </c>
      <c r="H11019">
        <v>2022</v>
      </c>
      <c r="I11019" t="s">
        <v>52</v>
      </c>
    </row>
    <row r="11020" spans="1:9" x14ac:dyDescent="0.3">
      <c r="A11020" t="s">
        <v>15</v>
      </c>
      <c r="B11020">
        <v>45000</v>
      </c>
      <c r="G11020">
        <v>44881</v>
      </c>
      <c r="H11020">
        <v>2022</v>
      </c>
      <c r="I11020" t="s">
        <v>52</v>
      </c>
    </row>
    <row r="11021" spans="1:9" x14ac:dyDescent="0.3">
      <c r="A11021" t="s">
        <v>54</v>
      </c>
      <c r="G11021">
        <v>44881</v>
      </c>
      <c r="H11021">
        <v>2022</v>
      </c>
      <c r="I11021" t="s">
        <v>52</v>
      </c>
    </row>
    <row r="11022" spans="1:9" x14ac:dyDescent="0.3">
      <c r="A11022" t="s">
        <v>26</v>
      </c>
      <c r="G11022">
        <v>44881</v>
      </c>
      <c r="H11022">
        <v>2022</v>
      </c>
      <c r="I11022" t="s">
        <v>52</v>
      </c>
    </row>
    <row r="11023" spans="1:9" x14ac:dyDescent="0.3">
      <c r="A11023" t="s">
        <v>22</v>
      </c>
      <c r="G11023">
        <v>44881</v>
      </c>
      <c r="H11023">
        <v>2022</v>
      </c>
      <c r="I11023" t="s">
        <v>52</v>
      </c>
    </row>
    <row r="11024" spans="1:9" x14ac:dyDescent="0.3">
      <c r="A11024" t="s">
        <v>61</v>
      </c>
      <c r="G11024">
        <v>44881</v>
      </c>
      <c r="H11024">
        <v>2022</v>
      </c>
      <c r="I11024" t="s">
        <v>52</v>
      </c>
    </row>
    <row r="11025" spans="1:9" x14ac:dyDescent="0.3">
      <c r="A11025" t="s">
        <v>19</v>
      </c>
      <c r="B11025">
        <v>45000</v>
      </c>
      <c r="C11025">
        <v>531000</v>
      </c>
      <c r="D11025">
        <v>162000</v>
      </c>
      <c r="G11025">
        <v>44881</v>
      </c>
      <c r="H11025">
        <v>2022</v>
      </c>
      <c r="I11025" t="s">
        <v>52</v>
      </c>
    </row>
    <row r="11026" spans="1:9" x14ac:dyDescent="0.3">
      <c r="A11026" t="s">
        <v>14</v>
      </c>
      <c r="G11026">
        <v>44881</v>
      </c>
      <c r="H11026">
        <v>2022</v>
      </c>
      <c r="I11026" t="s">
        <v>52</v>
      </c>
    </row>
    <row r="11027" spans="1:9" x14ac:dyDescent="0.3">
      <c r="A11027" t="s">
        <v>24</v>
      </c>
      <c r="G11027">
        <v>44881</v>
      </c>
      <c r="H11027">
        <v>2022</v>
      </c>
      <c r="I11027" t="s">
        <v>52</v>
      </c>
    </row>
    <row r="11028" spans="1:9" x14ac:dyDescent="0.3">
      <c r="A11028" t="s">
        <v>21</v>
      </c>
      <c r="G11028">
        <v>44881</v>
      </c>
      <c r="H11028">
        <v>2022</v>
      </c>
      <c r="I11028" t="s">
        <v>52</v>
      </c>
    </row>
    <row r="11029" spans="1:9" x14ac:dyDescent="0.3">
      <c r="A11029" t="s">
        <v>65</v>
      </c>
      <c r="G11029">
        <v>44881</v>
      </c>
      <c r="H11029">
        <v>2022</v>
      </c>
      <c r="I11029" t="s">
        <v>52</v>
      </c>
    </row>
    <row r="11030" spans="1:9" x14ac:dyDescent="0.3">
      <c r="A11030" t="s">
        <v>67</v>
      </c>
      <c r="G11030">
        <v>44881</v>
      </c>
      <c r="H11030">
        <v>2022</v>
      </c>
      <c r="I11030" t="s">
        <v>52</v>
      </c>
    </row>
    <row r="11031" spans="1:9" x14ac:dyDescent="0.3">
      <c r="A11031" t="s">
        <v>18</v>
      </c>
      <c r="G11031">
        <v>44881</v>
      </c>
      <c r="H11031">
        <v>2022</v>
      </c>
      <c r="I11031" t="s">
        <v>52</v>
      </c>
    </row>
    <row r="11032" spans="1:9" x14ac:dyDescent="0.3">
      <c r="A11032" t="s">
        <v>16</v>
      </c>
      <c r="G11032">
        <v>44881</v>
      </c>
      <c r="H11032">
        <v>2022</v>
      </c>
      <c r="I11032" t="s">
        <v>52</v>
      </c>
    </row>
    <row r="11033" spans="1:9" x14ac:dyDescent="0.3">
      <c r="A11033" t="s">
        <v>20</v>
      </c>
      <c r="G11033">
        <v>44882</v>
      </c>
      <c r="H11033">
        <v>2022</v>
      </c>
      <c r="I11033" t="s">
        <v>52</v>
      </c>
    </row>
    <row r="11034" spans="1:9" x14ac:dyDescent="0.3">
      <c r="A11034" t="s">
        <v>37</v>
      </c>
      <c r="G11034">
        <v>44882</v>
      </c>
      <c r="H11034">
        <v>2022</v>
      </c>
      <c r="I11034" t="s">
        <v>52</v>
      </c>
    </row>
    <row r="11035" spans="1:9" x14ac:dyDescent="0.3">
      <c r="A11035" t="s">
        <v>17</v>
      </c>
      <c r="B11035">
        <v>54000</v>
      </c>
      <c r="G11035">
        <v>44882</v>
      </c>
      <c r="H11035">
        <v>2022</v>
      </c>
      <c r="I11035" t="s">
        <v>52</v>
      </c>
    </row>
    <row r="11036" spans="1:9" x14ac:dyDescent="0.3">
      <c r="A11036" t="s">
        <v>0</v>
      </c>
      <c r="G11036">
        <v>44882</v>
      </c>
      <c r="H11036">
        <v>2022</v>
      </c>
      <c r="I11036" t="s">
        <v>52</v>
      </c>
    </row>
    <row r="11037" spans="1:9" x14ac:dyDescent="0.3">
      <c r="A11037" t="s">
        <v>25</v>
      </c>
      <c r="G11037">
        <v>44882</v>
      </c>
      <c r="H11037">
        <v>2022</v>
      </c>
      <c r="I11037" t="s">
        <v>52</v>
      </c>
    </row>
    <row r="11038" spans="1:9" x14ac:dyDescent="0.3">
      <c r="A11038" t="s">
        <v>15</v>
      </c>
      <c r="G11038">
        <v>44882</v>
      </c>
      <c r="H11038">
        <v>2022</v>
      </c>
      <c r="I11038" t="s">
        <v>52</v>
      </c>
    </row>
    <row r="11039" spans="1:9" x14ac:dyDescent="0.3">
      <c r="A11039" t="s">
        <v>54</v>
      </c>
      <c r="G11039">
        <v>44882</v>
      </c>
      <c r="H11039">
        <v>2022</v>
      </c>
      <c r="I11039" t="s">
        <v>52</v>
      </c>
    </row>
    <row r="11040" spans="1:9" x14ac:dyDescent="0.3">
      <c r="A11040" t="s">
        <v>26</v>
      </c>
      <c r="C11040">
        <v>90000</v>
      </c>
      <c r="G11040">
        <v>44882</v>
      </c>
      <c r="H11040">
        <v>2022</v>
      </c>
      <c r="I11040" t="s">
        <v>52</v>
      </c>
    </row>
    <row r="11041" spans="1:9" x14ac:dyDescent="0.3">
      <c r="A11041" t="s">
        <v>22</v>
      </c>
      <c r="G11041">
        <v>44882</v>
      </c>
      <c r="H11041">
        <v>2022</v>
      </c>
      <c r="I11041" t="s">
        <v>52</v>
      </c>
    </row>
    <row r="11042" spans="1:9" x14ac:dyDescent="0.3">
      <c r="A11042" t="s">
        <v>61</v>
      </c>
      <c r="G11042">
        <v>44882</v>
      </c>
      <c r="H11042">
        <v>2022</v>
      </c>
      <c r="I11042" t="s">
        <v>52</v>
      </c>
    </row>
    <row r="11043" spans="1:9" x14ac:dyDescent="0.3">
      <c r="A11043" t="s">
        <v>19</v>
      </c>
      <c r="G11043">
        <v>44882</v>
      </c>
      <c r="H11043">
        <v>2022</v>
      </c>
      <c r="I11043" t="s">
        <v>52</v>
      </c>
    </row>
    <row r="11044" spans="1:9" x14ac:dyDescent="0.3">
      <c r="A11044" t="s">
        <v>14</v>
      </c>
      <c r="C11044">
        <v>810000</v>
      </c>
      <c r="G11044">
        <v>44882</v>
      </c>
      <c r="H11044">
        <v>2022</v>
      </c>
      <c r="I11044" t="s">
        <v>52</v>
      </c>
    </row>
    <row r="11045" spans="1:9" x14ac:dyDescent="0.3">
      <c r="A11045" t="s">
        <v>24</v>
      </c>
      <c r="G11045">
        <v>44882</v>
      </c>
      <c r="H11045">
        <v>2022</v>
      </c>
      <c r="I11045" t="s">
        <v>52</v>
      </c>
    </row>
    <row r="11046" spans="1:9" x14ac:dyDescent="0.3">
      <c r="A11046" t="s">
        <v>21</v>
      </c>
      <c r="G11046">
        <v>44882</v>
      </c>
      <c r="H11046">
        <v>2022</v>
      </c>
      <c r="I11046" t="s">
        <v>52</v>
      </c>
    </row>
    <row r="11047" spans="1:9" x14ac:dyDescent="0.3">
      <c r="A11047" t="s">
        <v>65</v>
      </c>
      <c r="G11047">
        <v>44882</v>
      </c>
      <c r="H11047">
        <v>2022</v>
      </c>
      <c r="I11047" t="s">
        <v>52</v>
      </c>
    </row>
    <row r="11048" spans="1:9" x14ac:dyDescent="0.3">
      <c r="A11048" t="s">
        <v>67</v>
      </c>
      <c r="G11048">
        <v>44882</v>
      </c>
      <c r="H11048">
        <v>2022</v>
      </c>
      <c r="I11048" t="s">
        <v>52</v>
      </c>
    </row>
    <row r="11049" spans="1:9" x14ac:dyDescent="0.3">
      <c r="A11049" t="s">
        <v>18</v>
      </c>
      <c r="G11049">
        <v>44882</v>
      </c>
      <c r="H11049">
        <v>2022</v>
      </c>
      <c r="I11049" t="s">
        <v>52</v>
      </c>
    </row>
    <row r="11050" spans="1:9" x14ac:dyDescent="0.3">
      <c r="A11050" t="s">
        <v>16</v>
      </c>
      <c r="C11050">
        <v>378000</v>
      </c>
      <c r="E11050">
        <v>108000</v>
      </c>
      <c r="G11050">
        <v>44882</v>
      </c>
      <c r="H11050">
        <v>2022</v>
      </c>
      <c r="I11050" t="s">
        <v>52</v>
      </c>
    </row>
    <row r="11051" spans="1:9" x14ac:dyDescent="0.3">
      <c r="A11051" t="s">
        <v>20</v>
      </c>
      <c r="G11051">
        <v>44883</v>
      </c>
      <c r="H11051">
        <v>2022</v>
      </c>
      <c r="I11051" t="s">
        <v>52</v>
      </c>
    </row>
    <row r="11052" spans="1:9" x14ac:dyDescent="0.3">
      <c r="A11052" t="s">
        <v>37</v>
      </c>
      <c r="G11052">
        <v>44883</v>
      </c>
      <c r="H11052">
        <v>2022</v>
      </c>
      <c r="I11052" t="s">
        <v>52</v>
      </c>
    </row>
    <row r="11053" spans="1:9" x14ac:dyDescent="0.3">
      <c r="A11053" t="s">
        <v>17</v>
      </c>
      <c r="G11053">
        <v>44883</v>
      </c>
      <c r="H11053">
        <v>2022</v>
      </c>
      <c r="I11053" t="s">
        <v>52</v>
      </c>
    </row>
    <row r="11054" spans="1:9" x14ac:dyDescent="0.3">
      <c r="A11054" t="s">
        <v>0</v>
      </c>
      <c r="G11054">
        <v>44883</v>
      </c>
      <c r="H11054">
        <v>2022</v>
      </c>
      <c r="I11054" t="s">
        <v>52</v>
      </c>
    </row>
    <row r="11055" spans="1:9" x14ac:dyDescent="0.3">
      <c r="A11055" t="s">
        <v>25</v>
      </c>
      <c r="G11055">
        <v>44883</v>
      </c>
      <c r="H11055">
        <v>2022</v>
      </c>
      <c r="I11055" t="s">
        <v>52</v>
      </c>
    </row>
    <row r="11056" spans="1:9" x14ac:dyDescent="0.3">
      <c r="A11056" t="s">
        <v>15</v>
      </c>
      <c r="G11056">
        <v>44883</v>
      </c>
      <c r="H11056">
        <v>2022</v>
      </c>
      <c r="I11056" t="s">
        <v>52</v>
      </c>
    </row>
    <row r="11057" spans="1:9" x14ac:dyDescent="0.3">
      <c r="A11057" t="s">
        <v>54</v>
      </c>
      <c r="G11057">
        <v>44883</v>
      </c>
      <c r="H11057">
        <v>2022</v>
      </c>
      <c r="I11057" t="s">
        <v>52</v>
      </c>
    </row>
    <row r="11058" spans="1:9" x14ac:dyDescent="0.3">
      <c r="A11058" t="s">
        <v>26</v>
      </c>
      <c r="G11058">
        <v>44883</v>
      </c>
      <c r="H11058">
        <v>2022</v>
      </c>
      <c r="I11058" t="s">
        <v>52</v>
      </c>
    </row>
    <row r="11059" spans="1:9" x14ac:dyDescent="0.3">
      <c r="A11059" t="s">
        <v>22</v>
      </c>
      <c r="G11059">
        <v>44883</v>
      </c>
      <c r="H11059">
        <v>2022</v>
      </c>
      <c r="I11059" t="s">
        <v>52</v>
      </c>
    </row>
    <row r="11060" spans="1:9" x14ac:dyDescent="0.3">
      <c r="A11060" t="s">
        <v>61</v>
      </c>
      <c r="G11060">
        <v>44883</v>
      </c>
      <c r="H11060">
        <v>2022</v>
      </c>
      <c r="I11060" t="s">
        <v>52</v>
      </c>
    </row>
    <row r="11061" spans="1:9" x14ac:dyDescent="0.3">
      <c r="A11061" t="s">
        <v>19</v>
      </c>
      <c r="D11061">
        <v>54000</v>
      </c>
      <c r="G11061">
        <v>44883</v>
      </c>
      <c r="H11061">
        <v>2022</v>
      </c>
      <c r="I11061" t="s">
        <v>52</v>
      </c>
    </row>
    <row r="11062" spans="1:9" x14ac:dyDescent="0.3">
      <c r="A11062" t="s">
        <v>14</v>
      </c>
      <c r="C11062">
        <v>648000</v>
      </c>
      <c r="G11062">
        <v>44883</v>
      </c>
      <c r="H11062">
        <v>2022</v>
      </c>
      <c r="I11062" t="s">
        <v>52</v>
      </c>
    </row>
    <row r="11063" spans="1:9" x14ac:dyDescent="0.3">
      <c r="A11063" t="s">
        <v>24</v>
      </c>
      <c r="G11063">
        <v>44883</v>
      </c>
      <c r="H11063">
        <v>2022</v>
      </c>
      <c r="I11063" t="s">
        <v>52</v>
      </c>
    </row>
    <row r="11064" spans="1:9" x14ac:dyDescent="0.3">
      <c r="A11064" t="s">
        <v>21</v>
      </c>
      <c r="G11064">
        <v>44883</v>
      </c>
      <c r="H11064">
        <v>2022</v>
      </c>
      <c r="I11064" t="s">
        <v>52</v>
      </c>
    </row>
    <row r="11065" spans="1:9" x14ac:dyDescent="0.3">
      <c r="A11065" t="s">
        <v>65</v>
      </c>
      <c r="G11065">
        <v>44883</v>
      </c>
      <c r="H11065">
        <v>2022</v>
      </c>
      <c r="I11065" t="s">
        <v>52</v>
      </c>
    </row>
    <row r="11066" spans="1:9" x14ac:dyDescent="0.3">
      <c r="A11066" t="s">
        <v>67</v>
      </c>
      <c r="G11066">
        <v>44883</v>
      </c>
      <c r="H11066">
        <v>2022</v>
      </c>
      <c r="I11066" t="s">
        <v>52</v>
      </c>
    </row>
    <row r="11067" spans="1:9" x14ac:dyDescent="0.3">
      <c r="A11067" t="s">
        <v>18</v>
      </c>
      <c r="G11067">
        <v>44883</v>
      </c>
      <c r="H11067">
        <v>2022</v>
      </c>
      <c r="I11067" t="s">
        <v>52</v>
      </c>
    </row>
    <row r="11068" spans="1:9" x14ac:dyDescent="0.3">
      <c r="A11068" t="s">
        <v>16</v>
      </c>
      <c r="C11068">
        <v>377500</v>
      </c>
      <c r="E11068">
        <v>270000</v>
      </c>
      <c r="G11068">
        <v>44883</v>
      </c>
      <c r="H11068">
        <v>2022</v>
      </c>
      <c r="I11068" t="s">
        <v>52</v>
      </c>
    </row>
    <row r="11069" spans="1:9" x14ac:dyDescent="0.3">
      <c r="A11069" t="s">
        <v>20</v>
      </c>
      <c r="G11069">
        <v>44886</v>
      </c>
      <c r="H11069">
        <v>2022</v>
      </c>
      <c r="I11069" t="s">
        <v>52</v>
      </c>
    </row>
    <row r="11070" spans="1:9" x14ac:dyDescent="0.3">
      <c r="A11070" t="s">
        <v>37</v>
      </c>
      <c r="G11070">
        <v>44886</v>
      </c>
      <c r="H11070">
        <v>2022</v>
      </c>
      <c r="I11070" t="s">
        <v>52</v>
      </c>
    </row>
    <row r="11071" spans="1:9" x14ac:dyDescent="0.3">
      <c r="A11071" t="s">
        <v>17</v>
      </c>
      <c r="G11071">
        <v>44886</v>
      </c>
      <c r="H11071">
        <v>2022</v>
      </c>
      <c r="I11071" t="s">
        <v>52</v>
      </c>
    </row>
    <row r="11072" spans="1:9" x14ac:dyDescent="0.3">
      <c r="A11072" t="s">
        <v>0</v>
      </c>
      <c r="G11072">
        <v>44886</v>
      </c>
      <c r="H11072">
        <v>2022</v>
      </c>
      <c r="I11072" t="s">
        <v>52</v>
      </c>
    </row>
    <row r="11073" spans="1:9" x14ac:dyDescent="0.3">
      <c r="A11073" t="s">
        <v>25</v>
      </c>
      <c r="G11073">
        <v>44886</v>
      </c>
      <c r="H11073">
        <v>2022</v>
      </c>
      <c r="I11073" t="s">
        <v>52</v>
      </c>
    </row>
    <row r="11074" spans="1:9" x14ac:dyDescent="0.3">
      <c r="A11074" t="s">
        <v>15</v>
      </c>
      <c r="G11074">
        <v>44886</v>
      </c>
      <c r="H11074">
        <v>2022</v>
      </c>
      <c r="I11074" t="s">
        <v>52</v>
      </c>
    </row>
    <row r="11075" spans="1:9" x14ac:dyDescent="0.3">
      <c r="A11075" t="s">
        <v>54</v>
      </c>
      <c r="G11075">
        <v>44886</v>
      </c>
      <c r="H11075">
        <v>2022</v>
      </c>
      <c r="I11075" t="s">
        <v>52</v>
      </c>
    </row>
    <row r="11076" spans="1:9" x14ac:dyDescent="0.3">
      <c r="A11076" t="s">
        <v>26</v>
      </c>
      <c r="G11076">
        <v>44886</v>
      </c>
      <c r="H11076">
        <v>2022</v>
      </c>
      <c r="I11076" t="s">
        <v>52</v>
      </c>
    </row>
    <row r="11077" spans="1:9" x14ac:dyDescent="0.3">
      <c r="A11077" t="s">
        <v>22</v>
      </c>
      <c r="G11077">
        <v>44886</v>
      </c>
      <c r="H11077">
        <v>2022</v>
      </c>
      <c r="I11077" t="s">
        <v>52</v>
      </c>
    </row>
    <row r="11078" spans="1:9" x14ac:dyDescent="0.3">
      <c r="A11078" t="s">
        <v>61</v>
      </c>
      <c r="G11078">
        <v>44886</v>
      </c>
      <c r="H11078">
        <v>2022</v>
      </c>
      <c r="I11078" t="s">
        <v>52</v>
      </c>
    </row>
    <row r="11079" spans="1:9" x14ac:dyDescent="0.3">
      <c r="A11079" t="s">
        <v>19</v>
      </c>
      <c r="G11079">
        <v>44886</v>
      </c>
      <c r="H11079">
        <v>2022</v>
      </c>
      <c r="I11079" t="s">
        <v>52</v>
      </c>
    </row>
    <row r="11080" spans="1:9" x14ac:dyDescent="0.3">
      <c r="A11080" t="s">
        <v>14</v>
      </c>
      <c r="C11080">
        <v>378000</v>
      </c>
      <c r="G11080">
        <v>44886</v>
      </c>
      <c r="H11080">
        <v>2022</v>
      </c>
      <c r="I11080" t="s">
        <v>52</v>
      </c>
    </row>
    <row r="11081" spans="1:9" x14ac:dyDescent="0.3">
      <c r="A11081" t="s">
        <v>24</v>
      </c>
      <c r="G11081">
        <v>44886</v>
      </c>
      <c r="H11081">
        <v>2022</v>
      </c>
      <c r="I11081" t="s">
        <v>52</v>
      </c>
    </row>
    <row r="11082" spans="1:9" x14ac:dyDescent="0.3">
      <c r="A11082" t="s">
        <v>21</v>
      </c>
      <c r="G11082">
        <v>44886</v>
      </c>
      <c r="H11082">
        <v>2022</v>
      </c>
      <c r="I11082" t="s">
        <v>52</v>
      </c>
    </row>
    <row r="11083" spans="1:9" x14ac:dyDescent="0.3">
      <c r="A11083" t="s">
        <v>65</v>
      </c>
      <c r="G11083">
        <v>44886</v>
      </c>
      <c r="H11083">
        <v>2022</v>
      </c>
      <c r="I11083" t="s">
        <v>52</v>
      </c>
    </row>
    <row r="11084" spans="1:9" x14ac:dyDescent="0.3">
      <c r="A11084" t="s">
        <v>67</v>
      </c>
      <c r="G11084">
        <v>44886</v>
      </c>
      <c r="H11084">
        <v>2022</v>
      </c>
      <c r="I11084" t="s">
        <v>52</v>
      </c>
    </row>
    <row r="11085" spans="1:9" x14ac:dyDescent="0.3">
      <c r="A11085" t="s">
        <v>18</v>
      </c>
      <c r="G11085">
        <v>44886</v>
      </c>
      <c r="H11085">
        <v>2022</v>
      </c>
      <c r="I11085" t="s">
        <v>52</v>
      </c>
    </row>
    <row r="11086" spans="1:9" x14ac:dyDescent="0.3">
      <c r="A11086" t="s">
        <v>16</v>
      </c>
      <c r="C11086">
        <v>648000</v>
      </c>
      <c r="G11086">
        <v>44886</v>
      </c>
      <c r="H11086">
        <v>2022</v>
      </c>
      <c r="I11086" t="s">
        <v>52</v>
      </c>
    </row>
    <row r="11087" spans="1:9" x14ac:dyDescent="0.3">
      <c r="A11087" t="s">
        <v>20</v>
      </c>
      <c r="G11087">
        <v>44887</v>
      </c>
      <c r="H11087">
        <v>2022</v>
      </c>
      <c r="I11087" t="s">
        <v>52</v>
      </c>
    </row>
    <row r="11088" spans="1:9" x14ac:dyDescent="0.3">
      <c r="A11088" t="s">
        <v>37</v>
      </c>
      <c r="G11088">
        <v>44887</v>
      </c>
      <c r="H11088">
        <v>2022</v>
      </c>
      <c r="I11088" t="s">
        <v>52</v>
      </c>
    </row>
    <row r="11089" spans="1:9" x14ac:dyDescent="0.3">
      <c r="A11089" t="s">
        <v>17</v>
      </c>
      <c r="G11089">
        <v>44887</v>
      </c>
      <c r="H11089">
        <v>2022</v>
      </c>
      <c r="I11089" t="s">
        <v>52</v>
      </c>
    </row>
    <row r="11090" spans="1:9" x14ac:dyDescent="0.3">
      <c r="A11090" t="s">
        <v>0</v>
      </c>
      <c r="G11090">
        <v>44887</v>
      </c>
      <c r="H11090">
        <v>2022</v>
      </c>
      <c r="I11090" t="s">
        <v>52</v>
      </c>
    </row>
    <row r="11091" spans="1:9" x14ac:dyDescent="0.3">
      <c r="A11091" t="s">
        <v>25</v>
      </c>
      <c r="G11091">
        <v>44887</v>
      </c>
      <c r="H11091">
        <v>2022</v>
      </c>
      <c r="I11091" t="s">
        <v>52</v>
      </c>
    </row>
    <row r="11092" spans="1:9" x14ac:dyDescent="0.3">
      <c r="A11092" t="s">
        <v>15</v>
      </c>
      <c r="G11092">
        <v>44887</v>
      </c>
      <c r="H11092">
        <v>2022</v>
      </c>
      <c r="I11092" t="s">
        <v>52</v>
      </c>
    </row>
    <row r="11093" spans="1:9" x14ac:dyDescent="0.3">
      <c r="A11093" t="s">
        <v>54</v>
      </c>
      <c r="G11093">
        <v>44887</v>
      </c>
      <c r="H11093">
        <v>2022</v>
      </c>
      <c r="I11093" t="s">
        <v>52</v>
      </c>
    </row>
    <row r="11094" spans="1:9" x14ac:dyDescent="0.3">
      <c r="A11094" t="s">
        <v>26</v>
      </c>
      <c r="B11094">
        <v>697500</v>
      </c>
      <c r="C11094">
        <v>216000</v>
      </c>
      <c r="D11094">
        <v>194000</v>
      </c>
      <c r="G11094">
        <v>44887</v>
      </c>
      <c r="H11094">
        <v>2022</v>
      </c>
      <c r="I11094" t="s">
        <v>52</v>
      </c>
    </row>
    <row r="11095" spans="1:9" x14ac:dyDescent="0.3">
      <c r="A11095" t="s">
        <v>22</v>
      </c>
      <c r="G11095">
        <v>44887</v>
      </c>
      <c r="H11095">
        <v>2022</v>
      </c>
      <c r="I11095" t="s">
        <v>52</v>
      </c>
    </row>
    <row r="11096" spans="1:9" x14ac:dyDescent="0.3">
      <c r="A11096" t="s">
        <v>61</v>
      </c>
      <c r="G11096">
        <v>44887</v>
      </c>
      <c r="H11096">
        <v>2022</v>
      </c>
      <c r="I11096" t="s">
        <v>52</v>
      </c>
    </row>
    <row r="11097" spans="1:9" x14ac:dyDescent="0.3">
      <c r="A11097" t="s">
        <v>19</v>
      </c>
      <c r="G11097">
        <v>44887</v>
      </c>
      <c r="H11097">
        <v>2022</v>
      </c>
      <c r="I11097" t="s">
        <v>52</v>
      </c>
    </row>
    <row r="11098" spans="1:9" x14ac:dyDescent="0.3">
      <c r="A11098" t="s">
        <v>14</v>
      </c>
      <c r="C11098">
        <v>162000</v>
      </c>
      <c r="G11098">
        <v>44887</v>
      </c>
      <c r="H11098">
        <v>2022</v>
      </c>
      <c r="I11098" t="s">
        <v>52</v>
      </c>
    </row>
    <row r="11099" spans="1:9" x14ac:dyDescent="0.3">
      <c r="A11099" t="s">
        <v>24</v>
      </c>
      <c r="G11099">
        <v>44887</v>
      </c>
      <c r="H11099">
        <v>2022</v>
      </c>
      <c r="I11099" t="s">
        <v>52</v>
      </c>
    </row>
    <row r="11100" spans="1:9" x14ac:dyDescent="0.3">
      <c r="A11100" t="s">
        <v>21</v>
      </c>
      <c r="C11100">
        <v>648000</v>
      </c>
      <c r="E11100">
        <v>108000</v>
      </c>
      <c r="G11100">
        <v>44887</v>
      </c>
      <c r="H11100">
        <v>2022</v>
      </c>
      <c r="I11100" t="s">
        <v>52</v>
      </c>
    </row>
    <row r="11101" spans="1:9" x14ac:dyDescent="0.3">
      <c r="A11101" t="s">
        <v>65</v>
      </c>
      <c r="G11101">
        <v>44887</v>
      </c>
      <c r="H11101">
        <v>2022</v>
      </c>
      <c r="I11101" t="s">
        <v>52</v>
      </c>
    </row>
    <row r="11102" spans="1:9" x14ac:dyDescent="0.3">
      <c r="A11102" t="s">
        <v>67</v>
      </c>
      <c r="G11102">
        <v>44887</v>
      </c>
      <c r="H11102">
        <v>2022</v>
      </c>
      <c r="I11102" t="s">
        <v>52</v>
      </c>
    </row>
    <row r="11103" spans="1:9" x14ac:dyDescent="0.3">
      <c r="A11103" t="s">
        <v>18</v>
      </c>
      <c r="G11103">
        <v>44887</v>
      </c>
      <c r="H11103">
        <v>2022</v>
      </c>
      <c r="I11103" t="s">
        <v>52</v>
      </c>
    </row>
    <row r="11104" spans="1:9" x14ac:dyDescent="0.3">
      <c r="A11104" t="s">
        <v>16</v>
      </c>
      <c r="C11104">
        <v>378000</v>
      </c>
      <c r="G11104">
        <v>44887</v>
      </c>
      <c r="H11104">
        <v>2022</v>
      </c>
      <c r="I11104" t="s">
        <v>52</v>
      </c>
    </row>
    <row r="11105" spans="1:9" x14ac:dyDescent="0.3">
      <c r="A11105" t="s">
        <v>20</v>
      </c>
      <c r="G11105">
        <v>44888</v>
      </c>
      <c r="H11105">
        <v>2022</v>
      </c>
      <c r="I11105" t="s">
        <v>52</v>
      </c>
    </row>
    <row r="11106" spans="1:9" x14ac:dyDescent="0.3">
      <c r="A11106" t="s">
        <v>37</v>
      </c>
      <c r="G11106">
        <v>44888</v>
      </c>
      <c r="H11106">
        <v>2022</v>
      </c>
      <c r="I11106" t="s">
        <v>52</v>
      </c>
    </row>
    <row r="11107" spans="1:9" x14ac:dyDescent="0.3">
      <c r="A11107" t="s">
        <v>17</v>
      </c>
      <c r="G11107">
        <v>44888</v>
      </c>
      <c r="H11107">
        <v>2022</v>
      </c>
      <c r="I11107" t="s">
        <v>52</v>
      </c>
    </row>
    <row r="11108" spans="1:9" x14ac:dyDescent="0.3">
      <c r="A11108" t="s">
        <v>0</v>
      </c>
      <c r="G11108">
        <v>44888</v>
      </c>
      <c r="H11108">
        <v>2022</v>
      </c>
      <c r="I11108" t="s">
        <v>52</v>
      </c>
    </row>
    <row r="11109" spans="1:9" x14ac:dyDescent="0.3">
      <c r="A11109" t="s">
        <v>25</v>
      </c>
      <c r="G11109">
        <v>44888</v>
      </c>
      <c r="H11109">
        <v>2022</v>
      </c>
      <c r="I11109" t="s">
        <v>52</v>
      </c>
    </row>
    <row r="11110" spans="1:9" x14ac:dyDescent="0.3">
      <c r="A11110" t="s">
        <v>15</v>
      </c>
      <c r="G11110">
        <v>44888</v>
      </c>
      <c r="H11110">
        <v>2022</v>
      </c>
      <c r="I11110" t="s">
        <v>52</v>
      </c>
    </row>
    <row r="11111" spans="1:9" x14ac:dyDescent="0.3">
      <c r="A11111" t="s">
        <v>54</v>
      </c>
      <c r="G11111">
        <v>44888</v>
      </c>
      <c r="H11111">
        <v>2022</v>
      </c>
      <c r="I11111" t="s">
        <v>52</v>
      </c>
    </row>
    <row r="11112" spans="1:9" x14ac:dyDescent="0.3">
      <c r="A11112" t="s">
        <v>26</v>
      </c>
      <c r="C11112">
        <v>432000</v>
      </c>
      <c r="D11112">
        <v>106000</v>
      </c>
      <c r="G11112">
        <v>44888</v>
      </c>
      <c r="H11112">
        <v>2022</v>
      </c>
      <c r="I11112" t="s">
        <v>52</v>
      </c>
    </row>
    <row r="11113" spans="1:9" x14ac:dyDescent="0.3">
      <c r="A11113" t="s">
        <v>22</v>
      </c>
      <c r="G11113">
        <v>44888</v>
      </c>
      <c r="H11113">
        <v>2022</v>
      </c>
      <c r="I11113" t="s">
        <v>52</v>
      </c>
    </row>
    <row r="11114" spans="1:9" x14ac:dyDescent="0.3">
      <c r="A11114" t="s">
        <v>61</v>
      </c>
      <c r="G11114">
        <v>44888</v>
      </c>
      <c r="H11114">
        <v>2022</v>
      </c>
      <c r="I11114" t="s">
        <v>52</v>
      </c>
    </row>
    <row r="11115" spans="1:9" x14ac:dyDescent="0.3">
      <c r="A11115" t="s">
        <v>19</v>
      </c>
      <c r="G11115">
        <v>44888</v>
      </c>
      <c r="H11115">
        <v>2022</v>
      </c>
      <c r="I11115" t="s">
        <v>52</v>
      </c>
    </row>
    <row r="11116" spans="1:9" x14ac:dyDescent="0.3">
      <c r="A11116" t="s">
        <v>14</v>
      </c>
      <c r="G11116">
        <v>44888</v>
      </c>
      <c r="H11116">
        <v>2022</v>
      </c>
      <c r="I11116" t="s">
        <v>52</v>
      </c>
    </row>
    <row r="11117" spans="1:9" x14ac:dyDescent="0.3">
      <c r="A11117" t="s">
        <v>24</v>
      </c>
      <c r="G11117">
        <v>44888</v>
      </c>
      <c r="H11117">
        <v>2022</v>
      </c>
      <c r="I11117" t="s">
        <v>52</v>
      </c>
    </row>
    <row r="11118" spans="1:9" x14ac:dyDescent="0.3">
      <c r="A11118" t="s">
        <v>21</v>
      </c>
      <c r="B11118">
        <v>860000</v>
      </c>
      <c r="C11118">
        <v>324000</v>
      </c>
      <c r="G11118">
        <v>44888</v>
      </c>
      <c r="H11118">
        <v>2022</v>
      </c>
      <c r="I11118" t="s">
        <v>52</v>
      </c>
    </row>
    <row r="11119" spans="1:9" x14ac:dyDescent="0.3">
      <c r="A11119" t="s">
        <v>65</v>
      </c>
      <c r="G11119">
        <v>44888</v>
      </c>
      <c r="H11119">
        <v>2022</v>
      </c>
      <c r="I11119" t="s">
        <v>52</v>
      </c>
    </row>
    <row r="11120" spans="1:9" x14ac:dyDescent="0.3">
      <c r="A11120" t="s">
        <v>67</v>
      </c>
      <c r="G11120">
        <v>44888</v>
      </c>
      <c r="H11120">
        <v>2022</v>
      </c>
      <c r="I11120" t="s">
        <v>52</v>
      </c>
    </row>
    <row r="11121" spans="1:9" x14ac:dyDescent="0.3">
      <c r="A11121" t="s">
        <v>18</v>
      </c>
      <c r="G11121">
        <v>44888</v>
      </c>
      <c r="H11121">
        <v>2022</v>
      </c>
      <c r="I11121" t="s">
        <v>52</v>
      </c>
    </row>
    <row r="11122" spans="1:9" x14ac:dyDescent="0.3">
      <c r="A11122" t="s">
        <v>16</v>
      </c>
      <c r="C11122">
        <v>54000</v>
      </c>
      <c r="G11122">
        <v>44888</v>
      </c>
      <c r="H11122">
        <v>2022</v>
      </c>
      <c r="I11122" t="s">
        <v>52</v>
      </c>
    </row>
    <row r="11123" spans="1:9" x14ac:dyDescent="0.3">
      <c r="A11123" t="s">
        <v>20</v>
      </c>
      <c r="G11123">
        <v>44889</v>
      </c>
      <c r="H11123">
        <v>2022</v>
      </c>
      <c r="I11123" t="s">
        <v>52</v>
      </c>
    </row>
    <row r="11124" spans="1:9" x14ac:dyDescent="0.3">
      <c r="A11124" t="s">
        <v>37</v>
      </c>
      <c r="G11124">
        <v>44889</v>
      </c>
      <c r="H11124">
        <v>2022</v>
      </c>
      <c r="I11124" t="s">
        <v>52</v>
      </c>
    </row>
    <row r="11125" spans="1:9" x14ac:dyDescent="0.3">
      <c r="A11125" t="s">
        <v>17</v>
      </c>
      <c r="G11125">
        <v>44889</v>
      </c>
      <c r="H11125">
        <v>2022</v>
      </c>
      <c r="I11125" t="s">
        <v>52</v>
      </c>
    </row>
    <row r="11126" spans="1:9" x14ac:dyDescent="0.3">
      <c r="A11126" t="s">
        <v>0</v>
      </c>
      <c r="G11126">
        <v>44889</v>
      </c>
      <c r="H11126">
        <v>2022</v>
      </c>
      <c r="I11126" t="s">
        <v>52</v>
      </c>
    </row>
    <row r="11127" spans="1:9" x14ac:dyDescent="0.3">
      <c r="A11127" t="s">
        <v>25</v>
      </c>
      <c r="G11127">
        <v>44889</v>
      </c>
      <c r="H11127">
        <v>2022</v>
      </c>
      <c r="I11127" t="s">
        <v>52</v>
      </c>
    </row>
    <row r="11128" spans="1:9" x14ac:dyDescent="0.3">
      <c r="A11128" t="s">
        <v>15</v>
      </c>
      <c r="G11128">
        <v>44889</v>
      </c>
      <c r="H11128">
        <v>2022</v>
      </c>
      <c r="I11128" t="s">
        <v>52</v>
      </c>
    </row>
    <row r="11129" spans="1:9" x14ac:dyDescent="0.3">
      <c r="A11129" t="s">
        <v>54</v>
      </c>
      <c r="G11129">
        <v>44889</v>
      </c>
      <c r="H11129">
        <v>2022</v>
      </c>
      <c r="I11129" t="s">
        <v>52</v>
      </c>
    </row>
    <row r="11130" spans="1:9" x14ac:dyDescent="0.3">
      <c r="A11130" t="s">
        <v>26</v>
      </c>
      <c r="C11130">
        <v>324000</v>
      </c>
      <c r="G11130">
        <v>44889</v>
      </c>
      <c r="H11130">
        <v>2022</v>
      </c>
      <c r="I11130" t="s">
        <v>52</v>
      </c>
    </row>
    <row r="11131" spans="1:9" x14ac:dyDescent="0.3">
      <c r="A11131" t="s">
        <v>22</v>
      </c>
      <c r="G11131">
        <v>44889</v>
      </c>
      <c r="H11131">
        <v>2022</v>
      </c>
      <c r="I11131" t="s">
        <v>52</v>
      </c>
    </row>
    <row r="11132" spans="1:9" x14ac:dyDescent="0.3">
      <c r="A11132" t="s">
        <v>61</v>
      </c>
      <c r="G11132">
        <v>44889</v>
      </c>
      <c r="H11132">
        <v>2022</v>
      </c>
      <c r="I11132" t="s">
        <v>52</v>
      </c>
    </row>
    <row r="11133" spans="1:9" x14ac:dyDescent="0.3">
      <c r="A11133" t="s">
        <v>19</v>
      </c>
      <c r="C11133">
        <v>162000</v>
      </c>
      <c r="G11133">
        <v>44889</v>
      </c>
      <c r="H11133">
        <v>2022</v>
      </c>
      <c r="I11133" t="s">
        <v>52</v>
      </c>
    </row>
    <row r="11134" spans="1:9" x14ac:dyDescent="0.3">
      <c r="A11134" t="s">
        <v>14</v>
      </c>
      <c r="G11134">
        <v>44889</v>
      </c>
      <c r="H11134">
        <v>2022</v>
      </c>
      <c r="I11134" t="s">
        <v>52</v>
      </c>
    </row>
    <row r="11135" spans="1:9" x14ac:dyDescent="0.3">
      <c r="A11135" t="s">
        <v>24</v>
      </c>
      <c r="G11135">
        <v>44889</v>
      </c>
      <c r="H11135">
        <v>2022</v>
      </c>
      <c r="I11135" t="s">
        <v>52</v>
      </c>
    </row>
    <row r="11136" spans="1:9" x14ac:dyDescent="0.3">
      <c r="A11136" t="s">
        <v>21</v>
      </c>
      <c r="B11136">
        <v>1890000</v>
      </c>
      <c r="C11136">
        <v>540000</v>
      </c>
      <c r="D11136">
        <v>320000</v>
      </c>
      <c r="E11136">
        <v>54000</v>
      </c>
      <c r="G11136">
        <v>44889</v>
      </c>
      <c r="H11136">
        <v>2022</v>
      </c>
      <c r="I11136" t="s">
        <v>52</v>
      </c>
    </row>
    <row r="11137" spans="1:9" x14ac:dyDescent="0.3">
      <c r="A11137" t="s">
        <v>65</v>
      </c>
      <c r="G11137">
        <v>44889</v>
      </c>
      <c r="H11137">
        <v>2022</v>
      </c>
      <c r="I11137" t="s">
        <v>52</v>
      </c>
    </row>
    <row r="11138" spans="1:9" x14ac:dyDescent="0.3">
      <c r="A11138" t="s">
        <v>67</v>
      </c>
      <c r="G11138">
        <v>44889</v>
      </c>
      <c r="H11138">
        <v>2022</v>
      </c>
      <c r="I11138" t="s">
        <v>52</v>
      </c>
    </row>
    <row r="11139" spans="1:9" x14ac:dyDescent="0.3">
      <c r="A11139" t="s">
        <v>18</v>
      </c>
      <c r="G11139">
        <v>44889</v>
      </c>
      <c r="H11139">
        <v>2022</v>
      </c>
      <c r="I11139" t="s">
        <v>52</v>
      </c>
    </row>
    <row r="11140" spans="1:9" x14ac:dyDescent="0.3">
      <c r="A11140" t="s">
        <v>16</v>
      </c>
      <c r="G11140">
        <v>44889</v>
      </c>
      <c r="H11140">
        <v>2022</v>
      </c>
      <c r="I11140" t="s">
        <v>52</v>
      </c>
    </row>
    <row r="11141" spans="1:9" x14ac:dyDescent="0.3">
      <c r="A11141" t="s">
        <v>20</v>
      </c>
      <c r="G11141">
        <v>44890</v>
      </c>
      <c r="H11141">
        <v>2022</v>
      </c>
      <c r="I11141" t="s">
        <v>52</v>
      </c>
    </row>
    <row r="11142" spans="1:9" x14ac:dyDescent="0.3">
      <c r="A11142" t="s">
        <v>37</v>
      </c>
      <c r="G11142">
        <v>44890</v>
      </c>
      <c r="H11142">
        <v>2022</v>
      </c>
      <c r="I11142" t="s">
        <v>52</v>
      </c>
    </row>
    <row r="11143" spans="1:9" x14ac:dyDescent="0.3">
      <c r="A11143" t="s">
        <v>17</v>
      </c>
      <c r="B11143">
        <v>540000</v>
      </c>
      <c r="G11143">
        <v>44890</v>
      </c>
      <c r="H11143">
        <v>2022</v>
      </c>
      <c r="I11143" t="s">
        <v>52</v>
      </c>
    </row>
    <row r="11144" spans="1:9" x14ac:dyDescent="0.3">
      <c r="A11144" t="s">
        <v>0</v>
      </c>
      <c r="G11144">
        <v>44890</v>
      </c>
      <c r="H11144">
        <v>2022</v>
      </c>
      <c r="I11144" t="s">
        <v>52</v>
      </c>
    </row>
    <row r="11145" spans="1:9" x14ac:dyDescent="0.3">
      <c r="A11145" t="s">
        <v>25</v>
      </c>
      <c r="G11145">
        <v>44890</v>
      </c>
      <c r="H11145">
        <v>2022</v>
      </c>
      <c r="I11145" t="s">
        <v>52</v>
      </c>
    </row>
    <row r="11146" spans="1:9" x14ac:dyDescent="0.3">
      <c r="A11146" t="s">
        <v>15</v>
      </c>
      <c r="G11146">
        <v>44890</v>
      </c>
      <c r="H11146">
        <v>2022</v>
      </c>
      <c r="I11146" t="s">
        <v>52</v>
      </c>
    </row>
    <row r="11147" spans="1:9" x14ac:dyDescent="0.3">
      <c r="A11147" t="s">
        <v>54</v>
      </c>
      <c r="G11147">
        <v>44890</v>
      </c>
      <c r="H11147">
        <v>2022</v>
      </c>
      <c r="I11147" t="s">
        <v>52</v>
      </c>
    </row>
    <row r="11148" spans="1:9" x14ac:dyDescent="0.3">
      <c r="A11148" t="s">
        <v>26</v>
      </c>
      <c r="C11148">
        <v>54000</v>
      </c>
      <c r="G11148">
        <v>44890</v>
      </c>
      <c r="H11148">
        <v>2022</v>
      </c>
      <c r="I11148" t="s">
        <v>52</v>
      </c>
    </row>
    <row r="11149" spans="1:9" x14ac:dyDescent="0.3">
      <c r="A11149" t="s">
        <v>22</v>
      </c>
      <c r="G11149">
        <v>44890</v>
      </c>
      <c r="H11149">
        <v>2022</v>
      </c>
      <c r="I11149" t="s">
        <v>52</v>
      </c>
    </row>
    <row r="11150" spans="1:9" x14ac:dyDescent="0.3">
      <c r="A11150" t="s">
        <v>61</v>
      </c>
      <c r="G11150">
        <v>44890</v>
      </c>
      <c r="H11150">
        <v>2022</v>
      </c>
      <c r="I11150" t="s">
        <v>52</v>
      </c>
    </row>
    <row r="11151" spans="1:9" x14ac:dyDescent="0.3">
      <c r="A11151" t="s">
        <v>19</v>
      </c>
      <c r="C11151">
        <v>153000</v>
      </c>
      <c r="G11151">
        <v>44890</v>
      </c>
      <c r="H11151">
        <v>2022</v>
      </c>
      <c r="I11151" t="s">
        <v>52</v>
      </c>
    </row>
    <row r="11152" spans="1:9" x14ac:dyDescent="0.3">
      <c r="A11152" t="s">
        <v>14</v>
      </c>
      <c r="C11152">
        <v>810000</v>
      </c>
      <c r="E11152">
        <v>324000</v>
      </c>
      <c r="G11152">
        <v>44890</v>
      </c>
      <c r="H11152">
        <v>2022</v>
      </c>
      <c r="I11152" t="s">
        <v>52</v>
      </c>
    </row>
    <row r="11153" spans="1:9" x14ac:dyDescent="0.3">
      <c r="A11153" t="s">
        <v>24</v>
      </c>
      <c r="G11153">
        <v>44890</v>
      </c>
      <c r="H11153">
        <v>2022</v>
      </c>
      <c r="I11153" t="s">
        <v>52</v>
      </c>
    </row>
    <row r="11154" spans="1:9" x14ac:dyDescent="0.3">
      <c r="A11154" t="s">
        <v>21</v>
      </c>
      <c r="B11154">
        <v>918000</v>
      </c>
      <c r="C11154">
        <v>162000</v>
      </c>
      <c r="D11154">
        <v>180000</v>
      </c>
      <c r="G11154">
        <v>44890</v>
      </c>
      <c r="H11154">
        <v>2022</v>
      </c>
      <c r="I11154" t="s">
        <v>52</v>
      </c>
    </row>
    <row r="11155" spans="1:9" x14ac:dyDescent="0.3">
      <c r="A11155" t="s">
        <v>65</v>
      </c>
      <c r="G11155">
        <v>44890</v>
      </c>
      <c r="H11155">
        <v>2022</v>
      </c>
      <c r="I11155" t="s">
        <v>52</v>
      </c>
    </row>
    <row r="11156" spans="1:9" x14ac:dyDescent="0.3">
      <c r="A11156" t="s">
        <v>67</v>
      </c>
      <c r="G11156">
        <v>44890</v>
      </c>
      <c r="H11156">
        <v>2022</v>
      </c>
      <c r="I11156" t="s">
        <v>52</v>
      </c>
    </row>
    <row r="11157" spans="1:9" x14ac:dyDescent="0.3">
      <c r="A11157" t="s">
        <v>18</v>
      </c>
      <c r="G11157">
        <v>44890</v>
      </c>
      <c r="H11157">
        <v>2022</v>
      </c>
      <c r="I11157" t="s">
        <v>52</v>
      </c>
    </row>
    <row r="11158" spans="1:9" x14ac:dyDescent="0.3">
      <c r="A11158" t="s">
        <v>16</v>
      </c>
      <c r="G11158">
        <v>44890</v>
      </c>
      <c r="H11158">
        <v>2022</v>
      </c>
      <c r="I11158" t="s">
        <v>52</v>
      </c>
    </row>
    <row r="11159" spans="1:9" x14ac:dyDescent="0.3">
      <c r="A11159" t="s">
        <v>20</v>
      </c>
      <c r="G11159">
        <v>44893</v>
      </c>
      <c r="H11159">
        <v>2022</v>
      </c>
      <c r="I11159" t="s">
        <v>52</v>
      </c>
    </row>
    <row r="11160" spans="1:9" x14ac:dyDescent="0.3">
      <c r="A11160" t="s">
        <v>37</v>
      </c>
      <c r="G11160">
        <v>44893</v>
      </c>
      <c r="H11160">
        <v>2022</v>
      </c>
      <c r="I11160" t="s">
        <v>52</v>
      </c>
    </row>
    <row r="11161" spans="1:9" x14ac:dyDescent="0.3">
      <c r="A11161" t="s">
        <v>17</v>
      </c>
      <c r="G11161">
        <v>44893</v>
      </c>
      <c r="H11161">
        <v>2022</v>
      </c>
      <c r="I11161" t="s">
        <v>52</v>
      </c>
    </row>
    <row r="11162" spans="1:9" x14ac:dyDescent="0.3">
      <c r="A11162" t="s">
        <v>0</v>
      </c>
      <c r="G11162">
        <v>44893</v>
      </c>
      <c r="H11162">
        <v>2022</v>
      </c>
      <c r="I11162" t="s">
        <v>52</v>
      </c>
    </row>
    <row r="11163" spans="1:9" x14ac:dyDescent="0.3">
      <c r="A11163" t="s">
        <v>25</v>
      </c>
      <c r="G11163">
        <v>44893</v>
      </c>
      <c r="H11163">
        <v>2022</v>
      </c>
      <c r="I11163" t="s">
        <v>52</v>
      </c>
    </row>
    <row r="11164" spans="1:9" x14ac:dyDescent="0.3">
      <c r="A11164" t="s">
        <v>15</v>
      </c>
      <c r="C11164">
        <v>486000</v>
      </c>
      <c r="G11164">
        <v>44893</v>
      </c>
      <c r="H11164">
        <v>2022</v>
      </c>
      <c r="I11164" t="s">
        <v>52</v>
      </c>
    </row>
    <row r="11165" spans="1:9" x14ac:dyDescent="0.3">
      <c r="A11165" t="s">
        <v>54</v>
      </c>
      <c r="G11165">
        <v>44893</v>
      </c>
      <c r="H11165">
        <v>2022</v>
      </c>
      <c r="I11165" t="s">
        <v>52</v>
      </c>
    </row>
    <row r="11166" spans="1:9" x14ac:dyDescent="0.3">
      <c r="A11166" t="s">
        <v>26</v>
      </c>
      <c r="C11166">
        <v>108000</v>
      </c>
      <c r="G11166">
        <v>44893</v>
      </c>
      <c r="H11166">
        <v>2022</v>
      </c>
      <c r="I11166" t="s">
        <v>52</v>
      </c>
    </row>
    <row r="11167" spans="1:9" x14ac:dyDescent="0.3">
      <c r="A11167" t="s">
        <v>22</v>
      </c>
      <c r="G11167">
        <v>44893</v>
      </c>
      <c r="H11167">
        <v>2022</v>
      </c>
      <c r="I11167" t="s">
        <v>52</v>
      </c>
    </row>
    <row r="11168" spans="1:9" x14ac:dyDescent="0.3">
      <c r="A11168" t="s">
        <v>61</v>
      </c>
      <c r="G11168">
        <v>44893</v>
      </c>
      <c r="H11168">
        <v>2022</v>
      </c>
      <c r="I11168" t="s">
        <v>52</v>
      </c>
    </row>
    <row r="11169" spans="1:9" x14ac:dyDescent="0.3">
      <c r="A11169" t="s">
        <v>19</v>
      </c>
      <c r="G11169">
        <v>44893</v>
      </c>
      <c r="H11169">
        <v>2022</v>
      </c>
      <c r="I11169" t="s">
        <v>52</v>
      </c>
    </row>
    <row r="11170" spans="1:9" x14ac:dyDescent="0.3">
      <c r="A11170" t="s">
        <v>14</v>
      </c>
      <c r="C11170">
        <v>864000</v>
      </c>
      <c r="E11170">
        <v>324000</v>
      </c>
      <c r="G11170">
        <v>44893</v>
      </c>
      <c r="H11170">
        <v>2022</v>
      </c>
      <c r="I11170" t="s">
        <v>52</v>
      </c>
    </row>
    <row r="11171" spans="1:9" x14ac:dyDescent="0.3">
      <c r="A11171" t="s">
        <v>24</v>
      </c>
      <c r="G11171">
        <v>44893</v>
      </c>
      <c r="H11171">
        <v>2022</v>
      </c>
      <c r="I11171" t="s">
        <v>52</v>
      </c>
    </row>
    <row r="11172" spans="1:9" x14ac:dyDescent="0.3">
      <c r="A11172" t="s">
        <v>21</v>
      </c>
      <c r="G11172">
        <v>44893</v>
      </c>
      <c r="H11172">
        <v>2022</v>
      </c>
      <c r="I11172" t="s">
        <v>52</v>
      </c>
    </row>
    <row r="11173" spans="1:9" x14ac:dyDescent="0.3">
      <c r="A11173" t="s">
        <v>65</v>
      </c>
      <c r="G11173">
        <v>44893</v>
      </c>
      <c r="H11173">
        <v>2022</v>
      </c>
      <c r="I11173" t="s">
        <v>52</v>
      </c>
    </row>
    <row r="11174" spans="1:9" x14ac:dyDescent="0.3">
      <c r="A11174" t="s">
        <v>67</v>
      </c>
      <c r="C11174">
        <v>108000</v>
      </c>
      <c r="G11174">
        <v>44893</v>
      </c>
      <c r="H11174">
        <v>2022</v>
      </c>
      <c r="I11174" t="s">
        <v>52</v>
      </c>
    </row>
    <row r="11175" spans="1:9" x14ac:dyDescent="0.3">
      <c r="A11175" t="s">
        <v>18</v>
      </c>
      <c r="G11175">
        <v>44893</v>
      </c>
      <c r="H11175">
        <v>2022</v>
      </c>
      <c r="I11175" t="s">
        <v>52</v>
      </c>
    </row>
    <row r="11176" spans="1:9" x14ac:dyDescent="0.3">
      <c r="A11176" t="s">
        <v>16</v>
      </c>
      <c r="G11176">
        <v>44893</v>
      </c>
      <c r="H11176">
        <v>2022</v>
      </c>
      <c r="I11176" t="s">
        <v>52</v>
      </c>
    </row>
    <row r="11177" spans="1:9" x14ac:dyDescent="0.3">
      <c r="A11177" t="s">
        <v>20</v>
      </c>
      <c r="G11177">
        <v>44894</v>
      </c>
      <c r="H11177">
        <v>2022</v>
      </c>
      <c r="I11177" t="s">
        <v>52</v>
      </c>
    </row>
    <row r="11178" spans="1:9" x14ac:dyDescent="0.3">
      <c r="A11178" t="s">
        <v>37</v>
      </c>
      <c r="G11178">
        <v>44894</v>
      </c>
      <c r="H11178">
        <v>2022</v>
      </c>
      <c r="I11178" t="s">
        <v>52</v>
      </c>
    </row>
    <row r="11179" spans="1:9" x14ac:dyDescent="0.3">
      <c r="A11179" t="s">
        <v>17</v>
      </c>
      <c r="G11179">
        <v>44894</v>
      </c>
      <c r="H11179">
        <v>2022</v>
      </c>
      <c r="I11179" t="s">
        <v>52</v>
      </c>
    </row>
    <row r="11180" spans="1:9" x14ac:dyDescent="0.3">
      <c r="A11180" t="s">
        <v>0</v>
      </c>
      <c r="G11180">
        <v>44894</v>
      </c>
      <c r="H11180">
        <v>2022</v>
      </c>
      <c r="I11180" t="s">
        <v>52</v>
      </c>
    </row>
    <row r="11181" spans="1:9" x14ac:dyDescent="0.3">
      <c r="A11181" t="s">
        <v>25</v>
      </c>
      <c r="G11181">
        <v>44894</v>
      </c>
      <c r="H11181">
        <v>2022</v>
      </c>
      <c r="I11181" t="s">
        <v>52</v>
      </c>
    </row>
    <row r="11182" spans="1:9" x14ac:dyDescent="0.3">
      <c r="A11182" t="s">
        <v>15</v>
      </c>
      <c r="C11182">
        <v>216000</v>
      </c>
      <c r="G11182">
        <v>44894</v>
      </c>
      <c r="H11182">
        <v>2022</v>
      </c>
      <c r="I11182" t="s">
        <v>52</v>
      </c>
    </row>
    <row r="11183" spans="1:9" x14ac:dyDescent="0.3">
      <c r="A11183" t="s">
        <v>54</v>
      </c>
      <c r="G11183">
        <v>44894</v>
      </c>
      <c r="H11183">
        <v>2022</v>
      </c>
      <c r="I11183" t="s">
        <v>52</v>
      </c>
    </row>
    <row r="11184" spans="1:9" x14ac:dyDescent="0.3">
      <c r="A11184" t="s">
        <v>26</v>
      </c>
      <c r="G11184">
        <v>44894</v>
      </c>
      <c r="H11184">
        <v>2022</v>
      </c>
      <c r="I11184" t="s">
        <v>52</v>
      </c>
    </row>
    <row r="11185" spans="1:9" x14ac:dyDescent="0.3">
      <c r="A11185" t="s">
        <v>22</v>
      </c>
      <c r="G11185">
        <v>44894</v>
      </c>
      <c r="H11185">
        <v>2022</v>
      </c>
      <c r="I11185" t="s">
        <v>52</v>
      </c>
    </row>
    <row r="11186" spans="1:9" x14ac:dyDescent="0.3">
      <c r="A11186" t="s">
        <v>61</v>
      </c>
      <c r="G11186">
        <v>44894</v>
      </c>
      <c r="H11186">
        <v>2022</v>
      </c>
      <c r="I11186" t="s">
        <v>52</v>
      </c>
    </row>
    <row r="11187" spans="1:9" x14ac:dyDescent="0.3">
      <c r="A11187" t="s">
        <v>19</v>
      </c>
      <c r="G11187">
        <v>44894</v>
      </c>
      <c r="H11187">
        <v>2022</v>
      </c>
      <c r="I11187" t="s">
        <v>52</v>
      </c>
    </row>
    <row r="11188" spans="1:9" x14ac:dyDescent="0.3">
      <c r="A11188" t="s">
        <v>14</v>
      </c>
      <c r="C11188">
        <v>972000</v>
      </c>
      <c r="E11188">
        <v>54000</v>
      </c>
      <c r="G11188">
        <v>44894</v>
      </c>
      <c r="H11188">
        <v>2022</v>
      </c>
      <c r="I11188" t="s">
        <v>52</v>
      </c>
    </row>
    <row r="11189" spans="1:9" x14ac:dyDescent="0.3">
      <c r="A11189" t="s">
        <v>24</v>
      </c>
      <c r="G11189">
        <v>44894</v>
      </c>
      <c r="H11189">
        <v>2022</v>
      </c>
      <c r="I11189" t="s">
        <v>52</v>
      </c>
    </row>
    <row r="11190" spans="1:9" x14ac:dyDescent="0.3">
      <c r="A11190" t="s">
        <v>21</v>
      </c>
      <c r="G11190">
        <v>44894</v>
      </c>
      <c r="H11190">
        <v>2022</v>
      </c>
      <c r="I11190" t="s">
        <v>52</v>
      </c>
    </row>
    <row r="11191" spans="1:9" x14ac:dyDescent="0.3">
      <c r="A11191" t="s">
        <v>65</v>
      </c>
      <c r="G11191">
        <v>44894</v>
      </c>
      <c r="H11191">
        <v>2022</v>
      </c>
      <c r="I11191" t="s">
        <v>52</v>
      </c>
    </row>
    <row r="11192" spans="1:9" x14ac:dyDescent="0.3">
      <c r="A11192" t="s">
        <v>67</v>
      </c>
      <c r="G11192">
        <v>44894</v>
      </c>
      <c r="H11192">
        <v>2022</v>
      </c>
      <c r="I11192" t="s">
        <v>52</v>
      </c>
    </row>
    <row r="11193" spans="1:9" x14ac:dyDescent="0.3">
      <c r="A11193" t="s">
        <v>18</v>
      </c>
      <c r="G11193">
        <v>44894</v>
      </c>
      <c r="H11193">
        <v>2022</v>
      </c>
      <c r="I11193" t="s">
        <v>52</v>
      </c>
    </row>
    <row r="11194" spans="1:9" x14ac:dyDescent="0.3">
      <c r="A11194" t="s">
        <v>16</v>
      </c>
      <c r="G11194">
        <v>44894</v>
      </c>
      <c r="H11194">
        <v>2022</v>
      </c>
      <c r="I11194" t="s">
        <v>52</v>
      </c>
    </row>
    <row r="11195" spans="1:9" x14ac:dyDescent="0.3">
      <c r="A11195" t="s">
        <v>20</v>
      </c>
      <c r="G11195">
        <v>44895</v>
      </c>
      <c r="H11195">
        <v>2022</v>
      </c>
      <c r="I11195" t="s">
        <v>52</v>
      </c>
    </row>
    <row r="11196" spans="1:9" x14ac:dyDescent="0.3">
      <c r="A11196" t="s">
        <v>37</v>
      </c>
      <c r="G11196">
        <v>44895</v>
      </c>
      <c r="H11196">
        <v>2022</v>
      </c>
      <c r="I11196" t="s">
        <v>52</v>
      </c>
    </row>
    <row r="11197" spans="1:9" x14ac:dyDescent="0.3">
      <c r="A11197" t="s">
        <v>17</v>
      </c>
      <c r="G11197">
        <v>44895</v>
      </c>
      <c r="H11197">
        <v>2022</v>
      </c>
      <c r="I11197" t="s">
        <v>52</v>
      </c>
    </row>
    <row r="11198" spans="1:9" x14ac:dyDescent="0.3">
      <c r="A11198" t="s">
        <v>0</v>
      </c>
      <c r="G11198">
        <v>44895</v>
      </c>
      <c r="H11198">
        <v>2022</v>
      </c>
      <c r="I11198" t="s">
        <v>52</v>
      </c>
    </row>
    <row r="11199" spans="1:9" x14ac:dyDescent="0.3">
      <c r="A11199" t="s">
        <v>25</v>
      </c>
      <c r="G11199">
        <v>44895</v>
      </c>
      <c r="H11199">
        <v>2022</v>
      </c>
      <c r="I11199" t="s">
        <v>52</v>
      </c>
    </row>
    <row r="11200" spans="1:9" x14ac:dyDescent="0.3">
      <c r="A11200" t="s">
        <v>15</v>
      </c>
      <c r="C11200">
        <v>270000</v>
      </c>
      <c r="G11200">
        <v>44895</v>
      </c>
      <c r="H11200">
        <v>2022</v>
      </c>
      <c r="I11200" t="s">
        <v>52</v>
      </c>
    </row>
    <row r="11201" spans="1:9" x14ac:dyDescent="0.3">
      <c r="A11201" t="s">
        <v>54</v>
      </c>
      <c r="B11201">
        <v>432000</v>
      </c>
      <c r="D11201">
        <v>270000</v>
      </c>
      <c r="G11201">
        <v>44895</v>
      </c>
      <c r="H11201">
        <v>2022</v>
      </c>
      <c r="I11201" t="s">
        <v>52</v>
      </c>
    </row>
    <row r="11202" spans="1:9" x14ac:dyDescent="0.3">
      <c r="A11202" t="s">
        <v>26</v>
      </c>
      <c r="G11202">
        <v>44895</v>
      </c>
      <c r="H11202">
        <v>2022</v>
      </c>
      <c r="I11202" t="s">
        <v>52</v>
      </c>
    </row>
    <row r="11203" spans="1:9" x14ac:dyDescent="0.3">
      <c r="A11203" t="s">
        <v>22</v>
      </c>
      <c r="G11203">
        <v>44895</v>
      </c>
      <c r="H11203">
        <v>2022</v>
      </c>
      <c r="I11203" t="s">
        <v>52</v>
      </c>
    </row>
    <row r="11204" spans="1:9" x14ac:dyDescent="0.3">
      <c r="A11204" t="s">
        <v>61</v>
      </c>
      <c r="G11204">
        <v>44895</v>
      </c>
      <c r="H11204">
        <v>2022</v>
      </c>
      <c r="I11204" t="s">
        <v>52</v>
      </c>
    </row>
    <row r="11205" spans="1:9" x14ac:dyDescent="0.3">
      <c r="A11205" t="s">
        <v>19</v>
      </c>
      <c r="C11205">
        <v>567000</v>
      </c>
      <c r="G11205">
        <v>44895</v>
      </c>
      <c r="H11205">
        <v>2022</v>
      </c>
      <c r="I11205" t="s">
        <v>52</v>
      </c>
    </row>
    <row r="11206" spans="1:9" x14ac:dyDescent="0.3">
      <c r="A11206" t="s">
        <v>14</v>
      </c>
      <c r="B11206">
        <v>162000</v>
      </c>
      <c r="C11206">
        <v>644000</v>
      </c>
      <c r="G11206">
        <v>44895</v>
      </c>
      <c r="H11206">
        <v>2022</v>
      </c>
      <c r="I11206" t="s">
        <v>52</v>
      </c>
    </row>
    <row r="11207" spans="1:9" x14ac:dyDescent="0.3">
      <c r="A11207" t="s">
        <v>24</v>
      </c>
      <c r="G11207">
        <v>44895</v>
      </c>
      <c r="H11207">
        <v>2022</v>
      </c>
      <c r="I11207" t="s">
        <v>52</v>
      </c>
    </row>
    <row r="11208" spans="1:9" x14ac:dyDescent="0.3">
      <c r="A11208" t="s">
        <v>21</v>
      </c>
      <c r="G11208">
        <v>44895</v>
      </c>
      <c r="H11208">
        <v>2022</v>
      </c>
      <c r="I11208" t="s">
        <v>52</v>
      </c>
    </row>
    <row r="11209" spans="1:9" x14ac:dyDescent="0.3">
      <c r="A11209" t="s">
        <v>65</v>
      </c>
      <c r="G11209">
        <v>44895</v>
      </c>
      <c r="H11209">
        <v>2022</v>
      </c>
      <c r="I11209" t="s">
        <v>52</v>
      </c>
    </row>
    <row r="11210" spans="1:9" x14ac:dyDescent="0.3">
      <c r="A11210" t="s">
        <v>67</v>
      </c>
      <c r="G11210">
        <v>44895</v>
      </c>
      <c r="H11210">
        <v>2022</v>
      </c>
      <c r="I11210" t="s">
        <v>52</v>
      </c>
    </row>
    <row r="11211" spans="1:9" x14ac:dyDescent="0.3">
      <c r="A11211" t="s">
        <v>18</v>
      </c>
      <c r="G11211">
        <v>44895</v>
      </c>
      <c r="H11211">
        <v>2022</v>
      </c>
      <c r="I11211" t="s">
        <v>52</v>
      </c>
    </row>
    <row r="11212" spans="1:9" x14ac:dyDescent="0.3">
      <c r="A11212" t="s">
        <v>16</v>
      </c>
      <c r="G11212">
        <v>44895</v>
      </c>
      <c r="H11212">
        <v>2022</v>
      </c>
      <c r="I11212" t="s">
        <v>52</v>
      </c>
    </row>
    <row r="11213" spans="1:9" x14ac:dyDescent="0.3">
      <c r="A11213" t="s">
        <v>20</v>
      </c>
      <c r="G11213">
        <v>44896</v>
      </c>
      <c r="H11213">
        <v>2022</v>
      </c>
      <c r="I11213" t="s">
        <v>53</v>
      </c>
    </row>
    <row r="11214" spans="1:9" x14ac:dyDescent="0.3">
      <c r="A11214" t="s">
        <v>37</v>
      </c>
      <c r="G11214">
        <v>44896</v>
      </c>
      <c r="H11214">
        <v>2022</v>
      </c>
      <c r="I11214" t="s">
        <v>53</v>
      </c>
    </row>
    <row r="11215" spans="1:9" x14ac:dyDescent="0.3">
      <c r="A11215" t="s">
        <v>17</v>
      </c>
      <c r="G11215">
        <v>44896</v>
      </c>
      <c r="H11215">
        <v>2022</v>
      </c>
      <c r="I11215" t="s">
        <v>53</v>
      </c>
    </row>
    <row r="11216" spans="1:9" x14ac:dyDescent="0.3">
      <c r="A11216" t="s">
        <v>0</v>
      </c>
      <c r="G11216">
        <v>44896</v>
      </c>
      <c r="H11216">
        <v>2022</v>
      </c>
      <c r="I11216" t="s">
        <v>53</v>
      </c>
    </row>
    <row r="11217" spans="1:9" x14ac:dyDescent="0.3">
      <c r="A11217" t="s">
        <v>25</v>
      </c>
      <c r="G11217">
        <v>44896</v>
      </c>
      <c r="H11217">
        <v>2022</v>
      </c>
      <c r="I11217" t="s">
        <v>53</v>
      </c>
    </row>
    <row r="11218" spans="1:9" x14ac:dyDescent="0.3">
      <c r="A11218" t="s">
        <v>15</v>
      </c>
      <c r="C11218">
        <v>162000</v>
      </c>
      <c r="G11218">
        <v>44896</v>
      </c>
      <c r="H11218">
        <v>2022</v>
      </c>
      <c r="I11218" t="s">
        <v>53</v>
      </c>
    </row>
    <row r="11219" spans="1:9" x14ac:dyDescent="0.3">
      <c r="A11219" t="s">
        <v>54</v>
      </c>
      <c r="G11219">
        <v>44896</v>
      </c>
      <c r="H11219">
        <v>2022</v>
      </c>
      <c r="I11219" t="s">
        <v>53</v>
      </c>
    </row>
    <row r="11220" spans="1:9" x14ac:dyDescent="0.3">
      <c r="A11220" t="s">
        <v>26</v>
      </c>
      <c r="G11220">
        <v>44896</v>
      </c>
      <c r="H11220">
        <v>2022</v>
      </c>
      <c r="I11220" t="s">
        <v>53</v>
      </c>
    </row>
    <row r="11221" spans="1:9" x14ac:dyDescent="0.3">
      <c r="A11221" t="s">
        <v>22</v>
      </c>
      <c r="G11221">
        <v>44896</v>
      </c>
      <c r="H11221">
        <v>2022</v>
      </c>
      <c r="I11221" t="s">
        <v>53</v>
      </c>
    </row>
    <row r="11222" spans="1:9" x14ac:dyDescent="0.3">
      <c r="A11222" t="s">
        <v>61</v>
      </c>
      <c r="G11222">
        <v>44896</v>
      </c>
      <c r="H11222">
        <v>2022</v>
      </c>
      <c r="I11222" t="s">
        <v>53</v>
      </c>
    </row>
    <row r="11223" spans="1:9" x14ac:dyDescent="0.3">
      <c r="A11223" t="s">
        <v>19</v>
      </c>
      <c r="G11223">
        <v>44896</v>
      </c>
      <c r="H11223">
        <v>2022</v>
      </c>
      <c r="I11223" t="s">
        <v>53</v>
      </c>
    </row>
    <row r="11224" spans="1:9" x14ac:dyDescent="0.3">
      <c r="A11224" t="s">
        <v>14</v>
      </c>
      <c r="B11224">
        <v>702000</v>
      </c>
      <c r="G11224">
        <v>44896</v>
      </c>
      <c r="H11224">
        <v>2022</v>
      </c>
      <c r="I11224" t="s">
        <v>53</v>
      </c>
    </row>
    <row r="11225" spans="1:9" x14ac:dyDescent="0.3">
      <c r="A11225" t="s">
        <v>24</v>
      </c>
      <c r="G11225">
        <v>44896</v>
      </c>
      <c r="H11225">
        <v>2022</v>
      </c>
      <c r="I11225" t="s">
        <v>53</v>
      </c>
    </row>
    <row r="11226" spans="1:9" x14ac:dyDescent="0.3">
      <c r="A11226" t="s">
        <v>21</v>
      </c>
      <c r="G11226">
        <v>44896</v>
      </c>
      <c r="H11226">
        <v>2022</v>
      </c>
      <c r="I11226" t="s">
        <v>53</v>
      </c>
    </row>
    <row r="11227" spans="1:9" x14ac:dyDescent="0.3">
      <c r="A11227" t="s">
        <v>65</v>
      </c>
      <c r="G11227">
        <v>44896</v>
      </c>
      <c r="H11227">
        <v>2022</v>
      </c>
      <c r="I11227" t="s">
        <v>53</v>
      </c>
    </row>
    <row r="11228" spans="1:9" x14ac:dyDescent="0.3">
      <c r="A11228" t="s">
        <v>67</v>
      </c>
      <c r="C11228">
        <v>108000</v>
      </c>
      <c r="G11228">
        <v>44896</v>
      </c>
      <c r="H11228">
        <v>2022</v>
      </c>
      <c r="I11228" t="s">
        <v>53</v>
      </c>
    </row>
    <row r="11229" spans="1:9" x14ac:dyDescent="0.3">
      <c r="A11229" t="s">
        <v>18</v>
      </c>
      <c r="G11229">
        <v>44896</v>
      </c>
      <c r="H11229">
        <v>2022</v>
      </c>
      <c r="I11229" t="s">
        <v>53</v>
      </c>
    </row>
    <row r="11230" spans="1:9" x14ac:dyDescent="0.3">
      <c r="A11230" t="s">
        <v>16</v>
      </c>
      <c r="G11230">
        <v>44896</v>
      </c>
      <c r="H11230">
        <v>2022</v>
      </c>
      <c r="I11230" t="s">
        <v>53</v>
      </c>
    </row>
    <row r="11231" spans="1:9" x14ac:dyDescent="0.3">
      <c r="A11231" t="s">
        <v>20</v>
      </c>
      <c r="G11231">
        <v>44900</v>
      </c>
      <c r="H11231">
        <v>2022</v>
      </c>
      <c r="I11231" t="s">
        <v>53</v>
      </c>
    </row>
    <row r="11232" spans="1:9" x14ac:dyDescent="0.3">
      <c r="A11232" t="s">
        <v>37</v>
      </c>
      <c r="G11232">
        <v>44900</v>
      </c>
      <c r="H11232">
        <v>2022</v>
      </c>
      <c r="I11232" t="s">
        <v>53</v>
      </c>
    </row>
    <row r="11233" spans="1:9" x14ac:dyDescent="0.3">
      <c r="A11233" t="s">
        <v>17</v>
      </c>
      <c r="G11233">
        <v>44900</v>
      </c>
      <c r="H11233">
        <v>2022</v>
      </c>
      <c r="I11233" t="s">
        <v>53</v>
      </c>
    </row>
    <row r="11234" spans="1:9" x14ac:dyDescent="0.3">
      <c r="A11234" t="s">
        <v>0</v>
      </c>
      <c r="G11234">
        <v>44900</v>
      </c>
      <c r="H11234">
        <v>2022</v>
      </c>
      <c r="I11234" t="s">
        <v>53</v>
      </c>
    </row>
    <row r="11235" spans="1:9" x14ac:dyDescent="0.3">
      <c r="A11235" t="s">
        <v>25</v>
      </c>
      <c r="G11235">
        <v>44900</v>
      </c>
      <c r="H11235">
        <v>2022</v>
      </c>
      <c r="I11235" t="s">
        <v>53</v>
      </c>
    </row>
    <row r="11236" spans="1:9" x14ac:dyDescent="0.3">
      <c r="A11236" t="s">
        <v>15</v>
      </c>
      <c r="C11236">
        <v>324000</v>
      </c>
      <c r="G11236">
        <v>44900</v>
      </c>
      <c r="H11236">
        <v>2022</v>
      </c>
      <c r="I11236" t="s">
        <v>53</v>
      </c>
    </row>
    <row r="11237" spans="1:9" x14ac:dyDescent="0.3">
      <c r="A11237" t="s">
        <v>54</v>
      </c>
      <c r="B11237">
        <v>806000</v>
      </c>
      <c r="D11237">
        <v>270000</v>
      </c>
      <c r="G11237">
        <v>44900</v>
      </c>
      <c r="H11237">
        <v>2022</v>
      </c>
      <c r="I11237" t="s">
        <v>53</v>
      </c>
    </row>
    <row r="11238" spans="1:9" x14ac:dyDescent="0.3">
      <c r="A11238" t="s">
        <v>26</v>
      </c>
      <c r="C11238">
        <v>54000</v>
      </c>
      <c r="G11238">
        <v>44900</v>
      </c>
      <c r="H11238">
        <v>2022</v>
      </c>
      <c r="I11238" t="s">
        <v>53</v>
      </c>
    </row>
    <row r="11239" spans="1:9" x14ac:dyDescent="0.3">
      <c r="A11239" t="s">
        <v>22</v>
      </c>
      <c r="G11239">
        <v>44900</v>
      </c>
      <c r="H11239">
        <v>2022</v>
      </c>
      <c r="I11239" t="s">
        <v>53</v>
      </c>
    </row>
    <row r="11240" spans="1:9" x14ac:dyDescent="0.3">
      <c r="A11240" t="s">
        <v>61</v>
      </c>
      <c r="G11240">
        <v>44900</v>
      </c>
      <c r="H11240">
        <v>2022</v>
      </c>
      <c r="I11240" t="s">
        <v>53</v>
      </c>
    </row>
    <row r="11241" spans="1:9" x14ac:dyDescent="0.3">
      <c r="A11241" t="s">
        <v>19</v>
      </c>
      <c r="C11241">
        <v>243000</v>
      </c>
      <c r="G11241">
        <v>44900</v>
      </c>
      <c r="H11241">
        <v>2022</v>
      </c>
      <c r="I11241" t="s">
        <v>53</v>
      </c>
    </row>
    <row r="11242" spans="1:9" x14ac:dyDescent="0.3">
      <c r="A11242" t="s">
        <v>14</v>
      </c>
      <c r="B11242">
        <v>1242000</v>
      </c>
      <c r="C11242">
        <v>486000</v>
      </c>
      <c r="G11242">
        <v>44900</v>
      </c>
      <c r="H11242">
        <v>2022</v>
      </c>
      <c r="I11242" t="s">
        <v>53</v>
      </c>
    </row>
    <row r="11243" spans="1:9" x14ac:dyDescent="0.3">
      <c r="A11243" t="s">
        <v>24</v>
      </c>
      <c r="G11243">
        <v>44900</v>
      </c>
      <c r="H11243">
        <v>2022</v>
      </c>
      <c r="I11243" t="s">
        <v>53</v>
      </c>
    </row>
    <row r="11244" spans="1:9" x14ac:dyDescent="0.3">
      <c r="A11244" t="s">
        <v>21</v>
      </c>
      <c r="G11244">
        <v>44900</v>
      </c>
      <c r="H11244">
        <v>2022</v>
      </c>
      <c r="I11244" t="s">
        <v>53</v>
      </c>
    </row>
    <row r="11245" spans="1:9" x14ac:dyDescent="0.3">
      <c r="A11245" t="s">
        <v>65</v>
      </c>
      <c r="G11245">
        <v>44900</v>
      </c>
      <c r="H11245">
        <v>2022</v>
      </c>
      <c r="I11245" t="s">
        <v>53</v>
      </c>
    </row>
    <row r="11246" spans="1:9" x14ac:dyDescent="0.3">
      <c r="A11246" t="s">
        <v>67</v>
      </c>
      <c r="G11246">
        <v>44900</v>
      </c>
      <c r="H11246">
        <v>2022</v>
      </c>
      <c r="I11246" t="s">
        <v>53</v>
      </c>
    </row>
    <row r="11247" spans="1:9" x14ac:dyDescent="0.3">
      <c r="A11247" t="s">
        <v>18</v>
      </c>
      <c r="G11247">
        <v>44900</v>
      </c>
      <c r="H11247">
        <v>2022</v>
      </c>
      <c r="I11247" t="s">
        <v>53</v>
      </c>
    </row>
    <row r="11248" spans="1:9" x14ac:dyDescent="0.3">
      <c r="A11248" t="s">
        <v>16</v>
      </c>
      <c r="G11248">
        <v>44900</v>
      </c>
      <c r="H11248">
        <v>2022</v>
      </c>
      <c r="I11248" t="s">
        <v>53</v>
      </c>
    </row>
    <row r="11249" spans="1:9" x14ac:dyDescent="0.3">
      <c r="A11249" t="s">
        <v>20</v>
      </c>
      <c r="G11249">
        <v>44901</v>
      </c>
      <c r="H11249">
        <v>2022</v>
      </c>
      <c r="I11249" t="s">
        <v>53</v>
      </c>
    </row>
    <row r="11250" spans="1:9" x14ac:dyDescent="0.3">
      <c r="A11250" t="s">
        <v>37</v>
      </c>
      <c r="G11250">
        <v>44901</v>
      </c>
      <c r="H11250">
        <v>2022</v>
      </c>
      <c r="I11250" t="s">
        <v>53</v>
      </c>
    </row>
    <row r="11251" spans="1:9" x14ac:dyDescent="0.3">
      <c r="A11251" t="s">
        <v>17</v>
      </c>
      <c r="G11251">
        <v>44901</v>
      </c>
      <c r="H11251">
        <v>2022</v>
      </c>
      <c r="I11251" t="s">
        <v>53</v>
      </c>
    </row>
    <row r="11252" spans="1:9" x14ac:dyDescent="0.3">
      <c r="A11252" t="s">
        <v>0</v>
      </c>
      <c r="G11252">
        <v>44901</v>
      </c>
      <c r="H11252">
        <v>2022</v>
      </c>
      <c r="I11252" t="s">
        <v>53</v>
      </c>
    </row>
    <row r="11253" spans="1:9" x14ac:dyDescent="0.3">
      <c r="A11253" t="s">
        <v>25</v>
      </c>
      <c r="G11253">
        <v>44901</v>
      </c>
      <c r="H11253">
        <v>2022</v>
      </c>
      <c r="I11253" t="s">
        <v>53</v>
      </c>
    </row>
    <row r="11254" spans="1:9" x14ac:dyDescent="0.3">
      <c r="A11254" t="s">
        <v>15</v>
      </c>
      <c r="C11254">
        <v>50000</v>
      </c>
      <c r="G11254">
        <v>44901</v>
      </c>
      <c r="H11254">
        <v>2022</v>
      </c>
      <c r="I11254" t="s">
        <v>53</v>
      </c>
    </row>
    <row r="11255" spans="1:9" x14ac:dyDescent="0.3">
      <c r="A11255" t="s">
        <v>54</v>
      </c>
      <c r="B11255">
        <v>324000</v>
      </c>
      <c r="G11255">
        <v>44901</v>
      </c>
      <c r="H11255">
        <v>2022</v>
      </c>
      <c r="I11255" t="s">
        <v>53</v>
      </c>
    </row>
    <row r="11256" spans="1:9" x14ac:dyDescent="0.3">
      <c r="A11256" t="s">
        <v>26</v>
      </c>
      <c r="B11256">
        <v>432000</v>
      </c>
      <c r="C11256">
        <v>486000</v>
      </c>
      <c r="G11256">
        <v>44901</v>
      </c>
      <c r="H11256">
        <v>2022</v>
      </c>
      <c r="I11256" t="s">
        <v>53</v>
      </c>
    </row>
    <row r="11257" spans="1:9" x14ac:dyDescent="0.3">
      <c r="A11257" t="s">
        <v>22</v>
      </c>
      <c r="G11257">
        <v>44901</v>
      </c>
      <c r="H11257">
        <v>2022</v>
      </c>
      <c r="I11257" t="s">
        <v>53</v>
      </c>
    </row>
    <row r="11258" spans="1:9" x14ac:dyDescent="0.3">
      <c r="A11258" t="s">
        <v>61</v>
      </c>
      <c r="G11258">
        <v>44901</v>
      </c>
      <c r="H11258">
        <v>2022</v>
      </c>
      <c r="I11258" t="s">
        <v>53</v>
      </c>
    </row>
    <row r="11259" spans="1:9" x14ac:dyDescent="0.3">
      <c r="A11259" t="s">
        <v>19</v>
      </c>
      <c r="G11259">
        <v>44901</v>
      </c>
      <c r="H11259">
        <v>2022</v>
      </c>
      <c r="I11259" t="s">
        <v>53</v>
      </c>
    </row>
    <row r="11260" spans="1:9" x14ac:dyDescent="0.3">
      <c r="A11260" t="s">
        <v>14</v>
      </c>
      <c r="B11260">
        <v>1184000</v>
      </c>
      <c r="C11260">
        <v>108000</v>
      </c>
      <c r="G11260">
        <v>44901</v>
      </c>
      <c r="H11260">
        <v>2022</v>
      </c>
      <c r="I11260" t="s">
        <v>53</v>
      </c>
    </row>
    <row r="11261" spans="1:9" x14ac:dyDescent="0.3">
      <c r="A11261" t="s">
        <v>24</v>
      </c>
      <c r="G11261">
        <v>44901</v>
      </c>
      <c r="H11261">
        <v>2022</v>
      </c>
      <c r="I11261" t="s">
        <v>53</v>
      </c>
    </row>
    <row r="11262" spans="1:9" x14ac:dyDescent="0.3">
      <c r="A11262" t="s">
        <v>21</v>
      </c>
      <c r="C11262">
        <v>756000</v>
      </c>
      <c r="G11262">
        <v>44901</v>
      </c>
      <c r="H11262">
        <v>2022</v>
      </c>
      <c r="I11262" t="s">
        <v>53</v>
      </c>
    </row>
    <row r="11263" spans="1:9" x14ac:dyDescent="0.3">
      <c r="A11263" t="s">
        <v>65</v>
      </c>
      <c r="G11263">
        <v>44901</v>
      </c>
      <c r="H11263">
        <v>2022</v>
      </c>
      <c r="I11263" t="s">
        <v>53</v>
      </c>
    </row>
    <row r="11264" spans="1:9" x14ac:dyDescent="0.3">
      <c r="A11264" t="s">
        <v>67</v>
      </c>
      <c r="G11264">
        <v>44901</v>
      </c>
      <c r="H11264">
        <v>2022</v>
      </c>
      <c r="I11264" t="s">
        <v>53</v>
      </c>
    </row>
    <row r="11265" spans="1:9" x14ac:dyDescent="0.3">
      <c r="A11265" t="s">
        <v>18</v>
      </c>
      <c r="G11265">
        <v>44901</v>
      </c>
      <c r="H11265">
        <v>2022</v>
      </c>
      <c r="I11265" t="s">
        <v>53</v>
      </c>
    </row>
    <row r="11266" spans="1:9" x14ac:dyDescent="0.3">
      <c r="A11266" t="s">
        <v>16</v>
      </c>
      <c r="G11266">
        <v>44901</v>
      </c>
      <c r="H11266">
        <v>2022</v>
      </c>
      <c r="I11266" t="s">
        <v>53</v>
      </c>
    </row>
    <row r="11267" spans="1:9" x14ac:dyDescent="0.3">
      <c r="A11267" t="s">
        <v>20</v>
      </c>
      <c r="G11267">
        <v>44902</v>
      </c>
      <c r="H11267">
        <v>2022</v>
      </c>
      <c r="I11267" t="s">
        <v>53</v>
      </c>
    </row>
    <row r="11268" spans="1:9" x14ac:dyDescent="0.3">
      <c r="A11268" t="s">
        <v>37</v>
      </c>
      <c r="G11268">
        <v>44902</v>
      </c>
      <c r="H11268">
        <v>2022</v>
      </c>
      <c r="I11268" t="s">
        <v>53</v>
      </c>
    </row>
    <row r="11269" spans="1:9" x14ac:dyDescent="0.3">
      <c r="A11269" t="s">
        <v>17</v>
      </c>
      <c r="B11269">
        <v>539500</v>
      </c>
      <c r="G11269">
        <v>44902</v>
      </c>
      <c r="H11269">
        <v>2022</v>
      </c>
      <c r="I11269" t="s">
        <v>53</v>
      </c>
    </row>
    <row r="11270" spans="1:9" x14ac:dyDescent="0.3">
      <c r="A11270" t="s">
        <v>0</v>
      </c>
      <c r="G11270">
        <v>44902</v>
      </c>
      <c r="H11270">
        <v>2022</v>
      </c>
      <c r="I11270" t="s">
        <v>53</v>
      </c>
    </row>
    <row r="11271" spans="1:9" x14ac:dyDescent="0.3">
      <c r="A11271" t="s">
        <v>25</v>
      </c>
      <c r="G11271">
        <v>44902</v>
      </c>
      <c r="H11271">
        <v>2022</v>
      </c>
      <c r="I11271" t="s">
        <v>53</v>
      </c>
    </row>
    <row r="11272" spans="1:9" x14ac:dyDescent="0.3">
      <c r="A11272" t="s">
        <v>15</v>
      </c>
      <c r="G11272">
        <v>44902</v>
      </c>
      <c r="H11272">
        <v>2022</v>
      </c>
      <c r="I11272" t="s">
        <v>53</v>
      </c>
    </row>
    <row r="11273" spans="1:9" x14ac:dyDescent="0.3">
      <c r="A11273" t="s">
        <v>54</v>
      </c>
      <c r="D11273">
        <v>54000</v>
      </c>
      <c r="G11273">
        <v>44902</v>
      </c>
      <c r="H11273">
        <v>2022</v>
      </c>
      <c r="I11273" t="s">
        <v>53</v>
      </c>
    </row>
    <row r="11274" spans="1:9" x14ac:dyDescent="0.3">
      <c r="A11274" t="s">
        <v>26</v>
      </c>
      <c r="B11274">
        <v>311000</v>
      </c>
      <c r="C11274">
        <v>324000</v>
      </c>
      <c r="G11274">
        <v>44902</v>
      </c>
      <c r="H11274">
        <v>2022</v>
      </c>
      <c r="I11274" t="s">
        <v>53</v>
      </c>
    </row>
    <row r="11275" spans="1:9" x14ac:dyDescent="0.3">
      <c r="A11275" t="s">
        <v>22</v>
      </c>
      <c r="G11275">
        <v>44902</v>
      </c>
      <c r="H11275">
        <v>2022</v>
      </c>
      <c r="I11275" t="s">
        <v>53</v>
      </c>
    </row>
    <row r="11276" spans="1:9" x14ac:dyDescent="0.3">
      <c r="A11276" t="s">
        <v>61</v>
      </c>
      <c r="G11276">
        <v>44902</v>
      </c>
      <c r="H11276">
        <v>2022</v>
      </c>
      <c r="I11276" t="s">
        <v>53</v>
      </c>
    </row>
    <row r="11277" spans="1:9" x14ac:dyDescent="0.3">
      <c r="A11277" t="s">
        <v>19</v>
      </c>
      <c r="G11277">
        <v>44902</v>
      </c>
      <c r="H11277">
        <v>2022</v>
      </c>
      <c r="I11277" t="s">
        <v>53</v>
      </c>
    </row>
    <row r="11278" spans="1:9" x14ac:dyDescent="0.3">
      <c r="A11278" t="s">
        <v>14</v>
      </c>
      <c r="B11278">
        <v>540000</v>
      </c>
      <c r="G11278">
        <v>44902</v>
      </c>
      <c r="H11278">
        <v>2022</v>
      </c>
      <c r="I11278" t="s">
        <v>53</v>
      </c>
    </row>
    <row r="11279" spans="1:9" x14ac:dyDescent="0.3">
      <c r="A11279" t="s">
        <v>24</v>
      </c>
      <c r="G11279">
        <v>44902</v>
      </c>
      <c r="H11279">
        <v>2022</v>
      </c>
      <c r="I11279" t="s">
        <v>53</v>
      </c>
    </row>
    <row r="11280" spans="1:9" x14ac:dyDescent="0.3">
      <c r="A11280" t="s">
        <v>21</v>
      </c>
      <c r="C11280">
        <v>702000</v>
      </c>
      <c r="G11280">
        <v>44902</v>
      </c>
      <c r="H11280">
        <v>2022</v>
      </c>
      <c r="I11280" t="s">
        <v>53</v>
      </c>
    </row>
    <row r="11281" spans="1:9" x14ac:dyDescent="0.3">
      <c r="A11281" t="s">
        <v>65</v>
      </c>
      <c r="G11281">
        <v>44902</v>
      </c>
      <c r="H11281">
        <v>2022</v>
      </c>
      <c r="I11281" t="s">
        <v>53</v>
      </c>
    </row>
    <row r="11282" spans="1:9" x14ac:dyDescent="0.3">
      <c r="A11282" t="s">
        <v>67</v>
      </c>
      <c r="G11282">
        <v>44902</v>
      </c>
      <c r="H11282">
        <v>2022</v>
      </c>
      <c r="I11282" t="s">
        <v>53</v>
      </c>
    </row>
    <row r="11283" spans="1:9" x14ac:dyDescent="0.3">
      <c r="A11283" t="s">
        <v>18</v>
      </c>
      <c r="G11283">
        <v>44902</v>
      </c>
      <c r="H11283">
        <v>2022</v>
      </c>
      <c r="I11283" t="s">
        <v>53</v>
      </c>
    </row>
    <row r="11284" spans="1:9" x14ac:dyDescent="0.3">
      <c r="A11284" t="s">
        <v>16</v>
      </c>
      <c r="E11284">
        <v>428000</v>
      </c>
      <c r="G11284">
        <v>44902</v>
      </c>
      <c r="H11284">
        <v>2022</v>
      </c>
      <c r="I11284" t="s">
        <v>53</v>
      </c>
    </row>
    <row r="11285" spans="1:9" x14ac:dyDescent="0.3">
      <c r="A11285" t="s">
        <v>20</v>
      </c>
      <c r="G11285">
        <v>44903</v>
      </c>
      <c r="H11285">
        <v>2022</v>
      </c>
      <c r="I11285" t="s">
        <v>53</v>
      </c>
    </row>
    <row r="11286" spans="1:9" x14ac:dyDescent="0.3">
      <c r="A11286" t="s">
        <v>37</v>
      </c>
      <c r="G11286">
        <v>44903</v>
      </c>
      <c r="H11286">
        <v>2022</v>
      </c>
      <c r="I11286" t="s">
        <v>53</v>
      </c>
    </row>
    <row r="11287" spans="1:9" x14ac:dyDescent="0.3">
      <c r="A11287" t="s">
        <v>17</v>
      </c>
      <c r="G11287">
        <v>44903</v>
      </c>
      <c r="H11287">
        <v>2022</v>
      </c>
      <c r="I11287" t="s">
        <v>53</v>
      </c>
    </row>
    <row r="11288" spans="1:9" x14ac:dyDescent="0.3">
      <c r="A11288" t="s">
        <v>0</v>
      </c>
      <c r="G11288">
        <v>44903</v>
      </c>
      <c r="H11288">
        <v>2022</v>
      </c>
      <c r="I11288" t="s">
        <v>53</v>
      </c>
    </row>
    <row r="11289" spans="1:9" x14ac:dyDescent="0.3">
      <c r="A11289" t="s">
        <v>25</v>
      </c>
      <c r="G11289">
        <v>44903</v>
      </c>
      <c r="H11289">
        <v>2022</v>
      </c>
      <c r="I11289" t="s">
        <v>53</v>
      </c>
    </row>
    <row r="11290" spans="1:9" x14ac:dyDescent="0.3">
      <c r="A11290" t="s">
        <v>15</v>
      </c>
      <c r="B11290">
        <v>1184000</v>
      </c>
      <c r="G11290">
        <v>44903</v>
      </c>
      <c r="H11290">
        <v>2022</v>
      </c>
      <c r="I11290" t="s">
        <v>53</v>
      </c>
    </row>
    <row r="11291" spans="1:9" x14ac:dyDescent="0.3">
      <c r="A11291" t="s">
        <v>54</v>
      </c>
      <c r="G11291">
        <v>44903</v>
      </c>
      <c r="H11291">
        <v>2022</v>
      </c>
      <c r="I11291" t="s">
        <v>53</v>
      </c>
    </row>
    <row r="11292" spans="1:9" x14ac:dyDescent="0.3">
      <c r="A11292" t="s">
        <v>26</v>
      </c>
      <c r="G11292">
        <v>44903</v>
      </c>
      <c r="H11292">
        <v>2022</v>
      </c>
      <c r="I11292" t="s">
        <v>53</v>
      </c>
    </row>
    <row r="11293" spans="1:9" x14ac:dyDescent="0.3">
      <c r="A11293" t="s">
        <v>22</v>
      </c>
      <c r="G11293">
        <v>44903</v>
      </c>
      <c r="H11293">
        <v>2022</v>
      </c>
      <c r="I11293" t="s">
        <v>53</v>
      </c>
    </row>
    <row r="11294" spans="1:9" x14ac:dyDescent="0.3">
      <c r="A11294" t="s">
        <v>61</v>
      </c>
      <c r="G11294">
        <v>44903</v>
      </c>
      <c r="H11294">
        <v>2022</v>
      </c>
      <c r="I11294" t="s">
        <v>53</v>
      </c>
    </row>
    <row r="11295" spans="1:9" x14ac:dyDescent="0.3">
      <c r="A11295" t="s">
        <v>19</v>
      </c>
      <c r="B11295">
        <v>162000</v>
      </c>
      <c r="C11295">
        <v>324000</v>
      </c>
      <c r="D11295">
        <v>54000</v>
      </c>
      <c r="G11295">
        <v>44903</v>
      </c>
      <c r="H11295">
        <v>2022</v>
      </c>
      <c r="I11295" t="s">
        <v>53</v>
      </c>
    </row>
    <row r="11296" spans="1:9" x14ac:dyDescent="0.3">
      <c r="A11296" t="s">
        <v>14</v>
      </c>
      <c r="B11296">
        <v>918000</v>
      </c>
      <c r="C11296">
        <v>207000</v>
      </c>
      <c r="D11296">
        <v>378000</v>
      </c>
      <c r="G11296">
        <v>44903</v>
      </c>
      <c r="H11296">
        <v>2022</v>
      </c>
      <c r="I11296" t="s">
        <v>53</v>
      </c>
    </row>
    <row r="11297" spans="1:9" x14ac:dyDescent="0.3">
      <c r="A11297" t="s">
        <v>24</v>
      </c>
      <c r="G11297">
        <v>44903</v>
      </c>
      <c r="H11297">
        <v>2022</v>
      </c>
      <c r="I11297" t="s">
        <v>53</v>
      </c>
    </row>
    <row r="11298" spans="1:9" x14ac:dyDescent="0.3">
      <c r="A11298" t="s">
        <v>21</v>
      </c>
      <c r="C11298">
        <v>54000</v>
      </c>
      <c r="G11298">
        <v>44903</v>
      </c>
      <c r="H11298">
        <v>2022</v>
      </c>
      <c r="I11298" t="s">
        <v>53</v>
      </c>
    </row>
    <row r="11299" spans="1:9" x14ac:dyDescent="0.3">
      <c r="A11299" t="s">
        <v>65</v>
      </c>
      <c r="G11299">
        <v>44903</v>
      </c>
      <c r="H11299">
        <v>2022</v>
      </c>
      <c r="I11299" t="s">
        <v>53</v>
      </c>
    </row>
    <row r="11300" spans="1:9" x14ac:dyDescent="0.3">
      <c r="A11300" t="s">
        <v>67</v>
      </c>
      <c r="B11300">
        <v>108000</v>
      </c>
      <c r="G11300">
        <v>44903</v>
      </c>
      <c r="H11300">
        <v>2022</v>
      </c>
      <c r="I11300" t="s">
        <v>53</v>
      </c>
    </row>
    <row r="11301" spans="1:9" x14ac:dyDescent="0.3">
      <c r="A11301" t="s">
        <v>18</v>
      </c>
      <c r="G11301">
        <v>44903</v>
      </c>
      <c r="H11301">
        <v>2022</v>
      </c>
      <c r="I11301" t="s">
        <v>53</v>
      </c>
    </row>
    <row r="11302" spans="1:9" x14ac:dyDescent="0.3">
      <c r="A11302" t="s">
        <v>16</v>
      </c>
      <c r="C11302">
        <v>378000</v>
      </c>
      <c r="E11302">
        <v>54000</v>
      </c>
      <c r="G11302">
        <v>44903</v>
      </c>
      <c r="H11302">
        <v>2022</v>
      </c>
      <c r="I11302" t="s">
        <v>53</v>
      </c>
    </row>
    <row r="11303" spans="1:9" x14ac:dyDescent="0.3">
      <c r="A11303" t="s">
        <v>20</v>
      </c>
      <c r="G11303">
        <v>44904</v>
      </c>
      <c r="H11303">
        <v>2022</v>
      </c>
      <c r="I11303" t="s">
        <v>53</v>
      </c>
    </row>
    <row r="11304" spans="1:9" x14ac:dyDescent="0.3">
      <c r="A11304" t="s">
        <v>37</v>
      </c>
      <c r="G11304">
        <v>44904</v>
      </c>
      <c r="H11304">
        <v>2022</v>
      </c>
      <c r="I11304" t="s">
        <v>53</v>
      </c>
    </row>
    <row r="11305" spans="1:9" x14ac:dyDescent="0.3">
      <c r="A11305" t="s">
        <v>17</v>
      </c>
      <c r="G11305">
        <v>44904</v>
      </c>
      <c r="H11305">
        <v>2022</v>
      </c>
      <c r="I11305" t="s">
        <v>53</v>
      </c>
    </row>
    <row r="11306" spans="1:9" x14ac:dyDescent="0.3">
      <c r="A11306" t="s">
        <v>0</v>
      </c>
      <c r="G11306">
        <v>44904</v>
      </c>
      <c r="H11306">
        <v>2022</v>
      </c>
      <c r="I11306" t="s">
        <v>53</v>
      </c>
    </row>
    <row r="11307" spans="1:9" x14ac:dyDescent="0.3">
      <c r="A11307" t="s">
        <v>25</v>
      </c>
      <c r="C11307">
        <v>216000</v>
      </c>
      <c r="G11307">
        <v>44904</v>
      </c>
      <c r="H11307">
        <v>2022</v>
      </c>
      <c r="I11307" t="s">
        <v>53</v>
      </c>
    </row>
    <row r="11308" spans="1:9" x14ac:dyDescent="0.3">
      <c r="A11308" t="s">
        <v>15</v>
      </c>
      <c r="B11308">
        <v>644000</v>
      </c>
      <c r="G11308">
        <v>44904</v>
      </c>
      <c r="H11308">
        <v>2022</v>
      </c>
      <c r="I11308" t="s">
        <v>53</v>
      </c>
    </row>
    <row r="11309" spans="1:9" x14ac:dyDescent="0.3">
      <c r="A11309" t="s">
        <v>54</v>
      </c>
      <c r="G11309">
        <v>44904</v>
      </c>
      <c r="H11309">
        <v>2022</v>
      </c>
      <c r="I11309" t="s">
        <v>53</v>
      </c>
    </row>
    <row r="11310" spans="1:9" x14ac:dyDescent="0.3">
      <c r="A11310" t="s">
        <v>26</v>
      </c>
      <c r="G11310">
        <v>44904</v>
      </c>
      <c r="H11310">
        <v>2022</v>
      </c>
      <c r="I11310" t="s">
        <v>53</v>
      </c>
    </row>
    <row r="11311" spans="1:9" x14ac:dyDescent="0.3">
      <c r="A11311" t="s">
        <v>22</v>
      </c>
      <c r="G11311">
        <v>44904</v>
      </c>
      <c r="H11311">
        <v>2022</v>
      </c>
      <c r="I11311" t="s">
        <v>53</v>
      </c>
    </row>
    <row r="11312" spans="1:9" x14ac:dyDescent="0.3">
      <c r="A11312" t="s">
        <v>61</v>
      </c>
      <c r="G11312">
        <v>44904</v>
      </c>
      <c r="H11312">
        <v>2022</v>
      </c>
      <c r="I11312" t="s">
        <v>53</v>
      </c>
    </row>
    <row r="11313" spans="1:9" x14ac:dyDescent="0.3">
      <c r="A11313" t="s">
        <v>19</v>
      </c>
      <c r="B11313">
        <v>594000</v>
      </c>
      <c r="C11313">
        <v>432000</v>
      </c>
      <c r="D11313">
        <v>378000</v>
      </c>
      <c r="G11313">
        <v>44904</v>
      </c>
      <c r="H11313">
        <v>2022</v>
      </c>
      <c r="I11313" t="s">
        <v>53</v>
      </c>
    </row>
    <row r="11314" spans="1:9" x14ac:dyDescent="0.3">
      <c r="A11314" t="s">
        <v>14</v>
      </c>
      <c r="B11314">
        <v>644000</v>
      </c>
      <c r="C11314">
        <v>270000</v>
      </c>
      <c r="D11314">
        <v>266000</v>
      </c>
      <c r="E11314">
        <v>216000</v>
      </c>
      <c r="G11314">
        <v>44904</v>
      </c>
      <c r="H11314">
        <v>2022</v>
      </c>
      <c r="I11314" t="s">
        <v>53</v>
      </c>
    </row>
    <row r="11315" spans="1:9" x14ac:dyDescent="0.3">
      <c r="A11315" t="s">
        <v>24</v>
      </c>
      <c r="G11315">
        <v>44904</v>
      </c>
      <c r="H11315">
        <v>2022</v>
      </c>
      <c r="I11315" t="s">
        <v>53</v>
      </c>
    </row>
    <row r="11316" spans="1:9" x14ac:dyDescent="0.3">
      <c r="A11316" t="s">
        <v>21</v>
      </c>
      <c r="C11316">
        <v>54000</v>
      </c>
      <c r="G11316">
        <v>44904</v>
      </c>
      <c r="H11316">
        <v>2022</v>
      </c>
      <c r="I11316" t="s">
        <v>53</v>
      </c>
    </row>
    <row r="11317" spans="1:9" x14ac:dyDescent="0.3">
      <c r="A11317" t="s">
        <v>65</v>
      </c>
      <c r="G11317">
        <v>44904</v>
      </c>
      <c r="H11317">
        <v>2022</v>
      </c>
      <c r="I11317" t="s">
        <v>53</v>
      </c>
    </row>
    <row r="11318" spans="1:9" x14ac:dyDescent="0.3">
      <c r="A11318" t="s">
        <v>67</v>
      </c>
      <c r="G11318">
        <v>44904</v>
      </c>
      <c r="H11318">
        <v>2022</v>
      </c>
      <c r="I11318" t="s">
        <v>53</v>
      </c>
    </row>
    <row r="11319" spans="1:9" x14ac:dyDescent="0.3">
      <c r="A11319" t="s">
        <v>18</v>
      </c>
      <c r="G11319">
        <v>44904</v>
      </c>
      <c r="H11319">
        <v>2022</v>
      </c>
      <c r="I11319" t="s">
        <v>53</v>
      </c>
    </row>
    <row r="11320" spans="1:9" x14ac:dyDescent="0.3">
      <c r="A11320" t="s">
        <v>16</v>
      </c>
      <c r="C11320">
        <v>162000</v>
      </c>
      <c r="G11320">
        <v>44904</v>
      </c>
      <c r="H11320">
        <v>2022</v>
      </c>
      <c r="I11320" t="s">
        <v>53</v>
      </c>
    </row>
    <row r="11321" spans="1:9" x14ac:dyDescent="0.3">
      <c r="A11321" t="s">
        <v>20</v>
      </c>
      <c r="G11321">
        <v>44907</v>
      </c>
      <c r="H11321">
        <v>2022</v>
      </c>
      <c r="I11321" t="s">
        <v>53</v>
      </c>
    </row>
    <row r="11322" spans="1:9" x14ac:dyDescent="0.3">
      <c r="A11322" t="s">
        <v>37</v>
      </c>
      <c r="G11322">
        <v>44907</v>
      </c>
      <c r="H11322">
        <v>2022</v>
      </c>
      <c r="I11322" t="s">
        <v>53</v>
      </c>
    </row>
    <row r="11323" spans="1:9" x14ac:dyDescent="0.3">
      <c r="A11323" t="s">
        <v>17</v>
      </c>
      <c r="G11323">
        <v>44907</v>
      </c>
      <c r="H11323">
        <v>2022</v>
      </c>
      <c r="I11323" t="s">
        <v>53</v>
      </c>
    </row>
    <row r="11324" spans="1:9" x14ac:dyDescent="0.3">
      <c r="A11324" t="s">
        <v>0</v>
      </c>
      <c r="B11324">
        <v>324000</v>
      </c>
      <c r="G11324">
        <v>44907</v>
      </c>
      <c r="H11324">
        <v>2022</v>
      </c>
      <c r="I11324" t="s">
        <v>53</v>
      </c>
    </row>
    <row r="11325" spans="1:9" x14ac:dyDescent="0.3">
      <c r="A11325" t="s">
        <v>25</v>
      </c>
      <c r="G11325">
        <v>44907</v>
      </c>
      <c r="H11325">
        <v>2022</v>
      </c>
      <c r="I11325" t="s">
        <v>53</v>
      </c>
    </row>
    <row r="11326" spans="1:9" x14ac:dyDescent="0.3">
      <c r="A11326" t="s">
        <v>15</v>
      </c>
      <c r="C11326">
        <v>810000</v>
      </c>
      <c r="G11326">
        <v>44907</v>
      </c>
      <c r="H11326">
        <v>2022</v>
      </c>
      <c r="I11326" t="s">
        <v>53</v>
      </c>
    </row>
    <row r="11327" spans="1:9" x14ac:dyDescent="0.3">
      <c r="A11327" t="s">
        <v>54</v>
      </c>
      <c r="G11327">
        <v>44907</v>
      </c>
      <c r="H11327">
        <v>2022</v>
      </c>
      <c r="I11327" t="s">
        <v>53</v>
      </c>
    </row>
    <row r="11328" spans="1:9" x14ac:dyDescent="0.3">
      <c r="A11328" t="s">
        <v>26</v>
      </c>
      <c r="C11328">
        <v>50000</v>
      </c>
      <c r="G11328">
        <v>44907</v>
      </c>
      <c r="H11328">
        <v>2022</v>
      </c>
      <c r="I11328" t="s">
        <v>53</v>
      </c>
    </row>
    <row r="11329" spans="1:9" x14ac:dyDescent="0.3">
      <c r="A11329" t="s">
        <v>22</v>
      </c>
      <c r="G11329">
        <v>44907</v>
      </c>
      <c r="H11329">
        <v>2022</v>
      </c>
      <c r="I11329" t="s">
        <v>53</v>
      </c>
    </row>
    <row r="11330" spans="1:9" x14ac:dyDescent="0.3">
      <c r="A11330" t="s">
        <v>61</v>
      </c>
      <c r="G11330">
        <v>44907</v>
      </c>
      <c r="H11330">
        <v>2022</v>
      </c>
      <c r="I11330" t="s">
        <v>53</v>
      </c>
    </row>
    <row r="11331" spans="1:9" x14ac:dyDescent="0.3">
      <c r="A11331" t="s">
        <v>19</v>
      </c>
      <c r="B11331">
        <v>540000</v>
      </c>
      <c r="D11331">
        <v>810000</v>
      </c>
      <c r="G11331">
        <v>44907</v>
      </c>
      <c r="H11331">
        <v>2022</v>
      </c>
      <c r="I11331" t="s">
        <v>53</v>
      </c>
    </row>
    <row r="11332" spans="1:9" x14ac:dyDescent="0.3">
      <c r="A11332" t="s">
        <v>14</v>
      </c>
      <c r="B11332">
        <v>594000</v>
      </c>
      <c r="D11332">
        <v>45000</v>
      </c>
      <c r="G11332">
        <v>44907</v>
      </c>
      <c r="H11332">
        <v>2022</v>
      </c>
      <c r="I11332" t="s">
        <v>53</v>
      </c>
    </row>
    <row r="11333" spans="1:9" x14ac:dyDescent="0.3">
      <c r="A11333" t="s">
        <v>24</v>
      </c>
      <c r="G11333">
        <v>44907</v>
      </c>
      <c r="H11333">
        <v>2022</v>
      </c>
      <c r="I11333" t="s">
        <v>53</v>
      </c>
    </row>
    <row r="11334" spans="1:9" x14ac:dyDescent="0.3">
      <c r="A11334" t="s">
        <v>21</v>
      </c>
      <c r="G11334">
        <v>44907</v>
      </c>
      <c r="H11334">
        <v>2022</v>
      </c>
      <c r="I11334" t="s">
        <v>53</v>
      </c>
    </row>
    <row r="11335" spans="1:9" x14ac:dyDescent="0.3">
      <c r="A11335" t="s">
        <v>65</v>
      </c>
      <c r="G11335">
        <v>44907</v>
      </c>
      <c r="H11335">
        <v>2022</v>
      </c>
      <c r="I11335" t="s">
        <v>53</v>
      </c>
    </row>
    <row r="11336" spans="1:9" x14ac:dyDescent="0.3">
      <c r="A11336" t="s">
        <v>67</v>
      </c>
      <c r="G11336">
        <v>44907</v>
      </c>
      <c r="H11336">
        <v>2022</v>
      </c>
      <c r="I11336" t="s">
        <v>53</v>
      </c>
    </row>
    <row r="11337" spans="1:9" x14ac:dyDescent="0.3">
      <c r="A11337" t="s">
        <v>18</v>
      </c>
      <c r="G11337">
        <v>44907</v>
      </c>
      <c r="H11337">
        <v>2022</v>
      </c>
      <c r="I11337" t="s">
        <v>53</v>
      </c>
    </row>
    <row r="11338" spans="1:9" x14ac:dyDescent="0.3">
      <c r="A11338" t="s">
        <v>16</v>
      </c>
      <c r="C11338">
        <v>378000</v>
      </c>
      <c r="G11338">
        <v>44907</v>
      </c>
      <c r="H11338">
        <v>2022</v>
      </c>
      <c r="I11338" t="s">
        <v>53</v>
      </c>
    </row>
    <row r="11339" spans="1:9" x14ac:dyDescent="0.3">
      <c r="A11339" t="s">
        <v>20</v>
      </c>
      <c r="G11339">
        <v>44908</v>
      </c>
      <c r="H11339">
        <v>2022</v>
      </c>
      <c r="I11339" t="s">
        <v>53</v>
      </c>
    </row>
    <row r="11340" spans="1:9" x14ac:dyDescent="0.3">
      <c r="A11340" t="s">
        <v>37</v>
      </c>
      <c r="G11340">
        <v>44908</v>
      </c>
      <c r="H11340">
        <v>2022</v>
      </c>
      <c r="I11340" t="s">
        <v>53</v>
      </c>
    </row>
    <row r="11341" spans="1:9" x14ac:dyDescent="0.3">
      <c r="A11341" t="s">
        <v>17</v>
      </c>
      <c r="G11341">
        <v>44908</v>
      </c>
      <c r="H11341">
        <v>2022</v>
      </c>
      <c r="I11341" t="s">
        <v>53</v>
      </c>
    </row>
    <row r="11342" spans="1:9" x14ac:dyDescent="0.3">
      <c r="A11342" t="s">
        <v>0</v>
      </c>
      <c r="B11342">
        <v>1350000</v>
      </c>
      <c r="G11342">
        <v>44908</v>
      </c>
      <c r="H11342">
        <v>2022</v>
      </c>
      <c r="I11342" t="s">
        <v>53</v>
      </c>
    </row>
    <row r="11343" spans="1:9" x14ac:dyDescent="0.3">
      <c r="A11343" t="s">
        <v>25</v>
      </c>
      <c r="G11343">
        <v>44908</v>
      </c>
      <c r="H11343">
        <v>2022</v>
      </c>
      <c r="I11343" t="s">
        <v>53</v>
      </c>
    </row>
    <row r="11344" spans="1:9" x14ac:dyDescent="0.3">
      <c r="A11344" t="s">
        <v>15</v>
      </c>
      <c r="C11344">
        <v>373500</v>
      </c>
      <c r="D11344">
        <v>298000</v>
      </c>
      <c r="G11344">
        <v>44908</v>
      </c>
      <c r="H11344">
        <v>2022</v>
      </c>
      <c r="I11344" t="s">
        <v>53</v>
      </c>
    </row>
    <row r="11345" spans="1:9" x14ac:dyDescent="0.3">
      <c r="A11345" t="s">
        <v>54</v>
      </c>
      <c r="G11345">
        <v>44908</v>
      </c>
      <c r="H11345">
        <v>2022</v>
      </c>
      <c r="I11345" t="s">
        <v>53</v>
      </c>
    </row>
    <row r="11346" spans="1:9" x14ac:dyDescent="0.3">
      <c r="A11346" t="s">
        <v>26</v>
      </c>
      <c r="G11346">
        <v>44908</v>
      </c>
      <c r="H11346">
        <v>2022</v>
      </c>
      <c r="I11346" t="s">
        <v>53</v>
      </c>
    </row>
    <row r="11347" spans="1:9" x14ac:dyDescent="0.3">
      <c r="A11347" t="s">
        <v>22</v>
      </c>
      <c r="G11347">
        <v>44908</v>
      </c>
      <c r="H11347">
        <v>2022</v>
      </c>
      <c r="I11347" t="s">
        <v>53</v>
      </c>
    </row>
    <row r="11348" spans="1:9" x14ac:dyDescent="0.3">
      <c r="A11348" t="s">
        <v>61</v>
      </c>
      <c r="G11348">
        <v>44908</v>
      </c>
      <c r="H11348">
        <v>2022</v>
      </c>
      <c r="I11348" t="s">
        <v>53</v>
      </c>
    </row>
    <row r="11349" spans="1:9" x14ac:dyDescent="0.3">
      <c r="A11349" t="s">
        <v>19</v>
      </c>
      <c r="B11349">
        <v>162000</v>
      </c>
      <c r="D11349">
        <v>216000</v>
      </c>
      <c r="G11349">
        <v>44908</v>
      </c>
      <c r="H11349">
        <v>2022</v>
      </c>
      <c r="I11349" t="s">
        <v>53</v>
      </c>
    </row>
    <row r="11350" spans="1:9" x14ac:dyDescent="0.3">
      <c r="A11350" t="s">
        <v>14</v>
      </c>
      <c r="B11350">
        <v>108000</v>
      </c>
      <c r="C11350">
        <v>216000</v>
      </c>
      <c r="D11350">
        <v>162000</v>
      </c>
      <c r="G11350">
        <v>44908</v>
      </c>
      <c r="H11350">
        <v>2022</v>
      </c>
      <c r="I11350" t="s">
        <v>53</v>
      </c>
    </row>
    <row r="11351" spans="1:9" x14ac:dyDescent="0.3">
      <c r="A11351" t="s">
        <v>24</v>
      </c>
      <c r="G11351">
        <v>44908</v>
      </c>
      <c r="H11351">
        <v>2022</v>
      </c>
      <c r="I11351" t="s">
        <v>53</v>
      </c>
    </row>
    <row r="11352" spans="1:9" x14ac:dyDescent="0.3">
      <c r="A11352" t="s">
        <v>21</v>
      </c>
      <c r="C11352">
        <v>162000</v>
      </c>
      <c r="G11352">
        <v>44908</v>
      </c>
      <c r="H11352">
        <v>2022</v>
      </c>
      <c r="I11352" t="s">
        <v>53</v>
      </c>
    </row>
    <row r="11353" spans="1:9" x14ac:dyDescent="0.3">
      <c r="A11353" t="s">
        <v>65</v>
      </c>
      <c r="G11353">
        <v>44908</v>
      </c>
      <c r="H11353">
        <v>2022</v>
      </c>
      <c r="I11353" t="s">
        <v>53</v>
      </c>
    </row>
    <row r="11354" spans="1:9" x14ac:dyDescent="0.3">
      <c r="A11354" t="s">
        <v>67</v>
      </c>
      <c r="G11354">
        <v>44908</v>
      </c>
      <c r="H11354">
        <v>2022</v>
      </c>
      <c r="I11354" t="s">
        <v>53</v>
      </c>
    </row>
    <row r="11355" spans="1:9" x14ac:dyDescent="0.3">
      <c r="A11355" t="s">
        <v>18</v>
      </c>
      <c r="G11355">
        <v>44908</v>
      </c>
      <c r="H11355">
        <v>2022</v>
      </c>
      <c r="I11355" t="s">
        <v>53</v>
      </c>
    </row>
    <row r="11356" spans="1:9" x14ac:dyDescent="0.3">
      <c r="A11356" t="s">
        <v>16</v>
      </c>
      <c r="C11356">
        <v>108000</v>
      </c>
      <c r="G11356">
        <v>44908</v>
      </c>
      <c r="H11356">
        <v>2022</v>
      </c>
      <c r="I11356" t="s">
        <v>53</v>
      </c>
    </row>
    <row r="11357" spans="1:9" x14ac:dyDescent="0.3">
      <c r="A11357" t="s">
        <v>20</v>
      </c>
      <c r="G11357">
        <v>44909</v>
      </c>
      <c r="H11357">
        <v>2022</v>
      </c>
      <c r="I11357" t="s">
        <v>53</v>
      </c>
    </row>
    <row r="11358" spans="1:9" x14ac:dyDescent="0.3">
      <c r="A11358" t="s">
        <v>37</v>
      </c>
      <c r="G11358">
        <v>44909</v>
      </c>
      <c r="H11358">
        <v>2022</v>
      </c>
      <c r="I11358" t="s">
        <v>53</v>
      </c>
    </row>
    <row r="11359" spans="1:9" x14ac:dyDescent="0.3">
      <c r="A11359" t="s">
        <v>17</v>
      </c>
      <c r="G11359">
        <v>44909</v>
      </c>
      <c r="H11359">
        <v>2022</v>
      </c>
      <c r="I11359" t="s">
        <v>53</v>
      </c>
    </row>
    <row r="11360" spans="1:9" x14ac:dyDescent="0.3">
      <c r="A11360" t="s">
        <v>0</v>
      </c>
      <c r="B11360">
        <v>324000</v>
      </c>
      <c r="G11360">
        <v>44909</v>
      </c>
      <c r="H11360">
        <v>2022</v>
      </c>
      <c r="I11360" t="s">
        <v>53</v>
      </c>
    </row>
    <row r="11361" spans="1:9" x14ac:dyDescent="0.3">
      <c r="A11361" t="s">
        <v>25</v>
      </c>
      <c r="G11361">
        <v>44909</v>
      </c>
      <c r="H11361">
        <v>2022</v>
      </c>
      <c r="I11361" t="s">
        <v>53</v>
      </c>
    </row>
    <row r="11362" spans="1:9" x14ac:dyDescent="0.3">
      <c r="A11362" t="s">
        <v>15</v>
      </c>
      <c r="C11362">
        <v>162000</v>
      </c>
      <c r="D11362">
        <v>212000</v>
      </c>
      <c r="G11362">
        <v>44909</v>
      </c>
      <c r="H11362">
        <v>2022</v>
      </c>
      <c r="I11362" t="s">
        <v>53</v>
      </c>
    </row>
    <row r="11363" spans="1:9" x14ac:dyDescent="0.3">
      <c r="A11363" t="s">
        <v>54</v>
      </c>
      <c r="G11363">
        <v>44909</v>
      </c>
      <c r="H11363">
        <v>2022</v>
      </c>
      <c r="I11363" t="s">
        <v>53</v>
      </c>
    </row>
    <row r="11364" spans="1:9" x14ac:dyDescent="0.3">
      <c r="A11364" t="s">
        <v>26</v>
      </c>
      <c r="G11364">
        <v>44909</v>
      </c>
      <c r="H11364">
        <v>2022</v>
      </c>
      <c r="I11364" t="s">
        <v>53</v>
      </c>
    </row>
    <row r="11365" spans="1:9" x14ac:dyDescent="0.3">
      <c r="A11365" t="s">
        <v>22</v>
      </c>
      <c r="G11365">
        <v>44909</v>
      </c>
      <c r="H11365">
        <v>2022</v>
      </c>
      <c r="I11365" t="s">
        <v>53</v>
      </c>
    </row>
    <row r="11366" spans="1:9" x14ac:dyDescent="0.3">
      <c r="A11366" t="s">
        <v>61</v>
      </c>
      <c r="G11366">
        <v>44909</v>
      </c>
      <c r="H11366">
        <v>2022</v>
      </c>
      <c r="I11366" t="s">
        <v>53</v>
      </c>
    </row>
    <row r="11367" spans="1:9" x14ac:dyDescent="0.3">
      <c r="A11367" t="s">
        <v>19</v>
      </c>
      <c r="B11367">
        <v>486000</v>
      </c>
      <c r="C11367">
        <v>216000</v>
      </c>
      <c r="G11367">
        <v>44909</v>
      </c>
      <c r="H11367">
        <v>2022</v>
      </c>
      <c r="I11367" t="s">
        <v>53</v>
      </c>
    </row>
    <row r="11368" spans="1:9" x14ac:dyDescent="0.3">
      <c r="A11368" t="s">
        <v>14</v>
      </c>
      <c r="B11368">
        <v>698000</v>
      </c>
      <c r="C11368">
        <v>54000</v>
      </c>
      <c r="D11368">
        <v>149000</v>
      </c>
      <c r="G11368">
        <v>44909</v>
      </c>
      <c r="H11368">
        <v>2022</v>
      </c>
      <c r="I11368" t="s">
        <v>53</v>
      </c>
    </row>
    <row r="11369" spans="1:9" x14ac:dyDescent="0.3">
      <c r="A11369" t="s">
        <v>24</v>
      </c>
      <c r="G11369">
        <v>44909</v>
      </c>
      <c r="H11369">
        <v>2022</v>
      </c>
      <c r="I11369" t="s">
        <v>53</v>
      </c>
    </row>
    <row r="11370" spans="1:9" x14ac:dyDescent="0.3">
      <c r="A11370" t="s">
        <v>21</v>
      </c>
      <c r="C11370">
        <v>108000</v>
      </c>
      <c r="G11370">
        <v>44909</v>
      </c>
      <c r="H11370">
        <v>2022</v>
      </c>
      <c r="I11370" t="s">
        <v>53</v>
      </c>
    </row>
    <row r="11371" spans="1:9" x14ac:dyDescent="0.3">
      <c r="A11371" t="s">
        <v>65</v>
      </c>
      <c r="G11371">
        <v>44909</v>
      </c>
      <c r="H11371">
        <v>2022</v>
      </c>
      <c r="I11371" t="s">
        <v>53</v>
      </c>
    </row>
    <row r="11372" spans="1:9" x14ac:dyDescent="0.3">
      <c r="A11372" t="s">
        <v>67</v>
      </c>
      <c r="G11372">
        <v>44909</v>
      </c>
      <c r="H11372">
        <v>2022</v>
      </c>
      <c r="I11372" t="s">
        <v>53</v>
      </c>
    </row>
    <row r="11373" spans="1:9" x14ac:dyDescent="0.3">
      <c r="A11373" t="s">
        <v>18</v>
      </c>
      <c r="G11373">
        <v>44909</v>
      </c>
      <c r="H11373">
        <v>2022</v>
      </c>
      <c r="I11373" t="s">
        <v>53</v>
      </c>
    </row>
    <row r="11374" spans="1:9" x14ac:dyDescent="0.3">
      <c r="A11374" t="s">
        <v>16</v>
      </c>
      <c r="C11374">
        <v>540000</v>
      </c>
      <c r="G11374">
        <v>44909</v>
      </c>
      <c r="H11374">
        <v>2022</v>
      </c>
      <c r="I11374" t="s">
        <v>53</v>
      </c>
    </row>
    <row r="11375" spans="1:9" x14ac:dyDescent="0.3">
      <c r="A11375" t="s">
        <v>20</v>
      </c>
      <c r="G11375">
        <v>44910</v>
      </c>
      <c r="H11375">
        <v>2022</v>
      </c>
      <c r="I11375" t="s">
        <v>53</v>
      </c>
    </row>
    <row r="11376" spans="1:9" x14ac:dyDescent="0.3">
      <c r="A11376" t="s">
        <v>37</v>
      </c>
      <c r="G11376">
        <v>44910</v>
      </c>
      <c r="H11376">
        <v>2022</v>
      </c>
      <c r="I11376" t="s">
        <v>53</v>
      </c>
    </row>
    <row r="11377" spans="1:9" x14ac:dyDescent="0.3">
      <c r="A11377" t="s">
        <v>17</v>
      </c>
      <c r="G11377">
        <v>44910</v>
      </c>
      <c r="H11377">
        <v>2022</v>
      </c>
      <c r="I11377" t="s">
        <v>53</v>
      </c>
    </row>
    <row r="11378" spans="1:9" x14ac:dyDescent="0.3">
      <c r="A11378" t="s">
        <v>0</v>
      </c>
      <c r="G11378">
        <v>44910</v>
      </c>
      <c r="H11378">
        <v>2022</v>
      </c>
      <c r="I11378" t="s">
        <v>53</v>
      </c>
    </row>
    <row r="11379" spans="1:9" x14ac:dyDescent="0.3">
      <c r="A11379" t="s">
        <v>25</v>
      </c>
      <c r="G11379">
        <v>44910</v>
      </c>
      <c r="H11379">
        <v>2022</v>
      </c>
      <c r="I11379" t="s">
        <v>53</v>
      </c>
    </row>
    <row r="11380" spans="1:9" x14ac:dyDescent="0.3">
      <c r="A11380" t="s">
        <v>15</v>
      </c>
      <c r="C11380">
        <v>540000</v>
      </c>
      <c r="G11380">
        <v>44910</v>
      </c>
      <c r="H11380">
        <v>2022</v>
      </c>
      <c r="I11380" t="s">
        <v>53</v>
      </c>
    </row>
    <row r="11381" spans="1:9" x14ac:dyDescent="0.3">
      <c r="A11381" t="s">
        <v>54</v>
      </c>
      <c r="G11381">
        <v>44910</v>
      </c>
      <c r="H11381">
        <v>2022</v>
      </c>
      <c r="I11381" t="s">
        <v>53</v>
      </c>
    </row>
    <row r="11382" spans="1:9" x14ac:dyDescent="0.3">
      <c r="A11382" t="s">
        <v>26</v>
      </c>
      <c r="G11382">
        <v>44910</v>
      </c>
      <c r="H11382">
        <v>2022</v>
      </c>
      <c r="I11382" t="s">
        <v>53</v>
      </c>
    </row>
    <row r="11383" spans="1:9" x14ac:dyDescent="0.3">
      <c r="A11383" t="s">
        <v>22</v>
      </c>
      <c r="G11383">
        <v>44910</v>
      </c>
      <c r="H11383">
        <v>2022</v>
      </c>
      <c r="I11383" t="s">
        <v>53</v>
      </c>
    </row>
    <row r="11384" spans="1:9" x14ac:dyDescent="0.3">
      <c r="A11384" t="s">
        <v>61</v>
      </c>
      <c r="G11384">
        <v>44910</v>
      </c>
      <c r="H11384">
        <v>2022</v>
      </c>
      <c r="I11384" t="s">
        <v>53</v>
      </c>
    </row>
    <row r="11385" spans="1:9" x14ac:dyDescent="0.3">
      <c r="A11385" t="s">
        <v>19</v>
      </c>
      <c r="C11385">
        <v>639000</v>
      </c>
      <c r="G11385">
        <v>44910</v>
      </c>
      <c r="H11385">
        <v>2022</v>
      </c>
      <c r="I11385" t="s">
        <v>53</v>
      </c>
    </row>
    <row r="11386" spans="1:9" x14ac:dyDescent="0.3">
      <c r="A11386" t="s">
        <v>14</v>
      </c>
      <c r="B11386">
        <v>1856000</v>
      </c>
      <c r="C11386">
        <v>317500</v>
      </c>
      <c r="G11386">
        <v>44910</v>
      </c>
      <c r="H11386">
        <v>2022</v>
      </c>
      <c r="I11386" t="s">
        <v>53</v>
      </c>
    </row>
    <row r="11387" spans="1:9" x14ac:dyDescent="0.3">
      <c r="A11387" t="s">
        <v>24</v>
      </c>
      <c r="G11387">
        <v>44910</v>
      </c>
      <c r="H11387">
        <v>2022</v>
      </c>
      <c r="I11387" t="s">
        <v>53</v>
      </c>
    </row>
    <row r="11388" spans="1:9" x14ac:dyDescent="0.3">
      <c r="A11388" t="s">
        <v>21</v>
      </c>
      <c r="G11388">
        <v>44910</v>
      </c>
      <c r="H11388">
        <v>2022</v>
      </c>
      <c r="I11388" t="s">
        <v>53</v>
      </c>
    </row>
    <row r="11389" spans="1:9" x14ac:dyDescent="0.3">
      <c r="A11389" t="s">
        <v>65</v>
      </c>
      <c r="G11389">
        <v>44910</v>
      </c>
      <c r="H11389">
        <v>2022</v>
      </c>
      <c r="I11389" t="s">
        <v>53</v>
      </c>
    </row>
    <row r="11390" spans="1:9" x14ac:dyDescent="0.3">
      <c r="A11390" t="s">
        <v>67</v>
      </c>
      <c r="G11390">
        <v>44910</v>
      </c>
      <c r="H11390">
        <v>2022</v>
      </c>
      <c r="I11390" t="s">
        <v>53</v>
      </c>
    </row>
    <row r="11391" spans="1:9" x14ac:dyDescent="0.3">
      <c r="A11391" t="s">
        <v>18</v>
      </c>
      <c r="G11391">
        <v>44910</v>
      </c>
      <c r="H11391">
        <v>2022</v>
      </c>
      <c r="I11391" t="s">
        <v>53</v>
      </c>
    </row>
    <row r="11392" spans="1:9" x14ac:dyDescent="0.3">
      <c r="A11392" t="s">
        <v>16</v>
      </c>
      <c r="C11392">
        <v>216000</v>
      </c>
      <c r="G11392">
        <v>44910</v>
      </c>
      <c r="H11392">
        <v>2022</v>
      </c>
      <c r="I11392" t="s">
        <v>53</v>
      </c>
    </row>
    <row r="11393" spans="1:9" x14ac:dyDescent="0.3">
      <c r="A11393" t="s">
        <v>20</v>
      </c>
      <c r="G11393">
        <v>44911</v>
      </c>
      <c r="H11393">
        <v>2022</v>
      </c>
      <c r="I11393" t="s">
        <v>53</v>
      </c>
    </row>
    <row r="11394" spans="1:9" x14ac:dyDescent="0.3">
      <c r="A11394" t="s">
        <v>37</v>
      </c>
      <c r="G11394">
        <v>44911</v>
      </c>
      <c r="H11394">
        <v>2022</v>
      </c>
      <c r="I11394" t="s">
        <v>53</v>
      </c>
    </row>
    <row r="11395" spans="1:9" x14ac:dyDescent="0.3">
      <c r="A11395" t="s">
        <v>17</v>
      </c>
      <c r="G11395">
        <v>44911</v>
      </c>
      <c r="H11395">
        <v>2022</v>
      </c>
      <c r="I11395" t="s">
        <v>53</v>
      </c>
    </row>
    <row r="11396" spans="1:9" x14ac:dyDescent="0.3">
      <c r="A11396" t="s">
        <v>0</v>
      </c>
      <c r="G11396">
        <v>44911</v>
      </c>
      <c r="H11396">
        <v>2022</v>
      </c>
      <c r="I11396" t="s">
        <v>53</v>
      </c>
    </row>
    <row r="11397" spans="1:9" x14ac:dyDescent="0.3">
      <c r="A11397" t="s">
        <v>25</v>
      </c>
      <c r="G11397">
        <v>44911</v>
      </c>
      <c r="H11397">
        <v>2022</v>
      </c>
      <c r="I11397" t="s">
        <v>53</v>
      </c>
    </row>
    <row r="11398" spans="1:9" x14ac:dyDescent="0.3">
      <c r="A11398" t="s">
        <v>15</v>
      </c>
      <c r="B11398">
        <v>207000</v>
      </c>
      <c r="C11398">
        <v>590000</v>
      </c>
      <c r="G11398">
        <v>44911</v>
      </c>
      <c r="H11398">
        <v>2022</v>
      </c>
      <c r="I11398" t="s">
        <v>53</v>
      </c>
    </row>
    <row r="11399" spans="1:9" x14ac:dyDescent="0.3">
      <c r="A11399" t="s">
        <v>54</v>
      </c>
      <c r="C11399">
        <v>378000</v>
      </c>
      <c r="E11399">
        <v>54000</v>
      </c>
      <c r="G11399">
        <v>44911</v>
      </c>
      <c r="H11399">
        <v>2022</v>
      </c>
      <c r="I11399" t="s">
        <v>53</v>
      </c>
    </row>
    <row r="11400" spans="1:9" x14ac:dyDescent="0.3">
      <c r="A11400" t="s">
        <v>26</v>
      </c>
      <c r="G11400">
        <v>44911</v>
      </c>
      <c r="H11400">
        <v>2022</v>
      </c>
      <c r="I11400" t="s">
        <v>53</v>
      </c>
    </row>
    <row r="11401" spans="1:9" x14ac:dyDescent="0.3">
      <c r="A11401" t="s">
        <v>22</v>
      </c>
      <c r="G11401">
        <v>44911</v>
      </c>
      <c r="H11401">
        <v>2022</v>
      </c>
      <c r="I11401" t="s">
        <v>53</v>
      </c>
    </row>
    <row r="11402" spans="1:9" x14ac:dyDescent="0.3">
      <c r="A11402" t="s">
        <v>61</v>
      </c>
      <c r="G11402">
        <v>44911</v>
      </c>
      <c r="H11402">
        <v>2022</v>
      </c>
      <c r="I11402" t="s">
        <v>53</v>
      </c>
    </row>
    <row r="11403" spans="1:9" x14ac:dyDescent="0.3">
      <c r="A11403" t="s">
        <v>19</v>
      </c>
      <c r="G11403">
        <v>44911</v>
      </c>
      <c r="H11403">
        <v>2022</v>
      </c>
      <c r="I11403" t="s">
        <v>53</v>
      </c>
    </row>
    <row r="11404" spans="1:9" x14ac:dyDescent="0.3">
      <c r="A11404" t="s">
        <v>14</v>
      </c>
      <c r="B11404">
        <v>1508000</v>
      </c>
      <c r="C11404">
        <v>108000</v>
      </c>
      <c r="E11404">
        <v>54000</v>
      </c>
      <c r="G11404">
        <v>44911</v>
      </c>
      <c r="H11404">
        <v>2022</v>
      </c>
      <c r="I11404" t="s">
        <v>53</v>
      </c>
    </row>
    <row r="11405" spans="1:9" x14ac:dyDescent="0.3">
      <c r="A11405" t="s">
        <v>24</v>
      </c>
      <c r="G11405">
        <v>44911</v>
      </c>
      <c r="H11405">
        <v>2022</v>
      </c>
      <c r="I11405" t="s">
        <v>53</v>
      </c>
    </row>
    <row r="11406" spans="1:9" x14ac:dyDescent="0.3">
      <c r="A11406" t="s">
        <v>21</v>
      </c>
      <c r="C11406">
        <v>54000</v>
      </c>
      <c r="G11406">
        <v>44911</v>
      </c>
      <c r="H11406">
        <v>2022</v>
      </c>
      <c r="I11406" t="s">
        <v>53</v>
      </c>
    </row>
    <row r="11407" spans="1:9" x14ac:dyDescent="0.3">
      <c r="A11407" t="s">
        <v>65</v>
      </c>
      <c r="G11407">
        <v>44911</v>
      </c>
      <c r="H11407">
        <v>2022</v>
      </c>
      <c r="I11407" t="s">
        <v>53</v>
      </c>
    </row>
    <row r="11408" spans="1:9" x14ac:dyDescent="0.3">
      <c r="A11408" t="s">
        <v>67</v>
      </c>
      <c r="G11408">
        <v>44911</v>
      </c>
      <c r="H11408">
        <v>2022</v>
      </c>
      <c r="I11408" t="s">
        <v>53</v>
      </c>
    </row>
    <row r="11409" spans="1:9" x14ac:dyDescent="0.3">
      <c r="A11409" t="s">
        <v>18</v>
      </c>
      <c r="G11409">
        <v>44911</v>
      </c>
      <c r="H11409">
        <v>2022</v>
      </c>
      <c r="I11409" t="s">
        <v>53</v>
      </c>
    </row>
    <row r="11410" spans="1:9" x14ac:dyDescent="0.3">
      <c r="A11410" t="s">
        <v>16</v>
      </c>
      <c r="C11410">
        <v>54000</v>
      </c>
      <c r="G11410">
        <v>44911</v>
      </c>
      <c r="H11410">
        <v>2022</v>
      </c>
      <c r="I11410" t="s">
        <v>53</v>
      </c>
    </row>
    <row r="11411" spans="1:9" x14ac:dyDescent="0.3">
      <c r="A11411" t="s">
        <v>20</v>
      </c>
      <c r="G11411">
        <v>44914</v>
      </c>
      <c r="H11411">
        <v>2022</v>
      </c>
      <c r="I11411" t="s">
        <v>53</v>
      </c>
    </row>
    <row r="11412" spans="1:9" x14ac:dyDescent="0.3">
      <c r="A11412" t="s">
        <v>37</v>
      </c>
      <c r="G11412">
        <v>44914</v>
      </c>
      <c r="H11412">
        <v>2022</v>
      </c>
      <c r="I11412" t="s">
        <v>53</v>
      </c>
    </row>
    <row r="11413" spans="1:9" x14ac:dyDescent="0.3">
      <c r="A11413" t="s">
        <v>17</v>
      </c>
      <c r="G11413">
        <v>44914</v>
      </c>
      <c r="H11413">
        <v>2022</v>
      </c>
      <c r="I11413" t="s">
        <v>53</v>
      </c>
    </row>
    <row r="11414" spans="1:9" x14ac:dyDescent="0.3">
      <c r="A11414" t="s">
        <v>0</v>
      </c>
      <c r="B11414">
        <v>216000</v>
      </c>
      <c r="G11414">
        <v>44914</v>
      </c>
      <c r="H11414">
        <v>2022</v>
      </c>
      <c r="I11414" t="s">
        <v>53</v>
      </c>
    </row>
    <row r="11415" spans="1:9" x14ac:dyDescent="0.3">
      <c r="A11415" t="s">
        <v>25</v>
      </c>
      <c r="G11415">
        <v>44914</v>
      </c>
      <c r="H11415">
        <v>2022</v>
      </c>
      <c r="I11415" t="s">
        <v>53</v>
      </c>
    </row>
    <row r="11416" spans="1:9" x14ac:dyDescent="0.3">
      <c r="A11416" t="s">
        <v>15</v>
      </c>
      <c r="C11416">
        <v>108000</v>
      </c>
      <c r="D11416">
        <v>54000</v>
      </c>
      <c r="G11416">
        <v>44914</v>
      </c>
      <c r="H11416">
        <v>2022</v>
      </c>
      <c r="I11416" t="s">
        <v>53</v>
      </c>
    </row>
    <row r="11417" spans="1:9" x14ac:dyDescent="0.3">
      <c r="A11417" t="s">
        <v>54</v>
      </c>
      <c r="B11417">
        <v>108000</v>
      </c>
      <c r="C11417">
        <v>162000</v>
      </c>
      <c r="E11417">
        <v>324000</v>
      </c>
      <c r="G11417">
        <v>44914</v>
      </c>
      <c r="H11417">
        <v>2022</v>
      </c>
      <c r="I11417" t="s">
        <v>53</v>
      </c>
    </row>
    <row r="11418" spans="1:9" x14ac:dyDescent="0.3">
      <c r="A11418" t="s">
        <v>26</v>
      </c>
      <c r="B11418">
        <v>902000</v>
      </c>
      <c r="C11418">
        <v>54000</v>
      </c>
      <c r="D11418">
        <v>270000</v>
      </c>
      <c r="G11418">
        <v>44914</v>
      </c>
      <c r="H11418">
        <v>2022</v>
      </c>
      <c r="I11418" t="s">
        <v>53</v>
      </c>
    </row>
    <row r="11419" spans="1:9" x14ac:dyDescent="0.3">
      <c r="A11419" t="s">
        <v>22</v>
      </c>
      <c r="G11419">
        <v>44914</v>
      </c>
      <c r="H11419">
        <v>2022</v>
      </c>
      <c r="I11419" t="s">
        <v>53</v>
      </c>
    </row>
    <row r="11420" spans="1:9" x14ac:dyDescent="0.3">
      <c r="A11420" t="s">
        <v>61</v>
      </c>
      <c r="G11420">
        <v>44914</v>
      </c>
      <c r="H11420">
        <v>2022</v>
      </c>
      <c r="I11420" t="s">
        <v>53</v>
      </c>
    </row>
    <row r="11421" spans="1:9" x14ac:dyDescent="0.3">
      <c r="A11421" t="s">
        <v>19</v>
      </c>
      <c r="G11421">
        <v>44914</v>
      </c>
      <c r="H11421">
        <v>2022</v>
      </c>
      <c r="I11421" t="s">
        <v>53</v>
      </c>
    </row>
    <row r="11422" spans="1:9" x14ac:dyDescent="0.3">
      <c r="A11422" t="s">
        <v>14</v>
      </c>
      <c r="B11422">
        <v>639000</v>
      </c>
      <c r="C11422">
        <v>211500</v>
      </c>
      <c r="G11422">
        <v>44914</v>
      </c>
      <c r="H11422">
        <v>2022</v>
      </c>
      <c r="I11422" t="s">
        <v>53</v>
      </c>
    </row>
    <row r="11423" spans="1:9" x14ac:dyDescent="0.3">
      <c r="A11423" t="s">
        <v>24</v>
      </c>
      <c r="G11423">
        <v>44914</v>
      </c>
      <c r="H11423">
        <v>2022</v>
      </c>
      <c r="I11423" t="s">
        <v>53</v>
      </c>
    </row>
    <row r="11424" spans="1:9" x14ac:dyDescent="0.3">
      <c r="A11424" t="s">
        <v>21</v>
      </c>
      <c r="C11424">
        <v>54000</v>
      </c>
      <c r="G11424">
        <v>44914</v>
      </c>
      <c r="H11424">
        <v>2022</v>
      </c>
      <c r="I11424" t="s">
        <v>53</v>
      </c>
    </row>
    <row r="11425" spans="1:9" x14ac:dyDescent="0.3">
      <c r="A11425" t="s">
        <v>65</v>
      </c>
      <c r="G11425">
        <v>44914</v>
      </c>
      <c r="H11425">
        <v>2022</v>
      </c>
      <c r="I11425" t="s">
        <v>53</v>
      </c>
    </row>
    <row r="11426" spans="1:9" x14ac:dyDescent="0.3">
      <c r="A11426" t="s">
        <v>67</v>
      </c>
      <c r="G11426">
        <v>44914</v>
      </c>
      <c r="H11426">
        <v>2022</v>
      </c>
      <c r="I11426" t="s">
        <v>53</v>
      </c>
    </row>
    <row r="11427" spans="1:9" x14ac:dyDescent="0.3">
      <c r="A11427" t="s">
        <v>18</v>
      </c>
      <c r="G11427">
        <v>44914</v>
      </c>
      <c r="H11427">
        <v>2022</v>
      </c>
      <c r="I11427" t="s">
        <v>53</v>
      </c>
    </row>
    <row r="11428" spans="1:9" x14ac:dyDescent="0.3">
      <c r="A11428" t="s">
        <v>16</v>
      </c>
      <c r="C11428">
        <v>158000</v>
      </c>
      <c r="G11428">
        <v>44914</v>
      </c>
      <c r="H11428">
        <v>2022</v>
      </c>
      <c r="I11428" t="s">
        <v>53</v>
      </c>
    </row>
    <row r="11429" spans="1:9" x14ac:dyDescent="0.3">
      <c r="A11429" t="s">
        <v>20</v>
      </c>
      <c r="G11429">
        <v>44915</v>
      </c>
      <c r="H11429">
        <v>2022</v>
      </c>
      <c r="I11429" t="s">
        <v>53</v>
      </c>
    </row>
    <row r="11430" spans="1:9" x14ac:dyDescent="0.3">
      <c r="A11430" t="s">
        <v>37</v>
      </c>
      <c r="G11430">
        <v>44915</v>
      </c>
      <c r="H11430">
        <v>2022</v>
      </c>
      <c r="I11430" t="s">
        <v>53</v>
      </c>
    </row>
    <row r="11431" spans="1:9" x14ac:dyDescent="0.3">
      <c r="A11431" t="s">
        <v>17</v>
      </c>
      <c r="B11431">
        <v>162000</v>
      </c>
      <c r="G11431">
        <v>44915</v>
      </c>
      <c r="H11431">
        <v>2022</v>
      </c>
      <c r="I11431" t="s">
        <v>53</v>
      </c>
    </row>
    <row r="11432" spans="1:9" x14ac:dyDescent="0.3">
      <c r="A11432" t="s">
        <v>0</v>
      </c>
      <c r="B11432">
        <v>1242000</v>
      </c>
      <c r="D11432">
        <v>324000</v>
      </c>
      <c r="G11432">
        <v>44915</v>
      </c>
      <c r="H11432">
        <v>2022</v>
      </c>
      <c r="I11432" t="s">
        <v>53</v>
      </c>
    </row>
    <row r="11433" spans="1:9" x14ac:dyDescent="0.3">
      <c r="A11433" t="s">
        <v>25</v>
      </c>
      <c r="G11433">
        <v>44915</v>
      </c>
      <c r="H11433">
        <v>2022</v>
      </c>
      <c r="I11433" t="s">
        <v>53</v>
      </c>
    </row>
    <row r="11434" spans="1:9" x14ac:dyDescent="0.3">
      <c r="A11434" t="s">
        <v>15</v>
      </c>
      <c r="C11434">
        <v>270000</v>
      </c>
      <c r="G11434">
        <v>44915</v>
      </c>
      <c r="H11434">
        <v>2022</v>
      </c>
      <c r="I11434" t="s">
        <v>53</v>
      </c>
    </row>
    <row r="11435" spans="1:9" x14ac:dyDescent="0.3">
      <c r="A11435" t="s">
        <v>54</v>
      </c>
      <c r="C11435">
        <v>216000</v>
      </c>
      <c r="E11435">
        <v>432000</v>
      </c>
      <c r="G11435">
        <v>44915</v>
      </c>
      <c r="H11435">
        <v>2022</v>
      </c>
      <c r="I11435" t="s">
        <v>53</v>
      </c>
    </row>
    <row r="11436" spans="1:9" x14ac:dyDescent="0.3">
      <c r="A11436" t="s">
        <v>26</v>
      </c>
      <c r="C11436">
        <v>216000</v>
      </c>
      <c r="G11436">
        <v>44915</v>
      </c>
      <c r="H11436">
        <v>2022</v>
      </c>
      <c r="I11436" t="s">
        <v>53</v>
      </c>
    </row>
    <row r="11437" spans="1:9" x14ac:dyDescent="0.3">
      <c r="A11437" t="s">
        <v>22</v>
      </c>
      <c r="G11437">
        <v>44915</v>
      </c>
      <c r="H11437">
        <v>2022</v>
      </c>
      <c r="I11437" t="s">
        <v>53</v>
      </c>
    </row>
    <row r="11438" spans="1:9" x14ac:dyDescent="0.3">
      <c r="A11438" t="s">
        <v>61</v>
      </c>
      <c r="G11438">
        <v>44915</v>
      </c>
      <c r="H11438">
        <v>2022</v>
      </c>
      <c r="I11438" t="s">
        <v>53</v>
      </c>
    </row>
    <row r="11439" spans="1:9" x14ac:dyDescent="0.3">
      <c r="A11439" t="s">
        <v>19</v>
      </c>
      <c r="B11439">
        <v>54000</v>
      </c>
      <c r="C11439">
        <v>324000</v>
      </c>
      <c r="G11439">
        <v>44915</v>
      </c>
      <c r="H11439">
        <v>2022</v>
      </c>
      <c r="I11439" t="s">
        <v>53</v>
      </c>
    </row>
    <row r="11440" spans="1:9" x14ac:dyDescent="0.3">
      <c r="A11440" t="s">
        <v>14</v>
      </c>
      <c r="B11440">
        <v>864000</v>
      </c>
      <c r="C11440">
        <v>162000</v>
      </c>
      <c r="E11440">
        <v>199000</v>
      </c>
      <c r="G11440">
        <v>44915</v>
      </c>
      <c r="H11440">
        <v>2022</v>
      </c>
      <c r="I11440" t="s">
        <v>53</v>
      </c>
    </row>
    <row r="11441" spans="1:9" x14ac:dyDescent="0.3">
      <c r="A11441" t="s">
        <v>24</v>
      </c>
      <c r="G11441">
        <v>44915</v>
      </c>
      <c r="H11441">
        <v>2022</v>
      </c>
      <c r="I11441" t="s">
        <v>53</v>
      </c>
    </row>
    <row r="11442" spans="1:9" x14ac:dyDescent="0.3">
      <c r="A11442" t="s">
        <v>21</v>
      </c>
      <c r="G11442">
        <v>44915</v>
      </c>
      <c r="H11442">
        <v>2022</v>
      </c>
      <c r="I11442" t="s">
        <v>53</v>
      </c>
    </row>
    <row r="11443" spans="1:9" x14ac:dyDescent="0.3">
      <c r="A11443" t="s">
        <v>65</v>
      </c>
      <c r="G11443">
        <v>44915</v>
      </c>
      <c r="H11443">
        <v>2022</v>
      </c>
      <c r="I11443" t="s">
        <v>53</v>
      </c>
    </row>
    <row r="11444" spans="1:9" x14ac:dyDescent="0.3">
      <c r="A11444" t="s">
        <v>67</v>
      </c>
      <c r="G11444">
        <v>44915</v>
      </c>
      <c r="H11444">
        <v>2022</v>
      </c>
      <c r="I11444" t="s">
        <v>53</v>
      </c>
    </row>
    <row r="11445" spans="1:9" x14ac:dyDescent="0.3">
      <c r="A11445" t="s">
        <v>18</v>
      </c>
      <c r="G11445">
        <v>44915</v>
      </c>
      <c r="H11445">
        <v>2022</v>
      </c>
      <c r="I11445" t="s">
        <v>53</v>
      </c>
    </row>
    <row r="11446" spans="1:9" x14ac:dyDescent="0.3">
      <c r="A11446" t="s">
        <v>16</v>
      </c>
      <c r="C11446">
        <v>108000</v>
      </c>
      <c r="G11446">
        <v>44915</v>
      </c>
      <c r="H11446">
        <v>2022</v>
      </c>
      <c r="I11446" t="s">
        <v>53</v>
      </c>
    </row>
    <row r="11447" spans="1:9" x14ac:dyDescent="0.3">
      <c r="A11447" t="s">
        <v>20</v>
      </c>
      <c r="G11447">
        <v>44916</v>
      </c>
      <c r="H11447">
        <v>2022</v>
      </c>
      <c r="I11447" t="s">
        <v>53</v>
      </c>
    </row>
    <row r="11448" spans="1:9" x14ac:dyDescent="0.3">
      <c r="A11448" t="s">
        <v>37</v>
      </c>
      <c r="G11448">
        <v>44916</v>
      </c>
      <c r="H11448">
        <v>2022</v>
      </c>
      <c r="I11448" t="s">
        <v>53</v>
      </c>
    </row>
    <row r="11449" spans="1:9" x14ac:dyDescent="0.3">
      <c r="A11449" t="s">
        <v>17</v>
      </c>
      <c r="G11449">
        <v>44916</v>
      </c>
      <c r="H11449">
        <v>2022</v>
      </c>
      <c r="I11449" t="s">
        <v>53</v>
      </c>
    </row>
    <row r="11450" spans="1:9" x14ac:dyDescent="0.3">
      <c r="A11450" t="s">
        <v>0</v>
      </c>
      <c r="B11450">
        <v>54000</v>
      </c>
      <c r="G11450">
        <v>44916</v>
      </c>
      <c r="H11450">
        <v>2022</v>
      </c>
      <c r="I11450" t="s">
        <v>53</v>
      </c>
    </row>
    <row r="11451" spans="1:9" x14ac:dyDescent="0.3">
      <c r="A11451" t="s">
        <v>25</v>
      </c>
      <c r="G11451">
        <v>44916</v>
      </c>
      <c r="H11451">
        <v>2022</v>
      </c>
      <c r="I11451" t="s">
        <v>53</v>
      </c>
    </row>
    <row r="11452" spans="1:9" x14ac:dyDescent="0.3">
      <c r="A11452" t="s">
        <v>15</v>
      </c>
      <c r="C11452">
        <v>324000</v>
      </c>
      <c r="G11452">
        <v>44916</v>
      </c>
      <c r="H11452">
        <v>2022</v>
      </c>
      <c r="I11452" t="s">
        <v>53</v>
      </c>
    </row>
    <row r="11453" spans="1:9" x14ac:dyDescent="0.3">
      <c r="A11453" t="s">
        <v>54</v>
      </c>
      <c r="B11453">
        <v>54000</v>
      </c>
      <c r="C11453">
        <v>162000</v>
      </c>
      <c r="G11453">
        <v>44916</v>
      </c>
      <c r="H11453">
        <v>2022</v>
      </c>
      <c r="I11453" t="s">
        <v>53</v>
      </c>
    </row>
    <row r="11454" spans="1:9" x14ac:dyDescent="0.3">
      <c r="A11454" t="s">
        <v>26</v>
      </c>
      <c r="B11454">
        <v>95000</v>
      </c>
      <c r="C11454">
        <v>162000</v>
      </c>
      <c r="G11454">
        <v>44916</v>
      </c>
      <c r="H11454">
        <v>2022</v>
      </c>
      <c r="I11454" t="s">
        <v>53</v>
      </c>
    </row>
    <row r="11455" spans="1:9" x14ac:dyDescent="0.3">
      <c r="A11455" t="s">
        <v>22</v>
      </c>
      <c r="G11455">
        <v>44916</v>
      </c>
      <c r="H11455">
        <v>2022</v>
      </c>
      <c r="I11455" t="s">
        <v>53</v>
      </c>
    </row>
    <row r="11456" spans="1:9" x14ac:dyDescent="0.3">
      <c r="A11456" t="s">
        <v>61</v>
      </c>
      <c r="G11456">
        <v>44916</v>
      </c>
      <c r="H11456">
        <v>2022</v>
      </c>
      <c r="I11456" t="s">
        <v>53</v>
      </c>
    </row>
    <row r="11457" spans="1:9" x14ac:dyDescent="0.3">
      <c r="A11457" t="s">
        <v>19</v>
      </c>
      <c r="B11457">
        <v>918000</v>
      </c>
      <c r="C11457">
        <v>405000</v>
      </c>
      <c r="G11457">
        <v>44916</v>
      </c>
      <c r="H11457">
        <v>2022</v>
      </c>
      <c r="I11457" t="s">
        <v>53</v>
      </c>
    </row>
    <row r="11458" spans="1:9" x14ac:dyDescent="0.3">
      <c r="A11458" t="s">
        <v>14</v>
      </c>
      <c r="B11458">
        <v>324000</v>
      </c>
      <c r="C11458">
        <v>540000</v>
      </c>
      <c r="E11458">
        <v>644000</v>
      </c>
      <c r="G11458">
        <v>44916</v>
      </c>
      <c r="H11458">
        <v>2022</v>
      </c>
      <c r="I11458" t="s">
        <v>53</v>
      </c>
    </row>
    <row r="11459" spans="1:9" x14ac:dyDescent="0.3">
      <c r="A11459" t="s">
        <v>24</v>
      </c>
      <c r="G11459">
        <v>44916</v>
      </c>
      <c r="H11459">
        <v>2022</v>
      </c>
      <c r="I11459" t="s">
        <v>53</v>
      </c>
    </row>
    <row r="11460" spans="1:9" x14ac:dyDescent="0.3">
      <c r="A11460" t="s">
        <v>21</v>
      </c>
      <c r="B11460">
        <v>216000</v>
      </c>
      <c r="C11460">
        <v>54000</v>
      </c>
      <c r="G11460">
        <v>44916</v>
      </c>
      <c r="H11460">
        <v>2022</v>
      </c>
      <c r="I11460" t="s">
        <v>53</v>
      </c>
    </row>
    <row r="11461" spans="1:9" x14ac:dyDescent="0.3">
      <c r="A11461" t="s">
        <v>65</v>
      </c>
      <c r="G11461">
        <v>44916</v>
      </c>
      <c r="H11461">
        <v>2022</v>
      </c>
      <c r="I11461" t="s">
        <v>53</v>
      </c>
    </row>
    <row r="11462" spans="1:9" x14ac:dyDescent="0.3">
      <c r="A11462" t="s">
        <v>67</v>
      </c>
      <c r="G11462">
        <v>44916</v>
      </c>
      <c r="H11462">
        <v>2022</v>
      </c>
      <c r="I11462" t="s">
        <v>53</v>
      </c>
    </row>
    <row r="11463" spans="1:9" x14ac:dyDescent="0.3">
      <c r="A11463" t="s">
        <v>18</v>
      </c>
      <c r="G11463">
        <v>44916</v>
      </c>
      <c r="H11463">
        <v>2022</v>
      </c>
      <c r="I11463" t="s">
        <v>53</v>
      </c>
    </row>
    <row r="11464" spans="1:9" x14ac:dyDescent="0.3">
      <c r="A11464" t="s">
        <v>16</v>
      </c>
      <c r="C11464">
        <v>162000</v>
      </c>
      <c r="G11464">
        <v>44916</v>
      </c>
      <c r="H11464">
        <v>2022</v>
      </c>
      <c r="I11464" t="s">
        <v>53</v>
      </c>
    </row>
    <row r="11465" spans="1:9" x14ac:dyDescent="0.3">
      <c r="A11465" t="s">
        <v>20</v>
      </c>
      <c r="G11465">
        <v>44917</v>
      </c>
      <c r="H11465">
        <v>2022</v>
      </c>
      <c r="I11465" t="s">
        <v>53</v>
      </c>
    </row>
    <row r="11466" spans="1:9" x14ac:dyDescent="0.3">
      <c r="A11466" t="s">
        <v>37</v>
      </c>
      <c r="G11466">
        <v>44917</v>
      </c>
      <c r="H11466">
        <v>2022</v>
      </c>
      <c r="I11466" t="s">
        <v>53</v>
      </c>
    </row>
    <row r="11467" spans="1:9" x14ac:dyDescent="0.3">
      <c r="A11467" t="s">
        <v>17</v>
      </c>
      <c r="G11467">
        <v>44917</v>
      </c>
      <c r="H11467">
        <v>2022</v>
      </c>
      <c r="I11467" t="s">
        <v>53</v>
      </c>
    </row>
    <row r="11468" spans="1:9" x14ac:dyDescent="0.3">
      <c r="A11468" t="s">
        <v>0</v>
      </c>
      <c r="G11468">
        <v>44917</v>
      </c>
      <c r="H11468">
        <v>2022</v>
      </c>
      <c r="I11468" t="s">
        <v>53</v>
      </c>
    </row>
    <row r="11469" spans="1:9" x14ac:dyDescent="0.3">
      <c r="A11469" t="s">
        <v>25</v>
      </c>
      <c r="G11469">
        <v>44917</v>
      </c>
      <c r="H11469">
        <v>2022</v>
      </c>
      <c r="I11469" t="s">
        <v>53</v>
      </c>
    </row>
    <row r="11470" spans="1:9" x14ac:dyDescent="0.3">
      <c r="A11470" t="s">
        <v>15</v>
      </c>
      <c r="C11470">
        <v>317500</v>
      </c>
      <c r="G11470">
        <v>44917</v>
      </c>
      <c r="H11470">
        <v>2022</v>
      </c>
      <c r="I11470" t="s">
        <v>53</v>
      </c>
    </row>
    <row r="11471" spans="1:9" x14ac:dyDescent="0.3">
      <c r="A11471" t="s">
        <v>54</v>
      </c>
      <c r="C11471">
        <v>108000</v>
      </c>
      <c r="G11471">
        <v>44917</v>
      </c>
      <c r="H11471">
        <v>2022</v>
      </c>
      <c r="I11471" t="s">
        <v>53</v>
      </c>
    </row>
    <row r="11472" spans="1:9" x14ac:dyDescent="0.3">
      <c r="A11472" t="s">
        <v>26</v>
      </c>
      <c r="C11472">
        <v>270000</v>
      </c>
      <c r="G11472">
        <v>44917</v>
      </c>
      <c r="H11472">
        <v>2022</v>
      </c>
      <c r="I11472" t="s">
        <v>53</v>
      </c>
    </row>
    <row r="11473" spans="1:9" x14ac:dyDescent="0.3">
      <c r="A11473" t="s">
        <v>22</v>
      </c>
      <c r="G11473">
        <v>44917</v>
      </c>
      <c r="H11473">
        <v>2022</v>
      </c>
      <c r="I11473" t="s">
        <v>53</v>
      </c>
    </row>
    <row r="11474" spans="1:9" x14ac:dyDescent="0.3">
      <c r="A11474" t="s">
        <v>61</v>
      </c>
      <c r="G11474">
        <v>44917</v>
      </c>
      <c r="H11474">
        <v>2022</v>
      </c>
      <c r="I11474" t="s">
        <v>53</v>
      </c>
    </row>
    <row r="11475" spans="1:9" x14ac:dyDescent="0.3">
      <c r="A11475" t="s">
        <v>19</v>
      </c>
      <c r="C11475">
        <v>216000</v>
      </c>
      <c r="G11475">
        <v>44917</v>
      </c>
      <c r="H11475">
        <v>2022</v>
      </c>
      <c r="I11475" t="s">
        <v>53</v>
      </c>
    </row>
    <row r="11476" spans="1:9" x14ac:dyDescent="0.3">
      <c r="A11476" t="s">
        <v>14</v>
      </c>
      <c r="C11476">
        <v>536000</v>
      </c>
      <c r="E11476">
        <v>108000</v>
      </c>
      <c r="G11476">
        <v>44917</v>
      </c>
      <c r="H11476">
        <v>2022</v>
      </c>
      <c r="I11476" t="s">
        <v>53</v>
      </c>
    </row>
    <row r="11477" spans="1:9" x14ac:dyDescent="0.3">
      <c r="A11477" t="s">
        <v>24</v>
      </c>
      <c r="G11477">
        <v>44917</v>
      </c>
      <c r="H11477">
        <v>2022</v>
      </c>
      <c r="I11477" t="s">
        <v>53</v>
      </c>
    </row>
    <row r="11478" spans="1:9" x14ac:dyDescent="0.3">
      <c r="A11478" t="s">
        <v>21</v>
      </c>
      <c r="G11478">
        <v>44917</v>
      </c>
      <c r="H11478">
        <v>2022</v>
      </c>
      <c r="I11478" t="s">
        <v>53</v>
      </c>
    </row>
    <row r="11479" spans="1:9" x14ac:dyDescent="0.3">
      <c r="A11479" t="s">
        <v>65</v>
      </c>
      <c r="G11479">
        <v>44917</v>
      </c>
      <c r="H11479">
        <v>2022</v>
      </c>
      <c r="I11479" t="s">
        <v>53</v>
      </c>
    </row>
    <row r="11480" spans="1:9" x14ac:dyDescent="0.3">
      <c r="A11480" t="s">
        <v>67</v>
      </c>
      <c r="G11480">
        <v>44917</v>
      </c>
      <c r="H11480">
        <v>2022</v>
      </c>
      <c r="I11480" t="s">
        <v>53</v>
      </c>
    </row>
    <row r="11481" spans="1:9" x14ac:dyDescent="0.3">
      <c r="A11481" t="s">
        <v>18</v>
      </c>
      <c r="G11481">
        <v>44917</v>
      </c>
      <c r="H11481">
        <v>2022</v>
      </c>
      <c r="I11481" t="s">
        <v>53</v>
      </c>
    </row>
    <row r="11482" spans="1:9" x14ac:dyDescent="0.3">
      <c r="A11482" t="s">
        <v>16</v>
      </c>
      <c r="C11482">
        <v>266000</v>
      </c>
      <c r="G11482">
        <v>44917</v>
      </c>
      <c r="H11482">
        <v>2022</v>
      </c>
      <c r="I11482" t="s">
        <v>53</v>
      </c>
    </row>
    <row r="11483" spans="1:9" x14ac:dyDescent="0.3">
      <c r="A11483" t="s">
        <v>20</v>
      </c>
      <c r="G11483">
        <v>44918</v>
      </c>
      <c r="H11483">
        <v>2022</v>
      </c>
      <c r="I11483" t="s">
        <v>53</v>
      </c>
    </row>
    <row r="11484" spans="1:9" x14ac:dyDescent="0.3">
      <c r="A11484" t="s">
        <v>37</v>
      </c>
      <c r="G11484">
        <v>44918</v>
      </c>
      <c r="H11484">
        <v>2022</v>
      </c>
      <c r="I11484" t="s">
        <v>53</v>
      </c>
    </row>
    <row r="11485" spans="1:9" x14ac:dyDescent="0.3">
      <c r="A11485" t="s">
        <v>17</v>
      </c>
      <c r="G11485">
        <v>44918</v>
      </c>
      <c r="H11485">
        <v>2022</v>
      </c>
      <c r="I11485" t="s">
        <v>53</v>
      </c>
    </row>
    <row r="11486" spans="1:9" x14ac:dyDescent="0.3">
      <c r="A11486" t="s">
        <v>0</v>
      </c>
      <c r="G11486">
        <v>44918</v>
      </c>
      <c r="H11486">
        <v>2022</v>
      </c>
      <c r="I11486" t="s">
        <v>53</v>
      </c>
    </row>
    <row r="11487" spans="1:9" x14ac:dyDescent="0.3">
      <c r="A11487" t="s">
        <v>25</v>
      </c>
      <c r="G11487">
        <v>44918</v>
      </c>
      <c r="H11487">
        <v>2022</v>
      </c>
      <c r="I11487" t="s">
        <v>53</v>
      </c>
    </row>
    <row r="11488" spans="1:9" x14ac:dyDescent="0.3">
      <c r="A11488" t="s">
        <v>15</v>
      </c>
      <c r="C11488">
        <v>54000</v>
      </c>
      <c r="G11488">
        <v>44918</v>
      </c>
      <c r="H11488">
        <v>2022</v>
      </c>
      <c r="I11488" t="s">
        <v>53</v>
      </c>
    </row>
    <row r="11489" spans="1:9" x14ac:dyDescent="0.3">
      <c r="A11489" t="s">
        <v>54</v>
      </c>
      <c r="G11489">
        <v>44918</v>
      </c>
      <c r="H11489">
        <v>2022</v>
      </c>
      <c r="I11489" t="s">
        <v>53</v>
      </c>
    </row>
    <row r="11490" spans="1:9" x14ac:dyDescent="0.3">
      <c r="A11490" t="s">
        <v>26</v>
      </c>
      <c r="B11490">
        <v>297000</v>
      </c>
      <c r="C11490">
        <v>108000</v>
      </c>
      <c r="G11490">
        <v>44918</v>
      </c>
      <c r="H11490">
        <v>2022</v>
      </c>
      <c r="I11490" t="s">
        <v>53</v>
      </c>
    </row>
    <row r="11491" spans="1:9" x14ac:dyDescent="0.3">
      <c r="A11491" t="s">
        <v>22</v>
      </c>
      <c r="G11491">
        <v>44918</v>
      </c>
      <c r="H11491">
        <v>2022</v>
      </c>
      <c r="I11491" t="s">
        <v>53</v>
      </c>
    </row>
    <row r="11492" spans="1:9" x14ac:dyDescent="0.3">
      <c r="A11492" t="s">
        <v>61</v>
      </c>
      <c r="G11492">
        <v>44918</v>
      </c>
      <c r="H11492">
        <v>2022</v>
      </c>
      <c r="I11492" t="s">
        <v>53</v>
      </c>
    </row>
    <row r="11493" spans="1:9" x14ac:dyDescent="0.3">
      <c r="A11493" t="s">
        <v>19</v>
      </c>
      <c r="C11493">
        <v>324000</v>
      </c>
      <c r="G11493">
        <v>44918</v>
      </c>
      <c r="H11493">
        <v>2022</v>
      </c>
      <c r="I11493" t="s">
        <v>53</v>
      </c>
    </row>
    <row r="11494" spans="1:9" x14ac:dyDescent="0.3">
      <c r="A11494" t="s">
        <v>14</v>
      </c>
      <c r="B11494">
        <v>648000</v>
      </c>
      <c r="C11494">
        <v>756000</v>
      </c>
      <c r="G11494">
        <v>44918</v>
      </c>
      <c r="H11494">
        <v>2022</v>
      </c>
      <c r="I11494" t="s">
        <v>53</v>
      </c>
    </row>
    <row r="11495" spans="1:9" x14ac:dyDescent="0.3">
      <c r="A11495" t="s">
        <v>24</v>
      </c>
      <c r="G11495">
        <v>44918</v>
      </c>
      <c r="H11495">
        <v>2022</v>
      </c>
      <c r="I11495" t="s">
        <v>53</v>
      </c>
    </row>
    <row r="11496" spans="1:9" x14ac:dyDescent="0.3">
      <c r="A11496" t="s">
        <v>21</v>
      </c>
      <c r="G11496">
        <v>44918</v>
      </c>
      <c r="H11496">
        <v>2022</v>
      </c>
      <c r="I11496" t="s">
        <v>53</v>
      </c>
    </row>
    <row r="11497" spans="1:9" x14ac:dyDescent="0.3">
      <c r="A11497" t="s">
        <v>65</v>
      </c>
      <c r="G11497">
        <v>44918</v>
      </c>
      <c r="H11497">
        <v>2022</v>
      </c>
      <c r="I11497" t="s">
        <v>53</v>
      </c>
    </row>
    <row r="11498" spans="1:9" x14ac:dyDescent="0.3">
      <c r="A11498" t="s">
        <v>67</v>
      </c>
      <c r="G11498">
        <v>44918</v>
      </c>
      <c r="H11498">
        <v>2022</v>
      </c>
      <c r="I11498" t="s">
        <v>53</v>
      </c>
    </row>
    <row r="11499" spans="1:9" x14ac:dyDescent="0.3">
      <c r="A11499" t="s">
        <v>18</v>
      </c>
      <c r="G11499">
        <v>44918</v>
      </c>
      <c r="H11499">
        <v>2022</v>
      </c>
      <c r="I11499" t="s">
        <v>53</v>
      </c>
    </row>
    <row r="11500" spans="1:9" x14ac:dyDescent="0.3">
      <c r="A11500" t="s">
        <v>16</v>
      </c>
      <c r="G11500">
        <v>44918</v>
      </c>
      <c r="H11500">
        <v>2022</v>
      </c>
      <c r="I11500" t="s">
        <v>53</v>
      </c>
    </row>
    <row r="11501" spans="1:9" x14ac:dyDescent="0.3">
      <c r="A11501" t="s">
        <v>20</v>
      </c>
      <c r="G11501">
        <v>44923</v>
      </c>
      <c r="H11501">
        <v>2022</v>
      </c>
      <c r="I11501" t="s">
        <v>53</v>
      </c>
    </row>
    <row r="11502" spans="1:9" x14ac:dyDescent="0.3">
      <c r="A11502" t="s">
        <v>37</v>
      </c>
      <c r="G11502">
        <v>44923</v>
      </c>
      <c r="H11502">
        <v>2022</v>
      </c>
      <c r="I11502" t="s">
        <v>53</v>
      </c>
    </row>
    <row r="11503" spans="1:9" x14ac:dyDescent="0.3">
      <c r="A11503" t="s">
        <v>17</v>
      </c>
      <c r="G11503">
        <v>44923</v>
      </c>
      <c r="H11503">
        <v>2022</v>
      </c>
      <c r="I11503" t="s">
        <v>53</v>
      </c>
    </row>
    <row r="11504" spans="1:9" x14ac:dyDescent="0.3">
      <c r="A11504" t="s">
        <v>0</v>
      </c>
      <c r="G11504">
        <v>44923</v>
      </c>
      <c r="H11504">
        <v>2022</v>
      </c>
      <c r="I11504" t="s">
        <v>53</v>
      </c>
    </row>
    <row r="11505" spans="1:9" x14ac:dyDescent="0.3">
      <c r="A11505" t="s">
        <v>25</v>
      </c>
      <c r="G11505">
        <v>44923</v>
      </c>
      <c r="H11505">
        <v>2022</v>
      </c>
      <c r="I11505" t="s">
        <v>53</v>
      </c>
    </row>
    <row r="11506" spans="1:9" x14ac:dyDescent="0.3">
      <c r="A11506" t="s">
        <v>15</v>
      </c>
      <c r="G11506">
        <v>44923</v>
      </c>
      <c r="H11506">
        <v>2022</v>
      </c>
      <c r="I11506" t="s">
        <v>53</v>
      </c>
    </row>
    <row r="11507" spans="1:9" x14ac:dyDescent="0.3">
      <c r="A11507" t="s">
        <v>54</v>
      </c>
      <c r="C11507">
        <v>162000</v>
      </c>
      <c r="G11507">
        <v>44923</v>
      </c>
      <c r="H11507">
        <v>2022</v>
      </c>
      <c r="I11507" t="s">
        <v>53</v>
      </c>
    </row>
    <row r="11508" spans="1:9" x14ac:dyDescent="0.3">
      <c r="A11508" t="s">
        <v>26</v>
      </c>
      <c r="C11508">
        <v>162000</v>
      </c>
      <c r="G11508">
        <v>44923</v>
      </c>
      <c r="H11508">
        <v>2022</v>
      </c>
      <c r="I11508" t="s">
        <v>53</v>
      </c>
    </row>
    <row r="11509" spans="1:9" x14ac:dyDescent="0.3">
      <c r="A11509" t="s">
        <v>22</v>
      </c>
      <c r="G11509">
        <v>44923</v>
      </c>
      <c r="H11509">
        <v>2022</v>
      </c>
      <c r="I11509" t="s">
        <v>53</v>
      </c>
    </row>
    <row r="11510" spans="1:9" x14ac:dyDescent="0.3">
      <c r="A11510" t="s">
        <v>61</v>
      </c>
      <c r="G11510">
        <v>44923</v>
      </c>
      <c r="H11510">
        <v>2022</v>
      </c>
      <c r="I11510" t="s">
        <v>53</v>
      </c>
    </row>
    <row r="11511" spans="1:9" x14ac:dyDescent="0.3">
      <c r="A11511" t="s">
        <v>19</v>
      </c>
      <c r="C11511">
        <v>513000</v>
      </c>
      <c r="G11511">
        <v>44923</v>
      </c>
      <c r="H11511">
        <v>2022</v>
      </c>
      <c r="I11511" t="s">
        <v>53</v>
      </c>
    </row>
    <row r="11512" spans="1:9" x14ac:dyDescent="0.3">
      <c r="A11512" t="s">
        <v>14</v>
      </c>
      <c r="B11512">
        <v>918000</v>
      </c>
      <c r="C11512">
        <v>378000</v>
      </c>
      <c r="G11512">
        <v>44923</v>
      </c>
      <c r="H11512">
        <v>2022</v>
      </c>
      <c r="I11512" t="s">
        <v>53</v>
      </c>
    </row>
    <row r="11513" spans="1:9" x14ac:dyDescent="0.3">
      <c r="A11513" t="s">
        <v>24</v>
      </c>
      <c r="G11513">
        <v>44923</v>
      </c>
      <c r="H11513">
        <v>2022</v>
      </c>
      <c r="I11513" t="s">
        <v>53</v>
      </c>
    </row>
    <row r="11514" spans="1:9" x14ac:dyDescent="0.3">
      <c r="A11514" t="s">
        <v>21</v>
      </c>
      <c r="G11514">
        <v>44923</v>
      </c>
      <c r="H11514">
        <v>2022</v>
      </c>
      <c r="I11514" t="s">
        <v>53</v>
      </c>
    </row>
    <row r="11515" spans="1:9" x14ac:dyDescent="0.3">
      <c r="A11515" t="s">
        <v>65</v>
      </c>
      <c r="G11515">
        <v>44923</v>
      </c>
      <c r="H11515">
        <v>2022</v>
      </c>
      <c r="I11515" t="s">
        <v>53</v>
      </c>
    </row>
    <row r="11516" spans="1:9" x14ac:dyDescent="0.3">
      <c r="A11516" t="s">
        <v>67</v>
      </c>
      <c r="G11516">
        <v>44923</v>
      </c>
      <c r="H11516">
        <v>2022</v>
      </c>
      <c r="I11516" t="s">
        <v>53</v>
      </c>
    </row>
    <row r="11517" spans="1:9" x14ac:dyDescent="0.3">
      <c r="A11517" t="s">
        <v>18</v>
      </c>
      <c r="C11517">
        <v>162000</v>
      </c>
      <c r="G11517">
        <v>44923</v>
      </c>
      <c r="H11517">
        <v>2022</v>
      </c>
      <c r="I11517" t="s">
        <v>53</v>
      </c>
    </row>
    <row r="11518" spans="1:9" x14ac:dyDescent="0.3">
      <c r="A11518" t="s">
        <v>16</v>
      </c>
      <c r="G11518">
        <v>44923</v>
      </c>
      <c r="H11518">
        <v>2022</v>
      </c>
      <c r="I11518" t="s">
        <v>53</v>
      </c>
    </row>
    <row r="11519" spans="1:9" x14ac:dyDescent="0.3">
      <c r="A11519" t="s">
        <v>20</v>
      </c>
      <c r="G11519">
        <v>44924</v>
      </c>
      <c r="H11519">
        <v>2022</v>
      </c>
      <c r="I11519" t="s">
        <v>53</v>
      </c>
    </row>
    <row r="11520" spans="1:9" x14ac:dyDescent="0.3">
      <c r="A11520" t="s">
        <v>37</v>
      </c>
      <c r="G11520">
        <v>44924</v>
      </c>
      <c r="H11520">
        <v>2022</v>
      </c>
      <c r="I11520" t="s">
        <v>53</v>
      </c>
    </row>
    <row r="11521" spans="1:9" x14ac:dyDescent="0.3">
      <c r="A11521" t="s">
        <v>17</v>
      </c>
      <c r="G11521">
        <v>44924</v>
      </c>
      <c r="H11521">
        <v>2022</v>
      </c>
      <c r="I11521" t="s">
        <v>53</v>
      </c>
    </row>
    <row r="11522" spans="1:9" x14ac:dyDescent="0.3">
      <c r="A11522" t="s">
        <v>0</v>
      </c>
      <c r="G11522">
        <v>44924</v>
      </c>
      <c r="H11522">
        <v>2022</v>
      </c>
      <c r="I11522" t="s">
        <v>53</v>
      </c>
    </row>
    <row r="11523" spans="1:9" x14ac:dyDescent="0.3">
      <c r="A11523" t="s">
        <v>25</v>
      </c>
      <c r="G11523">
        <v>44924</v>
      </c>
      <c r="H11523">
        <v>2022</v>
      </c>
      <c r="I11523" t="s">
        <v>53</v>
      </c>
    </row>
    <row r="11524" spans="1:9" x14ac:dyDescent="0.3">
      <c r="A11524" t="s">
        <v>15</v>
      </c>
      <c r="G11524">
        <v>44924</v>
      </c>
      <c r="H11524">
        <v>2022</v>
      </c>
      <c r="I11524" t="s">
        <v>53</v>
      </c>
    </row>
    <row r="11525" spans="1:9" x14ac:dyDescent="0.3">
      <c r="A11525" t="s">
        <v>54</v>
      </c>
      <c r="C11525">
        <v>540000</v>
      </c>
      <c r="G11525">
        <v>44924</v>
      </c>
      <c r="H11525">
        <v>2022</v>
      </c>
      <c r="I11525" t="s">
        <v>53</v>
      </c>
    </row>
    <row r="11526" spans="1:9" x14ac:dyDescent="0.3">
      <c r="A11526" t="s">
        <v>26</v>
      </c>
      <c r="C11526">
        <v>104000</v>
      </c>
      <c r="G11526">
        <v>44924</v>
      </c>
      <c r="H11526">
        <v>2022</v>
      </c>
      <c r="I11526" t="s">
        <v>53</v>
      </c>
    </row>
    <row r="11527" spans="1:9" x14ac:dyDescent="0.3">
      <c r="A11527" t="s">
        <v>22</v>
      </c>
      <c r="G11527">
        <v>44924</v>
      </c>
      <c r="H11527">
        <v>2022</v>
      </c>
      <c r="I11527" t="s">
        <v>53</v>
      </c>
    </row>
    <row r="11528" spans="1:9" x14ac:dyDescent="0.3">
      <c r="A11528" t="s">
        <v>61</v>
      </c>
      <c r="G11528">
        <v>44924</v>
      </c>
      <c r="H11528">
        <v>2022</v>
      </c>
      <c r="I11528" t="s">
        <v>53</v>
      </c>
    </row>
    <row r="11529" spans="1:9" x14ac:dyDescent="0.3">
      <c r="A11529" t="s">
        <v>19</v>
      </c>
      <c r="G11529">
        <v>44924</v>
      </c>
      <c r="H11529">
        <v>2022</v>
      </c>
      <c r="I11529" t="s">
        <v>53</v>
      </c>
    </row>
    <row r="11530" spans="1:9" x14ac:dyDescent="0.3">
      <c r="A11530" t="s">
        <v>14</v>
      </c>
      <c r="B11530">
        <v>54000</v>
      </c>
      <c r="C11530">
        <v>970000</v>
      </c>
      <c r="E11530">
        <v>378000</v>
      </c>
      <c r="G11530">
        <v>44924</v>
      </c>
      <c r="H11530">
        <v>2022</v>
      </c>
      <c r="I11530" t="s">
        <v>53</v>
      </c>
    </row>
    <row r="11531" spans="1:9" x14ac:dyDescent="0.3">
      <c r="A11531" t="s">
        <v>24</v>
      </c>
      <c r="G11531">
        <v>44924</v>
      </c>
      <c r="H11531">
        <v>2022</v>
      </c>
      <c r="I11531" t="s">
        <v>53</v>
      </c>
    </row>
    <row r="11532" spans="1:9" x14ac:dyDescent="0.3">
      <c r="A11532" t="s">
        <v>21</v>
      </c>
      <c r="B11532">
        <v>315000</v>
      </c>
      <c r="G11532">
        <v>44924</v>
      </c>
      <c r="H11532">
        <v>2022</v>
      </c>
      <c r="I11532" t="s">
        <v>53</v>
      </c>
    </row>
    <row r="11533" spans="1:9" x14ac:dyDescent="0.3">
      <c r="A11533" t="s">
        <v>65</v>
      </c>
      <c r="G11533">
        <v>44924</v>
      </c>
      <c r="H11533">
        <v>2022</v>
      </c>
      <c r="I11533" t="s">
        <v>53</v>
      </c>
    </row>
    <row r="11534" spans="1:9" x14ac:dyDescent="0.3">
      <c r="A11534" t="s">
        <v>67</v>
      </c>
      <c r="G11534">
        <v>44924</v>
      </c>
      <c r="H11534">
        <v>2022</v>
      </c>
      <c r="I11534" t="s">
        <v>53</v>
      </c>
    </row>
    <row r="11535" spans="1:9" x14ac:dyDescent="0.3">
      <c r="A11535" t="s">
        <v>18</v>
      </c>
      <c r="C11535">
        <v>54000</v>
      </c>
      <c r="G11535">
        <v>44924</v>
      </c>
      <c r="H11535">
        <v>2022</v>
      </c>
      <c r="I11535" t="s">
        <v>53</v>
      </c>
    </row>
    <row r="11536" spans="1:9" x14ac:dyDescent="0.3">
      <c r="A11536" t="s">
        <v>16</v>
      </c>
      <c r="C11536">
        <v>54000</v>
      </c>
      <c r="G11536">
        <v>44924</v>
      </c>
      <c r="H11536">
        <v>2022</v>
      </c>
      <c r="I11536" t="s">
        <v>53</v>
      </c>
    </row>
    <row r="11537" spans="1:9" x14ac:dyDescent="0.3">
      <c r="A11537" t="s">
        <v>20</v>
      </c>
      <c r="G11537">
        <v>44925</v>
      </c>
      <c r="H11537">
        <v>2022</v>
      </c>
      <c r="I11537" t="s">
        <v>53</v>
      </c>
    </row>
    <row r="11538" spans="1:9" x14ac:dyDescent="0.3">
      <c r="A11538" t="s">
        <v>37</v>
      </c>
      <c r="G11538">
        <v>44925</v>
      </c>
      <c r="H11538">
        <v>2022</v>
      </c>
      <c r="I11538" t="s">
        <v>53</v>
      </c>
    </row>
    <row r="11539" spans="1:9" x14ac:dyDescent="0.3">
      <c r="A11539" t="s">
        <v>17</v>
      </c>
      <c r="G11539">
        <v>44925</v>
      </c>
      <c r="H11539">
        <v>2022</v>
      </c>
      <c r="I11539" t="s">
        <v>53</v>
      </c>
    </row>
    <row r="11540" spans="1:9" x14ac:dyDescent="0.3">
      <c r="A11540" t="s">
        <v>0</v>
      </c>
      <c r="G11540">
        <v>44925</v>
      </c>
      <c r="H11540">
        <v>2022</v>
      </c>
      <c r="I11540" t="s">
        <v>53</v>
      </c>
    </row>
    <row r="11541" spans="1:9" x14ac:dyDescent="0.3">
      <c r="A11541" t="s">
        <v>25</v>
      </c>
      <c r="G11541">
        <v>44925</v>
      </c>
      <c r="H11541">
        <v>2022</v>
      </c>
      <c r="I11541" t="s">
        <v>53</v>
      </c>
    </row>
    <row r="11542" spans="1:9" x14ac:dyDescent="0.3">
      <c r="A11542" t="s">
        <v>15</v>
      </c>
      <c r="G11542">
        <v>44925</v>
      </c>
      <c r="H11542">
        <v>2022</v>
      </c>
      <c r="I11542" t="s">
        <v>53</v>
      </c>
    </row>
    <row r="11543" spans="1:9" x14ac:dyDescent="0.3">
      <c r="A11543" t="s">
        <v>54</v>
      </c>
      <c r="B11543">
        <v>216000</v>
      </c>
      <c r="G11543">
        <v>44925</v>
      </c>
      <c r="H11543">
        <v>2022</v>
      </c>
      <c r="I11543" t="s">
        <v>53</v>
      </c>
    </row>
    <row r="11544" spans="1:9" x14ac:dyDescent="0.3">
      <c r="A11544" t="s">
        <v>26</v>
      </c>
      <c r="G11544">
        <v>44925</v>
      </c>
      <c r="H11544">
        <v>2022</v>
      </c>
      <c r="I11544" t="s">
        <v>53</v>
      </c>
    </row>
    <row r="11545" spans="1:9" x14ac:dyDescent="0.3">
      <c r="A11545" t="s">
        <v>22</v>
      </c>
      <c r="G11545">
        <v>44925</v>
      </c>
      <c r="H11545">
        <v>2022</v>
      </c>
      <c r="I11545" t="s">
        <v>53</v>
      </c>
    </row>
    <row r="11546" spans="1:9" x14ac:dyDescent="0.3">
      <c r="A11546" t="s">
        <v>61</v>
      </c>
      <c r="G11546">
        <v>44925</v>
      </c>
      <c r="H11546">
        <v>2022</v>
      </c>
      <c r="I11546" t="s">
        <v>53</v>
      </c>
    </row>
    <row r="11547" spans="1:9" x14ac:dyDescent="0.3">
      <c r="A11547" t="s">
        <v>19</v>
      </c>
      <c r="G11547">
        <v>44925</v>
      </c>
      <c r="H11547">
        <v>2022</v>
      </c>
      <c r="I11547" t="s">
        <v>53</v>
      </c>
    </row>
    <row r="11548" spans="1:9" x14ac:dyDescent="0.3">
      <c r="A11548" t="s">
        <v>14</v>
      </c>
      <c r="B11548">
        <v>752000</v>
      </c>
      <c r="D11548">
        <v>590000</v>
      </c>
      <c r="G11548">
        <v>44925</v>
      </c>
      <c r="H11548">
        <v>2022</v>
      </c>
      <c r="I11548" t="s">
        <v>53</v>
      </c>
    </row>
    <row r="11549" spans="1:9" x14ac:dyDescent="0.3">
      <c r="A11549" t="s">
        <v>24</v>
      </c>
      <c r="G11549">
        <v>44925</v>
      </c>
      <c r="H11549">
        <v>2022</v>
      </c>
      <c r="I11549" t="s">
        <v>53</v>
      </c>
    </row>
    <row r="11550" spans="1:9" x14ac:dyDescent="0.3">
      <c r="A11550" t="s">
        <v>21</v>
      </c>
      <c r="G11550">
        <v>44925</v>
      </c>
      <c r="H11550">
        <v>2022</v>
      </c>
      <c r="I11550" t="s">
        <v>53</v>
      </c>
    </row>
    <row r="11551" spans="1:9" x14ac:dyDescent="0.3">
      <c r="A11551" t="s">
        <v>65</v>
      </c>
      <c r="G11551">
        <v>44925</v>
      </c>
      <c r="H11551">
        <v>2022</v>
      </c>
      <c r="I11551" t="s">
        <v>53</v>
      </c>
    </row>
    <row r="11552" spans="1:9" x14ac:dyDescent="0.3">
      <c r="A11552" t="s">
        <v>67</v>
      </c>
      <c r="G11552">
        <v>44925</v>
      </c>
      <c r="H11552">
        <v>2022</v>
      </c>
      <c r="I11552" t="s">
        <v>53</v>
      </c>
    </row>
    <row r="11553" spans="1:9" x14ac:dyDescent="0.3">
      <c r="A11553" t="s">
        <v>18</v>
      </c>
      <c r="G11553">
        <v>44925</v>
      </c>
      <c r="H11553">
        <v>2022</v>
      </c>
      <c r="I11553" t="s">
        <v>53</v>
      </c>
    </row>
    <row r="11554" spans="1:9" x14ac:dyDescent="0.3">
      <c r="A11554" t="s">
        <v>16</v>
      </c>
      <c r="B11554">
        <v>108000</v>
      </c>
      <c r="G11554">
        <v>44925</v>
      </c>
      <c r="H11554">
        <v>2022</v>
      </c>
      <c r="I11554" t="s">
        <v>53</v>
      </c>
    </row>
    <row r="11555" spans="1:9" x14ac:dyDescent="0.3">
      <c r="A11555" t="s">
        <v>20</v>
      </c>
      <c r="G11555">
        <v>44929</v>
      </c>
      <c r="H11555">
        <v>2023</v>
      </c>
      <c r="I11555" t="s">
        <v>42</v>
      </c>
    </row>
    <row r="11556" spans="1:9" x14ac:dyDescent="0.3">
      <c r="A11556" t="s">
        <v>37</v>
      </c>
      <c r="G11556">
        <v>44929</v>
      </c>
      <c r="H11556">
        <v>2023</v>
      </c>
      <c r="I11556" t="s">
        <v>42</v>
      </c>
    </row>
    <row r="11557" spans="1:9" x14ac:dyDescent="0.3">
      <c r="A11557" t="s">
        <v>17</v>
      </c>
      <c r="G11557">
        <v>44929</v>
      </c>
      <c r="H11557">
        <v>2023</v>
      </c>
      <c r="I11557" t="s">
        <v>42</v>
      </c>
    </row>
    <row r="11558" spans="1:9" x14ac:dyDescent="0.3">
      <c r="A11558" t="s">
        <v>0</v>
      </c>
      <c r="G11558">
        <v>44929</v>
      </c>
      <c r="H11558">
        <v>2023</v>
      </c>
      <c r="I11558" t="s">
        <v>42</v>
      </c>
    </row>
    <row r="11559" spans="1:9" x14ac:dyDescent="0.3">
      <c r="A11559" t="s">
        <v>25</v>
      </c>
      <c r="G11559">
        <v>44929</v>
      </c>
      <c r="H11559">
        <v>2023</v>
      </c>
      <c r="I11559" t="s">
        <v>42</v>
      </c>
    </row>
    <row r="11560" spans="1:9" x14ac:dyDescent="0.3">
      <c r="A11560" t="s">
        <v>15</v>
      </c>
      <c r="G11560">
        <v>44929</v>
      </c>
      <c r="H11560">
        <v>2023</v>
      </c>
      <c r="I11560" t="s">
        <v>42</v>
      </c>
    </row>
    <row r="11561" spans="1:9" x14ac:dyDescent="0.3">
      <c r="A11561" t="s">
        <v>54</v>
      </c>
      <c r="G11561">
        <v>44929</v>
      </c>
      <c r="H11561">
        <v>2023</v>
      </c>
      <c r="I11561" t="s">
        <v>42</v>
      </c>
    </row>
    <row r="11562" spans="1:9" x14ac:dyDescent="0.3">
      <c r="A11562" t="s">
        <v>26</v>
      </c>
      <c r="G11562">
        <v>44929</v>
      </c>
      <c r="H11562">
        <v>2023</v>
      </c>
      <c r="I11562" t="s">
        <v>42</v>
      </c>
    </row>
    <row r="11563" spans="1:9" x14ac:dyDescent="0.3">
      <c r="A11563" t="s">
        <v>22</v>
      </c>
      <c r="G11563">
        <v>44929</v>
      </c>
      <c r="H11563">
        <v>2023</v>
      </c>
      <c r="I11563" t="s">
        <v>42</v>
      </c>
    </row>
    <row r="11564" spans="1:9" x14ac:dyDescent="0.3">
      <c r="A11564" t="s">
        <v>61</v>
      </c>
      <c r="G11564">
        <v>44929</v>
      </c>
      <c r="H11564">
        <v>2023</v>
      </c>
      <c r="I11564" t="s">
        <v>42</v>
      </c>
    </row>
    <row r="11565" spans="1:9" x14ac:dyDescent="0.3">
      <c r="A11565" t="s">
        <v>19</v>
      </c>
      <c r="G11565">
        <v>44929</v>
      </c>
      <c r="H11565">
        <v>2023</v>
      </c>
      <c r="I11565" t="s">
        <v>42</v>
      </c>
    </row>
    <row r="11566" spans="1:9" x14ac:dyDescent="0.3">
      <c r="A11566" t="s">
        <v>14</v>
      </c>
      <c r="C11566">
        <v>324000</v>
      </c>
      <c r="G11566">
        <v>44929</v>
      </c>
      <c r="H11566">
        <v>2023</v>
      </c>
      <c r="I11566" t="s">
        <v>42</v>
      </c>
    </row>
    <row r="11567" spans="1:9" x14ac:dyDescent="0.3">
      <c r="A11567" t="s">
        <v>24</v>
      </c>
      <c r="G11567">
        <v>44929</v>
      </c>
      <c r="H11567">
        <v>2023</v>
      </c>
      <c r="I11567" t="s">
        <v>42</v>
      </c>
    </row>
    <row r="11568" spans="1:9" x14ac:dyDescent="0.3">
      <c r="A11568" t="s">
        <v>21</v>
      </c>
      <c r="G11568">
        <v>44929</v>
      </c>
      <c r="H11568">
        <v>2023</v>
      </c>
      <c r="I11568" t="s">
        <v>42</v>
      </c>
    </row>
    <row r="11569" spans="1:9" x14ac:dyDescent="0.3">
      <c r="A11569" t="s">
        <v>65</v>
      </c>
      <c r="G11569">
        <v>44929</v>
      </c>
      <c r="H11569">
        <v>2023</v>
      </c>
      <c r="I11569" t="s">
        <v>42</v>
      </c>
    </row>
    <row r="11570" spans="1:9" x14ac:dyDescent="0.3">
      <c r="A11570" t="s">
        <v>67</v>
      </c>
      <c r="G11570">
        <v>44929</v>
      </c>
      <c r="H11570">
        <v>2023</v>
      </c>
      <c r="I11570" t="s">
        <v>42</v>
      </c>
    </row>
    <row r="11571" spans="1:9" x14ac:dyDescent="0.3">
      <c r="A11571" t="s">
        <v>18</v>
      </c>
      <c r="G11571">
        <v>44929</v>
      </c>
      <c r="H11571">
        <v>2023</v>
      </c>
      <c r="I11571" t="s">
        <v>42</v>
      </c>
    </row>
    <row r="11572" spans="1:9" x14ac:dyDescent="0.3">
      <c r="A11572" t="s">
        <v>16</v>
      </c>
      <c r="G11572">
        <v>44929</v>
      </c>
      <c r="H11572">
        <v>2023</v>
      </c>
      <c r="I11572" t="s">
        <v>42</v>
      </c>
    </row>
    <row r="11573" spans="1:9" x14ac:dyDescent="0.3">
      <c r="A11573" t="s">
        <v>20</v>
      </c>
      <c r="G11573">
        <v>44925</v>
      </c>
      <c r="H11573">
        <v>2022</v>
      </c>
      <c r="I11573" t="s">
        <v>53</v>
      </c>
    </row>
    <row r="11574" spans="1:9" x14ac:dyDescent="0.3">
      <c r="A11574" t="s">
        <v>37</v>
      </c>
      <c r="G11574">
        <v>44925</v>
      </c>
      <c r="H11574">
        <v>2022</v>
      </c>
      <c r="I11574" t="s">
        <v>53</v>
      </c>
    </row>
    <row r="11575" spans="1:9" x14ac:dyDescent="0.3">
      <c r="A11575" t="s">
        <v>17</v>
      </c>
      <c r="G11575">
        <v>44925</v>
      </c>
      <c r="H11575">
        <v>2022</v>
      </c>
      <c r="I11575" t="s">
        <v>53</v>
      </c>
    </row>
    <row r="11576" spans="1:9" x14ac:dyDescent="0.3">
      <c r="A11576" t="s">
        <v>0</v>
      </c>
      <c r="G11576">
        <v>44925</v>
      </c>
      <c r="H11576">
        <v>2022</v>
      </c>
      <c r="I11576" t="s">
        <v>53</v>
      </c>
    </row>
    <row r="11577" spans="1:9" x14ac:dyDescent="0.3">
      <c r="A11577" t="s">
        <v>25</v>
      </c>
      <c r="G11577">
        <v>44925</v>
      </c>
      <c r="H11577">
        <v>2022</v>
      </c>
      <c r="I11577" t="s">
        <v>53</v>
      </c>
    </row>
    <row r="11578" spans="1:9" x14ac:dyDescent="0.3">
      <c r="A11578" t="s">
        <v>15</v>
      </c>
      <c r="G11578">
        <v>44925</v>
      </c>
      <c r="H11578">
        <v>2022</v>
      </c>
      <c r="I11578" t="s">
        <v>53</v>
      </c>
    </row>
    <row r="11579" spans="1:9" x14ac:dyDescent="0.3">
      <c r="A11579" t="s">
        <v>54</v>
      </c>
      <c r="B11579">
        <v>216000</v>
      </c>
      <c r="G11579">
        <v>44925</v>
      </c>
      <c r="H11579">
        <v>2022</v>
      </c>
      <c r="I11579" t="s">
        <v>53</v>
      </c>
    </row>
    <row r="11580" spans="1:9" x14ac:dyDescent="0.3">
      <c r="A11580" t="s">
        <v>26</v>
      </c>
      <c r="G11580">
        <v>44925</v>
      </c>
      <c r="H11580">
        <v>2022</v>
      </c>
      <c r="I11580" t="s">
        <v>53</v>
      </c>
    </row>
    <row r="11581" spans="1:9" x14ac:dyDescent="0.3">
      <c r="A11581" t="s">
        <v>22</v>
      </c>
      <c r="G11581">
        <v>44925</v>
      </c>
      <c r="H11581">
        <v>2022</v>
      </c>
      <c r="I11581" t="s">
        <v>53</v>
      </c>
    </row>
    <row r="11582" spans="1:9" x14ac:dyDescent="0.3">
      <c r="A11582" t="s">
        <v>61</v>
      </c>
      <c r="G11582">
        <v>44925</v>
      </c>
      <c r="H11582">
        <v>2022</v>
      </c>
      <c r="I11582" t="s">
        <v>53</v>
      </c>
    </row>
    <row r="11583" spans="1:9" x14ac:dyDescent="0.3">
      <c r="A11583" t="s">
        <v>19</v>
      </c>
      <c r="G11583">
        <v>44925</v>
      </c>
      <c r="H11583">
        <v>2022</v>
      </c>
      <c r="I11583" t="s">
        <v>53</v>
      </c>
    </row>
    <row r="11584" spans="1:9" x14ac:dyDescent="0.3">
      <c r="A11584" t="s">
        <v>14</v>
      </c>
      <c r="B11584">
        <v>752000</v>
      </c>
      <c r="D11584">
        <v>590000</v>
      </c>
      <c r="G11584">
        <v>44925</v>
      </c>
      <c r="H11584">
        <v>2022</v>
      </c>
      <c r="I11584" t="s">
        <v>53</v>
      </c>
    </row>
    <row r="11585" spans="1:9" x14ac:dyDescent="0.3">
      <c r="A11585" t="s">
        <v>24</v>
      </c>
      <c r="G11585">
        <v>44925</v>
      </c>
      <c r="H11585">
        <v>2022</v>
      </c>
      <c r="I11585" t="s">
        <v>53</v>
      </c>
    </row>
    <row r="11586" spans="1:9" x14ac:dyDescent="0.3">
      <c r="A11586" t="s">
        <v>21</v>
      </c>
      <c r="G11586">
        <v>44925</v>
      </c>
      <c r="H11586">
        <v>2022</v>
      </c>
      <c r="I11586" t="s">
        <v>53</v>
      </c>
    </row>
    <row r="11587" spans="1:9" x14ac:dyDescent="0.3">
      <c r="A11587" t="s">
        <v>65</v>
      </c>
      <c r="G11587">
        <v>44925</v>
      </c>
      <c r="H11587">
        <v>2022</v>
      </c>
      <c r="I11587" t="s">
        <v>53</v>
      </c>
    </row>
    <row r="11588" spans="1:9" x14ac:dyDescent="0.3">
      <c r="A11588" t="s">
        <v>67</v>
      </c>
      <c r="G11588">
        <v>44925</v>
      </c>
      <c r="H11588">
        <v>2022</v>
      </c>
      <c r="I11588" t="s">
        <v>53</v>
      </c>
    </row>
    <row r="11589" spans="1:9" x14ac:dyDescent="0.3">
      <c r="A11589" t="s">
        <v>18</v>
      </c>
      <c r="G11589">
        <v>44925</v>
      </c>
      <c r="H11589">
        <v>2022</v>
      </c>
      <c r="I11589" t="s">
        <v>53</v>
      </c>
    </row>
    <row r="11590" spans="1:9" x14ac:dyDescent="0.3">
      <c r="A11590" t="s">
        <v>16</v>
      </c>
      <c r="B11590">
        <v>108000</v>
      </c>
      <c r="G11590">
        <v>44925</v>
      </c>
      <c r="H11590">
        <v>2022</v>
      </c>
      <c r="I11590" t="s">
        <v>53</v>
      </c>
    </row>
  </sheetData>
  <phoneticPr fontId="23" type="noConversion"/>
  <pageMargins left="0.7" right="0.7" top="0.75" bottom="0.75" header="0.3" footer="0.3"/>
  <tableParts count="1">
    <tablePart r:id="rId1"/>
  </tableParts>
</worksheet>
</file>

<file path=xl/worksheets/sheet7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sheetPr codeName="Sheet604"/>
  <dimension ref="A2:Q24"/>
  <sheetViews>
    <sheetView workbookViewId="0">
      <selection activeCell="D20" sqref="D20"/>
    </sheetView>
  </sheetViews>
  <sheetFormatPr defaultRowHeight="14.4" x14ac:dyDescent="0.3"/>
  <cols>
    <col min="1" max="1" width="39" customWidth="1"/>
    <col min="10" max="10" width="5.6640625" customWidth="1"/>
  </cols>
  <sheetData>
    <row r="2" spans="1:17" x14ac:dyDescent="0.3">
      <c r="A2" t="s">
        <v>23</v>
      </c>
      <c r="D2" s="20" t="s">
        <v>28</v>
      </c>
    </row>
    <row r="3" spans="1:17" x14ac:dyDescent="0.3">
      <c r="A3" s="8" t="s">
        <v>20</v>
      </c>
      <c r="K3" s="18"/>
      <c r="L3" s="16"/>
      <c r="M3" s="16"/>
      <c r="N3" s="16"/>
      <c r="O3" s="16"/>
      <c r="P3" s="16"/>
      <c r="Q3" s="16"/>
    </row>
    <row r="4" spans="1:17" x14ac:dyDescent="0.3">
      <c r="A4" s="8" t="s">
        <v>37</v>
      </c>
      <c r="K4" s="18"/>
      <c r="L4" s="16"/>
      <c r="M4" s="16"/>
      <c r="N4" s="16"/>
      <c r="O4" s="16"/>
      <c r="P4" s="16"/>
      <c r="Q4" s="16"/>
    </row>
    <row r="5" spans="1:17" x14ac:dyDescent="0.3">
      <c r="A5" s="8" t="s">
        <v>17</v>
      </c>
      <c r="K5" s="17"/>
      <c r="L5" s="17"/>
      <c r="M5" s="17"/>
      <c r="N5" s="17"/>
      <c r="O5" s="17"/>
      <c r="P5" s="17"/>
      <c r="Q5" s="17"/>
    </row>
    <row r="6" spans="1:17" ht="15.6" x14ac:dyDescent="0.3">
      <c r="A6" s="7" t="s">
        <v>0</v>
      </c>
      <c r="K6" s="17"/>
      <c r="L6" s="17"/>
      <c r="M6" s="17"/>
      <c r="N6" s="17"/>
      <c r="O6" s="17"/>
      <c r="P6" s="17"/>
      <c r="Q6" s="17"/>
    </row>
    <row r="7" spans="1:17" x14ac:dyDescent="0.3">
      <c r="A7" s="8" t="s">
        <v>25</v>
      </c>
      <c r="K7" s="17"/>
      <c r="L7" s="17"/>
      <c r="M7" s="17"/>
      <c r="N7" s="17"/>
      <c r="O7" s="17"/>
      <c r="P7" s="17"/>
      <c r="Q7" s="17"/>
    </row>
    <row r="8" spans="1:17" x14ac:dyDescent="0.3">
      <c r="A8" s="8" t="s">
        <v>15</v>
      </c>
      <c r="K8" s="17"/>
      <c r="L8" s="17"/>
      <c r="M8" s="17"/>
      <c r="N8" s="17"/>
      <c r="O8" s="17"/>
      <c r="P8" s="17"/>
      <c r="Q8" s="17"/>
    </row>
    <row r="9" spans="1:17" x14ac:dyDescent="0.3">
      <c r="A9" s="8" t="s">
        <v>54</v>
      </c>
      <c r="K9" s="17"/>
      <c r="L9" s="17"/>
      <c r="M9" s="17"/>
      <c r="N9" s="17"/>
      <c r="O9" s="17"/>
      <c r="P9" s="17"/>
      <c r="Q9" s="17"/>
    </row>
    <row r="10" spans="1:17" x14ac:dyDescent="0.3">
      <c r="A10" s="8" t="s">
        <v>26</v>
      </c>
      <c r="K10" s="17"/>
      <c r="L10" s="17"/>
      <c r="M10" s="17"/>
      <c r="N10" s="17"/>
      <c r="O10" s="17"/>
      <c r="P10" s="17"/>
      <c r="Q10" s="17"/>
    </row>
    <row r="11" spans="1:17" x14ac:dyDescent="0.3">
      <c r="A11" s="8" t="s">
        <v>22</v>
      </c>
      <c r="K11" s="19"/>
      <c r="L11" s="17"/>
      <c r="M11" s="17"/>
      <c r="N11" s="17"/>
      <c r="O11" s="17"/>
      <c r="P11" s="17"/>
      <c r="Q11" s="17"/>
    </row>
    <row r="12" spans="1:17" x14ac:dyDescent="0.3">
      <c r="A12" s="90" t="s">
        <v>61</v>
      </c>
      <c r="K12" s="17"/>
      <c r="L12" s="17"/>
      <c r="M12" s="17"/>
      <c r="N12" s="17"/>
      <c r="O12" s="17"/>
      <c r="P12" s="17"/>
      <c r="Q12" s="17"/>
    </row>
    <row r="13" spans="1:17" x14ac:dyDescent="0.3">
      <c r="A13" s="8" t="s">
        <v>19</v>
      </c>
      <c r="K13" s="17"/>
      <c r="L13" s="17"/>
      <c r="M13" s="17"/>
      <c r="N13" s="17"/>
      <c r="O13" s="17"/>
      <c r="P13" s="17"/>
      <c r="Q13" s="17"/>
    </row>
    <row r="14" spans="1:17" x14ac:dyDescent="0.3">
      <c r="A14" s="8" t="s">
        <v>14</v>
      </c>
      <c r="K14" s="17"/>
      <c r="L14" s="17"/>
      <c r="M14" s="17"/>
      <c r="N14" s="17"/>
      <c r="O14" s="17"/>
      <c r="P14" s="17"/>
      <c r="Q14" s="17"/>
    </row>
    <row r="15" spans="1:17" x14ac:dyDescent="0.3">
      <c r="A15" s="8" t="s">
        <v>24</v>
      </c>
      <c r="K15" s="17"/>
      <c r="L15" s="17"/>
      <c r="M15" s="17"/>
      <c r="N15" s="17"/>
      <c r="O15" s="17"/>
      <c r="P15" s="17"/>
      <c r="Q15" s="17"/>
    </row>
    <row r="16" spans="1:17" x14ac:dyDescent="0.3">
      <c r="A16" s="8" t="s">
        <v>21</v>
      </c>
      <c r="K16" s="17"/>
      <c r="L16" s="17"/>
      <c r="M16" s="17"/>
      <c r="N16" s="17"/>
      <c r="O16" s="17"/>
      <c r="P16" s="17"/>
      <c r="Q16" s="17"/>
    </row>
    <row r="17" spans="1:17" x14ac:dyDescent="0.3">
      <c r="A17" s="6" t="s">
        <v>65</v>
      </c>
      <c r="K17" s="17"/>
      <c r="L17" s="17"/>
      <c r="M17" s="17"/>
      <c r="N17" s="17"/>
      <c r="O17" s="17"/>
      <c r="P17" s="17"/>
      <c r="Q17" s="17"/>
    </row>
    <row r="18" spans="1:17" x14ac:dyDescent="0.3">
      <c r="A18" s="6" t="s">
        <v>18</v>
      </c>
      <c r="K18" s="17"/>
      <c r="L18" s="17"/>
      <c r="M18" s="17"/>
      <c r="N18" s="17"/>
      <c r="O18" s="17"/>
      <c r="P18" s="17"/>
      <c r="Q18" s="17"/>
    </row>
    <row r="19" spans="1:17" x14ac:dyDescent="0.3">
      <c r="A19" s="8" t="s">
        <v>16</v>
      </c>
      <c r="K19" s="17"/>
      <c r="L19" s="17"/>
      <c r="M19" s="17"/>
      <c r="N19" s="17"/>
      <c r="O19" s="17"/>
      <c r="P19" s="17"/>
      <c r="Q19" s="17"/>
    </row>
    <row r="20" spans="1:17" x14ac:dyDescent="0.3">
      <c r="A20" s="126" t="s">
        <v>67</v>
      </c>
      <c r="K20" s="17"/>
      <c r="L20" s="17"/>
      <c r="M20" s="17"/>
      <c r="N20" s="17"/>
      <c r="O20" s="17"/>
      <c r="P20" s="17"/>
      <c r="Q20" s="17"/>
    </row>
    <row r="21" spans="1:17" x14ac:dyDescent="0.3">
      <c r="K21" s="17"/>
      <c r="L21" s="17"/>
      <c r="M21" s="17"/>
      <c r="N21" s="17"/>
      <c r="O21" s="17"/>
      <c r="P21" s="17"/>
      <c r="Q21" s="17"/>
    </row>
    <row r="22" spans="1:17" x14ac:dyDescent="0.3">
      <c r="K22" s="17"/>
      <c r="L22" s="17"/>
      <c r="M22" s="17"/>
      <c r="N22" s="17"/>
      <c r="O22" s="17"/>
      <c r="P22" s="17"/>
      <c r="Q22" s="17"/>
    </row>
    <row r="23" spans="1:17" x14ac:dyDescent="0.3">
      <c r="K23" s="17"/>
      <c r="L23" s="17"/>
      <c r="M23" s="17"/>
      <c r="N23" s="17"/>
      <c r="O23" s="17"/>
      <c r="P23" s="17"/>
      <c r="Q23" s="17"/>
    </row>
    <row r="24" spans="1:17" x14ac:dyDescent="0.3">
      <c r="K24" s="17"/>
      <c r="L24" s="17"/>
      <c r="M24" s="17"/>
      <c r="N24" s="17"/>
      <c r="O24" s="17"/>
      <c r="P24" s="17"/>
      <c r="Q24" s="17"/>
    </row>
  </sheetData>
  <dataValidations count="1">
    <dataValidation type="list" allowBlank="1" showInputMessage="1" showErrorMessage="1" sqref="A17:A18 A20" xr:uid="{60F4F2A3-6C53-4DE2-B356-BD08F7C9334A}">
      <formula1>INDIRECT("BDC_List[BDC List]")</formula1>
    </dataValidation>
  </dataValidations>
  <pageMargins left="0.7" right="0.7" top="0.75" bottom="0.75" header="0.3" footer="0.3"/>
  <pageSetup orientation="portrait" r:id="rId1"/>
  <tableParts count="1">
    <tablePart r:id="rId2"/>
  </tableParts>
</worksheet>
</file>

<file path=xl/worksheets/sheet7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DA5D-CCB4-4F79-84B8-BC1E5ED16700}">
  <dimension ref="B1:K25"/>
  <sheetViews>
    <sheetView zoomScale="89" zoomScaleNormal="161" workbookViewId="0">
      <pane xSplit="2" ySplit="5" topLeftCell="C10" activePane="bottomRight" state="frozen"/>
      <selection pane="topRight" activeCell="C1" sqref="C1"/>
      <selection pane="bottomLeft" activeCell="A6" sqref="A6"/>
      <selection pane="bottomRight" activeCell="C15" sqref="C15"/>
    </sheetView>
  </sheetViews>
  <sheetFormatPr defaultColWidth="9.109375" defaultRowHeight="14.4" x14ac:dyDescent="0.3"/>
  <cols>
    <col min="1" max="1" width="6.88671875" style="1" customWidth="1"/>
    <col min="2" max="2" width="37.5546875" style="1" customWidth="1"/>
    <col min="3" max="3" width="17.33203125" style="1" customWidth="1"/>
    <col min="4" max="4" width="16.5546875" style="1" customWidth="1"/>
    <col min="5" max="5" width="16.88671875" style="1" customWidth="1"/>
    <col min="6" max="6" width="18.109375" style="1" customWidth="1"/>
    <col min="7" max="7" width="32.88671875" style="1" customWidth="1"/>
    <col min="8" max="8" width="14.109375" style="1" customWidth="1"/>
    <col min="9" max="10" width="9.109375" style="1"/>
    <col min="11" max="11" width="13.33203125" style="1" bestFit="1" customWidth="1"/>
    <col min="12" max="16384" width="9.109375" style="1"/>
  </cols>
  <sheetData>
    <row r="1" spans="2:11" ht="24.6" x14ac:dyDescent="0.4">
      <c r="B1" s="136" t="s">
        <v>0</v>
      </c>
      <c r="C1" s="136"/>
      <c r="D1" s="136"/>
      <c r="E1" s="136"/>
      <c r="F1" s="136"/>
      <c r="G1" s="136"/>
    </row>
    <row r="2" spans="2:11" ht="15.6" x14ac:dyDescent="0.3">
      <c r="B2" s="137" t="s">
        <v>1</v>
      </c>
      <c r="C2" s="137"/>
      <c r="D2" s="2"/>
      <c r="E2" s="2"/>
      <c r="F2" s="2"/>
      <c r="G2" s="2"/>
    </row>
    <row r="3" spans="2:11" ht="15.6" x14ac:dyDescent="0.3">
      <c r="B3" s="137" t="s">
        <v>2</v>
      </c>
      <c r="C3" s="137"/>
      <c r="D3" s="2"/>
      <c r="E3" s="2"/>
      <c r="F3" s="21" t="s">
        <v>3</v>
      </c>
      <c r="G3" s="71">
        <v>44925</v>
      </c>
    </row>
    <row r="4" spans="2:11" ht="16.2" thickBot="1" x14ac:dyDescent="0.35">
      <c r="B4" s="138"/>
      <c r="C4" s="138"/>
      <c r="D4" s="138"/>
      <c r="E4" s="138"/>
      <c r="F4" s="138"/>
      <c r="G4" s="138"/>
    </row>
    <row r="5" spans="2:11" ht="16.2" thickBot="1" x14ac:dyDescent="0.35">
      <c r="B5" s="13" t="s">
        <v>13</v>
      </c>
      <c r="C5" s="14" t="s">
        <v>8</v>
      </c>
      <c r="D5" s="14" t="s">
        <v>9</v>
      </c>
      <c r="E5" s="14" t="s">
        <v>10</v>
      </c>
      <c r="F5" s="14" t="s">
        <v>11</v>
      </c>
      <c r="G5" s="14" t="s">
        <v>12</v>
      </c>
      <c r="H5" s="15" t="s">
        <v>3</v>
      </c>
    </row>
    <row r="6" spans="2:11" x14ac:dyDescent="0.3">
      <c r="B6" s="33" t="s">
        <v>20</v>
      </c>
      <c r="C6" s="120"/>
      <c r="D6" s="120"/>
      <c r="E6" s="45"/>
      <c r="F6" s="45"/>
      <c r="G6" s="45"/>
      <c r="H6" s="12">
        <f t="shared" ref="H6:H23" si="0">$G$3</f>
        <v>44925</v>
      </c>
    </row>
    <row r="7" spans="2:11" ht="16.5" customHeight="1" x14ac:dyDescent="0.3">
      <c r="B7" s="6" t="s">
        <v>37</v>
      </c>
      <c r="C7" s="134"/>
      <c r="D7" s="62"/>
      <c r="E7" s="62"/>
      <c r="F7" s="62"/>
      <c r="G7" s="62"/>
      <c r="H7" s="67">
        <f t="shared" si="0"/>
        <v>44925</v>
      </c>
    </row>
    <row r="8" spans="2:11" x14ac:dyDescent="0.3">
      <c r="B8" s="6" t="s">
        <v>17</v>
      </c>
      <c r="C8" s="62"/>
      <c r="D8" s="62"/>
      <c r="E8" s="62"/>
      <c r="F8" s="62"/>
      <c r="G8" s="22"/>
      <c r="H8" s="12">
        <f t="shared" si="0"/>
        <v>44925</v>
      </c>
    </row>
    <row r="9" spans="2:11" ht="15.6" x14ac:dyDescent="0.3">
      <c r="B9" s="34" t="s">
        <v>0</v>
      </c>
      <c r="C9" s="134"/>
      <c r="D9" s="134"/>
      <c r="E9" s="74"/>
      <c r="F9" s="74"/>
      <c r="G9" s="60"/>
      <c r="H9" s="12">
        <f t="shared" si="0"/>
        <v>44925</v>
      </c>
    </row>
    <row r="10" spans="2:11" x14ac:dyDescent="0.3">
      <c r="B10" s="6" t="s">
        <v>25</v>
      </c>
      <c r="C10" s="134"/>
      <c r="D10" s="62"/>
      <c r="E10" s="62"/>
      <c r="F10" s="62"/>
      <c r="G10" s="22"/>
      <c r="H10" s="12">
        <f t="shared" si="0"/>
        <v>44925</v>
      </c>
    </row>
    <row r="11" spans="2:11" x14ac:dyDescent="0.3">
      <c r="B11" s="6" t="s">
        <v>15</v>
      </c>
      <c r="C11" s="62"/>
      <c r="D11" s="62"/>
      <c r="E11" s="62"/>
      <c r="F11" s="62"/>
      <c r="G11" s="22"/>
      <c r="H11" s="12">
        <f t="shared" si="0"/>
        <v>44925</v>
      </c>
    </row>
    <row r="12" spans="2:11" x14ac:dyDescent="0.3">
      <c r="B12" s="6" t="s">
        <v>54</v>
      </c>
      <c r="C12" s="62">
        <v>216000</v>
      </c>
      <c r="D12" s="62"/>
      <c r="E12" s="62"/>
      <c r="F12" s="62"/>
      <c r="G12" s="22"/>
      <c r="H12" s="67">
        <f t="shared" si="0"/>
        <v>44925</v>
      </c>
    </row>
    <row r="13" spans="2:11" x14ac:dyDescent="0.3">
      <c r="B13" s="6" t="s">
        <v>26</v>
      </c>
      <c r="C13" s="62"/>
      <c r="D13" s="62"/>
      <c r="E13" s="62"/>
      <c r="F13" s="62"/>
      <c r="G13" s="22"/>
      <c r="H13" s="12">
        <f t="shared" si="0"/>
        <v>44925</v>
      </c>
    </row>
    <row r="14" spans="2:11" x14ac:dyDescent="0.3">
      <c r="B14" s="6" t="s">
        <v>22</v>
      </c>
      <c r="C14" s="62"/>
      <c r="D14" s="62"/>
      <c r="E14" s="62"/>
      <c r="F14" s="62"/>
      <c r="G14" s="22"/>
      <c r="H14" s="12">
        <f t="shared" si="0"/>
        <v>44925</v>
      </c>
      <c r="K14" s="4"/>
    </row>
    <row r="15" spans="2:11" x14ac:dyDescent="0.3">
      <c r="B15" s="6" t="s">
        <v>61</v>
      </c>
      <c r="C15" s="62"/>
      <c r="D15" s="62"/>
      <c r="E15" s="62"/>
      <c r="F15" s="62"/>
      <c r="G15" s="22"/>
      <c r="H15" s="67">
        <f t="shared" si="0"/>
        <v>44925</v>
      </c>
      <c r="K15" s="4"/>
    </row>
    <row r="16" spans="2:11" x14ac:dyDescent="0.3">
      <c r="B16" s="6" t="s">
        <v>19</v>
      </c>
      <c r="C16" s="62"/>
      <c r="D16" s="62"/>
      <c r="E16" s="43"/>
      <c r="F16" s="62"/>
      <c r="G16" s="22"/>
      <c r="H16" s="12">
        <f t="shared" si="0"/>
        <v>44925</v>
      </c>
    </row>
    <row r="17" spans="2:10" x14ac:dyDescent="0.3">
      <c r="B17" s="6" t="s">
        <v>14</v>
      </c>
      <c r="C17" s="62">
        <v>752000</v>
      </c>
      <c r="D17" s="62"/>
      <c r="E17" s="62">
        <v>590000</v>
      </c>
      <c r="F17" s="43"/>
      <c r="G17" s="22"/>
      <c r="H17" s="12">
        <f t="shared" si="0"/>
        <v>44925</v>
      </c>
    </row>
    <row r="18" spans="2:10" x14ac:dyDescent="0.3">
      <c r="B18" s="6" t="s">
        <v>24</v>
      </c>
      <c r="C18" s="62"/>
      <c r="D18" s="62"/>
      <c r="E18" s="62"/>
      <c r="F18" s="49"/>
      <c r="G18" s="22"/>
      <c r="H18" s="67">
        <f t="shared" si="0"/>
        <v>44925</v>
      </c>
    </row>
    <row r="19" spans="2:10" x14ac:dyDescent="0.3">
      <c r="B19" s="6" t="s">
        <v>21</v>
      </c>
      <c r="C19" s="62"/>
      <c r="D19" s="62"/>
      <c r="E19" s="62"/>
      <c r="F19" s="62"/>
      <c r="G19" s="22"/>
      <c r="H19" s="12">
        <f t="shared" si="0"/>
        <v>44925</v>
      </c>
      <c r="J19" s="1" t="s">
        <v>66</v>
      </c>
    </row>
    <row r="20" spans="2:10" x14ac:dyDescent="0.3">
      <c r="B20" s="6" t="s">
        <v>65</v>
      </c>
      <c r="C20" s="62"/>
      <c r="D20" s="134"/>
      <c r="E20" s="62"/>
      <c r="F20" s="62"/>
      <c r="G20" s="22"/>
      <c r="H20" s="67">
        <f t="shared" si="0"/>
        <v>44925</v>
      </c>
    </row>
    <row r="21" spans="2:10" x14ac:dyDescent="0.3">
      <c r="B21" s="6" t="s">
        <v>67</v>
      </c>
      <c r="C21" s="62"/>
      <c r="D21" s="62"/>
      <c r="E21" s="62"/>
      <c r="F21" s="62"/>
      <c r="G21" s="22"/>
      <c r="H21" s="12">
        <f t="shared" si="0"/>
        <v>44925</v>
      </c>
    </row>
    <row r="22" spans="2:10" x14ac:dyDescent="0.3">
      <c r="B22" s="6" t="s">
        <v>18</v>
      </c>
      <c r="C22" s="62"/>
      <c r="D22" s="62"/>
      <c r="E22" s="62"/>
      <c r="F22" s="62"/>
      <c r="G22" s="62"/>
      <c r="H22" s="12">
        <f t="shared" si="0"/>
        <v>44925</v>
      </c>
    </row>
    <row r="23" spans="2:10" x14ac:dyDescent="0.3">
      <c r="B23" s="6" t="s">
        <v>16</v>
      </c>
      <c r="C23" s="135">
        <v>108000</v>
      </c>
      <c r="D23" s="62"/>
      <c r="E23" s="62"/>
      <c r="F23" s="62"/>
      <c r="G23" s="22"/>
      <c r="H23" s="12">
        <f t="shared" si="0"/>
        <v>44925</v>
      </c>
    </row>
    <row r="24" spans="2:10" x14ac:dyDescent="0.3">
      <c r="B24" s="50" t="s">
        <v>27</v>
      </c>
      <c r="C24" s="51">
        <f>SUM(Dec30_2022746[KSI_AGO])</f>
        <v>1076000</v>
      </c>
      <c r="D24" s="51">
        <f>SUBTOTAL(109,Dec30_2022746[KSI_PMS])</f>
        <v>0</v>
      </c>
      <c r="E24" s="51">
        <f>SUM(Dec30_2022746[BUIPE_AGO])</f>
        <v>590000</v>
      </c>
      <c r="F24" s="51">
        <f>SUM(Dec30_2022746[BUIPE_PMS])</f>
        <v>0</v>
      </c>
      <c r="G24" s="51">
        <f>SUM(Dec30_2022746[AKOSOMBO_AGO])</f>
        <v>0</v>
      </c>
      <c r="H24" s="52"/>
    </row>
    <row r="25" spans="2:10" x14ac:dyDescent="0.3">
      <c r="B25" s="8"/>
      <c r="C25" s="24"/>
      <c r="D25" s="24"/>
      <c r="E25" s="24"/>
      <c r="F25" s="24"/>
      <c r="G25" s="24"/>
      <c r="H25"/>
    </row>
  </sheetData>
  <mergeCells count="4">
    <mergeCell ref="B1:G1"/>
    <mergeCell ref="B2:C2"/>
    <mergeCell ref="B3:C3"/>
    <mergeCell ref="B4:G4"/>
  </mergeCells>
  <dataValidations count="1">
    <dataValidation type="list" allowBlank="1" showInputMessage="1" showErrorMessage="1" sqref="B6:B23" xr:uid="{CA2DA141-13DE-4CD4-811C-45ED5B8999C9}">
      <formula1>INDIRECT("BDC_List[BDC List]")</formula1>
    </dataValidation>
  </dataValidations>
  <pageMargins left="0.7" right="0.7" top="0.75" bottom="0.75" header="0.3" footer="0.3"/>
  <pageSetup orientation="portrait" horizontalDpi="4294967295" verticalDpi="4294967295"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6FA420-D610-408D-9A7D-24F35FA2D8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747</vt:i4>
      </vt:variant>
      <vt:variant>
        <vt:lpstr>Named Ranges</vt:lpstr>
      </vt:variant>
      <vt:variant>
        <vt:i4>142</vt:i4>
      </vt:variant>
    </vt:vector>
  </HeadingPairs>
  <TitlesOfParts>
    <vt:vector size="889" baseType="lpstr">
      <vt:lpstr>03-01-2020</vt:lpstr>
      <vt:lpstr>06-01-2020</vt:lpstr>
      <vt:lpstr>08-01-2020</vt:lpstr>
      <vt:lpstr>09-01-2020</vt:lpstr>
      <vt:lpstr>10-01-2020</vt:lpstr>
      <vt:lpstr>13-01-2020</vt:lpstr>
      <vt:lpstr>14-01-2020</vt:lpstr>
      <vt:lpstr>15-01-2020 </vt:lpstr>
      <vt:lpstr>16-01-2020</vt:lpstr>
      <vt:lpstr>17-01-2020</vt:lpstr>
      <vt:lpstr>20-01-2020</vt:lpstr>
      <vt:lpstr>21-01-2020</vt:lpstr>
      <vt:lpstr>22-01-2020</vt:lpstr>
      <vt:lpstr>23-01-2020</vt:lpstr>
      <vt:lpstr>24-01-2020</vt:lpstr>
      <vt:lpstr>27-01-2020</vt:lpstr>
      <vt:lpstr>28-01-2020</vt:lpstr>
      <vt:lpstr>29-01-2020</vt:lpstr>
      <vt:lpstr>30-01-2020</vt:lpstr>
      <vt:lpstr>31-01-2020</vt:lpstr>
      <vt:lpstr>03-02-2020</vt:lpstr>
      <vt:lpstr>04-02-2020</vt:lpstr>
      <vt:lpstr>05-02-2020</vt:lpstr>
      <vt:lpstr>06-02-2020</vt:lpstr>
      <vt:lpstr>07-02-2020</vt:lpstr>
      <vt:lpstr>10-02-2020</vt:lpstr>
      <vt:lpstr>11-02-2020</vt:lpstr>
      <vt:lpstr>12-02-2020</vt:lpstr>
      <vt:lpstr>13-02-2020</vt:lpstr>
      <vt:lpstr>14-02-2020</vt:lpstr>
      <vt:lpstr>17-02-2020</vt:lpstr>
      <vt:lpstr>18-02-2020</vt:lpstr>
      <vt:lpstr>19-02-2020</vt:lpstr>
      <vt:lpstr>20-02-2020</vt:lpstr>
      <vt:lpstr>21-02-2020</vt:lpstr>
      <vt:lpstr>24-02-2020</vt:lpstr>
      <vt:lpstr>25-02-2020</vt:lpstr>
      <vt:lpstr>26-02-2020</vt:lpstr>
      <vt:lpstr>27-02-2020</vt:lpstr>
      <vt:lpstr>28-02-2020</vt:lpstr>
      <vt:lpstr>02-03-2020</vt:lpstr>
      <vt:lpstr>03-03-2020</vt:lpstr>
      <vt:lpstr>04-03-2020</vt:lpstr>
      <vt:lpstr>05-03-2020</vt:lpstr>
      <vt:lpstr>09-03-2020</vt:lpstr>
      <vt:lpstr>10-03-2020</vt:lpstr>
      <vt:lpstr>11-03-2020</vt:lpstr>
      <vt:lpstr>12-03-2020</vt:lpstr>
      <vt:lpstr>13-03-2020</vt:lpstr>
      <vt:lpstr>16-03-2020</vt:lpstr>
      <vt:lpstr>17-03-2020</vt:lpstr>
      <vt:lpstr>18-03-2020</vt:lpstr>
      <vt:lpstr>19-03-2020</vt:lpstr>
      <vt:lpstr>20-03-2020</vt:lpstr>
      <vt:lpstr>23-03-2020</vt:lpstr>
      <vt:lpstr>24-03-2020</vt:lpstr>
      <vt:lpstr>25-03-2020</vt:lpstr>
      <vt:lpstr>26-03-2020</vt:lpstr>
      <vt:lpstr>27-03-2020</vt:lpstr>
      <vt:lpstr>30-03-2020</vt:lpstr>
      <vt:lpstr>31-03-2020</vt:lpstr>
      <vt:lpstr>01-04-2020</vt:lpstr>
      <vt:lpstr>02-04-2020</vt:lpstr>
      <vt:lpstr>03-04-2020</vt:lpstr>
      <vt:lpstr>06-04-2020</vt:lpstr>
      <vt:lpstr>07-04-2020</vt:lpstr>
      <vt:lpstr>08-04-2020</vt:lpstr>
      <vt:lpstr>09-04-2020</vt:lpstr>
      <vt:lpstr>14-04-2020</vt:lpstr>
      <vt:lpstr>15-04-2020</vt:lpstr>
      <vt:lpstr>16-04-2020</vt:lpstr>
      <vt:lpstr>17-04-2020</vt:lpstr>
      <vt:lpstr>20-04-2020</vt:lpstr>
      <vt:lpstr>21-04-2020</vt:lpstr>
      <vt:lpstr>22-04-2020</vt:lpstr>
      <vt:lpstr>23-04-2020</vt:lpstr>
      <vt:lpstr>24-04-2020</vt:lpstr>
      <vt:lpstr>27-04-2020</vt:lpstr>
      <vt:lpstr>28-04-2020</vt:lpstr>
      <vt:lpstr>29-04-2020</vt:lpstr>
      <vt:lpstr>30-04-2020</vt:lpstr>
      <vt:lpstr>04-05-2020</vt:lpstr>
      <vt:lpstr>05-05-2020</vt:lpstr>
      <vt:lpstr>06-05-2020</vt:lpstr>
      <vt:lpstr>07-05-2020</vt:lpstr>
      <vt:lpstr>08-05-2020</vt:lpstr>
      <vt:lpstr>11-05-2020</vt:lpstr>
      <vt:lpstr>12-05-2020</vt:lpstr>
      <vt:lpstr>13-05-2020</vt:lpstr>
      <vt:lpstr>14-05-2020</vt:lpstr>
      <vt:lpstr>15-05-2020</vt:lpstr>
      <vt:lpstr>18-05-2020</vt:lpstr>
      <vt:lpstr>19-05-2020</vt:lpstr>
      <vt:lpstr>20-05-2020</vt:lpstr>
      <vt:lpstr>21-05-2020</vt:lpstr>
      <vt:lpstr>22-05-2020</vt:lpstr>
      <vt:lpstr>26-05-2020</vt:lpstr>
      <vt:lpstr>27-05-2020</vt:lpstr>
      <vt:lpstr>28-05-2020</vt:lpstr>
      <vt:lpstr>29-05-2020</vt:lpstr>
      <vt:lpstr>02-06-2020</vt:lpstr>
      <vt:lpstr>03-06-2020</vt:lpstr>
      <vt:lpstr>04-06-2020</vt:lpstr>
      <vt:lpstr>05-06-2020</vt:lpstr>
      <vt:lpstr>06-06-2020</vt:lpstr>
      <vt:lpstr>08-06-2020</vt:lpstr>
      <vt:lpstr>09-06-2020</vt:lpstr>
      <vt:lpstr>10-06-2020</vt:lpstr>
      <vt:lpstr>11-06-2020</vt:lpstr>
      <vt:lpstr>12-06-2020</vt:lpstr>
      <vt:lpstr>13-06-2020</vt:lpstr>
      <vt:lpstr>15-06-2020</vt:lpstr>
      <vt:lpstr>16-06-2020</vt:lpstr>
      <vt:lpstr>17-06-2020</vt:lpstr>
      <vt:lpstr>18-06-2020</vt:lpstr>
      <vt:lpstr>19-06-2020</vt:lpstr>
      <vt:lpstr>20-06-2020</vt:lpstr>
      <vt:lpstr>22-06-2020</vt:lpstr>
      <vt:lpstr>23-06-2020</vt:lpstr>
      <vt:lpstr>24-06-2020</vt:lpstr>
      <vt:lpstr>25-06-2020</vt:lpstr>
      <vt:lpstr>26-06-2020</vt:lpstr>
      <vt:lpstr>29-06-2020</vt:lpstr>
      <vt:lpstr>30-06-2020</vt:lpstr>
      <vt:lpstr>02-07-2020 </vt:lpstr>
      <vt:lpstr>03-07-2020</vt:lpstr>
      <vt:lpstr>06-07-2020</vt:lpstr>
      <vt:lpstr>07-07-2020</vt:lpstr>
      <vt:lpstr>08-07-2020</vt:lpstr>
      <vt:lpstr>09-07-2020</vt:lpstr>
      <vt:lpstr>10-07-2020</vt:lpstr>
      <vt:lpstr>11-07-2020</vt:lpstr>
      <vt:lpstr>13-07-2020</vt:lpstr>
      <vt:lpstr>14-07-2020</vt:lpstr>
      <vt:lpstr>15-07-2020</vt:lpstr>
      <vt:lpstr>16-07-2020</vt:lpstr>
      <vt:lpstr>17-07-2020</vt:lpstr>
      <vt:lpstr>20-07-2020</vt:lpstr>
      <vt:lpstr>21-07-2020</vt:lpstr>
      <vt:lpstr>22-07-2020</vt:lpstr>
      <vt:lpstr>23-07-2020</vt:lpstr>
      <vt:lpstr>24-07-2020</vt:lpstr>
      <vt:lpstr>25-07-2020</vt:lpstr>
      <vt:lpstr>27-07-2020</vt:lpstr>
      <vt:lpstr>28-07-2020</vt:lpstr>
      <vt:lpstr>29-07-2020</vt:lpstr>
      <vt:lpstr>30-07-2020</vt:lpstr>
      <vt:lpstr>05-08-2020</vt:lpstr>
      <vt:lpstr>06-08-2020</vt:lpstr>
      <vt:lpstr>07-08-2020</vt:lpstr>
      <vt:lpstr>08-08-2020</vt:lpstr>
      <vt:lpstr>10-08-2020</vt:lpstr>
      <vt:lpstr>11-08-2020</vt:lpstr>
      <vt:lpstr>12-08-2020</vt:lpstr>
      <vt:lpstr>13-08-2020</vt:lpstr>
      <vt:lpstr>14-08-2020</vt:lpstr>
      <vt:lpstr>15-08-2020</vt:lpstr>
      <vt:lpstr>17-08-2020</vt:lpstr>
      <vt:lpstr>18-08-2020</vt:lpstr>
      <vt:lpstr>19-08-2020</vt:lpstr>
      <vt:lpstr>20-08-2020</vt:lpstr>
      <vt:lpstr>21-08-2020</vt:lpstr>
      <vt:lpstr>22-08-2020</vt:lpstr>
      <vt:lpstr>24-08-2020</vt:lpstr>
      <vt:lpstr>25-08-2020</vt:lpstr>
      <vt:lpstr>26-08-2020</vt:lpstr>
      <vt:lpstr>27-08-2020</vt:lpstr>
      <vt:lpstr>28-08-2020</vt:lpstr>
      <vt:lpstr>31-08-2020</vt:lpstr>
      <vt:lpstr>01-09-2020</vt:lpstr>
      <vt:lpstr>02-09-2020</vt:lpstr>
      <vt:lpstr>03-09-2020</vt:lpstr>
      <vt:lpstr>04-09-2020</vt:lpstr>
      <vt:lpstr>05-09-2020</vt:lpstr>
      <vt:lpstr>07-09-2020</vt:lpstr>
      <vt:lpstr>08-09-2020</vt:lpstr>
      <vt:lpstr>09-09-2020 </vt:lpstr>
      <vt:lpstr>10-09-2020 </vt:lpstr>
      <vt:lpstr>11-09-2020 </vt:lpstr>
      <vt:lpstr>14-09-2020</vt:lpstr>
      <vt:lpstr>15-09-2020</vt:lpstr>
      <vt:lpstr>16-09-2020</vt:lpstr>
      <vt:lpstr>17-09-2020</vt:lpstr>
      <vt:lpstr>18-09-2020</vt:lpstr>
      <vt:lpstr>22-09-2020</vt:lpstr>
      <vt:lpstr>23-09-2020</vt:lpstr>
      <vt:lpstr>24-09-2020</vt:lpstr>
      <vt:lpstr>25-09-2020</vt:lpstr>
      <vt:lpstr>28-09-2020</vt:lpstr>
      <vt:lpstr>29-09-2020</vt:lpstr>
      <vt:lpstr>30-09-2020</vt:lpstr>
      <vt:lpstr>01-10-2020</vt:lpstr>
      <vt:lpstr>02-10-2020</vt:lpstr>
      <vt:lpstr>05-10-2020</vt:lpstr>
      <vt:lpstr>06-10-2020</vt:lpstr>
      <vt:lpstr>07-10-2020</vt:lpstr>
      <vt:lpstr>08-10-2020</vt:lpstr>
      <vt:lpstr>09-10-2020</vt:lpstr>
      <vt:lpstr>12-10-2020</vt:lpstr>
      <vt:lpstr>13-10-2020</vt:lpstr>
      <vt:lpstr>14-10-2020</vt:lpstr>
      <vt:lpstr>15-10-2020 </vt:lpstr>
      <vt:lpstr>16-10-2020</vt:lpstr>
      <vt:lpstr>19-10-2020</vt:lpstr>
      <vt:lpstr>20-10-2020</vt:lpstr>
      <vt:lpstr>21-10-2020</vt:lpstr>
      <vt:lpstr>23-10-2020</vt:lpstr>
      <vt:lpstr>26-10-2020</vt:lpstr>
      <vt:lpstr>27-10-2020</vt:lpstr>
      <vt:lpstr>28-10-2020</vt:lpstr>
      <vt:lpstr>29-10-2020</vt:lpstr>
      <vt:lpstr>30-10-2020</vt:lpstr>
      <vt:lpstr>2-11-2020</vt:lpstr>
      <vt:lpstr>3-11-2020</vt:lpstr>
      <vt:lpstr>4-11-2020</vt:lpstr>
      <vt:lpstr>5-11-2020</vt:lpstr>
      <vt:lpstr>6-11-2020</vt:lpstr>
      <vt:lpstr>7-11-2020</vt:lpstr>
      <vt:lpstr>9-11-2020</vt:lpstr>
      <vt:lpstr>10-11-2020</vt:lpstr>
      <vt:lpstr>11-11-2020</vt:lpstr>
      <vt:lpstr>12-11-2020</vt:lpstr>
      <vt:lpstr>13-11-2020</vt:lpstr>
      <vt:lpstr>14-11-2020</vt:lpstr>
      <vt:lpstr>16-11-2020</vt:lpstr>
      <vt:lpstr>17-11-2020</vt:lpstr>
      <vt:lpstr>18-11-2020</vt:lpstr>
      <vt:lpstr>19-11-2020</vt:lpstr>
      <vt:lpstr>20-11-2020</vt:lpstr>
      <vt:lpstr>21-11-2020</vt:lpstr>
      <vt:lpstr>23-11-2020</vt:lpstr>
      <vt:lpstr>24-11-2020</vt:lpstr>
      <vt:lpstr>25-11-2020</vt:lpstr>
      <vt:lpstr>26-11-2020</vt:lpstr>
      <vt:lpstr>27-11-2020</vt:lpstr>
      <vt:lpstr>30-11-2020</vt:lpstr>
      <vt:lpstr>01-12-2020</vt:lpstr>
      <vt:lpstr>02-12-2020</vt:lpstr>
      <vt:lpstr>3-12-2020</vt:lpstr>
      <vt:lpstr>4-12-2020</vt:lpstr>
      <vt:lpstr>5-12-2020</vt:lpstr>
      <vt:lpstr>08-12-2020</vt:lpstr>
      <vt:lpstr>09-12-2020</vt:lpstr>
      <vt:lpstr>10-12-2020</vt:lpstr>
      <vt:lpstr>11-12-2020</vt:lpstr>
      <vt:lpstr>14-12-2020</vt:lpstr>
      <vt:lpstr>15-12-2020</vt:lpstr>
      <vt:lpstr>16-12-2020</vt:lpstr>
      <vt:lpstr>17-12-2020</vt:lpstr>
      <vt:lpstr>18-12-2020</vt:lpstr>
      <vt:lpstr>21-12-2020</vt:lpstr>
      <vt:lpstr>22-12-2020</vt:lpstr>
      <vt:lpstr>23-12-2020</vt:lpstr>
      <vt:lpstr>24-12-2020</vt:lpstr>
      <vt:lpstr>29-12-2020</vt:lpstr>
      <vt:lpstr>30-12-2020</vt:lpstr>
      <vt:lpstr>31-12-2020</vt:lpstr>
      <vt:lpstr>04-01-2021</vt:lpstr>
      <vt:lpstr>05-01-2021</vt:lpstr>
      <vt:lpstr>06-01-2021</vt:lpstr>
      <vt:lpstr>08-01-2021</vt:lpstr>
      <vt:lpstr>09-01-2021</vt:lpstr>
      <vt:lpstr>11-01-2021 </vt:lpstr>
      <vt:lpstr>12-01-2021</vt:lpstr>
      <vt:lpstr>13-01-2021</vt:lpstr>
      <vt:lpstr>14-01-2021</vt:lpstr>
      <vt:lpstr>15-01-2021</vt:lpstr>
      <vt:lpstr>16-01-2021</vt:lpstr>
      <vt:lpstr>18-01-2021</vt:lpstr>
      <vt:lpstr>19-01-2021</vt:lpstr>
      <vt:lpstr>20-01-2021</vt:lpstr>
      <vt:lpstr>21-01-2021</vt:lpstr>
      <vt:lpstr>22-01-2021</vt:lpstr>
      <vt:lpstr>25-01-2021</vt:lpstr>
      <vt:lpstr>26-01-2021</vt:lpstr>
      <vt:lpstr>27-01-2021 </vt:lpstr>
      <vt:lpstr>28-01-2021</vt:lpstr>
      <vt:lpstr>29-01-2021</vt:lpstr>
      <vt:lpstr>01-02-2021</vt:lpstr>
      <vt:lpstr>02-02-2021</vt:lpstr>
      <vt:lpstr>03-02-2021</vt:lpstr>
      <vt:lpstr>04-02-2021</vt:lpstr>
      <vt:lpstr>05-02-2021</vt:lpstr>
      <vt:lpstr>08-02-2021</vt:lpstr>
      <vt:lpstr>09-02-2021</vt:lpstr>
      <vt:lpstr>10-02-2021</vt:lpstr>
      <vt:lpstr>11-02-2021</vt:lpstr>
      <vt:lpstr>12-02-2021</vt:lpstr>
      <vt:lpstr>13-02-2021</vt:lpstr>
      <vt:lpstr>15-02-2021</vt:lpstr>
      <vt:lpstr>16-02-2021</vt:lpstr>
      <vt:lpstr>17-02-2021</vt:lpstr>
      <vt:lpstr>18-02-2021</vt:lpstr>
      <vt:lpstr>19-02-2021</vt:lpstr>
      <vt:lpstr>22-02-2021</vt:lpstr>
      <vt:lpstr>23-02-2021</vt:lpstr>
      <vt:lpstr>24-02-2021</vt:lpstr>
      <vt:lpstr>25-02-2021</vt:lpstr>
      <vt:lpstr>26-02-2021</vt:lpstr>
      <vt:lpstr>27-02-2021</vt:lpstr>
      <vt:lpstr>01-03-2021</vt:lpstr>
      <vt:lpstr>02-03-2021</vt:lpstr>
      <vt:lpstr>03-03-2021</vt:lpstr>
      <vt:lpstr>04-03-2021</vt:lpstr>
      <vt:lpstr>05-03-2021</vt:lpstr>
      <vt:lpstr>10-03-2021</vt:lpstr>
      <vt:lpstr>11-03-2021</vt:lpstr>
      <vt:lpstr>12-03-2021</vt:lpstr>
      <vt:lpstr>15-03-2021</vt:lpstr>
      <vt:lpstr>16-03-2021</vt:lpstr>
      <vt:lpstr>17-03-2021</vt:lpstr>
      <vt:lpstr>18-03-2021</vt:lpstr>
      <vt:lpstr>19-03-2021</vt:lpstr>
      <vt:lpstr>22-03-2021</vt:lpstr>
      <vt:lpstr>23-03-2021</vt:lpstr>
      <vt:lpstr>24-03-2021</vt:lpstr>
      <vt:lpstr>25-03-2021</vt:lpstr>
      <vt:lpstr>26-03-2021</vt:lpstr>
      <vt:lpstr>29-03-2021</vt:lpstr>
      <vt:lpstr>30-03-2021</vt:lpstr>
      <vt:lpstr>31-03-2021</vt:lpstr>
      <vt:lpstr>01-04-2021</vt:lpstr>
      <vt:lpstr>06-04-2021</vt:lpstr>
      <vt:lpstr>07-04-2021</vt:lpstr>
      <vt:lpstr>08-04-2021</vt:lpstr>
      <vt:lpstr>09-04-2021</vt:lpstr>
      <vt:lpstr>10-04-2021</vt:lpstr>
      <vt:lpstr>12-04-2021</vt:lpstr>
      <vt:lpstr>13-04-2021</vt:lpstr>
      <vt:lpstr>14-04-2021</vt:lpstr>
      <vt:lpstr>15-04-2021</vt:lpstr>
      <vt:lpstr>16-04-2021</vt:lpstr>
      <vt:lpstr>17-04-2021</vt:lpstr>
      <vt:lpstr>19-04-2021</vt:lpstr>
      <vt:lpstr>20-04-2021</vt:lpstr>
      <vt:lpstr>21-04-2021</vt:lpstr>
      <vt:lpstr>22-04-2021</vt:lpstr>
      <vt:lpstr>23-04-20</vt:lpstr>
      <vt:lpstr>26-04-2021</vt:lpstr>
      <vt:lpstr>27-04-2021</vt:lpstr>
      <vt:lpstr>28-04-2021 </vt:lpstr>
      <vt:lpstr>29-04-2021</vt:lpstr>
      <vt:lpstr>30-04-2021</vt:lpstr>
      <vt:lpstr>05-05-2021</vt:lpstr>
      <vt:lpstr>06-05-2021</vt:lpstr>
      <vt:lpstr>07-05-2021</vt:lpstr>
      <vt:lpstr>10-05-2021</vt:lpstr>
      <vt:lpstr>11-05-2021</vt:lpstr>
      <vt:lpstr>12-05-2021 </vt:lpstr>
      <vt:lpstr>14-05-2021</vt:lpstr>
      <vt:lpstr>17-05-2021 </vt:lpstr>
      <vt:lpstr>18-05-2021 </vt:lpstr>
      <vt:lpstr>19-05-2021  </vt:lpstr>
      <vt:lpstr>20-05-2021 </vt:lpstr>
      <vt:lpstr>21-05-2021</vt:lpstr>
      <vt:lpstr>24-05-2021</vt:lpstr>
      <vt:lpstr>25-05-2021</vt:lpstr>
      <vt:lpstr>26-05-2021</vt:lpstr>
      <vt:lpstr>27-05-2021</vt:lpstr>
      <vt:lpstr>28-05-2021</vt:lpstr>
      <vt:lpstr>31-05-2021</vt:lpstr>
      <vt:lpstr>01-06-2021</vt:lpstr>
      <vt:lpstr>02-06-2021</vt:lpstr>
      <vt:lpstr>03-06-2021</vt:lpstr>
      <vt:lpstr>04-06-2021</vt:lpstr>
      <vt:lpstr>07-06-2021 </vt:lpstr>
      <vt:lpstr>08-06-2021  </vt:lpstr>
      <vt:lpstr>09-06-2021</vt:lpstr>
      <vt:lpstr>10-06-2021 </vt:lpstr>
      <vt:lpstr>11-06-2021</vt:lpstr>
      <vt:lpstr>14-06-2021</vt:lpstr>
      <vt:lpstr>15-06-2021</vt:lpstr>
      <vt:lpstr>16-06-2021</vt:lpstr>
      <vt:lpstr>17-06-2021</vt:lpstr>
      <vt:lpstr>18-06-2021</vt:lpstr>
      <vt:lpstr>21-06-2021</vt:lpstr>
      <vt:lpstr>22-06-2021</vt:lpstr>
      <vt:lpstr>23-06-2021</vt:lpstr>
      <vt:lpstr>24-06-2021</vt:lpstr>
      <vt:lpstr>25-06-2021 </vt:lpstr>
      <vt:lpstr>28-06-2021  </vt:lpstr>
      <vt:lpstr>29-06-2021   </vt:lpstr>
      <vt:lpstr>30-06-2021    </vt:lpstr>
      <vt:lpstr>02-07-2021</vt:lpstr>
      <vt:lpstr>05-07-2021</vt:lpstr>
      <vt:lpstr>06-07-2021</vt:lpstr>
      <vt:lpstr>07-07-2021</vt:lpstr>
      <vt:lpstr>08-07-2021</vt:lpstr>
      <vt:lpstr>09-07-2021</vt:lpstr>
      <vt:lpstr>12-07-2021</vt:lpstr>
      <vt:lpstr>13-07-2021</vt:lpstr>
      <vt:lpstr>14-07-2021</vt:lpstr>
      <vt:lpstr>15-07-2021</vt:lpstr>
      <vt:lpstr>16-07-2021</vt:lpstr>
      <vt:lpstr>19-07-2021</vt:lpstr>
      <vt:lpstr>21-07-2021</vt:lpstr>
      <vt:lpstr>22-07-2021</vt:lpstr>
      <vt:lpstr>23-07-2021</vt:lpstr>
      <vt:lpstr>26-07-2021</vt:lpstr>
      <vt:lpstr>27-07-2021</vt:lpstr>
      <vt:lpstr>28-07-2021</vt:lpstr>
      <vt:lpstr>29-07-2021</vt:lpstr>
      <vt:lpstr>30-07-2021</vt:lpstr>
      <vt:lpstr>02-08-2021</vt:lpstr>
      <vt:lpstr>03-08-2021</vt:lpstr>
      <vt:lpstr>05-08-2021</vt:lpstr>
      <vt:lpstr>06-08-2021</vt:lpstr>
      <vt:lpstr>09-08-2021</vt:lpstr>
      <vt:lpstr>10-08-2021</vt:lpstr>
      <vt:lpstr>11-08-2021</vt:lpstr>
      <vt:lpstr>12-08-2021</vt:lpstr>
      <vt:lpstr>13-08-2021</vt:lpstr>
      <vt:lpstr>16-08-2021</vt:lpstr>
      <vt:lpstr>17-08-2021</vt:lpstr>
      <vt:lpstr>18-08-2021</vt:lpstr>
      <vt:lpstr>19-08-2021</vt:lpstr>
      <vt:lpstr>20-08-2021</vt:lpstr>
      <vt:lpstr>23-08-2021 </vt:lpstr>
      <vt:lpstr>24-08-2021</vt:lpstr>
      <vt:lpstr>25-08-2021</vt:lpstr>
      <vt:lpstr>26-08-2021</vt:lpstr>
      <vt:lpstr>27-08-2021</vt:lpstr>
      <vt:lpstr>30-08-2021</vt:lpstr>
      <vt:lpstr>31-08-2021</vt:lpstr>
      <vt:lpstr>02-09-2021</vt:lpstr>
      <vt:lpstr>03-09-2021</vt:lpstr>
      <vt:lpstr>06-09-2021</vt:lpstr>
      <vt:lpstr>07-09-2021</vt:lpstr>
      <vt:lpstr>08-09-2021</vt:lpstr>
      <vt:lpstr>09-09-2021</vt:lpstr>
      <vt:lpstr>10-09-2021</vt:lpstr>
      <vt:lpstr>13-09-2021 </vt:lpstr>
      <vt:lpstr>14-09-2021 </vt:lpstr>
      <vt:lpstr>15-09-2021  </vt:lpstr>
      <vt:lpstr>16-09-2021   </vt:lpstr>
      <vt:lpstr>17-09-2021</vt:lpstr>
      <vt:lpstr>20-09-2021 </vt:lpstr>
      <vt:lpstr>22-09-2021  </vt:lpstr>
      <vt:lpstr>23-09-2021</vt:lpstr>
      <vt:lpstr>24-09-2021 </vt:lpstr>
      <vt:lpstr>27-09-2021 </vt:lpstr>
      <vt:lpstr>28-09-2021  </vt:lpstr>
      <vt:lpstr>29-09-2021</vt:lpstr>
      <vt:lpstr>30-09-2021</vt:lpstr>
      <vt:lpstr>04-10-2021</vt:lpstr>
      <vt:lpstr>05-10-2021</vt:lpstr>
      <vt:lpstr>06-10-2021</vt:lpstr>
      <vt:lpstr>07-10-2021</vt:lpstr>
      <vt:lpstr>08-10-2021</vt:lpstr>
      <vt:lpstr>11-10-2021</vt:lpstr>
      <vt:lpstr>12-10-2021 </vt:lpstr>
      <vt:lpstr>13-10-2021</vt:lpstr>
      <vt:lpstr>14-10-2021</vt:lpstr>
      <vt:lpstr>15-10-2021</vt:lpstr>
      <vt:lpstr>20-10-2021 </vt:lpstr>
      <vt:lpstr>21-10-2021 </vt:lpstr>
      <vt:lpstr>22-10-2021</vt:lpstr>
      <vt:lpstr>25-10-2021</vt:lpstr>
      <vt:lpstr>26-10-2021 </vt:lpstr>
      <vt:lpstr>27-10-2021  </vt:lpstr>
      <vt:lpstr>28-10-2021</vt:lpstr>
      <vt:lpstr>29-10-2021</vt:lpstr>
      <vt:lpstr>02-11-2021</vt:lpstr>
      <vt:lpstr>03-11-2021</vt:lpstr>
      <vt:lpstr>04-11-2021</vt:lpstr>
      <vt:lpstr>05-11-2021</vt:lpstr>
      <vt:lpstr>08-11-2021</vt:lpstr>
      <vt:lpstr>09-11-2021</vt:lpstr>
      <vt:lpstr>10-11-2021</vt:lpstr>
      <vt:lpstr>11-11-2021</vt:lpstr>
      <vt:lpstr>12-11-2021</vt:lpstr>
      <vt:lpstr>15-11-2021</vt:lpstr>
      <vt:lpstr>16-11-2021</vt:lpstr>
      <vt:lpstr>17-11-2021</vt:lpstr>
      <vt:lpstr>18-11-2021 </vt:lpstr>
      <vt:lpstr>19-11-2021</vt:lpstr>
      <vt:lpstr>22-11-2021</vt:lpstr>
      <vt:lpstr>23-11-2021</vt:lpstr>
      <vt:lpstr>24-11-2021</vt:lpstr>
      <vt:lpstr>25-11-2021</vt:lpstr>
      <vt:lpstr>26-11-2021</vt:lpstr>
      <vt:lpstr>29-11-2021</vt:lpstr>
      <vt:lpstr>30-11-2021</vt:lpstr>
      <vt:lpstr>02-12-2021</vt:lpstr>
      <vt:lpstr>06-12-2021</vt:lpstr>
      <vt:lpstr>07-12-2021</vt:lpstr>
      <vt:lpstr>08-12-2021</vt:lpstr>
      <vt:lpstr>09-12-2021</vt:lpstr>
      <vt:lpstr>10-12-2021</vt:lpstr>
      <vt:lpstr>13-12-2021</vt:lpstr>
      <vt:lpstr>14-12-2021</vt:lpstr>
      <vt:lpstr>15-12-2021</vt:lpstr>
      <vt:lpstr>16-12-2021</vt:lpstr>
      <vt:lpstr>17-12-2021</vt:lpstr>
      <vt:lpstr>20-12-2021</vt:lpstr>
      <vt:lpstr>21-12-2021</vt:lpstr>
      <vt:lpstr>22-12-2021</vt:lpstr>
      <vt:lpstr>23-12-2021</vt:lpstr>
      <vt:lpstr>24-12-2021</vt:lpstr>
      <vt:lpstr>29-12-2021</vt:lpstr>
      <vt:lpstr>30-12-2021</vt:lpstr>
      <vt:lpstr>31-12-2021</vt:lpstr>
      <vt:lpstr>04-01-2022</vt:lpstr>
      <vt:lpstr>05-01-2022</vt:lpstr>
      <vt:lpstr>06-01-2022</vt:lpstr>
      <vt:lpstr>10-01-2022</vt:lpstr>
      <vt:lpstr>11-01-2022</vt:lpstr>
      <vt:lpstr>12-01-2022</vt:lpstr>
      <vt:lpstr>13-01-2022</vt:lpstr>
      <vt:lpstr>14-01-2022</vt:lpstr>
      <vt:lpstr>17-01-2022</vt:lpstr>
      <vt:lpstr>18-01-2022</vt:lpstr>
      <vt:lpstr>19-01-2022</vt:lpstr>
      <vt:lpstr>20-01-2022</vt:lpstr>
      <vt:lpstr>21-01-2022</vt:lpstr>
      <vt:lpstr>24-01-2022</vt:lpstr>
      <vt:lpstr>25-01-2022</vt:lpstr>
      <vt:lpstr>26-01-2022</vt:lpstr>
      <vt:lpstr>27-01-2022</vt:lpstr>
      <vt:lpstr>28-01-2022</vt:lpstr>
      <vt:lpstr>31-01-2022</vt:lpstr>
      <vt:lpstr>02-02-2022</vt:lpstr>
      <vt:lpstr>03-02-2022</vt:lpstr>
      <vt:lpstr>04-02-2022</vt:lpstr>
      <vt:lpstr>07-02-2022</vt:lpstr>
      <vt:lpstr>08-02-2022</vt:lpstr>
      <vt:lpstr>09-02-2022</vt:lpstr>
      <vt:lpstr>10-02-2022</vt:lpstr>
      <vt:lpstr>11-02-2022</vt:lpstr>
      <vt:lpstr>14-02-2022</vt:lpstr>
      <vt:lpstr>15-02-2022</vt:lpstr>
      <vt:lpstr>16-02-2022</vt:lpstr>
      <vt:lpstr>17-02-2022</vt:lpstr>
      <vt:lpstr>18-02-2022</vt:lpstr>
      <vt:lpstr>21-02-2022</vt:lpstr>
      <vt:lpstr>22-02-2022 </vt:lpstr>
      <vt:lpstr>23-02-2022</vt:lpstr>
      <vt:lpstr>24-02-2022</vt:lpstr>
      <vt:lpstr>25-02-2022</vt:lpstr>
      <vt:lpstr>28-02-2022</vt:lpstr>
      <vt:lpstr>01-03-2022</vt:lpstr>
      <vt:lpstr>02-03-2022</vt:lpstr>
      <vt:lpstr>03-03-2022</vt:lpstr>
      <vt:lpstr>04-03-2022</vt:lpstr>
      <vt:lpstr>08-03-2022</vt:lpstr>
      <vt:lpstr>09-03-2022</vt:lpstr>
      <vt:lpstr>10-03-2022</vt:lpstr>
      <vt:lpstr>11-03-2022</vt:lpstr>
      <vt:lpstr>14-03-2022</vt:lpstr>
      <vt:lpstr>15-03-2022</vt:lpstr>
      <vt:lpstr>16-03-2022</vt:lpstr>
      <vt:lpstr>17-03-2022</vt:lpstr>
      <vt:lpstr>18-03-2022</vt:lpstr>
      <vt:lpstr>21-03-2022</vt:lpstr>
      <vt:lpstr>22-03-2022</vt:lpstr>
      <vt:lpstr>23-03-2022</vt:lpstr>
      <vt:lpstr>24-03-2022</vt:lpstr>
      <vt:lpstr>25-03-2022</vt:lpstr>
      <vt:lpstr>28-03-2022</vt:lpstr>
      <vt:lpstr>29-03-2022</vt:lpstr>
      <vt:lpstr>30-03-2022</vt:lpstr>
      <vt:lpstr>31-03-2022</vt:lpstr>
      <vt:lpstr>04-04-2022</vt:lpstr>
      <vt:lpstr>05-04-2022</vt:lpstr>
      <vt:lpstr>06-04-2022 </vt:lpstr>
      <vt:lpstr>07-04-2022</vt:lpstr>
      <vt:lpstr>08-04-2022</vt:lpstr>
      <vt:lpstr>11-04-2022</vt:lpstr>
      <vt:lpstr>12-04-2022</vt:lpstr>
      <vt:lpstr>13-04-2022</vt:lpstr>
      <vt:lpstr>14-04-2022 </vt:lpstr>
      <vt:lpstr>19-04-2022</vt:lpstr>
      <vt:lpstr>20-04-2022</vt:lpstr>
      <vt:lpstr>21-04-2022</vt:lpstr>
      <vt:lpstr>22-04-2022</vt:lpstr>
      <vt:lpstr>25-04-2022</vt:lpstr>
      <vt:lpstr>26-04-2022</vt:lpstr>
      <vt:lpstr>27-04-2022</vt:lpstr>
      <vt:lpstr>28-04-2022</vt:lpstr>
      <vt:lpstr>29-04-2022</vt:lpstr>
      <vt:lpstr>04-05-2022</vt:lpstr>
      <vt:lpstr>05-05-2022</vt:lpstr>
      <vt:lpstr>06-05-2022</vt:lpstr>
      <vt:lpstr>09-05-2022</vt:lpstr>
      <vt:lpstr>10-05-2022</vt:lpstr>
      <vt:lpstr>11-05-2022</vt:lpstr>
      <vt:lpstr>12-05-2022</vt:lpstr>
      <vt:lpstr>13-05-2022</vt:lpstr>
      <vt:lpstr>16-05-2022</vt:lpstr>
      <vt:lpstr>17-05-2022</vt:lpstr>
      <vt:lpstr>18-05-2022</vt:lpstr>
      <vt:lpstr>19-05-2022</vt:lpstr>
      <vt:lpstr>20-05-2022</vt:lpstr>
      <vt:lpstr>23-05-2022 </vt:lpstr>
      <vt:lpstr>24-05-2022</vt:lpstr>
      <vt:lpstr>25-05-2022</vt:lpstr>
      <vt:lpstr>26-05-2022</vt:lpstr>
      <vt:lpstr>27-05-2022</vt:lpstr>
      <vt:lpstr>30-05-2022</vt:lpstr>
      <vt:lpstr>31-05-2022</vt:lpstr>
      <vt:lpstr>01-06-2022</vt:lpstr>
      <vt:lpstr>02-06-2022</vt:lpstr>
      <vt:lpstr>03-06-2022</vt:lpstr>
      <vt:lpstr>03-06-2022 </vt:lpstr>
      <vt:lpstr>06-06-2022</vt:lpstr>
      <vt:lpstr>07-06-2022</vt:lpstr>
      <vt:lpstr>08-06-2022</vt:lpstr>
      <vt:lpstr>09-06-2022</vt:lpstr>
      <vt:lpstr>10-06-2022</vt:lpstr>
      <vt:lpstr>13-06-2022</vt:lpstr>
      <vt:lpstr>14-06-2022</vt:lpstr>
      <vt:lpstr>15-06-2022</vt:lpstr>
      <vt:lpstr>16-06-2022</vt:lpstr>
      <vt:lpstr>17-06-2022</vt:lpstr>
      <vt:lpstr>20-06-2022</vt:lpstr>
      <vt:lpstr>21-06-2022</vt:lpstr>
      <vt:lpstr>22-06-2022</vt:lpstr>
      <vt:lpstr>23-06-2022 </vt:lpstr>
      <vt:lpstr>24-06-2022</vt:lpstr>
      <vt:lpstr>27-06-2022</vt:lpstr>
      <vt:lpstr>28-06-2022</vt:lpstr>
      <vt:lpstr>29-06-2022</vt:lpstr>
      <vt:lpstr>30-06-2022</vt:lpstr>
      <vt:lpstr>04-07-2022</vt:lpstr>
      <vt:lpstr>05-07-2022</vt:lpstr>
      <vt:lpstr>06-07-2022 </vt:lpstr>
      <vt:lpstr>07-07-2022</vt:lpstr>
      <vt:lpstr>08-07-2022</vt:lpstr>
      <vt:lpstr>12-07-2022</vt:lpstr>
      <vt:lpstr>13-07-2022</vt:lpstr>
      <vt:lpstr>14-07-2022</vt:lpstr>
      <vt:lpstr>15-07-2022</vt:lpstr>
      <vt:lpstr>18-07-2022</vt:lpstr>
      <vt:lpstr>19-07-2022</vt:lpstr>
      <vt:lpstr>20-07-2022</vt:lpstr>
      <vt:lpstr>21-07-2022</vt:lpstr>
      <vt:lpstr>22-07-2022</vt:lpstr>
      <vt:lpstr>25-07-2022</vt:lpstr>
      <vt:lpstr>26-07-2022</vt:lpstr>
      <vt:lpstr>27-07-2022</vt:lpstr>
      <vt:lpstr>28-07-2022</vt:lpstr>
      <vt:lpstr>29-07-2022</vt:lpstr>
      <vt:lpstr>05-08-2022</vt:lpstr>
      <vt:lpstr>08-08-2022</vt:lpstr>
      <vt:lpstr>09-08-2022</vt:lpstr>
      <vt:lpstr>10-08-2022</vt:lpstr>
      <vt:lpstr>11-08-2022</vt:lpstr>
      <vt:lpstr>12-08-2022</vt:lpstr>
      <vt:lpstr>15-08-2022</vt:lpstr>
      <vt:lpstr>16-08-2022</vt:lpstr>
      <vt:lpstr>17-08-2022</vt:lpstr>
      <vt:lpstr>18-08-2022</vt:lpstr>
      <vt:lpstr>19-08-2022</vt:lpstr>
      <vt:lpstr>19-08-2022 </vt:lpstr>
      <vt:lpstr>22-08-2022</vt:lpstr>
      <vt:lpstr>23-08-2022</vt:lpstr>
      <vt:lpstr>24-08-2022</vt:lpstr>
      <vt:lpstr>25-08-2022</vt:lpstr>
      <vt:lpstr>26-08-2022</vt:lpstr>
      <vt:lpstr>29-08-2022</vt:lpstr>
      <vt:lpstr>30-08-2022</vt:lpstr>
      <vt:lpstr>31-08-2022</vt:lpstr>
      <vt:lpstr>02-09-2022</vt:lpstr>
      <vt:lpstr>05-09-2022</vt:lpstr>
      <vt:lpstr>06-09-2022</vt:lpstr>
      <vt:lpstr>07-09-2022</vt:lpstr>
      <vt:lpstr>08-09-2022</vt:lpstr>
      <vt:lpstr>09-09-2022</vt:lpstr>
      <vt:lpstr>12-09-2022</vt:lpstr>
      <vt:lpstr>13-09-2022</vt:lpstr>
      <vt:lpstr>14-09-2022</vt:lpstr>
      <vt:lpstr>15-09-2022</vt:lpstr>
      <vt:lpstr>16-09-2022</vt:lpstr>
      <vt:lpstr>19-09-2022</vt:lpstr>
      <vt:lpstr>20-09-2022</vt:lpstr>
      <vt:lpstr>22-09-2022</vt:lpstr>
      <vt:lpstr>23-09-2022</vt:lpstr>
      <vt:lpstr>26-09-2022</vt:lpstr>
      <vt:lpstr>27-09-2022</vt:lpstr>
      <vt:lpstr>28-09-2022</vt:lpstr>
      <vt:lpstr>29-09-2022</vt:lpstr>
      <vt:lpstr>30-09-2022</vt:lpstr>
      <vt:lpstr>03-10-2022</vt:lpstr>
      <vt:lpstr>04-10-2022</vt:lpstr>
      <vt:lpstr>05-10-2022</vt:lpstr>
      <vt:lpstr>06-10-2022</vt:lpstr>
      <vt:lpstr>07-10-2022</vt:lpstr>
      <vt:lpstr>10-10-2022</vt:lpstr>
      <vt:lpstr>11-10-2022</vt:lpstr>
      <vt:lpstr>12-10-2022</vt:lpstr>
      <vt:lpstr>13-10-2022</vt:lpstr>
      <vt:lpstr>14-10-2022</vt:lpstr>
      <vt:lpstr>17-10-2022</vt:lpstr>
      <vt:lpstr>18-10-2022</vt:lpstr>
      <vt:lpstr>19-10-2022</vt:lpstr>
      <vt:lpstr>20-10-2022</vt:lpstr>
      <vt:lpstr>21-10-2022</vt:lpstr>
      <vt:lpstr>24-10-2022</vt:lpstr>
      <vt:lpstr>25-10-2022</vt:lpstr>
      <vt:lpstr>26-10-2022</vt:lpstr>
      <vt:lpstr>28-10-2022</vt:lpstr>
      <vt:lpstr>31-10-2022</vt:lpstr>
      <vt:lpstr>02-11-2022</vt:lpstr>
      <vt:lpstr>03-11-2022</vt:lpstr>
      <vt:lpstr>04-11-2022</vt:lpstr>
      <vt:lpstr>07-11-2022</vt:lpstr>
      <vt:lpstr>08-11-2022</vt:lpstr>
      <vt:lpstr>09-11-2022</vt:lpstr>
      <vt:lpstr>10-11-2022</vt:lpstr>
      <vt:lpstr>11-11-2022</vt:lpstr>
      <vt:lpstr>14-11-2022</vt:lpstr>
      <vt:lpstr>15-11-2022</vt:lpstr>
      <vt:lpstr>16-11-2022</vt:lpstr>
      <vt:lpstr>17-11-2022</vt:lpstr>
      <vt:lpstr>18-11-2022</vt:lpstr>
      <vt:lpstr>21-11-2022</vt:lpstr>
      <vt:lpstr>22-11-2022</vt:lpstr>
      <vt:lpstr>23-11-2022</vt:lpstr>
      <vt:lpstr>24-11-2022</vt:lpstr>
      <vt:lpstr>25-11-2022</vt:lpstr>
      <vt:lpstr>28-11-2022</vt:lpstr>
      <vt:lpstr>29-11-2022</vt:lpstr>
      <vt:lpstr>30-11-2022</vt:lpstr>
      <vt:lpstr>01-12-2022</vt:lpstr>
      <vt:lpstr>05-12-2022</vt:lpstr>
      <vt:lpstr>06-12-2022</vt:lpstr>
      <vt:lpstr>07-12-2022</vt:lpstr>
      <vt:lpstr>08-12-2022</vt:lpstr>
      <vt:lpstr>09-12-2022</vt:lpstr>
      <vt:lpstr>12-12-2022</vt:lpstr>
      <vt:lpstr>13-12-2022</vt:lpstr>
      <vt:lpstr>14-12-2022</vt:lpstr>
      <vt:lpstr>15-12-2022</vt:lpstr>
      <vt:lpstr>16-12-2022</vt:lpstr>
      <vt:lpstr>19-12-2022</vt:lpstr>
      <vt:lpstr>20-12-2022</vt:lpstr>
      <vt:lpstr>21-12-2022</vt:lpstr>
      <vt:lpstr>22-12-2022</vt:lpstr>
      <vt:lpstr>23-12-2022</vt:lpstr>
      <vt:lpstr>28-12-2022</vt:lpstr>
      <vt:lpstr>29-12-2022</vt:lpstr>
      <vt:lpstr>30-12-2022</vt:lpstr>
      <vt:lpstr>03-01-2023</vt:lpstr>
      <vt:lpstr>Summary</vt:lpstr>
      <vt:lpstr>Combined</vt:lpstr>
      <vt:lpstr>BDC List</vt:lpstr>
      <vt:lpstr>30-12-2022 (2)</vt:lpstr>
      <vt:lpstr>'01-04-2020'!Print_Area</vt:lpstr>
      <vt:lpstr>'02-03-2020'!Print_Area</vt:lpstr>
      <vt:lpstr>'02-04-2020'!Print_Area</vt:lpstr>
      <vt:lpstr>'02-06-2020'!Print_Area</vt:lpstr>
      <vt:lpstr>'02-07-2020 '!Print_Area</vt:lpstr>
      <vt:lpstr>'03-02-2020'!Print_Area</vt:lpstr>
      <vt:lpstr>'03-03-2020'!Print_Area</vt:lpstr>
      <vt:lpstr>'03-04-2020'!Print_Area</vt:lpstr>
      <vt:lpstr>'03-06-2020'!Print_Area</vt:lpstr>
      <vt:lpstr>'03-07-2020'!Print_Area</vt:lpstr>
      <vt:lpstr>'04-02-2020'!Print_Area</vt:lpstr>
      <vt:lpstr>'04-03-2020'!Print_Area</vt:lpstr>
      <vt:lpstr>'04-05-2020'!Print_Area</vt:lpstr>
      <vt:lpstr>'04-06-2020'!Print_Area</vt:lpstr>
      <vt:lpstr>'05-02-2020'!Print_Area</vt:lpstr>
      <vt:lpstr>'05-03-2020'!Print_Area</vt:lpstr>
      <vt:lpstr>'05-05-2020'!Print_Area</vt:lpstr>
      <vt:lpstr>'05-06-2020'!Print_Area</vt:lpstr>
      <vt:lpstr>'06-01-2020'!Print_Area</vt:lpstr>
      <vt:lpstr>'06-02-2020'!Print_Area</vt:lpstr>
      <vt:lpstr>'06-04-2020'!Print_Area</vt:lpstr>
      <vt:lpstr>'06-05-2020'!Print_Area</vt:lpstr>
      <vt:lpstr>'06-06-2020'!Print_Area</vt:lpstr>
      <vt:lpstr>'06-07-2020'!Print_Area</vt:lpstr>
      <vt:lpstr>'07-02-2020'!Print_Area</vt:lpstr>
      <vt:lpstr>'07-04-2020'!Print_Area</vt:lpstr>
      <vt:lpstr>'07-05-2020'!Print_Area</vt:lpstr>
      <vt:lpstr>'07-07-2020'!Print_Area</vt:lpstr>
      <vt:lpstr>'08-01-2020'!Print_Area</vt:lpstr>
      <vt:lpstr>'08-04-2020'!Print_Area</vt:lpstr>
      <vt:lpstr>'08-05-2020'!Print_Area</vt:lpstr>
      <vt:lpstr>'08-06-2020'!Print_Area</vt:lpstr>
      <vt:lpstr>'08-07-2020'!Print_Area</vt:lpstr>
      <vt:lpstr>'09-01-2020'!Print_Area</vt:lpstr>
      <vt:lpstr>'09-03-2020'!Print_Area</vt:lpstr>
      <vt:lpstr>'09-04-2020'!Print_Area</vt:lpstr>
      <vt:lpstr>'09-06-2020'!Print_Area</vt:lpstr>
      <vt:lpstr>'09-07-2020'!Print_Area</vt:lpstr>
      <vt:lpstr>'10-01-2020'!Print_Area</vt:lpstr>
      <vt:lpstr>'10-02-2020'!Print_Area</vt:lpstr>
      <vt:lpstr>'10-03-2020'!Print_Area</vt:lpstr>
      <vt:lpstr>'10-06-2020'!Print_Area</vt:lpstr>
      <vt:lpstr>'10-07-2020'!Print_Area</vt:lpstr>
      <vt:lpstr>'11-02-2020'!Print_Area</vt:lpstr>
      <vt:lpstr>'11-03-2020'!Print_Area</vt:lpstr>
      <vt:lpstr>'11-05-2020'!Print_Area</vt:lpstr>
      <vt:lpstr>'11-06-2020'!Print_Area</vt:lpstr>
      <vt:lpstr>'11-07-2020'!Print_Area</vt:lpstr>
      <vt:lpstr>'12-02-2020'!Print_Area</vt:lpstr>
      <vt:lpstr>'12-03-2020'!Print_Area</vt:lpstr>
      <vt:lpstr>'12-05-2020'!Print_Area</vt:lpstr>
      <vt:lpstr>'12-06-2020'!Print_Area</vt:lpstr>
      <vt:lpstr>'13-01-2020'!Print_Area</vt:lpstr>
      <vt:lpstr>'13-02-2020'!Print_Area</vt:lpstr>
      <vt:lpstr>'13-03-2020'!Print_Area</vt:lpstr>
      <vt:lpstr>'13-05-2020'!Print_Area</vt:lpstr>
      <vt:lpstr>'13-06-2020'!Print_Area</vt:lpstr>
      <vt:lpstr>'13-07-2020'!Print_Area</vt:lpstr>
      <vt:lpstr>'14-01-2020'!Print_Area</vt:lpstr>
      <vt:lpstr>'14-02-2020'!Print_Area</vt:lpstr>
      <vt:lpstr>'14-04-2020'!Print_Area</vt:lpstr>
      <vt:lpstr>'14-05-2020'!Print_Area</vt:lpstr>
      <vt:lpstr>'14-07-2020'!Print_Area</vt:lpstr>
      <vt:lpstr>'15-01-2020 '!Print_Area</vt:lpstr>
      <vt:lpstr>'15-04-2020'!Print_Area</vt:lpstr>
      <vt:lpstr>'15-05-2020'!Print_Area</vt:lpstr>
      <vt:lpstr>'15-06-2020'!Print_Area</vt:lpstr>
      <vt:lpstr>'15-07-2020'!Print_Area</vt:lpstr>
      <vt:lpstr>'16-01-2020'!Print_Area</vt:lpstr>
      <vt:lpstr>'16-03-2020'!Print_Area</vt:lpstr>
      <vt:lpstr>'16-04-2020'!Print_Area</vt:lpstr>
      <vt:lpstr>'16-06-2020'!Print_Area</vt:lpstr>
      <vt:lpstr>'16-07-2020'!Print_Area</vt:lpstr>
      <vt:lpstr>'17-01-2020'!Print_Area</vt:lpstr>
      <vt:lpstr>'17-02-2020'!Print_Area</vt:lpstr>
      <vt:lpstr>'17-03-2020'!Print_Area</vt:lpstr>
      <vt:lpstr>'17-04-2020'!Print_Area</vt:lpstr>
      <vt:lpstr>'17-06-2020'!Print_Area</vt:lpstr>
      <vt:lpstr>'17-07-2020'!Print_Area</vt:lpstr>
      <vt:lpstr>'18-02-2020'!Print_Area</vt:lpstr>
      <vt:lpstr>'18-03-2020'!Print_Area</vt:lpstr>
      <vt:lpstr>'18-05-2020'!Print_Area</vt:lpstr>
      <vt:lpstr>'18-06-2020'!Print_Area</vt:lpstr>
      <vt:lpstr>'19-02-2020'!Print_Area</vt:lpstr>
      <vt:lpstr>'19-03-2020'!Print_Area</vt:lpstr>
      <vt:lpstr>'19-05-2020'!Print_Area</vt:lpstr>
      <vt:lpstr>'19-06-2020'!Print_Area</vt:lpstr>
      <vt:lpstr>'20-01-2020'!Print_Area</vt:lpstr>
      <vt:lpstr>'20-02-2020'!Print_Area</vt:lpstr>
      <vt:lpstr>'20-03-2020'!Print_Area</vt:lpstr>
      <vt:lpstr>'20-04-2020'!Print_Area</vt:lpstr>
      <vt:lpstr>'20-05-2020'!Print_Area</vt:lpstr>
      <vt:lpstr>'20-06-2020'!Print_Area</vt:lpstr>
      <vt:lpstr>'20-07-2020'!Print_Area</vt:lpstr>
      <vt:lpstr>'21-01-2020'!Print_Area</vt:lpstr>
      <vt:lpstr>'21-02-2020'!Print_Area</vt:lpstr>
      <vt:lpstr>'21-04-2020'!Print_Area</vt:lpstr>
      <vt:lpstr>'21-05-2020'!Print_Area</vt:lpstr>
      <vt:lpstr>'21-07-2020'!Print_Area</vt:lpstr>
      <vt:lpstr>'22-01-2020'!Print_Area</vt:lpstr>
      <vt:lpstr>'22-04-2020'!Print_Area</vt:lpstr>
      <vt:lpstr>'22-05-2020'!Print_Area</vt:lpstr>
      <vt:lpstr>'22-06-2020'!Print_Area</vt:lpstr>
      <vt:lpstr>'22-07-2020'!Print_Area</vt:lpstr>
      <vt:lpstr>'23-01-2020'!Print_Area</vt:lpstr>
      <vt:lpstr>'23-03-2020'!Print_Area</vt:lpstr>
      <vt:lpstr>'23-04-2020'!Print_Area</vt:lpstr>
      <vt:lpstr>'23-06-2020'!Print_Area</vt:lpstr>
      <vt:lpstr>'23-07-2020'!Print_Area</vt:lpstr>
      <vt:lpstr>'24-01-2020'!Print_Area</vt:lpstr>
      <vt:lpstr>'24-02-2020'!Print_Area</vt:lpstr>
      <vt:lpstr>'24-03-2020'!Print_Area</vt:lpstr>
      <vt:lpstr>'24-04-2020'!Print_Area</vt:lpstr>
      <vt:lpstr>'24-06-2020'!Print_Area</vt:lpstr>
      <vt:lpstr>'24-07-2020'!Print_Area</vt:lpstr>
      <vt:lpstr>'25-02-2020'!Print_Area</vt:lpstr>
      <vt:lpstr>'25-03-2020'!Print_Area</vt:lpstr>
      <vt:lpstr>'25-06-2020'!Print_Area</vt:lpstr>
      <vt:lpstr>'26-02-2020'!Print_Area</vt:lpstr>
      <vt:lpstr>'26-03-2020'!Print_Area</vt:lpstr>
      <vt:lpstr>'26-05-2020'!Print_Area</vt:lpstr>
      <vt:lpstr>'26-06-2020'!Print_Area</vt:lpstr>
      <vt:lpstr>'27-01-2020'!Print_Area</vt:lpstr>
      <vt:lpstr>'27-02-2020'!Print_Area</vt:lpstr>
      <vt:lpstr>'27-03-2020'!Print_Area</vt:lpstr>
      <vt:lpstr>'27-04-2020'!Print_Area</vt:lpstr>
      <vt:lpstr>'27-05-2020'!Print_Area</vt:lpstr>
      <vt:lpstr>'28-01-2020'!Print_Area</vt:lpstr>
      <vt:lpstr>'28-02-2020'!Print_Area</vt:lpstr>
      <vt:lpstr>'28-04-2020'!Print_Area</vt:lpstr>
      <vt:lpstr>'28-05-2020'!Print_Area</vt:lpstr>
      <vt:lpstr>'29-01-2020'!Print_Area</vt:lpstr>
      <vt:lpstr>'29-04-2020'!Print_Area</vt:lpstr>
      <vt:lpstr>'29-05-2020'!Print_Area</vt:lpstr>
      <vt:lpstr>'29-06-2020'!Print_Area</vt:lpstr>
      <vt:lpstr>'30-01-2020'!Print_Area</vt:lpstr>
      <vt:lpstr>'30-03-2020'!Print_Area</vt:lpstr>
      <vt:lpstr>'30-04-2020'!Print_Area</vt:lpstr>
      <vt:lpstr>'30-06-2020'!Print_Area</vt:lpstr>
      <vt:lpstr>'31-01-2020'!Print_Area</vt:lpstr>
      <vt:lpstr>'31-03-2020'!Print_Area</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Appiah</dc:creator>
  <cp:lastModifiedBy>danivelve</cp:lastModifiedBy>
  <cp:lastPrinted>2022-12-19T19:56:51Z</cp:lastPrinted>
  <dcterms:created xsi:type="dcterms:W3CDTF">2020-06-22T11:00:46Z</dcterms:created>
  <dcterms:modified xsi:type="dcterms:W3CDTF">2023-01-05T10:38:36Z</dcterms:modified>
</cp:coreProperties>
</file>